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comments6.xml" ContentType="application/vnd.openxmlformats-officedocument.spreadsheetml.comments+xml"/>
  <Override PartName="/xl/comments7.xml" ContentType="application/vnd.openxmlformats-officedocument.spreadsheetml.comment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/>
  <bookViews>
    <workbookView xWindow="0" yWindow="0" windowWidth="20460" windowHeight="7755" activeTab="2"/>
  </bookViews>
  <sheets>
    <sheet name="Guidelines" sheetId="41" r:id="rId1"/>
    <sheet name="Status" sheetId="36" r:id="rId2"/>
    <sheet name="TRIAL-BALANCE" sheetId="1" r:id="rId3"/>
    <sheet name="Cash-deficit" sheetId="32" r:id="rId4"/>
    <sheet name="Provisions-2020" sheetId="7" r:id="rId5"/>
    <sheet name="Intra-Balances" sheetId="33" r:id="rId6"/>
    <sheet name="Municipal-Bal" sheetId="35" r:id="rId7"/>
    <sheet name="R &amp; E data-2019" sheetId="31" r:id="rId8"/>
    <sheet name="BALANCE-SHEET-2020-leva" sheetId="4" r:id="rId9"/>
    <sheet name="BALANCE-SHEET-2020" sheetId="8" r:id="rId10"/>
    <sheet name="Income-2020-leva" sheetId="29" r:id="rId11"/>
    <sheet name="Income-2020" sheetId="30" r:id="rId12"/>
    <sheet name="Rounding" sheetId="39" r:id="rId13"/>
    <sheet name="NF-KSF-TRIAL-BAL-2020" sheetId="20" r:id="rId14"/>
    <sheet name="RA-TRIAL-BAL-2020" sheetId="25" r:id="rId15"/>
    <sheet name="DES-TRIAL-BAL-2020" sheetId="26" r:id="rId16"/>
    <sheet name="DMP-TRIAL-BAL-2020" sheetId="27" r:id="rId17"/>
    <sheet name="Local-&amp;-SSF" sheetId="38" state="hidden" r:id="rId18"/>
  </sheets>
  <definedNames>
    <definedName name="Date" localSheetId="12">#REF!</definedName>
    <definedName name="Date">#REF!</definedName>
    <definedName name="_xlnm.Print_Area" localSheetId="9">'BALANCE-SHEET-2020'!$A$1:$N$98</definedName>
    <definedName name="_xlnm.Print_Area" localSheetId="8">'BALANCE-SHEET-2020-leva'!$A$1:$N$98</definedName>
    <definedName name="_xlnm.Print_Area" localSheetId="3">'Cash-deficit'!$A$2:$N$39</definedName>
    <definedName name="_xlnm.Print_Area" localSheetId="15">'DES-TRIAL-BAL-2020'!$N$8:$U$890</definedName>
    <definedName name="_xlnm.Print_Area" localSheetId="16">'DMP-TRIAL-BAL-2020'!$N$8:$U$890</definedName>
    <definedName name="_xlnm.Print_Area" localSheetId="0">Guidelines!$B$2:$M$258</definedName>
    <definedName name="_xlnm.Print_Area" localSheetId="11">'Income-2020'!$A$1:$N$116</definedName>
    <definedName name="_xlnm.Print_Area" localSheetId="10">'Income-2020-leva'!$A$1:$N$115</definedName>
    <definedName name="_xlnm.Print_Area" localSheetId="5">'Intra-Balances'!$A$2:$S$61</definedName>
    <definedName name="_xlnm.Print_Area" localSheetId="17">'Local-&amp;-SSF'!$A$1:$C$356</definedName>
    <definedName name="_xlnm.Print_Area" localSheetId="6">'Municipal-Bal'!$A$2:$S$95</definedName>
    <definedName name="_xlnm.Print_Area" localSheetId="13">'NF-KSF-TRIAL-BAL-2020'!$N$8:$U$890</definedName>
    <definedName name="_xlnm.Print_Area" localSheetId="4">'Provisions-2020'!$A$1:$N$74</definedName>
    <definedName name="_xlnm.Print_Area" localSheetId="7">'R &amp; E data-2019'!$N$2:$V$469</definedName>
    <definedName name="_xlnm.Print_Area" localSheetId="14">'RA-TRIAL-BAL-2020'!$N$8:$U$890</definedName>
    <definedName name="_xlnm.Print_Area" localSheetId="12">Rounding!#REF!</definedName>
    <definedName name="_xlnm.Print_Area" localSheetId="1">Status!$A$2:$L$13</definedName>
    <definedName name="_xlnm.Print_Area" localSheetId="2">'TRIAL-BALANCE'!$N$8:$AH$890</definedName>
    <definedName name="_xlnm.Print_Titles" localSheetId="9">'BALANCE-SHEET-2020'!$1:$5</definedName>
    <definedName name="_xlnm.Print_Titles" localSheetId="8">'BALANCE-SHEET-2020-leva'!$1:$5</definedName>
    <definedName name="_xlnm.Print_Titles" localSheetId="15">'DES-TRIAL-BAL-2020'!$N:$N,'DES-TRIAL-BAL-2020'!$8:$12</definedName>
    <definedName name="_xlnm.Print_Titles" localSheetId="16">'DMP-TRIAL-BAL-2020'!$N:$N,'DMP-TRIAL-BAL-2020'!$8:$12</definedName>
    <definedName name="_xlnm.Print_Titles" localSheetId="11">'Income-2020'!$7:$10</definedName>
    <definedName name="_xlnm.Print_Titles" localSheetId="10">'Income-2020-leva'!$7:$10</definedName>
    <definedName name="_xlnm.Print_Titles" localSheetId="5">'Intra-Balances'!$N:$N,'Intra-Balances'!$8:$12</definedName>
    <definedName name="_xlnm.Print_Titles" localSheetId="17">'Local-&amp;-SSF'!$1:$4</definedName>
    <definedName name="_xlnm.Print_Titles" localSheetId="6">'Municipal-Bal'!$N:$N,'Municipal-Bal'!$8:$12</definedName>
    <definedName name="_xlnm.Print_Titles" localSheetId="13">'NF-KSF-TRIAL-BAL-2020'!$N:$N,'NF-KSF-TRIAL-BAL-2020'!$8:$12</definedName>
    <definedName name="_xlnm.Print_Titles" localSheetId="4">'Provisions-2020'!$1:$5</definedName>
    <definedName name="_xlnm.Print_Titles" localSheetId="7">'R &amp; E data-2019'!$N:$N,'R &amp; E data-2019'!$8:$12</definedName>
    <definedName name="_xlnm.Print_Titles" localSheetId="14">'RA-TRIAL-BAL-2020'!$N:$N,'RA-TRIAL-BAL-2020'!$8:$12</definedName>
    <definedName name="_xlnm.Print_Titles" localSheetId="12">Rounding!#REF!</definedName>
    <definedName name="_xlnm.Print_Titles" localSheetId="2">'TRIAL-BALANCE'!$N:$N,'TRIAL-BALANCE'!$8:$12</definedName>
  </definedNames>
  <calcPr calcId="125725" fullCalcOnLoad="1"/>
</workbook>
</file>

<file path=xl/calcChain.xml><?xml version="1.0" encoding="utf-8"?>
<calcChain xmlns="http://schemas.openxmlformats.org/spreadsheetml/2006/main">
  <c r="T667" i="1"/>
  <c r="S667"/>
  <c r="T640"/>
  <c r="S640"/>
  <c r="AV293"/>
  <c r="AV290"/>
  <c r="AV289"/>
  <c r="AV286"/>
  <c r="AV667"/>
  <c r="AV640"/>
  <c r="AV288"/>
  <c r="AV287"/>
  <c r="AV198"/>
  <c r="S293"/>
  <c r="S290"/>
  <c r="S289"/>
  <c r="S286"/>
  <c r="T288"/>
  <c r="S288"/>
  <c r="T198"/>
  <c r="S198"/>
  <c r="T287"/>
  <c r="S287"/>
  <c r="C225" i="41"/>
  <c r="D244"/>
  <c r="L243"/>
  <c r="J243"/>
  <c r="G243"/>
  <c r="I242"/>
  <c r="E241"/>
  <c r="H240"/>
  <c r="E239"/>
  <c r="E236"/>
  <c r="I235"/>
  <c r="E235"/>
  <c r="K234"/>
  <c r="E232"/>
  <c r="L231"/>
  <c r="E229"/>
  <c r="L228"/>
  <c r="E226"/>
  <c r="G225"/>
  <c r="J224"/>
  <c r="F224"/>
  <c r="D188"/>
  <c r="F175"/>
  <c r="K174"/>
  <c r="I171"/>
  <c r="F171"/>
  <c r="D167"/>
  <c r="F150"/>
  <c r="F146"/>
  <c r="J149"/>
  <c r="K146"/>
  <c r="J144"/>
  <c r="D144"/>
  <c r="F111"/>
  <c r="D67"/>
  <c r="G67"/>
  <c r="K66"/>
  <c r="H66"/>
  <c r="G57"/>
  <c r="H56"/>
  <c r="D57"/>
  <c r="D56"/>
  <c r="H50"/>
  <c r="D50"/>
  <c r="L32"/>
  <c r="K32"/>
  <c r="H32"/>
  <c r="D32"/>
  <c r="L13"/>
  <c r="L2"/>
  <c r="C6"/>
  <c r="C7"/>
  <c r="C8"/>
  <c r="C9"/>
  <c r="C10"/>
  <c r="C15"/>
  <c r="C16"/>
  <c r="C20"/>
  <c r="C23"/>
  <c r="C27"/>
  <c r="C33"/>
  <c r="C38"/>
  <c r="C44"/>
  <c r="C49"/>
  <c r="C52"/>
  <c r="C55"/>
  <c r="C61"/>
  <c r="C62"/>
  <c r="C68"/>
  <c r="C71"/>
  <c r="C73"/>
  <c r="C74"/>
  <c r="C76"/>
  <c r="C82"/>
  <c r="C87"/>
  <c r="C89"/>
  <c r="C95"/>
  <c r="C102"/>
  <c r="C105"/>
  <c r="C112"/>
  <c r="C114"/>
  <c r="C119"/>
  <c r="C123"/>
  <c r="C127"/>
  <c r="C128"/>
  <c r="C131"/>
  <c r="C132"/>
  <c r="C133"/>
  <c r="C137"/>
  <c r="C140"/>
  <c r="C142"/>
  <c r="C143"/>
  <c r="C147"/>
  <c r="C149"/>
  <c r="C151"/>
  <c r="C154"/>
  <c r="C157"/>
  <c r="C160"/>
  <c r="C166"/>
  <c r="C172"/>
  <c r="C174"/>
  <c r="C176"/>
  <c r="C182"/>
  <c r="C187"/>
  <c r="C193"/>
  <c r="C195"/>
  <c r="C198"/>
  <c r="C204"/>
  <c r="C207"/>
  <c r="C211"/>
  <c r="C216"/>
  <c r="C219"/>
  <c r="C226"/>
  <c r="C229"/>
  <c r="C232"/>
  <c r="C236"/>
  <c r="C239"/>
  <c r="C241"/>
  <c r="C243"/>
  <c r="C245"/>
  <c r="C247"/>
  <c r="C250"/>
  <c r="C251"/>
  <c r="U130" i="35"/>
  <c r="R119"/>
  <c r="R116"/>
  <c r="R113"/>
  <c r="R108"/>
  <c r="R105"/>
  <c r="R102"/>
  <c r="R99"/>
  <c r="G6" i="38"/>
  <c r="P121" i="35"/>
  <c r="P110"/>
  <c r="G3" i="30"/>
  <c r="K3"/>
  <c r="G3" i="29"/>
  <c r="K3"/>
  <c r="K3" i="8"/>
  <c r="G3"/>
  <c r="G3" i="4"/>
  <c r="K3"/>
  <c r="K3" i="7"/>
  <c r="G3"/>
  <c r="S57" i="35"/>
  <c r="P57"/>
  <c r="S54"/>
  <c r="P54"/>
  <c r="Q62" i="4"/>
  <c r="Q25" i="29"/>
  <c r="AX886" i="1"/>
  <c r="AX885"/>
  <c r="AX875"/>
  <c r="AX874"/>
  <c r="AX873"/>
  <c r="AX872"/>
  <c r="AX871"/>
  <c r="AX870"/>
  <c r="AX869"/>
  <c r="AX868"/>
  <c r="AX848"/>
  <c r="AX845"/>
  <c r="AX844"/>
  <c r="AX843"/>
  <c r="AX842"/>
  <c r="AX836"/>
  <c r="AX835"/>
  <c r="AX580"/>
  <c r="AX578"/>
  <c r="AX577"/>
  <c r="AX576"/>
  <c r="AX572"/>
  <c r="AX571"/>
  <c r="AX569"/>
  <c r="AX568"/>
  <c r="AX567"/>
  <c r="AX566"/>
  <c r="AX416"/>
  <c r="AX382"/>
  <c r="AX381"/>
  <c r="AX380"/>
  <c r="AX363"/>
  <c r="AX367"/>
  <c r="AX366"/>
  <c r="AX365"/>
  <c r="AX364"/>
  <c r="AX337"/>
  <c r="AX284"/>
  <c r="AX266"/>
  <c r="AX265"/>
  <c r="AX264"/>
  <c r="AX263"/>
  <c r="AX262"/>
  <c r="AX261"/>
  <c r="AX260"/>
  <c r="AX259"/>
  <c r="AX258"/>
  <c r="AX257"/>
  <c r="AX252"/>
  <c r="AX251"/>
  <c r="AX244"/>
  <c r="AX243"/>
  <c r="AX242"/>
  <c r="AX241"/>
  <c r="AX238"/>
  <c r="AX237"/>
  <c r="AX235"/>
  <c r="AX234"/>
  <c r="AX233"/>
  <c r="AX232"/>
  <c r="AX228"/>
  <c r="AX227"/>
  <c r="AX226"/>
  <c r="AX225"/>
  <c r="AX224"/>
  <c r="AX222"/>
  <c r="AX219"/>
  <c r="AV219"/>
  <c r="AX220"/>
  <c r="AX198"/>
  <c r="AX197"/>
  <c r="AX195"/>
  <c r="AX190"/>
  <c r="AX187"/>
  <c r="AX186"/>
  <c r="AX184"/>
  <c r="AX175"/>
  <c r="AX174"/>
  <c r="AX173"/>
  <c r="AX151"/>
  <c r="AX150"/>
  <c r="AX146"/>
  <c r="AX143"/>
  <c r="AX142"/>
  <c r="AX140"/>
  <c r="AX139"/>
  <c r="AX135"/>
  <c r="AX133"/>
  <c r="AX132"/>
  <c r="AX130"/>
  <c r="AX128"/>
  <c r="AX127"/>
  <c r="AX125"/>
  <c r="AX122"/>
  <c r="AX118"/>
  <c r="AX116"/>
  <c r="AX114"/>
  <c r="AX99"/>
  <c r="AX100"/>
  <c r="AX93"/>
  <c r="AX92"/>
  <c r="AX91"/>
  <c r="AX90"/>
  <c r="AX887"/>
  <c r="AX884"/>
  <c r="AX867"/>
  <c r="AX866"/>
  <c r="AX865"/>
  <c r="AX864"/>
  <c r="AX863"/>
  <c r="AX862"/>
  <c r="AX861"/>
  <c r="AX860"/>
  <c r="AX859"/>
  <c r="AX858"/>
  <c r="AX846"/>
  <c r="AX841"/>
  <c r="AX840"/>
  <c r="AX839"/>
  <c r="AX838"/>
  <c r="AX837"/>
  <c r="AX834"/>
  <c r="AX833"/>
  <c r="AX832"/>
  <c r="AX608"/>
  <c r="AX604"/>
  <c r="AX579"/>
  <c r="AX575"/>
  <c r="AX574"/>
  <c r="AX573"/>
  <c r="AX570"/>
  <c r="AX415"/>
  <c r="AX379"/>
  <c r="AX378"/>
  <c r="AX377"/>
  <c r="AX376"/>
  <c r="AX375"/>
  <c r="AX374"/>
  <c r="AX373"/>
  <c r="AX372"/>
  <c r="AX371"/>
  <c r="AX370"/>
  <c r="AX369"/>
  <c r="AX368"/>
  <c r="AX362"/>
  <c r="AX361"/>
  <c r="AX360"/>
  <c r="AX359"/>
  <c r="AX358"/>
  <c r="AX357"/>
  <c r="AX356"/>
  <c r="AX355"/>
  <c r="AX354"/>
  <c r="AX353"/>
  <c r="AX352"/>
  <c r="AX351"/>
  <c r="AX350"/>
  <c r="AX349"/>
  <c r="AX348"/>
  <c r="AX347"/>
  <c r="AX346"/>
  <c r="AX343"/>
  <c r="AX342"/>
  <c r="AX341"/>
  <c r="AX340"/>
  <c r="AX339"/>
  <c r="AX338"/>
  <c r="AX336"/>
  <c r="AX335"/>
  <c r="AX334"/>
  <c r="AX333"/>
  <c r="AX332"/>
  <c r="AX331"/>
  <c r="AX326"/>
  <c r="AX325"/>
  <c r="AX324"/>
  <c r="AX323"/>
  <c r="AX321"/>
  <c r="AX320"/>
  <c r="AX319"/>
  <c r="AX318"/>
  <c r="AX317"/>
  <c r="AX316"/>
  <c r="AX315"/>
  <c r="AX314"/>
  <c r="AX313"/>
  <c r="AX312"/>
  <c r="AX311"/>
  <c r="AX310"/>
  <c r="AX309"/>
  <c r="AX308"/>
  <c r="AX307"/>
  <c r="AX306"/>
  <c r="AX305"/>
  <c r="AX304"/>
  <c r="AX303"/>
  <c r="AX302"/>
  <c r="AX301"/>
  <c r="AX300"/>
  <c r="AX299"/>
  <c r="AX298"/>
  <c r="AX297"/>
  <c r="AX296"/>
  <c r="AX295"/>
  <c r="AX294"/>
  <c r="AX292"/>
  <c r="AX291"/>
  <c r="AX288"/>
  <c r="AX287"/>
  <c r="AX283"/>
  <c r="AX256"/>
  <c r="AX255"/>
  <c r="AX254"/>
  <c r="AX253"/>
  <c r="AX250"/>
  <c r="AX249"/>
  <c r="AX248"/>
  <c r="AX247"/>
  <c r="AX246"/>
  <c r="AX245"/>
  <c r="AX240"/>
  <c r="AX239"/>
  <c r="AX236"/>
  <c r="AX231"/>
  <c r="AX230"/>
  <c r="AX229"/>
  <c r="AX223"/>
  <c r="AX221"/>
  <c r="AX196"/>
  <c r="AX189"/>
  <c r="AX188"/>
  <c r="AX185"/>
  <c r="AX172"/>
  <c r="AX171"/>
  <c r="AX170"/>
  <c r="AX169"/>
  <c r="AX168"/>
  <c r="AX167"/>
  <c r="AX166"/>
  <c r="AX165"/>
  <c r="AX164"/>
  <c r="AX163"/>
  <c r="AX162"/>
  <c r="AX161"/>
  <c r="AX159"/>
  <c r="AX158"/>
  <c r="AX157"/>
  <c r="AX156"/>
  <c r="AX155"/>
  <c r="AX154"/>
  <c r="AX153"/>
  <c r="AX152"/>
  <c r="AX149"/>
  <c r="AX148"/>
  <c r="AX147"/>
  <c r="AX145"/>
  <c r="AX144"/>
  <c r="AX141"/>
  <c r="AX138"/>
  <c r="AX137"/>
  <c r="AX136"/>
  <c r="AX134"/>
  <c r="AX131"/>
  <c r="AX129"/>
  <c r="AX126"/>
  <c r="AX124"/>
  <c r="AX123"/>
  <c r="AX119"/>
  <c r="AX112"/>
  <c r="AX111"/>
  <c r="AX110"/>
  <c r="AX109"/>
  <c r="AX108"/>
  <c r="AX107"/>
  <c r="AX106"/>
  <c r="AX105"/>
  <c r="AX104"/>
  <c r="AX103"/>
  <c r="AX89"/>
  <c r="AX88"/>
  <c r="AX87"/>
  <c r="AX86"/>
  <c r="AX85"/>
  <c r="AX84"/>
  <c r="AX83"/>
  <c r="AX82"/>
  <c r="AX81"/>
  <c r="AX80"/>
  <c r="AX79"/>
  <c r="AX78"/>
  <c r="AX77"/>
  <c r="AX76"/>
  <c r="AX75"/>
  <c r="AX74"/>
  <c r="AX73"/>
  <c r="AX72"/>
  <c r="AX71"/>
  <c r="AG887"/>
  <c r="AG884"/>
  <c r="AG867"/>
  <c r="AG866"/>
  <c r="AG865"/>
  <c r="AG864"/>
  <c r="AG863"/>
  <c r="AG862"/>
  <c r="AG861"/>
  <c r="AG860"/>
  <c r="AG859"/>
  <c r="AG858"/>
  <c r="AG846"/>
  <c r="AG841"/>
  <c r="AG840"/>
  <c r="AG839"/>
  <c r="AG838"/>
  <c r="AG837"/>
  <c r="AG834"/>
  <c r="AG833"/>
  <c r="AG832"/>
  <c r="AG608"/>
  <c r="AG604"/>
  <c r="AG579"/>
  <c r="AG575"/>
  <c r="AG574"/>
  <c r="AG573"/>
  <c r="AG415"/>
  <c r="AG379"/>
  <c r="AG378"/>
  <c r="AG377"/>
  <c r="AG376"/>
  <c r="AG375"/>
  <c r="AG374"/>
  <c r="AG373"/>
  <c r="AG372"/>
  <c r="AG371"/>
  <c r="AG370"/>
  <c r="AG369"/>
  <c r="AG368"/>
  <c r="AG363"/>
  <c r="AG362"/>
  <c r="AG361"/>
  <c r="AG360"/>
  <c r="AG359"/>
  <c r="AG358"/>
  <c r="AG357"/>
  <c r="AG356"/>
  <c r="AG355"/>
  <c r="AG354"/>
  <c r="AG353"/>
  <c r="AG352"/>
  <c r="AG351"/>
  <c r="AG350"/>
  <c r="AG349"/>
  <c r="AG348"/>
  <c r="AG347"/>
  <c r="AG346"/>
  <c r="AG343"/>
  <c r="AG342"/>
  <c r="AG341"/>
  <c r="AG340"/>
  <c r="AG339"/>
  <c r="AG338"/>
  <c r="AG336"/>
  <c r="AG335"/>
  <c r="AG334"/>
  <c r="AG333"/>
  <c r="AG332"/>
  <c r="AG331"/>
  <c r="AG326"/>
  <c r="AG325"/>
  <c r="AG324"/>
  <c r="AG323"/>
  <c r="AG321"/>
  <c r="AG320"/>
  <c r="AG319"/>
  <c r="AG318"/>
  <c r="AG317"/>
  <c r="AG316"/>
  <c r="AG315"/>
  <c r="AG314"/>
  <c r="AG313"/>
  <c r="AG312"/>
  <c r="AG311"/>
  <c r="AG310"/>
  <c r="AG309"/>
  <c r="AG308"/>
  <c r="AG307"/>
  <c r="AG306"/>
  <c r="AG305"/>
  <c r="AG304"/>
  <c r="AG303"/>
  <c r="AG302"/>
  <c r="AG301"/>
  <c r="AG300"/>
  <c r="AG299"/>
  <c r="AG298"/>
  <c r="AG297"/>
  <c r="AG296"/>
  <c r="AG295"/>
  <c r="AG294"/>
  <c r="AG292"/>
  <c r="AG291"/>
  <c r="AG288"/>
  <c r="AG287"/>
  <c r="AG283"/>
  <c r="AG256"/>
  <c r="AG255"/>
  <c r="AG254"/>
  <c r="AG253"/>
  <c r="AG250"/>
  <c r="AG249"/>
  <c r="AG248"/>
  <c r="AG247"/>
  <c r="AG246"/>
  <c r="AG245"/>
  <c r="AG240"/>
  <c r="AG239"/>
  <c r="AG236"/>
  <c r="AG231"/>
  <c r="AG230"/>
  <c r="AG229"/>
  <c r="AG223"/>
  <c r="AG221"/>
  <c r="AG219"/>
  <c r="AG196"/>
  <c r="AG189"/>
  <c r="AG188"/>
  <c r="AG185"/>
  <c r="AG172"/>
  <c r="AG171"/>
  <c r="AG170"/>
  <c r="AG169"/>
  <c r="AG168"/>
  <c r="AG167"/>
  <c r="AG166"/>
  <c r="AG165"/>
  <c r="AG164"/>
  <c r="AG163"/>
  <c r="AG162"/>
  <c r="AG161"/>
  <c r="AG159"/>
  <c r="AG158"/>
  <c r="AG157"/>
  <c r="AG156"/>
  <c r="AG155"/>
  <c r="AG154"/>
  <c r="AG153"/>
  <c r="AG152"/>
  <c r="AG149"/>
  <c r="AG148"/>
  <c r="AG147"/>
  <c r="AG145"/>
  <c r="AG144"/>
  <c r="AG141"/>
  <c r="AG138"/>
  <c r="AG137"/>
  <c r="AG136"/>
  <c r="AG134"/>
  <c r="AG131"/>
  <c r="AG129"/>
  <c r="AG126"/>
  <c r="AG124"/>
  <c r="AG123"/>
  <c r="AG119"/>
  <c r="AG112"/>
  <c r="AG111"/>
  <c r="AG110"/>
  <c r="AG109"/>
  <c r="AG108"/>
  <c r="AG107"/>
  <c r="AG106"/>
  <c r="AG105"/>
  <c r="AG104"/>
  <c r="AG103"/>
  <c r="AG93"/>
  <c r="AG92"/>
  <c r="AG91"/>
  <c r="AG90"/>
  <c r="AG89"/>
  <c r="AG88"/>
  <c r="AG87"/>
  <c r="AG86"/>
  <c r="AG85"/>
  <c r="AG84"/>
  <c r="AG83"/>
  <c r="AG82"/>
  <c r="AG81"/>
  <c r="AG80"/>
  <c r="AG79"/>
  <c r="AG78"/>
  <c r="AG77"/>
  <c r="AG76"/>
  <c r="AG75"/>
  <c r="AG74"/>
  <c r="AG73"/>
  <c r="AG72"/>
  <c r="AX847"/>
  <c r="AX177"/>
  <c r="AX69"/>
  <c r="AX68"/>
  <c r="AX67"/>
  <c r="AX66"/>
  <c r="AX65"/>
  <c r="AX64"/>
  <c r="AX63"/>
  <c r="AX62"/>
  <c r="AX61"/>
  <c r="AX60"/>
  <c r="AX59"/>
  <c r="AX58"/>
  <c r="AX57"/>
  <c r="AX56"/>
  <c r="AX55"/>
  <c r="AX54"/>
  <c r="AX53"/>
  <c r="AX52"/>
  <c r="AX51"/>
  <c r="AX50"/>
  <c r="AX49"/>
  <c r="AX48"/>
  <c r="AX47"/>
  <c r="AX46"/>
  <c r="AX45"/>
  <c r="AX44"/>
  <c r="AX43"/>
  <c r="AX42"/>
  <c r="AX41"/>
  <c r="AX40"/>
  <c r="AX39"/>
  <c r="AX38"/>
  <c r="AX37"/>
  <c r="AX36"/>
  <c r="AX35"/>
  <c r="AX34"/>
  <c r="AX33"/>
  <c r="AX32"/>
  <c r="AX31"/>
  <c r="AX30"/>
  <c r="AX29"/>
  <c r="AX28"/>
  <c r="AX27"/>
  <c r="AX26"/>
  <c r="AX25"/>
  <c r="AX24"/>
  <c r="AX23"/>
  <c r="AX22"/>
  <c r="AX21"/>
  <c r="AX20"/>
  <c r="AX19"/>
  <c r="AX18"/>
  <c r="AX17"/>
  <c r="AX16"/>
  <c r="T761" i="20"/>
  <c r="S761"/>
  <c r="V761"/>
  <c r="T761" i="25"/>
  <c r="S761"/>
  <c r="V761"/>
  <c r="T761" i="26"/>
  <c r="S761"/>
  <c r="V761"/>
  <c r="V886" i="20"/>
  <c r="V885"/>
  <c r="V884"/>
  <c r="V875"/>
  <c r="V874"/>
  <c r="V873"/>
  <c r="V872"/>
  <c r="V871"/>
  <c r="V870"/>
  <c r="V869"/>
  <c r="V868"/>
  <c r="V867"/>
  <c r="V866"/>
  <c r="V865"/>
  <c r="V864"/>
  <c r="V863"/>
  <c r="V862"/>
  <c r="V861"/>
  <c r="V860"/>
  <c r="V859"/>
  <c r="V858"/>
  <c r="V848"/>
  <c r="V847"/>
  <c r="V846"/>
  <c r="V845"/>
  <c r="V844"/>
  <c r="V843"/>
  <c r="V842"/>
  <c r="V841"/>
  <c r="V840"/>
  <c r="V839"/>
  <c r="V838"/>
  <c r="V837"/>
  <c r="V836"/>
  <c r="V835"/>
  <c r="V834"/>
  <c r="V833"/>
  <c r="V832"/>
  <c r="V608"/>
  <c r="V604"/>
  <c r="V580"/>
  <c r="V579"/>
  <c r="V578"/>
  <c r="V577"/>
  <c r="V576"/>
  <c r="V575"/>
  <c r="V574"/>
  <c r="V573"/>
  <c r="V572"/>
  <c r="V571"/>
  <c r="V570"/>
  <c r="V569"/>
  <c r="V568"/>
  <c r="V567"/>
  <c r="V566"/>
  <c r="V416"/>
  <c r="V415"/>
  <c r="V382"/>
  <c r="V381"/>
  <c r="V380"/>
  <c r="V379"/>
  <c r="V378"/>
  <c r="V377"/>
  <c r="V376"/>
  <c r="V375"/>
  <c r="V374"/>
  <c r="V373"/>
  <c r="V372"/>
  <c r="V371"/>
  <c r="V370"/>
  <c r="V369"/>
  <c r="V368"/>
  <c r="V367"/>
  <c r="V366"/>
  <c r="V365"/>
  <c r="V364"/>
  <c r="V363"/>
  <c r="V362"/>
  <c r="V361"/>
  <c r="V360"/>
  <c r="V359"/>
  <c r="V358"/>
  <c r="V357"/>
  <c r="V356"/>
  <c r="V355"/>
  <c r="V354"/>
  <c r="V353"/>
  <c r="V352"/>
  <c r="V351"/>
  <c r="V350"/>
  <c r="V349"/>
  <c r="V348"/>
  <c r="V347"/>
  <c r="V346"/>
  <c r="V343"/>
  <c r="V342"/>
  <c r="V341"/>
  <c r="V340"/>
  <c r="V339"/>
  <c r="V338"/>
  <c r="V337"/>
  <c r="V336"/>
  <c r="V335"/>
  <c r="V334"/>
  <c r="V333"/>
  <c r="V332"/>
  <c r="V331"/>
  <c r="V326"/>
  <c r="V325"/>
  <c r="V324"/>
  <c r="V323"/>
  <c r="V321"/>
  <c r="V320"/>
  <c r="V319"/>
  <c r="V318"/>
  <c r="V317"/>
  <c r="V316"/>
  <c r="V315"/>
  <c r="V314"/>
  <c r="V313"/>
  <c r="V312"/>
  <c r="V311"/>
  <c r="V310"/>
  <c r="V309"/>
  <c r="V308"/>
  <c r="V307"/>
  <c r="V306"/>
  <c r="V305"/>
  <c r="V304"/>
  <c r="V303"/>
  <c r="V302"/>
  <c r="V301"/>
  <c r="V300"/>
  <c r="V299"/>
  <c r="V298"/>
  <c r="V297"/>
  <c r="V296"/>
  <c r="V295"/>
  <c r="V294"/>
  <c r="V293"/>
  <c r="V292"/>
  <c r="V291"/>
  <c r="V290"/>
  <c r="V289"/>
  <c r="V288"/>
  <c r="V287"/>
  <c r="V286"/>
  <c r="V284"/>
  <c r="V283"/>
  <c r="V270"/>
  <c r="V269"/>
  <c r="V268"/>
  <c r="V267"/>
  <c r="V266"/>
  <c r="V265"/>
  <c r="V264"/>
  <c r="V263"/>
  <c r="V262"/>
  <c r="V261"/>
  <c r="V260"/>
  <c r="V259"/>
  <c r="V258"/>
  <c r="V257"/>
  <c r="V256"/>
  <c r="V255"/>
  <c r="V254"/>
  <c r="V253"/>
  <c r="V252"/>
  <c r="V251"/>
  <c r="V250"/>
  <c r="V249"/>
  <c r="V248"/>
  <c r="V247"/>
  <c r="V246"/>
  <c r="V245"/>
  <c r="V244"/>
  <c r="V243"/>
  <c r="V242"/>
  <c r="V241"/>
  <c r="V240"/>
  <c r="V239"/>
  <c r="V238"/>
  <c r="V237"/>
  <c r="V236"/>
  <c r="V235"/>
  <c r="V234"/>
  <c r="V233"/>
  <c r="V232"/>
  <c r="V231"/>
  <c r="V230"/>
  <c r="V229"/>
  <c r="V228"/>
  <c r="V227"/>
  <c r="V226"/>
  <c r="V225"/>
  <c r="V224"/>
  <c r="V223"/>
  <c r="V222"/>
  <c r="V221"/>
  <c r="V220"/>
  <c r="V219"/>
  <c r="V198"/>
  <c r="V197"/>
  <c r="V196"/>
  <c r="V195"/>
  <c r="V190"/>
  <c r="V189"/>
  <c r="V188"/>
  <c r="V187"/>
  <c r="V186"/>
  <c r="V185"/>
  <c r="V184"/>
  <c r="V178"/>
  <c r="V175"/>
  <c r="V174"/>
  <c r="V173"/>
  <c r="V172"/>
  <c r="V171"/>
  <c r="V170"/>
  <c r="V169"/>
  <c r="V168"/>
  <c r="V167"/>
  <c r="V166"/>
  <c r="V165"/>
  <c r="V164"/>
  <c r="V163"/>
  <c r="V162"/>
  <c r="V161"/>
  <c r="V159"/>
  <c r="V158"/>
  <c r="V157"/>
  <c r="V156"/>
  <c r="V155"/>
  <c r="V154"/>
  <c r="V153"/>
  <c r="V152"/>
  <c r="V151"/>
  <c r="V150"/>
  <c r="V149"/>
  <c r="V148"/>
  <c r="V147"/>
  <c r="V146"/>
  <c r="V145"/>
  <c r="V144"/>
  <c r="V143"/>
  <c r="V142"/>
  <c r="V141"/>
  <c r="V140"/>
  <c r="V139"/>
  <c r="V138"/>
  <c r="V137"/>
  <c r="V136"/>
  <c r="V135"/>
  <c r="V134"/>
  <c r="V133"/>
  <c r="V132"/>
  <c r="V131"/>
  <c r="V130"/>
  <c r="V129"/>
  <c r="V128"/>
  <c r="V127"/>
  <c r="V126"/>
  <c r="V125"/>
  <c r="V124"/>
  <c r="V123"/>
  <c r="V122"/>
  <c r="V119"/>
  <c r="V118"/>
  <c r="V116"/>
  <c r="V114"/>
  <c r="V112"/>
  <c r="V111"/>
  <c r="V110"/>
  <c r="V109"/>
  <c r="V108"/>
  <c r="V107"/>
  <c r="V106"/>
  <c r="V105"/>
  <c r="V104"/>
  <c r="V103"/>
  <c r="V101"/>
  <c r="V100"/>
  <c r="V99"/>
  <c r="V9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69"/>
  <c r="V68"/>
  <c r="V67"/>
  <c r="V66"/>
  <c r="V65"/>
  <c r="V64"/>
  <c r="V63"/>
  <c r="V62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886" i="25"/>
  <c r="V885"/>
  <c r="V884"/>
  <c r="V875"/>
  <c r="V874"/>
  <c r="V873"/>
  <c r="V872"/>
  <c r="V871"/>
  <c r="V870"/>
  <c r="V869"/>
  <c r="V868"/>
  <c r="V867"/>
  <c r="V866"/>
  <c r="V865"/>
  <c r="V864"/>
  <c r="V863"/>
  <c r="V862"/>
  <c r="V861"/>
  <c r="V860"/>
  <c r="V859"/>
  <c r="V858"/>
  <c r="V848"/>
  <c r="V847"/>
  <c r="V846"/>
  <c r="V845"/>
  <c r="V844"/>
  <c r="V843"/>
  <c r="V842"/>
  <c r="V841"/>
  <c r="V840"/>
  <c r="V839"/>
  <c r="V838"/>
  <c r="V837"/>
  <c r="V836"/>
  <c r="V835"/>
  <c r="V834"/>
  <c r="V833"/>
  <c r="V832"/>
  <c r="V608"/>
  <c r="V604"/>
  <c r="V580"/>
  <c r="V579"/>
  <c r="V578"/>
  <c r="V577"/>
  <c r="V576"/>
  <c r="V575"/>
  <c r="V574"/>
  <c r="V573"/>
  <c r="V572"/>
  <c r="V571"/>
  <c r="V570"/>
  <c r="V569"/>
  <c r="V568"/>
  <c r="V567"/>
  <c r="V566"/>
  <c r="V416"/>
  <c r="V415"/>
  <c r="V382"/>
  <c r="V381"/>
  <c r="V380"/>
  <c r="V379"/>
  <c r="V378"/>
  <c r="V377"/>
  <c r="V376"/>
  <c r="V375"/>
  <c r="V374"/>
  <c r="V373"/>
  <c r="V372"/>
  <c r="V371"/>
  <c r="V370"/>
  <c r="V369"/>
  <c r="V368"/>
  <c r="V367"/>
  <c r="V366"/>
  <c r="V365"/>
  <c r="V364"/>
  <c r="V363"/>
  <c r="V362"/>
  <c r="V361"/>
  <c r="V360"/>
  <c r="V359"/>
  <c r="V358"/>
  <c r="V357"/>
  <c r="V356"/>
  <c r="V355"/>
  <c r="V354"/>
  <c r="V353"/>
  <c r="V352"/>
  <c r="V351"/>
  <c r="V350"/>
  <c r="V349"/>
  <c r="V348"/>
  <c r="V347"/>
  <c r="V346"/>
  <c r="V343"/>
  <c r="V342"/>
  <c r="V341"/>
  <c r="V340"/>
  <c r="V339"/>
  <c r="V338"/>
  <c r="V337"/>
  <c r="V336"/>
  <c r="V335"/>
  <c r="V334"/>
  <c r="V333"/>
  <c r="V332"/>
  <c r="V331"/>
  <c r="V326"/>
  <c r="V325"/>
  <c r="V324"/>
  <c r="V323"/>
  <c r="V321"/>
  <c r="V320"/>
  <c r="V319"/>
  <c r="V318"/>
  <c r="V317"/>
  <c r="V316"/>
  <c r="V315"/>
  <c r="V314"/>
  <c r="V313"/>
  <c r="V312"/>
  <c r="V311"/>
  <c r="V310"/>
  <c r="V309"/>
  <c r="V308"/>
  <c r="V307"/>
  <c r="V306"/>
  <c r="V305"/>
  <c r="V304"/>
  <c r="V303"/>
  <c r="V302"/>
  <c r="V301"/>
  <c r="V300"/>
  <c r="V299"/>
  <c r="V298"/>
  <c r="V297"/>
  <c r="V296"/>
  <c r="V295"/>
  <c r="V294"/>
  <c r="V293"/>
  <c r="V292"/>
  <c r="V291"/>
  <c r="V290"/>
  <c r="V289"/>
  <c r="V288"/>
  <c r="V287"/>
  <c r="V286"/>
  <c r="V284"/>
  <c r="V283"/>
  <c r="V270"/>
  <c r="V269"/>
  <c r="V268"/>
  <c r="V267"/>
  <c r="V266"/>
  <c r="V265"/>
  <c r="V264"/>
  <c r="V263"/>
  <c r="V262"/>
  <c r="V261"/>
  <c r="V260"/>
  <c r="V259"/>
  <c r="V258"/>
  <c r="V257"/>
  <c r="V256"/>
  <c r="V255"/>
  <c r="V254"/>
  <c r="V253"/>
  <c r="V252"/>
  <c r="V251"/>
  <c r="V250"/>
  <c r="V249"/>
  <c r="V248"/>
  <c r="V247"/>
  <c r="V246"/>
  <c r="V245"/>
  <c r="V244"/>
  <c r="V243"/>
  <c r="V242"/>
  <c r="V241"/>
  <c r="V240"/>
  <c r="V239"/>
  <c r="V238"/>
  <c r="V237"/>
  <c r="V236"/>
  <c r="V235"/>
  <c r="V234"/>
  <c r="V233"/>
  <c r="V232"/>
  <c r="V231"/>
  <c r="V230"/>
  <c r="V229"/>
  <c r="V228"/>
  <c r="V227"/>
  <c r="V226"/>
  <c r="V225"/>
  <c r="V224"/>
  <c r="V223"/>
  <c r="V222"/>
  <c r="V221"/>
  <c r="V220"/>
  <c r="V219"/>
  <c r="V198"/>
  <c r="V197"/>
  <c r="V196"/>
  <c r="V195"/>
  <c r="V190"/>
  <c r="V189"/>
  <c r="V188"/>
  <c r="V187"/>
  <c r="V186"/>
  <c r="V185"/>
  <c r="V184"/>
  <c r="V178"/>
  <c r="V175"/>
  <c r="V174"/>
  <c r="V173"/>
  <c r="V172"/>
  <c r="V171"/>
  <c r="V170"/>
  <c r="V169"/>
  <c r="V168"/>
  <c r="V167"/>
  <c r="V166"/>
  <c r="V165"/>
  <c r="V164"/>
  <c r="V163"/>
  <c r="V162"/>
  <c r="V161"/>
  <c r="V159"/>
  <c r="V158"/>
  <c r="V157"/>
  <c r="V156"/>
  <c r="V155"/>
  <c r="V154"/>
  <c r="V153"/>
  <c r="V152"/>
  <c r="V151"/>
  <c r="V150"/>
  <c r="V149"/>
  <c r="V148"/>
  <c r="V147"/>
  <c r="V146"/>
  <c r="V145"/>
  <c r="V144"/>
  <c r="V143"/>
  <c r="V142"/>
  <c r="V141"/>
  <c r="V140"/>
  <c r="V139"/>
  <c r="V138"/>
  <c r="V137"/>
  <c r="V136"/>
  <c r="V135"/>
  <c r="V134"/>
  <c r="V133"/>
  <c r="V132"/>
  <c r="V131"/>
  <c r="V130"/>
  <c r="V129"/>
  <c r="V128"/>
  <c r="V127"/>
  <c r="V126"/>
  <c r="V125"/>
  <c r="V124"/>
  <c r="V123"/>
  <c r="V122"/>
  <c r="V119"/>
  <c r="V118"/>
  <c r="V116"/>
  <c r="V114"/>
  <c r="V112"/>
  <c r="V111"/>
  <c r="V110"/>
  <c r="V109"/>
  <c r="V108"/>
  <c r="V107"/>
  <c r="V106"/>
  <c r="V105"/>
  <c r="V104"/>
  <c r="V103"/>
  <c r="V101"/>
  <c r="V100"/>
  <c r="V99"/>
  <c r="V9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69"/>
  <c r="V68"/>
  <c r="V67"/>
  <c r="V66"/>
  <c r="V65"/>
  <c r="V64"/>
  <c r="V63"/>
  <c r="V62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886" i="26"/>
  <c r="V885"/>
  <c r="V884"/>
  <c r="V875"/>
  <c r="V874"/>
  <c r="V873"/>
  <c r="V872"/>
  <c r="V871"/>
  <c r="V870"/>
  <c r="V869"/>
  <c r="V868"/>
  <c r="V867"/>
  <c r="V866"/>
  <c r="V865"/>
  <c r="V864"/>
  <c r="V863"/>
  <c r="V862"/>
  <c r="V861"/>
  <c r="V860"/>
  <c r="V859"/>
  <c r="V858"/>
  <c r="V848"/>
  <c r="V847"/>
  <c r="V846"/>
  <c r="V845"/>
  <c r="V844"/>
  <c r="V843"/>
  <c r="V842"/>
  <c r="V841"/>
  <c r="V840"/>
  <c r="V839"/>
  <c r="V838"/>
  <c r="V837"/>
  <c r="V836"/>
  <c r="V835"/>
  <c r="V834"/>
  <c r="V833"/>
  <c r="V832"/>
  <c r="V608"/>
  <c r="V604"/>
  <c r="V580"/>
  <c r="V579"/>
  <c r="V578"/>
  <c r="V577"/>
  <c r="V576"/>
  <c r="V575"/>
  <c r="V574"/>
  <c r="V573"/>
  <c r="V572"/>
  <c r="V571"/>
  <c r="V570"/>
  <c r="V569"/>
  <c r="V568"/>
  <c r="V567"/>
  <c r="V566"/>
  <c r="V416"/>
  <c r="V415"/>
  <c r="V382"/>
  <c r="V381"/>
  <c r="V380"/>
  <c r="V379"/>
  <c r="V378"/>
  <c r="V377"/>
  <c r="V376"/>
  <c r="V375"/>
  <c r="V374"/>
  <c r="V373"/>
  <c r="V372"/>
  <c r="V371"/>
  <c r="V370"/>
  <c r="V369"/>
  <c r="V368"/>
  <c r="V367"/>
  <c r="V366"/>
  <c r="V365"/>
  <c r="V364"/>
  <c r="V363"/>
  <c r="V362"/>
  <c r="V361"/>
  <c r="V360"/>
  <c r="V359"/>
  <c r="V358"/>
  <c r="V357"/>
  <c r="V356"/>
  <c r="V355"/>
  <c r="V354"/>
  <c r="V353"/>
  <c r="V352"/>
  <c r="V351"/>
  <c r="V350"/>
  <c r="V349"/>
  <c r="V348"/>
  <c r="V347"/>
  <c r="V346"/>
  <c r="V343"/>
  <c r="V342"/>
  <c r="V341"/>
  <c r="V340"/>
  <c r="V339"/>
  <c r="V338"/>
  <c r="V337"/>
  <c r="V336"/>
  <c r="V335"/>
  <c r="V334"/>
  <c r="V333"/>
  <c r="V332"/>
  <c r="V331"/>
  <c r="V326"/>
  <c r="V325"/>
  <c r="V324"/>
  <c r="V323"/>
  <c r="V321"/>
  <c r="V320"/>
  <c r="V319"/>
  <c r="V318"/>
  <c r="V317"/>
  <c r="V316"/>
  <c r="V315"/>
  <c r="V314"/>
  <c r="V313"/>
  <c r="V312"/>
  <c r="V311"/>
  <c r="V310"/>
  <c r="V309"/>
  <c r="V308"/>
  <c r="V307"/>
  <c r="V306"/>
  <c r="V305"/>
  <c r="V304"/>
  <c r="V303"/>
  <c r="V302"/>
  <c r="V301"/>
  <c r="V300"/>
  <c r="V299"/>
  <c r="V298"/>
  <c r="V297"/>
  <c r="V296"/>
  <c r="V295"/>
  <c r="V294"/>
  <c r="V293"/>
  <c r="V292"/>
  <c r="V291"/>
  <c r="V290"/>
  <c r="V289"/>
  <c r="V288"/>
  <c r="V287"/>
  <c r="V286"/>
  <c r="V284"/>
  <c r="V283"/>
  <c r="V270"/>
  <c r="V269"/>
  <c r="V268"/>
  <c r="V267"/>
  <c r="V266"/>
  <c r="V265"/>
  <c r="V264"/>
  <c r="V263"/>
  <c r="V262"/>
  <c r="V261"/>
  <c r="V260"/>
  <c r="V259"/>
  <c r="V258"/>
  <c r="V257"/>
  <c r="V256"/>
  <c r="V255"/>
  <c r="V254"/>
  <c r="V253"/>
  <c r="V252"/>
  <c r="V251"/>
  <c r="V250"/>
  <c r="V249"/>
  <c r="V248"/>
  <c r="V247"/>
  <c r="V246"/>
  <c r="V245"/>
  <c r="V244"/>
  <c r="V243"/>
  <c r="V242"/>
  <c r="V241"/>
  <c r="V240"/>
  <c r="V239"/>
  <c r="V238"/>
  <c r="V237"/>
  <c r="V236"/>
  <c r="V235"/>
  <c r="V234"/>
  <c r="V233"/>
  <c r="V232"/>
  <c r="V231"/>
  <c r="V230"/>
  <c r="V229"/>
  <c r="V228"/>
  <c r="V227"/>
  <c r="V226"/>
  <c r="V225"/>
  <c r="V224"/>
  <c r="V223"/>
  <c r="V222"/>
  <c r="V221"/>
  <c r="V220"/>
  <c r="V219"/>
  <c r="V198"/>
  <c r="V197"/>
  <c r="V196"/>
  <c r="V195"/>
  <c r="V190"/>
  <c r="V189"/>
  <c r="V188"/>
  <c r="V187"/>
  <c r="V186"/>
  <c r="V185"/>
  <c r="V184"/>
  <c r="V178"/>
  <c r="V175"/>
  <c r="V174"/>
  <c r="V173"/>
  <c r="V172"/>
  <c r="V171"/>
  <c r="V170"/>
  <c r="V169"/>
  <c r="V168"/>
  <c r="V167"/>
  <c r="V166"/>
  <c r="V165"/>
  <c r="V164"/>
  <c r="V163"/>
  <c r="V162"/>
  <c r="V161"/>
  <c r="V159"/>
  <c r="V158"/>
  <c r="V157"/>
  <c r="V156"/>
  <c r="V155"/>
  <c r="V154"/>
  <c r="V153"/>
  <c r="V152"/>
  <c r="V151"/>
  <c r="V150"/>
  <c r="V149"/>
  <c r="V148"/>
  <c r="V147"/>
  <c r="V146"/>
  <c r="V145"/>
  <c r="V144"/>
  <c r="V143"/>
  <c r="V142"/>
  <c r="V141"/>
  <c r="V140"/>
  <c r="V139"/>
  <c r="V138"/>
  <c r="V137"/>
  <c r="V136"/>
  <c r="V135"/>
  <c r="V134"/>
  <c r="V133"/>
  <c r="V132"/>
  <c r="V131"/>
  <c r="V130"/>
  <c r="V129"/>
  <c r="V128"/>
  <c r="V127"/>
  <c r="V126"/>
  <c r="V125"/>
  <c r="V124"/>
  <c r="V123"/>
  <c r="V122"/>
  <c r="V119"/>
  <c r="V118"/>
  <c r="V116"/>
  <c r="V114"/>
  <c r="V112"/>
  <c r="V111"/>
  <c r="V110"/>
  <c r="V109"/>
  <c r="V108"/>
  <c r="V107"/>
  <c r="V106"/>
  <c r="V105"/>
  <c r="V104"/>
  <c r="V103"/>
  <c r="V101"/>
  <c r="V100"/>
  <c r="V99"/>
  <c r="V9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69"/>
  <c r="V68"/>
  <c r="V67"/>
  <c r="V66"/>
  <c r="V65"/>
  <c r="V64"/>
  <c r="V63"/>
  <c r="V62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AV570" i="1"/>
  <c r="AV887"/>
  <c r="AV884"/>
  <c r="AV867"/>
  <c r="AV866"/>
  <c r="AV865"/>
  <c r="AV864"/>
  <c r="AV863"/>
  <c r="AV862"/>
  <c r="AV861"/>
  <c r="AV860"/>
  <c r="AV859"/>
  <c r="AV858"/>
  <c r="AV846"/>
  <c r="AV841"/>
  <c r="AV840"/>
  <c r="AV839"/>
  <c r="AV838"/>
  <c r="AV837"/>
  <c r="AV834"/>
  <c r="AV833"/>
  <c r="AV832"/>
  <c r="AV608"/>
  <c r="AV604"/>
  <c r="AV579"/>
  <c r="AV575"/>
  <c r="AV574"/>
  <c r="AV573"/>
  <c r="AV415"/>
  <c r="AV379"/>
  <c r="AV378"/>
  <c r="AV377"/>
  <c r="AV376"/>
  <c r="AV375"/>
  <c r="AV374"/>
  <c r="AV373"/>
  <c r="AV372"/>
  <c r="AV371"/>
  <c r="AV370"/>
  <c r="AV369"/>
  <c r="AV368"/>
  <c r="AV363"/>
  <c r="AV362"/>
  <c r="AV361"/>
  <c r="AV360"/>
  <c r="AV359"/>
  <c r="AV358"/>
  <c r="AV357"/>
  <c r="AV356"/>
  <c r="AV355"/>
  <c r="AV354"/>
  <c r="AV353"/>
  <c r="AV352"/>
  <c r="AV351"/>
  <c r="AV350"/>
  <c r="AV349"/>
  <c r="AV348"/>
  <c r="AV347"/>
  <c r="AV346"/>
  <c r="AV343"/>
  <c r="AV342"/>
  <c r="AV341"/>
  <c r="AV340"/>
  <c r="AV339"/>
  <c r="AV338"/>
  <c r="AV336"/>
  <c r="AV335"/>
  <c r="AV334"/>
  <c r="AV333"/>
  <c r="AV332"/>
  <c r="AV331"/>
  <c r="AV326"/>
  <c r="AV325"/>
  <c r="AV324"/>
  <c r="AV323"/>
  <c r="AV321"/>
  <c r="AV320"/>
  <c r="AV319"/>
  <c r="AV318"/>
  <c r="AV317"/>
  <c r="AV316"/>
  <c r="AV315"/>
  <c r="AV314"/>
  <c r="AV313"/>
  <c r="AV312"/>
  <c r="AV311"/>
  <c r="AV310"/>
  <c r="AV309"/>
  <c r="AV308"/>
  <c r="AV307"/>
  <c r="AV306"/>
  <c r="AV305"/>
  <c r="AV304"/>
  <c r="AV303"/>
  <c r="AV302"/>
  <c r="AV301"/>
  <c r="AV300"/>
  <c r="AV299"/>
  <c r="AV298"/>
  <c r="AV297"/>
  <c r="AV296"/>
  <c r="AV295"/>
  <c r="AV294"/>
  <c r="AV292"/>
  <c r="AV291"/>
  <c r="AV283"/>
  <c r="AV256"/>
  <c r="AV255"/>
  <c r="AV254"/>
  <c r="AV253"/>
  <c r="AV250"/>
  <c r="AV249"/>
  <c r="AV248"/>
  <c r="AV247"/>
  <c r="AV246"/>
  <c r="AV245"/>
  <c r="AV240"/>
  <c r="AV239"/>
  <c r="AV236"/>
  <c r="AV231"/>
  <c r="AV230"/>
  <c r="AV229"/>
  <c r="AV223"/>
  <c r="AV221"/>
  <c r="AV196"/>
  <c r="AV189"/>
  <c r="AV188"/>
  <c r="AV185"/>
  <c r="AV172"/>
  <c r="AV171"/>
  <c r="AV170"/>
  <c r="AV169"/>
  <c r="AV168"/>
  <c r="AV167"/>
  <c r="AV166"/>
  <c r="AV165"/>
  <c r="AV164"/>
  <c r="AV163"/>
  <c r="AV162"/>
  <c r="AV161"/>
  <c r="AV159"/>
  <c r="AV158"/>
  <c r="AV157"/>
  <c r="AV156"/>
  <c r="AV155"/>
  <c r="AV154"/>
  <c r="AV153"/>
  <c r="AV152"/>
  <c r="AV149"/>
  <c r="AV148"/>
  <c r="AV147"/>
  <c r="AV145"/>
  <c r="AV144"/>
  <c r="AV141"/>
  <c r="AV138"/>
  <c r="AV137"/>
  <c r="AV136"/>
  <c r="AV134"/>
  <c r="AV131"/>
  <c r="AV129"/>
  <c r="AV126"/>
  <c r="AV124"/>
  <c r="AV123"/>
  <c r="AV119"/>
  <c r="AV112"/>
  <c r="AV111"/>
  <c r="AV110"/>
  <c r="AV109"/>
  <c r="AV108"/>
  <c r="AV107"/>
  <c r="AV106"/>
  <c r="AV105"/>
  <c r="AV104"/>
  <c r="AV103"/>
  <c r="AV89"/>
  <c r="AV88"/>
  <c r="AV87"/>
  <c r="AV86"/>
  <c r="AV85"/>
  <c r="AV84"/>
  <c r="AV83"/>
  <c r="AV82"/>
  <c r="AV81"/>
  <c r="AV80"/>
  <c r="AV79"/>
  <c r="AV78"/>
  <c r="AV77"/>
  <c r="AV76"/>
  <c r="AV75"/>
  <c r="AV74"/>
  <c r="AV73"/>
  <c r="AV72"/>
  <c r="AV71"/>
  <c r="AV23"/>
  <c r="AV21"/>
  <c r="AV18"/>
  <c r="T116" i="27"/>
  <c r="T116" i="26"/>
  <c r="T116" i="25"/>
  <c r="AV886" i="1"/>
  <c r="AV885"/>
  <c r="AV875"/>
  <c r="AV874"/>
  <c r="AV873"/>
  <c r="AV872"/>
  <c r="AV871"/>
  <c r="AV870"/>
  <c r="AV869"/>
  <c r="AV868"/>
  <c r="AV848"/>
  <c r="AV847"/>
  <c r="AV845"/>
  <c r="AV844"/>
  <c r="AV843"/>
  <c r="AV842"/>
  <c r="AV836"/>
  <c r="AV835"/>
  <c r="AV580"/>
  <c r="AV578"/>
  <c r="AV577"/>
  <c r="AV576"/>
  <c r="AV572"/>
  <c r="AV571"/>
  <c r="AV569"/>
  <c r="AV568"/>
  <c r="AV567"/>
  <c r="AV566"/>
  <c r="AV416"/>
  <c r="AV382"/>
  <c r="AV381"/>
  <c r="AV380"/>
  <c r="AV367"/>
  <c r="AV366"/>
  <c r="AV365"/>
  <c r="AV364"/>
  <c r="AV337"/>
  <c r="AV284"/>
  <c r="AV270"/>
  <c r="AV269"/>
  <c r="AV268"/>
  <c r="AV267"/>
  <c r="AV266"/>
  <c r="AV265"/>
  <c r="AV264"/>
  <c r="AV263"/>
  <c r="AV262"/>
  <c r="AV261"/>
  <c r="AV260"/>
  <c r="AV259"/>
  <c r="AV258"/>
  <c r="AV257"/>
  <c r="AV252"/>
  <c r="AV251"/>
  <c r="AV244"/>
  <c r="AV243"/>
  <c r="AV242"/>
  <c r="AV241"/>
  <c r="AV238"/>
  <c r="AV237"/>
  <c r="AV235"/>
  <c r="AV234"/>
  <c r="AV233"/>
  <c r="AV232"/>
  <c r="AV228"/>
  <c r="AV227"/>
  <c r="AV226"/>
  <c r="AV225"/>
  <c r="AV224"/>
  <c r="AV222"/>
  <c r="AV220"/>
  <c r="AV197"/>
  <c r="AV195"/>
  <c r="AV190"/>
  <c r="AV187"/>
  <c r="AV186"/>
  <c r="AV184"/>
  <c r="AV175"/>
  <c r="AV174"/>
  <c r="AV173"/>
  <c r="AV151"/>
  <c r="AV150"/>
  <c r="AV146"/>
  <c r="AV143"/>
  <c r="AV142"/>
  <c r="AV140"/>
  <c r="AV139"/>
  <c r="AV135"/>
  <c r="AV133"/>
  <c r="AV132"/>
  <c r="AV130"/>
  <c r="AV128"/>
  <c r="AV127"/>
  <c r="AV125"/>
  <c r="AV122"/>
  <c r="AV118"/>
  <c r="AV116"/>
  <c r="AV114"/>
  <c r="AV101"/>
  <c r="AV100"/>
  <c r="AV98"/>
  <c r="AV97"/>
  <c r="AV96"/>
  <c r="AV95"/>
  <c r="AV94"/>
  <c r="AV69"/>
  <c r="AV68"/>
  <c r="AV67"/>
  <c r="AV66"/>
  <c r="AV65"/>
  <c r="AV64"/>
  <c r="AV63"/>
  <c r="AV62"/>
  <c r="AV59"/>
  <c r="AV58"/>
  <c r="AV57"/>
  <c r="AV56"/>
  <c r="AV55"/>
  <c r="AV54"/>
  <c r="AH409"/>
  <c r="AG409"/>
  <c r="AH408"/>
  <c r="AG408"/>
  <c r="Y409"/>
  <c r="X409"/>
  <c r="W409"/>
  <c r="V409"/>
  <c r="T409"/>
  <c r="S409"/>
  <c r="N409"/>
  <c r="Y407"/>
  <c r="X407"/>
  <c r="W407"/>
  <c r="V407"/>
  <c r="T407"/>
  <c r="S407"/>
  <c r="N407"/>
  <c r="Y406"/>
  <c r="X406"/>
  <c r="W406"/>
  <c r="V406"/>
  <c r="T406"/>
  <c r="S406"/>
  <c r="N406"/>
  <c r="Y405"/>
  <c r="X405"/>
  <c r="W405"/>
  <c r="V405"/>
  <c r="T405"/>
  <c r="S405"/>
  <c r="N405"/>
  <c r="Y404"/>
  <c r="X404"/>
  <c r="W404"/>
  <c r="V404"/>
  <c r="T404"/>
  <c r="S404"/>
  <c r="N404"/>
  <c r="Y403"/>
  <c r="X403"/>
  <c r="W403"/>
  <c r="V403"/>
  <c r="T403"/>
  <c r="S403"/>
  <c r="N403"/>
  <c r="Y402"/>
  <c r="X402"/>
  <c r="W402"/>
  <c r="V402"/>
  <c r="T402"/>
  <c r="S402"/>
  <c r="N402"/>
  <c r="AH100"/>
  <c r="AH99"/>
  <c r="Z101"/>
  <c r="Y101"/>
  <c r="X101"/>
  <c r="W101"/>
  <c r="V101"/>
  <c r="T101"/>
  <c r="Z100"/>
  <c r="Y100"/>
  <c r="X100"/>
  <c r="W100"/>
  <c r="V100"/>
  <c r="T100"/>
  <c r="Z98"/>
  <c r="Y98"/>
  <c r="X98"/>
  <c r="W98"/>
  <c r="V98"/>
  <c r="T98"/>
  <c r="Z97"/>
  <c r="Y97"/>
  <c r="X97"/>
  <c r="W97"/>
  <c r="V97"/>
  <c r="T97"/>
  <c r="Z96"/>
  <c r="Y96"/>
  <c r="X96"/>
  <c r="W96"/>
  <c r="V96"/>
  <c r="T96"/>
  <c r="Z95"/>
  <c r="Y95"/>
  <c r="X95"/>
  <c r="W95"/>
  <c r="V95"/>
  <c r="T95"/>
  <c r="Z94"/>
  <c r="Y94"/>
  <c r="X94"/>
  <c r="W94"/>
  <c r="V94"/>
  <c r="T94"/>
  <c r="W887"/>
  <c r="V887"/>
  <c r="W886"/>
  <c r="V886"/>
  <c r="W885"/>
  <c r="V885"/>
  <c r="W884"/>
  <c r="V884"/>
  <c r="W883"/>
  <c r="V883"/>
  <c r="W882"/>
  <c r="V882"/>
  <c r="W881"/>
  <c r="V881"/>
  <c r="W880"/>
  <c r="V880"/>
  <c r="W879"/>
  <c r="V879"/>
  <c r="W878"/>
  <c r="V878"/>
  <c r="W877"/>
  <c r="V877"/>
  <c r="W876"/>
  <c r="V876"/>
  <c r="W875"/>
  <c r="V875"/>
  <c r="W874"/>
  <c r="V874"/>
  <c r="W873"/>
  <c r="V873"/>
  <c r="W872"/>
  <c r="V872"/>
  <c r="W871"/>
  <c r="V871"/>
  <c r="W870"/>
  <c r="V870"/>
  <c r="W869"/>
  <c r="V869"/>
  <c r="W868"/>
  <c r="V868"/>
  <c r="W867"/>
  <c r="V867"/>
  <c r="W866"/>
  <c r="V866"/>
  <c r="W865"/>
  <c r="V865"/>
  <c r="W864"/>
  <c r="V864"/>
  <c r="W863"/>
  <c r="V863"/>
  <c r="W862"/>
  <c r="V862"/>
  <c r="W861"/>
  <c r="V861"/>
  <c r="W860"/>
  <c r="V860"/>
  <c r="W859"/>
  <c r="V859"/>
  <c r="W858"/>
  <c r="V858"/>
  <c r="W857"/>
  <c r="V857"/>
  <c r="W856"/>
  <c r="V856"/>
  <c r="W855"/>
  <c r="V855"/>
  <c r="W854"/>
  <c r="V854"/>
  <c r="W853"/>
  <c r="V853"/>
  <c r="W852"/>
  <c r="V852"/>
  <c r="W851"/>
  <c r="V851"/>
  <c r="W850"/>
  <c r="V850"/>
  <c r="W849"/>
  <c r="V849"/>
  <c r="W848"/>
  <c r="V848"/>
  <c r="W847"/>
  <c r="V847"/>
  <c r="W846"/>
  <c r="V846"/>
  <c r="W845"/>
  <c r="V845"/>
  <c r="W844"/>
  <c r="V844"/>
  <c r="W843"/>
  <c r="V843"/>
  <c r="W842"/>
  <c r="V842"/>
  <c r="W841"/>
  <c r="V841"/>
  <c r="W840"/>
  <c r="V840"/>
  <c r="W839"/>
  <c r="V839"/>
  <c r="W838"/>
  <c r="V838"/>
  <c r="W837"/>
  <c r="V837"/>
  <c r="W836"/>
  <c r="V836"/>
  <c r="W835"/>
  <c r="V835"/>
  <c r="W834"/>
  <c r="V834"/>
  <c r="W833"/>
  <c r="V833"/>
  <c r="W832"/>
  <c r="V832"/>
  <c r="W828"/>
  <c r="V828"/>
  <c r="W827"/>
  <c r="V827"/>
  <c r="W826"/>
  <c r="V826"/>
  <c r="W825"/>
  <c r="V825"/>
  <c r="W824"/>
  <c r="V824"/>
  <c r="W823"/>
  <c r="V823"/>
  <c r="W822"/>
  <c r="V822"/>
  <c r="W821"/>
  <c r="V821"/>
  <c r="W820"/>
  <c r="V820"/>
  <c r="W819"/>
  <c r="V819"/>
  <c r="W818"/>
  <c r="V818"/>
  <c r="W817"/>
  <c r="V817"/>
  <c r="W816"/>
  <c r="V816"/>
  <c r="W815"/>
  <c r="V815"/>
  <c r="W814"/>
  <c r="V814"/>
  <c r="W813"/>
  <c r="V813"/>
  <c r="W812"/>
  <c r="V812"/>
  <c r="W811"/>
  <c r="V811"/>
  <c r="W810"/>
  <c r="V810"/>
  <c r="W809"/>
  <c r="V809"/>
  <c r="W808"/>
  <c r="V808"/>
  <c r="W807"/>
  <c r="V807"/>
  <c r="W806"/>
  <c r="V806"/>
  <c r="W805"/>
  <c r="V805"/>
  <c r="W804"/>
  <c r="V804"/>
  <c r="W803"/>
  <c r="V803"/>
  <c r="W802"/>
  <c r="V802"/>
  <c r="W801"/>
  <c r="V801"/>
  <c r="W800"/>
  <c r="V800"/>
  <c r="W799"/>
  <c r="V799"/>
  <c r="W798"/>
  <c r="V798"/>
  <c r="W797"/>
  <c r="V797"/>
  <c r="W796"/>
  <c r="V796"/>
  <c r="W795"/>
  <c r="V795"/>
  <c r="W794"/>
  <c r="V794"/>
  <c r="W793"/>
  <c r="V793"/>
  <c r="W792"/>
  <c r="V792"/>
  <c r="W791"/>
  <c r="V791"/>
  <c r="W790"/>
  <c r="V790"/>
  <c r="W789"/>
  <c r="V789"/>
  <c r="W788"/>
  <c r="V788"/>
  <c r="W787"/>
  <c r="V787"/>
  <c r="W786"/>
  <c r="V786"/>
  <c r="W785"/>
  <c r="V785"/>
  <c r="W784"/>
  <c r="V784"/>
  <c r="W783"/>
  <c r="V783"/>
  <c r="W782"/>
  <c r="V782"/>
  <c r="W781"/>
  <c r="V781"/>
  <c r="W780"/>
  <c r="V780"/>
  <c r="W779"/>
  <c r="V779"/>
  <c r="W778"/>
  <c r="V778"/>
  <c r="W777"/>
  <c r="V777"/>
  <c r="W776"/>
  <c r="V776"/>
  <c r="W775"/>
  <c r="V775"/>
  <c r="W774"/>
  <c r="V774"/>
  <c r="W773"/>
  <c r="V773"/>
  <c r="W772"/>
  <c r="V772"/>
  <c r="W771"/>
  <c r="V771"/>
  <c r="W770"/>
  <c r="V770"/>
  <c r="W769"/>
  <c r="V769"/>
  <c r="W768"/>
  <c r="V768"/>
  <c r="W767"/>
  <c r="V767"/>
  <c r="W766"/>
  <c r="V766"/>
  <c r="W765"/>
  <c r="V765"/>
  <c r="W764"/>
  <c r="V764"/>
  <c r="W763"/>
  <c r="V763"/>
  <c r="W762"/>
  <c r="V762"/>
  <c r="W761"/>
  <c r="V761"/>
  <c r="W760"/>
  <c r="V760"/>
  <c r="W759"/>
  <c r="V759"/>
  <c r="W758"/>
  <c r="V758"/>
  <c r="W757"/>
  <c r="V757"/>
  <c r="W756"/>
  <c r="V756"/>
  <c r="W755"/>
  <c r="V755"/>
  <c r="W754"/>
  <c r="V754"/>
  <c r="W753"/>
  <c r="V753"/>
  <c r="W752"/>
  <c r="V752"/>
  <c r="W751"/>
  <c r="V751"/>
  <c r="W750"/>
  <c r="V750"/>
  <c r="W749"/>
  <c r="V749"/>
  <c r="W748"/>
  <c r="V748"/>
  <c r="W747"/>
  <c r="V747"/>
  <c r="W746"/>
  <c r="V746"/>
  <c r="W745"/>
  <c r="V745"/>
  <c r="W744"/>
  <c r="V744"/>
  <c r="W743"/>
  <c r="V743"/>
  <c r="W742"/>
  <c r="V742"/>
  <c r="W741"/>
  <c r="V741"/>
  <c r="W740"/>
  <c r="V740"/>
  <c r="W739"/>
  <c r="V739"/>
  <c r="W738"/>
  <c r="V738"/>
  <c r="W737"/>
  <c r="V737"/>
  <c r="W736"/>
  <c r="V736"/>
  <c r="W735"/>
  <c r="V735"/>
  <c r="W734"/>
  <c r="V734"/>
  <c r="W733"/>
  <c r="V733"/>
  <c r="W732"/>
  <c r="V732"/>
  <c r="W731"/>
  <c r="V731"/>
  <c r="W730"/>
  <c r="V730"/>
  <c r="W729"/>
  <c r="V729"/>
  <c r="W728"/>
  <c r="V728"/>
  <c r="W727"/>
  <c r="V727"/>
  <c r="W726"/>
  <c r="V726"/>
  <c r="W725"/>
  <c r="V725"/>
  <c r="W724"/>
  <c r="V724"/>
  <c r="W723"/>
  <c r="V723"/>
  <c r="W722"/>
  <c r="V722"/>
  <c r="W721"/>
  <c r="V721"/>
  <c r="W720"/>
  <c r="V720"/>
  <c r="W719"/>
  <c r="V719"/>
  <c r="W718"/>
  <c r="V718"/>
  <c r="W717"/>
  <c r="V717"/>
  <c r="W716"/>
  <c r="V716"/>
  <c r="W715"/>
  <c r="V715"/>
  <c r="W714"/>
  <c r="V714"/>
  <c r="W713"/>
  <c r="V713"/>
  <c r="W712"/>
  <c r="V712"/>
  <c r="W711"/>
  <c r="V711"/>
  <c r="W710"/>
  <c r="V710"/>
  <c r="W709"/>
  <c r="V709"/>
  <c r="W708"/>
  <c r="V708"/>
  <c r="W707"/>
  <c r="V707"/>
  <c r="W706"/>
  <c r="V706"/>
  <c r="W705"/>
  <c r="V705"/>
  <c r="W704"/>
  <c r="V704"/>
  <c r="W703"/>
  <c r="V703"/>
  <c r="W702"/>
  <c r="V702"/>
  <c r="W701"/>
  <c r="V701"/>
  <c r="W700"/>
  <c r="V700"/>
  <c r="W699"/>
  <c r="V699"/>
  <c r="W698"/>
  <c r="V698"/>
  <c r="W697"/>
  <c r="V697"/>
  <c r="W696"/>
  <c r="V696"/>
  <c r="W695"/>
  <c r="V695"/>
  <c r="W694"/>
  <c r="V694"/>
  <c r="W693"/>
  <c r="V693"/>
  <c r="W692"/>
  <c r="V692"/>
  <c r="W691"/>
  <c r="V691"/>
  <c r="W690"/>
  <c r="V690"/>
  <c r="W689"/>
  <c r="V689"/>
  <c r="W688"/>
  <c r="V688"/>
  <c r="W687"/>
  <c r="V687"/>
  <c r="W686"/>
  <c r="V686"/>
  <c r="W685"/>
  <c r="V685"/>
  <c r="W684"/>
  <c r="V684"/>
  <c r="W683"/>
  <c r="V683"/>
  <c r="W682"/>
  <c r="V682"/>
  <c r="W681"/>
  <c r="V681"/>
  <c r="W680"/>
  <c r="V680"/>
  <c r="W679"/>
  <c r="V679"/>
  <c r="W678"/>
  <c r="V678"/>
  <c r="W677"/>
  <c r="V677"/>
  <c r="W676"/>
  <c r="V676"/>
  <c r="W675"/>
  <c r="V675"/>
  <c r="W674"/>
  <c r="V674"/>
  <c r="W673"/>
  <c r="V673"/>
  <c r="W672"/>
  <c r="V672"/>
  <c r="W671"/>
  <c r="V671"/>
  <c r="W670"/>
  <c r="V670"/>
  <c r="W669"/>
  <c r="V669"/>
  <c r="W668"/>
  <c r="V668"/>
  <c r="W666"/>
  <c r="V666"/>
  <c r="W665"/>
  <c r="V665"/>
  <c r="W664"/>
  <c r="V664"/>
  <c r="W663"/>
  <c r="V663"/>
  <c r="W662"/>
  <c r="V662"/>
  <c r="W661"/>
  <c r="V661"/>
  <c r="W660"/>
  <c r="V660"/>
  <c r="W659"/>
  <c r="V659"/>
  <c r="W658"/>
  <c r="V658"/>
  <c r="W657"/>
  <c r="V657"/>
  <c r="W656"/>
  <c r="V656"/>
  <c r="W655"/>
  <c r="V655"/>
  <c r="W654"/>
  <c r="V654"/>
  <c r="W653"/>
  <c r="V653"/>
  <c r="W652"/>
  <c r="V652"/>
  <c r="W651"/>
  <c r="V651"/>
  <c r="W650"/>
  <c r="V650"/>
  <c r="W649"/>
  <c r="V649"/>
  <c r="W648"/>
  <c r="V648"/>
  <c r="W647"/>
  <c r="V647"/>
  <c r="W646"/>
  <c r="V646"/>
  <c r="W645"/>
  <c r="V645"/>
  <c r="W644"/>
  <c r="V644"/>
  <c r="W643"/>
  <c r="V643"/>
  <c r="W642"/>
  <c r="V642"/>
  <c r="W641"/>
  <c r="V641"/>
  <c r="W639"/>
  <c r="V639"/>
  <c r="W638"/>
  <c r="V638"/>
  <c r="W637"/>
  <c r="V637"/>
  <c r="W636"/>
  <c r="V636"/>
  <c r="W635"/>
  <c r="V635"/>
  <c r="W634"/>
  <c r="V634"/>
  <c r="W633"/>
  <c r="V633"/>
  <c r="W632"/>
  <c r="V632"/>
  <c r="W631"/>
  <c r="V631"/>
  <c r="W630"/>
  <c r="V630"/>
  <c r="W629"/>
  <c r="V629"/>
  <c r="W628"/>
  <c r="V628"/>
  <c r="W627"/>
  <c r="V627"/>
  <c r="W626"/>
  <c r="V626"/>
  <c r="W625"/>
  <c r="V625"/>
  <c r="W624"/>
  <c r="V624"/>
  <c r="W623"/>
  <c r="V623"/>
  <c r="W622"/>
  <c r="V622"/>
  <c r="W621"/>
  <c r="V621"/>
  <c r="W620"/>
  <c r="V620"/>
  <c r="W619"/>
  <c r="V619"/>
  <c r="W618"/>
  <c r="V618"/>
  <c r="W617"/>
  <c r="V617"/>
  <c r="W616"/>
  <c r="V616"/>
  <c r="W615"/>
  <c r="V615"/>
  <c r="W614"/>
  <c r="V614"/>
  <c r="W613"/>
  <c r="V613"/>
  <c r="W612"/>
  <c r="V612"/>
  <c r="W611"/>
  <c r="V611"/>
  <c r="W610"/>
  <c r="V610"/>
  <c r="W609"/>
  <c r="V609"/>
  <c r="W608"/>
  <c r="V608"/>
  <c r="W607"/>
  <c r="V607"/>
  <c r="W606"/>
  <c r="V606"/>
  <c r="W605"/>
  <c r="V605"/>
  <c r="W604"/>
  <c r="V604"/>
  <c r="W603"/>
  <c r="V603"/>
  <c r="W602"/>
  <c r="V602"/>
  <c r="W600"/>
  <c r="V600"/>
  <c r="W599"/>
  <c r="V599"/>
  <c r="W598"/>
  <c r="V598"/>
  <c r="W597"/>
  <c r="V597"/>
  <c r="W596"/>
  <c r="V596"/>
  <c r="W595"/>
  <c r="V595"/>
  <c r="W594"/>
  <c r="V594"/>
  <c r="W593"/>
  <c r="V593"/>
  <c r="W592"/>
  <c r="V592"/>
  <c r="W591"/>
  <c r="V591"/>
  <c r="W590"/>
  <c r="V590"/>
  <c r="W589"/>
  <c r="V589"/>
  <c r="W588"/>
  <c r="V588"/>
  <c r="W587"/>
  <c r="V587"/>
  <c r="W586"/>
  <c r="V586"/>
  <c r="W585"/>
  <c r="V585"/>
  <c r="W584"/>
  <c r="V584"/>
  <c r="W583"/>
  <c r="V583"/>
  <c r="W582"/>
  <c r="V582"/>
  <c r="W581"/>
  <c r="V581"/>
  <c r="W580"/>
  <c r="V580"/>
  <c r="W579"/>
  <c r="V579"/>
  <c r="W578"/>
  <c r="V578"/>
  <c r="W577"/>
  <c r="V577"/>
  <c r="W576"/>
  <c r="V576"/>
  <c r="W575"/>
  <c r="V575"/>
  <c r="W574"/>
  <c r="V574"/>
  <c r="W573"/>
  <c r="V573"/>
  <c r="W572"/>
  <c r="V572"/>
  <c r="W571"/>
  <c r="V571"/>
  <c r="W570"/>
  <c r="V570"/>
  <c r="W569"/>
  <c r="V569"/>
  <c r="W568"/>
  <c r="V568"/>
  <c r="W567"/>
  <c r="V567"/>
  <c r="W566"/>
  <c r="V566"/>
  <c r="W565"/>
  <c r="V565"/>
  <c r="W564"/>
  <c r="V564"/>
  <c r="W563"/>
  <c r="V563"/>
  <c r="W562"/>
  <c r="V562"/>
  <c r="W561"/>
  <c r="V561"/>
  <c r="W560"/>
  <c r="V560"/>
  <c r="W559"/>
  <c r="V559"/>
  <c r="W558"/>
  <c r="V558"/>
  <c r="W557"/>
  <c r="V557"/>
  <c r="W556"/>
  <c r="V556"/>
  <c r="W555"/>
  <c r="V555"/>
  <c r="W554"/>
  <c r="V554"/>
  <c r="W553"/>
  <c r="V553"/>
  <c r="W552"/>
  <c r="V552"/>
  <c r="W551"/>
  <c r="V551"/>
  <c r="W550"/>
  <c r="V550"/>
  <c r="W549"/>
  <c r="V549"/>
  <c r="W548"/>
  <c r="V548"/>
  <c r="W547"/>
  <c r="V547"/>
  <c r="W546"/>
  <c r="V546"/>
  <c r="W545"/>
  <c r="V545"/>
  <c r="W544"/>
  <c r="V544"/>
  <c r="W543"/>
  <c r="V543"/>
  <c r="W542"/>
  <c r="V542"/>
  <c r="W541"/>
  <c r="V541"/>
  <c r="W540"/>
  <c r="V540"/>
  <c r="W539"/>
  <c r="V539"/>
  <c r="W538"/>
  <c r="V538"/>
  <c r="W537"/>
  <c r="V537"/>
  <c r="W536"/>
  <c r="V536"/>
  <c r="W535"/>
  <c r="V535"/>
  <c r="W534"/>
  <c r="V534"/>
  <c r="W533"/>
  <c r="V533"/>
  <c r="W532"/>
  <c r="V532"/>
  <c r="W531"/>
  <c r="V531"/>
  <c r="W530"/>
  <c r="V530"/>
  <c r="W529"/>
  <c r="V529"/>
  <c r="W528"/>
  <c r="V528"/>
  <c r="W527"/>
  <c r="V527"/>
  <c r="W526"/>
  <c r="V526"/>
  <c r="W525"/>
  <c r="V525"/>
  <c r="W524"/>
  <c r="V524"/>
  <c r="W523"/>
  <c r="V523"/>
  <c r="W522"/>
  <c r="V522"/>
  <c r="W521"/>
  <c r="V521"/>
  <c r="W520"/>
  <c r="V520"/>
  <c r="W519"/>
  <c r="V519"/>
  <c r="W518"/>
  <c r="V518"/>
  <c r="W517"/>
  <c r="V517"/>
  <c r="W516"/>
  <c r="V516"/>
  <c r="W515"/>
  <c r="V515"/>
  <c r="W514"/>
  <c r="V514"/>
  <c r="W513"/>
  <c r="V513"/>
  <c r="W512"/>
  <c r="V512"/>
  <c r="W511"/>
  <c r="V511"/>
  <c r="W510"/>
  <c r="V510"/>
  <c r="W509"/>
  <c r="V509"/>
  <c r="W508"/>
  <c r="V508"/>
  <c r="W507"/>
  <c r="V507"/>
  <c r="W506"/>
  <c r="V506"/>
  <c r="W505"/>
  <c r="V505"/>
  <c r="W504"/>
  <c r="V504"/>
  <c r="W503"/>
  <c r="V503"/>
  <c r="W502"/>
  <c r="V502"/>
  <c r="W501"/>
  <c r="V501"/>
  <c r="W500"/>
  <c r="V500"/>
  <c r="W499"/>
  <c r="V499"/>
  <c r="W498"/>
  <c r="V498"/>
  <c r="W497"/>
  <c r="V497"/>
  <c r="W496"/>
  <c r="V496"/>
  <c r="W495"/>
  <c r="V495"/>
  <c r="W494"/>
  <c r="V494"/>
  <c r="W493"/>
  <c r="V493"/>
  <c r="W492"/>
  <c r="V492"/>
  <c r="W491"/>
  <c r="V491"/>
  <c r="W490"/>
  <c r="V490"/>
  <c r="W489"/>
  <c r="V489"/>
  <c r="W488"/>
  <c r="V488"/>
  <c r="W487"/>
  <c r="V487"/>
  <c r="W486"/>
  <c r="V486"/>
  <c r="W485"/>
  <c r="V485"/>
  <c r="W484"/>
  <c r="V484"/>
  <c r="W483"/>
  <c r="V483"/>
  <c r="W482"/>
  <c r="V482"/>
  <c r="W481"/>
  <c r="V481"/>
  <c r="W480"/>
  <c r="V480"/>
  <c r="W479"/>
  <c r="V479"/>
  <c r="W478"/>
  <c r="V478"/>
  <c r="W477"/>
  <c r="V477"/>
  <c r="W476"/>
  <c r="V476"/>
  <c r="W475"/>
  <c r="V475"/>
  <c r="W474"/>
  <c r="V474"/>
  <c r="W473"/>
  <c r="V473"/>
  <c r="W472"/>
  <c r="V472"/>
  <c r="W471"/>
  <c r="V471"/>
  <c r="W470"/>
  <c r="V470"/>
  <c r="W469"/>
  <c r="V469"/>
  <c r="W468"/>
  <c r="V468"/>
  <c r="W467"/>
  <c r="V467"/>
  <c r="W466"/>
  <c r="V466"/>
  <c r="W465"/>
  <c r="V465"/>
  <c r="W464"/>
  <c r="V464"/>
  <c r="W463"/>
  <c r="V463"/>
  <c r="W462"/>
  <c r="V462"/>
  <c r="W461"/>
  <c r="V461"/>
  <c r="W460"/>
  <c r="V460"/>
  <c r="W459"/>
  <c r="V459"/>
  <c r="W458"/>
  <c r="V458"/>
  <c r="W457"/>
  <c r="V457"/>
  <c r="W456"/>
  <c r="V456"/>
  <c r="W455"/>
  <c r="V455"/>
  <c r="W454"/>
  <c r="V454"/>
  <c r="W453"/>
  <c r="V453"/>
  <c r="W452"/>
  <c r="V452"/>
  <c r="W451"/>
  <c r="V451"/>
  <c r="W450"/>
  <c r="V450"/>
  <c r="W449"/>
  <c r="V449"/>
  <c r="W448"/>
  <c r="V448"/>
  <c r="W447"/>
  <c r="V447"/>
  <c r="W446"/>
  <c r="V446"/>
  <c r="W445"/>
  <c r="V445"/>
  <c r="W444"/>
  <c r="V444"/>
  <c r="W443"/>
  <c r="V443"/>
  <c r="W442"/>
  <c r="V442"/>
  <c r="W441"/>
  <c r="V441"/>
  <c r="W440"/>
  <c r="V440"/>
  <c r="W439"/>
  <c r="V439"/>
  <c r="W438"/>
  <c r="V438"/>
  <c r="W437"/>
  <c r="V437"/>
  <c r="W436"/>
  <c r="V436"/>
  <c r="W435"/>
  <c r="V435"/>
  <c r="W434"/>
  <c r="V434"/>
  <c r="W433"/>
  <c r="V433"/>
  <c r="W432"/>
  <c r="V432"/>
  <c r="W431"/>
  <c r="V431"/>
  <c r="W430"/>
  <c r="V430"/>
  <c r="W429"/>
  <c r="V429"/>
  <c r="W428"/>
  <c r="V428"/>
  <c r="W427"/>
  <c r="V427"/>
  <c r="W426"/>
  <c r="V426"/>
  <c r="W425"/>
  <c r="V425"/>
  <c r="W424"/>
  <c r="V424"/>
  <c r="W423"/>
  <c r="V423"/>
  <c r="W422"/>
  <c r="V422"/>
  <c r="W421"/>
  <c r="V421"/>
  <c r="W420"/>
  <c r="V420"/>
  <c r="W419"/>
  <c r="V419"/>
  <c r="W418"/>
  <c r="V418"/>
  <c r="W417"/>
  <c r="V417"/>
  <c r="W416"/>
  <c r="V416"/>
  <c r="W415"/>
  <c r="V415"/>
  <c r="W414"/>
  <c r="V414"/>
  <c r="W413"/>
  <c r="V413"/>
  <c r="W412"/>
  <c r="V412"/>
  <c r="W411"/>
  <c r="V411"/>
  <c r="W410"/>
  <c r="V410"/>
  <c r="W401"/>
  <c r="V401"/>
  <c r="W400"/>
  <c r="V400"/>
  <c r="W399"/>
  <c r="V399"/>
  <c r="W398"/>
  <c r="V398"/>
  <c r="W397"/>
  <c r="V397"/>
  <c r="W396"/>
  <c r="V396"/>
  <c r="W395"/>
  <c r="V395"/>
  <c r="W394"/>
  <c r="V394"/>
  <c r="W393"/>
  <c r="V393"/>
  <c r="W392"/>
  <c r="V392"/>
  <c r="W391"/>
  <c r="V391"/>
  <c r="W390"/>
  <c r="V390"/>
  <c r="W389"/>
  <c r="V389"/>
  <c r="W388"/>
  <c r="V388"/>
  <c r="W387"/>
  <c r="V387"/>
  <c r="W386"/>
  <c r="V386"/>
  <c r="W385"/>
  <c r="V385"/>
  <c r="W384"/>
  <c r="V384"/>
  <c r="X397"/>
  <c r="W382"/>
  <c r="V382"/>
  <c r="W381"/>
  <c r="V381"/>
  <c r="W380"/>
  <c r="V380"/>
  <c r="W379"/>
  <c r="V379"/>
  <c r="W378"/>
  <c r="V378"/>
  <c r="W377"/>
  <c r="V377"/>
  <c r="W376"/>
  <c r="V376"/>
  <c r="W375"/>
  <c r="V375"/>
  <c r="W374"/>
  <c r="V374"/>
  <c r="W373"/>
  <c r="V373"/>
  <c r="W372"/>
  <c r="V372"/>
  <c r="W371"/>
  <c r="V371"/>
  <c r="W370"/>
  <c r="V370"/>
  <c r="W369"/>
  <c r="V369"/>
  <c r="W368"/>
  <c r="V368"/>
  <c r="W367"/>
  <c r="V367"/>
  <c r="W366"/>
  <c r="V366"/>
  <c r="W365"/>
  <c r="V365"/>
  <c r="W364"/>
  <c r="V364"/>
  <c r="W363"/>
  <c r="V363"/>
  <c r="W362"/>
  <c r="V362"/>
  <c r="W361"/>
  <c r="V361"/>
  <c r="W360"/>
  <c r="V360"/>
  <c r="W359"/>
  <c r="V359"/>
  <c r="W358"/>
  <c r="V358"/>
  <c r="W357"/>
  <c r="V357"/>
  <c r="W356"/>
  <c r="V356"/>
  <c r="W355"/>
  <c r="V355"/>
  <c r="W354"/>
  <c r="V354"/>
  <c r="W353"/>
  <c r="V353"/>
  <c r="W352"/>
  <c r="V352"/>
  <c r="W351"/>
  <c r="V351"/>
  <c r="W350"/>
  <c r="V350"/>
  <c r="W349"/>
  <c r="V349"/>
  <c r="W348"/>
  <c r="V348"/>
  <c r="W347"/>
  <c r="V347"/>
  <c r="W346"/>
  <c r="V346"/>
  <c r="W345"/>
  <c r="V345"/>
  <c r="W344"/>
  <c r="V344"/>
  <c r="W343"/>
  <c r="V343"/>
  <c r="W342"/>
  <c r="V342"/>
  <c r="W341"/>
  <c r="V341"/>
  <c r="W340"/>
  <c r="V340"/>
  <c r="W339"/>
  <c r="V339"/>
  <c r="W338"/>
  <c r="V338"/>
  <c r="W337"/>
  <c r="V337"/>
  <c r="W336"/>
  <c r="V336"/>
  <c r="W335"/>
  <c r="V335"/>
  <c r="W334"/>
  <c r="V334"/>
  <c r="W333"/>
  <c r="V333"/>
  <c r="W332"/>
  <c r="V332"/>
  <c r="W331"/>
  <c r="V331"/>
  <c r="W330"/>
  <c r="V330"/>
  <c r="W329"/>
  <c r="V329"/>
  <c r="W328"/>
  <c r="V328"/>
  <c r="W327"/>
  <c r="V327"/>
  <c r="W326"/>
  <c r="V326"/>
  <c r="W325"/>
  <c r="V325"/>
  <c r="W324"/>
  <c r="V324"/>
  <c r="W323"/>
  <c r="V323"/>
  <c r="W322"/>
  <c r="V322"/>
  <c r="W321"/>
  <c r="V321"/>
  <c r="W320"/>
  <c r="V320"/>
  <c r="W319"/>
  <c r="V319"/>
  <c r="W318"/>
  <c r="V318"/>
  <c r="W317"/>
  <c r="V317"/>
  <c r="W316"/>
  <c r="V316"/>
  <c r="W315"/>
  <c r="V315"/>
  <c r="W314"/>
  <c r="V314"/>
  <c r="W313"/>
  <c r="V313"/>
  <c r="W312"/>
  <c r="V312"/>
  <c r="W311"/>
  <c r="V311"/>
  <c r="W310"/>
  <c r="V310"/>
  <c r="W309"/>
  <c r="V309"/>
  <c r="W308"/>
  <c r="V308"/>
  <c r="W307"/>
  <c r="V307"/>
  <c r="W306"/>
  <c r="V306"/>
  <c r="W305"/>
  <c r="V305"/>
  <c r="W304"/>
  <c r="V304"/>
  <c r="W303"/>
  <c r="V303"/>
  <c r="W302"/>
  <c r="V302"/>
  <c r="W301"/>
  <c r="V301"/>
  <c r="W300"/>
  <c r="V300"/>
  <c r="W299"/>
  <c r="V299"/>
  <c r="W298"/>
  <c r="V298"/>
  <c r="W297"/>
  <c r="V297"/>
  <c r="W296"/>
  <c r="V296"/>
  <c r="W295"/>
  <c r="V295"/>
  <c r="W294"/>
  <c r="V294"/>
  <c r="W284"/>
  <c r="V284"/>
  <c r="W283"/>
  <c r="V283"/>
  <c r="W282"/>
  <c r="V282"/>
  <c r="W281"/>
  <c r="V281"/>
  <c r="W280"/>
  <c r="V280"/>
  <c r="W279"/>
  <c r="V279"/>
  <c r="W278"/>
  <c r="V278"/>
  <c r="W277"/>
  <c r="V277"/>
  <c r="W276"/>
  <c r="V276"/>
  <c r="W275"/>
  <c r="V275"/>
  <c r="W274"/>
  <c r="V274"/>
  <c r="W273"/>
  <c r="V273"/>
  <c r="W272"/>
  <c r="V272"/>
  <c r="W271"/>
  <c r="V271"/>
  <c r="W270"/>
  <c r="V270"/>
  <c r="W269"/>
  <c r="V269"/>
  <c r="W268"/>
  <c r="V268"/>
  <c r="W267"/>
  <c r="V267"/>
  <c r="W266"/>
  <c r="V266"/>
  <c r="W265"/>
  <c r="V265"/>
  <c r="W264"/>
  <c r="V264"/>
  <c r="W263"/>
  <c r="V263"/>
  <c r="W262"/>
  <c r="V262"/>
  <c r="W261"/>
  <c r="V261"/>
  <c r="W260"/>
  <c r="V260"/>
  <c r="W259"/>
  <c r="V259"/>
  <c r="W258"/>
  <c r="V258"/>
  <c r="W257"/>
  <c r="V257"/>
  <c r="W256"/>
  <c r="V256"/>
  <c r="W255"/>
  <c r="V255"/>
  <c r="W254"/>
  <c r="V254"/>
  <c r="W253"/>
  <c r="V253"/>
  <c r="W252"/>
  <c r="V252"/>
  <c r="W251"/>
  <c r="V251"/>
  <c r="W250"/>
  <c r="V250"/>
  <c r="W249"/>
  <c r="V249"/>
  <c r="W248"/>
  <c r="V248"/>
  <c r="W247"/>
  <c r="V247"/>
  <c r="W246"/>
  <c r="V246"/>
  <c r="W245"/>
  <c r="V245"/>
  <c r="W244"/>
  <c r="V244"/>
  <c r="W243"/>
  <c r="V243"/>
  <c r="W242"/>
  <c r="V242"/>
  <c r="W241"/>
  <c r="V241"/>
  <c r="W240"/>
  <c r="V240"/>
  <c r="W239"/>
  <c r="V239"/>
  <c r="W238"/>
  <c r="V238"/>
  <c r="W237"/>
  <c r="V237"/>
  <c r="W236"/>
  <c r="V236"/>
  <c r="W235"/>
  <c r="V235"/>
  <c r="W234"/>
  <c r="V234"/>
  <c r="W233"/>
  <c r="V233"/>
  <c r="W232"/>
  <c r="V232"/>
  <c r="W231"/>
  <c r="V231"/>
  <c r="W230"/>
  <c r="V230"/>
  <c r="W229"/>
  <c r="V229"/>
  <c r="W228"/>
  <c r="V228"/>
  <c r="W227"/>
  <c r="V227"/>
  <c r="W226"/>
  <c r="V226"/>
  <c r="W225"/>
  <c r="V225"/>
  <c r="W224"/>
  <c r="V224"/>
  <c r="W223"/>
  <c r="V223"/>
  <c r="W222"/>
  <c r="V222"/>
  <c r="W221"/>
  <c r="V221"/>
  <c r="W220"/>
  <c r="V220"/>
  <c r="W219"/>
  <c r="V219"/>
  <c r="W218"/>
  <c r="V218"/>
  <c r="W217"/>
  <c r="V217"/>
  <c r="W216"/>
  <c r="V216"/>
  <c r="W215"/>
  <c r="V215"/>
  <c r="W214"/>
  <c r="V214"/>
  <c r="W213"/>
  <c r="V213"/>
  <c r="W212"/>
  <c r="V212"/>
  <c r="W211"/>
  <c r="V211"/>
  <c r="W210"/>
  <c r="V210"/>
  <c r="W209"/>
  <c r="V209"/>
  <c r="W208"/>
  <c r="V208"/>
  <c r="W207"/>
  <c r="V207"/>
  <c r="W206"/>
  <c r="V206"/>
  <c r="W205"/>
  <c r="V205"/>
  <c r="W204"/>
  <c r="V204"/>
  <c r="W203"/>
  <c r="V203"/>
  <c r="W202"/>
  <c r="V202"/>
  <c r="W201"/>
  <c r="V201"/>
  <c r="W200"/>
  <c r="V200"/>
  <c r="W199"/>
  <c r="V199"/>
  <c r="W198"/>
  <c r="V198"/>
  <c r="AK198"/>
  <c r="W197"/>
  <c r="V197"/>
  <c r="W196"/>
  <c r="V196"/>
  <c r="W195"/>
  <c r="V195"/>
  <c r="W194"/>
  <c r="V194"/>
  <c r="W193"/>
  <c r="V193"/>
  <c r="W192"/>
  <c r="V192"/>
  <c r="W191"/>
  <c r="V191"/>
  <c r="W190"/>
  <c r="V190"/>
  <c r="W189"/>
  <c r="V189"/>
  <c r="W188"/>
  <c r="V188"/>
  <c r="W187"/>
  <c r="V187"/>
  <c r="W186"/>
  <c r="V186"/>
  <c r="W185"/>
  <c r="V185"/>
  <c r="W184"/>
  <c r="V184"/>
  <c r="W183"/>
  <c r="V183"/>
  <c r="W182"/>
  <c r="V182"/>
  <c r="W181"/>
  <c r="V181"/>
  <c r="W180"/>
  <c r="V180"/>
  <c r="W179"/>
  <c r="V179"/>
  <c r="W178"/>
  <c r="V178"/>
  <c r="W177"/>
  <c r="V177"/>
  <c r="W176"/>
  <c r="V176"/>
  <c r="W175"/>
  <c r="V175"/>
  <c r="W174"/>
  <c r="V174"/>
  <c r="W173"/>
  <c r="V173"/>
  <c r="W172"/>
  <c r="V172"/>
  <c r="W171"/>
  <c r="V171"/>
  <c r="W170"/>
  <c r="V170"/>
  <c r="W169"/>
  <c r="V169"/>
  <c r="W168"/>
  <c r="V168"/>
  <c r="W167"/>
  <c r="V167"/>
  <c r="W166"/>
  <c r="V166"/>
  <c r="W165"/>
  <c r="V165"/>
  <c r="W164"/>
  <c r="V164"/>
  <c r="W163"/>
  <c r="V163"/>
  <c r="W162"/>
  <c r="V162"/>
  <c r="W161"/>
  <c r="V161"/>
  <c r="W160"/>
  <c r="V160"/>
  <c r="W159"/>
  <c r="V159"/>
  <c r="W158"/>
  <c r="V158"/>
  <c r="W157"/>
  <c r="V157"/>
  <c r="W156"/>
  <c r="V156"/>
  <c r="W155"/>
  <c r="V155"/>
  <c r="W154"/>
  <c r="V154"/>
  <c r="W153"/>
  <c r="V153"/>
  <c r="W152"/>
  <c r="V152"/>
  <c r="W151"/>
  <c r="P63" i="35"/>
  <c r="V151" i="1"/>
  <c r="W150"/>
  <c r="P62" i="35" s="1"/>
  <c r="V150" i="1"/>
  <c r="W149"/>
  <c r="V149"/>
  <c r="W148"/>
  <c r="V148"/>
  <c r="W147"/>
  <c r="V147"/>
  <c r="W146"/>
  <c r="V146"/>
  <c r="W145"/>
  <c r="V145"/>
  <c r="W144"/>
  <c r="V144"/>
  <c r="W143"/>
  <c r="V143"/>
  <c r="W142"/>
  <c r="V142"/>
  <c r="W141"/>
  <c r="V141"/>
  <c r="W140"/>
  <c r="V140"/>
  <c r="W139"/>
  <c r="V139"/>
  <c r="W138"/>
  <c r="V138"/>
  <c r="W137"/>
  <c r="V137"/>
  <c r="W136"/>
  <c r="V136"/>
  <c r="W135"/>
  <c r="V135"/>
  <c r="W134"/>
  <c r="V134"/>
  <c r="W133"/>
  <c r="V133"/>
  <c r="W132"/>
  <c r="V132"/>
  <c r="W131"/>
  <c r="V131"/>
  <c r="W130"/>
  <c r="V130"/>
  <c r="W129"/>
  <c r="V129"/>
  <c r="W128"/>
  <c r="V128"/>
  <c r="W127"/>
  <c r="V127"/>
  <c r="W126"/>
  <c r="V126"/>
  <c r="W125"/>
  <c r="V125"/>
  <c r="W124"/>
  <c r="V124"/>
  <c r="W123"/>
  <c r="V123"/>
  <c r="W122"/>
  <c r="V122"/>
  <c r="W121"/>
  <c r="V121"/>
  <c r="W120"/>
  <c r="V120"/>
  <c r="W119"/>
  <c r="V119"/>
  <c r="W118"/>
  <c r="V118"/>
  <c r="W117"/>
  <c r="V117"/>
  <c r="W116"/>
  <c r="V116"/>
  <c r="W115"/>
  <c r="V115"/>
  <c r="W114"/>
  <c r="V114"/>
  <c r="W112"/>
  <c r="V112"/>
  <c r="W111"/>
  <c r="V111"/>
  <c r="W110"/>
  <c r="V110"/>
  <c r="W109"/>
  <c r="V109"/>
  <c r="W108"/>
  <c r="V108"/>
  <c r="W107"/>
  <c r="V107"/>
  <c r="W106"/>
  <c r="V106"/>
  <c r="W105"/>
  <c r="V105"/>
  <c r="W104"/>
  <c r="V104"/>
  <c r="W103"/>
  <c r="V103"/>
  <c r="W93"/>
  <c r="V93"/>
  <c r="W92"/>
  <c r="V92"/>
  <c r="W91"/>
  <c r="V91"/>
  <c r="W90"/>
  <c r="V90"/>
  <c r="W89"/>
  <c r="V89"/>
  <c r="W88"/>
  <c r="V88"/>
  <c r="W87"/>
  <c r="V87"/>
  <c r="W86"/>
  <c r="V86"/>
  <c r="W85"/>
  <c r="V85"/>
  <c r="W84"/>
  <c r="V84"/>
  <c r="W83"/>
  <c r="V83"/>
  <c r="W82"/>
  <c r="V82"/>
  <c r="W81"/>
  <c r="V81"/>
  <c r="W80"/>
  <c r="V80"/>
  <c r="W79"/>
  <c r="V79"/>
  <c r="W78"/>
  <c r="V78"/>
  <c r="W77"/>
  <c r="V77"/>
  <c r="W76"/>
  <c r="V76"/>
  <c r="W75"/>
  <c r="V75"/>
  <c r="W74"/>
  <c r="V74"/>
  <c r="W73"/>
  <c r="V73"/>
  <c r="W72"/>
  <c r="V72"/>
  <c r="W71"/>
  <c r="V71"/>
  <c r="W69"/>
  <c r="V69"/>
  <c r="W68"/>
  <c r="V68"/>
  <c r="W67"/>
  <c r="V67"/>
  <c r="W66"/>
  <c r="V66"/>
  <c r="W65"/>
  <c r="V65"/>
  <c r="W64"/>
  <c r="V64"/>
  <c r="W63"/>
  <c r="V63"/>
  <c r="W62"/>
  <c r="V62"/>
  <c r="W61"/>
  <c r="V61"/>
  <c r="W60"/>
  <c r="V60"/>
  <c r="W59"/>
  <c r="V59"/>
  <c r="W58"/>
  <c r="V58"/>
  <c r="W57"/>
  <c r="V57"/>
  <c r="W56"/>
  <c r="V56"/>
  <c r="W55"/>
  <c r="V55"/>
  <c r="W54"/>
  <c r="V54"/>
  <c r="W53"/>
  <c r="V53"/>
  <c r="W52"/>
  <c r="V52"/>
  <c r="W51"/>
  <c r="V51"/>
  <c r="W50"/>
  <c r="V50"/>
  <c r="W49"/>
  <c r="V49"/>
  <c r="W48"/>
  <c r="V48"/>
  <c r="W47"/>
  <c r="V47"/>
  <c r="W46"/>
  <c r="V46"/>
  <c r="W45"/>
  <c r="V45"/>
  <c r="W44"/>
  <c r="V44"/>
  <c r="W43"/>
  <c r="V43"/>
  <c r="W42"/>
  <c r="V42"/>
  <c r="W41"/>
  <c r="V41"/>
  <c r="W40"/>
  <c r="V40"/>
  <c r="W39"/>
  <c r="V39"/>
  <c r="W38"/>
  <c r="V38"/>
  <c r="W37"/>
  <c r="V37"/>
  <c r="W36"/>
  <c r="V36"/>
  <c r="W35"/>
  <c r="V35"/>
  <c r="W34"/>
  <c r="V34"/>
  <c r="W33"/>
  <c r="V33"/>
  <c r="W32"/>
  <c r="V32"/>
  <c r="W31"/>
  <c r="V31"/>
  <c r="W30"/>
  <c r="V30"/>
  <c r="W29"/>
  <c r="V29"/>
  <c r="W28"/>
  <c r="V28"/>
  <c r="W27"/>
  <c r="V27"/>
  <c r="W26"/>
  <c r="V26"/>
  <c r="W25"/>
  <c r="V25"/>
  <c r="W24"/>
  <c r="V24"/>
  <c r="W23"/>
  <c r="V23"/>
  <c r="W22"/>
  <c r="V22"/>
  <c r="W21"/>
  <c r="V21"/>
  <c r="W20"/>
  <c r="V20"/>
  <c r="W19"/>
  <c r="V19"/>
  <c r="W18"/>
  <c r="V18"/>
  <c r="W17"/>
  <c r="V17"/>
  <c r="W16"/>
  <c r="V16"/>
  <c r="W15"/>
  <c r="V15"/>
  <c r="S23"/>
  <c r="S21"/>
  <c r="S18"/>
  <c r="S887"/>
  <c r="S884"/>
  <c r="S867"/>
  <c r="S866"/>
  <c r="S865"/>
  <c r="S864"/>
  <c r="S863"/>
  <c r="S862"/>
  <c r="S861"/>
  <c r="S860"/>
  <c r="S859"/>
  <c r="S858"/>
  <c r="S846"/>
  <c r="S841"/>
  <c r="S840"/>
  <c r="S839"/>
  <c r="S838"/>
  <c r="S837"/>
  <c r="S834"/>
  <c r="S833"/>
  <c r="S832"/>
  <c r="S608"/>
  <c r="S604"/>
  <c r="S579"/>
  <c r="S575"/>
  <c r="S574"/>
  <c r="S573"/>
  <c r="S415"/>
  <c r="S379"/>
  <c r="S378"/>
  <c r="S377"/>
  <c r="S376"/>
  <c r="S375"/>
  <c r="S374"/>
  <c r="S373"/>
  <c r="S372"/>
  <c r="S371"/>
  <c r="S370"/>
  <c r="S369"/>
  <c r="S368"/>
  <c r="S363"/>
  <c r="S362"/>
  <c r="S361"/>
  <c r="S360"/>
  <c r="S359"/>
  <c r="S358"/>
  <c r="S357"/>
  <c r="S356"/>
  <c r="S355"/>
  <c r="S354"/>
  <c r="S353"/>
  <c r="S352"/>
  <c r="S351"/>
  <c r="S350"/>
  <c r="S349"/>
  <c r="S348"/>
  <c r="S347"/>
  <c r="S346"/>
  <c r="S343"/>
  <c r="S342"/>
  <c r="S341"/>
  <c r="S340"/>
  <c r="S339"/>
  <c r="S338"/>
  <c r="S336"/>
  <c r="S335"/>
  <c r="S334"/>
  <c r="S333"/>
  <c r="S332"/>
  <c r="S331"/>
  <c r="S326"/>
  <c r="S325"/>
  <c r="S324"/>
  <c r="S323"/>
  <c r="S321"/>
  <c r="S320"/>
  <c r="S319"/>
  <c r="S318"/>
  <c r="S317"/>
  <c r="S316"/>
  <c r="S315"/>
  <c r="S314"/>
  <c r="S313"/>
  <c r="S312"/>
  <c r="S311"/>
  <c r="S310"/>
  <c r="S309"/>
  <c r="S308"/>
  <c r="S307"/>
  <c r="S306"/>
  <c r="S305"/>
  <c r="S304"/>
  <c r="S303"/>
  <c r="S302"/>
  <c r="S301"/>
  <c r="S300"/>
  <c r="S299"/>
  <c r="S298"/>
  <c r="S297"/>
  <c r="S296"/>
  <c r="S295"/>
  <c r="S294"/>
  <c r="S292"/>
  <c r="S291"/>
  <c r="S283"/>
  <c r="S256"/>
  <c r="S255"/>
  <c r="S254"/>
  <c r="S253"/>
  <c r="S250"/>
  <c r="S249"/>
  <c r="S248"/>
  <c r="S247"/>
  <c r="S246"/>
  <c r="S245"/>
  <c r="S240"/>
  <c r="S239"/>
  <c r="S236"/>
  <c r="S231"/>
  <c r="S230"/>
  <c r="S229"/>
  <c r="S223"/>
  <c r="S221"/>
  <c r="S219"/>
  <c r="S196"/>
  <c r="S189"/>
  <c r="S188"/>
  <c r="S185"/>
  <c r="S172"/>
  <c r="S171"/>
  <c r="S170"/>
  <c r="S169"/>
  <c r="S168"/>
  <c r="S167"/>
  <c r="S166"/>
  <c r="S165"/>
  <c r="S164"/>
  <c r="S163"/>
  <c r="S162"/>
  <c r="S161"/>
  <c r="S159"/>
  <c r="S158"/>
  <c r="S157"/>
  <c r="S156"/>
  <c r="S155"/>
  <c r="S154"/>
  <c r="S153"/>
  <c r="S152"/>
  <c r="S149"/>
  <c r="S148"/>
  <c r="S147"/>
  <c r="S145"/>
  <c r="S144"/>
  <c r="S141"/>
  <c r="S138"/>
  <c r="S137"/>
  <c r="S136"/>
  <c r="S134"/>
  <c r="S131"/>
  <c r="S129"/>
  <c r="S126"/>
  <c r="S124"/>
  <c r="S123"/>
  <c r="S119"/>
  <c r="S112"/>
  <c r="S111"/>
  <c r="S110"/>
  <c r="S109"/>
  <c r="S108"/>
  <c r="S107"/>
  <c r="S106"/>
  <c r="S105"/>
  <c r="S104"/>
  <c r="S103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55"/>
  <c r="S54"/>
  <c r="AV22"/>
  <c r="AV20"/>
  <c r="AV19"/>
  <c r="AV17"/>
  <c r="T228"/>
  <c r="T828" i="20"/>
  <c r="S828"/>
  <c r="T827"/>
  <c r="S827"/>
  <c r="T826"/>
  <c r="S826"/>
  <c r="T825"/>
  <c r="S825"/>
  <c r="T824"/>
  <c r="S824"/>
  <c r="T823"/>
  <c r="S823"/>
  <c r="T822"/>
  <c r="S822"/>
  <c r="T821"/>
  <c r="S821"/>
  <c r="T820"/>
  <c r="S820"/>
  <c r="T819"/>
  <c r="S819"/>
  <c r="T818"/>
  <c r="S818"/>
  <c r="T817"/>
  <c r="S817"/>
  <c r="T816"/>
  <c r="S816"/>
  <c r="T815"/>
  <c r="S815"/>
  <c r="T814"/>
  <c r="S814"/>
  <c r="T813"/>
  <c r="S813"/>
  <c r="T812"/>
  <c r="S812"/>
  <c r="T811"/>
  <c r="S811"/>
  <c r="T810"/>
  <c r="S810"/>
  <c r="T809"/>
  <c r="S809"/>
  <c r="T808"/>
  <c r="S808"/>
  <c r="T807"/>
  <c r="S807"/>
  <c r="T806"/>
  <c r="S806"/>
  <c r="T805"/>
  <c r="S805"/>
  <c r="T804"/>
  <c r="S804"/>
  <c r="T803"/>
  <c r="S803"/>
  <c r="T802"/>
  <c r="S802"/>
  <c r="T801"/>
  <c r="S801"/>
  <c r="T800"/>
  <c r="S800"/>
  <c r="T799"/>
  <c r="S799"/>
  <c r="T798"/>
  <c r="S798"/>
  <c r="T797"/>
  <c r="S797"/>
  <c r="T796"/>
  <c r="S796"/>
  <c r="T795"/>
  <c r="S795"/>
  <c r="T794"/>
  <c r="S794"/>
  <c r="T793"/>
  <c r="S793"/>
  <c r="T792"/>
  <c r="S792"/>
  <c r="T791"/>
  <c r="S791"/>
  <c r="T790"/>
  <c r="S790"/>
  <c r="T789"/>
  <c r="S789"/>
  <c r="T788"/>
  <c r="S788"/>
  <c r="T787"/>
  <c r="S787"/>
  <c r="T786"/>
  <c r="S786"/>
  <c r="T785"/>
  <c r="S785"/>
  <c r="T784"/>
  <c r="S784"/>
  <c r="T783"/>
  <c r="S783"/>
  <c r="T782"/>
  <c r="S782"/>
  <c r="T781"/>
  <c r="S781"/>
  <c r="T780"/>
  <c r="S780"/>
  <c r="T779"/>
  <c r="S779"/>
  <c r="T778"/>
  <c r="S778"/>
  <c r="T777"/>
  <c r="S777"/>
  <c r="T776"/>
  <c r="S776"/>
  <c r="T775"/>
  <c r="S775"/>
  <c r="T774"/>
  <c r="S774"/>
  <c r="T773"/>
  <c r="S773"/>
  <c r="T772"/>
  <c r="S772"/>
  <c r="T771"/>
  <c r="S771"/>
  <c r="T770"/>
  <c r="S770"/>
  <c r="T769"/>
  <c r="S769"/>
  <c r="T768"/>
  <c r="S768"/>
  <c r="T767"/>
  <c r="S767"/>
  <c r="T766"/>
  <c r="S766"/>
  <c r="T765"/>
  <c r="S765"/>
  <c r="T764"/>
  <c r="S764"/>
  <c r="T763"/>
  <c r="S763"/>
  <c r="V763"/>
  <c r="T762"/>
  <c r="S762"/>
  <c r="T760"/>
  <c r="S760"/>
  <c r="T759"/>
  <c r="S759"/>
  <c r="T758"/>
  <c r="S758"/>
  <c r="T757"/>
  <c r="S757"/>
  <c r="T756"/>
  <c r="S756"/>
  <c r="T755"/>
  <c r="S755"/>
  <c r="T754"/>
  <c r="S754"/>
  <c r="T753"/>
  <c r="S753"/>
  <c r="T752"/>
  <c r="S752"/>
  <c r="T751"/>
  <c r="S751"/>
  <c r="T750"/>
  <c r="S750"/>
  <c r="T749"/>
  <c r="S749"/>
  <c r="T748"/>
  <c r="S748"/>
  <c r="T747"/>
  <c r="S747"/>
  <c r="T746"/>
  <c r="S746"/>
  <c r="T745"/>
  <c r="S745"/>
  <c r="T744"/>
  <c r="S744"/>
  <c r="T743"/>
  <c r="S743"/>
  <c r="T742"/>
  <c r="S742"/>
  <c r="T741"/>
  <c r="S741"/>
  <c r="T740"/>
  <c r="S740"/>
  <c r="T739"/>
  <c r="S739"/>
  <c r="T738"/>
  <c r="S738"/>
  <c r="T737"/>
  <c r="S737"/>
  <c r="T736"/>
  <c r="S736"/>
  <c r="T735"/>
  <c r="S735"/>
  <c r="T734"/>
  <c r="S734"/>
  <c r="T733"/>
  <c r="S733"/>
  <c r="T732"/>
  <c r="S732"/>
  <c r="T731"/>
  <c r="S731"/>
  <c r="T730"/>
  <c r="S730"/>
  <c r="T729"/>
  <c r="S729"/>
  <c r="T728"/>
  <c r="S728"/>
  <c r="T727"/>
  <c r="S727"/>
  <c r="T726"/>
  <c r="S726"/>
  <c r="T725"/>
  <c r="S725"/>
  <c r="T724"/>
  <c r="S724"/>
  <c r="T723"/>
  <c r="S723"/>
  <c r="T722"/>
  <c r="S722"/>
  <c r="T721"/>
  <c r="S721"/>
  <c r="T720"/>
  <c r="S720"/>
  <c r="T719"/>
  <c r="S719"/>
  <c r="T718"/>
  <c r="S718"/>
  <c r="T717"/>
  <c r="S717"/>
  <c r="T716"/>
  <c r="S716"/>
  <c r="T715"/>
  <c r="S715"/>
  <c r="T714"/>
  <c r="S714"/>
  <c r="T713"/>
  <c r="S713"/>
  <c r="T712"/>
  <c r="S712"/>
  <c r="T711"/>
  <c r="S711"/>
  <c r="T710"/>
  <c r="S710"/>
  <c r="T709"/>
  <c r="S709"/>
  <c r="T708"/>
  <c r="S708"/>
  <c r="T707"/>
  <c r="S707"/>
  <c r="T706"/>
  <c r="S706"/>
  <c r="T705"/>
  <c r="S705"/>
  <c r="T704"/>
  <c r="S704"/>
  <c r="T703"/>
  <c r="S703"/>
  <c r="T702"/>
  <c r="S702"/>
  <c r="T701"/>
  <c r="S701"/>
  <c r="T700"/>
  <c r="S700"/>
  <c r="T699"/>
  <c r="S699"/>
  <c r="T698"/>
  <c r="S698"/>
  <c r="T697"/>
  <c r="S697"/>
  <c r="T696"/>
  <c r="S696"/>
  <c r="T695"/>
  <c r="S695"/>
  <c r="T694"/>
  <c r="S694"/>
  <c r="T693"/>
  <c r="S693"/>
  <c r="T692"/>
  <c r="S692"/>
  <c r="T691"/>
  <c r="S691"/>
  <c r="T690"/>
  <c r="S690"/>
  <c r="T689"/>
  <c r="S689"/>
  <c r="T688"/>
  <c r="S688"/>
  <c r="T687"/>
  <c r="S687"/>
  <c r="T686"/>
  <c r="S686"/>
  <c r="T685"/>
  <c r="S685"/>
  <c r="T684"/>
  <c r="S684"/>
  <c r="T683"/>
  <c r="S683"/>
  <c r="T682"/>
  <c r="S682"/>
  <c r="T681"/>
  <c r="S681"/>
  <c r="T680"/>
  <c r="S680"/>
  <c r="T679"/>
  <c r="S679"/>
  <c r="T678"/>
  <c r="S678"/>
  <c r="T677"/>
  <c r="S677"/>
  <c r="T676"/>
  <c r="S676"/>
  <c r="T675"/>
  <c r="S675"/>
  <c r="T674"/>
  <c r="S674"/>
  <c r="T673"/>
  <c r="S673"/>
  <c r="T672"/>
  <c r="S672"/>
  <c r="T671"/>
  <c r="S671"/>
  <c r="T670"/>
  <c r="S670"/>
  <c r="T669"/>
  <c r="S669"/>
  <c r="T668"/>
  <c r="S668"/>
  <c r="T667"/>
  <c r="S667"/>
  <c r="V667"/>
  <c r="T666"/>
  <c r="S666"/>
  <c r="T665"/>
  <c r="S665"/>
  <c r="T664"/>
  <c r="S664"/>
  <c r="T663"/>
  <c r="S663"/>
  <c r="T662"/>
  <c r="S662"/>
  <c r="T661"/>
  <c r="S661"/>
  <c r="T660"/>
  <c r="S660"/>
  <c r="T659"/>
  <c r="S659"/>
  <c r="T658"/>
  <c r="S658"/>
  <c r="T657"/>
  <c r="S657"/>
  <c r="T656"/>
  <c r="S656"/>
  <c r="T655"/>
  <c r="S655"/>
  <c r="T654"/>
  <c r="S654"/>
  <c r="T653"/>
  <c r="S653"/>
  <c r="T652"/>
  <c r="S652"/>
  <c r="T651"/>
  <c r="S651"/>
  <c r="T650"/>
  <c r="S650"/>
  <c r="T649"/>
  <c r="S649"/>
  <c r="T648"/>
  <c r="S648"/>
  <c r="T647"/>
  <c r="S647"/>
  <c r="T646"/>
  <c r="S646"/>
  <c r="T645"/>
  <c r="S645"/>
  <c r="T644"/>
  <c r="S644"/>
  <c r="T643"/>
  <c r="S643"/>
  <c r="T642"/>
  <c r="S642"/>
  <c r="T641"/>
  <c r="S641"/>
  <c r="T640"/>
  <c r="S640"/>
  <c r="V640"/>
  <c r="T639"/>
  <c r="S639"/>
  <c r="T638"/>
  <c r="S638"/>
  <c r="T637"/>
  <c r="S637"/>
  <c r="T636"/>
  <c r="S636"/>
  <c r="T635"/>
  <c r="S635"/>
  <c r="T634"/>
  <c r="S634"/>
  <c r="T633"/>
  <c r="S633"/>
  <c r="T632"/>
  <c r="S632"/>
  <c r="T631"/>
  <c r="S631"/>
  <c r="T630"/>
  <c r="S630"/>
  <c r="T629"/>
  <c r="S629"/>
  <c r="T628"/>
  <c r="S628"/>
  <c r="T627"/>
  <c r="S627"/>
  <c r="T626"/>
  <c r="S626"/>
  <c r="T625"/>
  <c r="S625"/>
  <c r="T624"/>
  <c r="S624"/>
  <c r="T623"/>
  <c r="S623"/>
  <c r="T622"/>
  <c r="S622"/>
  <c r="T621"/>
  <c r="S621"/>
  <c r="T620"/>
  <c r="S620"/>
  <c r="T619"/>
  <c r="S619"/>
  <c r="T618"/>
  <c r="S618"/>
  <c r="T617"/>
  <c r="S617"/>
  <c r="T616"/>
  <c r="S616"/>
  <c r="T615"/>
  <c r="S615"/>
  <c r="T614"/>
  <c r="S614"/>
  <c r="T613"/>
  <c r="S613"/>
  <c r="T612"/>
  <c r="S612"/>
  <c r="T611"/>
  <c r="S611"/>
  <c r="T610"/>
  <c r="S610"/>
  <c r="T609"/>
  <c r="S609"/>
  <c r="S608"/>
  <c r="T607"/>
  <c r="S607"/>
  <c r="T606"/>
  <c r="S606"/>
  <c r="T605"/>
  <c r="S605"/>
  <c r="S604"/>
  <c r="T603"/>
  <c r="S603"/>
  <c r="T602"/>
  <c r="S602"/>
  <c r="T600"/>
  <c r="S600"/>
  <c r="T599"/>
  <c r="S599"/>
  <c r="T598"/>
  <c r="S598"/>
  <c r="T597"/>
  <c r="S597"/>
  <c r="T596"/>
  <c r="S596"/>
  <c r="T595"/>
  <c r="S595"/>
  <c r="T594"/>
  <c r="S594"/>
  <c r="T593"/>
  <c r="S593"/>
  <c r="T592"/>
  <c r="S592"/>
  <c r="T591"/>
  <c r="S591"/>
  <c r="T590"/>
  <c r="S590"/>
  <c r="T589"/>
  <c r="S589"/>
  <c r="T588"/>
  <c r="S588"/>
  <c r="T587"/>
  <c r="S587"/>
  <c r="T586"/>
  <c r="S586"/>
  <c r="T585"/>
  <c r="S585"/>
  <c r="T584"/>
  <c r="S584"/>
  <c r="T583"/>
  <c r="S583"/>
  <c r="T582"/>
  <c r="S582"/>
  <c r="T581"/>
  <c r="S581"/>
  <c r="T580"/>
  <c r="S579"/>
  <c r="T578"/>
  <c r="T577"/>
  <c r="T576"/>
  <c r="S575"/>
  <c r="S574"/>
  <c r="S573"/>
  <c r="T572"/>
  <c r="T571"/>
  <c r="T569"/>
  <c r="T568"/>
  <c r="T567"/>
  <c r="T566"/>
  <c r="T565"/>
  <c r="S565"/>
  <c r="T564"/>
  <c r="S564"/>
  <c r="T563"/>
  <c r="S563"/>
  <c r="T562"/>
  <c r="S562"/>
  <c r="T561"/>
  <c r="S561"/>
  <c r="T560"/>
  <c r="S560"/>
  <c r="T559"/>
  <c r="S559"/>
  <c r="T558"/>
  <c r="S558"/>
  <c r="T557"/>
  <c r="S557"/>
  <c r="T556"/>
  <c r="S556"/>
  <c r="T555"/>
  <c r="S555"/>
  <c r="T554"/>
  <c r="S554"/>
  <c r="T553"/>
  <c r="S553"/>
  <c r="T552"/>
  <c r="S552"/>
  <c r="T551"/>
  <c r="S551"/>
  <c r="T550"/>
  <c r="S550"/>
  <c r="T549"/>
  <c r="S549"/>
  <c r="T548"/>
  <c r="S548"/>
  <c r="T547"/>
  <c r="S547"/>
  <c r="T546"/>
  <c r="S546"/>
  <c r="T545"/>
  <c r="S545"/>
  <c r="T544"/>
  <c r="S544"/>
  <c r="T543"/>
  <c r="S543"/>
  <c r="T542"/>
  <c r="S542"/>
  <c r="T541"/>
  <c r="S541"/>
  <c r="T540"/>
  <c r="S540"/>
  <c r="T539"/>
  <c r="S539"/>
  <c r="T538"/>
  <c r="S538"/>
  <c r="T537"/>
  <c r="S537"/>
  <c r="T536"/>
  <c r="S536"/>
  <c r="T535"/>
  <c r="S535"/>
  <c r="T534"/>
  <c r="S534"/>
  <c r="T533"/>
  <c r="S533"/>
  <c r="T532"/>
  <c r="S532"/>
  <c r="T531"/>
  <c r="S531"/>
  <c r="T530"/>
  <c r="S530"/>
  <c r="T529"/>
  <c r="S529"/>
  <c r="T528"/>
  <c r="S528"/>
  <c r="T527"/>
  <c r="S527"/>
  <c r="T526"/>
  <c r="S526"/>
  <c r="T525"/>
  <c r="S525"/>
  <c r="T524"/>
  <c r="S524"/>
  <c r="T523"/>
  <c r="S523"/>
  <c r="T522"/>
  <c r="S522"/>
  <c r="T521"/>
  <c r="S521"/>
  <c r="T520"/>
  <c r="S520"/>
  <c r="T519"/>
  <c r="S519"/>
  <c r="T518"/>
  <c r="S518"/>
  <c r="T517"/>
  <c r="S517"/>
  <c r="T516"/>
  <c r="S516"/>
  <c r="T515"/>
  <c r="S515"/>
  <c r="T514"/>
  <c r="S514"/>
  <c r="T513"/>
  <c r="S513"/>
  <c r="T512"/>
  <c r="S512"/>
  <c r="T511"/>
  <c r="S511"/>
  <c r="T510"/>
  <c r="S510"/>
  <c r="T509"/>
  <c r="S509"/>
  <c r="T508"/>
  <c r="S508"/>
  <c r="T507"/>
  <c r="S507"/>
  <c r="T506"/>
  <c r="S506"/>
  <c r="T505"/>
  <c r="S505"/>
  <c r="T504"/>
  <c r="S504"/>
  <c r="T503"/>
  <c r="S503"/>
  <c r="T502"/>
  <c r="S502"/>
  <c r="T501"/>
  <c r="S501"/>
  <c r="T500"/>
  <c r="S500"/>
  <c r="T499"/>
  <c r="S499"/>
  <c r="T498"/>
  <c r="S498"/>
  <c r="T497"/>
  <c r="S497"/>
  <c r="T496"/>
  <c r="S496"/>
  <c r="T495"/>
  <c r="S495"/>
  <c r="T494"/>
  <c r="S494"/>
  <c r="T493"/>
  <c r="S493"/>
  <c r="T492"/>
  <c r="S492"/>
  <c r="T491"/>
  <c r="S491"/>
  <c r="T490"/>
  <c r="S490"/>
  <c r="T489"/>
  <c r="S489"/>
  <c r="T488"/>
  <c r="S488"/>
  <c r="T487"/>
  <c r="S487"/>
  <c r="T486"/>
  <c r="S486"/>
  <c r="T485"/>
  <c r="S485"/>
  <c r="T484"/>
  <c r="S484"/>
  <c r="T483"/>
  <c r="S483"/>
  <c r="T482"/>
  <c r="S482"/>
  <c r="T481"/>
  <c r="S481"/>
  <c r="T480"/>
  <c r="S480"/>
  <c r="T479"/>
  <c r="S479"/>
  <c r="T478"/>
  <c r="S478"/>
  <c r="T477"/>
  <c r="S477"/>
  <c r="T476"/>
  <c r="S476"/>
  <c r="T475"/>
  <c r="S475"/>
  <c r="T474"/>
  <c r="S474"/>
  <c r="T473"/>
  <c r="S473"/>
  <c r="T472"/>
  <c r="S472"/>
  <c r="T471"/>
  <c r="S471"/>
  <c r="T470"/>
  <c r="S470"/>
  <c r="T469"/>
  <c r="S469"/>
  <c r="T468"/>
  <c r="S468"/>
  <c r="T467"/>
  <c r="S467"/>
  <c r="T466"/>
  <c r="S466"/>
  <c r="T465"/>
  <c r="S465"/>
  <c r="T464"/>
  <c r="S464"/>
  <c r="T463"/>
  <c r="S463"/>
  <c r="T462"/>
  <c r="S462"/>
  <c r="T461"/>
  <c r="S461"/>
  <c r="T460"/>
  <c r="S460"/>
  <c r="T459"/>
  <c r="S459"/>
  <c r="T458"/>
  <c r="S458"/>
  <c r="T457"/>
  <c r="S457"/>
  <c r="T456"/>
  <c r="S456"/>
  <c r="T455"/>
  <c r="S455"/>
  <c r="T454"/>
  <c r="S454"/>
  <c r="T453"/>
  <c r="S453"/>
  <c r="T452"/>
  <c r="S452"/>
  <c r="T451"/>
  <c r="S451"/>
  <c r="T450"/>
  <c r="S450"/>
  <c r="T449"/>
  <c r="S449"/>
  <c r="T448"/>
  <c r="S448"/>
  <c r="T447"/>
  <c r="S447"/>
  <c r="T446"/>
  <c r="S446"/>
  <c r="T445"/>
  <c r="S445"/>
  <c r="T444"/>
  <c r="S444"/>
  <c r="T443"/>
  <c r="S443"/>
  <c r="T442"/>
  <c r="S442"/>
  <c r="T441"/>
  <c r="S441"/>
  <c r="T440"/>
  <c r="S440"/>
  <c r="T439"/>
  <c r="S439"/>
  <c r="T438"/>
  <c r="S438"/>
  <c r="T437"/>
  <c r="S437"/>
  <c r="T436"/>
  <c r="S436"/>
  <c r="T435"/>
  <c r="S435"/>
  <c r="T434"/>
  <c r="S434"/>
  <c r="T433"/>
  <c r="S433"/>
  <c r="T432"/>
  <c r="S432"/>
  <c r="T431"/>
  <c r="S431"/>
  <c r="T430"/>
  <c r="S430"/>
  <c r="T429"/>
  <c r="S429"/>
  <c r="T428"/>
  <c r="S428"/>
  <c r="T427"/>
  <c r="S427"/>
  <c r="T426"/>
  <c r="S426"/>
  <c r="T425"/>
  <c r="S425"/>
  <c r="T424"/>
  <c r="S424"/>
  <c r="T423"/>
  <c r="S423"/>
  <c r="T422"/>
  <c r="S422"/>
  <c r="T421"/>
  <c r="S421"/>
  <c r="T420"/>
  <c r="S420"/>
  <c r="T419"/>
  <c r="S419"/>
  <c r="T418"/>
  <c r="S418"/>
  <c r="T417"/>
  <c r="S417"/>
  <c r="T416"/>
  <c r="S415"/>
  <c r="T414"/>
  <c r="S414"/>
  <c r="T413"/>
  <c r="S413"/>
  <c r="T412"/>
  <c r="S412"/>
  <c r="T411"/>
  <c r="S411"/>
  <c r="T410"/>
  <c r="S410"/>
  <c r="T409"/>
  <c r="S409"/>
  <c r="V409"/>
  <c r="T408"/>
  <c r="S408"/>
  <c r="V408"/>
  <c r="T407"/>
  <c r="S407"/>
  <c r="V407"/>
  <c r="T406"/>
  <c r="S406"/>
  <c r="V406"/>
  <c r="T405"/>
  <c r="S405"/>
  <c r="V405"/>
  <c r="T404"/>
  <c r="S404"/>
  <c r="V404"/>
  <c r="T403"/>
  <c r="S403"/>
  <c r="V403"/>
  <c r="T402"/>
  <c r="S402"/>
  <c r="T401"/>
  <c r="S401"/>
  <c r="T400"/>
  <c r="S400"/>
  <c r="T399"/>
  <c r="S399"/>
  <c r="T398"/>
  <c r="S398"/>
  <c r="T397"/>
  <c r="S397"/>
  <c r="T396"/>
  <c r="S396"/>
  <c r="T395"/>
  <c r="S395"/>
  <c r="T394"/>
  <c r="S394"/>
  <c r="T393"/>
  <c r="S393"/>
  <c r="T392"/>
  <c r="S392"/>
  <c r="T391"/>
  <c r="S391"/>
  <c r="T390"/>
  <c r="S390"/>
  <c r="T389"/>
  <c r="S389"/>
  <c r="T388"/>
  <c r="S388"/>
  <c r="T387"/>
  <c r="S387"/>
  <c r="T386"/>
  <c r="S386"/>
  <c r="T385"/>
  <c r="S385"/>
  <c r="T384"/>
  <c r="S384"/>
  <c r="T382"/>
  <c r="T381"/>
  <c r="T380"/>
  <c r="S379"/>
  <c r="S378"/>
  <c r="S377"/>
  <c r="S376"/>
  <c r="S375"/>
  <c r="S374"/>
  <c r="S373"/>
  <c r="S372"/>
  <c r="S371"/>
  <c r="S370"/>
  <c r="S369"/>
  <c r="S368"/>
  <c r="T367"/>
  <c r="T366"/>
  <c r="T365"/>
  <c r="T364"/>
  <c r="S363"/>
  <c r="S362"/>
  <c r="S361"/>
  <c r="S360"/>
  <c r="S359"/>
  <c r="S358"/>
  <c r="S357"/>
  <c r="S356"/>
  <c r="S355"/>
  <c r="S354"/>
  <c r="S353"/>
  <c r="S352"/>
  <c r="S351"/>
  <c r="S350"/>
  <c r="S349"/>
  <c r="S348"/>
  <c r="S347"/>
  <c r="S346"/>
  <c r="T345"/>
  <c r="S345"/>
  <c r="T344"/>
  <c r="S344"/>
  <c r="S343"/>
  <c r="S342"/>
  <c r="S341"/>
  <c r="S340"/>
  <c r="S339"/>
  <c r="S338"/>
  <c r="T337"/>
  <c r="S336"/>
  <c r="S335"/>
  <c r="S334"/>
  <c r="S333"/>
  <c r="S332"/>
  <c r="S331"/>
  <c r="T330"/>
  <c r="S330"/>
  <c r="T329"/>
  <c r="S329"/>
  <c r="T328"/>
  <c r="S328"/>
  <c r="T327"/>
  <c r="S327"/>
  <c r="S326"/>
  <c r="S325"/>
  <c r="S324"/>
  <c r="S323"/>
  <c r="T322"/>
  <c r="S322"/>
  <c r="S321"/>
  <c r="S320"/>
  <c r="S319"/>
  <c r="S318"/>
  <c r="S317"/>
  <c r="S316"/>
  <c r="S315"/>
  <c r="S314"/>
  <c r="S313"/>
  <c r="S312"/>
  <c r="S311"/>
  <c r="S310"/>
  <c r="S309"/>
  <c r="S308"/>
  <c r="S307"/>
  <c r="S306"/>
  <c r="S305"/>
  <c r="S304"/>
  <c r="S303"/>
  <c r="S302"/>
  <c r="S301"/>
  <c r="S300"/>
  <c r="S299"/>
  <c r="S298"/>
  <c r="S297"/>
  <c r="S296"/>
  <c r="S295"/>
  <c r="S294"/>
  <c r="S293"/>
  <c r="S292"/>
  <c r="S291"/>
  <c r="S290"/>
  <c r="S289"/>
  <c r="S288"/>
  <c r="S287"/>
  <c r="S286"/>
  <c r="T284"/>
  <c r="S283"/>
  <c r="T282"/>
  <c r="S282"/>
  <c r="T281"/>
  <c r="S281"/>
  <c r="T280"/>
  <c r="S280"/>
  <c r="T279"/>
  <c r="S279"/>
  <c r="T278"/>
  <c r="S278"/>
  <c r="T277"/>
  <c r="S277"/>
  <c r="T276"/>
  <c r="S276"/>
  <c r="T275"/>
  <c r="S275"/>
  <c r="T274"/>
  <c r="S274"/>
  <c r="T273"/>
  <c r="S273"/>
  <c r="T272"/>
  <c r="S272"/>
  <c r="T271"/>
  <c r="S271"/>
  <c r="T270"/>
  <c r="T269"/>
  <c r="T268"/>
  <c r="T267"/>
  <c r="T266"/>
  <c r="T265"/>
  <c r="T264"/>
  <c r="T263"/>
  <c r="T262"/>
  <c r="T261"/>
  <c r="T260"/>
  <c r="T259"/>
  <c r="T258"/>
  <c r="T257"/>
  <c r="S256"/>
  <c r="S255"/>
  <c r="S254"/>
  <c r="S253"/>
  <c r="T252"/>
  <c r="T251"/>
  <c r="S250"/>
  <c r="S249"/>
  <c r="S248"/>
  <c r="S247"/>
  <c r="S246"/>
  <c r="S245"/>
  <c r="T244"/>
  <c r="T243"/>
  <c r="T242"/>
  <c r="T241"/>
  <c r="S240"/>
  <c r="S239"/>
  <c r="T238"/>
  <c r="T237"/>
  <c r="S236"/>
  <c r="T235"/>
  <c r="T234"/>
  <c r="T233"/>
  <c r="T232"/>
  <c r="S231"/>
  <c r="S230"/>
  <c r="S229"/>
  <c r="T228"/>
  <c r="T227"/>
  <c r="T226"/>
  <c r="T225"/>
  <c r="T224"/>
  <c r="S223"/>
  <c r="T222"/>
  <c r="S221"/>
  <c r="T220"/>
  <c r="S219"/>
  <c r="T218"/>
  <c r="S218"/>
  <c r="T217"/>
  <c r="S217"/>
  <c r="T216"/>
  <c r="S216"/>
  <c r="T215"/>
  <c r="S215"/>
  <c r="T214"/>
  <c r="S214"/>
  <c r="T213"/>
  <c r="S213"/>
  <c r="T212"/>
  <c r="S212"/>
  <c r="T211"/>
  <c r="S211"/>
  <c r="T210"/>
  <c r="S210"/>
  <c r="T209"/>
  <c r="S209"/>
  <c r="T208"/>
  <c r="S208"/>
  <c r="T207"/>
  <c r="S207"/>
  <c r="T206"/>
  <c r="S206"/>
  <c r="T205"/>
  <c r="S205"/>
  <c r="T204"/>
  <c r="S204"/>
  <c r="T203"/>
  <c r="S203"/>
  <c r="T202"/>
  <c r="S202"/>
  <c r="T201"/>
  <c r="S201"/>
  <c r="T200"/>
  <c r="S200"/>
  <c r="T199"/>
  <c r="S199"/>
  <c r="T198"/>
  <c r="T197"/>
  <c r="S196"/>
  <c r="T195"/>
  <c r="T194"/>
  <c r="S194"/>
  <c r="T193"/>
  <c r="S193"/>
  <c r="T192"/>
  <c r="S192"/>
  <c r="T191"/>
  <c r="S191"/>
  <c r="T190"/>
  <c r="S189"/>
  <c r="S188"/>
  <c r="T187"/>
  <c r="T186"/>
  <c r="S185"/>
  <c r="T184"/>
  <c r="T183"/>
  <c r="S183"/>
  <c r="T182"/>
  <c r="S182"/>
  <c r="T181"/>
  <c r="S181"/>
  <c r="T180"/>
  <c r="S180"/>
  <c r="T179"/>
  <c r="S179"/>
  <c r="T177"/>
  <c r="S177"/>
  <c r="T176"/>
  <c r="S176"/>
  <c r="T175"/>
  <c r="T174"/>
  <c r="T173"/>
  <c r="S172"/>
  <c r="S171"/>
  <c r="S170"/>
  <c r="S169"/>
  <c r="S168"/>
  <c r="S167"/>
  <c r="S166"/>
  <c r="S165"/>
  <c r="S164"/>
  <c r="S163"/>
  <c r="S162"/>
  <c r="S161"/>
  <c r="T160"/>
  <c r="S160"/>
  <c r="S159"/>
  <c r="S158"/>
  <c r="S157"/>
  <c r="S156"/>
  <c r="S155"/>
  <c r="S154"/>
  <c r="S153"/>
  <c r="S152"/>
  <c r="T151"/>
  <c r="T150"/>
  <c r="S149"/>
  <c r="S148"/>
  <c r="S147"/>
  <c r="T146"/>
  <c r="S145"/>
  <c r="S144"/>
  <c r="T143"/>
  <c r="T142"/>
  <c r="S141"/>
  <c r="T140"/>
  <c r="T139"/>
  <c r="S138"/>
  <c r="S137"/>
  <c r="S136"/>
  <c r="T135"/>
  <c r="S134"/>
  <c r="T133"/>
  <c r="T132"/>
  <c r="S131"/>
  <c r="T130"/>
  <c r="S129"/>
  <c r="T128"/>
  <c r="T127"/>
  <c r="S126"/>
  <c r="T125"/>
  <c r="S124"/>
  <c r="S123"/>
  <c r="T122"/>
  <c r="T121"/>
  <c r="S121"/>
  <c r="T120"/>
  <c r="S120"/>
  <c r="S119"/>
  <c r="T118"/>
  <c r="S117"/>
  <c r="T116"/>
  <c r="AA116" i="1"/>
  <c r="S115" i="20"/>
  <c r="T114"/>
  <c r="S112"/>
  <c r="S111"/>
  <c r="S110"/>
  <c r="S109"/>
  <c r="S108"/>
  <c r="S107"/>
  <c r="S106"/>
  <c r="S105"/>
  <c r="S104"/>
  <c r="S103"/>
  <c r="T101"/>
  <c r="T100"/>
  <c r="T99"/>
  <c r="T98"/>
  <c r="T97"/>
  <c r="T96"/>
  <c r="T95"/>
  <c r="T94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T69"/>
  <c r="T68"/>
  <c r="T67"/>
  <c r="T66"/>
  <c r="T65"/>
  <c r="T64"/>
  <c r="T63"/>
  <c r="T62"/>
  <c r="T61"/>
  <c r="S61"/>
  <c r="T60"/>
  <c r="S60"/>
  <c r="T59"/>
  <c r="T58"/>
  <c r="T57"/>
  <c r="T56"/>
  <c r="S55"/>
  <c r="S54"/>
  <c r="T53"/>
  <c r="T52"/>
  <c r="T51"/>
  <c r="T50"/>
  <c r="T49"/>
  <c r="T48"/>
  <c r="T47"/>
  <c r="T46"/>
  <c r="T45"/>
  <c r="T44"/>
  <c r="T43"/>
  <c r="T42"/>
  <c r="T41"/>
  <c r="T40"/>
  <c r="T39"/>
  <c r="T38"/>
  <c r="T37"/>
  <c r="T36"/>
  <c r="T35"/>
  <c r="T34"/>
  <c r="T33"/>
  <c r="T32"/>
  <c r="T31"/>
  <c r="T30"/>
  <c r="T29"/>
  <c r="T28"/>
  <c r="T27"/>
  <c r="T26"/>
  <c r="T15"/>
  <c r="S15"/>
  <c r="T14"/>
  <c r="S14"/>
  <c r="T828" i="25"/>
  <c r="S828"/>
  <c r="T827"/>
  <c r="S827"/>
  <c r="T826"/>
  <c r="S826"/>
  <c r="T825"/>
  <c r="S825"/>
  <c r="T824"/>
  <c r="S824"/>
  <c r="T823"/>
  <c r="S823"/>
  <c r="T822"/>
  <c r="S822"/>
  <c r="T821"/>
  <c r="S821"/>
  <c r="T820"/>
  <c r="S820"/>
  <c r="T819"/>
  <c r="S819"/>
  <c r="T818"/>
  <c r="S818"/>
  <c r="T817"/>
  <c r="S817"/>
  <c r="T816"/>
  <c r="S816"/>
  <c r="T815"/>
  <c r="S815"/>
  <c r="T814"/>
  <c r="S814"/>
  <c r="T813"/>
  <c r="S813"/>
  <c r="T812"/>
  <c r="S812"/>
  <c r="T811"/>
  <c r="S811"/>
  <c r="T810"/>
  <c r="S810"/>
  <c r="T809"/>
  <c r="S809"/>
  <c r="T808"/>
  <c r="S808"/>
  <c r="T807"/>
  <c r="S807"/>
  <c r="T806"/>
  <c r="S806"/>
  <c r="T805"/>
  <c r="S805"/>
  <c r="T804"/>
  <c r="S804"/>
  <c r="T803"/>
  <c r="S803"/>
  <c r="T802"/>
  <c r="S802"/>
  <c r="T801"/>
  <c r="S801"/>
  <c r="T800"/>
  <c r="S800"/>
  <c r="T799"/>
  <c r="S799"/>
  <c r="T798"/>
  <c r="S798"/>
  <c r="T797"/>
  <c r="S797"/>
  <c r="T796"/>
  <c r="S796"/>
  <c r="T795"/>
  <c r="S795"/>
  <c r="T794"/>
  <c r="S794"/>
  <c r="T793"/>
  <c r="S793"/>
  <c r="T792"/>
  <c r="S792"/>
  <c r="T791"/>
  <c r="S791"/>
  <c r="T790"/>
  <c r="S790"/>
  <c r="T789"/>
  <c r="S789"/>
  <c r="T788"/>
  <c r="S788"/>
  <c r="T787"/>
  <c r="S787"/>
  <c r="T786"/>
  <c r="S786"/>
  <c r="T785"/>
  <c r="S785"/>
  <c r="T784"/>
  <c r="S784"/>
  <c r="T783"/>
  <c r="S783"/>
  <c r="T782"/>
  <c r="S782"/>
  <c r="T781"/>
  <c r="S781"/>
  <c r="T780"/>
  <c r="S780"/>
  <c r="T779"/>
  <c r="S779"/>
  <c r="T778"/>
  <c r="S778"/>
  <c r="T777"/>
  <c r="S777"/>
  <c r="T776"/>
  <c r="S776"/>
  <c r="T775"/>
  <c r="S775"/>
  <c r="T774"/>
  <c r="S774"/>
  <c r="T773"/>
  <c r="S773"/>
  <c r="T772"/>
  <c r="S772"/>
  <c r="T771"/>
  <c r="S771"/>
  <c r="T770"/>
  <c r="S770"/>
  <c r="T769"/>
  <c r="S769"/>
  <c r="T768"/>
  <c r="S768"/>
  <c r="T767"/>
  <c r="S767"/>
  <c r="T766"/>
  <c r="S766"/>
  <c r="T765"/>
  <c r="S765"/>
  <c r="T764"/>
  <c r="S764"/>
  <c r="T763"/>
  <c r="S763"/>
  <c r="V763"/>
  <c r="T762"/>
  <c r="S762"/>
  <c r="T760"/>
  <c r="S760"/>
  <c r="T759"/>
  <c r="S759"/>
  <c r="T758"/>
  <c r="S758"/>
  <c r="T757"/>
  <c r="S757"/>
  <c r="T756"/>
  <c r="S756"/>
  <c r="T755"/>
  <c r="S755"/>
  <c r="T754"/>
  <c r="S754"/>
  <c r="T753"/>
  <c r="S753"/>
  <c r="T752"/>
  <c r="S752"/>
  <c r="T751"/>
  <c r="S751"/>
  <c r="T750"/>
  <c r="S750"/>
  <c r="T749"/>
  <c r="S749"/>
  <c r="T748"/>
  <c r="S748"/>
  <c r="T747"/>
  <c r="S747"/>
  <c r="T746"/>
  <c r="S746"/>
  <c r="T745"/>
  <c r="S745"/>
  <c r="T744"/>
  <c r="S744"/>
  <c r="T743"/>
  <c r="S743"/>
  <c r="T742"/>
  <c r="S742"/>
  <c r="T741"/>
  <c r="S741"/>
  <c r="T740"/>
  <c r="S740"/>
  <c r="T739"/>
  <c r="S739"/>
  <c r="T738"/>
  <c r="S738"/>
  <c r="T737"/>
  <c r="S737"/>
  <c r="T736"/>
  <c r="S736"/>
  <c r="T735"/>
  <c r="S735"/>
  <c r="T734"/>
  <c r="S734"/>
  <c r="T733"/>
  <c r="S733"/>
  <c r="T732"/>
  <c r="S732"/>
  <c r="T731"/>
  <c r="S731"/>
  <c r="T730"/>
  <c r="S730"/>
  <c r="T729"/>
  <c r="S729"/>
  <c r="T728"/>
  <c r="S728"/>
  <c r="T727"/>
  <c r="S727"/>
  <c r="T726"/>
  <c r="S726"/>
  <c r="T725"/>
  <c r="S725"/>
  <c r="T724"/>
  <c r="S724"/>
  <c r="T723"/>
  <c r="S723"/>
  <c r="T722"/>
  <c r="S722"/>
  <c r="T721"/>
  <c r="S721"/>
  <c r="T720"/>
  <c r="S720"/>
  <c r="T719"/>
  <c r="S719"/>
  <c r="T718"/>
  <c r="S718"/>
  <c r="T717"/>
  <c r="S717"/>
  <c r="T716"/>
  <c r="S716"/>
  <c r="T715"/>
  <c r="S715"/>
  <c r="T714"/>
  <c r="S714"/>
  <c r="T713"/>
  <c r="S713"/>
  <c r="T712"/>
  <c r="S712"/>
  <c r="T711"/>
  <c r="S711"/>
  <c r="T710"/>
  <c r="S710"/>
  <c r="T709"/>
  <c r="S709"/>
  <c r="T708"/>
  <c r="S708"/>
  <c r="T707"/>
  <c r="S707"/>
  <c r="T706"/>
  <c r="S706"/>
  <c r="T705"/>
  <c r="S705"/>
  <c r="T704"/>
  <c r="S704"/>
  <c r="T703"/>
  <c r="S703"/>
  <c r="T702"/>
  <c r="S702"/>
  <c r="T701"/>
  <c r="S701"/>
  <c r="T700"/>
  <c r="S700"/>
  <c r="T699"/>
  <c r="S699"/>
  <c r="T698"/>
  <c r="S698"/>
  <c r="T697"/>
  <c r="S697"/>
  <c r="T696"/>
  <c r="S696"/>
  <c r="T695"/>
  <c r="S695"/>
  <c r="T694"/>
  <c r="S694"/>
  <c r="T693"/>
  <c r="S693"/>
  <c r="T692"/>
  <c r="S692"/>
  <c r="T691"/>
  <c r="S691"/>
  <c r="T690"/>
  <c r="S690"/>
  <c r="T689"/>
  <c r="S689"/>
  <c r="T688"/>
  <c r="S688"/>
  <c r="T687"/>
  <c r="S687"/>
  <c r="T686"/>
  <c r="S686"/>
  <c r="T685"/>
  <c r="S685"/>
  <c r="T684"/>
  <c r="S684"/>
  <c r="T683"/>
  <c r="S683"/>
  <c r="T682"/>
  <c r="S682"/>
  <c r="T681"/>
  <c r="S681"/>
  <c r="T680"/>
  <c r="S680"/>
  <c r="T679"/>
  <c r="S679"/>
  <c r="T678"/>
  <c r="S678"/>
  <c r="T677"/>
  <c r="S677"/>
  <c r="T676"/>
  <c r="S676"/>
  <c r="T675"/>
  <c r="S675"/>
  <c r="T674"/>
  <c r="S674"/>
  <c r="T673"/>
  <c r="S673"/>
  <c r="T672"/>
  <c r="S672"/>
  <c r="T671"/>
  <c r="S671"/>
  <c r="T670"/>
  <c r="S670"/>
  <c r="T669"/>
  <c r="S669"/>
  <c r="T668"/>
  <c r="S668"/>
  <c r="T667"/>
  <c r="S667"/>
  <c r="V667"/>
  <c r="T666"/>
  <c r="S666"/>
  <c r="T665"/>
  <c r="S665"/>
  <c r="T664"/>
  <c r="S664"/>
  <c r="T663"/>
  <c r="S663"/>
  <c r="T662"/>
  <c r="S662"/>
  <c r="T661"/>
  <c r="S661"/>
  <c r="T660"/>
  <c r="S660"/>
  <c r="T659"/>
  <c r="S659"/>
  <c r="T658"/>
  <c r="S658"/>
  <c r="T657"/>
  <c r="S657"/>
  <c r="T656"/>
  <c r="S656"/>
  <c r="T655"/>
  <c r="S655"/>
  <c r="T654"/>
  <c r="S654"/>
  <c r="T653"/>
  <c r="S653"/>
  <c r="T652"/>
  <c r="S652"/>
  <c r="T651"/>
  <c r="S651"/>
  <c r="T650"/>
  <c r="S650"/>
  <c r="T649"/>
  <c r="S649"/>
  <c r="T648"/>
  <c r="S648"/>
  <c r="T647"/>
  <c r="S647"/>
  <c r="T646"/>
  <c r="S646"/>
  <c r="T645"/>
  <c r="S645"/>
  <c r="T644"/>
  <c r="S644"/>
  <c r="T643"/>
  <c r="S643"/>
  <c r="T642"/>
  <c r="S642"/>
  <c r="T641"/>
  <c r="S641"/>
  <c r="T640"/>
  <c r="S640"/>
  <c r="V640"/>
  <c r="T639"/>
  <c r="S639"/>
  <c r="T638"/>
  <c r="S638"/>
  <c r="T637"/>
  <c r="S637"/>
  <c r="T636"/>
  <c r="S636"/>
  <c r="T635"/>
  <c r="S635"/>
  <c r="T634"/>
  <c r="S634"/>
  <c r="T633"/>
  <c r="S633"/>
  <c r="T632"/>
  <c r="S632"/>
  <c r="T631"/>
  <c r="S631"/>
  <c r="T630"/>
  <c r="S630"/>
  <c r="T629"/>
  <c r="S629"/>
  <c r="T628"/>
  <c r="S628"/>
  <c r="T627"/>
  <c r="S627"/>
  <c r="T626"/>
  <c r="S626"/>
  <c r="T625"/>
  <c r="S625"/>
  <c r="T624"/>
  <c r="S624"/>
  <c r="T623"/>
  <c r="S623"/>
  <c r="T622"/>
  <c r="S622"/>
  <c r="T621"/>
  <c r="S621"/>
  <c r="T620"/>
  <c r="S620"/>
  <c r="T619"/>
  <c r="S619"/>
  <c r="T618"/>
  <c r="S618"/>
  <c r="T617"/>
  <c r="S617"/>
  <c r="T616"/>
  <c r="S616"/>
  <c r="T615"/>
  <c r="S615"/>
  <c r="T614"/>
  <c r="S614"/>
  <c r="T613"/>
  <c r="S613"/>
  <c r="T612"/>
  <c r="S612"/>
  <c r="T611"/>
  <c r="S611"/>
  <c r="T610"/>
  <c r="S610"/>
  <c r="T609"/>
  <c r="S609"/>
  <c r="S608"/>
  <c r="T607"/>
  <c r="S607"/>
  <c r="T606"/>
  <c r="S606"/>
  <c r="T605"/>
  <c r="S605"/>
  <c r="S604"/>
  <c r="T603"/>
  <c r="S603"/>
  <c r="T602"/>
  <c r="S602"/>
  <c r="T600"/>
  <c r="S600"/>
  <c r="T599"/>
  <c r="S599"/>
  <c r="T598"/>
  <c r="S598"/>
  <c r="T597"/>
  <c r="S597"/>
  <c r="T596"/>
  <c r="S596"/>
  <c r="T595"/>
  <c r="S595"/>
  <c r="T594"/>
  <c r="S594"/>
  <c r="T593"/>
  <c r="S593"/>
  <c r="T592"/>
  <c r="S592"/>
  <c r="T591"/>
  <c r="S591"/>
  <c r="T590"/>
  <c r="S590"/>
  <c r="T589"/>
  <c r="S589"/>
  <c r="T588"/>
  <c r="S588"/>
  <c r="T587"/>
  <c r="S587"/>
  <c r="T586"/>
  <c r="S586"/>
  <c r="T585"/>
  <c r="S585"/>
  <c r="T584"/>
  <c r="S584"/>
  <c r="T583"/>
  <c r="S583"/>
  <c r="T582"/>
  <c r="S582"/>
  <c r="T581"/>
  <c r="S581"/>
  <c r="T580"/>
  <c r="S579"/>
  <c r="T578"/>
  <c r="T577"/>
  <c r="T576"/>
  <c r="S575"/>
  <c r="S574"/>
  <c r="S573"/>
  <c r="T572"/>
  <c r="T571"/>
  <c r="T569"/>
  <c r="T568"/>
  <c r="T567"/>
  <c r="T566"/>
  <c r="T565"/>
  <c r="S565"/>
  <c r="T564"/>
  <c r="S564"/>
  <c r="T563"/>
  <c r="S563"/>
  <c r="T562"/>
  <c r="S562"/>
  <c r="T561"/>
  <c r="S561"/>
  <c r="T560"/>
  <c r="S560"/>
  <c r="T559"/>
  <c r="S559"/>
  <c r="T558"/>
  <c r="S558"/>
  <c r="T557"/>
  <c r="S557"/>
  <c r="T556"/>
  <c r="S556"/>
  <c r="T555"/>
  <c r="S555"/>
  <c r="T554"/>
  <c r="S554"/>
  <c r="T553"/>
  <c r="S553"/>
  <c r="T552"/>
  <c r="S552"/>
  <c r="T551"/>
  <c r="S551"/>
  <c r="T550"/>
  <c r="S550"/>
  <c r="T549"/>
  <c r="S549"/>
  <c r="T548"/>
  <c r="S548"/>
  <c r="T547"/>
  <c r="S547"/>
  <c r="T546"/>
  <c r="S546"/>
  <c r="T545"/>
  <c r="S545"/>
  <c r="T544"/>
  <c r="S544"/>
  <c r="T543"/>
  <c r="S543"/>
  <c r="T542"/>
  <c r="S542"/>
  <c r="T541"/>
  <c r="S541"/>
  <c r="T540"/>
  <c r="S540"/>
  <c r="T539"/>
  <c r="S539"/>
  <c r="T538"/>
  <c r="S538"/>
  <c r="T537"/>
  <c r="S537"/>
  <c r="T536"/>
  <c r="S536"/>
  <c r="T535"/>
  <c r="S535"/>
  <c r="T534"/>
  <c r="S534"/>
  <c r="T533"/>
  <c r="S533"/>
  <c r="T532"/>
  <c r="S532"/>
  <c r="T531"/>
  <c r="S531"/>
  <c r="T530"/>
  <c r="S530"/>
  <c r="T529"/>
  <c r="S529"/>
  <c r="T528"/>
  <c r="S528"/>
  <c r="T527"/>
  <c r="S527"/>
  <c r="T526"/>
  <c r="S526"/>
  <c r="T525"/>
  <c r="S525"/>
  <c r="T524"/>
  <c r="S524"/>
  <c r="T523"/>
  <c r="S523"/>
  <c r="T522"/>
  <c r="S522"/>
  <c r="T521"/>
  <c r="S521"/>
  <c r="T520"/>
  <c r="S520"/>
  <c r="T519"/>
  <c r="S519"/>
  <c r="T518"/>
  <c r="S518"/>
  <c r="T517"/>
  <c r="S517"/>
  <c r="T516"/>
  <c r="S516"/>
  <c r="T515"/>
  <c r="S515"/>
  <c r="T514"/>
  <c r="S514"/>
  <c r="T513"/>
  <c r="S513"/>
  <c r="T512"/>
  <c r="S512"/>
  <c r="T511"/>
  <c r="S511"/>
  <c r="T510"/>
  <c r="S510"/>
  <c r="T509"/>
  <c r="S509"/>
  <c r="T508"/>
  <c r="S508"/>
  <c r="T507"/>
  <c r="S507"/>
  <c r="T506"/>
  <c r="S506"/>
  <c r="T505"/>
  <c r="S505"/>
  <c r="T504"/>
  <c r="S504"/>
  <c r="T503"/>
  <c r="S503"/>
  <c r="T502"/>
  <c r="S502"/>
  <c r="T501"/>
  <c r="S501"/>
  <c r="T500"/>
  <c r="S500"/>
  <c r="T499"/>
  <c r="S499"/>
  <c r="T498"/>
  <c r="S498"/>
  <c r="T497"/>
  <c r="S497"/>
  <c r="T496"/>
  <c r="S496"/>
  <c r="T495"/>
  <c r="S495"/>
  <c r="T494"/>
  <c r="S494"/>
  <c r="T493"/>
  <c r="S493"/>
  <c r="T492"/>
  <c r="S492"/>
  <c r="T491"/>
  <c r="S491"/>
  <c r="T490"/>
  <c r="S490"/>
  <c r="T489"/>
  <c r="S489"/>
  <c r="T488"/>
  <c r="S488"/>
  <c r="T487"/>
  <c r="S487"/>
  <c r="T486"/>
  <c r="S486"/>
  <c r="T485"/>
  <c r="S485"/>
  <c r="T484"/>
  <c r="S484"/>
  <c r="T483"/>
  <c r="S483"/>
  <c r="T482"/>
  <c r="S482"/>
  <c r="T481"/>
  <c r="S481"/>
  <c r="T480"/>
  <c r="S480"/>
  <c r="T479"/>
  <c r="S479"/>
  <c r="T478"/>
  <c r="S478"/>
  <c r="T477"/>
  <c r="S477"/>
  <c r="T476"/>
  <c r="S476"/>
  <c r="T475"/>
  <c r="S475"/>
  <c r="T474"/>
  <c r="S474"/>
  <c r="T473"/>
  <c r="S473"/>
  <c r="T472"/>
  <c r="S472"/>
  <c r="T471"/>
  <c r="S471"/>
  <c r="T470"/>
  <c r="S470"/>
  <c r="T469"/>
  <c r="S469"/>
  <c r="T468"/>
  <c r="S468"/>
  <c r="T467"/>
  <c r="S467"/>
  <c r="T466"/>
  <c r="S466"/>
  <c r="T465"/>
  <c r="S465"/>
  <c r="T464"/>
  <c r="S464"/>
  <c r="T463"/>
  <c r="S463"/>
  <c r="T462"/>
  <c r="S462"/>
  <c r="T461"/>
  <c r="S461"/>
  <c r="T460"/>
  <c r="S460"/>
  <c r="T459"/>
  <c r="S459"/>
  <c r="T458"/>
  <c r="S458"/>
  <c r="T457"/>
  <c r="S457"/>
  <c r="T456"/>
  <c r="S456"/>
  <c r="T455"/>
  <c r="S455"/>
  <c r="T454"/>
  <c r="S454"/>
  <c r="T453"/>
  <c r="S453"/>
  <c r="T452"/>
  <c r="S452"/>
  <c r="T451"/>
  <c r="S451"/>
  <c r="T450"/>
  <c r="S450"/>
  <c r="T449"/>
  <c r="S449"/>
  <c r="T448"/>
  <c r="S448"/>
  <c r="T447"/>
  <c r="S447"/>
  <c r="T446"/>
  <c r="S446"/>
  <c r="T445"/>
  <c r="S445"/>
  <c r="T444"/>
  <c r="S444"/>
  <c r="T443"/>
  <c r="S443"/>
  <c r="T442"/>
  <c r="S442"/>
  <c r="T441"/>
  <c r="S441"/>
  <c r="T440"/>
  <c r="S440"/>
  <c r="T439"/>
  <c r="S439"/>
  <c r="T438"/>
  <c r="S438"/>
  <c r="T437"/>
  <c r="S437"/>
  <c r="T436"/>
  <c r="S436"/>
  <c r="T435"/>
  <c r="S435"/>
  <c r="T434"/>
  <c r="S434"/>
  <c r="T433"/>
  <c r="S433"/>
  <c r="T432"/>
  <c r="S432"/>
  <c r="T431"/>
  <c r="S431"/>
  <c r="T430"/>
  <c r="S430"/>
  <c r="T429"/>
  <c r="S429"/>
  <c r="T428"/>
  <c r="S428"/>
  <c r="T427"/>
  <c r="S427"/>
  <c r="T426"/>
  <c r="S426"/>
  <c r="T425"/>
  <c r="S425"/>
  <c r="T424"/>
  <c r="S424"/>
  <c r="T423"/>
  <c r="S423"/>
  <c r="T422"/>
  <c r="S422"/>
  <c r="T421"/>
  <c r="S421"/>
  <c r="T420"/>
  <c r="S420"/>
  <c r="T419"/>
  <c r="S419"/>
  <c r="T418"/>
  <c r="S418"/>
  <c r="T417"/>
  <c r="S417"/>
  <c r="T416"/>
  <c r="S415"/>
  <c r="T414"/>
  <c r="S414"/>
  <c r="T413"/>
  <c r="S413"/>
  <c r="T412"/>
  <c r="S412"/>
  <c r="T411"/>
  <c r="S411"/>
  <c r="T410"/>
  <c r="S410"/>
  <c r="T409"/>
  <c r="S409"/>
  <c r="V409"/>
  <c r="T408"/>
  <c r="S408"/>
  <c r="V408"/>
  <c r="T407"/>
  <c r="S407"/>
  <c r="V407"/>
  <c r="T406"/>
  <c r="S406"/>
  <c r="V406"/>
  <c r="T405"/>
  <c r="S405"/>
  <c r="V405"/>
  <c r="T404"/>
  <c r="S404"/>
  <c r="V404"/>
  <c r="T403"/>
  <c r="S403"/>
  <c r="V403"/>
  <c r="T402"/>
  <c r="S402"/>
  <c r="V402"/>
  <c r="T401"/>
  <c r="S401"/>
  <c r="T400"/>
  <c r="S400"/>
  <c r="T399"/>
  <c r="S399"/>
  <c r="T398"/>
  <c r="S398"/>
  <c r="T397"/>
  <c r="S397"/>
  <c r="T396"/>
  <c r="S396"/>
  <c r="T395"/>
  <c r="S395"/>
  <c r="T394"/>
  <c r="S394"/>
  <c r="T393"/>
  <c r="S393"/>
  <c r="T392"/>
  <c r="S392"/>
  <c r="T391"/>
  <c r="S391"/>
  <c r="T390"/>
  <c r="S390"/>
  <c r="T389"/>
  <c r="S389"/>
  <c r="T388"/>
  <c r="S388"/>
  <c r="T387"/>
  <c r="S387"/>
  <c r="T386"/>
  <c r="S386"/>
  <c r="T385"/>
  <c r="S385"/>
  <c r="T384"/>
  <c r="S384"/>
  <c r="T382"/>
  <c r="T381"/>
  <c r="T380"/>
  <c r="S379"/>
  <c r="S378"/>
  <c r="S377"/>
  <c r="S376"/>
  <c r="S375"/>
  <c r="S374"/>
  <c r="S373"/>
  <c r="S372"/>
  <c r="S371"/>
  <c r="S370"/>
  <c r="S369"/>
  <c r="S368"/>
  <c r="T367"/>
  <c r="T366"/>
  <c r="T365"/>
  <c r="T364"/>
  <c r="S363"/>
  <c r="S362"/>
  <c r="S361"/>
  <c r="S360"/>
  <c r="S359"/>
  <c r="S358"/>
  <c r="S357"/>
  <c r="S356"/>
  <c r="S355"/>
  <c r="S354"/>
  <c r="S353"/>
  <c r="S352"/>
  <c r="S351"/>
  <c r="S350"/>
  <c r="S349"/>
  <c r="S348"/>
  <c r="S347"/>
  <c r="S346"/>
  <c r="T345"/>
  <c r="S345"/>
  <c r="T344"/>
  <c r="S344"/>
  <c r="S343"/>
  <c r="S342"/>
  <c r="S341"/>
  <c r="S340"/>
  <c r="S339"/>
  <c r="S338"/>
  <c r="T337"/>
  <c r="S336"/>
  <c r="S335"/>
  <c r="S334"/>
  <c r="S333"/>
  <c r="S332"/>
  <c r="S331"/>
  <c r="T330"/>
  <c r="S330"/>
  <c r="T329"/>
  <c r="S329"/>
  <c r="T328"/>
  <c r="S328"/>
  <c r="T327"/>
  <c r="S327"/>
  <c r="S326"/>
  <c r="S325"/>
  <c r="S324"/>
  <c r="S323"/>
  <c r="T322"/>
  <c r="S322"/>
  <c r="S321"/>
  <c r="S320"/>
  <c r="S319"/>
  <c r="S318"/>
  <c r="S317"/>
  <c r="S316"/>
  <c r="S315"/>
  <c r="S314"/>
  <c r="S313"/>
  <c r="S312"/>
  <c r="S311"/>
  <c r="S310"/>
  <c r="S309"/>
  <c r="S308"/>
  <c r="S307"/>
  <c r="S306"/>
  <c r="S305"/>
  <c r="S304"/>
  <c r="S303"/>
  <c r="S302"/>
  <c r="S301"/>
  <c r="S300"/>
  <c r="S299"/>
  <c r="S298"/>
  <c r="S297"/>
  <c r="S296"/>
  <c r="S295"/>
  <c r="S294"/>
  <c r="S293"/>
  <c r="S292"/>
  <c r="S291"/>
  <c r="S290"/>
  <c r="S289"/>
  <c r="S288"/>
  <c r="S287"/>
  <c r="S286"/>
  <c r="T284"/>
  <c r="S283"/>
  <c r="T282"/>
  <c r="S282"/>
  <c r="T281"/>
  <c r="S281"/>
  <c r="T280"/>
  <c r="S280"/>
  <c r="T279"/>
  <c r="S279"/>
  <c r="T278"/>
  <c r="S278"/>
  <c r="T277"/>
  <c r="S277"/>
  <c r="T276"/>
  <c r="S276"/>
  <c r="T275"/>
  <c r="S275"/>
  <c r="T274"/>
  <c r="S274"/>
  <c r="T273"/>
  <c r="S273"/>
  <c r="T272"/>
  <c r="S272"/>
  <c r="T271"/>
  <c r="S271"/>
  <c r="T270"/>
  <c r="T269"/>
  <c r="T268"/>
  <c r="T267"/>
  <c r="T266"/>
  <c r="T265"/>
  <c r="T264"/>
  <c r="T263"/>
  <c r="T262"/>
  <c r="T261"/>
  <c r="T260"/>
  <c r="T259"/>
  <c r="T258"/>
  <c r="T257"/>
  <c r="S256"/>
  <c r="S255"/>
  <c r="S254"/>
  <c r="S253"/>
  <c r="T252"/>
  <c r="T251"/>
  <c r="S250"/>
  <c r="S249"/>
  <c r="S248"/>
  <c r="S247"/>
  <c r="S246"/>
  <c r="S245"/>
  <c r="T244"/>
  <c r="T243"/>
  <c r="T242"/>
  <c r="T241"/>
  <c r="S240"/>
  <c r="S239"/>
  <c r="T238"/>
  <c r="T237"/>
  <c r="S236"/>
  <c r="T235"/>
  <c r="T234"/>
  <c r="T233"/>
  <c r="T232"/>
  <c r="S231"/>
  <c r="S230"/>
  <c r="S229"/>
  <c r="T228"/>
  <c r="T227"/>
  <c r="T226"/>
  <c r="T225"/>
  <c r="T224"/>
  <c r="S223"/>
  <c r="T222"/>
  <c r="S221"/>
  <c r="T220"/>
  <c r="S219"/>
  <c r="T218"/>
  <c r="S218"/>
  <c r="T217"/>
  <c r="S217"/>
  <c r="T216"/>
  <c r="S216"/>
  <c r="T215"/>
  <c r="S215"/>
  <c r="T214"/>
  <c r="S214"/>
  <c r="T213"/>
  <c r="S213"/>
  <c r="T212"/>
  <c r="S212"/>
  <c r="T211"/>
  <c r="S211"/>
  <c r="T210"/>
  <c r="S210"/>
  <c r="T209"/>
  <c r="S209"/>
  <c r="T208"/>
  <c r="S208"/>
  <c r="T207"/>
  <c r="S207"/>
  <c r="T206"/>
  <c r="S206"/>
  <c r="T205"/>
  <c r="S205"/>
  <c r="T204"/>
  <c r="S204"/>
  <c r="T203"/>
  <c r="S203"/>
  <c r="T202"/>
  <c r="S202"/>
  <c r="T201"/>
  <c r="S201"/>
  <c r="T200"/>
  <c r="S200"/>
  <c r="T199"/>
  <c r="S199"/>
  <c r="T198"/>
  <c r="T197"/>
  <c r="S196"/>
  <c r="T195"/>
  <c r="T194"/>
  <c r="S194"/>
  <c r="T193"/>
  <c r="S193"/>
  <c r="T192"/>
  <c r="S192"/>
  <c r="T191"/>
  <c r="S191"/>
  <c r="T190"/>
  <c r="S189"/>
  <c r="S188"/>
  <c r="T187"/>
  <c r="T186"/>
  <c r="S185"/>
  <c r="T184"/>
  <c r="T183"/>
  <c r="S183"/>
  <c r="T182"/>
  <c r="S182"/>
  <c r="T181"/>
  <c r="S181"/>
  <c r="T180"/>
  <c r="S180"/>
  <c r="T179"/>
  <c r="S179"/>
  <c r="T177"/>
  <c r="S177"/>
  <c r="T176"/>
  <c r="S176"/>
  <c r="T175"/>
  <c r="T174"/>
  <c r="T173"/>
  <c r="S172"/>
  <c r="S171"/>
  <c r="S170"/>
  <c r="S169"/>
  <c r="S168"/>
  <c r="S167"/>
  <c r="S166"/>
  <c r="S165"/>
  <c r="S164"/>
  <c r="S163"/>
  <c r="S162"/>
  <c r="S161"/>
  <c r="T160"/>
  <c r="S160"/>
  <c r="S159"/>
  <c r="S158"/>
  <c r="S157"/>
  <c r="S156"/>
  <c r="S155"/>
  <c r="S154"/>
  <c r="S153"/>
  <c r="S152"/>
  <c r="T151"/>
  <c r="T150"/>
  <c r="S149"/>
  <c r="S148"/>
  <c r="S147"/>
  <c r="T146"/>
  <c r="S145"/>
  <c r="S144"/>
  <c r="T143"/>
  <c r="T142"/>
  <c r="S141"/>
  <c r="T140"/>
  <c r="T139"/>
  <c r="S138"/>
  <c r="S137"/>
  <c r="S136"/>
  <c r="T135"/>
  <c r="S134"/>
  <c r="T133"/>
  <c r="T132"/>
  <c r="S131"/>
  <c r="T130"/>
  <c r="S129"/>
  <c r="T128"/>
  <c r="T127"/>
  <c r="S126"/>
  <c r="T125"/>
  <c r="S124"/>
  <c r="S123"/>
  <c r="T122"/>
  <c r="T121"/>
  <c r="S121"/>
  <c r="T120"/>
  <c r="S120"/>
  <c r="S119"/>
  <c r="T118"/>
  <c r="S117"/>
  <c r="S115"/>
  <c r="T114"/>
  <c r="S112"/>
  <c r="S111"/>
  <c r="S110"/>
  <c r="S109"/>
  <c r="S108"/>
  <c r="S107"/>
  <c r="S106"/>
  <c r="S105"/>
  <c r="S104"/>
  <c r="S103"/>
  <c r="T101"/>
  <c r="T100"/>
  <c r="T99"/>
  <c r="T98"/>
  <c r="T97"/>
  <c r="T96"/>
  <c r="T95"/>
  <c r="T94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T69"/>
  <c r="T68"/>
  <c r="T67"/>
  <c r="T66"/>
  <c r="T65"/>
  <c r="T64"/>
  <c r="T63"/>
  <c r="T62"/>
  <c r="T61"/>
  <c r="S61"/>
  <c r="T60"/>
  <c r="S60"/>
  <c r="T59"/>
  <c r="T58"/>
  <c r="T57"/>
  <c r="T56"/>
  <c r="S55"/>
  <c r="S54"/>
  <c r="T53"/>
  <c r="T52"/>
  <c r="T51"/>
  <c r="T50"/>
  <c r="T49"/>
  <c r="T48"/>
  <c r="T47"/>
  <c r="T46"/>
  <c r="T45"/>
  <c r="T44"/>
  <c r="T43"/>
  <c r="T42"/>
  <c r="T41"/>
  <c r="T40"/>
  <c r="T39"/>
  <c r="T38"/>
  <c r="T37"/>
  <c r="T36"/>
  <c r="T35"/>
  <c r="T34"/>
  <c r="T33"/>
  <c r="T32"/>
  <c r="T31"/>
  <c r="T30"/>
  <c r="T29"/>
  <c r="T28"/>
  <c r="T27"/>
  <c r="T26"/>
  <c r="T15"/>
  <c r="S15"/>
  <c r="T14"/>
  <c r="S14"/>
  <c r="T828" i="26"/>
  <c r="S828"/>
  <c r="T827"/>
  <c r="S827"/>
  <c r="T826"/>
  <c r="S826"/>
  <c r="T825"/>
  <c r="S825"/>
  <c r="T824"/>
  <c r="S824"/>
  <c r="T823"/>
  <c r="S823"/>
  <c r="T822"/>
  <c r="S822"/>
  <c r="T821"/>
  <c r="S821"/>
  <c r="T820"/>
  <c r="S820"/>
  <c r="T819"/>
  <c r="S819"/>
  <c r="T818"/>
  <c r="S818"/>
  <c r="T817"/>
  <c r="S817"/>
  <c r="T816"/>
  <c r="S816"/>
  <c r="T815"/>
  <c r="S815"/>
  <c r="T814"/>
  <c r="S814"/>
  <c r="T813"/>
  <c r="S813"/>
  <c r="T812"/>
  <c r="S812"/>
  <c r="T811"/>
  <c r="S811"/>
  <c r="T810"/>
  <c r="S810"/>
  <c r="T809"/>
  <c r="S809"/>
  <c r="T808"/>
  <c r="S808"/>
  <c r="T807"/>
  <c r="S807"/>
  <c r="T806"/>
  <c r="S806"/>
  <c r="T805"/>
  <c r="S805"/>
  <c r="T804"/>
  <c r="S804"/>
  <c r="T803"/>
  <c r="S803"/>
  <c r="T802"/>
  <c r="S802"/>
  <c r="T801"/>
  <c r="S801"/>
  <c r="T800"/>
  <c r="S800"/>
  <c r="T799"/>
  <c r="S799"/>
  <c r="T798"/>
  <c r="S798"/>
  <c r="T797"/>
  <c r="S797"/>
  <c r="T796"/>
  <c r="S796"/>
  <c r="T795"/>
  <c r="S795"/>
  <c r="T794"/>
  <c r="S794"/>
  <c r="T793"/>
  <c r="S793"/>
  <c r="T792"/>
  <c r="S792"/>
  <c r="T791"/>
  <c r="S791"/>
  <c r="T790"/>
  <c r="S790"/>
  <c r="T789"/>
  <c r="S789"/>
  <c r="T788"/>
  <c r="S788"/>
  <c r="T787"/>
  <c r="S787"/>
  <c r="T786"/>
  <c r="S786"/>
  <c r="T785"/>
  <c r="S785"/>
  <c r="T784"/>
  <c r="S784"/>
  <c r="T783"/>
  <c r="S783"/>
  <c r="T782"/>
  <c r="S782"/>
  <c r="T781"/>
  <c r="S781"/>
  <c r="T780"/>
  <c r="S780"/>
  <c r="T779"/>
  <c r="S779"/>
  <c r="T778"/>
  <c r="S778"/>
  <c r="T777"/>
  <c r="S777"/>
  <c r="T776"/>
  <c r="S776"/>
  <c r="T775"/>
  <c r="S775"/>
  <c r="T774"/>
  <c r="S774"/>
  <c r="T773"/>
  <c r="S773"/>
  <c r="T772"/>
  <c r="S772"/>
  <c r="T771"/>
  <c r="S771"/>
  <c r="T770"/>
  <c r="S770"/>
  <c r="T769"/>
  <c r="S769"/>
  <c r="T768"/>
  <c r="S768"/>
  <c r="T767"/>
  <c r="S767"/>
  <c r="T766"/>
  <c r="S766"/>
  <c r="T765"/>
  <c r="S765"/>
  <c r="T764"/>
  <c r="S764"/>
  <c r="T763"/>
  <c r="S763"/>
  <c r="V763"/>
  <c r="T762"/>
  <c r="S762"/>
  <c r="T760"/>
  <c r="S760"/>
  <c r="T759"/>
  <c r="S759"/>
  <c r="T758"/>
  <c r="S758"/>
  <c r="T757"/>
  <c r="S757"/>
  <c r="T756"/>
  <c r="S756"/>
  <c r="T755"/>
  <c r="S755"/>
  <c r="T754"/>
  <c r="S754"/>
  <c r="T753"/>
  <c r="S753"/>
  <c r="T752"/>
  <c r="S752"/>
  <c r="T751"/>
  <c r="S751"/>
  <c r="T750"/>
  <c r="S750"/>
  <c r="T749"/>
  <c r="S749"/>
  <c r="T748"/>
  <c r="S748"/>
  <c r="T747"/>
  <c r="S747"/>
  <c r="T746"/>
  <c r="S746"/>
  <c r="T745"/>
  <c r="S745"/>
  <c r="T744"/>
  <c r="S744"/>
  <c r="T743"/>
  <c r="S743"/>
  <c r="T742"/>
  <c r="S742"/>
  <c r="T741"/>
  <c r="S741"/>
  <c r="T740"/>
  <c r="S740"/>
  <c r="T739"/>
  <c r="S739"/>
  <c r="T738"/>
  <c r="S738"/>
  <c r="T737"/>
  <c r="S737"/>
  <c r="T736"/>
  <c r="S736"/>
  <c r="T735"/>
  <c r="S735"/>
  <c r="T734"/>
  <c r="S734"/>
  <c r="T733"/>
  <c r="S733"/>
  <c r="T732"/>
  <c r="S732"/>
  <c r="T731"/>
  <c r="S731"/>
  <c r="T730"/>
  <c r="S730"/>
  <c r="T729"/>
  <c r="S729"/>
  <c r="T728"/>
  <c r="S728"/>
  <c r="T727"/>
  <c r="S727"/>
  <c r="T726"/>
  <c r="S726"/>
  <c r="T725"/>
  <c r="S725"/>
  <c r="T724"/>
  <c r="S724"/>
  <c r="T723"/>
  <c r="S723"/>
  <c r="T722"/>
  <c r="S722"/>
  <c r="T721"/>
  <c r="S721"/>
  <c r="T720"/>
  <c r="S720"/>
  <c r="T719"/>
  <c r="S719"/>
  <c r="T718"/>
  <c r="S718"/>
  <c r="T717"/>
  <c r="S717"/>
  <c r="T716"/>
  <c r="S716"/>
  <c r="T715"/>
  <c r="S715"/>
  <c r="T714"/>
  <c r="S714"/>
  <c r="T713"/>
  <c r="S713"/>
  <c r="T712"/>
  <c r="S712"/>
  <c r="T711"/>
  <c r="S711"/>
  <c r="T710"/>
  <c r="S710"/>
  <c r="T709"/>
  <c r="S709"/>
  <c r="T708"/>
  <c r="S708"/>
  <c r="T707"/>
  <c r="S707"/>
  <c r="T706"/>
  <c r="S706"/>
  <c r="T705"/>
  <c r="S705"/>
  <c r="T704"/>
  <c r="S704"/>
  <c r="T703"/>
  <c r="S703"/>
  <c r="T702"/>
  <c r="S702"/>
  <c r="T701"/>
  <c r="S701"/>
  <c r="T700"/>
  <c r="S700"/>
  <c r="T699"/>
  <c r="S699"/>
  <c r="T698"/>
  <c r="S698"/>
  <c r="T697"/>
  <c r="S697"/>
  <c r="T696"/>
  <c r="S696"/>
  <c r="T695"/>
  <c r="S695"/>
  <c r="T694"/>
  <c r="S694"/>
  <c r="T693"/>
  <c r="S693"/>
  <c r="T692"/>
  <c r="S692"/>
  <c r="T691"/>
  <c r="S691"/>
  <c r="T690"/>
  <c r="S690"/>
  <c r="T689"/>
  <c r="S689"/>
  <c r="T688"/>
  <c r="S688"/>
  <c r="T687"/>
  <c r="S687"/>
  <c r="T686"/>
  <c r="S686"/>
  <c r="T685"/>
  <c r="S685"/>
  <c r="T684"/>
  <c r="S684"/>
  <c r="T683"/>
  <c r="S683"/>
  <c r="T682"/>
  <c r="S682"/>
  <c r="T681"/>
  <c r="S681"/>
  <c r="T680"/>
  <c r="S680"/>
  <c r="T679"/>
  <c r="S679"/>
  <c r="T678"/>
  <c r="S678"/>
  <c r="T677"/>
  <c r="S677"/>
  <c r="T676"/>
  <c r="S676"/>
  <c r="T675"/>
  <c r="S675"/>
  <c r="T674"/>
  <c r="S674"/>
  <c r="T673"/>
  <c r="S673"/>
  <c r="T672"/>
  <c r="S672"/>
  <c r="T671"/>
  <c r="S671"/>
  <c r="T670"/>
  <c r="S670"/>
  <c r="T669"/>
  <c r="S669"/>
  <c r="T668"/>
  <c r="S668"/>
  <c r="T667"/>
  <c r="S667"/>
  <c r="V667"/>
  <c r="T666"/>
  <c r="S666"/>
  <c r="T665"/>
  <c r="S665"/>
  <c r="T664"/>
  <c r="S664"/>
  <c r="T663"/>
  <c r="S663"/>
  <c r="T662"/>
  <c r="S662"/>
  <c r="T661"/>
  <c r="S661"/>
  <c r="T660"/>
  <c r="S660"/>
  <c r="T659"/>
  <c r="S659"/>
  <c r="T658"/>
  <c r="S658"/>
  <c r="T657"/>
  <c r="S657"/>
  <c r="T656"/>
  <c r="S656"/>
  <c r="T655"/>
  <c r="S655"/>
  <c r="T654"/>
  <c r="S654"/>
  <c r="T653"/>
  <c r="S653"/>
  <c r="T652"/>
  <c r="S652"/>
  <c r="T651"/>
  <c r="S651"/>
  <c r="T650"/>
  <c r="S650"/>
  <c r="T649"/>
  <c r="S649"/>
  <c r="T648"/>
  <c r="S648"/>
  <c r="T647"/>
  <c r="S647"/>
  <c r="T646"/>
  <c r="S646"/>
  <c r="T645"/>
  <c r="S645"/>
  <c r="T644"/>
  <c r="S644"/>
  <c r="T643"/>
  <c r="S643"/>
  <c r="T642"/>
  <c r="S642"/>
  <c r="T641"/>
  <c r="S641"/>
  <c r="T640"/>
  <c r="S640"/>
  <c r="V640"/>
  <c r="T639"/>
  <c r="S639"/>
  <c r="T638"/>
  <c r="S638"/>
  <c r="T637"/>
  <c r="S637"/>
  <c r="T636"/>
  <c r="S636"/>
  <c r="T635"/>
  <c r="S635"/>
  <c r="T634"/>
  <c r="S634"/>
  <c r="T633"/>
  <c r="S633"/>
  <c r="T632"/>
  <c r="S632"/>
  <c r="T631"/>
  <c r="S631"/>
  <c r="T630"/>
  <c r="S630"/>
  <c r="T629"/>
  <c r="S629"/>
  <c r="T628"/>
  <c r="S628"/>
  <c r="T627"/>
  <c r="S627"/>
  <c r="T626"/>
  <c r="S626"/>
  <c r="T625"/>
  <c r="S625"/>
  <c r="T624"/>
  <c r="S624"/>
  <c r="T623"/>
  <c r="S623"/>
  <c r="T622"/>
  <c r="S622"/>
  <c r="T621"/>
  <c r="S621"/>
  <c r="T620"/>
  <c r="S620"/>
  <c r="T619"/>
  <c r="S619"/>
  <c r="T618"/>
  <c r="S618"/>
  <c r="T617"/>
  <c r="S617"/>
  <c r="T616"/>
  <c r="S616"/>
  <c r="T615"/>
  <c r="S615"/>
  <c r="T614"/>
  <c r="S614"/>
  <c r="T613"/>
  <c r="S613"/>
  <c r="T612"/>
  <c r="S612"/>
  <c r="T611"/>
  <c r="S611"/>
  <c r="T610"/>
  <c r="S610"/>
  <c r="T609"/>
  <c r="S609"/>
  <c r="S608"/>
  <c r="T607"/>
  <c r="S607"/>
  <c r="T606"/>
  <c r="S606"/>
  <c r="T605"/>
  <c r="S605"/>
  <c r="S604"/>
  <c r="T603"/>
  <c r="S603"/>
  <c r="T602"/>
  <c r="S602"/>
  <c r="T600"/>
  <c r="S600"/>
  <c r="T599"/>
  <c r="S599"/>
  <c r="T598"/>
  <c r="S598"/>
  <c r="T597"/>
  <c r="S597"/>
  <c r="T596"/>
  <c r="S596"/>
  <c r="T595"/>
  <c r="S595"/>
  <c r="T594"/>
  <c r="S594"/>
  <c r="T593"/>
  <c r="S593"/>
  <c r="T592"/>
  <c r="S592"/>
  <c r="T591"/>
  <c r="S591"/>
  <c r="T590"/>
  <c r="S590"/>
  <c r="T589"/>
  <c r="S589"/>
  <c r="T588"/>
  <c r="S588"/>
  <c r="T587"/>
  <c r="S587"/>
  <c r="T586"/>
  <c r="S586"/>
  <c r="T585"/>
  <c r="S585"/>
  <c r="T584"/>
  <c r="S584"/>
  <c r="T583"/>
  <c r="S583"/>
  <c r="T582"/>
  <c r="S582"/>
  <c r="T581"/>
  <c r="S581"/>
  <c r="T580"/>
  <c r="S579"/>
  <c r="T578"/>
  <c r="T577"/>
  <c r="T576"/>
  <c r="S575"/>
  <c r="S574"/>
  <c r="S573"/>
  <c r="T572"/>
  <c r="T571"/>
  <c r="T569"/>
  <c r="T568"/>
  <c r="T567"/>
  <c r="T566"/>
  <c r="T565"/>
  <c r="S565"/>
  <c r="T564"/>
  <c r="S564"/>
  <c r="T563"/>
  <c r="S563"/>
  <c r="T562"/>
  <c r="S562"/>
  <c r="T561"/>
  <c r="S561"/>
  <c r="T560"/>
  <c r="S560"/>
  <c r="T559"/>
  <c r="S559"/>
  <c r="T558"/>
  <c r="S558"/>
  <c r="T557"/>
  <c r="S557"/>
  <c r="T556"/>
  <c r="S556"/>
  <c r="T555"/>
  <c r="S555"/>
  <c r="T554"/>
  <c r="S554"/>
  <c r="T553"/>
  <c r="S553"/>
  <c r="T552"/>
  <c r="S552"/>
  <c r="T551"/>
  <c r="S551"/>
  <c r="T550"/>
  <c r="S550"/>
  <c r="T549"/>
  <c r="S549"/>
  <c r="T548"/>
  <c r="S548"/>
  <c r="T547"/>
  <c r="S547"/>
  <c r="T546"/>
  <c r="S546"/>
  <c r="T545"/>
  <c r="S545"/>
  <c r="T544"/>
  <c r="S544"/>
  <c r="T543"/>
  <c r="S543"/>
  <c r="T542"/>
  <c r="S542"/>
  <c r="T541"/>
  <c r="S541"/>
  <c r="T540"/>
  <c r="S540"/>
  <c r="T539"/>
  <c r="S539"/>
  <c r="T538"/>
  <c r="S538"/>
  <c r="T537"/>
  <c r="S537"/>
  <c r="T536"/>
  <c r="S536"/>
  <c r="T535"/>
  <c r="S535"/>
  <c r="T534"/>
  <c r="S534"/>
  <c r="T533"/>
  <c r="S533"/>
  <c r="T532"/>
  <c r="S532"/>
  <c r="T531"/>
  <c r="S531"/>
  <c r="T530"/>
  <c r="S530"/>
  <c r="T529"/>
  <c r="S529"/>
  <c r="T528"/>
  <c r="S528"/>
  <c r="T527"/>
  <c r="S527"/>
  <c r="T526"/>
  <c r="S526"/>
  <c r="T525"/>
  <c r="S525"/>
  <c r="T524"/>
  <c r="S524"/>
  <c r="T523"/>
  <c r="S523"/>
  <c r="T522"/>
  <c r="S522"/>
  <c r="T521"/>
  <c r="S521"/>
  <c r="T520"/>
  <c r="S520"/>
  <c r="T519"/>
  <c r="S519"/>
  <c r="T518"/>
  <c r="S518"/>
  <c r="T517"/>
  <c r="S517"/>
  <c r="T516"/>
  <c r="S516"/>
  <c r="T515"/>
  <c r="S515"/>
  <c r="T514"/>
  <c r="S514"/>
  <c r="T513"/>
  <c r="S513"/>
  <c r="T512"/>
  <c r="S512"/>
  <c r="T511"/>
  <c r="S511"/>
  <c r="T510"/>
  <c r="S510"/>
  <c r="T509"/>
  <c r="S509"/>
  <c r="T508"/>
  <c r="S508"/>
  <c r="T507"/>
  <c r="S507"/>
  <c r="T506"/>
  <c r="S506"/>
  <c r="T505"/>
  <c r="S505"/>
  <c r="T504"/>
  <c r="S504"/>
  <c r="T503"/>
  <c r="S503"/>
  <c r="T502"/>
  <c r="S502"/>
  <c r="T501"/>
  <c r="S501"/>
  <c r="T500"/>
  <c r="S500"/>
  <c r="T499"/>
  <c r="S499"/>
  <c r="T498"/>
  <c r="S498"/>
  <c r="T497"/>
  <c r="S497"/>
  <c r="T496"/>
  <c r="S496"/>
  <c r="T495"/>
  <c r="S495"/>
  <c r="T494"/>
  <c r="S494"/>
  <c r="T493"/>
  <c r="S493"/>
  <c r="T492"/>
  <c r="S492"/>
  <c r="T491"/>
  <c r="S491"/>
  <c r="T490"/>
  <c r="S490"/>
  <c r="T489"/>
  <c r="S489"/>
  <c r="T488"/>
  <c r="S488"/>
  <c r="T487"/>
  <c r="S487"/>
  <c r="T486"/>
  <c r="S486"/>
  <c r="T485"/>
  <c r="S485"/>
  <c r="T484"/>
  <c r="S484"/>
  <c r="T483"/>
  <c r="S483"/>
  <c r="T482"/>
  <c r="S482"/>
  <c r="T481"/>
  <c r="S481"/>
  <c r="T480"/>
  <c r="S480"/>
  <c r="T479"/>
  <c r="S479"/>
  <c r="T478"/>
  <c r="S478"/>
  <c r="T477"/>
  <c r="S477"/>
  <c r="T476"/>
  <c r="S476"/>
  <c r="T475"/>
  <c r="S475"/>
  <c r="T474"/>
  <c r="S474"/>
  <c r="T473"/>
  <c r="S473"/>
  <c r="T472"/>
  <c r="S472"/>
  <c r="T471"/>
  <c r="S471"/>
  <c r="T470"/>
  <c r="S470"/>
  <c r="T469"/>
  <c r="S469"/>
  <c r="T468"/>
  <c r="S468"/>
  <c r="T467"/>
  <c r="S467"/>
  <c r="T466"/>
  <c r="S466"/>
  <c r="T465"/>
  <c r="S465"/>
  <c r="T464"/>
  <c r="S464"/>
  <c r="T463"/>
  <c r="S463"/>
  <c r="T462"/>
  <c r="S462"/>
  <c r="T461"/>
  <c r="S461"/>
  <c r="T460"/>
  <c r="S460"/>
  <c r="T459"/>
  <c r="S459"/>
  <c r="T458"/>
  <c r="S458"/>
  <c r="T457"/>
  <c r="S457"/>
  <c r="T456"/>
  <c r="S456"/>
  <c r="T455"/>
  <c r="S455"/>
  <c r="T454"/>
  <c r="S454"/>
  <c r="T453"/>
  <c r="S453"/>
  <c r="T452"/>
  <c r="S452"/>
  <c r="T451"/>
  <c r="S451"/>
  <c r="T450"/>
  <c r="S450"/>
  <c r="T449"/>
  <c r="S449"/>
  <c r="T448"/>
  <c r="S448"/>
  <c r="T447"/>
  <c r="S447"/>
  <c r="T446"/>
  <c r="S446"/>
  <c r="T445"/>
  <c r="S445"/>
  <c r="T444"/>
  <c r="S444"/>
  <c r="T443"/>
  <c r="S443"/>
  <c r="T442"/>
  <c r="S442"/>
  <c r="T441"/>
  <c r="S441"/>
  <c r="T440"/>
  <c r="S440"/>
  <c r="T439"/>
  <c r="S439"/>
  <c r="T438"/>
  <c r="S438"/>
  <c r="T437"/>
  <c r="S437"/>
  <c r="T436"/>
  <c r="S436"/>
  <c r="T435"/>
  <c r="S435"/>
  <c r="T434"/>
  <c r="S434"/>
  <c r="T433"/>
  <c r="S433"/>
  <c r="T432"/>
  <c r="S432"/>
  <c r="T431"/>
  <c r="S431"/>
  <c r="T430"/>
  <c r="S430"/>
  <c r="T429"/>
  <c r="S429"/>
  <c r="T428"/>
  <c r="S428"/>
  <c r="T427"/>
  <c r="S427"/>
  <c r="T426"/>
  <c r="S426"/>
  <c r="T425"/>
  <c r="S425"/>
  <c r="T424"/>
  <c r="S424"/>
  <c r="T423"/>
  <c r="S423"/>
  <c r="T422"/>
  <c r="S422"/>
  <c r="T421"/>
  <c r="S421"/>
  <c r="T420"/>
  <c r="S420"/>
  <c r="T419"/>
  <c r="S419"/>
  <c r="T418"/>
  <c r="S418"/>
  <c r="T417"/>
  <c r="S417"/>
  <c r="T416"/>
  <c r="S415"/>
  <c r="T414"/>
  <c r="S414"/>
  <c r="T413"/>
  <c r="S413"/>
  <c r="T412"/>
  <c r="S412"/>
  <c r="T411"/>
  <c r="S411"/>
  <c r="T410"/>
  <c r="S410"/>
  <c r="T409"/>
  <c r="S409"/>
  <c r="V409"/>
  <c r="T408"/>
  <c r="S408"/>
  <c r="V408"/>
  <c r="T407"/>
  <c r="S407"/>
  <c r="V407"/>
  <c r="T406"/>
  <c r="S406"/>
  <c r="V406"/>
  <c r="T405"/>
  <c r="S405"/>
  <c r="V405"/>
  <c r="T404"/>
  <c r="S404"/>
  <c r="V404"/>
  <c r="T403"/>
  <c r="S403"/>
  <c r="V403"/>
  <c r="T402"/>
  <c r="S402"/>
  <c r="V402"/>
  <c r="T401"/>
  <c r="S401"/>
  <c r="T400"/>
  <c r="S400"/>
  <c r="T399"/>
  <c r="S399"/>
  <c r="T398"/>
  <c r="S398"/>
  <c r="T397"/>
  <c r="S397"/>
  <c r="T396"/>
  <c r="S396"/>
  <c r="T395"/>
  <c r="S395"/>
  <c r="T394"/>
  <c r="S394"/>
  <c r="T393"/>
  <c r="S393"/>
  <c r="T392"/>
  <c r="S392"/>
  <c r="T391"/>
  <c r="S391"/>
  <c r="T390"/>
  <c r="S390"/>
  <c r="T389"/>
  <c r="S389"/>
  <c r="T388"/>
  <c r="S388"/>
  <c r="T387"/>
  <c r="S387"/>
  <c r="T386"/>
  <c r="S386"/>
  <c r="T385"/>
  <c r="S385"/>
  <c r="T384"/>
  <c r="S384"/>
  <c r="T382"/>
  <c r="T381"/>
  <c r="T380"/>
  <c r="S379"/>
  <c r="S378"/>
  <c r="S377"/>
  <c r="S376"/>
  <c r="S375"/>
  <c r="S374"/>
  <c r="S373"/>
  <c r="S372"/>
  <c r="S371"/>
  <c r="S370"/>
  <c r="S369"/>
  <c r="S368"/>
  <c r="T367"/>
  <c r="T366"/>
  <c r="T365"/>
  <c r="T364"/>
  <c r="S363"/>
  <c r="S362"/>
  <c r="S361"/>
  <c r="S360"/>
  <c r="S359"/>
  <c r="S358"/>
  <c r="S357"/>
  <c r="S356"/>
  <c r="S355"/>
  <c r="S354"/>
  <c r="S353"/>
  <c r="S352"/>
  <c r="S351"/>
  <c r="S350"/>
  <c r="S349"/>
  <c r="S348"/>
  <c r="S347"/>
  <c r="S346"/>
  <c r="T345"/>
  <c r="S345"/>
  <c r="T344"/>
  <c r="S344"/>
  <c r="S343"/>
  <c r="S342"/>
  <c r="S341"/>
  <c r="S340"/>
  <c r="S339"/>
  <c r="S338"/>
  <c r="T337"/>
  <c r="S336"/>
  <c r="S335"/>
  <c r="S334"/>
  <c r="S333"/>
  <c r="S332"/>
  <c r="S331"/>
  <c r="T330"/>
  <c r="S330"/>
  <c r="T329"/>
  <c r="S329"/>
  <c r="T328"/>
  <c r="S328"/>
  <c r="T327"/>
  <c r="S327"/>
  <c r="S326"/>
  <c r="S325"/>
  <c r="S324"/>
  <c r="S323"/>
  <c r="T322"/>
  <c r="S322"/>
  <c r="S321"/>
  <c r="S320"/>
  <c r="S319"/>
  <c r="S318"/>
  <c r="S317"/>
  <c r="S316"/>
  <c r="S315"/>
  <c r="S314"/>
  <c r="S313"/>
  <c r="S312"/>
  <c r="S311"/>
  <c r="S310"/>
  <c r="S309"/>
  <c r="S308"/>
  <c r="S307"/>
  <c r="S306"/>
  <c r="S305"/>
  <c r="S304"/>
  <c r="S303"/>
  <c r="S302"/>
  <c r="S301"/>
  <c r="S300"/>
  <c r="S299"/>
  <c r="S298"/>
  <c r="S297"/>
  <c r="S296"/>
  <c r="S295"/>
  <c r="S294"/>
  <c r="S293"/>
  <c r="S292"/>
  <c r="S291"/>
  <c r="S290"/>
  <c r="S289"/>
  <c r="S288"/>
  <c r="S287"/>
  <c r="S286"/>
  <c r="T284"/>
  <c r="S283"/>
  <c r="T282"/>
  <c r="S282"/>
  <c r="T281"/>
  <c r="S281"/>
  <c r="T280"/>
  <c r="S280"/>
  <c r="T279"/>
  <c r="S279"/>
  <c r="T278"/>
  <c r="S278"/>
  <c r="T277"/>
  <c r="S277"/>
  <c r="T276"/>
  <c r="S276"/>
  <c r="T275"/>
  <c r="S275"/>
  <c r="T274"/>
  <c r="S274"/>
  <c r="T273"/>
  <c r="S273"/>
  <c r="T272"/>
  <c r="S272"/>
  <c r="T271"/>
  <c r="S271"/>
  <c r="T270"/>
  <c r="T269"/>
  <c r="T268"/>
  <c r="T267"/>
  <c r="T266"/>
  <c r="T265"/>
  <c r="T264"/>
  <c r="T263"/>
  <c r="T262"/>
  <c r="T261"/>
  <c r="T260"/>
  <c r="T259"/>
  <c r="T258"/>
  <c r="T257"/>
  <c r="S256"/>
  <c r="S255"/>
  <c r="S254"/>
  <c r="S253"/>
  <c r="T252"/>
  <c r="T251"/>
  <c r="S250"/>
  <c r="S249"/>
  <c r="S248"/>
  <c r="S247"/>
  <c r="S246"/>
  <c r="S245"/>
  <c r="T244"/>
  <c r="T243"/>
  <c r="T242"/>
  <c r="T241"/>
  <c r="S240"/>
  <c r="S239"/>
  <c r="T238"/>
  <c r="T237"/>
  <c r="S236"/>
  <c r="T235"/>
  <c r="T234"/>
  <c r="T233"/>
  <c r="T232"/>
  <c r="S231"/>
  <c r="S230"/>
  <c r="S229"/>
  <c r="T228"/>
  <c r="T227"/>
  <c r="T226"/>
  <c r="T225"/>
  <c r="T224"/>
  <c r="S223"/>
  <c r="T222"/>
  <c r="S221"/>
  <c r="T220"/>
  <c r="S219"/>
  <c r="T218"/>
  <c r="S218"/>
  <c r="T217"/>
  <c r="S217"/>
  <c r="T216"/>
  <c r="S216"/>
  <c r="T215"/>
  <c r="S215"/>
  <c r="T214"/>
  <c r="S214"/>
  <c r="T213"/>
  <c r="S213"/>
  <c r="T212"/>
  <c r="S212"/>
  <c r="T211"/>
  <c r="S211"/>
  <c r="T210"/>
  <c r="S210"/>
  <c r="T209"/>
  <c r="S209"/>
  <c r="T208"/>
  <c r="S208"/>
  <c r="T207"/>
  <c r="S207"/>
  <c r="T206"/>
  <c r="S206"/>
  <c r="T205"/>
  <c r="S205"/>
  <c r="T204"/>
  <c r="S204"/>
  <c r="T203"/>
  <c r="S203"/>
  <c r="T202"/>
  <c r="S202"/>
  <c r="T201"/>
  <c r="S201"/>
  <c r="T200"/>
  <c r="S200"/>
  <c r="T199"/>
  <c r="S199"/>
  <c r="T198"/>
  <c r="T197"/>
  <c r="S196"/>
  <c r="T195"/>
  <c r="T194"/>
  <c r="S194"/>
  <c r="T193"/>
  <c r="S193"/>
  <c r="T192"/>
  <c r="S192"/>
  <c r="T191"/>
  <c r="S191"/>
  <c r="T190"/>
  <c r="S189"/>
  <c r="S188"/>
  <c r="T187"/>
  <c r="T186"/>
  <c r="S185"/>
  <c r="T184"/>
  <c r="T183"/>
  <c r="S183"/>
  <c r="T182"/>
  <c r="S182"/>
  <c r="T181"/>
  <c r="S181"/>
  <c r="T180"/>
  <c r="S180"/>
  <c r="T179"/>
  <c r="S179"/>
  <c r="T177"/>
  <c r="S177"/>
  <c r="T176"/>
  <c r="S176"/>
  <c r="T175"/>
  <c r="T174"/>
  <c r="T173"/>
  <c r="S172"/>
  <c r="S171"/>
  <c r="S170"/>
  <c r="S169"/>
  <c r="S168"/>
  <c r="S167"/>
  <c r="S166"/>
  <c r="S165"/>
  <c r="S164"/>
  <c r="S163"/>
  <c r="S162"/>
  <c r="S161"/>
  <c r="T160"/>
  <c r="S160"/>
  <c r="S159"/>
  <c r="S158"/>
  <c r="S157"/>
  <c r="S156"/>
  <c r="S155"/>
  <c r="S154"/>
  <c r="S153"/>
  <c r="S152"/>
  <c r="T151"/>
  <c r="T150"/>
  <c r="S149"/>
  <c r="S148"/>
  <c r="S147"/>
  <c r="T146"/>
  <c r="S145"/>
  <c r="S144"/>
  <c r="T143"/>
  <c r="T142"/>
  <c r="S141"/>
  <c r="T140"/>
  <c r="T139"/>
  <c r="S138"/>
  <c r="S137"/>
  <c r="S136"/>
  <c r="T135"/>
  <c r="S134"/>
  <c r="T133"/>
  <c r="T132"/>
  <c r="S131"/>
  <c r="T130"/>
  <c r="S129"/>
  <c r="T128"/>
  <c r="T127"/>
  <c r="S126"/>
  <c r="T125"/>
  <c r="S124"/>
  <c r="S123"/>
  <c r="T122"/>
  <c r="T121"/>
  <c r="S121"/>
  <c r="T120"/>
  <c r="S120"/>
  <c r="S119"/>
  <c r="T118"/>
  <c r="S117"/>
  <c r="S115"/>
  <c r="T114"/>
  <c r="S112"/>
  <c r="S111"/>
  <c r="S110"/>
  <c r="S109"/>
  <c r="S108"/>
  <c r="S107"/>
  <c r="S106"/>
  <c r="S105"/>
  <c r="S104"/>
  <c r="S103"/>
  <c r="T101"/>
  <c r="T100"/>
  <c r="T99"/>
  <c r="T98"/>
  <c r="T97"/>
  <c r="T96"/>
  <c r="T95"/>
  <c r="T94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T69"/>
  <c r="T68"/>
  <c r="T67"/>
  <c r="T66"/>
  <c r="T65"/>
  <c r="T64"/>
  <c r="T63"/>
  <c r="T62"/>
  <c r="T61"/>
  <c r="S61"/>
  <c r="T60"/>
  <c r="S60"/>
  <c r="T59"/>
  <c r="T58"/>
  <c r="T57"/>
  <c r="T56"/>
  <c r="S55"/>
  <c r="S54"/>
  <c r="T53"/>
  <c r="T52"/>
  <c r="T51"/>
  <c r="T50"/>
  <c r="T49"/>
  <c r="T48"/>
  <c r="T47"/>
  <c r="T46"/>
  <c r="T45"/>
  <c r="T44"/>
  <c r="T43"/>
  <c r="T42"/>
  <c r="T41"/>
  <c r="T40"/>
  <c r="T39"/>
  <c r="T38"/>
  <c r="T37"/>
  <c r="T36"/>
  <c r="T35"/>
  <c r="T34"/>
  <c r="T33"/>
  <c r="T32"/>
  <c r="T31"/>
  <c r="T30"/>
  <c r="T29"/>
  <c r="T28"/>
  <c r="T27"/>
  <c r="T26"/>
  <c r="T15"/>
  <c r="S15"/>
  <c r="T14"/>
  <c r="S14"/>
  <c r="S887" i="20"/>
  <c r="T886"/>
  <c r="T885"/>
  <c r="S884"/>
  <c r="T883"/>
  <c r="S883"/>
  <c r="T882"/>
  <c r="S882"/>
  <c r="T881"/>
  <c r="S881"/>
  <c r="T880"/>
  <c r="S880"/>
  <c r="T879"/>
  <c r="S879"/>
  <c r="T878"/>
  <c r="S878"/>
  <c r="T877"/>
  <c r="S877"/>
  <c r="T876"/>
  <c r="S876"/>
  <c r="T875"/>
  <c r="T874"/>
  <c r="T873"/>
  <c r="T872"/>
  <c r="T871"/>
  <c r="T870"/>
  <c r="T869"/>
  <c r="T868"/>
  <c r="S867"/>
  <c r="S866"/>
  <c r="S865"/>
  <c r="S864"/>
  <c r="S863"/>
  <c r="S862"/>
  <c r="S861"/>
  <c r="S860"/>
  <c r="S859"/>
  <c r="S858"/>
  <c r="T857"/>
  <c r="S857"/>
  <c r="T856"/>
  <c r="S856"/>
  <c r="T855"/>
  <c r="S855"/>
  <c r="T854"/>
  <c r="S854"/>
  <c r="T853"/>
  <c r="S853"/>
  <c r="T852"/>
  <c r="S852"/>
  <c r="T851"/>
  <c r="S851"/>
  <c r="T850"/>
  <c r="S850"/>
  <c r="T849"/>
  <c r="S849"/>
  <c r="T848"/>
  <c r="S846"/>
  <c r="T845"/>
  <c r="T844"/>
  <c r="T843"/>
  <c r="T842"/>
  <c r="S841"/>
  <c r="S840"/>
  <c r="S839"/>
  <c r="S838"/>
  <c r="S837"/>
  <c r="T836"/>
  <c r="T835"/>
  <c r="S834"/>
  <c r="S833"/>
  <c r="S832"/>
  <c r="S887" i="25"/>
  <c r="T886"/>
  <c r="T885"/>
  <c r="S884"/>
  <c r="T883"/>
  <c r="S883"/>
  <c r="T882"/>
  <c r="S882"/>
  <c r="T881"/>
  <c r="S881"/>
  <c r="T880"/>
  <c r="S880"/>
  <c r="T879"/>
  <c r="S879"/>
  <c r="T878"/>
  <c r="S878"/>
  <c r="T877"/>
  <c r="S877"/>
  <c r="T876"/>
  <c r="S876"/>
  <c r="T875"/>
  <c r="T874"/>
  <c r="T873"/>
  <c r="T872"/>
  <c r="T871"/>
  <c r="T870"/>
  <c r="T869"/>
  <c r="T868"/>
  <c r="S867"/>
  <c r="S866"/>
  <c r="S865"/>
  <c r="S864"/>
  <c r="S863"/>
  <c r="S862"/>
  <c r="S861"/>
  <c r="S860"/>
  <c r="S859"/>
  <c r="S858"/>
  <c r="T857"/>
  <c r="S857"/>
  <c r="T856"/>
  <c r="S856"/>
  <c r="T855"/>
  <c r="S855"/>
  <c r="T854"/>
  <c r="S854"/>
  <c r="T853"/>
  <c r="S853"/>
  <c r="T852"/>
  <c r="S852"/>
  <c r="T851"/>
  <c r="S851"/>
  <c r="T850"/>
  <c r="S850"/>
  <c r="T849"/>
  <c r="S849"/>
  <c r="T848"/>
  <c r="S846"/>
  <c r="T845"/>
  <c r="T844"/>
  <c r="T843"/>
  <c r="T842"/>
  <c r="S841"/>
  <c r="S840"/>
  <c r="S839"/>
  <c r="S838"/>
  <c r="S837"/>
  <c r="T836"/>
  <c r="T835"/>
  <c r="S834"/>
  <c r="S833"/>
  <c r="S832"/>
  <c r="S887" i="26"/>
  <c r="T886"/>
  <c r="T885"/>
  <c r="S884"/>
  <c r="T883"/>
  <c r="S883"/>
  <c r="T882"/>
  <c r="S882"/>
  <c r="T881"/>
  <c r="S881"/>
  <c r="T880"/>
  <c r="S880"/>
  <c r="T879"/>
  <c r="S879"/>
  <c r="T878"/>
  <c r="S878"/>
  <c r="T877"/>
  <c r="S877"/>
  <c r="T876"/>
  <c r="S876"/>
  <c r="T875"/>
  <c r="T874"/>
  <c r="T873"/>
  <c r="T872"/>
  <c r="T871"/>
  <c r="T870"/>
  <c r="T869"/>
  <c r="T868"/>
  <c r="S867"/>
  <c r="S866"/>
  <c r="S865"/>
  <c r="S864"/>
  <c r="S863"/>
  <c r="S862"/>
  <c r="S861"/>
  <c r="S860"/>
  <c r="S859"/>
  <c r="S858"/>
  <c r="T857"/>
  <c r="S857"/>
  <c r="T856"/>
  <c r="S856"/>
  <c r="T855"/>
  <c r="S855"/>
  <c r="T854"/>
  <c r="S854"/>
  <c r="T853"/>
  <c r="S853"/>
  <c r="T852"/>
  <c r="S852"/>
  <c r="T851"/>
  <c r="S851"/>
  <c r="T850"/>
  <c r="S850"/>
  <c r="T849"/>
  <c r="S849"/>
  <c r="T848"/>
  <c r="S846"/>
  <c r="T845"/>
  <c r="T844"/>
  <c r="T843"/>
  <c r="T842"/>
  <c r="S841"/>
  <c r="S840"/>
  <c r="S839"/>
  <c r="S838"/>
  <c r="S837"/>
  <c r="T836"/>
  <c r="T835"/>
  <c r="S834"/>
  <c r="S833"/>
  <c r="S832"/>
  <c r="S54" i="27"/>
  <c r="T53"/>
  <c r="AV53" i="1"/>
  <c r="Z53"/>
  <c r="Y53"/>
  <c r="AN53"/>
  <c r="X53"/>
  <c r="AM53"/>
  <c r="AS53" s="1"/>
  <c r="AL53"/>
  <c r="AR53" s="1"/>
  <c r="T53"/>
  <c r="AV52"/>
  <c r="Z52"/>
  <c r="Y52"/>
  <c r="AN52" s="1"/>
  <c r="X52"/>
  <c r="AM52" s="1"/>
  <c r="AS52" s="1"/>
  <c r="AL52"/>
  <c r="AR52" s="1"/>
  <c r="T52"/>
  <c r="AV51"/>
  <c r="Z51"/>
  <c r="Y51"/>
  <c r="AN51" s="1"/>
  <c r="X51"/>
  <c r="AM51" s="1"/>
  <c r="AS51"/>
  <c r="AL51"/>
  <c r="AR51"/>
  <c r="T51"/>
  <c r="AV50"/>
  <c r="Z50"/>
  <c r="Y50"/>
  <c r="AN50" s="1"/>
  <c r="X50"/>
  <c r="AM50" s="1"/>
  <c r="AL50"/>
  <c r="AR50" s="1"/>
  <c r="T50"/>
  <c r="AV49"/>
  <c r="Z49"/>
  <c r="Y49"/>
  <c r="AN49" s="1"/>
  <c r="X49"/>
  <c r="AM49" s="1"/>
  <c r="AL49"/>
  <c r="AR49" s="1"/>
  <c r="T49"/>
  <c r="AV48"/>
  <c r="Z48"/>
  <c r="Y48"/>
  <c r="AN48" s="1"/>
  <c r="X48"/>
  <c r="AM48" s="1"/>
  <c r="AS48" s="1"/>
  <c r="AL48"/>
  <c r="AR48" s="1"/>
  <c r="T48"/>
  <c r="AV47"/>
  <c r="Z47"/>
  <c r="Y47"/>
  <c r="AN47" s="1"/>
  <c r="X47"/>
  <c r="AM47" s="1"/>
  <c r="AS47" s="1"/>
  <c r="AL47"/>
  <c r="AR47" s="1"/>
  <c r="T47"/>
  <c r="AV46"/>
  <c r="Z46"/>
  <c r="Y46"/>
  <c r="AN46" s="1"/>
  <c r="X46"/>
  <c r="AM46" s="1"/>
  <c r="AS46" s="1"/>
  <c r="AL46"/>
  <c r="AR46" s="1"/>
  <c r="T46"/>
  <c r="AV45"/>
  <c r="Z45"/>
  <c r="Y45"/>
  <c r="AN45" s="1"/>
  <c r="X45"/>
  <c r="AM45" s="1"/>
  <c r="AS45" s="1"/>
  <c r="AL45"/>
  <c r="AR45"/>
  <c r="T45"/>
  <c r="AV44"/>
  <c r="Z44"/>
  <c r="Y44"/>
  <c r="AN44" s="1"/>
  <c r="X44"/>
  <c r="AM44" s="1"/>
  <c r="AL44"/>
  <c r="AR44" s="1"/>
  <c r="T44"/>
  <c r="AV43"/>
  <c r="Z43"/>
  <c r="Y43"/>
  <c r="AN43" s="1"/>
  <c r="X43"/>
  <c r="AM43" s="1"/>
  <c r="AS43" s="1"/>
  <c r="AL43"/>
  <c r="AR43"/>
  <c r="T43"/>
  <c r="AV42"/>
  <c r="Z42"/>
  <c r="Y42"/>
  <c r="AN42" s="1"/>
  <c r="X42"/>
  <c r="AM42"/>
  <c r="AS42" s="1"/>
  <c r="AL42"/>
  <c r="AR42"/>
  <c r="T42"/>
  <c r="AV41"/>
  <c r="Z41"/>
  <c r="Y41"/>
  <c r="AN41" s="1"/>
  <c r="X41"/>
  <c r="AM41" s="1"/>
  <c r="AL41"/>
  <c r="AR41" s="1"/>
  <c r="T41"/>
  <c r="AV40"/>
  <c r="Z40"/>
  <c r="Y40"/>
  <c r="AN40" s="1"/>
  <c r="X40"/>
  <c r="AM40" s="1"/>
  <c r="AS40" s="1"/>
  <c r="AL40"/>
  <c r="AR40" s="1"/>
  <c r="T40"/>
  <c r="AV39"/>
  <c r="Z39"/>
  <c r="Y39"/>
  <c r="AN39" s="1"/>
  <c r="X39"/>
  <c r="AM39" s="1"/>
  <c r="AS39" s="1"/>
  <c r="AL39"/>
  <c r="AR39" s="1"/>
  <c r="T39"/>
  <c r="AV38"/>
  <c r="Z38"/>
  <c r="Y38"/>
  <c r="AN38" s="1"/>
  <c r="X38"/>
  <c r="AM38" s="1"/>
  <c r="AS38" s="1"/>
  <c r="AL38"/>
  <c r="AR38"/>
  <c r="T38"/>
  <c r="AV37"/>
  <c r="Z37"/>
  <c r="Y37"/>
  <c r="AN37" s="1"/>
  <c r="X37"/>
  <c r="AM37" s="1"/>
  <c r="AL37"/>
  <c r="AR37" s="1"/>
  <c r="T37"/>
  <c r="AV36"/>
  <c r="Z36"/>
  <c r="Y36"/>
  <c r="AN36" s="1"/>
  <c r="X36"/>
  <c r="AM36" s="1"/>
  <c r="AS36" s="1"/>
  <c r="AL36"/>
  <c r="T36"/>
  <c r="AV35"/>
  <c r="Z35"/>
  <c r="Y35"/>
  <c r="AN35"/>
  <c r="X35"/>
  <c r="AM35"/>
  <c r="AS35" s="1"/>
  <c r="AL35"/>
  <c r="AR35" s="1"/>
  <c r="T35"/>
  <c r="AV34"/>
  <c r="Z34"/>
  <c r="Y34"/>
  <c r="AN34" s="1"/>
  <c r="X34"/>
  <c r="AM34" s="1"/>
  <c r="AS34" s="1"/>
  <c r="AL34"/>
  <c r="T34"/>
  <c r="AV33"/>
  <c r="Z33"/>
  <c r="Y33"/>
  <c r="AN33" s="1"/>
  <c r="X33"/>
  <c r="AM33" s="1"/>
  <c r="AL33"/>
  <c r="T33"/>
  <c r="AV32"/>
  <c r="Z32"/>
  <c r="Y32"/>
  <c r="AN32" s="1"/>
  <c r="X32"/>
  <c r="AM32" s="1"/>
  <c r="AL32"/>
  <c r="AR32" s="1"/>
  <c r="T32"/>
  <c r="AV31"/>
  <c r="Z31"/>
  <c r="Y31"/>
  <c r="AN31" s="1"/>
  <c r="X31"/>
  <c r="AM31" s="1"/>
  <c r="AS31" s="1"/>
  <c r="AL31"/>
  <c r="AR31"/>
  <c r="T31"/>
  <c r="AV30"/>
  <c r="Z30"/>
  <c r="Y30"/>
  <c r="AN30" s="1"/>
  <c r="X30"/>
  <c r="AM30" s="1"/>
  <c r="AL30"/>
  <c r="AR30" s="1"/>
  <c r="T30"/>
  <c r="AV29"/>
  <c r="Z29"/>
  <c r="Y29"/>
  <c r="AN29" s="1"/>
  <c r="X29"/>
  <c r="AM29" s="1"/>
  <c r="AL29"/>
  <c r="T29"/>
  <c r="AV28"/>
  <c r="Z28"/>
  <c r="Y28"/>
  <c r="AN28" s="1"/>
  <c r="X28"/>
  <c r="AM28" s="1"/>
  <c r="AS28" s="1"/>
  <c r="AL28"/>
  <c r="AR28"/>
  <c r="T28"/>
  <c r="AV27"/>
  <c r="Z27"/>
  <c r="Y27"/>
  <c r="AN27" s="1"/>
  <c r="X27"/>
  <c r="AM27" s="1"/>
  <c r="AL27"/>
  <c r="AR27" s="1"/>
  <c r="T27"/>
  <c r="AV26"/>
  <c r="AV179"/>
  <c r="AV93"/>
  <c r="AV92"/>
  <c r="AV91"/>
  <c r="AV90"/>
  <c r="AV16"/>
  <c r="AA53"/>
  <c r="AR29"/>
  <c r="AR33"/>
  <c r="M97" i="4"/>
  <c r="M97" i="8" s="1"/>
  <c r="H97" i="4"/>
  <c r="R829" i="20"/>
  <c r="Q829"/>
  <c r="R829" i="25"/>
  <c r="Q829"/>
  <c r="R829" i="26"/>
  <c r="Q829"/>
  <c r="V25" i="27"/>
  <c r="V24"/>
  <c r="V23"/>
  <c r="V22"/>
  <c r="V21"/>
  <c r="V20"/>
  <c r="V19"/>
  <c r="V18"/>
  <c r="V17"/>
  <c r="V16"/>
  <c r="V93"/>
  <c r="V92"/>
  <c r="V91"/>
  <c r="V90"/>
  <c r="V178"/>
  <c r="V847"/>
  <c r="V570"/>
  <c r="V884"/>
  <c r="V867"/>
  <c r="V866"/>
  <c r="V865"/>
  <c r="V864"/>
  <c r="V863"/>
  <c r="V862"/>
  <c r="V861"/>
  <c r="V860"/>
  <c r="V859"/>
  <c r="V858"/>
  <c r="V846"/>
  <c r="V841"/>
  <c r="V840"/>
  <c r="V839"/>
  <c r="V838"/>
  <c r="V837"/>
  <c r="V834"/>
  <c r="V833"/>
  <c r="V832"/>
  <c r="V608"/>
  <c r="V604"/>
  <c r="V579"/>
  <c r="V575"/>
  <c r="V574"/>
  <c r="V573"/>
  <c r="V415"/>
  <c r="V379"/>
  <c r="V378"/>
  <c r="V377"/>
  <c r="V376"/>
  <c r="V375"/>
  <c r="V374"/>
  <c r="V373"/>
  <c r="V372"/>
  <c r="V371"/>
  <c r="V370"/>
  <c r="V369"/>
  <c r="V368"/>
  <c r="V363"/>
  <c r="V362"/>
  <c r="V361"/>
  <c r="V360"/>
  <c r="V359"/>
  <c r="V358"/>
  <c r="V357"/>
  <c r="V356"/>
  <c r="V355"/>
  <c r="V354"/>
  <c r="V353"/>
  <c r="V352"/>
  <c r="V351"/>
  <c r="V350"/>
  <c r="V349"/>
  <c r="V348"/>
  <c r="V347"/>
  <c r="V346"/>
  <c r="V343"/>
  <c r="V342"/>
  <c r="V341"/>
  <c r="V340"/>
  <c r="V339"/>
  <c r="V338"/>
  <c r="V336"/>
  <c r="V335"/>
  <c r="V334"/>
  <c r="V333"/>
  <c r="V332"/>
  <c r="V331"/>
  <c r="V326"/>
  <c r="V325"/>
  <c r="V324"/>
  <c r="V323"/>
  <c r="V321"/>
  <c r="V320"/>
  <c r="V319"/>
  <c r="V318"/>
  <c r="V317"/>
  <c r="V316"/>
  <c r="V315"/>
  <c r="V314"/>
  <c r="V313"/>
  <c r="V312"/>
  <c r="V311"/>
  <c r="V310"/>
  <c r="V309"/>
  <c r="V308"/>
  <c r="V307"/>
  <c r="V306"/>
  <c r="V305"/>
  <c r="V304"/>
  <c r="V303"/>
  <c r="V302"/>
  <c r="V301"/>
  <c r="V300"/>
  <c r="V299"/>
  <c r="V298"/>
  <c r="V297"/>
  <c r="V296"/>
  <c r="V295"/>
  <c r="V294"/>
  <c r="V293"/>
  <c r="V292"/>
  <c r="V291"/>
  <c r="V290"/>
  <c r="V289"/>
  <c r="V288"/>
  <c r="V287"/>
  <c r="V286"/>
  <c r="V283"/>
  <c r="V256"/>
  <c r="V255"/>
  <c r="V254"/>
  <c r="V253"/>
  <c r="V250"/>
  <c r="V249"/>
  <c r="V248"/>
  <c r="V247"/>
  <c r="V246"/>
  <c r="V245"/>
  <c r="V240"/>
  <c r="V239"/>
  <c r="V236"/>
  <c r="V231"/>
  <c r="V230"/>
  <c r="V229"/>
  <c r="V223"/>
  <c r="V221"/>
  <c r="V219"/>
  <c r="V196"/>
  <c r="V189"/>
  <c r="V188"/>
  <c r="V185"/>
  <c r="V172"/>
  <c r="V171"/>
  <c r="V170"/>
  <c r="V169"/>
  <c r="V168"/>
  <c r="V167"/>
  <c r="V166"/>
  <c r="V165"/>
  <c r="V164"/>
  <c r="V163"/>
  <c r="V162"/>
  <c r="V161"/>
  <c r="V159"/>
  <c r="V158"/>
  <c r="V157"/>
  <c r="V156"/>
  <c r="V155"/>
  <c r="V154"/>
  <c r="V153"/>
  <c r="V152"/>
  <c r="V149"/>
  <c r="V148"/>
  <c r="V147"/>
  <c r="V145"/>
  <c r="V144"/>
  <c r="V141"/>
  <c r="V138"/>
  <c r="V137"/>
  <c r="V136"/>
  <c r="V134"/>
  <c r="V131"/>
  <c r="V129"/>
  <c r="V126"/>
  <c r="V124"/>
  <c r="V123"/>
  <c r="V119"/>
  <c r="V112"/>
  <c r="V111"/>
  <c r="V110"/>
  <c r="V109"/>
  <c r="V108"/>
  <c r="V107"/>
  <c r="V106"/>
  <c r="V105"/>
  <c r="V104"/>
  <c r="V103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55"/>
  <c r="V886"/>
  <c r="V885"/>
  <c r="V875"/>
  <c r="V874"/>
  <c r="V873"/>
  <c r="V872"/>
  <c r="V871"/>
  <c r="V870"/>
  <c r="V869"/>
  <c r="V868"/>
  <c r="V848"/>
  <c r="V845"/>
  <c r="V844"/>
  <c r="V843"/>
  <c r="V842"/>
  <c r="V836"/>
  <c r="V835"/>
  <c r="V580"/>
  <c r="V578"/>
  <c r="V577"/>
  <c r="V576"/>
  <c r="V572"/>
  <c r="V571"/>
  <c r="V569"/>
  <c r="V568"/>
  <c r="V567"/>
  <c r="V566"/>
  <c r="V416"/>
  <c r="V382"/>
  <c r="V381"/>
  <c r="V380"/>
  <c r="V367"/>
  <c r="V366"/>
  <c r="V365"/>
  <c r="V364"/>
  <c r="V337"/>
  <c r="V284"/>
  <c r="V270"/>
  <c r="V269"/>
  <c r="V268"/>
  <c r="V267"/>
  <c r="V266"/>
  <c r="V265"/>
  <c r="V264"/>
  <c r="V263"/>
  <c r="V262"/>
  <c r="V261"/>
  <c r="V260"/>
  <c r="V259"/>
  <c r="V258"/>
  <c r="V257"/>
  <c r="V252"/>
  <c r="V251"/>
  <c r="V244"/>
  <c r="V243"/>
  <c r="V242"/>
  <c r="V241"/>
  <c r="V238"/>
  <c r="V237"/>
  <c r="V235"/>
  <c r="V234"/>
  <c r="V233"/>
  <c r="V232"/>
  <c r="V228"/>
  <c r="V227"/>
  <c r="V226"/>
  <c r="V225"/>
  <c r="V224"/>
  <c r="V222"/>
  <c r="V220"/>
  <c r="V198"/>
  <c r="V197"/>
  <c r="V195"/>
  <c r="V190"/>
  <c r="V187"/>
  <c r="V186"/>
  <c r="V184"/>
  <c r="V175"/>
  <c r="V174"/>
  <c r="V173"/>
  <c r="V151"/>
  <c r="V150"/>
  <c r="V146"/>
  <c r="V143"/>
  <c r="V142"/>
  <c r="V140"/>
  <c r="V139"/>
  <c r="V135"/>
  <c r="V133"/>
  <c r="V132"/>
  <c r="V130"/>
  <c r="V128"/>
  <c r="V127"/>
  <c r="V125"/>
  <c r="V122"/>
  <c r="V118"/>
  <c r="V116"/>
  <c r="V114"/>
  <c r="V101"/>
  <c r="V100"/>
  <c r="V99"/>
  <c r="V98"/>
  <c r="V97"/>
  <c r="V96"/>
  <c r="V95"/>
  <c r="V94"/>
  <c r="V69"/>
  <c r="V68"/>
  <c r="V67"/>
  <c r="V66"/>
  <c r="V65"/>
  <c r="V64"/>
  <c r="V63"/>
  <c r="V62"/>
  <c r="V59"/>
  <c r="V58"/>
  <c r="V57"/>
  <c r="V56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54"/>
  <c r="V53"/>
  <c r="S887"/>
  <c r="S884"/>
  <c r="S867"/>
  <c r="S866"/>
  <c r="S865"/>
  <c r="S864"/>
  <c r="S863"/>
  <c r="S862"/>
  <c r="S861"/>
  <c r="S860"/>
  <c r="S859"/>
  <c r="S858"/>
  <c r="S846"/>
  <c r="S841"/>
  <c r="S840"/>
  <c r="S839"/>
  <c r="S838"/>
  <c r="S837"/>
  <c r="S834"/>
  <c r="S833"/>
  <c r="S832"/>
  <c r="S608"/>
  <c r="S604"/>
  <c r="S579"/>
  <c r="S575"/>
  <c r="S574"/>
  <c r="S573"/>
  <c r="T580"/>
  <c r="T578"/>
  <c r="T577"/>
  <c r="T576"/>
  <c r="T572"/>
  <c r="T571"/>
  <c r="T569"/>
  <c r="T568"/>
  <c r="T567"/>
  <c r="T566"/>
  <c r="T416"/>
  <c r="S415"/>
  <c r="T382"/>
  <c r="T381"/>
  <c r="T380"/>
  <c r="T367"/>
  <c r="T366"/>
  <c r="T365"/>
  <c r="T364"/>
  <c r="T337"/>
  <c r="S379"/>
  <c r="S378"/>
  <c r="S377"/>
  <c r="S376"/>
  <c r="S375"/>
  <c r="S374"/>
  <c r="S373"/>
  <c r="S372"/>
  <c r="S371"/>
  <c r="S370"/>
  <c r="S369"/>
  <c r="S368"/>
  <c r="S363"/>
  <c r="S362"/>
  <c r="S361"/>
  <c r="S360"/>
  <c r="S359"/>
  <c r="S358"/>
  <c r="S357"/>
  <c r="S356"/>
  <c r="S355"/>
  <c r="S354"/>
  <c r="S353"/>
  <c r="S352"/>
  <c r="S351"/>
  <c r="S350"/>
  <c r="S349"/>
  <c r="S348"/>
  <c r="S347"/>
  <c r="S346"/>
  <c r="S343"/>
  <c r="S342"/>
  <c r="S341"/>
  <c r="S340"/>
  <c r="S339"/>
  <c r="S338"/>
  <c r="S336"/>
  <c r="S335"/>
  <c r="S334"/>
  <c r="S333"/>
  <c r="S332"/>
  <c r="S331"/>
  <c r="S326"/>
  <c r="S325"/>
  <c r="S324"/>
  <c r="S323"/>
  <c r="S321"/>
  <c r="S320"/>
  <c r="S319"/>
  <c r="S318"/>
  <c r="S317"/>
  <c r="S316"/>
  <c r="S315"/>
  <c r="S314"/>
  <c r="S313"/>
  <c r="S312"/>
  <c r="S311"/>
  <c r="S310"/>
  <c r="S309"/>
  <c r="S308"/>
  <c r="S307"/>
  <c r="S306"/>
  <c r="S305"/>
  <c r="S304"/>
  <c r="S303"/>
  <c r="S302"/>
  <c r="S301"/>
  <c r="S300"/>
  <c r="S299"/>
  <c r="S298"/>
  <c r="S297"/>
  <c r="S296"/>
  <c r="S295"/>
  <c r="S294"/>
  <c r="S293"/>
  <c r="S290"/>
  <c r="S289"/>
  <c r="S292"/>
  <c r="S291"/>
  <c r="S288"/>
  <c r="S287"/>
  <c r="S283"/>
  <c r="S256"/>
  <c r="S255"/>
  <c r="S254"/>
  <c r="S253"/>
  <c r="S250"/>
  <c r="S249"/>
  <c r="S248"/>
  <c r="S247"/>
  <c r="S246"/>
  <c r="S245"/>
  <c r="S240"/>
  <c r="S239"/>
  <c r="S236"/>
  <c r="T284"/>
  <c r="T270"/>
  <c r="T269"/>
  <c r="T268"/>
  <c r="T267"/>
  <c r="T266"/>
  <c r="T265"/>
  <c r="T264"/>
  <c r="T263"/>
  <c r="T262"/>
  <c r="T261"/>
  <c r="T260"/>
  <c r="T259"/>
  <c r="T258"/>
  <c r="T257"/>
  <c r="T252"/>
  <c r="T251"/>
  <c r="T244"/>
  <c r="T243"/>
  <c r="T242"/>
  <c r="T241"/>
  <c r="T238"/>
  <c r="T237"/>
  <c r="T235"/>
  <c r="T234"/>
  <c r="T233"/>
  <c r="T232"/>
  <c r="S231"/>
  <c r="S230"/>
  <c r="S229"/>
  <c r="S223"/>
  <c r="S221"/>
  <c r="S219"/>
  <c r="T228"/>
  <c r="T227"/>
  <c r="T226"/>
  <c r="T225"/>
  <c r="T224"/>
  <c r="T222"/>
  <c r="T220"/>
  <c r="T198"/>
  <c r="T197"/>
  <c r="T195"/>
  <c r="S196"/>
  <c r="S189"/>
  <c r="S188"/>
  <c r="S185"/>
  <c r="T190"/>
  <c r="T187"/>
  <c r="T186"/>
  <c r="T184"/>
  <c r="S172"/>
  <c r="S171"/>
  <c r="S170"/>
  <c r="S169"/>
  <c r="S168"/>
  <c r="S167"/>
  <c r="S166"/>
  <c r="S165"/>
  <c r="S164"/>
  <c r="S163"/>
  <c r="S162"/>
  <c r="S161"/>
  <c r="S159"/>
  <c r="S158"/>
  <c r="S157"/>
  <c r="S156"/>
  <c r="S155"/>
  <c r="S154"/>
  <c r="S153"/>
  <c r="S152"/>
  <c r="T151"/>
  <c r="T150"/>
  <c r="T146"/>
  <c r="T143"/>
  <c r="T142"/>
  <c r="T140"/>
  <c r="T139"/>
  <c r="S149"/>
  <c r="S148"/>
  <c r="S147"/>
  <c r="S145"/>
  <c r="S144"/>
  <c r="S141"/>
  <c r="S138"/>
  <c r="S137"/>
  <c r="S136"/>
  <c r="S134"/>
  <c r="S131"/>
  <c r="S129"/>
  <c r="S126"/>
  <c r="S124"/>
  <c r="S123"/>
  <c r="S112"/>
  <c r="S111"/>
  <c r="S110"/>
  <c r="S109"/>
  <c r="S108"/>
  <c r="S107"/>
  <c r="S106"/>
  <c r="S105"/>
  <c r="S104"/>
  <c r="S103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T8" i="36"/>
  <c r="T4"/>
  <c r="E22" i="38"/>
  <c r="I22" s="1"/>
  <c r="E21"/>
  <c r="I21" s="1"/>
  <c r="E20"/>
  <c r="I20" s="1"/>
  <c r="E19"/>
  <c r="I19" s="1"/>
  <c r="E18"/>
  <c r="I18" s="1"/>
  <c r="E17"/>
  <c r="I17" s="1"/>
  <c r="E16"/>
  <c r="I16" s="1"/>
  <c r="E15"/>
  <c r="I15" s="1"/>
  <c r="E14"/>
  <c r="I14" s="1"/>
  <c r="E13"/>
  <c r="I13" s="1"/>
  <c r="E12"/>
  <c r="I12" s="1"/>
  <c r="E11"/>
  <c r="I11" s="1"/>
  <c r="E10"/>
  <c r="I10" s="1"/>
  <c r="E9"/>
  <c r="I9" s="1"/>
  <c r="E37"/>
  <c r="I37" s="1"/>
  <c r="E36"/>
  <c r="I36" s="1"/>
  <c r="E35"/>
  <c r="I35" s="1"/>
  <c r="E34"/>
  <c r="I34" s="1"/>
  <c r="E33"/>
  <c r="I33" s="1"/>
  <c r="E32"/>
  <c r="I32" s="1"/>
  <c r="E31"/>
  <c r="I31" s="1"/>
  <c r="E30"/>
  <c r="I30" s="1"/>
  <c r="E29"/>
  <c r="I29" s="1"/>
  <c r="E28"/>
  <c r="I28" s="1"/>
  <c r="E27"/>
  <c r="I27" s="1"/>
  <c r="E26"/>
  <c r="I26" s="1"/>
  <c r="E25"/>
  <c r="I25" s="1"/>
  <c r="E51"/>
  <c r="I51" s="1"/>
  <c r="E50"/>
  <c r="I50" s="1"/>
  <c r="E49"/>
  <c r="I49" s="1"/>
  <c r="E48"/>
  <c r="I48" s="1"/>
  <c r="E47"/>
  <c r="I47" s="1"/>
  <c r="E46"/>
  <c r="I46" s="1"/>
  <c r="E45"/>
  <c r="I45" s="1"/>
  <c r="E44"/>
  <c r="I44" s="1"/>
  <c r="E43"/>
  <c r="I43" s="1"/>
  <c r="E42"/>
  <c r="I42" s="1"/>
  <c r="E41"/>
  <c r="I41" s="1"/>
  <c r="E40"/>
  <c r="I40" s="1"/>
  <c r="E63"/>
  <c r="I63" s="1"/>
  <c r="E62"/>
  <c r="I62" s="1"/>
  <c r="E61"/>
  <c r="I61" s="1"/>
  <c r="E60"/>
  <c r="I60" s="1"/>
  <c r="E59"/>
  <c r="I59" s="1"/>
  <c r="E58"/>
  <c r="I58" s="1"/>
  <c r="E57"/>
  <c r="I57" s="1"/>
  <c r="E56"/>
  <c r="I56" s="1"/>
  <c r="E55"/>
  <c r="I55" s="1"/>
  <c r="E54"/>
  <c r="I54" s="1"/>
  <c r="E76"/>
  <c r="I76" s="1"/>
  <c r="E75"/>
  <c r="I75" s="1"/>
  <c r="E74"/>
  <c r="I74" s="1"/>
  <c r="E73"/>
  <c r="I73" s="1"/>
  <c r="E72"/>
  <c r="I72" s="1"/>
  <c r="E71"/>
  <c r="I71" s="1"/>
  <c r="E70"/>
  <c r="I70" s="1"/>
  <c r="E69"/>
  <c r="I69" s="1"/>
  <c r="E68"/>
  <c r="I68" s="1"/>
  <c r="E67"/>
  <c r="I67" s="1"/>
  <c r="E66"/>
  <c r="I66" s="1"/>
  <c r="E89"/>
  <c r="I89" s="1"/>
  <c r="E88"/>
  <c r="I88" s="1"/>
  <c r="E87"/>
  <c r="I87" s="1"/>
  <c r="E86"/>
  <c r="I86" s="1"/>
  <c r="E85"/>
  <c r="I85" s="1"/>
  <c r="E84"/>
  <c r="I84" s="1"/>
  <c r="E83"/>
  <c r="I83" s="1"/>
  <c r="E82"/>
  <c r="I82" s="1"/>
  <c r="E81"/>
  <c r="I81" s="1"/>
  <c r="E80"/>
  <c r="I80" s="1"/>
  <c r="E79"/>
  <c r="I79" s="1"/>
  <c r="E95"/>
  <c r="I95" s="1"/>
  <c r="E94"/>
  <c r="I94" s="1"/>
  <c r="E93"/>
  <c r="I93" s="1"/>
  <c r="E92"/>
  <c r="I92" s="1"/>
  <c r="E105"/>
  <c r="I105" s="1"/>
  <c r="E104"/>
  <c r="I104" s="1"/>
  <c r="E103"/>
  <c r="I103" s="1"/>
  <c r="E102"/>
  <c r="I102" s="1"/>
  <c r="E101"/>
  <c r="I101" s="1"/>
  <c r="E100"/>
  <c r="I100" s="1"/>
  <c r="E99"/>
  <c r="I99" s="1"/>
  <c r="E98"/>
  <c r="I98" s="1"/>
  <c r="E114"/>
  <c r="I114" s="1"/>
  <c r="E113"/>
  <c r="I113" s="1"/>
  <c r="E112"/>
  <c r="I112" s="1"/>
  <c r="E111"/>
  <c r="I111" s="1"/>
  <c r="E110"/>
  <c r="I110" s="1"/>
  <c r="E109"/>
  <c r="I109" s="1"/>
  <c r="E108"/>
  <c r="I108" s="1"/>
  <c r="E125"/>
  <c r="I125" s="1"/>
  <c r="E124"/>
  <c r="I124" s="1"/>
  <c r="E123"/>
  <c r="I123" s="1"/>
  <c r="E122"/>
  <c r="I122" s="1"/>
  <c r="E121"/>
  <c r="I121" s="1"/>
  <c r="E120"/>
  <c r="I120" s="1"/>
  <c r="E119"/>
  <c r="I119" s="1"/>
  <c r="E118"/>
  <c r="I118" s="1"/>
  <c r="E117"/>
  <c r="I117" s="1"/>
  <c r="E135"/>
  <c r="I135" s="1"/>
  <c r="E134"/>
  <c r="I134" s="1"/>
  <c r="E133"/>
  <c r="I133" s="1"/>
  <c r="E132"/>
  <c r="I132" s="1"/>
  <c r="E131"/>
  <c r="I131" s="1"/>
  <c r="E130"/>
  <c r="I130" s="1"/>
  <c r="E129"/>
  <c r="I129" s="1"/>
  <c r="E128"/>
  <c r="I128" s="1"/>
  <c r="E148"/>
  <c r="I148" s="1"/>
  <c r="E147"/>
  <c r="I147" s="1"/>
  <c r="E146"/>
  <c r="I146" s="1"/>
  <c r="E145"/>
  <c r="I145" s="1"/>
  <c r="E144"/>
  <c r="I144" s="1"/>
  <c r="E143"/>
  <c r="I143" s="1"/>
  <c r="E142"/>
  <c r="I142" s="1"/>
  <c r="E141"/>
  <c r="I141" s="1"/>
  <c r="E140"/>
  <c r="I140" s="1"/>
  <c r="E139"/>
  <c r="I139" s="1"/>
  <c r="E138"/>
  <c r="I138" s="1"/>
  <c r="E162"/>
  <c r="I162" s="1"/>
  <c r="E161"/>
  <c r="I161" s="1"/>
  <c r="E160"/>
  <c r="I160" s="1"/>
  <c r="E159"/>
  <c r="I159" s="1"/>
  <c r="E158"/>
  <c r="I158" s="1"/>
  <c r="E157"/>
  <c r="I157" s="1"/>
  <c r="E156"/>
  <c r="I156" s="1"/>
  <c r="E155"/>
  <c r="I155" s="1"/>
  <c r="E154"/>
  <c r="I154" s="1"/>
  <c r="E153"/>
  <c r="I153" s="1"/>
  <c r="E152"/>
  <c r="I152" s="1"/>
  <c r="E151"/>
  <c r="I151" s="1"/>
  <c r="E170"/>
  <c r="I170" s="1"/>
  <c r="E169"/>
  <c r="I169" s="1"/>
  <c r="E168"/>
  <c r="I168" s="1"/>
  <c r="E167"/>
  <c r="I167" s="1"/>
  <c r="E166"/>
  <c r="I166" s="1"/>
  <c r="E165"/>
  <c r="I165" s="1"/>
  <c r="E183"/>
  <c r="I183" s="1"/>
  <c r="E182"/>
  <c r="I182" s="1"/>
  <c r="E181"/>
  <c r="I181" s="1"/>
  <c r="E180"/>
  <c r="I180" s="1"/>
  <c r="E179"/>
  <c r="I179" s="1"/>
  <c r="E178"/>
  <c r="I178" s="1"/>
  <c r="E177"/>
  <c r="I177" s="1"/>
  <c r="E176"/>
  <c r="I176" s="1"/>
  <c r="E175"/>
  <c r="I175" s="1"/>
  <c r="E174"/>
  <c r="I174" s="1"/>
  <c r="E173"/>
  <c r="I173" s="1"/>
  <c r="E203"/>
  <c r="I203" s="1"/>
  <c r="E202"/>
  <c r="I202" s="1"/>
  <c r="E201"/>
  <c r="I201" s="1"/>
  <c r="E200"/>
  <c r="I200" s="1"/>
  <c r="E199"/>
  <c r="I199" s="1"/>
  <c r="E198"/>
  <c r="I198" s="1"/>
  <c r="E197"/>
  <c r="I197" s="1"/>
  <c r="E196"/>
  <c r="I196" s="1"/>
  <c r="E195"/>
  <c r="I195" s="1"/>
  <c r="E194"/>
  <c r="I194" s="1"/>
  <c r="E193"/>
  <c r="I193" s="1"/>
  <c r="E192"/>
  <c r="I192" s="1"/>
  <c r="E191"/>
  <c r="I191" s="1"/>
  <c r="E190"/>
  <c r="I190" s="1"/>
  <c r="E189"/>
  <c r="I189" s="1"/>
  <c r="E188"/>
  <c r="I188" s="1"/>
  <c r="E187"/>
  <c r="I187" s="1"/>
  <c r="E186"/>
  <c r="I186" s="1"/>
  <c r="E212"/>
  <c r="I212" s="1"/>
  <c r="E211"/>
  <c r="I211" s="1"/>
  <c r="E210"/>
  <c r="I210" s="1"/>
  <c r="E209"/>
  <c r="I209" s="1"/>
  <c r="E208"/>
  <c r="I208" s="1"/>
  <c r="E207"/>
  <c r="I207" s="1"/>
  <c r="E206"/>
  <c r="I206" s="1"/>
  <c r="E222"/>
  <c r="I222" s="1"/>
  <c r="E221"/>
  <c r="I221" s="1"/>
  <c r="E220"/>
  <c r="I220" s="1"/>
  <c r="E219"/>
  <c r="I219" s="1"/>
  <c r="E218"/>
  <c r="I218" s="1"/>
  <c r="E217"/>
  <c r="I217" s="1"/>
  <c r="E216"/>
  <c r="I216" s="1"/>
  <c r="E215"/>
  <c r="I215" s="1"/>
  <c r="E231"/>
  <c r="I231" s="1"/>
  <c r="E230"/>
  <c r="I230" s="1"/>
  <c r="E229"/>
  <c r="I229" s="1"/>
  <c r="E228"/>
  <c r="I228" s="1"/>
  <c r="E227"/>
  <c r="I227" s="1"/>
  <c r="E226"/>
  <c r="I226" s="1"/>
  <c r="E225"/>
  <c r="I225" s="1"/>
  <c r="E237"/>
  <c r="I237" s="1"/>
  <c r="E236"/>
  <c r="I236" s="1"/>
  <c r="E235"/>
  <c r="I235" s="1"/>
  <c r="E234"/>
  <c r="I234" s="1"/>
  <c r="E249"/>
  <c r="I249" s="1"/>
  <c r="E248"/>
  <c r="I248" s="1"/>
  <c r="E247"/>
  <c r="I247" s="1"/>
  <c r="E246"/>
  <c r="I246" s="1"/>
  <c r="E245"/>
  <c r="I245" s="1"/>
  <c r="E244"/>
  <c r="I244" s="1"/>
  <c r="E243"/>
  <c r="I243" s="1"/>
  <c r="E242"/>
  <c r="I242" s="1"/>
  <c r="E241"/>
  <c r="I241" s="1"/>
  <c r="E240"/>
  <c r="I240" s="1"/>
  <c r="E276"/>
  <c r="I276" s="1"/>
  <c r="E300"/>
  <c r="I300" s="1"/>
  <c r="E299"/>
  <c r="I299" s="1"/>
  <c r="E298"/>
  <c r="I298" s="1"/>
  <c r="E297"/>
  <c r="I297" s="1"/>
  <c r="E296"/>
  <c r="I296" s="1"/>
  <c r="E295"/>
  <c r="I295" s="1"/>
  <c r="E294"/>
  <c r="I294" s="1"/>
  <c r="E293"/>
  <c r="I293" s="1"/>
  <c r="E292"/>
  <c r="I292" s="1"/>
  <c r="E291"/>
  <c r="I291" s="1"/>
  <c r="E290"/>
  <c r="I290" s="1"/>
  <c r="E289"/>
  <c r="I289" s="1"/>
  <c r="E288"/>
  <c r="I288" s="1"/>
  <c r="E287"/>
  <c r="I287" s="1"/>
  <c r="E286"/>
  <c r="I286" s="1"/>
  <c r="E285"/>
  <c r="I285" s="1"/>
  <c r="E284"/>
  <c r="I284" s="1"/>
  <c r="E283"/>
  <c r="I283" s="1"/>
  <c r="E282"/>
  <c r="I282" s="1"/>
  <c r="E281"/>
  <c r="I281" s="1"/>
  <c r="E280"/>
  <c r="I280" s="1"/>
  <c r="E279"/>
  <c r="I279" s="1"/>
  <c r="E306"/>
  <c r="I306" s="1"/>
  <c r="E305"/>
  <c r="I305" s="1"/>
  <c r="E304"/>
  <c r="I304" s="1"/>
  <c r="E303"/>
  <c r="I303" s="1"/>
  <c r="E313"/>
  <c r="I313" s="1"/>
  <c r="E312"/>
  <c r="I312" s="1"/>
  <c r="E311"/>
  <c r="I311" s="1"/>
  <c r="E310"/>
  <c r="I310" s="1"/>
  <c r="E309"/>
  <c r="I309" s="1"/>
  <c r="E308"/>
  <c r="I308" s="1"/>
  <c r="E307"/>
  <c r="I307" s="1"/>
  <c r="E320"/>
  <c r="I320" s="1"/>
  <c r="E319"/>
  <c r="I319" s="1"/>
  <c r="E318"/>
  <c r="I318" s="1"/>
  <c r="E317"/>
  <c r="I317" s="1"/>
  <c r="E316"/>
  <c r="I316" s="1"/>
  <c r="E333"/>
  <c r="I333" s="1"/>
  <c r="E332"/>
  <c r="I332" s="1"/>
  <c r="E331"/>
  <c r="I331" s="1"/>
  <c r="E330"/>
  <c r="I330" s="1"/>
  <c r="E329"/>
  <c r="I329" s="1"/>
  <c r="E328"/>
  <c r="I328" s="1"/>
  <c r="E327"/>
  <c r="I327" s="1"/>
  <c r="E326"/>
  <c r="I326" s="1"/>
  <c r="E325"/>
  <c r="I325" s="1"/>
  <c r="E324"/>
  <c r="I324" s="1"/>
  <c r="E323"/>
  <c r="I323" s="1"/>
  <c r="E345"/>
  <c r="I345" s="1"/>
  <c r="E344"/>
  <c r="I344" s="1"/>
  <c r="E343"/>
  <c r="I343" s="1"/>
  <c r="E342"/>
  <c r="I342" s="1"/>
  <c r="E341"/>
  <c r="I341" s="1"/>
  <c r="E340"/>
  <c r="I340" s="1"/>
  <c r="E339"/>
  <c r="I339" s="1"/>
  <c r="E338"/>
  <c r="I338" s="1"/>
  <c r="E337"/>
  <c r="I337" s="1"/>
  <c r="E336"/>
  <c r="I336" s="1"/>
  <c r="E352"/>
  <c r="I352" s="1"/>
  <c r="E351"/>
  <c r="I351" s="1"/>
  <c r="E350"/>
  <c r="I350" s="1"/>
  <c r="E349"/>
  <c r="I349" s="1"/>
  <c r="E348"/>
  <c r="I348" s="1"/>
  <c r="E360"/>
  <c r="E359"/>
  <c r="E358"/>
  <c r="E357"/>
  <c r="E355"/>
  <c r="Q75" i="4"/>
  <c r="Q74"/>
  <c r="O63" i="39"/>
  <c r="O62"/>
  <c r="K63"/>
  <c r="K62"/>
  <c r="G63"/>
  <c r="G62"/>
  <c r="Q61"/>
  <c r="P61"/>
  <c r="M61"/>
  <c r="L61"/>
  <c r="I61"/>
  <c r="H61"/>
  <c r="E61"/>
  <c r="D61"/>
  <c r="E53"/>
  <c r="Q53"/>
  <c r="P53"/>
  <c r="Q5"/>
  <c r="P5"/>
  <c r="M53"/>
  <c r="L53"/>
  <c r="M5"/>
  <c r="L5"/>
  <c r="I53"/>
  <c r="H53"/>
  <c r="I5"/>
  <c r="H5"/>
  <c r="Q130"/>
  <c r="P130"/>
  <c r="M130"/>
  <c r="L130"/>
  <c r="I130"/>
  <c r="H130"/>
  <c r="AD910" i="1"/>
  <c r="AD911"/>
  <c r="P910"/>
  <c r="H116" i="30"/>
  <c r="H116" i="29"/>
  <c r="C122" i="39"/>
  <c r="C123"/>
  <c r="C124"/>
  <c r="C125"/>
  <c r="C117"/>
  <c r="C118"/>
  <c r="C119"/>
  <c r="C120"/>
  <c r="C114"/>
  <c r="C115"/>
  <c r="C112"/>
  <c r="C110"/>
  <c r="C104"/>
  <c r="C102"/>
  <c r="C97"/>
  <c r="C98"/>
  <c r="C87"/>
  <c r="C88"/>
  <c r="C89"/>
  <c r="C90"/>
  <c r="C91"/>
  <c r="C92"/>
  <c r="C93"/>
  <c r="C94"/>
  <c r="C83"/>
  <c r="C84"/>
  <c r="C85"/>
  <c r="C78"/>
  <c r="C79"/>
  <c r="C69"/>
  <c r="C70"/>
  <c r="C71"/>
  <c r="C72"/>
  <c r="C73"/>
  <c r="C74"/>
  <c r="C75"/>
  <c r="C76"/>
  <c r="H97" i="8"/>
  <c r="D96"/>
  <c r="D96" i="4"/>
  <c r="E130" i="39"/>
  <c r="D130"/>
  <c r="S15" i="36"/>
  <c r="R15" s="1"/>
  <c r="S13"/>
  <c r="R13" s="1"/>
  <c r="D53" i="39"/>
  <c r="C42"/>
  <c r="C43"/>
  <c r="C44"/>
  <c r="C45"/>
  <c r="C46"/>
  <c r="C47"/>
  <c r="C48"/>
  <c r="C49"/>
  <c r="E5"/>
  <c r="D5"/>
  <c r="M116" i="30"/>
  <c r="D115" i="29"/>
  <c r="D115" i="30"/>
  <c r="M116" i="29"/>
  <c r="AH116" i="1"/>
  <c r="N2"/>
  <c r="N4"/>
  <c r="K74" i="29"/>
  <c r="K74" i="30" s="1"/>
  <c r="K64" i="29"/>
  <c r="K64" i="30" s="1"/>
  <c r="H74" i="29"/>
  <c r="H74" i="30" s="1"/>
  <c r="H64" i="29"/>
  <c r="H64" i="30" s="1"/>
  <c r="E74" i="29"/>
  <c r="E74" i="30" s="1"/>
  <c r="E64" i="29"/>
  <c r="E64" i="30" s="1"/>
  <c r="N64" s="1"/>
  <c r="K61" i="29"/>
  <c r="K61" i="30" s="1"/>
  <c r="H61" i="29"/>
  <c r="H61" i="30" s="1"/>
  <c r="E61" i="29"/>
  <c r="E61" i="30" s="1"/>
  <c r="K51" i="29"/>
  <c r="H51"/>
  <c r="E51"/>
  <c r="Q36" i="8"/>
  <c r="Q62" s="1"/>
  <c r="Q75"/>
  <c r="Q35"/>
  <c r="Q74" s="1"/>
  <c r="A3" i="30"/>
  <c r="A3" i="29"/>
  <c r="A3" i="8"/>
  <c r="A3" i="4"/>
  <c r="G4" i="27"/>
  <c r="D4"/>
  <c r="G4" i="26"/>
  <c r="D4"/>
  <c r="G4" i="25"/>
  <c r="D4"/>
  <c r="G4" i="20"/>
  <c r="D4"/>
  <c r="G4" i="31"/>
  <c r="D4"/>
  <c r="G4" i="35"/>
  <c r="D4"/>
  <c r="G4" i="33"/>
  <c r="D4"/>
  <c r="C8" i="32"/>
  <c r="E2"/>
  <c r="A3" i="7"/>
  <c r="D4" i="32"/>
  <c r="G4"/>
  <c r="Q105" i="8"/>
  <c r="Q104" i="4"/>
  <c r="Q104" i="8"/>
  <c r="Q105" i="4"/>
  <c r="K19" i="29"/>
  <c r="K29"/>
  <c r="K29" i="30" s="1"/>
  <c r="H19" i="29"/>
  <c r="H19" i="30" s="1"/>
  <c r="H29" i="29"/>
  <c r="H29" i="30" s="1"/>
  <c r="E29" i="29"/>
  <c r="E29" i="30" s="1"/>
  <c r="E19" i="29"/>
  <c r="K21"/>
  <c r="H21"/>
  <c r="E21"/>
  <c r="K75"/>
  <c r="K75" i="30" s="1"/>
  <c r="H75" i="29"/>
  <c r="H75" i="30" s="1"/>
  <c r="E75" i="29"/>
  <c r="E75" i="30" s="1"/>
  <c r="K30" i="29"/>
  <c r="K30" i="30" s="1"/>
  <c r="H30" i="29"/>
  <c r="H30" i="30" s="1"/>
  <c r="E30" i="29"/>
  <c r="E30" i="30" s="1"/>
  <c r="J66" i="7"/>
  <c r="J67" s="1"/>
  <c r="J90" s="1"/>
  <c r="D66"/>
  <c r="D67" s="1"/>
  <c r="B59"/>
  <c r="B60"/>
  <c r="B61"/>
  <c r="B62"/>
  <c r="B63"/>
  <c r="B64"/>
  <c r="B65"/>
  <c r="B66"/>
  <c r="N65"/>
  <c r="M65"/>
  <c r="N64"/>
  <c r="M64"/>
  <c r="N63"/>
  <c r="M63"/>
  <c r="N62"/>
  <c r="M62"/>
  <c r="N61"/>
  <c r="M61"/>
  <c r="N60"/>
  <c r="M60"/>
  <c r="N59"/>
  <c r="M59"/>
  <c r="N58"/>
  <c r="M58"/>
  <c r="B105" i="30"/>
  <c r="B106"/>
  <c r="B98"/>
  <c r="B99"/>
  <c r="B93"/>
  <c r="B94"/>
  <c r="B89"/>
  <c r="B84"/>
  <c r="B69"/>
  <c r="B65"/>
  <c r="B56"/>
  <c r="B57"/>
  <c r="B44"/>
  <c r="B45"/>
  <c r="B35"/>
  <c r="B36"/>
  <c r="B37"/>
  <c r="B25"/>
  <c r="B26"/>
  <c r="B14"/>
  <c r="B15"/>
  <c r="B16"/>
  <c r="B17"/>
  <c r="B105" i="29"/>
  <c r="B106"/>
  <c r="B107"/>
  <c r="B108"/>
  <c r="B98"/>
  <c r="B99"/>
  <c r="B100"/>
  <c r="B101"/>
  <c r="B93"/>
  <c r="B94"/>
  <c r="B89"/>
  <c r="B84"/>
  <c r="B69"/>
  <c r="B65"/>
  <c r="B56"/>
  <c r="B57"/>
  <c r="B44"/>
  <c r="B45"/>
  <c r="B46"/>
  <c r="B47"/>
  <c r="B48"/>
  <c r="B49"/>
  <c r="B50"/>
  <c r="B51"/>
  <c r="B35"/>
  <c r="B36"/>
  <c r="B37"/>
  <c r="B25"/>
  <c r="B26"/>
  <c r="B14"/>
  <c r="B15"/>
  <c r="B16"/>
  <c r="B17"/>
  <c r="B18"/>
  <c r="B19"/>
  <c r="B20"/>
  <c r="B21"/>
  <c r="K10" i="27"/>
  <c r="K10" i="26"/>
  <c r="K10" i="25"/>
  <c r="K10" i="20"/>
  <c r="K88" i="29"/>
  <c r="K88" i="30" s="1"/>
  <c r="K72" i="29"/>
  <c r="K72" i="30" s="1"/>
  <c r="AH873" i="1"/>
  <c r="R45" i="35"/>
  <c r="O45"/>
  <c r="R42"/>
  <c r="O42"/>
  <c r="U6" i="31"/>
  <c r="O462"/>
  <c r="P462"/>
  <c r="AH337" i="1"/>
  <c r="T337"/>
  <c r="Y287"/>
  <c r="E63" i="4"/>
  <c r="E63" i="8" s="1"/>
  <c r="E64" i="4"/>
  <c r="E64" i="8" s="1"/>
  <c r="K63" i="4"/>
  <c r="K63" i="8" s="1"/>
  <c r="K64" i="4"/>
  <c r="K64" i="8" s="1"/>
  <c r="H63" i="4"/>
  <c r="H63" i="8" s="1"/>
  <c r="H64" i="4"/>
  <c r="H64" i="8" s="1"/>
  <c r="AH587" i="1"/>
  <c r="AG587"/>
  <c r="AH586"/>
  <c r="AG586"/>
  <c r="AH585"/>
  <c r="AG585"/>
  <c r="AH584"/>
  <c r="AG584"/>
  <c r="AH583"/>
  <c r="AG583"/>
  <c r="AH582"/>
  <c r="AG582"/>
  <c r="AH581"/>
  <c r="AG581"/>
  <c r="AH580"/>
  <c r="T587"/>
  <c r="S587"/>
  <c r="T586"/>
  <c r="S586"/>
  <c r="T585"/>
  <c r="S585"/>
  <c r="T584"/>
  <c r="S584"/>
  <c r="T583"/>
  <c r="S583"/>
  <c r="T582"/>
  <c r="S582"/>
  <c r="T581"/>
  <c r="S581"/>
  <c r="T580"/>
  <c r="AA887"/>
  <c r="Y887"/>
  <c r="X887"/>
  <c r="AM887" s="1"/>
  <c r="Z886"/>
  <c r="Y886"/>
  <c r="X886"/>
  <c r="Z885"/>
  <c r="Y885"/>
  <c r="X885"/>
  <c r="AM885" s="1"/>
  <c r="AA884"/>
  <c r="Y884"/>
  <c r="X884"/>
  <c r="AK884"/>
  <c r="Y883"/>
  <c r="X883"/>
  <c r="AM883" s="1"/>
  <c r="AS883" s="1"/>
  <c r="Y882"/>
  <c r="X882"/>
  <c r="Y881"/>
  <c r="X881"/>
  <c r="AM881" s="1"/>
  <c r="Y880"/>
  <c r="X880"/>
  <c r="Y879"/>
  <c r="X879"/>
  <c r="AM879"/>
  <c r="Y878"/>
  <c r="X878"/>
  <c r="AR878"/>
  <c r="Y877"/>
  <c r="X877"/>
  <c r="AM877"/>
  <c r="Y876"/>
  <c r="X876"/>
  <c r="AR876"/>
  <c r="Z875"/>
  <c r="Y875"/>
  <c r="X875"/>
  <c r="AM875" s="1"/>
  <c r="Z874"/>
  <c r="Y874"/>
  <c r="X874"/>
  <c r="Z873"/>
  <c r="Y873"/>
  <c r="X873"/>
  <c r="AM873" s="1"/>
  <c r="AS873" s="1"/>
  <c r="Z872"/>
  <c r="Y872"/>
  <c r="X872"/>
  <c r="Z871"/>
  <c r="Y871"/>
  <c r="X871"/>
  <c r="AM871" s="1"/>
  <c r="Z870"/>
  <c r="Y870"/>
  <c r="X870"/>
  <c r="Z869"/>
  <c r="Y869"/>
  <c r="X869"/>
  <c r="AM869" s="1"/>
  <c r="AS869" s="1"/>
  <c r="Z868"/>
  <c r="Y868"/>
  <c r="X868"/>
  <c r="AA867"/>
  <c r="Y867"/>
  <c r="X867"/>
  <c r="AM867" s="1"/>
  <c r="AA866"/>
  <c r="Y866"/>
  <c r="X866"/>
  <c r="AK866"/>
  <c r="AA865"/>
  <c r="Y865"/>
  <c r="X865"/>
  <c r="AM865" s="1"/>
  <c r="AA864"/>
  <c r="Y864"/>
  <c r="X864"/>
  <c r="AK864"/>
  <c r="AA863"/>
  <c r="Y863"/>
  <c r="X863"/>
  <c r="AM863" s="1"/>
  <c r="AA862"/>
  <c r="Y862"/>
  <c r="X862"/>
  <c r="AK862"/>
  <c r="AA861"/>
  <c r="Y861"/>
  <c r="X861"/>
  <c r="AM861" s="1"/>
  <c r="AA860"/>
  <c r="Y860"/>
  <c r="X860"/>
  <c r="AK860"/>
  <c r="AR860" s="1"/>
  <c r="AA859"/>
  <c r="Y859"/>
  <c r="X859"/>
  <c r="AM859"/>
  <c r="AA858"/>
  <c r="Y858"/>
  <c r="X858"/>
  <c r="AK858"/>
  <c r="Y857"/>
  <c r="X857"/>
  <c r="AM857" s="1"/>
  <c r="Y856"/>
  <c r="X856"/>
  <c r="Y855"/>
  <c r="X855"/>
  <c r="AM855" s="1"/>
  <c r="Y854"/>
  <c r="X854"/>
  <c r="Y853"/>
  <c r="X853"/>
  <c r="AM853" s="1"/>
  <c r="Y852"/>
  <c r="X852"/>
  <c r="AR852"/>
  <c r="Y851"/>
  <c r="X851"/>
  <c r="AM851" s="1"/>
  <c r="Y850"/>
  <c r="X850"/>
  <c r="Y849"/>
  <c r="X849"/>
  <c r="AM849" s="1"/>
  <c r="Z848"/>
  <c r="Y848"/>
  <c r="X848"/>
  <c r="AA847"/>
  <c r="Z847"/>
  <c r="Y847"/>
  <c r="X847"/>
  <c r="AM847"/>
  <c r="AA846"/>
  <c r="Y846"/>
  <c r="X846"/>
  <c r="Z845"/>
  <c r="Y845"/>
  <c r="X845"/>
  <c r="AM845" s="1"/>
  <c r="Z844"/>
  <c r="Y844"/>
  <c r="AN844" s="1"/>
  <c r="AS844" s="1"/>
  <c r="X844"/>
  <c r="Z843"/>
  <c r="Y843"/>
  <c r="X843"/>
  <c r="AM843" s="1"/>
  <c r="Z842"/>
  <c r="Y842"/>
  <c r="AN842" s="1"/>
  <c r="AS842" s="1"/>
  <c r="X842"/>
  <c r="AA841"/>
  <c r="Y841"/>
  <c r="X841"/>
  <c r="AM841" s="1"/>
  <c r="AA840"/>
  <c r="Y840"/>
  <c r="AN840"/>
  <c r="X840"/>
  <c r="AK840"/>
  <c r="AR840" s="1"/>
  <c r="AA839"/>
  <c r="Y839"/>
  <c r="X839"/>
  <c r="AM839" s="1"/>
  <c r="AA838"/>
  <c r="Y838"/>
  <c r="X838"/>
  <c r="AK838"/>
  <c r="AA837"/>
  <c r="Y837"/>
  <c r="X837"/>
  <c r="AM837" s="1"/>
  <c r="Z836"/>
  <c r="Y836"/>
  <c r="AN836" s="1"/>
  <c r="AS836" s="1"/>
  <c r="X836"/>
  <c r="Z835"/>
  <c r="Y835"/>
  <c r="X835"/>
  <c r="AM835" s="1"/>
  <c r="AA834"/>
  <c r="Y834"/>
  <c r="AN834" s="1"/>
  <c r="AS834" s="1"/>
  <c r="X834"/>
  <c r="AK834"/>
  <c r="AR834" s="1"/>
  <c r="AA833"/>
  <c r="Y833"/>
  <c r="X833"/>
  <c r="AM833" s="1"/>
  <c r="AA832"/>
  <c r="Y832"/>
  <c r="AN832" s="1"/>
  <c r="X832"/>
  <c r="Y828"/>
  <c r="X828"/>
  <c r="Y827"/>
  <c r="X827"/>
  <c r="Y826"/>
  <c r="X826"/>
  <c r="Y825"/>
  <c r="X825"/>
  <c r="Y824"/>
  <c r="X824"/>
  <c r="Y823"/>
  <c r="X823"/>
  <c r="Y822"/>
  <c r="X822"/>
  <c r="Y821"/>
  <c r="X821"/>
  <c r="Y820"/>
  <c r="X820"/>
  <c r="Y819"/>
  <c r="AN819" s="1"/>
  <c r="X819"/>
  <c r="Y818"/>
  <c r="X818"/>
  <c r="AM818"/>
  <c r="Y817"/>
  <c r="X817"/>
  <c r="Y816"/>
  <c r="X816"/>
  <c r="Y815"/>
  <c r="X815"/>
  <c r="Y814"/>
  <c r="X814"/>
  <c r="Y813"/>
  <c r="X813"/>
  <c r="Y812"/>
  <c r="X812"/>
  <c r="Y811"/>
  <c r="X811"/>
  <c r="Y810"/>
  <c r="X810"/>
  <c r="Y809"/>
  <c r="X809"/>
  <c r="AR809"/>
  <c r="Y808"/>
  <c r="X808"/>
  <c r="Y807"/>
  <c r="X807"/>
  <c r="Y806"/>
  <c r="X806"/>
  <c r="Y805"/>
  <c r="X805"/>
  <c r="Y804"/>
  <c r="X804"/>
  <c r="Y803"/>
  <c r="AN803" s="1"/>
  <c r="X803"/>
  <c r="Y802"/>
  <c r="X802"/>
  <c r="Y801"/>
  <c r="X801"/>
  <c r="Y800"/>
  <c r="X800"/>
  <c r="Y799"/>
  <c r="X799"/>
  <c r="Y798"/>
  <c r="X798"/>
  <c r="Y797"/>
  <c r="X797"/>
  <c r="Y796"/>
  <c r="X796"/>
  <c r="Y795"/>
  <c r="AN795" s="1"/>
  <c r="X795"/>
  <c r="Y794"/>
  <c r="X794"/>
  <c r="Y793"/>
  <c r="X793"/>
  <c r="Y792"/>
  <c r="X792"/>
  <c r="Y791"/>
  <c r="X791"/>
  <c r="Y790"/>
  <c r="X790"/>
  <c r="Y789"/>
  <c r="X789"/>
  <c r="Y788"/>
  <c r="X788"/>
  <c r="Y787"/>
  <c r="X787"/>
  <c r="Y786"/>
  <c r="X786"/>
  <c r="Y785"/>
  <c r="X785"/>
  <c r="Y784"/>
  <c r="X784"/>
  <c r="Y783"/>
  <c r="X783"/>
  <c r="Y782"/>
  <c r="X782"/>
  <c r="Y781"/>
  <c r="X781"/>
  <c r="Y780"/>
  <c r="X780"/>
  <c r="Y779"/>
  <c r="X779"/>
  <c r="Y778"/>
  <c r="X778"/>
  <c r="Y777"/>
  <c r="X777"/>
  <c r="Y776"/>
  <c r="X776"/>
  <c r="Y775"/>
  <c r="AN775" s="1"/>
  <c r="X775"/>
  <c r="Y774"/>
  <c r="X774"/>
  <c r="Y773"/>
  <c r="X773"/>
  <c r="AR773"/>
  <c r="Y772"/>
  <c r="X772"/>
  <c r="Y771"/>
  <c r="X771"/>
  <c r="Y770"/>
  <c r="X770"/>
  <c r="Y769"/>
  <c r="X769"/>
  <c r="Y768"/>
  <c r="X768"/>
  <c r="Y767"/>
  <c r="X767"/>
  <c r="Y766"/>
  <c r="X766"/>
  <c r="Y765"/>
  <c r="X765"/>
  <c r="Y764"/>
  <c r="X764"/>
  <c r="Y763"/>
  <c r="X763"/>
  <c r="Y762"/>
  <c r="X762"/>
  <c r="Y761"/>
  <c r="X761"/>
  <c r="Y760"/>
  <c r="AN760" s="1"/>
  <c r="X760"/>
  <c r="Y759"/>
  <c r="X759"/>
  <c r="Y758"/>
  <c r="X758"/>
  <c r="Y757"/>
  <c r="X757"/>
  <c r="AR757"/>
  <c r="Y756"/>
  <c r="X756"/>
  <c r="Y755"/>
  <c r="AN755" s="1"/>
  <c r="X755"/>
  <c r="AR755"/>
  <c r="Y754"/>
  <c r="X754"/>
  <c r="Y753"/>
  <c r="X753"/>
  <c r="AR753"/>
  <c r="Y752"/>
  <c r="X752"/>
  <c r="Y751"/>
  <c r="X751"/>
  <c r="AR751"/>
  <c r="Y750"/>
  <c r="X750"/>
  <c r="Y749"/>
  <c r="X749"/>
  <c r="Y748"/>
  <c r="X748"/>
  <c r="Y747"/>
  <c r="X747"/>
  <c r="Y746"/>
  <c r="X746"/>
  <c r="Y745"/>
  <c r="X745"/>
  <c r="Y744"/>
  <c r="X744"/>
  <c r="Y743"/>
  <c r="X743"/>
  <c r="Y742"/>
  <c r="AN742" s="1"/>
  <c r="X742"/>
  <c r="Y741"/>
  <c r="X741"/>
  <c r="Y740"/>
  <c r="AN740" s="1"/>
  <c r="X740"/>
  <c r="Y739"/>
  <c r="X739"/>
  <c r="Y738"/>
  <c r="X738"/>
  <c r="Y737"/>
  <c r="AN737" s="1"/>
  <c r="AS737" s="1"/>
  <c r="X737"/>
  <c r="Y736"/>
  <c r="X736"/>
  <c r="Y735"/>
  <c r="X735"/>
  <c r="Y734"/>
  <c r="X734"/>
  <c r="Y733"/>
  <c r="X733"/>
  <c r="Y732"/>
  <c r="X732"/>
  <c r="Y731"/>
  <c r="X731"/>
  <c r="Y730"/>
  <c r="X730"/>
  <c r="Y729"/>
  <c r="X729"/>
  <c r="Y728"/>
  <c r="X728"/>
  <c r="Y727"/>
  <c r="X727"/>
  <c r="Y726"/>
  <c r="X726"/>
  <c r="Y725"/>
  <c r="AN725" s="1"/>
  <c r="X725"/>
  <c r="Y724"/>
  <c r="X724"/>
  <c r="Y723"/>
  <c r="X723"/>
  <c r="AR723"/>
  <c r="Y722"/>
  <c r="X722"/>
  <c r="Y721"/>
  <c r="X721"/>
  <c r="Y720"/>
  <c r="X720"/>
  <c r="Y719"/>
  <c r="AN719" s="1"/>
  <c r="X719"/>
  <c r="Y718"/>
  <c r="X718"/>
  <c r="Y717"/>
  <c r="AN717" s="1"/>
  <c r="X717"/>
  <c r="Y716"/>
  <c r="X716"/>
  <c r="Y715"/>
  <c r="AN715" s="1"/>
  <c r="X715"/>
  <c r="Y714"/>
  <c r="X714"/>
  <c r="Y713"/>
  <c r="X713"/>
  <c r="Y712"/>
  <c r="X712"/>
  <c r="Y711"/>
  <c r="AN711" s="1"/>
  <c r="AS711" s="1"/>
  <c r="X711"/>
  <c r="Y710"/>
  <c r="X710"/>
  <c r="Y709"/>
  <c r="X709"/>
  <c r="Y708"/>
  <c r="X708"/>
  <c r="Y707"/>
  <c r="AN707" s="1"/>
  <c r="X707"/>
  <c r="Y706"/>
  <c r="X706"/>
  <c r="Y705"/>
  <c r="X705"/>
  <c r="Y704"/>
  <c r="X704"/>
  <c r="Y703"/>
  <c r="X703"/>
  <c r="Y702"/>
  <c r="X702"/>
  <c r="Y701"/>
  <c r="X701"/>
  <c r="Y700"/>
  <c r="X700"/>
  <c r="Y699"/>
  <c r="X699"/>
  <c r="Y698"/>
  <c r="X698"/>
  <c r="Y697"/>
  <c r="X697"/>
  <c r="Y696"/>
  <c r="X696"/>
  <c r="Y695"/>
  <c r="X695"/>
  <c r="Y694"/>
  <c r="X694"/>
  <c r="Y693"/>
  <c r="X693"/>
  <c r="AR693"/>
  <c r="Y692"/>
  <c r="X692"/>
  <c r="Y691"/>
  <c r="X691"/>
  <c r="Y690"/>
  <c r="X690"/>
  <c r="Y689"/>
  <c r="X689"/>
  <c r="Y688"/>
  <c r="X688"/>
  <c r="Y687"/>
  <c r="X687"/>
  <c r="AR687"/>
  <c r="Y686"/>
  <c r="X686"/>
  <c r="Y685"/>
  <c r="X685"/>
  <c r="Y684"/>
  <c r="X684"/>
  <c r="Y683"/>
  <c r="X683"/>
  <c r="Y682"/>
  <c r="X682"/>
  <c r="Y681"/>
  <c r="X681"/>
  <c r="Y680"/>
  <c r="X680"/>
  <c r="Y679"/>
  <c r="X679"/>
  <c r="Y678"/>
  <c r="X678"/>
  <c r="Y677"/>
  <c r="X677"/>
  <c r="Y676"/>
  <c r="X676"/>
  <c r="Y675"/>
  <c r="X675"/>
  <c r="Y674"/>
  <c r="X674"/>
  <c r="Y673"/>
  <c r="X673"/>
  <c r="AR673"/>
  <c r="Y672"/>
  <c r="X672"/>
  <c r="Y671"/>
  <c r="X671"/>
  <c r="AR671"/>
  <c r="Y670"/>
  <c r="X670"/>
  <c r="Y669"/>
  <c r="X669"/>
  <c r="AR669"/>
  <c r="Y668"/>
  <c r="X668"/>
  <c r="Y667"/>
  <c r="X667"/>
  <c r="W667"/>
  <c r="V667"/>
  <c r="Y666"/>
  <c r="X666"/>
  <c r="Y665"/>
  <c r="X665"/>
  <c r="AM665"/>
  <c r="Y664"/>
  <c r="X664"/>
  <c r="Y663"/>
  <c r="X663"/>
  <c r="Y662"/>
  <c r="X662"/>
  <c r="Y661"/>
  <c r="X661"/>
  <c r="AR661"/>
  <c r="Y660"/>
  <c r="X660"/>
  <c r="Y659"/>
  <c r="X659"/>
  <c r="Y658"/>
  <c r="X658"/>
  <c r="Y657"/>
  <c r="X657"/>
  <c r="AR657"/>
  <c r="Y656"/>
  <c r="X656"/>
  <c r="Y655"/>
  <c r="X655"/>
  <c r="AR655"/>
  <c r="Y654"/>
  <c r="X654"/>
  <c r="Y653"/>
  <c r="X653"/>
  <c r="Y652"/>
  <c r="X652"/>
  <c r="Y651"/>
  <c r="X651"/>
  <c r="Y650"/>
  <c r="X650"/>
  <c r="Y649"/>
  <c r="X649"/>
  <c r="Y648"/>
  <c r="X648"/>
  <c r="Y647"/>
  <c r="X647"/>
  <c r="Y646"/>
  <c r="X646"/>
  <c r="AM646"/>
  <c r="Y645"/>
  <c r="X645"/>
  <c r="Y644"/>
  <c r="X644"/>
  <c r="Y643"/>
  <c r="X643"/>
  <c r="Y642"/>
  <c r="X642"/>
  <c r="Y641"/>
  <c r="X641"/>
  <c r="AR641"/>
  <c r="Y640"/>
  <c r="X640"/>
  <c r="W640"/>
  <c r="V640"/>
  <c r="Y639"/>
  <c r="X639"/>
  <c r="Y638"/>
  <c r="X638"/>
  <c r="Y637"/>
  <c r="X637"/>
  <c r="AR637"/>
  <c r="Y636"/>
  <c r="AN636"/>
  <c r="X636"/>
  <c r="Y635"/>
  <c r="X635"/>
  <c r="Y634"/>
  <c r="X634"/>
  <c r="Y633"/>
  <c r="AN633" s="1"/>
  <c r="X633"/>
  <c r="Y632"/>
  <c r="X632"/>
  <c r="Y631"/>
  <c r="X631"/>
  <c r="Y630"/>
  <c r="AN630" s="1"/>
  <c r="X630"/>
  <c r="Y629"/>
  <c r="X629"/>
  <c r="Y628"/>
  <c r="AN628" s="1"/>
  <c r="X628"/>
  <c r="Y627"/>
  <c r="X627"/>
  <c r="AR627"/>
  <c r="Y626"/>
  <c r="X626"/>
  <c r="Y625"/>
  <c r="X625"/>
  <c r="Y624"/>
  <c r="X624"/>
  <c r="Y623"/>
  <c r="X623"/>
  <c r="Y622"/>
  <c r="X622"/>
  <c r="Y621"/>
  <c r="X621"/>
  <c r="Y620"/>
  <c r="X620"/>
  <c r="Y619"/>
  <c r="X619"/>
  <c r="Y618"/>
  <c r="X618"/>
  <c r="AM618"/>
  <c r="Y617"/>
  <c r="X617"/>
  <c r="Y616"/>
  <c r="X616"/>
  <c r="Y615"/>
  <c r="X615"/>
  <c r="Y614"/>
  <c r="X614"/>
  <c r="Y613"/>
  <c r="X613"/>
  <c r="Y612"/>
  <c r="X612"/>
  <c r="Y611"/>
  <c r="X611"/>
  <c r="Y610"/>
  <c r="X610"/>
  <c r="Y609"/>
  <c r="X609"/>
  <c r="AA608"/>
  <c r="Y608"/>
  <c r="X608"/>
  <c r="Y607"/>
  <c r="X607"/>
  <c r="Y606"/>
  <c r="X606"/>
  <c r="Y605"/>
  <c r="X605"/>
  <c r="AA604"/>
  <c r="Y604"/>
  <c r="X604"/>
  <c r="Y603"/>
  <c r="X603"/>
  <c r="Y602"/>
  <c r="X602"/>
  <c r="Y600"/>
  <c r="X600"/>
  <c r="Y599"/>
  <c r="X599"/>
  <c r="Y598"/>
  <c r="X598"/>
  <c r="Y597"/>
  <c r="X597"/>
  <c r="Y596"/>
  <c r="X596"/>
  <c r="Y595"/>
  <c r="X595"/>
  <c r="Y594"/>
  <c r="X594"/>
  <c r="AR594"/>
  <c r="Y593"/>
  <c r="X593"/>
  <c r="AM593" s="1"/>
  <c r="AR593"/>
  <c r="Y592"/>
  <c r="X592"/>
  <c r="Y591"/>
  <c r="X591"/>
  <c r="AR591"/>
  <c r="Y590"/>
  <c r="X590"/>
  <c r="Y589"/>
  <c r="X589"/>
  <c r="Y588"/>
  <c r="X588"/>
  <c r="Y587"/>
  <c r="X587"/>
  <c r="AR587"/>
  <c r="Y586"/>
  <c r="X586"/>
  <c r="Y585"/>
  <c r="X585"/>
  <c r="Y584"/>
  <c r="X584"/>
  <c r="Y583"/>
  <c r="X583"/>
  <c r="Y582"/>
  <c r="X582"/>
  <c r="Y581"/>
  <c r="X581"/>
  <c r="Z580"/>
  <c r="Y580"/>
  <c r="X580"/>
  <c r="AR580"/>
  <c r="AA579"/>
  <c r="Y579"/>
  <c r="X579"/>
  <c r="Z578"/>
  <c r="Y578"/>
  <c r="X578"/>
  <c r="Z577"/>
  <c r="Y577"/>
  <c r="X577"/>
  <c r="Z576"/>
  <c r="Y576"/>
  <c r="X576"/>
  <c r="AA575"/>
  <c r="Y575"/>
  <c r="X575"/>
  <c r="AA574"/>
  <c r="Y574"/>
  <c r="X574"/>
  <c r="AA573"/>
  <c r="Y573"/>
  <c r="X573"/>
  <c r="Z572"/>
  <c r="Y572"/>
  <c r="X572"/>
  <c r="Z571"/>
  <c r="Y571"/>
  <c r="X571"/>
  <c r="AA570"/>
  <c r="Z570"/>
  <c r="Y570"/>
  <c r="X570"/>
  <c r="Z569"/>
  <c r="Y569"/>
  <c r="X569"/>
  <c r="AR569"/>
  <c r="Z568"/>
  <c r="Y568"/>
  <c r="X568"/>
  <c r="Z567"/>
  <c r="Y567"/>
  <c r="X567"/>
  <c r="Z566"/>
  <c r="Y566"/>
  <c r="X566"/>
  <c r="Y565"/>
  <c r="X565"/>
  <c r="Y564"/>
  <c r="X564"/>
  <c r="Y563"/>
  <c r="X563"/>
  <c r="AR563"/>
  <c r="Y562"/>
  <c r="X562"/>
  <c r="Y561"/>
  <c r="X561"/>
  <c r="AR561"/>
  <c r="Y560"/>
  <c r="X560"/>
  <c r="Y559"/>
  <c r="X559"/>
  <c r="AR559"/>
  <c r="Y558"/>
  <c r="X558"/>
  <c r="Y557"/>
  <c r="X557"/>
  <c r="AR557"/>
  <c r="Y556"/>
  <c r="X556"/>
  <c r="AM556" s="1"/>
  <c r="AR556"/>
  <c r="Y555"/>
  <c r="X555"/>
  <c r="AR555"/>
  <c r="Y554"/>
  <c r="X554"/>
  <c r="AR554"/>
  <c r="Y553"/>
  <c r="X553"/>
  <c r="AR553"/>
  <c r="Y552"/>
  <c r="X552"/>
  <c r="Y551"/>
  <c r="X551"/>
  <c r="AR551"/>
  <c r="Y550"/>
  <c r="X550"/>
  <c r="Y549"/>
  <c r="X549"/>
  <c r="AR549"/>
  <c r="Y548"/>
  <c r="X548"/>
  <c r="Y547"/>
  <c r="X547"/>
  <c r="AR547"/>
  <c r="Y546"/>
  <c r="X546"/>
  <c r="AM546" s="1"/>
  <c r="Y545"/>
  <c r="X545"/>
  <c r="Y544"/>
  <c r="X544"/>
  <c r="Y543"/>
  <c r="X543"/>
  <c r="Y542"/>
  <c r="X542"/>
  <c r="Y541"/>
  <c r="X541"/>
  <c r="AR541"/>
  <c r="Y540"/>
  <c r="X540"/>
  <c r="Y539"/>
  <c r="X539"/>
  <c r="Y538"/>
  <c r="X538"/>
  <c r="Y537"/>
  <c r="X537"/>
  <c r="Y536"/>
  <c r="X536"/>
  <c r="AM536" s="1"/>
  <c r="Y535"/>
  <c r="X535"/>
  <c r="Y534"/>
  <c r="X534"/>
  <c r="Y533"/>
  <c r="X533"/>
  <c r="Y532"/>
  <c r="X532"/>
  <c r="Y531"/>
  <c r="X531"/>
  <c r="Y530"/>
  <c r="X530"/>
  <c r="Y529"/>
  <c r="X529"/>
  <c r="AR529"/>
  <c r="Y528"/>
  <c r="X528"/>
  <c r="Y527"/>
  <c r="X527"/>
  <c r="Y526"/>
  <c r="X526"/>
  <c r="Y525"/>
  <c r="X525"/>
  <c r="Y524"/>
  <c r="X524"/>
  <c r="Y523"/>
  <c r="X523"/>
  <c r="Y522"/>
  <c r="X522"/>
  <c r="Y521"/>
  <c r="X521"/>
  <c r="Y520"/>
  <c r="X520"/>
  <c r="Y519"/>
  <c r="X519"/>
  <c r="AR519"/>
  <c r="Y518"/>
  <c r="X518"/>
  <c r="Y517"/>
  <c r="AN517" s="1"/>
  <c r="X517"/>
  <c r="AR517"/>
  <c r="Y516"/>
  <c r="X516"/>
  <c r="AM516"/>
  <c r="Y515"/>
  <c r="X515"/>
  <c r="AR515"/>
  <c r="Y514"/>
  <c r="X514"/>
  <c r="AM514"/>
  <c r="Y513"/>
  <c r="X513"/>
  <c r="Y512"/>
  <c r="X512"/>
  <c r="AM512" s="1"/>
  <c r="Y511"/>
  <c r="X511"/>
  <c r="AR511"/>
  <c r="Y510"/>
  <c r="X510"/>
  <c r="AM510" s="1"/>
  <c r="AR510"/>
  <c r="Y509"/>
  <c r="X509"/>
  <c r="AR509"/>
  <c r="Y508"/>
  <c r="X508"/>
  <c r="Y507"/>
  <c r="X507"/>
  <c r="Y506"/>
  <c r="X506"/>
  <c r="Y505"/>
  <c r="X505"/>
  <c r="Y504"/>
  <c r="X504"/>
  <c r="Y503"/>
  <c r="X503"/>
  <c r="AR503"/>
  <c r="Y502"/>
  <c r="X502"/>
  <c r="Y501"/>
  <c r="X501"/>
  <c r="AR501"/>
  <c r="Y500"/>
  <c r="X500"/>
  <c r="Y499"/>
  <c r="X499"/>
  <c r="AR499"/>
  <c r="Y498"/>
  <c r="X498"/>
  <c r="Y497"/>
  <c r="X497"/>
  <c r="Y496"/>
  <c r="X496"/>
  <c r="Y495"/>
  <c r="X495"/>
  <c r="Y494"/>
  <c r="X494"/>
  <c r="AM494" s="1"/>
  <c r="Y493"/>
  <c r="X493"/>
  <c r="Y492"/>
  <c r="X492"/>
  <c r="AM492" s="1"/>
  <c r="Y491"/>
  <c r="X491"/>
  <c r="Y490"/>
  <c r="X490"/>
  <c r="Y489"/>
  <c r="X489"/>
  <c r="AR489"/>
  <c r="Y488"/>
  <c r="X488"/>
  <c r="AM488" s="1"/>
  <c r="AS488" s="1"/>
  <c r="Y487"/>
  <c r="X487"/>
  <c r="Y486"/>
  <c r="X486"/>
  <c r="Y485"/>
  <c r="X485"/>
  <c r="Y484"/>
  <c r="X484"/>
  <c r="Y483"/>
  <c r="X483"/>
  <c r="Y482"/>
  <c r="X482"/>
  <c r="Y481"/>
  <c r="X481"/>
  <c r="AR481"/>
  <c r="Y480"/>
  <c r="X480"/>
  <c r="Y479"/>
  <c r="X479"/>
  <c r="Y478"/>
  <c r="X478"/>
  <c r="Y477"/>
  <c r="X477"/>
  <c r="AR477"/>
  <c r="Y476"/>
  <c r="X476"/>
  <c r="Y475"/>
  <c r="X475"/>
  <c r="Y474"/>
  <c r="X474"/>
  <c r="Y473"/>
  <c r="X473"/>
  <c r="Y472"/>
  <c r="X472"/>
  <c r="Y471"/>
  <c r="X471"/>
  <c r="AR471"/>
  <c r="Y470"/>
  <c r="X470"/>
  <c r="Y469"/>
  <c r="X469"/>
  <c r="AR469"/>
  <c r="Y468"/>
  <c r="X468"/>
  <c r="AM468" s="1"/>
  <c r="Y467"/>
  <c r="X467"/>
  <c r="Y466"/>
  <c r="X466"/>
  <c r="Y465"/>
  <c r="X465"/>
  <c r="AR465"/>
  <c r="Y464"/>
  <c r="X464"/>
  <c r="Y463"/>
  <c r="X463"/>
  <c r="Y462"/>
  <c r="X462"/>
  <c r="Y461"/>
  <c r="X461"/>
  <c r="AR461"/>
  <c r="Y460"/>
  <c r="X460"/>
  <c r="Y459"/>
  <c r="AN459" s="1"/>
  <c r="X459"/>
  <c r="AR459"/>
  <c r="Y458"/>
  <c r="X458"/>
  <c r="Y457"/>
  <c r="X457"/>
  <c r="AR457"/>
  <c r="Y456"/>
  <c r="X456"/>
  <c r="Y455"/>
  <c r="X455"/>
  <c r="Y454"/>
  <c r="X454"/>
  <c r="Y453"/>
  <c r="AN453" s="1"/>
  <c r="AS453" s="1"/>
  <c r="X453"/>
  <c r="AR453"/>
  <c r="Y452"/>
  <c r="X452"/>
  <c r="Y451"/>
  <c r="AN451" s="1"/>
  <c r="X451"/>
  <c r="Y450"/>
  <c r="X450"/>
  <c r="Y449"/>
  <c r="AN449" s="1"/>
  <c r="X449"/>
  <c r="Y448"/>
  <c r="X448"/>
  <c r="Y447"/>
  <c r="AN447" s="1"/>
  <c r="AS447" s="1"/>
  <c r="X447"/>
  <c r="Y446"/>
  <c r="X446"/>
  <c r="Y445"/>
  <c r="AN445" s="1"/>
  <c r="X445"/>
  <c r="Y444"/>
  <c r="X444"/>
  <c r="Y443"/>
  <c r="AN443" s="1"/>
  <c r="AS443" s="1"/>
  <c r="X443"/>
  <c r="Y442"/>
  <c r="X442"/>
  <c r="AM442"/>
  <c r="Y441"/>
  <c r="X441"/>
  <c r="Y440"/>
  <c r="X440"/>
  <c r="AM440" s="1"/>
  <c r="Y439"/>
  <c r="X439"/>
  <c r="AR439"/>
  <c r="Y438"/>
  <c r="X438"/>
  <c r="Y437"/>
  <c r="X437"/>
  <c r="Y436"/>
  <c r="X436"/>
  <c r="Y435"/>
  <c r="X435"/>
  <c r="AR435"/>
  <c r="Y434"/>
  <c r="X434"/>
  <c r="AM434" s="1"/>
  <c r="AS434" s="1"/>
  <c r="Y433"/>
  <c r="X433"/>
  <c r="Y432"/>
  <c r="X432"/>
  <c r="Y431"/>
  <c r="X431"/>
  <c r="AR431"/>
  <c r="Y430"/>
  <c r="X430"/>
  <c r="Y429"/>
  <c r="X429"/>
  <c r="AR429"/>
  <c r="Y428"/>
  <c r="X428"/>
  <c r="Y427"/>
  <c r="X427"/>
  <c r="AR427"/>
  <c r="Y426"/>
  <c r="X426"/>
  <c r="Y425"/>
  <c r="X425"/>
  <c r="Y424"/>
  <c r="X424"/>
  <c r="Y423"/>
  <c r="X423"/>
  <c r="AR423"/>
  <c r="Y422"/>
  <c r="X422"/>
  <c r="Y421"/>
  <c r="X421"/>
  <c r="AR421"/>
  <c r="Y420"/>
  <c r="X420"/>
  <c r="Y419"/>
  <c r="X419"/>
  <c r="AR419"/>
  <c r="Y418"/>
  <c r="X418"/>
  <c r="AM418" s="1"/>
  <c r="Y417"/>
  <c r="X417"/>
  <c r="AR417"/>
  <c r="Z416"/>
  <c r="Y416"/>
  <c r="X416"/>
  <c r="AA415"/>
  <c r="Y415"/>
  <c r="X415"/>
  <c r="Y414"/>
  <c r="X414"/>
  <c r="Y413"/>
  <c r="X413"/>
  <c r="Y412"/>
  <c r="X412"/>
  <c r="Y411"/>
  <c r="X411"/>
  <c r="Y410"/>
  <c r="X410"/>
  <c r="Y408"/>
  <c r="X408"/>
  <c r="W408"/>
  <c r="AR408"/>
  <c r="V408"/>
  <c r="AR403"/>
  <c r="Y401"/>
  <c r="X401"/>
  <c r="AR401"/>
  <c r="Y400"/>
  <c r="X400"/>
  <c r="Y399"/>
  <c r="AN399" s="1"/>
  <c r="X399"/>
  <c r="Y398"/>
  <c r="X398"/>
  <c r="Y397"/>
  <c r="AN397" s="1"/>
  <c r="AR397"/>
  <c r="Y396"/>
  <c r="X396"/>
  <c r="Y395"/>
  <c r="AN395" s="1"/>
  <c r="X395"/>
  <c r="AR395"/>
  <c r="Y394"/>
  <c r="X394"/>
  <c r="Y393"/>
  <c r="X393"/>
  <c r="AR393"/>
  <c r="Y392"/>
  <c r="X392"/>
  <c r="Y391"/>
  <c r="X391"/>
  <c r="Y390"/>
  <c r="X390"/>
  <c r="Y389"/>
  <c r="X389"/>
  <c r="AR389"/>
  <c r="Y388"/>
  <c r="X388"/>
  <c r="Y387"/>
  <c r="X387"/>
  <c r="Y386"/>
  <c r="X386"/>
  <c r="Y385"/>
  <c r="X385"/>
  <c r="AR385"/>
  <c r="Y384"/>
  <c r="X384"/>
  <c r="Z382"/>
  <c r="AO382"/>
  <c r="Y382"/>
  <c r="X382"/>
  <c r="Z381"/>
  <c r="AO381"/>
  <c r="Y381"/>
  <c r="X381"/>
  <c r="AK381"/>
  <c r="Z380"/>
  <c r="AO380" s="1"/>
  <c r="Y380"/>
  <c r="X380"/>
  <c r="AK380"/>
  <c r="AA379"/>
  <c r="Y379"/>
  <c r="X379"/>
  <c r="AK379"/>
  <c r="AR379" s="1"/>
  <c r="AA378"/>
  <c r="Y378"/>
  <c r="X378"/>
  <c r="AA377"/>
  <c r="Y377"/>
  <c r="X377"/>
  <c r="AA376"/>
  <c r="Y376"/>
  <c r="X376"/>
  <c r="AA375"/>
  <c r="Y375"/>
  <c r="X375"/>
  <c r="AK375"/>
  <c r="AA374"/>
  <c r="Y374"/>
  <c r="X374"/>
  <c r="AA373"/>
  <c r="Y373"/>
  <c r="X373"/>
  <c r="AK373"/>
  <c r="AA372"/>
  <c r="Y372"/>
  <c r="X372"/>
  <c r="AA371"/>
  <c r="Y371"/>
  <c r="X371"/>
  <c r="AK371"/>
  <c r="AA370"/>
  <c r="Y370"/>
  <c r="X370"/>
  <c r="AA369"/>
  <c r="Y369"/>
  <c r="X369"/>
  <c r="AK369"/>
  <c r="AA368"/>
  <c r="Y368"/>
  <c r="X368"/>
  <c r="Z367"/>
  <c r="Y367"/>
  <c r="X367"/>
  <c r="Z366"/>
  <c r="AO366" s="1"/>
  <c r="Y366"/>
  <c r="X366"/>
  <c r="AM366" s="1"/>
  <c r="Z365"/>
  <c r="AO365" s="1"/>
  <c r="AT365" s="1"/>
  <c r="Y365"/>
  <c r="X365"/>
  <c r="AK365"/>
  <c r="Z364"/>
  <c r="AO364" s="1"/>
  <c r="Y364"/>
  <c r="X364"/>
  <c r="AM364" s="1"/>
  <c r="AS364" s="1"/>
  <c r="AA363"/>
  <c r="Y363"/>
  <c r="X363"/>
  <c r="AA362"/>
  <c r="Y362"/>
  <c r="X362"/>
  <c r="AA361"/>
  <c r="Y361"/>
  <c r="X361"/>
  <c r="AA360"/>
  <c r="Y360"/>
  <c r="X360"/>
  <c r="AA359"/>
  <c r="Y359"/>
  <c r="X359"/>
  <c r="AK359"/>
  <c r="AA358"/>
  <c r="Y358"/>
  <c r="X358"/>
  <c r="AA357"/>
  <c r="Y357"/>
  <c r="X357"/>
  <c r="AA356"/>
  <c r="Y356"/>
  <c r="X356"/>
  <c r="AM356"/>
  <c r="AA355"/>
  <c r="Y355"/>
  <c r="X355"/>
  <c r="AA354"/>
  <c r="Y354"/>
  <c r="X354"/>
  <c r="AM354" s="1"/>
  <c r="AA353"/>
  <c r="Y353"/>
  <c r="X353"/>
  <c r="AK353"/>
  <c r="AA352"/>
  <c r="Y352"/>
  <c r="X352"/>
  <c r="AA351"/>
  <c r="Y351"/>
  <c r="X351"/>
  <c r="AK351"/>
  <c r="AA350"/>
  <c r="Y350"/>
  <c r="X350"/>
  <c r="AM350"/>
  <c r="AA349"/>
  <c r="Y349"/>
  <c r="X349"/>
  <c r="AA348"/>
  <c r="Y348"/>
  <c r="X348"/>
  <c r="AK348"/>
  <c r="AA347"/>
  <c r="Y347"/>
  <c r="X347"/>
  <c r="AA346"/>
  <c r="Y346"/>
  <c r="X346"/>
  <c r="AM346"/>
  <c r="Y345"/>
  <c r="X345"/>
  <c r="Y344"/>
  <c r="X344"/>
  <c r="AA343"/>
  <c r="Y343"/>
  <c r="X343"/>
  <c r="AK343"/>
  <c r="AA342"/>
  <c r="Y342"/>
  <c r="X342"/>
  <c r="AM342"/>
  <c r="AK342"/>
  <c r="AA341"/>
  <c r="Y341"/>
  <c r="X341"/>
  <c r="AA340"/>
  <c r="Y340"/>
  <c r="X340"/>
  <c r="H32" i="4"/>
  <c r="AA339" i="1"/>
  <c r="Y339"/>
  <c r="X339"/>
  <c r="AK339"/>
  <c r="AR339" s="1"/>
  <c r="AA338"/>
  <c r="Y338"/>
  <c r="X338"/>
  <c r="Y337"/>
  <c r="X337"/>
  <c r="Y336"/>
  <c r="X336"/>
  <c r="AA335"/>
  <c r="Y335"/>
  <c r="X335"/>
  <c r="AK335"/>
  <c r="AA334"/>
  <c r="Y334"/>
  <c r="X334"/>
  <c r="AA333"/>
  <c r="Y333"/>
  <c r="X333"/>
  <c r="AK333"/>
  <c r="AA332"/>
  <c r="Y332"/>
  <c r="X332"/>
  <c r="AA331"/>
  <c r="Y331"/>
  <c r="X331"/>
  <c r="Y330"/>
  <c r="X330"/>
  <c r="Y329"/>
  <c r="X329"/>
  <c r="Y328"/>
  <c r="X328"/>
  <c r="AM328" s="1"/>
  <c r="AS328" s="1"/>
  <c r="Y327"/>
  <c r="X327"/>
  <c r="AA326"/>
  <c r="Y326"/>
  <c r="X326"/>
  <c r="AA325"/>
  <c r="Y325"/>
  <c r="X325"/>
  <c r="AK325"/>
  <c r="AR325" s="1"/>
  <c r="AA324"/>
  <c r="Y324"/>
  <c r="X324"/>
  <c r="AM324" s="1"/>
  <c r="AS324" s="1"/>
  <c r="AA323"/>
  <c r="Y323"/>
  <c r="X323"/>
  <c r="AK323"/>
  <c r="AR323" s="1"/>
  <c r="Y322"/>
  <c r="X322"/>
  <c r="AA321"/>
  <c r="Y321"/>
  <c r="X321"/>
  <c r="AA320"/>
  <c r="Y320"/>
  <c r="X320"/>
  <c r="AA319"/>
  <c r="Y319"/>
  <c r="X319"/>
  <c r="AM319" s="1"/>
  <c r="AK319"/>
  <c r="AA318"/>
  <c r="Y318"/>
  <c r="X318"/>
  <c r="AM318"/>
  <c r="AA317"/>
  <c r="Y317"/>
  <c r="X317"/>
  <c r="AK317"/>
  <c r="AA316"/>
  <c r="Y316"/>
  <c r="X316"/>
  <c r="AA315"/>
  <c r="Y315"/>
  <c r="X315"/>
  <c r="AK315"/>
  <c r="AA314"/>
  <c r="Y314"/>
  <c r="X314"/>
  <c r="AA313"/>
  <c r="Y313"/>
  <c r="X313"/>
  <c r="AK313"/>
  <c r="AA312"/>
  <c r="Y312"/>
  <c r="X312"/>
  <c r="AA311"/>
  <c r="Y311"/>
  <c r="X311"/>
  <c r="AK311"/>
  <c r="AA310"/>
  <c r="Y310"/>
  <c r="X310"/>
  <c r="AK310"/>
  <c r="AR310"/>
  <c r="AA309"/>
  <c r="Y309"/>
  <c r="X309"/>
  <c r="AK309"/>
  <c r="AA308"/>
  <c r="Y308"/>
  <c r="X308"/>
  <c r="AA307"/>
  <c r="Y307"/>
  <c r="X307"/>
  <c r="AK307"/>
  <c r="AA306"/>
  <c r="Y306"/>
  <c r="X306"/>
  <c r="AA305"/>
  <c r="Y305"/>
  <c r="X305"/>
  <c r="AK305"/>
  <c r="AA304"/>
  <c r="Y304"/>
  <c r="X304"/>
  <c r="AA303"/>
  <c r="Y303"/>
  <c r="X303"/>
  <c r="AK303"/>
  <c r="AA302"/>
  <c r="Y302"/>
  <c r="X302"/>
  <c r="AM302" s="1"/>
  <c r="AA301"/>
  <c r="Y301"/>
  <c r="X301"/>
  <c r="AK301"/>
  <c r="AA300"/>
  <c r="Y300"/>
  <c r="X300"/>
  <c r="AA299"/>
  <c r="Y299"/>
  <c r="X299"/>
  <c r="AK299"/>
  <c r="AA298"/>
  <c r="Y298"/>
  <c r="X298"/>
  <c r="AA297"/>
  <c r="Y297"/>
  <c r="AN297" s="1"/>
  <c r="X297"/>
  <c r="AK297"/>
  <c r="AA296"/>
  <c r="Y296"/>
  <c r="AN296" s="1"/>
  <c r="X296"/>
  <c r="AA295"/>
  <c r="Y295"/>
  <c r="X295"/>
  <c r="AM295" s="1"/>
  <c r="AK295"/>
  <c r="AA294"/>
  <c r="Y294"/>
  <c r="X294"/>
  <c r="AA293"/>
  <c r="Y293"/>
  <c r="AN293" s="1"/>
  <c r="X293"/>
  <c r="W293"/>
  <c r="V293"/>
  <c r="AA292"/>
  <c r="Y292"/>
  <c r="X292"/>
  <c r="AM292" s="1"/>
  <c r="W292"/>
  <c r="V292"/>
  <c r="AA291"/>
  <c r="Y291"/>
  <c r="X291"/>
  <c r="AM291" s="1"/>
  <c r="W291"/>
  <c r="V291"/>
  <c r="AK291" s="1"/>
  <c r="AA290"/>
  <c r="Y290"/>
  <c r="X290"/>
  <c r="W290"/>
  <c r="V290"/>
  <c r="AK290" s="1"/>
  <c r="AA289"/>
  <c r="Y289"/>
  <c r="X289"/>
  <c r="AM289" s="1"/>
  <c r="W289"/>
  <c r="V289"/>
  <c r="AA288"/>
  <c r="AP288"/>
  <c r="Y288"/>
  <c r="X288"/>
  <c r="W288"/>
  <c r="AL288"/>
  <c r="V288"/>
  <c r="AA287"/>
  <c r="AP287" s="1"/>
  <c r="W287"/>
  <c r="AL287" s="1"/>
  <c r="V287"/>
  <c r="AK287" s="1"/>
  <c r="AA286"/>
  <c r="Y286"/>
  <c r="X286"/>
  <c r="W286"/>
  <c r="V286"/>
  <c r="Z284"/>
  <c r="Y284"/>
  <c r="X284"/>
  <c r="AM284" s="1"/>
  <c r="AL284"/>
  <c r="AA283"/>
  <c r="Y283"/>
  <c r="X283"/>
  <c r="AK283"/>
  <c r="Y282"/>
  <c r="X282"/>
  <c r="AM282" s="1"/>
  <c r="Y281"/>
  <c r="X281"/>
  <c r="AM281" s="1"/>
  <c r="Y280"/>
  <c r="X280"/>
  <c r="Y279"/>
  <c r="X279"/>
  <c r="AM279" s="1"/>
  <c r="AK279"/>
  <c r="Y278"/>
  <c r="AN278" s="1"/>
  <c r="X278"/>
  <c r="AM278"/>
  <c r="Y277"/>
  <c r="X277"/>
  <c r="AM277" s="1"/>
  <c r="Y276"/>
  <c r="X276"/>
  <c r="Y275"/>
  <c r="AN275" s="1"/>
  <c r="X275"/>
  <c r="AM275" s="1"/>
  <c r="Y274"/>
  <c r="X274"/>
  <c r="Y273"/>
  <c r="X273"/>
  <c r="Y272"/>
  <c r="X272"/>
  <c r="Y271"/>
  <c r="X271"/>
  <c r="AK271"/>
  <c r="Z270"/>
  <c r="AO270" s="1"/>
  <c r="Y270"/>
  <c r="X270"/>
  <c r="Z269"/>
  <c r="AO269" s="1"/>
  <c r="Y269"/>
  <c r="X269"/>
  <c r="Z268"/>
  <c r="AO268" s="1"/>
  <c r="Y268"/>
  <c r="X268"/>
  <c r="Z267"/>
  <c r="AO267" s="1"/>
  <c r="Y267"/>
  <c r="X267"/>
  <c r="AK267"/>
  <c r="Z266"/>
  <c r="Y266"/>
  <c r="AN266" s="1"/>
  <c r="X266"/>
  <c r="Z265"/>
  <c r="Y265"/>
  <c r="X265"/>
  <c r="AM265" s="1"/>
  <c r="Z264"/>
  <c r="Y264"/>
  <c r="AN264" s="1"/>
  <c r="X264"/>
  <c r="Z263"/>
  <c r="Y263"/>
  <c r="X263"/>
  <c r="Z262"/>
  <c r="Y262"/>
  <c r="AN262" s="1"/>
  <c r="X262"/>
  <c r="Z261"/>
  <c r="Y261"/>
  <c r="X261"/>
  <c r="AM261" s="1"/>
  <c r="Z260"/>
  <c r="Y260"/>
  <c r="AN260" s="1"/>
  <c r="X260"/>
  <c r="Z259"/>
  <c r="Y259"/>
  <c r="AN259" s="1"/>
  <c r="X259"/>
  <c r="Z258"/>
  <c r="Y258"/>
  <c r="X258"/>
  <c r="Z257"/>
  <c r="Y257"/>
  <c r="X257"/>
  <c r="AA256"/>
  <c r="Y256"/>
  <c r="X256"/>
  <c r="AA255"/>
  <c r="Y255"/>
  <c r="X255"/>
  <c r="AK255"/>
  <c r="AR255" s="1"/>
  <c r="AA254"/>
  <c r="Y254"/>
  <c r="X254"/>
  <c r="AA253"/>
  <c r="Y253"/>
  <c r="X253"/>
  <c r="AK253"/>
  <c r="Z252"/>
  <c r="Y252"/>
  <c r="X252"/>
  <c r="Z251"/>
  <c r="Y251"/>
  <c r="X251"/>
  <c r="AA250"/>
  <c r="Y250"/>
  <c r="AN250" s="1"/>
  <c r="X250"/>
  <c r="AA249"/>
  <c r="Y249"/>
  <c r="X249"/>
  <c r="AK249"/>
  <c r="AA248"/>
  <c r="Y248"/>
  <c r="X248"/>
  <c r="AA247"/>
  <c r="Y247"/>
  <c r="AN247" s="1"/>
  <c r="X247"/>
  <c r="AK247"/>
  <c r="AA246"/>
  <c r="Y246"/>
  <c r="X246"/>
  <c r="AA245"/>
  <c r="Y245"/>
  <c r="X245"/>
  <c r="AK245"/>
  <c r="AR245"/>
  <c r="Z244"/>
  <c r="Y244"/>
  <c r="AN244" s="1"/>
  <c r="X244"/>
  <c r="AM244"/>
  <c r="Z243"/>
  <c r="Y243"/>
  <c r="AN243" s="1"/>
  <c r="X243"/>
  <c r="AL243"/>
  <c r="Z242"/>
  <c r="Y242"/>
  <c r="AN242" s="1"/>
  <c r="X242"/>
  <c r="Z241"/>
  <c r="Y241"/>
  <c r="X241"/>
  <c r="AL241"/>
  <c r="AA240"/>
  <c r="Y240"/>
  <c r="X240"/>
  <c r="AA239"/>
  <c r="Y239"/>
  <c r="X239"/>
  <c r="AK239"/>
  <c r="Z238"/>
  <c r="Y238"/>
  <c r="X238"/>
  <c r="Z237"/>
  <c r="Y237"/>
  <c r="X237"/>
  <c r="AA236"/>
  <c r="Y236"/>
  <c r="X236"/>
  <c r="Z235"/>
  <c r="Y235"/>
  <c r="X235"/>
  <c r="Z234"/>
  <c r="Y234"/>
  <c r="X234"/>
  <c r="Z233"/>
  <c r="Y233"/>
  <c r="X233"/>
  <c r="Z232"/>
  <c r="Y232"/>
  <c r="X232"/>
  <c r="AA231"/>
  <c r="Y231"/>
  <c r="X231"/>
  <c r="AK231"/>
  <c r="AA230"/>
  <c r="Y230"/>
  <c r="X230"/>
  <c r="AA229"/>
  <c r="Y229"/>
  <c r="AN229" s="1"/>
  <c r="X229"/>
  <c r="AK229"/>
  <c r="Z228"/>
  <c r="Y228"/>
  <c r="AN228" s="1"/>
  <c r="X228"/>
  <c r="Z227"/>
  <c r="Y227"/>
  <c r="X227"/>
  <c r="Z226"/>
  <c r="Y226"/>
  <c r="AN226" s="1"/>
  <c r="X226"/>
  <c r="AM226" s="1"/>
  <c r="Z225"/>
  <c r="Y225"/>
  <c r="X225"/>
  <c r="Z224"/>
  <c r="Y224"/>
  <c r="X224"/>
  <c r="AA223"/>
  <c r="Y223"/>
  <c r="X223"/>
  <c r="Z222"/>
  <c r="Y222"/>
  <c r="AN222" s="1"/>
  <c r="X222"/>
  <c r="AA221"/>
  <c r="Y221"/>
  <c r="X221"/>
  <c r="AM221" s="1"/>
  <c r="AK221"/>
  <c r="Z220"/>
  <c r="Y220"/>
  <c r="X220"/>
  <c r="AA219"/>
  <c r="Y219"/>
  <c r="X219"/>
  <c r="AK219"/>
  <c r="Y218"/>
  <c r="X218"/>
  <c r="Y217"/>
  <c r="X217"/>
  <c r="Y216"/>
  <c r="X216"/>
  <c r="Y215"/>
  <c r="X215"/>
  <c r="Y214"/>
  <c r="X214"/>
  <c r="AM214" s="1"/>
  <c r="Y213"/>
  <c r="X213"/>
  <c r="Y212"/>
  <c r="X212"/>
  <c r="Y211"/>
  <c r="X211"/>
  <c r="Y210"/>
  <c r="X210"/>
  <c r="Y209"/>
  <c r="AN209" s="1"/>
  <c r="X209"/>
  <c r="Y208"/>
  <c r="X208"/>
  <c r="Y207"/>
  <c r="X207"/>
  <c r="Y206"/>
  <c r="AN206" s="1"/>
  <c r="X206"/>
  <c r="Y205"/>
  <c r="X205"/>
  <c r="Y204"/>
  <c r="X204"/>
  <c r="Y203"/>
  <c r="X203"/>
  <c r="Y202"/>
  <c r="AN202" s="1"/>
  <c r="X202"/>
  <c r="Y201"/>
  <c r="X201"/>
  <c r="Y200"/>
  <c r="X200"/>
  <c r="Y199"/>
  <c r="X199"/>
  <c r="Z198"/>
  <c r="AO198" s="1"/>
  <c r="Y198"/>
  <c r="AN198" s="1"/>
  <c r="X198"/>
  <c r="Z197"/>
  <c r="Y197"/>
  <c r="X197"/>
  <c r="AM197" s="1"/>
  <c r="AL197"/>
  <c r="AA196"/>
  <c r="Y196"/>
  <c r="X196"/>
  <c r="Z195"/>
  <c r="Y195"/>
  <c r="X195"/>
  <c r="Y194"/>
  <c r="X194"/>
  <c r="AM194" s="1"/>
  <c r="Y193"/>
  <c r="X193"/>
  <c r="AM193" s="1"/>
  <c r="Y192"/>
  <c r="X192"/>
  <c r="Y191"/>
  <c r="X191"/>
  <c r="AM191" s="1"/>
  <c r="Z190"/>
  <c r="Y190"/>
  <c r="AN190" s="1"/>
  <c r="X190"/>
  <c r="AA189"/>
  <c r="Y189"/>
  <c r="X189"/>
  <c r="AK189"/>
  <c r="AR189"/>
  <c r="AA188"/>
  <c r="Y188"/>
  <c r="X188"/>
  <c r="Z187"/>
  <c r="Y187"/>
  <c r="X187"/>
  <c r="AM187" s="1"/>
  <c r="Z186"/>
  <c r="Y186"/>
  <c r="X186"/>
  <c r="AL186"/>
  <c r="AA185"/>
  <c r="Y185"/>
  <c r="X185"/>
  <c r="AK185"/>
  <c r="Z184"/>
  <c r="Y184"/>
  <c r="X184"/>
  <c r="Y183"/>
  <c r="X183"/>
  <c r="Y182"/>
  <c r="AN182" s="1"/>
  <c r="X182"/>
  <c r="AM182" s="1"/>
  <c r="Y181"/>
  <c r="X181"/>
  <c r="Y180"/>
  <c r="X180"/>
  <c r="Y179"/>
  <c r="X179"/>
  <c r="AM179" s="1"/>
  <c r="AA178"/>
  <c r="Z178"/>
  <c r="Y178"/>
  <c r="X178"/>
  <c r="Y177"/>
  <c r="X177"/>
  <c r="AM177" s="1"/>
  <c r="Y176"/>
  <c r="X176"/>
  <c r="Z175"/>
  <c r="Y175"/>
  <c r="X175"/>
  <c r="AL175"/>
  <c r="Z174"/>
  <c r="Y174"/>
  <c r="X174"/>
  <c r="Z173"/>
  <c r="Y173"/>
  <c r="X173"/>
  <c r="AA172"/>
  <c r="Y172"/>
  <c r="X172"/>
  <c r="AK172"/>
  <c r="AA171"/>
  <c r="Y171"/>
  <c r="X171"/>
  <c r="AK171"/>
  <c r="AR171" s="1"/>
  <c r="AA170"/>
  <c r="Y170"/>
  <c r="X170"/>
  <c r="AA169"/>
  <c r="Y169"/>
  <c r="X169"/>
  <c r="AK169"/>
  <c r="AR169" s="1"/>
  <c r="AA168"/>
  <c r="Y168"/>
  <c r="X168"/>
  <c r="AA167"/>
  <c r="Y167"/>
  <c r="AN167" s="1"/>
  <c r="X167"/>
  <c r="AK167"/>
  <c r="AA166"/>
  <c r="Y166"/>
  <c r="AN166" s="1"/>
  <c r="X166"/>
  <c r="AA165"/>
  <c r="Y165"/>
  <c r="X165"/>
  <c r="AM165" s="1"/>
  <c r="AK165"/>
  <c r="AR165"/>
  <c r="AA164"/>
  <c r="Y164"/>
  <c r="X164"/>
  <c r="AM164"/>
  <c r="AA163"/>
  <c r="Y163"/>
  <c r="AN163" s="1"/>
  <c r="X163"/>
  <c r="AK163"/>
  <c r="AR163" s="1"/>
  <c r="AA162"/>
  <c r="Y162"/>
  <c r="X162"/>
  <c r="AM162" s="1"/>
  <c r="AA161"/>
  <c r="Y161"/>
  <c r="X161"/>
  <c r="AK161"/>
  <c r="Y160"/>
  <c r="AN160" s="1"/>
  <c r="X160"/>
  <c r="AM160"/>
  <c r="AA159"/>
  <c r="Y159"/>
  <c r="X159"/>
  <c r="AK159"/>
  <c r="AA158"/>
  <c r="Y158"/>
  <c r="AN158" s="1"/>
  <c r="X158"/>
  <c r="AM158"/>
  <c r="AA157"/>
  <c r="Y157"/>
  <c r="AN157" s="1"/>
  <c r="X157"/>
  <c r="AK157"/>
  <c r="AA156"/>
  <c r="Y156"/>
  <c r="AN156" s="1"/>
  <c r="X156"/>
  <c r="AM156"/>
  <c r="AA155"/>
  <c r="Y155"/>
  <c r="AN155" s="1"/>
  <c r="X155"/>
  <c r="AK155"/>
  <c r="AA154"/>
  <c r="Y154"/>
  <c r="AN154" s="1"/>
  <c r="X154"/>
  <c r="AM154"/>
  <c r="AA153"/>
  <c r="Y153"/>
  <c r="X153"/>
  <c r="AK153"/>
  <c r="AA152"/>
  <c r="Y152"/>
  <c r="AN152" s="1"/>
  <c r="X152"/>
  <c r="Z151"/>
  <c r="Y151"/>
  <c r="X151"/>
  <c r="Z150"/>
  <c r="Y150"/>
  <c r="X150"/>
  <c r="AA149"/>
  <c r="Y149"/>
  <c r="X149"/>
  <c r="AA148"/>
  <c r="Y148"/>
  <c r="AN148" s="1"/>
  <c r="X148"/>
  <c r="AM148" s="1"/>
  <c r="O50" i="35"/>
  <c r="P50" s="1"/>
  <c r="AA147" i="1"/>
  <c r="Y147"/>
  <c r="AN147" s="1"/>
  <c r="X147"/>
  <c r="AK147"/>
  <c r="Z146"/>
  <c r="Y146"/>
  <c r="X146"/>
  <c r="AA145"/>
  <c r="Y145"/>
  <c r="X145"/>
  <c r="AM145" s="1"/>
  <c r="AK145"/>
  <c r="AA144"/>
  <c r="Y144"/>
  <c r="X144"/>
  <c r="Z143"/>
  <c r="Y143"/>
  <c r="X143"/>
  <c r="Z142"/>
  <c r="Y142"/>
  <c r="X142"/>
  <c r="AA141"/>
  <c r="Y141"/>
  <c r="X141"/>
  <c r="AK141"/>
  <c r="Z140"/>
  <c r="Y140"/>
  <c r="AN140" s="1"/>
  <c r="X140"/>
  <c r="AM140"/>
  <c r="Z139"/>
  <c r="Y139"/>
  <c r="X139"/>
  <c r="AA138"/>
  <c r="Y138"/>
  <c r="X138"/>
  <c r="AA137"/>
  <c r="Y137"/>
  <c r="X137"/>
  <c r="AK137"/>
  <c r="AA136"/>
  <c r="Y136"/>
  <c r="X136"/>
  <c r="Z135"/>
  <c r="Y135"/>
  <c r="X135"/>
  <c r="AM135" s="1"/>
  <c r="AA134"/>
  <c r="Y134"/>
  <c r="X134"/>
  <c r="Z133"/>
  <c r="Y133"/>
  <c r="X133"/>
  <c r="Z132"/>
  <c r="Y132"/>
  <c r="X132"/>
  <c r="AM132" s="1"/>
  <c r="AA131"/>
  <c r="Y131"/>
  <c r="AN131" s="1"/>
  <c r="X131"/>
  <c r="AK131"/>
  <c r="Z130"/>
  <c r="Y130"/>
  <c r="X130"/>
  <c r="AA129"/>
  <c r="Y129"/>
  <c r="AN129" s="1"/>
  <c r="X129"/>
  <c r="AK129"/>
  <c r="Z128"/>
  <c r="Y128"/>
  <c r="X128"/>
  <c r="Z127"/>
  <c r="Y127"/>
  <c r="AN127" s="1"/>
  <c r="X127"/>
  <c r="AA126"/>
  <c r="Y126"/>
  <c r="X126"/>
  <c r="Z125"/>
  <c r="Y125"/>
  <c r="AN125" s="1"/>
  <c r="X125"/>
  <c r="AA124"/>
  <c r="Y124"/>
  <c r="X124"/>
  <c r="AA123"/>
  <c r="Y123"/>
  <c r="AN123" s="1"/>
  <c r="X123"/>
  <c r="AK123"/>
  <c r="Z122"/>
  <c r="Y122"/>
  <c r="X122"/>
  <c r="Y121"/>
  <c r="AN121" s="1"/>
  <c r="X121"/>
  <c r="Y120"/>
  <c r="AN120" s="1"/>
  <c r="X120"/>
  <c r="AM120"/>
  <c r="AA119"/>
  <c r="Y119"/>
  <c r="AN119" s="1"/>
  <c r="X119"/>
  <c r="AK119"/>
  <c r="Z118"/>
  <c r="Y118"/>
  <c r="X118"/>
  <c r="AM118"/>
  <c r="Y117"/>
  <c r="AN117"/>
  <c r="X117"/>
  <c r="AK117"/>
  <c r="Z116"/>
  <c r="Y116"/>
  <c r="AN116" s="1"/>
  <c r="X116"/>
  <c r="AM116" s="1"/>
  <c r="Y115"/>
  <c r="AN115" s="1"/>
  <c r="X115"/>
  <c r="AK115"/>
  <c r="Z114"/>
  <c r="Y114"/>
  <c r="AN114" s="1"/>
  <c r="X114"/>
  <c r="AM114" s="1"/>
  <c r="AA112"/>
  <c r="Y112"/>
  <c r="AN112" s="1"/>
  <c r="X112"/>
  <c r="AA111"/>
  <c r="Y111"/>
  <c r="X111"/>
  <c r="AK111"/>
  <c r="AR111" s="1"/>
  <c r="AA110"/>
  <c r="Y110"/>
  <c r="AN110" s="1"/>
  <c r="X110"/>
  <c r="AA109"/>
  <c r="Y109"/>
  <c r="X109"/>
  <c r="AM109" s="1"/>
  <c r="AA108"/>
  <c r="Y108"/>
  <c r="AN108" s="1"/>
  <c r="X108"/>
  <c r="AA107"/>
  <c r="Y107"/>
  <c r="X107"/>
  <c r="AK107"/>
  <c r="AA106"/>
  <c r="Y106"/>
  <c r="X106"/>
  <c r="AA105"/>
  <c r="Y105"/>
  <c r="AN105" s="1"/>
  <c r="X105"/>
  <c r="AA104"/>
  <c r="Y104"/>
  <c r="X104"/>
  <c r="AA103"/>
  <c r="Y103"/>
  <c r="AN103" s="1"/>
  <c r="X103"/>
  <c r="AK103"/>
  <c r="Z99"/>
  <c r="Y99"/>
  <c r="X99"/>
  <c r="W99"/>
  <c r="V99"/>
  <c r="AA93"/>
  <c r="Z93"/>
  <c r="AO93"/>
  <c r="Y93"/>
  <c r="X93"/>
  <c r="AM93" s="1"/>
  <c r="AA92"/>
  <c r="Z92"/>
  <c r="AO92" s="1"/>
  <c r="AT92" s="1"/>
  <c r="Y92"/>
  <c r="X92"/>
  <c r="AM92" s="1"/>
  <c r="AA91"/>
  <c r="Z91"/>
  <c r="AO91" s="1"/>
  <c r="AT91" s="1"/>
  <c r="Y91"/>
  <c r="X91"/>
  <c r="AA90"/>
  <c r="Z90"/>
  <c r="AO90" s="1"/>
  <c r="Y90"/>
  <c r="AN90" s="1"/>
  <c r="X90"/>
  <c r="AK90"/>
  <c r="AR90" s="1"/>
  <c r="AA89"/>
  <c r="Y89"/>
  <c r="X89"/>
  <c r="AM89" s="1"/>
  <c r="AA88"/>
  <c r="Y88"/>
  <c r="X88"/>
  <c r="AM88" s="1"/>
  <c r="AK88"/>
  <c r="AA87"/>
  <c r="Y87"/>
  <c r="X87"/>
  <c r="AA86"/>
  <c r="Y86"/>
  <c r="X86"/>
  <c r="AA85"/>
  <c r="Y85"/>
  <c r="X85"/>
  <c r="AA84"/>
  <c r="Y84"/>
  <c r="X84"/>
  <c r="AK84"/>
  <c r="AA83"/>
  <c r="Y83"/>
  <c r="X83"/>
  <c r="AK83"/>
  <c r="AA82"/>
  <c r="Y82"/>
  <c r="X82"/>
  <c r="H16" i="4"/>
  <c r="H16" i="8" s="1"/>
  <c r="AA81" i="1"/>
  <c r="Y81"/>
  <c r="X81"/>
  <c r="AA80"/>
  <c r="Y80"/>
  <c r="X80"/>
  <c r="AK80"/>
  <c r="AA79"/>
  <c r="Y79"/>
  <c r="X79"/>
  <c r="AA78"/>
  <c r="Y78"/>
  <c r="X78"/>
  <c r="AK78"/>
  <c r="AA77"/>
  <c r="Y77"/>
  <c r="X77"/>
  <c r="AA76"/>
  <c r="Y76"/>
  <c r="X76"/>
  <c r="AK76"/>
  <c r="AA75"/>
  <c r="Y75"/>
  <c r="AN75" s="1"/>
  <c r="X75"/>
  <c r="AM75" s="1"/>
  <c r="AS75" s="1"/>
  <c r="AA74"/>
  <c r="Y74"/>
  <c r="X74"/>
  <c r="AK74"/>
  <c r="AR74" s="1"/>
  <c r="AA73"/>
  <c r="Y73"/>
  <c r="X73"/>
  <c r="AA72"/>
  <c r="Y72"/>
  <c r="X72"/>
  <c r="AA71"/>
  <c r="Y71"/>
  <c r="X71"/>
  <c r="AK71"/>
  <c r="Z69"/>
  <c r="Y69"/>
  <c r="X69"/>
  <c r="Z68"/>
  <c r="Y68"/>
  <c r="AN68" s="1"/>
  <c r="X68"/>
  <c r="AL68"/>
  <c r="Z67"/>
  <c r="Y67"/>
  <c r="AN67" s="1"/>
  <c r="X67"/>
  <c r="Z66"/>
  <c r="Y66"/>
  <c r="AN66" s="1"/>
  <c r="X66"/>
  <c r="Z65"/>
  <c r="Y65"/>
  <c r="AN65" s="1"/>
  <c r="AS65" s="1"/>
  <c r="X65"/>
  <c r="AL65"/>
  <c r="AR65" s="1"/>
  <c r="Z64"/>
  <c r="Y64"/>
  <c r="X64"/>
  <c r="AM64" s="1"/>
  <c r="Z63"/>
  <c r="Y63"/>
  <c r="X63"/>
  <c r="AL63"/>
  <c r="Z62"/>
  <c r="Y62"/>
  <c r="X62"/>
  <c r="AL62"/>
  <c r="Y61"/>
  <c r="X61"/>
  <c r="Y60"/>
  <c r="X60"/>
  <c r="AM60" s="1"/>
  <c r="Z59"/>
  <c r="Y59"/>
  <c r="X59"/>
  <c r="Z58"/>
  <c r="Y58"/>
  <c r="X58"/>
  <c r="AL58"/>
  <c r="Z57"/>
  <c r="Y57"/>
  <c r="X57"/>
  <c r="Z56"/>
  <c r="Y56"/>
  <c r="X56"/>
  <c r="AA55"/>
  <c r="Y55"/>
  <c r="X55"/>
  <c r="AA54"/>
  <c r="Y54"/>
  <c r="X54"/>
  <c r="AK54"/>
  <c r="AR54" s="1"/>
  <c r="Z26"/>
  <c r="Y26"/>
  <c r="X26"/>
  <c r="AA25"/>
  <c r="Z25"/>
  <c r="AO25" s="1"/>
  <c r="Y25"/>
  <c r="X25"/>
  <c r="AK25"/>
  <c r="AA24"/>
  <c r="Z24"/>
  <c r="Y24"/>
  <c r="AN24" s="1"/>
  <c r="X24"/>
  <c r="AK24"/>
  <c r="AA23"/>
  <c r="Z23"/>
  <c r="Y23"/>
  <c r="X23"/>
  <c r="AA22"/>
  <c r="Z22"/>
  <c r="Y22"/>
  <c r="X22"/>
  <c r="AA21"/>
  <c r="Z21"/>
  <c r="Y21"/>
  <c r="X21"/>
  <c r="AK21"/>
  <c r="AR21" s="1"/>
  <c r="AA20"/>
  <c r="Z20"/>
  <c r="Y20"/>
  <c r="X20"/>
  <c r="AA19"/>
  <c r="Z19"/>
  <c r="Y19"/>
  <c r="X19"/>
  <c r="AA18"/>
  <c r="Z18"/>
  <c r="Y18"/>
  <c r="X18"/>
  <c r="AM18" s="1"/>
  <c r="AK18"/>
  <c r="AA17"/>
  <c r="AP17" s="1"/>
  <c r="Z17"/>
  <c r="Y17"/>
  <c r="X17"/>
  <c r="AA16"/>
  <c r="Z16"/>
  <c r="AT16"/>
  <c r="Y16"/>
  <c r="X16"/>
  <c r="Y15"/>
  <c r="X15"/>
  <c r="AK15"/>
  <c r="AN823"/>
  <c r="AN815"/>
  <c r="AN813"/>
  <c r="AN811"/>
  <c r="AN809"/>
  <c r="AN807"/>
  <c r="AN801"/>
  <c r="AN779"/>
  <c r="AN771"/>
  <c r="AN761"/>
  <c r="AN757"/>
  <c r="AN753"/>
  <c r="AN747"/>
  <c r="AN731"/>
  <c r="AN723"/>
  <c r="AN713"/>
  <c r="AN703"/>
  <c r="E20" i="29"/>
  <c r="K20"/>
  <c r="H20"/>
  <c r="AJ10" i="1"/>
  <c r="R46" i="33"/>
  <c r="S57"/>
  <c r="R43"/>
  <c r="S55"/>
  <c r="R40"/>
  <c r="S53"/>
  <c r="R37"/>
  <c r="T902" i="27"/>
  <c r="T901"/>
  <c r="T902" i="26"/>
  <c r="T901"/>
  <c r="T902" i="25"/>
  <c r="T901"/>
  <c r="P902" i="27"/>
  <c r="P901"/>
  <c r="P902" i="26"/>
  <c r="P901"/>
  <c r="P902" i="25"/>
  <c r="P901"/>
  <c r="T902" i="20"/>
  <c r="T901"/>
  <c r="P902"/>
  <c r="P901"/>
  <c r="K8" i="36"/>
  <c r="O43" i="33"/>
  <c r="P55"/>
  <c r="O40"/>
  <c r="O37"/>
  <c r="P51"/>
  <c r="S14" i="35"/>
  <c r="R22"/>
  <c r="O22"/>
  <c r="P49"/>
  <c r="P14"/>
  <c r="P33"/>
  <c r="P27"/>
  <c r="L12"/>
  <c r="H12"/>
  <c r="L20"/>
  <c r="N20" s="1"/>
  <c r="K10"/>
  <c r="F10"/>
  <c r="C10"/>
  <c r="J8"/>
  <c r="G8"/>
  <c r="E8"/>
  <c r="L110" s="1"/>
  <c r="C8"/>
  <c r="N10" s="1"/>
  <c r="G6"/>
  <c r="C6"/>
  <c r="E2"/>
  <c r="N1" i="30"/>
  <c r="N1" i="29"/>
  <c r="N1" i="8"/>
  <c r="N1" i="4"/>
  <c r="J8" i="27"/>
  <c r="G8"/>
  <c r="J8" i="26"/>
  <c r="G8"/>
  <c r="J8" i="25"/>
  <c r="G8"/>
  <c r="J8" i="20"/>
  <c r="G8"/>
  <c r="J8" i="31"/>
  <c r="G8"/>
  <c r="J8" i="33"/>
  <c r="G8"/>
  <c r="J8" i="32"/>
  <c r="G8"/>
  <c r="G1" i="29"/>
  <c r="N81" i="33"/>
  <c r="N80"/>
  <c r="N79"/>
  <c r="N78"/>
  <c r="N77"/>
  <c r="N76"/>
  <c r="N75"/>
  <c r="N74"/>
  <c r="N73"/>
  <c r="N72"/>
  <c r="N71"/>
  <c r="N70"/>
  <c r="N69"/>
  <c r="N68"/>
  <c r="N66"/>
  <c r="N65"/>
  <c r="N64"/>
  <c r="N18"/>
  <c r="O65"/>
  <c r="R32"/>
  <c r="N21"/>
  <c r="O32"/>
  <c r="L12"/>
  <c r="H12"/>
  <c r="P65"/>
  <c r="N16"/>
  <c r="N15"/>
  <c r="N14"/>
  <c r="O46"/>
  <c r="P57"/>
  <c r="N31"/>
  <c r="N30"/>
  <c r="N29"/>
  <c r="N28"/>
  <c r="N27"/>
  <c r="N26"/>
  <c r="N25"/>
  <c r="N24"/>
  <c r="N23"/>
  <c r="N22"/>
  <c r="N20"/>
  <c r="N19"/>
  <c r="N17"/>
  <c r="N67"/>
  <c r="K10"/>
  <c r="F10"/>
  <c r="C10"/>
  <c r="E8"/>
  <c r="C8"/>
  <c r="N10" s="1"/>
  <c r="G6"/>
  <c r="C6"/>
  <c r="E2"/>
  <c r="AO6" i="1"/>
  <c r="L12" i="27"/>
  <c r="L12" i="26"/>
  <c r="L12" i="25"/>
  <c r="L12" i="20"/>
  <c r="L12" i="31"/>
  <c r="A257"/>
  <c r="N257"/>
  <c r="A624" i="27"/>
  <c r="A562"/>
  <c r="A563"/>
  <c r="A564"/>
  <c r="N564"/>
  <c r="A557"/>
  <c r="A558"/>
  <c r="A559"/>
  <c r="A551"/>
  <c r="A552"/>
  <c r="A624" i="26"/>
  <c r="A562"/>
  <c r="A563"/>
  <c r="A564"/>
  <c r="N564"/>
  <c r="A557"/>
  <c r="A558"/>
  <c r="A559"/>
  <c r="A551"/>
  <c r="A552"/>
  <c r="A553"/>
  <c r="N553"/>
  <c r="A624" i="25"/>
  <c r="A562"/>
  <c r="A563"/>
  <c r="A564"/>
  <c r="N564"/>
  <c r="A557"/>
  <c r="A558"/>
  <c r="A559"/>
  <c r="A551"/>
  <c r="A552"/>
  <c r="A553"/>
  <c r="N553"/>
  <c r="A624" i="20"/>
  <c r="A562"/>
  <c r="A563"/>
  <c r="A564"/>
  <c r="N564"/>
  <c r="A557"/>
  <c r="A558"/>
  <c r="A559"/>
  <c r="A551"/>
  <c r="A552"/>
  <c r="A553"/>
  <c r="N553"/>
  <c r="N17" i="32"/>
  <c r="F13"/>
  <c r="K10"/>
  <c r="F10"/>
  <c r="C10"/>
  <c r="E8"/>
  <c r="G6"/>
  <c r="C6"/>
  <c r="K36" i="29"/>
  <c r="K36" i="30" s="1"/>
  <c r="K35" i="29"/>
  <c r="K35" i="30" s="1"/>
  <c r="H35" i="29"/>
  <c r="H35" i="30" s="1"/>
  <c r="H34" i="29"/>
  <c r="H34" i="30" s="1"/>
  <c r="H36" i="29"/>
  <c r="H36" i="30" s="1"/>
  <c r="E35" i="29"/>
  <c r="E35" i="30" s="1"/>
  <c r="E36" i="29"/>
  <c r="E36" i="30" s="1"/>
  <c r="N36" s="1"/>
  <c r="AA187" i="1"/>
  <c r="AH187"/>
  <c r="T187"/>
  <c r="K57" i="29"/>
  <c r="K57" i="30" s="1"/>
  <c r="H57" i="29"/>
  <c r="H57" i="30" s="1"/>
  <c r="E57" i="29"/>
  <c r="E57" i="30" s="1"/>
  <c r="K26" i="29"/>
  <c r="K26" i="30" s="1"/>
  <c r="H26" i="29"/>
  <c r="H26" i="30" s="1"/>
  <c r="E26" i="29"/>
  <c r="E26" i="30" s="1"/>
  <c r="K83" i="29"/>
  <c r="K83" i="30" s="1"/>
  <c r="H83" i="29"/>
  <c r="H83" i="30" s="1"/>
  <c r="E83" i="29"/>
  <c r="E83" i="30" s="1"/>
  <c r="K48" i="29"/>
  <c r="H48"/>
  <c r="E48"/>
  <c r="E8" i="27"/>
  <c r="E8" i="26"/>
  <c r="E8" i="25"/>
  <c r="E8" i="20"/>
  <c r="E8" i="31"/>
  <c r="I12"/>
  <c r="H37" i="29"/>
  <c r="H37" i="30" s="1"/>
  <c r="K37" i="29"/>
  <c r="K37" i="30" s="1"/>
  <c r="K34" i="29"/>
  <c r="K34" i="30" s="1"/>
  <c r="H18" i="29"/>
  <c r="H17"/>
  <c r="H17" i="30" s="1"/>
  <c r="H16" i="29"/>
  <c r="H16" i="30" s="1"/>
  <c r="H15" i="29"/>
  <c r="H15" i="30" s="1"/>
  <c r="H14" i="29"/>
  <c r="H14" i="30" s="1"/>
  <c r="H13" i="29"/>
  <c r="H13" i="30" s="1"/>
  <c r="H72" i="29"/>
  <c r="H72" i="30" s="1"/>
  <c r="K108" i="29"/>
  <c r="K107"/>
  <c r="K106"/>
  <c r="K106" i="30" s="1"/>
  <c r="K105" i="29"/>
  <c r="K105" i="30" s="1"/>
  <c r="K104" i="29"/>
  <c r="K104" i="30" s="1"/>
  <c r="H108" i="29"/>
  <c r="H107"/>
  <c r="H106"/>
  <c r="H106" i="30" s="1"/>
  <c r="H105" i="29"/>
  <c r="H105" i="30" s="1"/>
  <c r="H104" i="29"/>
  <c r="H104" i="30" s="1"/>
  <c r="K101" i="29"/>
  <c r="K100"/>
  <c r="K99"/>
  <c r="K99" i="30" s="1"/>
  <c r="K98" i="29"/>
  <c r="K98" i="30" s="1"/>
  <c r="K97" i="29"/>
  <c r="H101"/>
  <c r="H100"/>
  <c r="H99"/>
  <c r="H98"/>
  <c r="H98" i="30" s="1"/>
  <c r="H97" i="29"/>
  <c r="H97" i="30" s="1"/>
  <c r="K94" i="29"/>
  <c r="K93"/>
  <c r="K93" i="30" s="1"/>
  <c r="K92" i="29"/>
  <c r="K92" i="30" s="1"/>
  <c r="H94" i="29"/>
  <c r="H93"/>
  <c r="H93" i="30" s="1"/>
  <c r="H92" i="29"/>
  <c r="H92" i="30" s="1"/>
  <c r="K89" i="29"/>
  <c r="K89" i="30" s="1"/>
  <c r="H89" i="29"/>
  <c r="H89" i="30" s="1"/>
  <c r="H88" i="29"/>
  <c r="H88" i="30" s="1"/>
  <c r="K84" i="29"/>
  <c r="K84" i="30" s="1"/>
  <c r="H84" i="29"/>
  <c r="H84" i="30" s="1"/>
  <c r="K80" i="29"/>
  <c r="K80" i="30" s="1"/>
  <c r="K79" i="29"/>
  <c r="K79" i="30" s="1"/>
  <c r="H80" i="29"/>
  <c r="H80" i="30" s="1"/>
  <c r="H79" i="29"/>
  <c r="H79" i="30" s="1"/>
  <c r="K69" i="29"/>
  <c r="K69" i="30" s="1"/>
  <c r="K68" i="29"/>
  <c r="K68" i="30" s="1"/>
  <c r="H69" i="29"/>
  <c r="H69" i="30" s="1"/>
  <c r="H68" i="29"/>
  <c r="K65"/>
  <c r="K65" i="30" s="1"/>
  <c r="K66" s="1"/>
  <c r="H65" i="29"/>
  <c r="H65" i="30" s="1"/>
  <c r="K60" i="29"/>
  <c r="K60" i="30" s="1"/>
  <c r="H60" i="29"/>
  <c r="H60" i="30" s="1"/>
  <c r="K56" i="29"/>
  <c r="K56" i="30" s="1"/>
  <c r="K55" i="29"/>
  <c r="K55" i="30" s="1"/>
  <c r="H56" i="29"/>
  <c r="H55"/>
  <c r="H55" i="30" s="1"/>
  <c r="K50" i="29"/>
  <c r="K49"/>
  <c r="K47"/>
  <c r="K45"/>
  <c r="K44"/>
  <c r="K44" i="30" s="1"/>
  <c r="K43" i="29"/>
  <c r="K43" i="30" s="1"/>
  <c r="H52" i="29"/>
  <c r="H52" i="30" s="1"/>
  <c r="H50" i="29"/>
  <c r="H49"/>
  <c r="H47"/>
  <c r="H46"/>
  <c r="H45"/>
  <c r="H45" i="30" s="1"/>
  <c r="H44" i="29"/>
  <c r="H44" i="30" s="1"/>
  <c r="H43" i="29"/>
  <c r="H43" i="30" s="1"/>
  <c r="K32" i="29"/>
  <c r="K32" i="30" s="1"/>
  <c r="H32" i="29"/>
  <c r="H32" i="30" s="1"/>
  <c r="K25" i="29"/>
  <c r="K25" i="30" s="1"/>
  <c r="K24" i="29"/>
  <c r="K24" i="30" s="1"/>
  <c r="H25" i="29"/>
  <c r="H25" i="30" s="1"/>
  <c r="H24" i="29"/>
  <c r="H24" i="30" s="1"/>
  <c r="K18" i="29"/>
  <c r="K17"/>
  <c r="K17" i="30" s="1"/>
  <c r="K16" i="29"/>
  <c r="K16" i="30" s="1"/>
  <c r="K15" i="29"/>
  <c r="K15" i="30" s="1"/>
  <c r="K14" i="29"/>
  <c r="K14" i="30" s="1"/>
  <c r="K13" i="29"/>
  <c r="K13" i="30" s="1"/>
  <c r="Y337" i="31"/>
  <c r="X337"/>
  <c r="Y396"/>
  <c r="X396"/>
  <c r="Y461"/>
  <c r="X461"/>
  <c r="Y460"/>
  <c r="X460"/>
  <c r="Y459"/>
  <c r="X459"/>
  <c r="Y458"/>
  <c r="X458"/>
  <c r="Y457"/>
  <c r="X457"/>
  <c r="Y456"/>
  <c r="X456"/>
  <c r="Y455"/>
  <c r="X455"/>
  <c r="Y454"/>
  <c r="X454"/>
  <c r="Y453"/>
  <c r="X453"/>
  <c r="Y452"/>
  <c r="X452"/>
  <c r="Y451"/>
  <c r="X451"/>
  <c r="Y450"/>
  <c r="X450"/>
  <c r="Y449"/>
  <c r="X449"/>
  <c r="Y448"/>
  <c r="X448"/>
  <c r="Y447"/>
  <c r="X447"/>
  <c r="Y446"/>
  <c r="X446"/>
  <c r="Y445"/>
  <c r="X445"/>
  <c r="Y444"/>
  <c r="X444"/>
  <c r="Y443"/>
  <c r="X443"/>
  <c r="Y442"/>
  <c r="X442"/>
  <c r="Y441"/>
  <c r="X441"/>
  <c r="Y440"/>
  <c r="X440"/>
  <c r="Y439"/>
  <c r="X439"/>
  <c r="Y438"/>
  <c r="X438"/>
  <c r="Y437"/>
  <c r="X437"/>
  <c r="Y436"/>
  <c r="X436"/>
  <c r="Y435"/>
  <c r="X435"/>
  <c r="Y434"/>
  <c r="X434"/>
  <c r="Y433"/>
  <c r="X433"/>
  <c r="Y432"/>
  <c r="X432"/>
  <c r="Y431"/>
  <c r="X431"/>
  <c r="Y430"/>
  <c r="X430"/>
  <c r="Y429"/>
  <c r="X429"/>
  <c r="Y428"/>
  <c r="X428"/>
  <c r="Y427"/>
  <c r="X427"/>
  <c r="Y426"/>
  <c r="X426"/>
  <c r="Y425"/>
  <c r="X425"/>
  <c r="Y424"/>
  <c r="X424"/>
  <c r="Y423"/>
  <c r="X423"/>
  <c r="Y422"/>
  <c r="X422"/>
  <c r="Y421"/>
  <c r="X421"/>
  <c r="Y420"/>
  <c r="X420"/>
  <c r="Y419"/>
  <c r="X419"/>
  <c r="Y418"/>
  <c r="X418"/>
  <c r="Y417"/>
  <c r="X417"/>
  <c r="Y416"/>
  <c r="X416"/>
  <c r="Y415"/>
  <c r="X415"/>
  <c r="Y414"/>
  <c r="X414"/>
  <c r="Y413"/>
  <c r="X413"/>
  <c r="Y412"/>
  <c r="X412"/>
  <c r="Y411"/>
  <c r="X411"/>
  <c r="Y410"/>
  <c r="X410"/>
  <c r="Y409"/>
  <c r="X409"/>
  <c r="Y408"/>
  <c r="X408"/>
  <c r="Y407"/>
  <c r="X407"/>
  <c r="Y406"/>
  <c r="X406"/>
  <c r="AA406" s="1"/>
  <c r="Y405"/>
  <c r="X405"/>
  <c r="Y404"/>
  <c r="X404"/>
  <c r="Y403"/>
  <c r="X403"/>
  <c r="Y402"/>
  <c r="X402"/>
  <c r="Y401"/>
  <c r="X401"/>
  <c r="Y400"/>
  <c r="X400"/>
  <c r="Y399"/>
  <c r="X399"/>
  <c r="Y398"/>
  <c r="X398"/>
  <c r="Y397"/>
  <c r="X397"/>
  <c r="Y395"/>
  <c r="X395"/>
  <c r="Y394"/>
  <c r="X394"/>
  <c r="Y393"/>
  <c r="X393"/>
  <c r="Y392"/>
  <c r="X392"/>
  <c r="Y391"/>
  <c r="X391"/>
  <c r="Y390"/>
  <c r="X390"/>
  <c r="Y389"/>
  <c r="X389"/>
  <c r="Y388"/>
  <c r="X388"/>
  <c r="Y387"/>
  <c r="X387"/>
  <c r="Y386"/>
  <c r="X386"/>
  <c r="Y385"/>
  <c r="X385"/>
  <c r="Y384"/>
  <c r="X384"/>
  <c r="Y383"/>
  <c r="X383"/>
  <c r="Y382"/>
  <c r="X382"/>
  <c r="Y381"/>
  <c r="X381"/>
  <c r="AA381" s="1"/>
  <c r="Y380"/>
  <c r="X380"/>
  <c r="Y379"/>
  <c r="X379"/>
  <c r="Y378"/>
  <c r="X378"/>
  <c r="Y377"/>
  <c r="X377"/>
  <c r="Y376"/>
  <c r="X376"/>
  <c r="Y375"/>
  <c r="X375"/>
  <c r="Y374"/>
  <c r="X374"/>
  <c r="Y373"/>
  <c r="X373"/>
  <c r="Y372"/>
  <c r="X372"/>
  <c r="Y371"/>
  <c r="X371"/>
  <c r="Y370"/>
  <c r="X370"/>
  <c r="Y369"/>
  <c r="X369"/>
  <c r="Y368"/>
  <c r="X368"/>
  <c r="Y367"/>
  <c r="X367"/>
  <c r="Y366"/>
  <c r="X366"/>
  <c r="Y365"/>
  <c r="X365"/>
  <c r="Y364"/>
  <c r="X364"/>
  <c r="Y363"/>
  <c r="X363"/>
  <c r="Y362"/>
  <c r="X362"/>
  <c r="Y361"/>
  <c r="X361"/>
  <c r="Y360"/>
  <c r="X360"/>
  <c r="Y359"/>
  <c r="X359"/>
  <c r="Y358"/>
  <c r="X358"/>
  <c r="Y357"/>
  <c r="X357"/>
  <c r="Y356"/>
  <c r="X356"/>
  <c r="Y355"/>
  <c r="X355"/>
  <c r="Y354"/>
  <c r="X354"/>
  <c r="Y353"/>
  <c r="X353"/>
  <c r="Y352"/>
  <c r="X352"/>
  <c r="Y351"/>
  <c r="X351"/>
  <c r="Y350"/>
  <c r="X350"/>
  <c r="Y349"/>
  <c r="X349"/>
  <c r="Y348"/>
  <c r="X348"/>
  <c r="Y347"/>
  <c r="X347"/>
  <c r="Y346"/>
  <c r="X346"/>
  <c r="Y345"/>
  <c r="X345"/>
  <c r="Y344"/>
  <c r="X344"/>
  <c r="Y343"/>
  <c r="X343"/>
  <c r="Y342"/>
  <c r="X342"/>
  <c r="Y341"/>
  <c r="X341"/>
  <c r="Y340"/>
  <c r="X340"/>
  <c r="Y339"/>
  <c r="X339"/>
  <c r="Y338"/>
  <c r="X338"/>
  <c r="Y336"/>
  <c r="X336"/>
  <c r="Y335"/>
  <c r="X335"/>
  <c r="Y334"/>
  <c r="X334"/>
  <c r="Y333"/>
  <c r="X333"/>
  <c r="Y332"/>
  <c r="X332"/>
  <c r="Y331"/>
  <c r="X331"/>
  <c r="Y330"/>
  <c r="X330"/>
  <c r="Y329"/>
  <c r="X329"/>
  <c r="Y328"/>
  <c r="X328"/>
  <c r="Y327"/>
  <c r="X327"/>
  <c r="Y326"/>
  <c r="X326"/>
  <c r="Y325"/>
  <c r="X325"/>
  <c r="Y324"/>
  <c r="X324"/>
  <c r="Y323"/>
  <c r="X323"/>
  <c r="Y322"/>
  <c r="X322"/>
  <c r="Y321"/>
  <c r="X321"/>
  <c r="Y320"/>
  <c r="X320"/>
  <c r="Y319"/>
  <c r="X319"/>
  <c r="Y318"/>
  <c r="X318"/>
  <c r="Y317"/>
  <c r="X317"/>
  <c r="Y316"/>
  <c r="X316"/>
  <c r="Y315"/>
  <c r="X315"/>
  <c r="Y314"/>
  <c r="X314"/>
  <c r="Y313"/>
  <c r="X313"/>
  <c r="Y312"/>
  <c r="X312"/>
  <c r="Y311"/>
  <c r="X311"/>
  <c r="Y310"/>
  <c r="X310"/>
  <c r="Y309"/>
  <c r="X309"/>
  <c r="Y308"/>
  <c r="X308"/>
  <c r="Y307"/>
  <c r="X307"/>
  <c r="Y306"/>
  <c r="X306"/>
  <c r="Y305"/>
  <c r="X305"/>
  <c r="Y304"/>
  <c r="X304"/>
  <c r="Y303"/>
  <c r="X303"/>
  <c r="Y302"/>
  <c r="X302"/>
  <c r="Y301"/>
  <c r="X301"/>
  <c r="Y299"/>
  <c r="X299"/>
  <c r="Y298"/>
  <c r="X298"/>
  <c r="Y297"/>
  <c r="X297"/>
  <c r="Y296"/>
  <c r="X296"/>
  <c r="Y295"/>
  <c r="X295"/>
  <c r="Y294"/>
  <c r="X294"/>
  <c r="Y293"/>
  <c r="X293"/>
  <c r="Y292"/>
  <c r="X292"/>
  <c r="Y291"/>
  <c r="X291"/>
  <c r="Y290"/>
  <c r="X290"/>
  <c r="Y289"/>
  <c r="X289"/>
  <c r="Y288"/>
  <c r="X288"/>
  <c r="Y287"/>
  <c r="X287"/>
  <c r="Y286"/>
  <c r="X286"/>
  <c r="Y285"/>
  <c r="X285"/>
  <c r="Y284"/>
  <c r="X284"/>
  <c r="Y283"/>
  <c r="X283"/>
  <c r="Y282"/>
  <c r="X282"/>
  <c r="Y281"/>
  <c r="X281"/>
  <c r="Y280"/>
  <c r="X280"/>
  <c r="Y279"/>
  <c r="X279"/>
  <c r="Y278"/>
  <c r="X278"/>
  <c r="Y277"/>
  <c r="X277"/>
  <c r="Y276"/>
  <c r="X276"/>
  <c r="Y275"/>
  <c r="X275"/>
  <c r="Y274"/>
  <c r="X274"/>
  <c r="Y272"/>
  <c r="X272"/>
  <c r="Y271"/>
  <c r="X271"/>
  <c r="Y270"/>
  <c r="X270"/>
  <c r="Y269"/>
  <c r="X269"/>
  <c r="Y268"/>
  <c r="X268"/>
  <c r="Y267"/>
  <c r="X267"/>
  <c r="Y266"/>
  <c r="AA266" s="1"/>
  <c r="X266"/>
  <c r="Y265"/>
  <c r="X265"/>
  <c r="Y264"/>
  <c r="X264"/>
  <c r="Y263"/>
  <c r="X263"/>
  <c r="Y262"/>
  <c r="X262"/>
  <c r="Y261"/>
  <c r="X261"/>
  <c r="Y260"/>
  <c r="X260"/>
  <c r="Y259"/>
  <c r="X259"/>
  <c r="Y258"/>
  <c r="X258"/>
  <c r="Y257"/>
  <c r="X257"/>
  <c r="Y256"/>
  <c r="X256"/>
  <c r="Y255"/>
  <c r="X255"/>
  <c r="Y254"/>
  <c r="X254"/>
  <c r="Y253"/>
  <c r="X253"/>
  <c r="Y252"/>
  <c r="X252"/>
  <c r="Y251"/>
  <c r="X251"/>
  <c r="Y250"/>
  <c r="X250"/>
  <c r="Y249"/>
  <c r="X249"/>
  <c r="Y248"/>
  <c r="X248"/>
  <c r="Y247"/>
  <c r="X247"/>
  <c r="Y246"/>
  <c r="X246"/>
  <c r="Y245"/>
  <c r="X245"/>
  <c r="Y244"/>
  <c r="X244"/>
  <c r="Y243"/>
  <c r="X243"/>
  <c r="AA243" s="1"/>
  <c r="Y242"/>
  <c r="X242"/>
  <c r="Y240"/>
  <c r="X240"/>
  <c r="Y239"/>
  <c r="X239"/>
  <c r="Y238"/>
  <c r="X238"/>
  <c r="X241"/>
  <c r="X237"/>
  <c r="AA237" s="1"/>
  <c r="Y236"/>
  <c r="X236"/>
  <c r="Y235"/>
  <c r="X235"/>
  <c r="Y233"/>
  <c r="X233"/>
  <c r="Y232"/>
  <c r="X232"/>
  <c r="Y231"/>
  <c r="X231"/>
  <c r="Y230"/>
  <c r="X230"/>
  <c r="Y229"/>
  <c r="X229"/>
  <c r="Y228"/>
  <c r="X228"/>
  <c r="Y227"/>
  <c r="X227"/>
  <c r="Y226"/>
  <c r="X226"/>
  <c r="Y225"/>
  <c r="X225"/>
  <c r="Y224"/>
  <c r="X224"/>
  <c r="Y223"/>
  <c r="X223"/>
  <c r="Y222"/>
  <c r="X222"/>
  <c r="Y221"/>
  <c r="X221"/>
  <c r="Y220"/>
  <c r="X220"/>
  <c r="Y219"/>
  <c r="X219"/>
  <c r="Y218"/>
  <c r="X218"/>
  <c r="Y217"/>
  <c r="X217"/>
  <c r="AA217" s="1"/>
  <c r="Y216"/>
  <c r="X216"/>
  <c r="Y215"/>
  <c r="AA215" s="1"/>
  <c r="X215"/>
  <c r="Y214"/>
  <c r="X214"/>
  <c r="Y213"/>
  <c r="X213"/>
  <c r="X212"/>
  <c r="Y211"/>
  <c r="AA211" s="1"/>
  <c r="Y210"/>
  <c r="Y209"/>
  <c r="X208"/>
  <c r="AA208" s="1"/>
  <c r="X207"/>
  <c r="AA207" s="1"/>
  <c r="X206"/>
  <c r="Y205"/>
  <c r="AA205" s="1"/>
  <c r="Y204"/>
  <c r="Y202"/>
  <c r="AA202" s="1"/>
  <c r="Y201"/>
  <c r="AA201" s="1"/>
  <c r="Y200"/>
  <c r="Y199"/>
  <c r="Y198"/>
  <c r="X198"/>
  <c r="Y197"/>
  <c r="X197"/>
  <c r="Y196"/>
  <c r="X196"/>
  <c r="Y195"/>
  <c r="X195"/>
  <c r="Y194"/>
  <c r="X194"/>
  <c r="Y193"/>
  <c r="X193"/>
  <c r="Y192"/>
  <c r="X192"/>
  <c r="Y191"/>
  <c r="X191"/>
  <c r="Y190"/>
  <c r="X190"/>
  <c r="Y189"/>
  <c r="X189"/>
  <c r="Y188"/>
  <c r="X188"/>
  <c r="Y187"/>
  <c r="X187"/>
  <c r="Y186"/>
  <c r="X186"/>
  <c r="Y185"/>
  <c r="X185"/>
  <c r="Y184"/>
  <c r="X184"/>
  <c r="Y183"/>
  <c r="X183"/>
  <c r="Y182"/>
  <c r="X182"/>
  <c r="Y181"/>
  <c r="X181"/>
  <c r="Y180"/>
  <c r="X180"/>
  <c r="Y179"/>
  <c r="X179"/>
  <c r="Y178"/>
  <c r="X178"/>
  <c r="Y177"/>
  <c r="X177"/>
  <c r="AA177" s="1"/>
  <c r="Y176"/>
  <c r="X176"/>
  <c r="Y175"/>
  <c r="X175"/>
  <c r="Y174"/>
  <c r="X174"/>
  <c r="AA174" s="1"/>
  <c r="Y173"/>
  <c r="X173"/>
  <c r="Y172"/>
  <c r="X172"/>
  <c r="Y171"/>
  <c r="X171"/>
  <c r="Y170"/>
  <c r="X170"/>
  <c r="Y169"/>
  <c r="X169"/>
  <c r="Y168"/>
  <c r="X168"/>
  <c r="Y167"/>
  <c r="X167"/>
  <c r="Y166"/>
  <c r="X166"/>
  <c r="Y165"/>
  <c r="X165"/>
  <c r="Y164"/>
  <c r="X164"/>
  <c r="Y163"/>
  <c r="X163"/>
  <c r="Y162"/>
  <c r="X162"/>
  <c r="Y161"/>
  <c r="X161"/>
  <c r="Y160"/>
  <c r="X160"/>
  <c r="Y159"/>
  <c r="X159"/>
  <c r="Y158"/>
  <c r="X158"/>
  <c r="Y157"/>
  <c r="X157"/>
  <c r="Y156"/>
  <c r="X156"/>
  <c r="Y155"/>
  <c r="X155"/>
  <c r="Y154"/>
  <c r="X154"/>
  <c r="Y153"/>
  <c r="X153"/>
  <c r="Y152"/>
  <c r="X152"/>
  <c r="Y151"/>
  <c r="X151"/>
  <c r="Y150"/>
  <c r="X150"/>
  <c r="Y149"/>
  <c r="X149"/>
  <c r="Y148"/>
  <c r="X148"/>
  <c r="Y147"/>
  <c r="X147"/>
  <c r="Y146"/>
  <c r="X146"/>
  <c r="Y145"/>
  <c r="X145"/>
  <c r="Y144"/>
  <c r="X144"/>
  <c r="Y143"/>
  <c r="X143"/>
  <c r="Y142"/>
  <c r="X142"/>
  <c r="Y141"/>
  <c r="X141"/>
  <c r="Y140"/>
  <c r="X140"/>
  <c r="Y139"/>
  <c r="X139"/>
  <c r="Y138"/>
  <c r="X138"/>
  <c r="Y137"/>
  <c r="X137"/>
  <c r="Y136"/>
  <c r="X136"/>
  <c r="Y135"/>
  <c r="X135"/>
  <c r="Y134"/>
  <c r="X134"/>
  <c r="Y133"/>
  <c r="X133"/>
  <c r="Y132"/>
  <c r="X132"/>
  <c r="Y131"/>
  <c r="X131"/>
  <c r="Y130"/>
  <c r="X130"/>
  <c r="Y129"/>
  <c r="X129"/>
  <c r="Y128"/>
  <c r="X128"/>
  <c r="Y127"/>
  <c r="X127"/>
  <c r="Y126"/>
  <c r="X126"/>
  <c r="Y125"/>
  <c r="X125"/>
  <c r="Y124"/>
  <c r="X124"/>
  <c r="Y123"/>
  <c r="X123"/>
  <c r="Y122"/>
  <c r="X122"/>
  <c r="Y121"/>
  <c r="X121"/>
  <c r="Y120"/>
  <c r="X120"/>
  <c r="Y119"/>
  <c r="X119"/>
  <c r="Y118"/>
  <c r="X118"/>
  <c r="Y117"/>
  <c r="X117"/>
  <c r="Y116"/>
  <c r="X116"/>
  <c r="Y115"/>
  <c r="X115"/>
  <c r="Y114"/>
  <c r="X114"/>
  <c r="Y113"/>
  <c r="X113"/>
  <c r="Y112"/>
  <c r="X112"/>
  <c r="Y111"/>
  <c r="X111"/>
  <c r="Y110"/>
  <c r="X110"/>
  <c r="Y109"/>
  <c r="X109"/>
  <c r="Y108"/>
  <c r="X108"/>
  <c r="Y107"/>
  <c r="X107"/>
  <c r="Y106"/>
  <c r="X106"/>
  <c r="Y105"/>
  <c r="X105"/>
  <c r="Y104"/>
  <c r="X104"/>
  <c r="Y103"/>
  <c r="X103"/>
  <c r="Y102"/>
  <c r="X102"/>
  <c r="Y101"/>
  <c r="X101"/>
  <c r="Y100"/>
  <c r="X100"/>
  <c r="Y99"/>
  <c r="X99"/>
  <c r="Y98"/>
  <c r="X98"/>
  <c r="Y97"/>
  <c r="X97"/>
  <c r="Y96"/>
  <c r="X96"/>
  <c r="Y95"/>
  <c r="X95"/>
  <c r="Y94"/>
  <c r="X94"/>
  <c r="Y93"/>
  <c r="X93"/>
  <c r="Y92"/>
  <c r="X92"/>
  <c r="Y91"/>
  <c r="X91"/>
  <c r="Y90"/>
  <c r="X90"/>
  <c r="Y89"/>
  <c r="X89"/>
  <c r="Y88"/>
  <c r="X88"/>
  <c r="Y87"/>
  <c r="X87"/>
  <c r="Y86"/>
  <c r="X86"/>
  <c r="Y85"/>
  <c r="X85"/>
  <c r="Y84"/>
  <c r="X84"/>
  <c r="Y83"/>
  <c r="X83"/>
  <c r="Y82"/>
  <c r="X82"/>
  <c r="Y81"/>
  <c r="X81"/>
  <c r="Y80"/>
  <c r="X80"/>
  <c r="Y79"/>
  <c r="X79"/>
  <c r="Y78"/>
  <c r="X78"/>
  <c r="Y77"/>
  <c r="X77"/>
  <c r="Y76"/>
  <c r="X76"/>
  <c r="Y75"/>
  <c r="X75"/>
  <c r="Y74"/>
  <c r="X74"/>
  <c r="Y73"/>
  <c r="X73"/>
  <c r="Y72"/>
  <c r="X72"/>
  <c r="Y71"/>
  <c r="X71"/>
  <c r="Y70"/>
  <c r="X70"/>
  <c r="Y69"/>
  <c r="X69"/>
  <c r="Y68"/>
  <c r="X68"/>
  <c r="Y67"/>
  <c r="X67"/>
  <c r="Y66"/>
  <c r="X66"/>
  <c r="Y65"/>
  <c r="X65"/>
  <c r="Y64"/>
  <c r="X64"/>
  <c r="Y63"/>
  <c r="X63"/>
  <c r="Y62"/>
  <c r="X62"/>
  <c r="Y61"/>
  <c r="X61"/>
  <c r="Y60"/>
  <c r="X60"/>
  <c r="Y59"/>
  <c r="X59"/>
  <c r="Y58"/>
  <c r="X58"/>
  <c r="Y57"/>
  <c r="X57"/>
  <c r="Y56"/>
  <c r="X56"/>
  <c r="Y55"/>
  <c r="X55"/>
  <c r="Y54"/>
  <c r="X54"/>
  <c r="Y53"/>
  <c r="X53"/>
  <c r="Y52"/>
  <c r="X52"/>
  <c r="Y51"/>
  <c r="X51"/>
  <c r="Y50"/>
  <c r="X50"/>
  <c r="Y49"/>
  <c r="AA49" s="1"/>
  <c r="X48"/>
  <c r="AA48" s="1"/>
  <c r="Y47"/>
  <c r="X47"/>
  <c r="Y46"/>
  <c r="X46"/>
  <c r="Y45"/>
  <c r="X45"/>
  <c r="Y44"/>
  <c r="X44"/>
  <c r="Y43"/>
  <c r="X43"/>
  <c r="Y42"/>
  <c r="X42"/>
  <c r="Y41"/>
  <c r="X41"/>
  <c r="Y40"/>
  <c r="X40"/>
  <c r="Y39"/>
  <c r="X39"/>
  <c r="Y38"/>
  <c r="X38"/>
  <c r="Y37"/>
  <c r="X37"/>
  <c r="Y36"/>
  <c r="X36"/>
  <c r="Y35"/>
  <c r="X35"/>
  <c r="Y34"/>
  <c r="X34"/>
  <c r="Y33"/>
  <c r="X33"/>
  <c r="Y32"/>
  <c r="X32"/>
  <c r="Y31"/>
  <c r="X31"/>
  <c r="Y30"/>
  <c r="X30"/>
  <c r="Y29"/>
  <c r="X29"/>
  <c r="Y28"/>
  <c r="X28"/>
  <c r="Y27"/>
  <c r="X27"/>
  <c r="Y26"/>
  <c r="X26"/>
  <c r="Y25"/>
  <c r="X25"/>
  <c r="Y24"/>
  <c r="X24"/>
  <c r="Y23"/>
  <c r="X23"/>
  <c r="Y22"/>
  <c r="X22"/>
  <c r="Y21"/>
  <c r="X21"/>
  <c r="Y20"/>
  <c r="X20"/>
  <c r="Y19"/>
  <c r="X19"/>
  <c r="Y18"/>
  <c r="X18"/>
  <c r="Y17"/>
  <c r="X17"/>
  <c r="AA17" s="1"/>
  <c r="Y15"/>
  <c r="X15"/>
  <c r="Y14"/>
  <c r="X14"/>
  <c r="E108" i="29"/>
  <c r="E107"/>
  <c r="E106"/>
  <c r="E105"/>
  <c r="E105" i="30" s="1"/>
  <c r="E104" i="29"/>
  <c r="E104" i="30" s="1"/>
  <c r="E101" i="29"/>
  <c r="E100"/>
  <c r="E99"/>
  <c r="E98"/>
  <c r="E98" i="30" s="1"/>
  <c r="E97" i="29"/>
  <c r="E97" i="30" s="1"/>
  <c r="E94" i="29"/>
  <c r="E93"/>
  <c r="E93" i="30" s="1"/>
  <c r="E92" i="29"/>
  <c r="E92" i="30" s="1"/>
  <c r="E89" i="29"/>
  <c r="E89" i="30" s="1"/>
  <c r="E88" i="29"/>
  <c r="E88" i="30" s="1"/>
  <c r="N88" s="1"/>
  <c r="E84" i="29"/>
  <c r="E84" i="30" s="1"/>
  <c r="E80" i="29"/>
  <c r="E80" i="30" s="1"/>
  <c r="N80" s="1"/>
  <c r="E79" i="29"/>
  <c r="N79" s="1"/>
  <c r="E72"/>
  <c r="E72" i="30" s="1"/>
  <c r="E69" i="29"/>
  <c r="E69" i="30" s="1"/>
  <c r="E68" i="29"/>
  <c r="E65"/>
  <c r="E65" i="30" s="1"/>
  <c r="N61" i="29"/>
  <c r="E60"/>
  <c r="E60" i="30" s="1"/>
  <c r="E56" i="29"/>
  <c r="E55"/>
  <c r="E55" i="30" s="1"/>
  <c r="E52" i="29"/>
  <c r="E52" i="30" s="1"/>
  <c r="E50" i="29"/>
  <c r="E49"/>
  <c r="E47"/>
  <c r="E46"/>
  <c r="E45"/>
  <c r="E44"/>
  <c r="E44" i="30" s="1"/>
  <c r="N44" s="1"/>
  <c r="E43" i="29"/>
  <c r="E43" i="30" s="1"/>
  <c r="E37" i="29"/>
  <c r="E37" i="30" s="1"/>
  <c r="E34" i="29"/>
  <c r="E34" i="30" s="1"/>
  <c r="E32" i="29"/>
  <c r="E32" i="30" s="1"/>
  <c r="N32" s="1"/>
  <c r="E25" i="29"/>
  <c r="E25" i="30" s="1"/>
  <c r="E24" i="29"/>
  <c r="E24" i="30" s="1"/>
  <c r="E18" i="29"/>
  <c r="E17"/>
  <c r="E16"/>
  <c r="E16" i="30" s="1"/>
  <c r="E15" i="29"/>
  <c r="E15" i="30" s="1"/>
  <c r="E14" i="29"/>
  <c r="E14" i="30" s="1"/>
  <c r="E13" i="29"/>
  <c r="E13" i="30" s="1"/>
  <c r="S462" i="31"/>
  <c r="R462"/>
  <c r="AA203"/>
  <c r="K10"/>
  <c r="F10"/>
  <c r="C10"/>
  <c r="C8"/>
  <c r="N10" s="1"/>
  <c r="G6"/>
  <c r="C6"/>
  <c r="E2"/>
  <c r="N461"/>
  <c r="N460"/>
  <c r="N459"/>
  <c r="N458"/>
  <c r="N457"/>
  <c r="N456"/>
  <c r="N455"/>
  <c r="N454"/>
  <c r="N453"/>
  <c r="N452"/>
  <c r="N451"/>
  <c r="N450"/>
  <c r="N449"/>
  <c r="N448"/>
  <c r="N447"/>
  <c r="N446"/>
  <c r="N445"/>
  <c r="N444"/>
  <c r="N443"/>
  <c r="N442"/>
  <c r="N441"/>
  <c r="N440"/>
  <c r="N439"/>
  <c r="N438"/>
  <c r="N437"/>
  <c r="N436"/>
  <c r="N435"/>
  <c r="N434"/>
  <c r="N433"/>
  <c r="N432"/>
  <c r="N431"/>
  <c r="N430"/>
  <c r="N429"/>
  <c r="N428"/>
  <c r="N427"/>
  <c r="N426"/>
  <c r="N425"/>
  <c r="N424"/>
  <c r="N423"/>
  <c r="N422"/>
  <c r="N421"/>
  <c r="N420"/>
  <c r="N419"/>
  <c r="N418"/>
  <c r="N417"/>
  <c r="N416"/>
  <c r="N415"/>
  <c r="N414"/>
  <c r="N413"/>
  <c r="N412"/>
  <c r="N411"/>
  <c r="N410"/>
  <c r="N409"/>
  <c r="N408"/>
  <c r="N407"/>
  <c r="N406"/>
  <c r="N405"/>
  <c r="N404"/>
  <c r="N403"/>
  <c r="N402"/>
  <c r="N401"/>
  <c r="N400"/>
  <c r="N399"/>
  <c r="N398"/>
  <c r="N397"/>
  <c r="N396"/>
  <c r="N395"/>
  <c r="N394"/>
  <c r="N393"/>
  <c r="N392"/>
  <c r="N391"/>
  <c r="N390"/>
  <c r="N389"/>
  <c r="N388"/>
  <c r="N387"/>
  <c r="N386"/>
  <c r="N385"/>
  <c r="N384"/>
  <c r="N383"/>
  <c r="N382"/>
  <c r="N381"/>
  <c r="N380"/>
  <c r="N379"/>
  <c r="N378"/>
  <c r="N377"/>
  <c r="N376"/>
  <c r="N375"/>
  <c r="N374"/>
  <c r="N373"/>
  <c r="N372"/>
  <c r="N371"/>
  <c r="N370"/>
  <c r="N369"/>
  <c r="N368"/>
  <c r="N367"/>
  <c r="N366"/>
  <c r="N365"/>
  <c r="N364"/>
  <c r="N363"/>
  <c r="N362"/>
  <c r="N361"/>
  <c r="N360"/>
  <c r="N359"/>
  <c r="N358"/>
  <c r="N357"/>
  <c r="N356"/>
  <c r="N355"/>
  <c r="N354"/>
  <c r="N353"/>
  <c r="N352"/>
  <c r="N351"/>
  <c r="N350"/>
  <c r="N349"/>
  <c r="N348"/>
  <c r="N347"/>
  <c r="N346"/>
  <c r="N345"/>
  <c r="N344"/>
  <c r="N343"/>
  <c r="N342"/>
  <c r="N341"/>
  <c r="N340"/>
  <c r="N339"/>
  <c r="N338"/>
  <c r="N337"/>
  <c r="N336"/>
  <c r="N335"/>
  <c r="N334"/>
  <c r="N333"/>
  <c r="N332"/>
  <c r="N331"/>
  <c r="N330"/>
  <c r="N329"/>
  <c r="N328"/>
  <c r="N327"/>
  <c r="N326"/>
  <c r="N325"/>
  <c r="N324"/>
  <c r="N323"/>
  <c r="N322"/>
  <c r="N321"/>
  <c r="N320"/>
  <c r="N319"/>
  <c r="N318"/>
  <c r="N317"/>
  <c r="N316"/>
  <c r="N315"/>
  <c r="N314"/>
  <c r="N313"/>
  <c r="N312"/>
  <c r="N311"/>
  <c r="N310"/>
  <c r="N309"/>
  <c r="N308"/>
  <c r="N307"/>
  <c r="N306"/>
  <c r="N305"/>
  <c r="N304"/>
  <c r="N303"/>
  <c r="N302"/>
  <c r="N301"/>
  <c r="N300"/>
  <c r="N299"/>
  <c r="N298"/>
  <c r="N297"/>
  <c r="N296"/>
  <c r="N295"/>
  <c r="N294"/>
  <c r="N293"/>
  <c r="N292"/>
  <c r="N291"/>
  <c r="N290"/>
  <c r="N289"/>
  <c r="N288"/>
  <c r="N287"/>
  <c r="N286"/>
  <c r="N285"/>
  <c r="N284"/>
  <c r="N283"/>
  <c r="N282"/>
  <c r="N281"/>
  <c r="N280"/>
  <c r="N279"/>
  <c r="N278"/>
  <c r="N277"/>
  <c r="N276"/>
  <c r="N275"/>
  <c r="N274"/>
  <c r="N273"/>
  <c r="N272"/>
  <c r="N271"/>
  <c r="N270"/>
  <c r="N269"/>
  <c r="N268"/>
  <c r="N267"/>
  <c r="N266"/>
  <c r="N265"/>
  <c r="N264"/>
  <c r="N263"/>
  <c r="N262"/>
  <c r="N261"/>
  <c r="N260"/>
  <c r="N259"/>
  <c r="N258"/>
  <c r="N256"/>
  <c r="N255"/>
  <c r="N254"/>
  <c r="N253"/>
  <c r="N252"/>
  <c r="N251"/>
  <c r="N250"/>
  <c r="N249"/>
  <c r="N248"/>
  <c r="N247"/>
  <c r="N246"/>
  <c r="N245"/>
  <c r="N244"/>
  <c r="N243"/>
  <c r="N242"/>
  <c r="N241"/>
  <c r="N240"/>
  <c r="N239"/>
  <c r="N238"/>
  <c r="N237"/>
  <c r="N236"/>
  <c r="N235"/>
  <c r="N233"/>
  <c r="N232"/>
  <c r="N231"/>
  <c r="N230"/>
  <c r="N229"/>
  <c r="N228"/>
  <c r="N227"/>
  <c r="N226"/>
  <c r="N225"/>
  <c r="N224"/>
  <c r="N223"/>
  <c r="N222"/>
  <c r="N221"/>
  <c r="N220"/>
  <c r="N219"/>
  <c r="N218"/>
  <c r="N217"/>
  <c r="N216"/>
  <c r="N215"/>
  <c r="N214"/>
  <c r="N213"/>
  <c r="N212"/>
  <c r="N211"/>
  <c r="N210"/>
  <c r="N209"/>
  <c r="N208"/>
  <c r="N207"/>
  <c r="N206"/>
  <c r="N205"/>
  <c r="N204"/>
  <c r="N203"/>
  <c r="N202"/>
  <c r="N201"/>
  <c r="N200"/>
  <c r="N199"/>
  <c r="N198"/>
  <c r="A195"/>
  <c r="N195"/>
  <c r="N194"/>
  <c r="N193"/>
  <c r="A190"/>
  <c r="N189"/>
  <c r="N188"/>
  <c r="N187"/>
  <c r="A184"/>
  <c r="A185"/>
  <c r="A186"/>
  <c r="N186"/>
  <c r="N183"/>
  <c r="N182"/>
  <c r="N181"/>
  <c r="N180"/>
  <c r="N179"/>
  <c r="N178"/>
  <c r="N177"/>
  <c r="N176"/>
  <c r="N175"/>
  <c r="N174"/>
  <c r="N173"/>
  <c r="N172"/>
  <c r="N171"/>
  <c r="N170"/>
  <c r="N169"/>
  <c r="N168"/>
  <c r="N167"/>
  <c r="N166"/>
  <c r="N165"/>
  <c r="N164"/>
  <c r="N163"/>
  <c r="N162"/>
  <c r="N161"/>
  <c r="N160"/>
  <c r="N159"/>
  <c r="N158"/>
  <c r="N157"/>
  <c r="N156"/>
  <c r="N155"/>
  <c r="N154"/>
  <c r="N153"/>
  <c r="N152"/>
  <c r="N151"/>
  <c r="N150"/>
  <c r="N149"/>
  <c r="N148"/>
  <c r="N147"/>
  <c r="N146"/>
  <c r="N145"/>
  <c r="N144"/>
  <c r="N143"/>
  <c r="N142"/>
  <c r="N141"/>
  <c r="N140"/>
  <c r="N139"/>
  <c r="N138"/>
  <c r="N137"/>
  <c r="N136"/>
  <c r="N135"/>
  <c r="N134"/>
  <c r="N133"/>
  <c r="N132"/>
  <c r="N131"/>
  <c r="N130"/>
  <c r="N129"/>
  <c r="N128"/>
  <c r="N127"/>
  <c r="N126"/>
  <c r="N125"/>
  <c r="N124"/>
  <c r="N123"/>
  <c r="N122"/>
  <c r="N121"/>
  <c r="N120"/>
  <c r="N119"/>
  <c r="N118"/>
  <c r="N117"/>
  <c r="N116"/>
  <c r="N115"/>
  <c r="N114"/>
  <c r="N113"/>
  <c r="N112"/>
  <c r="N111"/>
  <c r="N110"/>
  <c r="N109"/>
  <c r="N108"/>
  <c r="N107"/>
  <c r="N106"/>
  <c r="N105"/>
  <c r="N104"/>
  <c r="N103"/>
  <c r="N102"/>
  <c r="N101"/>
  <c r="N100"/>
  <c r="N99"/>
  <c r="N98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5"/>
  <c r="N14"/>
  <c r="AA572" i="1"/>
  <c r="AA571"/>
  <c r="AA569"/>
  <c r="AA568"/>
  <c r="AA567"/>
  <c r="AP567" s="1"/>
  <c r="AA566"/>
  <c r="AH572"/>
  <c r="AH571"/>
  <c r="AH569"/>
  <c r="AH568"/>
  <c r="AH567"/>
  <c r="AH566"/>
  <c r="T572"/>
  <c r="T569"/>
  <c r="T667" i="27"/>
  <c r="S667"/>
  <c r="T640"/>
  <c r="S640"/>
  <c r="T409"/>
  <c r="S409"/>
  <c r="T408"/>
  <c r="S408"/>
  <c r="T407"/>
  <c r="S407"/>
  <c r="T406"/>
  <c r="S406"/>
  <c r="T405"/>
  <c r="S405"/>
  <c r="T404"/>
  <c r="S404"/>
  <c r="T403"/>
  <c r="S403"/>
  <c r="T402"/>
  <c r="S402"/>
  <c r="AA408" i="1"/>
  <c r="Z408"/>
  <c r="S286" i="27"/>
  <c r="Z293" i="1"/>
  <c r="Z290"/>
  <c r="AO290" s="1"/>
  <c r="AT290" s="1"/>
  <c r="Z289"/>
  <c r="Z286"/>
  <c r="AH667"/>
  <c r="AG667"/>
  <c r="AX667"/>
  <c r="AH640"/>
  <c r="AG640"/>
  <c r="AX640"/>
  <c r="AG293"/>
  <c r="AX293"/>
  <c r="AG290"/>
  <c r="AX290"/>
  <c r="AG289"/>
  <c r="AX289"/>
  <c r="AG286"/>
  <c r="AX286"/>
  <c r="AH101"/>
  <c r="AX101"/>
  <c r="AH98"/>
  <c r="AX98"/>
  <c r="AH97"/>
  <c r="AX97"/>
  <c r="AH96"/>
  <c r="AX96"/>
  <c r="AH95"/>
  <c r="AX95"/>
  <c r="AH94"/>
  <c r="AX94"/>
  <c r="AH407"/>
  <c r="AG407"/>
  <c r="AX407"/>
  <c r="AH406"/>
  <c r="AG406"/>
  <c r="AX406"/>
  <c r="AH405"/>
  <c r="AG405"/>
  <c r="AX405"/>
  <c r="AH404"/>
  <c r="AG404"/>
  <c r="AX404"/>
  <c r="AH403"/>
  <c r="AG403"/>
  <c r="AX403"/>
  <c r="AH402"/>
  <c r="AG402"/>
  <c r="AX402"/>
  <c r="T101" i="27"/>
  <c r="T100"/>
  <c r="T99"/>
  <c r="T98"/>
  <c r="T97"/>
  <c r="T96"/>
  <c r="T95"/>
  <c r="T94"/>
  <c r="AA99" i="1"/>
  <c r="T408"/>
  <c r="S408"/>
  <c r="AO293"/>
  <c r="AT293" s="1"/>
  <c r="AO289"/>
  <c r="AT289" s="1"/>
  <c r="AO286"/>
  <c r="AT286" s="1"/>
  <c r="T99"/>
  <c r="AP99"/>
  <c r="AT99" s="1"/>
  <c r="AV99"/>
  <c r="AA285"/>
  <c r="Z285"/>
  <c r="AA113"/>
  <c r="Z113"/>
  <c r="T705" i="27"/>
  <c r="S705"/>
  <c r="T704"/>
  <c r="S704"/>
  <c r="AA705" i="1"/>
  <c r="Z705"/>
  <c r="AA704"/>
  <c r="Z704"/>
  <c r="T704"/>
  <c r="S704"/>
  <c r="AH704"/>
  <c r="AG704"/>
  <c r="AH715"/>
  <c r="AG715"/>
  <c r="AH714"/>
  <c r="AG714"/>
  <c r="AH713"/>
  <c r="AG713"/>
  <c r="AH712"/>
  <c r="AG712"/>
  <c r="AH711"/>
  <c r="AG711"/>
  <c r="AH710"/>
  <c r="AG710"/>
  <c r="AH709"/>
  <c r="AG709"/>
  <c r="AH708"/>
  <c r="AG708"/>
  <c r="AH707"/>
  <c r="AG707"/>
  <c r="AH706"/>
  <c r="AG706"/>
  <c r="AH705"/>
  <c r="J84" i="29" s="1"/>
  <c r="AG705" i="1"/>
  <c r="T715"/>
  <c r="S715"/>
  <c r="T714"/>
  <c r="S714"/>
  <c r="T713"/>
  <c r="S713"/>
  <c r="T712"/>
  <c r="S712"/>
  <c r="T711"/>
  <c r="S711"/>
  <c r="T710"/>
  <c r="S710"/>
  <c r="T709"/>
  <c r="S709"/>
  <c r="T708"/>
  <c r="S708"/>
  <c r="T707"/>
  <c r="S707"/>
  <c r="T706"/>
  <c r="S706"/>
  <c r="T705"/>
  <c r="S705"/>
  <c r="I70" i="30"/>
  <c r="N5"/>
  <c r="E10"/>
  <c r="G10"/>
  <c r="H10"/>
  <c r="J10"/>
  <c r="K10"/>
  <c r="M10"/>
  <c r="N10"/>
  <c r="H9"/>
  <c r="K9"/>
  <c r="N9"/>
  <c r="G9"/>
  <c r="J9"/>
  <c r="M9"/>
  <c r="M5"/>
  <c r="J5"/>
  <c r="K1"/>
  <c r="G1"/>
  <c r="A1"/>
  <c r="B5"/>
  <c r="A2" i="8"/>
  <c r="A2" i="30"/>
  <c r="N57" i="4"/>
  <c r="N6"/>
  <c r="E10" i="29"/>
  <c r="H9"/>
  <c r="K9"/>
  <c r="N9"/>
  <c r="G9"/>
  <c r="J9"/>
  <c r="M9"/>
  <c r="M5"/>
  <c r="J5"/>
  <c r="K1"/>
  <c r="A1"/>
  <c r="B5"/>
  <c r="E10" i="8"/>
  <c r="G10"/>
  <c r="H10"/>
  <c r="H9"/>
  <c r="K9"/>
  <c r="N9"/>
  <c r="N60"/>
  <c r="G9"/>
  <c r="J9"/>
  <c r="M9"/>
  <c r="M60"/>
  <c r="H9" i="4"/>
  <c r="K9"/>
  <c r="G9"/>
  <c r="J9"/>
  <c r="D61" i="8"/>
  <c r="E60"/>
  <c r="D60"/>
  <c r="E60" i="4"/>
  <c r="D60"/>
  <c r="D61"/>
  <c r="E10"/>
  <c r="G10"/>
  <c r="E2" i="27"/>
  <c r="C6"/>
  <c r="G6"/>
  <c r="C8"/>
  <c r="N10"/>
  <c r="Q8"/>
  <c r="S8"/>
  <c r="C10"/>
  <c r="E12"/>
  <c r="I829" s="1"/>
  <c r="I831" s="1"/>
  <c r="I888" s="1"/>
  <c r="I890" s="1"/>
  <c r="H12"/>
  <c r="N2" s="1"/>
  <c r="N4" s="1"/>
  <c r="N14"/>
  <c r="S14"/>
  <c r="T14"/>
  <c r="N15"/>
  <c r="S15"/>
  <c r="T15"/>
  <c r="N16"/>
  <c r="N17"/>
  <c r="N18"/>
  <c r="N19"/>
  <c r="N20"/>
  <c r="N21"/>
  <c r="N22"/>
  <c r="N23"/>
  <c r="N24"/>
  <c r="N25"/>
  <c r="N26"/>
  <c r="T26"/>
  <c r="N27"/>
  <c r="T27"/>
  <c r="AA27" i="1"/>
  <c r="N28" i="27"/>
  <c r="T28"/>
  <c r="AA28" i="1"/>
  <c r="N29" i="27"/>
  <c r="T29"/>
  <c r="AA29" i="1"/>
  <c r="N30" i="27"/>
  <c r="T30"/>
  <c r="AA30" i="1"/>
  <c r="N31" i="27"/>
  <c r="T31"/>
  <c r="AA31" i="1"/>
  <c r="N32" i="27"/>
  <c r="T32"/>
  <c r="AA32" i="1"/>
  <c r="N33" i="27"/>
  <c r="T33"/>
  <c r="AA33" i="1"/>
  <c r="N34" i="27"/>
  <c r="T34"/>
  <c r="AA34" i="1"/>
  <c r="N35" i="27"/>
  <c r="T35"/>
  <c r="AA35" i="1"/>
  <c r="N36" i="27"/>
  <c r="T36"/>
  <c r="AA36" i="1"/>
  <c r="N37" i="27"/>
  <c r="T37"/>
  <c r="AA37" i="1"/>
  <c r="N38" i="27"/>
  <c r="T38"/>
  <c r="AA38" i="1"/>
  <c r="N39" i="27"/>
  <c r="T39"/>
  <c r="AA39" i="1"/>
  <c r="N40" i="27"/>
  <c r="T40"/>
  <c r="AA40" i="1"/>
  <c r="N41" i="27"/>
  <c r="T41"/>
  <c r="AA41" i="1"/>
  <c r="N42" i="27"/>
  <c r="T42"/>
  <c r="AA42" i="1"/>
  <c r="N43" i="27"/>
  <c r="T43"/>
  <c r="AA43" i="1"/>
  <c r="N44" i="27"/>
  <c r="T44"/>
  <c r="AA44" i="1"/>
  <c r="N45" i="27"/>
  <c r="T45"/>
  <c r="AA45" i="1"/>
  <c r="N46" i="27"/>
  <c r="T46"/>
  <c r="AA46" i="1"/>
  <c r="N47" i="27"/>
  <c r="T47"/>
  <c r="AA47" i="1"/>
  <c r="N48" i="27"/>
  <c r="T48"/>
  <c r="AA48" i="1"/>
  <c r="N49" i="27"/>
  <c r="T49"/>
  <c r="AA49" i="1"/>
  <c r="N50" i="27"/>
  <c r="T50"/>
  <c r="AA50" i="1" s="1"/>
  <c r="N51" i="27"/>
  <c r="T51"/>
  <c r="AA51" i="1"/>
  <c r="N52" i="27"/>
  <c r="T52"/>
  <c r="AA52" i="1"/>
  <c r="N53" i="27"/>
  <c r="N54"/>
  <c r="N55"/>
  <c r="S55"/>
  <c r="N56"/>
  <c r="T56"/>
  <c r="N57"/>
  <c r="T57"/>
  <c r="AA57" i="1"/>
  <c r="AP57" s="1"/>
  <c r="N58" i="27"/>
  <c r="T58"/>
  <c r="AA58" i="1"/>
  <c r="N59" i="27"/>
  <c r="T59"/>
  <c r="AA59" i="1"/>
  <c r="AP59" s="1"/>
  <c r="N60" i="27"/>
  <c r="S60"/>
  <c r="T60"/>
  <c r="N61"/>
  <c r="S61"/>
  <c r="T61"/>
  <c r="N62"/>
  <c r="T62"/>
  <c r="N63"/>
  <c r="T63"/>
  <c r="N64"/>
  <c r="T64"/>
  <c r="N65"/>
  <c r="T65"/>
  <c r="N66"/>
  <c r="T66"/>
  <c r="N67"/>
  <c r="T67"/>
  <c r="N68"/>
  <c r="T68"/>
  <c r="N69"/>
  <c r="T69"/>
  <c r="N71"/>
  <c r="N72"/>
  <c r="N73"/>
  <c r="N74"/>
  <c r="N75"/>
  <c r="N76"/>
  <c r="N77"/>
  <c r="N78"/>
  <c r="N79"/>
  <c r="N80"/>
  <c r="N81"/>
  <c r="N82"/>
  <c r="N83"/>
  <c r="N84"/>
  <c r="N85"/>
  <c r="N86"/>
  <c r="N87"/>
  <c r="N88"/>
  <c r="N89"/>
  <c r="N90"/>
  <c r="N91"/>
  <c r="N92"/>
  <c r="N93"/>
  <c r="N94"/>
  <c r="N95"/>
  <c r="N96"/>
  <c r="N97"/>
  <c r="N98"/>
  <c r="N99"/>
  <c r="N100"/>
  <c r="N101"/>
  <c r="N103"/>
  <c r="N104"/>
  <c r="N105"/>
  <c r="N106"/>
  <c r="N107"/>
  <c r="N108"/>
  <c r="N109"/>
  <c r="N110"/>
  <c r="N111"/>
  <c r="N112"/>
  <c r="N114"/>
  <c r="T114"/>
  <c r="N115"/>
  <c r="S115"/>
  <c r="Z115" i="1" s="1"/>
  <c r="AO115" s="1"/>
  <c r="N116" i="27"/>
  <c r="N117"/>
  <c r="S117"/>
  <c r="N118"/>
  <c r="T118"/>
  <c r="N119"/>
  <c r="S119"/>
  <c r="N120"/>
  <c r="S120"/>
  <c r="T120"/>
  <c r="N121"/>
  <c r="S121"/>
  <c r="T121"/>
  <c r="N122"/>
  <c r="T122"/>
  <c r="N123"/>
  <c r="N124"/>
  <c r="N125"/>
  <c r="T125"/>
  <c r="N126"/>
  <c r="N127"/>
  <c r="T127"/>
  <c r="N128"/>
  <c r="T128"/>
  <c r="N129"/>
  <c r="N130"/>
  <c r="T130"/>
  <c r="N131"/>
  <c r="N132"/>
  <c r="T132"/>
  <c r="AA132" i="1" s="1"/>
  <c r="N133" i="27"/>
  <c r="T133"/>
  <c r="N134"/>
  <c r="N135"/>
  <c r="T135"/>
  <c r="N136"/>
  <c r="N137"/>
  <c r="N138"/>
  <c r="N139"/>
  <c r="N140"/>
  <c r="N141"/>
  <c r="N142"/>
  <c r="N143"/>
  <c r="N144"/>
  <c r="N145"/>
  <c r="N146"/>
  <c r="N147"/>
  <c r="N148"/>
  <c r="N149"/>
  <c r="N150"/>
  <c r="N151"/>
  <c r="N152"/>
  <c r="N153"/>
  <c r="N154"/>
  <c r="N155"/>
  <c r="N156"/>
  <c r="N157"/>
  <c r="N158"/>
  <c r="N159"/>
  <c r="N160"/>
  <c r="S160"/>
  <c r="T160"/>
  <c r="N161"/>
  <c r="N162"/>
  <c r="N163"/>
  <c r="N164"/>
  <c r="N165"/>
  <c r="N166"/>
  <c r="N167"/>
  <c r="N168"/>
  <c r="N169"/>
  <c r="N170"/>
  <c r="N171"/>
  <c r="N172"/>
  <c r="N173"/>
  <c r="T173"/>
  <c r="N174"/>
  <c r="T174"/>
  <c r="N175"/>
  <c r="T175"/>
  <c r="N176"/>
  <c r="S176"/>
  <c r="T176"/>
  <c r="N177"/>
  <c r="S177"/>
  <c r="T177"/>
  <c r="N178"/>
  <c r="N179"/>
  <c r="S179"/>
  <c r="T179"/>
  <c r="N180"/>
  <c r="S180"/>
  <c r="T180"/>
  <c r="N181"/>
  <c r="S181"/>
  <c r="T181"/>
  <c r="N182"/>
  <c r="S182"/>
  <c r="T182"/>
  <c r="N183"/>
  <c r="S183"/>
  <c r="T183"/>
  <c r="N184"/>
  <c r="N185"/>
  <c r="N186"/>
  <c r="N187"/>
  <c r="N188"/>
  <c r="N189"/>
  <c r="N190"/>
  <c r="N191"/>
  <c r="S191"/>
  <c r="T191"/>
  <c r="AA191" i="1"/>
  <c r="N192" i="27"/>
  <c r="S192"/>
  <c r="Z192" i="1" s="1"/>
  <c r="AO192" s="1"/>
  <c r="T192" i="27"/>
  <c r="N193"/>
  <c r="S193"/>
  <c r="T193"/>
  <c r="AA193" i="1"/>
  <c r="N194" i="27"/>
  <c r="S194"/>
  <c r="Z194" i="1" s="1"/>
  <c r="T194" i="27"/>
  <c r="N195"/>
  <c r="N196"/>
  <c r="N197"/>
  <c r="N198"/>
  <c r="N199"/>
  <c r="S199"/>
  <c r="T199"/>
  <c r="AA199" i="1"/>
  <c r="N200" i="27"/>
  <c r="S200"/>
  <c r="Z200" i="1"/>
  <c r="T200" i="27"/>
  <c r="N201"/>
  <c r="S201"/>
  <c r="T201"/>
  <c r="AA201" i="1"/>
  <c r="N202" i="27"/>
  <c r="S202"/>
  <c r="Z202" i="1" s="1"/>
  <c r="T202" i="27"/>
  <c r="N203"/>
  <c r="S203"/>
  <c r="T203"/>
  <c r="AA203" i="1"/>
  <c r="AP203" s="1"/>
  <c r="N204" i="27"/>
  <c r="S204"/>
  <c r="Z204" i="1"/>
  <c r="T204" i="27"/>
  <c r="N205"/>
  <c r="S205"/>
  <c r="T205"/>
  <c r="AA205" i="1"/>
  <c r="N206" i="27"/>
  <c r="S206"/>
  <c r="Z206" i="1"/>
  <c r="T206" i="27"/>
  <c r="N207"/>
  <c r="S207"/>
  <c r="Z207" i="1" s="1"/>
  <c r="T207" i="27"/>
  <c r="N208"/>
  <c r="S208"/>
  <c r="T208"/>
  <c r="N209"/>
  <c r="S209"/>
  <c r="T209"/>
  <c r="N210"/>
  <c r="S210"/>
  <c r="T210"/>
  <c r="N211"/>
  <c r="S211"/>
  <c r="T211"/>
  <c r="N212"/>
  <c r="S212"/>
  <c r="Z212" i="1"/>
  <c r="AO212" s="1"/>
  <c r="T212" i="27"/>
  <c r="N213"/>
  <c r="S213"/>
  <c r="T213"/>
  <c r="AA213" i="1"/>
  <c r="N214" i="27"/>
  <c r="S214"/>
  <c r="T214"/>
  <c r="N215"/>
  <c r="S215"/>
  <c r="T215"/>
  <c r="N216"/>
  <c r="S216"/>
  <c r="T216"/>
  <c r="N217"/>
  <c r="S217"/>
  <c r="T217"/>
  <c r="AA217" i="1" s="1"/>
  <c r="S74" i="33" s="1"/>
  <c r="N218" i="27"/>
  <c r="S218"/>
  <c r="T218"/>
  <c r="N219"/>
  <c r="N220"/>
  <c r="N221"/>
  <c r="N222"/>
  <c r="N223"/>
  <c r="N224"/>
  <c r="N225"/>
  <c r="N226"/>
  <c r="N227"/>
  <c r="N228"/>
  <c r="N229"/>
  <c r="N230"/>
  <c r="N231"/>
  <c r="N232"/>
  <c r="N233"/>
  <c r="N234"/>
  <c r="N235"/>
  <c r="N236"/>
  <c r="N237"/>
  <c r="N238"/>
  <c r="N239"/>
  <c r="N240"/>
  <c r="N241"/>
  <c r="N242"/>
  <c r="N243"/>
  <c r="N244"/>
  <c r="N245"/>
  <c r="N246"/>
  <c r="N247"/>
  <c r="N248"/>
  <c r="N249"/>
  <c r="N250"/>
  <c r="N251"/>
  <c r="N252"/>
  <c r="N253"/>
  <c r="N254"/>
  <c r="N255"/>
  <c r="N256"/>
  <c r="N257"/>
  <c r="N258"/>
  <c r="N259"/>
  <c r="N260"/>
  <c r="N261"/>
  <c r="N262"/>
  <c r="N263"/>
  <c r="N264"/>
  <c r="N265"/>
  <c r="N266"/>
  <c r="N267"/>
  <c r="N268"/>
  <c r="N269"/>
  <c r="N270"/>
  <c r="N271"/>
  <c r="S271"/>
  <c r="T271"/>
  <c r="AA271" i="1"/>
  <c r="AP271" s="1"/>
  <c r="N272" i="27"/>
  <c r="S272"/>
  <c r="Z272" i="1" s="1"/>
  <c r="T272" i="27"/>
  <c r="N273"/>
  <c r="S273"/>
  <c r="T273"/>
  <c r="AA273" i="1"/>
  <c r="N274" i="27"/>
  <c r="S274"/>
  <c r="Z274" i="1"/>
  <c r="T274" i="27"/>
  <c r="N275"/>
  <c r="S275"/>
  <c r="T275"/>
  <c r="AA275" i="1" s="1"/>
  <c r="N276" i="27"/>
  <c r="S276"/>
  <c r="Z276" i="1"/>
  <c r="T276" i="27"/>
  <c r="N277"/>
  <c r="S277"/>
  <c r="T277"/>
  <c r="AA277" i="1"/>
  <c r="N278" i="27"/>
  <c r="S278"/>
  <c r="Z278" i="1"/>
  <c r="T278" i="27"/>
  <c r="N279"/>
  <c r="S279"/>
  <c r="T279"/>
  <c r="N280"/>
  <c r="S280"/>
  <c r="T280"/>
  <c r="N281"/>
  <c r="S281"/>
  <c r="T281"/>
  <c r="AA281" i="1"/>
  <c r="N282" i="27"/>
  <c r="S282"/>
  <c r="Z282" i="1"/>
  <c r="T282" i="27"/>
  <c r="N283"/>
  <c r="N284"/>
  <c r="N286"/>
  <c r="N287"/>
  <c r="N288"/>
  <c r="N289"/>
  <c r="N290"/>
  <c r="N291"/>
  <c r="N292"/>
  <c r="N293"/>
  <c r="N294"/>
  <c r="N295"/>
  <c r="N296"/>
  <c r="N297"/>
  <c r="N298"/>
  <c r="N299"/>
  <c r="N300"/>
  <c r="N301"/>
  <c r="N302"/>
  <c r="N303"/>
  <c r="N304"/>
  <c r="N305"/>
  <c r="N306"/>
  <c r="N307"/>
  <c r="N308"/>
  <c r="N309"/>
  <c r="N310"/>
  <c r="N311"/>
  <c r="N312"/>
  <c r="N313"/>
  <c r="N314"/>
  <c r="N315"/>
  <c r="N316"/>
  <c r="N317"/>
  <c r="N318"/>
  <c r="N319"/>
  <c r="N320"/>
  <c r="N321"/>
  <c r="N322"/>
  <c r="S322"/>
  <c r="T322"/>
  <c r="N323"/>
  <c r="N324"/>
  <c r="N325"/>
  <c r="N326"/>
  <c r="N327"/>
  <c r="S327"/>
  <c r="T327"/>
  <c r="N328"/>
  <c r="S328"/>
  <c r="T328"/>
  <c r="N329"/>
  <c r="S329"/>
  <c r="T329"/>
  <c r="N330"/>
  <c r="S330"/>
  <c r="T330"/>
  <c r="N331"/>
  <c r="N332"/>
  <c r="N333"/>
  <c r="N334"/>
  <c r="N335"/>
  <c r="N336"/>
  <c r="N337"/>
  <c r="N338"/>
  <c r="N339"/>
  <c r="N340"/>
  <c r="N341"/>
  <c r="N342"/>
  <c r="N343"/>
  <c r="N344"/>
  <c r="S344"/>
  <c r="T344"/>
  <c r="AA344" i="1"/>
  <c r="N345" i="27"/>
  <c r="S345"/>
  <c r="Z345" i="1"/>
  <c r="T345" i="27"/>
  <c r="N346"/>
  <c r="N347"/>
  <c r="N348"/>
  <c r="N349"/>
  <c r="N350"/>
  <c r="N351"/>
  <c r="N352"/>
  <c r="N353"/>
  <c r="N354"/>
  <c r="N355"/>
  <c r="N356"/>
  <c r="N357"/>
  <c r="N358"/>
  <c r="N359"/>
  <c r="N360"/>
  <c r="N361"/>
  <c r="N362"/>
  <c r="N363"/>
  <c r="N364"/>
  <c r="N365"/>
  <c r="N366"/>
  <c r="N367"/>
  <c r="N368"/>
  <c r="N369"/>
  <c r="N370"/>
  <c r="N371"/>
  <c r="N372"/>
  <c r="N373"/>
  <c r="N374"/>
  <c r="N375"/>
  <c r="N376"/>
  <c r="N377"/>
  <c r="N378"/>
  <c r="N379"/>
  <c r="N380"/>
  <c r="N381"/>
  <c r="N382"/>
  <c r="N384"/>
  <c r="S384"/>
  <c r="T384"/>
  <c r="N385"/>
  <c r="S385"/>
  <c r="T385"/>
  <c r="N386"/>
  <c r="S386"/>
  <c r="T386"/>
  <c r="N387"/>
  <c r="S387"/>
  <c r="T387"/>
  <c r="AA387" i="1"/>
  <c r="N388" i="27"/>
  <c r="S388"/>
  <c r="T388"/>
  <c r="N389"/>
  <c r="S389"/>
  <c r="T389"/>
  <c r="N390"/>
  <c r="S390"/>
  <c r="T390"/>
  <c r="N391"/>
  <c r="S391"/>
  <c r="T391"/>
  <c r="AA391" i="1"/>
  <c r="N392" i="27"/>
  <c r="S392"/>
  <c r="T392"/>
  <c r="N393"/>
  <c r="S393"/>
  <c r="T393"/>
  <c r="N394"/>
  <c r="S394"/>
  <c r="T394"/>
  <c r="N395"/>
  <c r="S395"/>
  <c r="T395"/>
  <c r="AA395" i="1"/>
  <c r="N396" i="27"/>
  <c r="S396"/>
  <c r="T396"/>
  <c r="N397"/>
  <c r="S397"/>
  <c r="T397"/>
  <c r="N398"/>
  <c r="S398"/>
  <c r="T398"/>
  <c r="N399"/>
  <c r="S399"/>
  <c r="T399"/>
  <c r="N400"/>
  <c r="S400"/>
  <c r="T400"/>
  <c r="N401"/>
  <c r="S401"/>
  <c r="T401"/>
  <c r="N402"/>
  <c r="N403"/>
  <c r="N404"/>
  <c r="N405"/>
  <c r="N406"/>
  <c r="N407"/>
  <c r="N408"/>
  <c r="N409"/>
  <c r="N410"/>
  <c r="S410"/>
  <c r="T410"/>
  <c r="N411"/>
  <c r="S411"/>
  <c r="T411"/>
  <c r="N412"/>
  <c r="S412"/>
  <c r="T412"/>
  <c r="N413"/>
  <c r="S413"/>
  <c r="T413"/>
  <c r="N414"/>
  <c r="S414"/>
  <c r="T414"/>
  <c r="N415"/>
  <c r="N416"/>
  <c r="N417"/>
  <c r="S417"/>
  <c r="T417"/>
  <c r="N418"/>
  <c r="S418"/>
  <c r="T418"/>
  <c r="N419"/>
  <c r="S419"/>
  <c r="T419"/>
  <c r="N420"/>
  <c r="S420"/>
  <c r="T420"/>
  <c r="N421"/>
  <c r="S421"/>
  <c r="T421"/>
  <c r="N422"/>
  <c r="S422"/>
  <c r="T422"/>
  <c r="N423"/>
  <c r="S423"/>
  <c r="T423"/>
  <c r="N424"/>
  <c r="S424"/>
  <c r="T424"/>
  <c r="N425"/>
  <c r="S425"/>
  <c r="T425"/>
  <c r="N426"/>
  <c r="S426"/>
  <c r="T426"/>
  <c r="N427"/>
  <c r="S427"/>
  <c r="T427"/>
  <c r="N428"/>
  <c r="S428"/>
  <c r="T428"/>
  <c r="N429"/>
  <c r="S429"/>
  <c r="T429"/>
  <c r="N430"/>
  <c r="S430"/>
  <c r="T430"/>
  <c r="N431"/>
  <c r="S431"/>
  <c r="T431"/>
  <c r="N432"/>
  <c r="S432"/>
  <c r="T432"/>
  <c r="N433"/>
  <c r="S433"/>
  <c r="T433"/>
  <c r="N434"/>
  <c r="S434"/>
  <c r="T434"/>
  <c r="N435"/>
  <c r="S435"/>
  <c r="T435"/>
  <c r="N436"/>
  <c r="S436"/>
  <c r="T436"/>
  <c r="N437"/>
  <c r="S437"/>
  <c r="T437"/>
  <c r="N438"/>
  <c r="S438"/>
  <c r="T438"/>
  <c r="N439"/>
  <c r="S439"/>
  <c r="T439"/>
  <c r="N440"/>
  <c r="S440"/>
  <c r="T440"/>
  <c r="N441"/>
  <c r="S441"/>
  <c r="T441"/>
  <c r="N442"/>
  <c r="S442"/>
  <c r="T442"/>
  <c r="N443"/>
  <c r="S443"/>
  <c r="T443"/>
  <c r="N444"/>
  <c r="S444"/>
  <c r="T444"/>
  <c r="N445"/>
  <c r="S445"/>
  <c r="T445"/>
  <c r="N446"/>
  <c r="S446"/>
  <c r="T446"/>
  <c r="N447"/>
  <c r="S447"/>
  <c r="T447"/>
  <c r="N448"/>
  <c r="S448"/>
  <c r="T448"/>
  <c r="N449"/>
  <c r="S449"/>
  <c r="T449"/>
  <c r="N450"/>
  <c r="S450"/>
  <c r="T450"/>
  <c r="N451"/>
  <c r="S451"/>
  <c r="T451"/>
  <c r="N452"/>
  <c r="S452"/>
  <c r="T452"/>
  <c r="N453"/>
  <c r="S453"/>
  <c r="T453"/>
  <c r="N454"/>
  <c r="S454"/>
  <c r="T454"/>
  <c r="N455"/>
  <c r="S455"/>
  <c r="T455"/>
  <c r="N456"/>
  <c r="S456"/>
  <c r="T456"/>
  <c r="N457"/>
  <c r="S457"/>
  <c r="T457"/>
  <c r="N458"/>
  <c r="S458"/>
  <c r="T458"/>
  <c r="N459"/>
  <c r="S459"/>
  <c r="T459"/>
  <c r="N460"/>
  <c r="S460"/>
  <c r="T460"/>
  <c r="N461"/>
  <c r="S461"/>
  <c r="T461"/>
  <c r="N462"/>
  <c r="S462"/>
  <c r="T462"/>
  <c r="N463"/>
  <c r="S463"/>
  <c r="T463"/>
  <c r="N464"/>
  <c r="S464"/>
  <c r="T464"/>
  <c r="N465"/>
  <c r="S465"/>
  <c r="T465"/>
  <c r="N466"/>
  <c r="S466"/>
  <c r="T466"/>
  <c r="N467"/>
  <c r="S467"/>
  <c r="T467"/>
  <c r="N468"/>
  <c r="S468"/>
  <c r="T468"/>
  <c r="N469"/>
  <c r="S469"/>
  <c r="T469"/>
  <c r="N470"/>
  <c r="S470"/>
  <c r="T470"/>
  <c r="N471"/>
  <c r="S471"/>
  <c r="T471"/>
  <c r="N472"/>
  <c r="S472"/>
  <c r="T472"/>
  <c r="N473"/>
  <c r="S473"/>
  <c r="T473"/>
  <c r="N474"/>
  <c r="S474"/>
  <c r="T474"/>
  <c r="N475"/>
  <c r="S475"/>
  <c r="T475"/>
  <c r="N476"/>
  <c r="S476"/>
  <c r="T476"/>
  <c r="N477"/>
  <c r="S477"/>
  <c r="T477"/>
  <c r="N478"/>
  <c r="S478"/>
  <c r="T478"/>
  <c r="N479"/>
  <c r="S479"/>
  <c r="T479"/>
  <c r="N480"/>
  <c r="S480"/>
  <c r="T480"/>
  <c r="N481"/>
  <c r="S481"/>
  <c r="T481"/>
  <c r="N482"/>
  <c r="S482"/>
  <c r="T482"/>
  <c r="N483"/>
  <c r="S483"/>
  <c r="T483"/>
  <c r="N484"/>
  <c r="S484"/>
  <c r="T484"/>
  <c r="N485"/>
  <c r="S485"/>
  <c r="T485"/>
  <c r="N486"/>
  <c r="S486"/>
  <c r="T486"/>
  <c r="N487"/>
  <c r="S487"/>
  <c r="T487"/>
  <c r="N488"/>
  <c r="S488"/>
  <c r="T488"/>
  <c r="N489"/>
  <c r="S489"/>
  <c r="T489"/>
  <c r="N490"/>
  <c r="S490"/>
  <c r="T490"/>
  <c r="N491"/>
  <c r="S491"/>
  <c r="T491"/>
  <c r="N492"/>
  <c r="S492"/>
  <c r="T492"/>
  <c r="N493"/>
  <c r="S493"/>
  <c r="T493"/>
  <c r="N494"/>
  <c r="S494"/>
  <c r="T494"/>
  <c r="N495"/>
  <c r="S495"/>
  <c r="T495"/>
  <c r="N496"/>
  <c r="S496"/>
  <c r="T496"/>
  <c r="N497"/>
  <c r="S497"/>
  <c r="T497"/>
  <c r="N498"/>
  <c r="S498"/>
  <c r="T498"/>
  <c r="N499"/>
  <c r="S499"/>
  <c r="T499"/>
  <c r="N500"/>
  <c r="S500"/>
  <c r="T500"/>
  <c r="N501"/>
  <c r="S501"/>
  <c r="T501"/>
  <c r="N502"/>
  <c r="S502"/>
  <c r="T502"/>
  <c r="N503"/>
  <c r="S503"/>
  <c r="T503"/>
  <c r="N504"/>
  <c r="S504"/>
  <c r="T504"/>
  <c r="N505"/>
  <c r="S505"/>
  <c r="T505"/>
  <c r="N506"/>
  <c r="S506"/>
  <c r="T506"/>
  <c r="N507"/>
  <c r="S507"/>
  <c r="T507"/>
  <c r="N508"/>
  <c r="S508"/>
  <c r="T508"/>
  <c r="N509"/>
  <c r="S509"/>
  <c r="T509"/>
  <c r="N510"/>
  <c r="S510"/>
  <c r="T510"/>
  <c r="N511"/>
  <c r="S511"/>
  <c r="T511"/>
  <c r="N512"/>
  <c r="S512"/>
  <c r="T512"/>
  <c r="N513"/>
  <c r="S513"/>
  <c r="T513"/>
  <c r="N514"/>
  <c r="S514"/>
  <c r="T514"/>
  <c r="N515"/>
  <c r="S515"/>
  <c r="T515"/>
  <c r="N516"/>
  <c r="S516"/>
  <c r="T516"/>
  <c r="N517"/>
  <c r="S517"/>
  <c r="T517"/>
  <c r="N518"/>
  <c r="S518"/>
  <c r="T518"/>
  <c r="N519"/>
  <c r="S519"/>
  <c r="T519"/>
  <c r="N520"/>
  <c r="S520"/>
  <c r="T520"/>
  <c r="N521"/>
  <c r="S521"/>
  <c r="T521"/>
  <c r="N522"/>
  <c r="S522"/>
  <c r="T522"/>
  <c r="N523"/>
  <c r="S523"/>
  <c r="T523"/>
  <c r="N524"/>
  <c r="S524"/>
  <c r="Z524" i="1"/>
  <c r="T524" i="27"/>
  <c r="N525"/>
  <c r="S525"/>
  <c r="T525"/>
  <c r="AA525" i="1"/>
  <c r="N526" i="27"/>
  <c r="S526"/>
  <c r="Z526" i="1"/>
  <c r="T526" i="27"/>
  <c r="N527"/>
  <c r="S527"/>
  <c r="T527"/>
  <c r="N528"/>
  <c r="S528"/>
  <c r="T528"/>
  <c r="N529"/>
  <c r="S529"/>
  <c r="T529"/>
  <c r="N530"/>
  <c r="S530"/>
  <c r="T530"/>
  <c r="N531"/>
  <c r="S531"/>
  <c r="T531"/>
  <c r="N532"/>
  <c r="S532"/>
  <c r="Z532" i="1"/>
  <c r="T532" i="27"/>
  <c r="N533"/>
  <c r="S533"/>
  <c r="T533"/>
  <c r="AA533" i="1"/>
  <c r="N534" i="27"/>
  <c r="S534"/>
  <c r="Z534" i="1" s="1"/>
  <c r="T534" i="27"/>
  <c r="N535"/>
  <c r="S535"/>
  <c r="T535"/>
  <c r="N536"/>
  <c r="S536"/>
  <c r="T536"/>
  <c r="N537"/>
  <c r="S537"/>
  <c r="T537"/>
  <c r="N538"/>
  <c r="S538"/>
  <c r="T538"/>
  <c r="N539"/>
  <c r="S539"/>
  <c r="T539"/>
  <c r="N540"/>
  <c r="S540"/>
  <c r="Z540" i="1"/>
  <c r="T540" i="27"/>
  <c r="N541"/>
  <c r="S541"/>
  <c r="T541"/>
  <c r="AA541" i="1"/>
  <c r="N542" i="27"/>
  <c r="S542"/>
  <c r="Z542" i="1"/>
  <c r="T542" i="27"/>
  <c r="N543"/>
  <c r="S543"/>
  <c r="T543"/>
  <c r="N544"/>
  <c r="S544"/>
  <c r="T544"/>
  <c r="N545"/>
  <c r="S545"/>
  <c r="T545"/>
  <c r="N546"/>
  <c r="S546"/>
  <c r="T546"/>
  <c r="N547"/>
  <c r="S547"/>
  <c r="T547"/>
  <c r="N548"/>
  <c r="S548"/>
  <c r="Z548" i="1"/>
  <c r="T548" i="27"/>
  <c r="N549"/>
  <c r="S549"/>
  <c r="T549"/>
  <c r="AA549" i="1"/>
  <c r="N550" i="27"/>
  <c r="S550"/>
  <c r="Z550" i="1"/>
  <c r="T550" i="27"/>
  <c r="N551"/>
  <c r="S551"/>
  <c r="T551"/>
  <c r="S552"/>
  <c r="T552"/>
  <c r="S553"/>
  <c r="T553"/>
  <c r="N554"/>
  <c r="S554"/>
  <c r="T554"/>
  <c r="AA554" i="1"/>
  <c r="N555" i="27"/>
  <c r="S555"/>
  <c r="Z555" i="1"/>
  <c r="AO555" s="1"/>
  <c r="T555" i="27"/>
  <c r="N556"/>
  <c r="S556"/>
  <c r="T556"/>
  <c r="AA556" i="1"/>
  <c r="N557" i="27"/>
  <c r="S557"/>
  <c r="T557"/>
  <c r="S558"/>
  <c r="T558"/>
  <c r="S559"/>
  <c r="T559"/>
  <c r="N560"/>
  <c r="S560"/>
  <c r="T560"/>
  <c r="N561"/>
  <c r="S561"/>
  <c r="T561"/>
  <c r="N562"/>
  <c r="S562"/>
  <c r="T562"/>
  <c r="S563"/>
  <c r="T563"/>
  <c r="S564"/>
  <c r="T564"/>
  <c r="AA564" i="1"/>
  <c r="N565" i="27"/>
  <c r="S565"/>
  <c r="Z565" i="1"/>
  <c r="T565" i="27"/>
  <c r="N566"/>
  <c r="N567"/>
  <c r="N568"/>
  <c r="N569"/>
  <c r="N570"/>
  <c r="N571"/>
  <c r="N572"/>
  <c r="N573"/>
  <c r="N574"/>
  <c r="N575"/>
  <c r="N576"/>
  <c r="N577"/>
  <c r="N578"/>
  <c r="N579"/>
  <c r="N580"/>
  <c r="N581"/>
  <c r="S581"/>
  <c r="Z581" i="1"/>
  <c r="T581" i="27"/>
  <c r="N582"/>
  <c r="S582"/>
  <c r="T582"/>
  <c r="N583"/>
  <c r="S583"/>
  <c r="T583"/>
  <c r="N584"/>
  <c r="S584"/>
  <c r="T584"/>
  <c r="N585"/>
  <c r="S585"/>
  <c r="T585"/>
  <c r="N586"/>
  <c r="S586"/>
  <c r="T586"/>
  <c r="AA586" i="1"/>
  <c r="N587" i="27"/>
  <c r="S587"/>
  <c r="Z587" i="1"/>
  <c r="T587" i="27"/>
  <c r="N588"/>
  <c r="S588"/>
  <c r="T588"/>
  <c r="AA588" i="1"/>
  <c r="N589" i="27"/>
  <c r="S589"/>
  <c r="Z589" i="1"/>
  <c r="T589" i="27"/>
  <c r="N590"/>
  <c r="S590"/>
  <c r="T590"/>
  <c r="N591"/>
  <c r="S591"/>
  <c r="T591"/>
  <c r="N592"/>
  <c r="S592"/>
  <c r="T592"/>
  <c r="N593"/>
  <c r="S593"/>
  <c r="T593"/>
  <c r="N594"/>
  <c r="S594"/>
  <c r="T594"/>
  <c r="N595"/>
  <c r="S595"/>
  <c r="T595"/>
  <c r="N596"/>
  <c r="S596"/>
  <c r="T596"/>
  <c r="N597"/>
  <c r="S597"/>
  <c r="T597"/>
  <c r="N598"/>
  <c r="S598"/>
  <c r="T598"/>
  <c r="N599"/>
  <c r="S599"/>
  <c r="T599"/>
  <c r="N600"/>
  <c r="S600"/>
  <c r="T600"/>
  <c r="AA600" i="1"/>
  <c r="N602" i="27"/>
  <c r="S602"/>
  <c r="Z602" i="1" s="1"/>
  <c r="T602" i="27"/>
  <c r="N603"/>
  <c r="S603"/>
  <c r="T603"/>
  <c r="AA603" i="1"/>
  <c r="N604" i="27"/>
  <c r="N605"/>
  <c r="S605"/>
  <c r="T605"/>
  <c r="N606"/>
  <c r="S606"/>
  <c r="T606"/>
  <c r="N607"/>
  <c r="S607"/>
  <c r="T607"/>
  <c r="N608"/>
  <c r="N609"/>
  <c r="S609"/>
  <c r="T609"/>
  <c r="AA609" i="1"/>
  <c r="N610" i="27"/>
  <c r="S610"/>
  <c r="Z610" i="1" s="1"/>
  <c r="AO610" s="1"/>
  <c r="T610" i="27"/>
  <c r="N611"/>
  <c r="S611"/>
  <c r="T611"/>
  <c r="N612"/>
  <c r="S612"/>
  <c r="T612"/>
  <c r="N613"/>
  <c r="S613"/>
  <c r="T613"/>
  <c r="N614"/>
  <c r="S614"/>
  <c r="T614"/>
  <c r="N615"/>
  <c r="S615"/>
  <c r="T615"/>
  <c r="AA615" i="1"/>
  <c r="N616" i="27"/>
  <c r="S616"/>
  <c r="Z616" i="1" s="1"/>
  <c r="T616" i="27"/>
  <c r="N617"/>
  <c r="S617"/>
  <c r="T617"/>
  <c r="N618"/>
  <c r="S618"/>
  <c r="T618"/>
  <c r="N619"/>
  <c r="S619"/>
  <c r="T619"/>
  <c r="AA619" i="1"/>
  <c r="N620" i="27"/>
  <c r="S620"/>
  <c r="Z620" i="1"/>
  <c r="T620" i="27"/>
  <c r="N621"/>
  <c r="S621"/>
  <c r="T621"/>
  <c r="N622"/>
  <c r="S622"/>
  <c r="T622"/>
  <c r="N623"/>
  <c r="S623"/>
  <c r="T623"/>
  <c r="N624"/>
  <c r="S624"/>
  <c r="Z624" i="1"/>
  <c r="T624" i="27"/>
  <c r="N625"/>
  <c r="S625"/>
  <c r="T625"/>
  <c r="AA625" i="1"/>
  <c r="N626" i="27"/>
  <c r="S626"/>
  <c r="Z626" i="1"/>
  <c r="T626" i="27"/>
  <c r="N627"/>
  <c r="S627"/>
  <c r="T627"/>
  <c r="AA627" i="1"/>
  <c r="N628" i="27"/>
  <c r="S628"/>
  <c r="Z628" i="1"/>
  <c r="T628" i="27"/>
  <c r="N629"/>
  <c r="S629"/>
  <c r="T629"/>
  <c r="AA629" i="1"/>
  <c r="N630" i="27"/>
  <c r="S630"/>
  <c r="Z630" i="1" s="1"/>
  <c r="T630" i="27"/>
  <c r="N631"/>
  <c r="S631"/>
  <c r="T631"/>
  <c r="AA631" i="1" s="1"/>
  <c r="N632" i="27"/>
  <c r="S632"/>
  <c r="Z632" i="1" s="1"/>
  <c r="AO632" s="1"/>
  <c r="T632" i="27"/>
  <c r="N633"/>
  <c r="S633"/>
  <c r="T633"/>
  <c r="AA633" i="1"/>
  <c r="N634" i="27"/>
  <c r="S634"/>
  <c r="Z634" i="1" s="1"/>
  <c r="AO634" s="1"/>
  <c r="T634" i="27"/>
  <c r="N635"/>
  <c r="S635"/>
  <c r="T635"/>
  <c r="AA635" i="1"/>
  <c r="N636" i="27"/>
  <c r="S636"/>
  <c r="Z636" i="1"/>
  <c r="T636" i="27"/>
  <c r="N637"/>
  <c r="S637"/>
  <c r="T637"/>
  <c r="AA637" i="1"/>
  <c r="N638" i="27"/>
  <c r="S638"/>
  <c r="Z638" i="1"/>
  <c r="T638" i="27"/>
  <c r="N639"/>
  <c r="S639"/>
  <c r="T639"/>
  <c r="AA639" i="1"/>
  <c r="N640" i="27"/>
  <c r="N641"/>
  <c r="S641"/>
  <c r="T641"/>
  <c r="AA641" i="1"/>
  <c r="N642" i="27"/>
  <c r="S642"/>
  <c r="Z642" i="1"/>
  <c r="T642" i="27"/>
  <c r="N643"/>
  <c r="S643"/>
  <c r="T643"/>
  <c r="AA643" i="1"/>
  <c r="N644" i="27"/>
  <c r="S644"/>
  <c r="Z644" i="1"/>
  <c r="T644" i="27"/>
  <c r="N645"/>
  <c r="S645"/>
  <c r="T645"/>
  <c r="AA645" i="1"/>
  <c r="N646" i="27"/>
  <c r="S646"/>
  <c r="Z646" i="1"/>
  <c r="T646" i="27"/>
  <c r="N647"/>
  <c r="S647"/>
  <c r="T647"/>
  <c r="AA647" i="1"/>
  <c r="N648" i="27"/>
  <c r="S648"/>
  <c r="Z648" i="1"/>
  <c r="T648" i="27"/>
  <c r="N649"/>
  <c r="S649"/>
  <c r="T649"/>
  <c r="AA649" i="1"/>
  <c r="N650" i="27"/>
  <c r="S650"/>
  <c r="Z650" i="1"/>
  <c r="T650" i="27"/>
  <c r="N651"/>
  <c r="S651"/>
  <c r="T651"/>
  <c r="AA651" i="1"/>
  <c r="N652" i="27"/>
  <c r="S652"/>
  <c r="Z652" i="1"/>
  <c r="T652" i="27"/>
  <c r="N653"/>
  <c r="S653"/>
  <c r="T653"/>
  <c r="AA653" i="1"/>
  <c r="N654" i="27"/>
  <c r="S654"/>
  <c r="Z654" i="1" s="1"/>
  <c r="T654" i="27"/>
  <c r="N655"/>
  <c r="S655"/>
  <c r="T655"/>
  <c r="N656"/>
  <c r="S656"/>
  <c r="T656"/>
  <c r="N657"/>
  <c r="S657"/>
  <c r="T657"/>
  <c r="N658"/>
  <c r="S658"/>
  <c r="T658"/>
  <c r="N659"/>
  <c r="S659"/>
  <c r="T659"/>
  <c r="N660"/>
  <c r="S660"/>
  <c r="T660"/>
  <c r="N661"/>
  <c r="S661"/>
  <c r="T661"/>
  <c r="N662"/>
  <c r="S662"/>
  <c r="T662"/>
  <c r="N663"/>
  <c r="S663"/>
  <c r="T663"/>
  <c r="N664"/>
  <c r="S664"/>
  <c r="T664"/>
  <c r="N665"/>
  <c r="S665"/>
  <c r="T665"/>
  <c r="N666"/>
  <c r="S666"/>
  <c r="T666"/>
  <c r="N667"/>
  <c r="N668"/>
  <c r="S668"/>
  <c r="T668"/>
  <c r="N669"/>
  <c r="S669"/>
  <c r="T669"/>
  <c r="N670"/>
  <c r="S670"/>
  <c r="T670"/>
  <c r="N671"/>
  <c r="S671"/>
  <c r="T671"/>
  <c r="N672"/>
  <c r="S672"/>
  <c r="T672"/>
  <c r="N673"/>
  <c r="S673"/>
  <c r="T673"/>
  <c r="N674"/>
  <c r="S674"/>
  <c r="T674"/>
  <c r="N675"/>
  <c r="S675"/>
  <c r="T675"/>
  <c r="N676"/>
  <c r="S676"/>
  <c r="T676"/>
  <c r="N677"/>
  <c r="S677"/>
  <c r="T677"/>
  <c r="N678"/>
  <c r="S678"/>
  <c r="T678"/>
  <c r="N679"/>
  <c r="S679"/>
  <c r="T679"/>
  <c r="N680"/>
  <c r="S680"/>
  <c r="T680"/>
  <c r="N681"/>
  <c r="S681"/>
  <c r="T681"/>
  <c r="N682"/>
  <c r="S682"/>
  <c r="T682"/>
  <c r="N683"/>
  <c r="S683"/>
  <c r="T683"/>
  <c r="N684"/>
  <c r="S684"/>
  <c r="T684"/>
  <c r="N685"/>
  <c r="S685"/>
  <c r="T685"/>
  <c r="N686"/>
  <c r="S686"/>
  <c r="T686"/>
  <c r="N687"/>
  <c r="S687"/>
  <c r="T687"/>
  <c r="N688"/>
  <c r="S688"/>
  <c r="T688"/>
  <c r="N689"/>
  <c r="S689"/>
  <c r="T689"/>
  <c r="N690"/>
  <c r="S690"/>
  <c r="T690"/>
  <c r="N691"/>
  <c r="S691"/>
  <c r="T691"/>
  <c r="N692"/>
  <c r="S692"/>
  <c r="T692"/>
  <c r="N693"/>
  <c r="S693"/>
  <c r="T693"/>
  <c r="N694"/>
  <c r="S694"/>
  <c r="T694"/>
  <c r="N695"/>
  <c r="S695"/>
  <c r="T695"/>
  <c r="N696"/>
  <c r="S696"/>
  <c r="T696"/>
  <c r="N697"/>
  <c r="S697"/>
  <c r="T697"/>
  <c r="N698"/>
  <c r="S698"/>
  <c r="T698"/>
  <c r="N699"/>
  <c r="S699"/>
  <c r="T699"/>
  <c r="N700"/>
  <c r="S700"/>
  <c r="T700"/>
  <c r="N701"/>
  <c r="S701"/>
  <c r="T701"/>
  <c r="N702"/>
  <c r="S702"/>
  <c r="T702"/>
  <c r="N703"/>
  <c r="S703"/>
  <c r="T703"/>
  <c r="N704"/>
  <c r="N705"/>
  <c r="N706"/>
  <c r="S706"/>
  <c r="T706"/>
  <c r="N707"/>
  <c r="S707"/>
  <c r="T707"/>
  <c r="N708"/>
  <c r="S708"/>
  <c r="T708"/>
  <c r="N709"/>
  <c r="S709"/>
  <c r="T709"/>
  <c r="N710"/>
  <c r="S710"/>
  <c r="T710"/>
  <c r="N711"/>
  <c r="S711"/>
  <c r="T711"/>
  <c r="N712"/>
  <c r="S712"/>
  <c r="T712"/>
  <c r="N713"/>
  <c r="S713"/>
  <c r="T713"/>
  <c r="N714"/>
  <c r="S714"/>
  <c r="T714"/>
  <c r="N715"/>
  <c r="S715"/>
  <c r="T715"/>
  <c r="N716"/>
  <c r="S716"/>
  <c r="T716"/>
  <c r="N717"/>
  <c r="S717"/>
  <c r="T717"/>
  <c r="N718"/>
  <c r="S718"/>
  <c r="T718"/>
  <c r="N719"/>
  <c r="S719"/>
  <c r="T719"/>
  <c r="N720"/>
  <c r="S720"/>
  <c r="T720"/>
  <c r="N721"/>
  <c r="S721"/>
  <c r="T721"/>
  <c r="N722"/>
  <c r="S722"/>
  <c r="T722"/>
  <c r="N723"/>
  <c r="S723"/>
  <c r="T723"/>
  <c r="N724"/>
  <c r="S724"/>
  <c r="T724"/>
  <c r="N725"/>
  <c r="S725"/>
  <c r="T725"/>
  <c r="N726"/>
  <c r="S726"/>
  <c r="T726"/>
  <c r="N727"/>
  <c r="S727"/>
  <c r="T727"/>
  <c r="N728"/>
  <c r="S728"/>
  <c r="T728"/>
  <c r="N729"/>
  <c r="S729"/>
  <c r="T729"/>
  <c r="N730"/>
  <c r="S730"/>
  <c r="T730"/>
  <c r="N731"/>
  <c r="S731"/>
  <c r="T731"/>
  <c r="N732"/>
  <c r="S732"/>
  <c r="T732"/>
  <c r="N733"/>
  <c r="S733"/>
  <c r="T733"/>
  <c r="N734"/>
  <c r="S734"/>
  <c r="T734"/>
  <c r="N735"/>
  <c r="S735"/>
  <c r="T735"/>
  <c r="N736"/>
  <c r="S736"/>
  <c r="T736"/>
  <c r="N737"/>
  <c r="S737"/>
  <c r="T737"/>
  <c r="N738"/>
  <c r="S738"/>
  <c r="T738"/>
  <c r="N739"/>
  <c r="S739"/>
  <c r="T739"/>
  <c r="N740"/>
  <c r="S740"/>
  <c r="T740"/>
  <c r="N741"/>
  <c r="S741"/>
  <c r="T741"/>
  <c r="N742"/>
  <c r="S742"/>
  <c r="T742"/>
  <c r="N743"/>
  <c r="S743"/>
  <c r="T743"/>
  <c r="N744"/>
  <c r="S744"/>
  <c r="T744"/>
  <c r="N745"/>
  <c r="S745"/>
  <c r="T745"/>
  <c r="N746"/>
  <c r="S746"/>
  <c r="T746"/>
  <c r="N747"/>
  <c r="S747"/>
  <c r="T747"/>
  <c r="N748"/>
  <c r="S748"/>
  <c r="T748"/>
  <c r="N749"/>
  <c r="S749"/>
  <c r="T749"/>
  <c r="N750"/>
  <c r="S750"/>
  <c r="T750"/>
  <c r="N751"/>
  <c r="S751"/>
  <c r="T751"/>
  <c r="N752"/>
  <c r="S752"/>
  <c r="T752"/>
  <c r="N753"/>
  <c r="S753"/>
  <c r="T753"/>
  <c r="N754"/>
  <c r="S754"/>
  <c r="T754"/>
  <c r="N755"/>
  <c r="S755"/>
  <c r="T755"/>
  <c r="N756"/>
  <c r="S756"/>
  <c r="T756"/>
  <c r="N757"/>
  <c r="S757"/>
  <c r="T757"/>
  <c r="N758"/>
  <c r="S758"/>
  <c r="T758"/>
  <c r="N759"/>
  <c r="S759"/>
  <c r="T759"/>
  <c r="N760"/>
  <c r="S760"/>
  <c r="T760"/>
  <c r="N761"/>
  <c r="S761"/>
  <c r="V761"/>
  <c r="T761"/>
  <c r="N762"/>
  <c r="S762"/>
  <c r="T762"/>
  <c r="N763"/>
  <c r="S763"/>
  <c r="V763"/>
  <c r="T763"/>
  <c r="N764"/>
  <c r="S764"/>
  <c r="T764"/>
  <c r="N765"/>
  <c r="S765"/>
  <c r="T765"/>
  <c r="N766"/>
  <c r="S766"/>
  <c r="T766"/>
  <c r="N767"/>
  <c r="S767"/>
  <c r="T767"/>
  <c r="N768"/>
  <c r="S768"/>
  <c r="T768"/>
  <c r="N769"/>
  <c r="S769"/>
  <c r="T769"/>
  <c r="N770"/>
  <c r="S770"/>
  <c r="T770"/>
  <c r="N771"/>
  <c r="S771"/>
  <c r="T771"/>
  <c r="N772"/>
  <c r="S772"/>
  <c r="T772"/>
  <c r="N773"/>
  <c r="S773"/>
  <c r="T773"/>
  <c r="N774"/>
  <c r="S774"/>
  <c r="T774"/>
  <c r="N775"/>
  <c r="S775"/>
  <c r="T775"/>
  <c r="N776"/>
  <c r="S776"/>
  <c r="T776"/>
  <c r="N777"/>
  <c r="S777"/>
  <c r="T777"/>
  <c r="N778"/>
  <c r="S778"/>
  <c r="T778"/>
  <c r="N779"/>
  <c r="S779"/>
  <c r="T779"/>
  <c r="N780"/>
  <c r="S780"/>
  <c r="T780"/>
  <c r="N781"/>
  <c r="S781"/>
  <c r="T781"/>
  <c r="N782"/>
  <c r="S782"/>
  <c r="T782"/>
  <c r="N783"/>
  <c r="S783"/>
  <c r="T783"/>
  <c r="N784"/>
  <c r="S784"/>
  <c r="T784"/>
  <c r="N785"/>
  <c r="S785"/>
  <c r="T785"/>
  <c r="N786"/>
  <c r="S786"/>
  <c r="T786"/>
  <c r="N787"/>
  <c r="S787"/>
  <c r="T787"/>
  <c r="N788"/>
  <c r="S788"/>
  <c r="T788"/>
  <c r="N789"/>
  <c r="S789"/>
  <c r="T789"/>
  <c r="AA789" i="1" s="1"/>
  <c r="N790" i="27"/>
  <c r="S790"/>
  <c r="T790"/>
  <c r="N791"/>
  <c r="S791"/>
  <c r="T791"/>
  <c r="N792"/>
  <c r="S792"/>
  <c r="T792"/>
  <c r="N793"/>
  <c r="S793"/>
  <c r="T793"/>
  <c r="N794"/>
  <c r="S794"/>
  <c r="T794"/>
  <c r="N795"/>
  <c r="S795"/>
  <c r="T795"/>
  <c r="N796"/>
  <c r="S796"/>
  <c r="T796"/>
  <c r="N797"/>
  <c r="S797"/>
  <c r="T797"/>
  <c r="N798"/>
  <c r="S798"/>
  <c r="T798"/>
  <c r="N799"/>
  <c r="S799"/>
  <c r="T799"/>
  <c r="N800"/>
  <c r="S800"/>
  <c r="T800"/>
  <c r="N801"/>
  <c r="S801"/>
  <c r="T801"/>
  <c r="N802"/>
  <c r="S802"/>
  <c r="T802"/>
  <c r="N803"/>
  <c r="S803"/>
  <c r="T803"/>
  <c r="N804"/>
  <c r="S804"/>
  <c r="T804"/>
  <c r="N805"/>
  <c r="S805"/>
  <c r="T805"/>
  <c r="N806"/>
  <c r="S806"/>
  <c r="T806"/>
  <c r="N807"/>
  <c r="S807"/>
  <c r="T807"/>
  <c r="N808"/>
  <c r="S808"/>
  <c r="T808"/>
  <c r="N809"/>
  <c r="S809"/>
  <c r="T809"/>
  <c r="N810"/>
  <c r="S810"/>
  <c r="T810"/>
  <c r="N811"/>
  <c r="S811"/>
  <c r="T811"/>
  <c r="N812"/>
  <c r="S812"/>
  <c r="T812"/>
  <c r="N813"/>
  <c r="S813"/>
  <c r="T813"/>
  <c r="N814"/>
  <c r="S814"/>
  <c r="T814"/>
  <c r="N815"/>
  <c r="S815"/>
  <c r="T815"/>
  <c r="N816"/>
  <c r="S816"/>
  <c r="T816"/>
  <c r="N817"/>
  <c r="S817"/>
  <c r="T817"/>
  <c r="N818"/>
  <c r="S818"/>
  <c r="T818"/>
  <c r="N819"/>
  <c r="S819"/>
  <c r="T819"/>
  <c r="N820"/>
  <c r="S820"/>
  <c r="T820"/>
  <c r="N821"/>
  <c r="S821"/>
  <c r="T821"/>
  <c r="N822"/>
  <c r="S822"/>
  <c r="T822"/>
  <c r="N823"/>
  <c r="S823"/>
  <c r="T823"/>
  <c r="N824"/>
  <c r="S824"/>
  <c r="T824"/>
  <c r="N825"/>
  <c r="S825"/>
  <c r="T825"/>
  <c r="N826"/>
  <c r="S826"/>
  <c r="T826"/>
  <c r="N827"/>
  <c r="S827"/>
  <c r="T827"/>
  <c r="N828"/>
  <c r="S828"/>
  <c r="T828"/>
  <c r="O829"/>
  <c r="P829"/>
  <c r="Q829"/>
  <c r="R829"/>
  <c r="N832"/>
  <c r="N833"/>
  <c r="N834"/>
  <c r="N835"/>
  <c r="T835"/>
  <c r="AA835" i="1" s="1"/>
  <c r="N836" i="27"/>
  <c r="T836"/>
  <c r="AA836" i="1"/>
  <c r="N837" i="27"/>
  <c r="N838"/>
  <c r="N839"/>
  <c r="N840"/>
  <c r="N841"/>
  <c r="N842"/>
  <c r="T842"/>
  <c r="AA842" i="1"/>
  <c r="N843" i="27"/>
  <c r="T843"/>
  <c r="AA843" i="1"/>
  <c r="N844" i="27"/>
  <c r="T844"/>
  <c r="AA844" i="1"/>
  <c r="N845" i="27"/>
  <c r="T845"/>
  <c r="AA845" i="1"/>
  <c r="N846" i="27"/>
  <c r="N847"/>
  <c r="N848"/>
  <c r="T848"/>
  <c r="N849"/>
  <c r="S849"/>
  <c r="T849"/>
  <c r="N850"/>
  <c r="S850"/>
  <c r="T850"/>
  <c r="N851"/>
  <c r="S851"/>
  <c r="T851"/>
  <c r="N852"/>
  <c r="S852"/>
  <c r="T852"/>
  <c r="N853"/>
  <c r="S853"/>
  <c r="T853"/>
  <c r="N854"/>
  <c r="S854"/>
  <c r="T854"/>
  <c r="N855"/>
  <c r="S855"/>
  <c r="T855"/>
  <c r="N856"/>
  <c r="S856"/>
  <c r="T856"/>
  <c r="N857"/>
  <c r="S857"/>
  <c r="T857"/>
  <c r="N858"/>
  <c r="N859"/>
  <c r="N860"/>
  <c r="N861"/>
  <c r="N862"/>
  <c r="N863"/>
  <c r="N864"/>
  <c r="N865"/>
  <c r="N866"/>
  <c r="N867"/>
  <c r="N868"/>
  <c r="T868"/>
  <c r="N869"/>
  <c r="T869"/>
  <c r="AA869" i="1"/>
  <c r="N870" i="27"/>
  <c r="T870"/>
  <c r="N871"/>
  <c r="T871"/>
  <c r="N872"/>
  <c r="T872"/>
  <c r="N873"/>
  <c r="T873"/>
  <c r="AA873" i="1"/>
  <c r="N874" i="27"/>
  <c r="T874"/>
  <c r="N875"/>
  <c r="T875"/>
  <c r="N876"/>
  <c r="S876"/>
  <c r="T876"/>
  <c r="N877"/>
  <c r="S877"/>
  <c r="T877"/>
  <c r="N878"/>
  <c r="S878"/>
  <c r="T878"/>
  <c r="N879"/>
  <c r="S879"/>
  <c r="T879"/>
  <c r="N880"/>
  <c r="S880"/>
  <c r="T880"/>
  <c r="N881"/>
  <c r="S881"/>
  <c r="T881"/>
  <c r="N882"/>
  <c r="S882"/>
  <c r="T882"/>
  <c r="N883"/>
  <c r="S883"/>
  <c r="T883"/>
  <c r="N884"/>
  <c r="N885"/>
  <c r="T885"/>
  <c r="AA885" i="1" s="1"/>
  <c r="AP885" s="1"/>
  <c r="AT885" s="1"/>
  <c r="N886" i="27"/>
  <c r="T886"/>
  <c r="AA886" i="1"/>
  <c r="N887" i="27"/>
  <c r="O888"/>
  <c r="P888"/>
  <c r="Q888"/>
  <c r="R888"/>
  <c r="P898"/>
  <c r="T898"/>
  <c r="P899"/>
  <c r="P904"/>
  <c r="P905"/>
  <c r="P907"/>
  <c r="P908"/>
  <c r="P910"/>
  <c r="P911"/>
  <c r="E2" i="26"/>
  <c r="C6"/>
  <c r="G6"/>
  <c r="C8"/>
  <c r="N10"/>
  <c r="Q8"/>
  <c r="S8"/>
  <c r="C10"/>
  <c r="E12"/>
  <c r="I829" s="1"/>
  <c r="I831" s="1"/>
  <c r="I888" s="1"/>
  <c r="I890" s="1"/>
  <c r="H12"/>
  <c r="N2"/>
  <c r="N4" s="1"/>
  <c r="T115" s="1"/>
  <c r="N14"/>
  <c r="N15"/>
  <c r="N16"/>
  <c r="N17"/>
  <c r="N18"/>
  <c r="N19"/>
  <c r="N20"/>
  <c r="N21"/>
  <c r="N22"/>
  <c r="N23"/>
  <c r="N24"/>
  <c r="N25"/>
  <c r="N26"/>
  <c r="N27"/>
  <c r="N28"/>
  <c r="N29"/>
  <c r="N30"/>
  <c r="N31"/>
  <c r="N32"/>
  <c r="N33"/>
  <c r="N34"/>
  <c r="N35"/>
  <c r="N36"/>
  <c r="N37"/>
  <c r="N38"/>
  <c r="N39"/>
  <c r="N40"/>
  <c r="N41"/>
  <c r="N42"/>
  <c r="N43"/>
  <c r="N44"/>
  <c r="N45"/>
  <c r="N46"/>
  <c r="N47"/>
  <c r="N48"/>
  <c r="N49"/>
  <c r="N50"/>
  <c r="N51"/>
  <c r="N52"/>
  <c r="N53"/>
  <c r="N54"/>
  <c r="N55"/>
  <c r="N56"/>
  <c r="N57"/>
  <c r="N58"/>
  <c r="N59"/>
  <c r="N60"/>
  <c r="N61"/>
  <c r="N62"/>
  <c r="N63"/>
  <c r="N64"/>
  <c r="N65"/>
  <c r="N66"/>
  <c r="N67"/>
  <c r="N68"/>
  <c r="N69"/>
  <c r="N71"/>
  <c r="N72"/>
  <c r="N73"/>
  <c r="N74"/>
  <c r="N75"/>
  <c r="N76"/>
  <c r="N77"/>
  <c r="N78"/>
  <c r="N79"/>
  <c r="N80"/>
  <c r="N81"/>
  <c r="N82"/>
  <c r="N83"/>
  <c r="N84"/>
  <c r="N85"/>
  <c r="N86"/>
  <c r="N87"/>
  <c r="N88"/>
  <c r="N89"/>
  <c r="N90"/>
  <c r="N91"/>
  <c r="N92"/>
  <c r="N93"/>
  <c r="N94"/>
  <c r="N95"/>
  <c r="N96"/>
  <c r="N97"/>
  <c r="N98"/>
  <c r="N99"/>
  <c r="N100"/>
  <c r="N101"/>
  <c r="N103"/>
  <c r="N104"/>
  <c r="N105"/>
  <c r="N106"/>
  <c r="N107"/>
  <c r="N108"/>
  <c r="N109"/>
  <c r="N110"/>
  <c r="N111"/>
  <c r="N112"/>
  <c r="N114"/>
  <c r="N115"/>
  <c r="N116"/>
  <c r="N117"/>
  <c r="N118"/>
  <c r="N119"/>
  <c r="N120"/>
  <c r="N121"/>
  <c r="N122"/>
  <c r="N123"/>
  <c r="N124"/>
  <c r="N125"/>
  <c r="N126"/>
  <c r="N127"/>
  <c r="N128"/>
  <c r="N129"/>
  <c r="N130"/>
  <c r="N131"/>
  <c r="N132"/>
  <c r="N133"/>
  <c r="N134"/>
  <c r="N135"/>
  <c r="N136"/>
  <c r="N137"/>
  <c r="N138"/>
  <c r="N139"/>
  <c r="N140"/>
  <c r="N141"/>
  <c r="N142"/>
  <c r="N143"/>
  <c r="N144"/>
  <c r="N145"/>
  <c r="N146"/>
  <c r="N147"/>
  <c r="N148"/>
  <c r="N149"/>
  <c r="N150"/>
  <c r="N151"/>
  <c r="N152"/>
  <c r="N153"/>
  <c r="N154"/>
  <c r="N155"/>
  <c r="N156"/>
  <c r="N157"/>
  <c r="N158"/>
  <c r="N159"/>
  <c r="N160"/>
  <c r="N161"/>
  <c r="N162"/>
  <c r="N163"/>
  <c r="N164"/>
  <c r="N165"/>
  <c r="N166"/>
  <c r="N167"/>
  <c r="N168"/>
  <c r="N169"/>
  <c r="N170"/>
  <c r="N171"/>
  <c r="N172"/>
  <c r="N173"/>
  <c r="N174"/>
  <c r="N175"/>
  <c r="N176"/>
  <c r="N177"/>
  <c r="N178"/>
  <c r="N179"/>
  <c r="N180"/>
  <c r="N181"/>
  <c r="N182"/>
  <c r="N183"/>
  <c r="N184"/>
  <c r="N185"/>
  <c r="N186"/>
  <c r="N187"/>
  <c r="N188"/>
  <c r="N189"/>
  <c r="N190"/>
  <c r="N191"/>
  <c r="N192"/>
  <c r="N193"/>
  <c r="N194"/>
  <c r="N195"/>
  <c r="N196"/>
  <c r="N197"/>
  <c r="N198"/>
  <c r="N199"/>
  <c r="N200"/>
  <c r="N201"/>
  <c r="N202"/>
  <c r="N203"/>
  <c r="N204"/>
  <c r="N205"/>
  <c r="N206"/>
  <c r="N207"/>
  <c r="N208"/>
  <c r="N209"/>
  <c r="N210"/>
  <c r="N211"/>
  <c r="N212"/>
  <c r="N213"/>
  <c r="N214"/>
  <c r="N215"/>
  <c r="N216"/>
  <c r="N217"/>
  <c r="N218"/>
  <c r="N219"/>
  <c r="N220"/>
  <c r="N221"/>
  <c r="N222"/>
  <c r="N223"/>
  <c r="N224"/>
  <c r="N225"/>
  <c r="N226"/>
  <c r="N227"/>
  <c r="N228"/>
  <c r="N229"/>
  <c r="N230"/>
  <c r="N231"/>
  <c r="N232"/>
  <c r="N233"/>
  <c r="N234"/>
  <c r="N235"/>
  <c r="N236"/>
  <c r="N237"/>
  <c r="N238"/>
  <c r="N239"/>
  <c r="N240"/>
  <c r="N241"/>
  <c r="N242"/>
  <c r="N243"/>
  <c r="N244"/>
  <c r="N245"/>
  <c r="N246"/>
  <c r="N247"/>
  <c r="N248"/>
  <c r="N249"/>
  <c r="N250"/>
  <c r="N251"/>
  <c r="N252"/>
  <c r="N253"/>
  <c r="N254"/>
  <c r="N255"/>
  <c r="N256"/>
  <c r="N257"/>
  <c r="N258"/>
  <c r="N259"/>
  <c r="N260"/>
  <c r="N261"/>
  <c r="N262"/>
  <c r="N263"/>
  <c r="N264"/>
  <c r="N265"/>
  <c r="N266"/>
  <c r="N267"/>
  <c r="N268"/>
  <c r="N269"/>
  <c r="N270"/>
  <c r="N271"/>
  <c r="N272"/>
  <c r="N273"/>
  <c r="N274"/>
  <c r="N275"/>
  <c r="N276"/>
  <c r="N277"/>
  <c r="N278"/>
  <c r="N279"/>
  <c r="N280"/>
  <c r="N281"/>
  <c r="N282"/>
  <c r="N283"/>
  <c r="N284"/>
  <c r="N286"/>
  <c r="N287"/>
  <c r="N288"/>
  <c r="N289"/>
  <c r="N290"/>
  <c r="N291"/>
  <c r="N292"/>
  <c r="N293"/>
  <c r="N294"/>
  <c r="N295"/>
  <c r="N296"/>
  <c r="N297"/>
  <c r="N298"/>
  <c r="N299"/>
  <c r="N300"/>
  <c r="N301"/>
  <c r="N302"/>
  <c r="N303"/>
  <c r="N304"/>
  <c r="N305"/>
  <c r="N306"/>
  <c r="N307"/>
  <c r="N308"/>
  <c r="N309"/>
  <c r="N310"/>
  <c r="N311"/>
  <c r="N312"/>
  <c r="N313"/>
  <c r="N314"/>
  <c r="N315"/>
  <c r="N316"/>
  <c r="N317"/>
  <c r="N318"/>
  <c r="N319"/>
  <c r="N320"/>
  <c r="N321"/>
  <c r="N322"/>
  <c r="N323"/>
  <c r="N324"/>
  <c r="N325"/>
  <c r="N326"/>
  <c r="N327"/>
  <c r="N328"/>
  <c r="N329"/>
  <c r="N330"/>
  <c r="N331"/>
  <c r="N332"/>
  <c r="N333"/>
  <c r="N334"/>
  <c r="N335"/>
  <c r="N336"/>
  <c r="N337"/>
  <c r="N338"/>
  <c r="N339"/>
  <c r="N340"/>
  <c r="N341"/>
  <c r="N342"/>
  <c r="N343"/>
  <c r="N344"/>
  <c r="N345"/>
  <c r="N346"/>
  <c r="N347"/>
  <c r="N348"/>
  <c r="N349"/>
  <c r="N350"/>
  <c r="N351"/>
  <c r="N352"/>
  <c r="N353"/>
  <c r="N354"/>
  <c r="N355"/>
  <c r="N356"/>
  <c r="N357"/>
  <c r="N358"/>
  <c r="N359"/>
  <c r="N360"/>
  <c r="N361"/>
  <c r="N362"/>
  <c r="N363"/>
  <c r="N364"/>
  <c r="N365"/>
  <c r="N366"/>
  <c r="N367"/>
  <c r="N368"/>
  <c r="N369"/>
  <c r="N370"/>
  <c r="N371"/>
  <c r="N372"/>
  <c r="N373"/>
  <c r="N374"/>
  <c r="N375"/>
  <c r="N376"/>
  <c r="N377"/>
  <c r="N378"/>
  <c r="N379"/>
  <c r="N380"/>
  <c r="N381"/>
  <c r="N382"/>
  <c r="N384"/>
  <c r="N385"/>
  <c r="N386"/>
  <c r="N387"/>
  <c r="N388"/>
  <c r="N389"/>
  <c r="N390"/>
  <c r="N391"/>
  <c r="N392"/>
  <c r="N393"/>
  <c r="N394"/>
  <c r="N395"/>
  <c r="N396"/>
  <c r="N397"/>
  <c r="N398"/>
  <c r="N399"/>
  <c r="N400"/>
  <c r="N401"/>
  <c r="N402"/>
  <c r="N403"/>
  <c r="N404"/>
  <c r="N405"/>
  <c r="N406"/>
  <c r="N407"/>
  <c r="N408"/>
  <c r="N409"/>
  <c r="N410"/>
  <c r="N411"/>
  <c r="N412"/>
  <c r="N413"/>
  <c r="N414"/>
  <c r="N415"/>
  <c r="N416"/>
  <c r="N417"/>
  <c r="N418"/>
  <c r="N419"/>
  <c r="N420"/>
  <c r="N421"/>
  <c r="N422"/>
  <c r="N423"/>
  <c r="N424"/>
  <c r="N425"/>
  <c r="N426"/>
  <c r="N427"/>
  <c r="N428"/>
  <c r="N429"/>
  <c r="N430"/>
  <c r="N431"/>
  <c r="N432"/>
  <c r="N433"/>
  <c r="N434"/>
  <c r="N435"/>
  <c r="N436"/>
  <c r="N437"/>
  <c r="N438"/>
  <c r="N439"/>
  <c r="N440"/>
  <c r="N441"/>
  <c r="N442"/>
  <c r="N443"/>
  <c r="N444"/>
  <c r="N445"/>
  <c r="N446"/>
  <c r="N447"/>
  <c r="N448"/>
  <c r="N449"/>
  <c r="N450"/>
  <c r="N451"/>
  <c r="N452"/>
  <c r="N453"/>
  <c r="N454"/>
  <c r="N455"/>
  <c r="N456"/>
  <c r="N457"/>
  <c r="N458"/>
  <c r="N459"/>
  <c r="N460"/>
  <c r="N461"/>
  <c r="N462"/>
  <c r="N463"/>
  <c r="N464"/>
  <c r="N465"/>
  <c r="N466"/>
  <c r="N467"/>
  <c r="N468"/>
  <c r="N469"/>
  <c r="N470"/>
  <c r="N471"/>
  <c r="N472"/>
  <c r="N473"/>
  <c r="N474"/>
  <c r="N475"/>
  <c r="N476"/>
  <c r="N477"/>
  <c r="N478"/>
  <c r="N479"/>
  <c r="N480"/>
  <c r="N481"/>
  <c r="N482"/>
  <c r="N483"/>
  <c r="N484"/>
  <c r="N485"/>
  <c r="N486"/>
  <c r="N487"/>
  <c r="N488"/>
  <c r="N489"/>
  <c r="N490"/>
  <c r="N491"/>
  <c r="N492"/>
  <c r="N493"/>
  <c r="N494"/>
  <c r="N495"/>
  <c r="N496"/>
  <c r="N497"/>
  <c r="N498"/>
  <c r="N499"/>
  <c r="N500"/>
  <c r="N501"/>
  <c r="N502"/>
  <c r="N503"/>
  <c r="N504"/>
  <c r="N505"/>
  <c r="N506"/>
  <c r="N507"/>
  <c r="N508"/>
  <c r="N509"/>
  <c r="N510"/>
  <c r="N511"/>
  <c r="N512"/>
  <c r="N513"/>
  <c r="N514"/>
  <c r="N515"/>
  <c r="N516"/>
  <c r="N517"/>
  <c r="N518"/>
  <c r="N519"/>
  <c r="N520"/>
  <c r="N521"/>
  <c r="N522"/>
  <c r="N523"/>
  <c r="N524"/>
  <c r="N525"/>
  <c r="N526"/>
  <c r="N527"/>
  <c r="N528"/>
  <c r="N529"/>
  <c r="N530"/>
  <c r="N531"/>
  <c r="N532"/>
  <c r="N533"/>
  <c r="N534"/>
  <c r="N535"/>
  <c r="N536"/>
  <c r="N537"/>
  <c r="N538"/>
  <c r="N539"/>
  <c r="N540"/>
  <c r="N541"/>
  <c r="N542"/>
  <c r="N543"/>
  <c r="N544"/>
  <c r="N545"/>
  <c r="N546"/>
  <c r="N547"/>
  <c r="N548"/>
  <c r="N549"/>
  <c r="N550"/>
  <c r="N554"/>
  <c r="N555"/>
  <c r="N556"/>
  <c r="N557"/>
  <c r="N560"/>
  <c r="N561"/>
  <c r="N565"/>
  <c r="N566"/>
  <c r="N567"/>
  <c r="N568"/>
  <c r="N569"/>
  <c r="N570"/>
  <c r="N571"/>
  <c r="N572"/>
  <c r="N573"/>
  <c r="N574"/>
  <c r="N575"/>
  <c r="N576"/>
  <c r="N577"/>
  <c r="N578"/>
  <c r="N579"/>
  <c r="N580"/>
  <c r="N581"/>
  <c r="N582"/>
  <c r="N583"/>
  <c r="N584"/>
  <c r="N585"/>
  <c r="N586"/>
  <c r="N587"/>
  <c r="N588"/>
  <c r="N589"/>
  <c r="N590"/>
  <c r="N591"/>
  <c r="N592"/>
  <c r="N593"/>
  <c r="N594"/>
  <c r="N595"/>
  <c r="N596"/>
  <c r="N597"/>
  <c r="N598"/>
  <c r="N599"/>
  <c r="N600"/>
  <c r="N602"/>
  <c r="N603"/>
  <c r="N604"/>
  <c r="N605"/>
  <c r="N606"/>
  <c r="N607"/>
  <c r="N608"/>
  <c r="N609"/>
  <c r="N610"/>
  <c r="N611"/>
  <c r="N612"/>
  <c r="N613"/>
  <c r="N614"/>
  <c r="N615"/>
  <c r="N616"/>
  <c r="N617"/>
  <c r="N618"/>
  <c r="N619"/>
  <c r="N620"/>
  <c r="N621"/>
  <c r="N622"/>
  <c r="N623"/>
  <c r="N624"/>
  <c r="N625"/>
  <c r="N626"/>
  <c r="N627"/>
  <c r="N628"/>
  <c r="N629"/>
  <c r="N630"/>
  <c r="N631"/>
  <c r="N632"/>
  <c r="N633"/>
  <c r="N634"/>
  <c r="N635"/>
  <c r="N636"/>
  <c r="N637"/>
  <c r="N638"/>
  <c r="N639"/>
  <c r="N640"/>
  <c r="N641"/>
  <c r="N642"/>
  <c r="N643"/>
  <c r="N644"/>
  <c r="N645"/>
  <c r="N646"/>
  <c r="N647"/>
  <c r="N648"/>
  <c r="N649"/>
  <c r="N650"/>
  <c r="N651"/>
  <c r="N652"/>
  <c r="N653"/>
  <c r="N654"/>
  <c r="N655"/>
  <c r="N656"/>
  <c r="N657"/>
  <c r="N658"/>
  <c r="N659"/>
  <c r="N660"/>
  <c r="N661"/>
  <c r="N662"/>
  <c r="N663"/>
  <c r="N664"/>
  <c r="N665"/>
  <c r="N666"/>
  <c r="N667"/>
  <c r="N668"/>
  <c r="N669"/>
  <c r="N670"/>
  <c r="N671"/>
  <c r="N672"/>
  <c r="N673"/>
  <c r="N674"/>
  <c r="N675"/>
  <c r="N676"/>
  <c r="N677"/>
  <c r="N678"/>
  <c r="N679"/>
  <c r="N680"/>
  <c r="N681"/>
  <c r="N682"/>
  <c r="N683"/>
  <c r="N684"/>
  <c r="N685"/>
  <c r="N686"/>
  <c r="N687"/>
  <c r="N688"/>
  <c r="N689"/>
  <c r="N690"/>
  <c r="N691"/>
  <c r="N692"/>
  <c r="N693"/>
  <c r="N694"/>
  <c r="N695"/>
  <c r="N696"/>
  <c r="N697"/>
  <c r="N698"/>
  <c r="N699"/>
  <c r="N700"/>
  <c r="N701"/>
  <c r="N702"/>
  <c r="N703"/>
  <c r="N704"/>
  <c r="N705"/>
  <c r="N706"/>
  <c r="N707"/>
  <c r="N708"/>
  <c r="N709"/>
  <c r="N710"/>
  <c r="N711"/>
  <c r="N712"/>
  <c r="N713"/>
  <c r="N714"/>
  <c r="N715"/>
  <c r="N716"/>
  <c r="N717"/>
  <c r="N718"/>
  <c r="N719"/>
  <c r="N720"/>
  <c r="N721"/>
  <c r="N722"/>
  <c r="N723"/>
  <c r="N724"/>
  <c r="N725"/>
  <c r="N726"/>
  <c r="N727"/>
  <c r="N728"/>
  <c r="N729"/>
  <c r="N730"/>
  <c r="N731"/>
  <c r="N732"/>
  <c r="N733"/>
  <c r="N734"/>
  <c r="N735"/>
  <c r="N736"/>
  <c r="N737"/>
  <c r="N738"/>
  <c r="N739"/>
  <c r="N740"/>
  <c r="N741"/>
  <c r="N742"/>
  <c r="N743"/>
  <c r="N744"/>
  <c r="N745"/>
  <c r="N746"/>
  <c r="N747"/>
  <c r="N748"/>
  <c r="N749"/>
  <c r="N750"/>
  <c r="N751"/>
  <c r="N752"/>
  <c r="N753"/>
  <c r="N754"/>
  <c r="N755"/>
  <c r="N756"/>
  <c r="N757"/>
  <c r="N758"/>
  <c r="N759"/>
  <c r="N760"/>
  <c r="N761"/>
  <c r="N762"/>
  <c r="N763"/>
  <c r="N764"/>
  <c r="N765"/>
  <c r="N766"/>
  <c r="N767"/>
  <c r="N768"/>
  <c r="N769"/>
  <c r="N770"/>
  <c r="N771"/>
  <c r="N772"/>
  <c r="N773"/>
  <c r="N774"/>
  <c r="N775"/>
  <c r="N776"/>
  <c r="N777"/>
  <c r="N778"/>
  <c r="N779"/>
  <c r="N780"/>
  <c r="N781"/>
  <c r="N782"/>
  <c r="N783"/>
  <c r="N784"/>
  <c r="N785"/>
  <c r="N786"/>
  <c r="N787"/>
  <c r="N788"/>
  <c r="N789"/>
  <c r="N790"/>
  <c r="N791"/>
  <c r="N792"/>
  <c r="N793"/>
  <c r="N794"/>
  <c r="N795"/>
  <c r="N796"/>
  <c r="N797"/>
  <c r="N798"/>
  <c r="N799"/>
  <c r="N800"/>
  <c r="N801"/>
  <c r="N802"/>
  <c r="N803"/>
  <c r="N804"/>
  <c r="N805"/>
  <c r="N806"/>
  <c r="N807"/>
  <c r="N808"/>
  <c r="N809"/>
  <c r="N810"/>
  <c r="N811"/>
  <c r="N812"/>
  <c r="N813"/>
  <c r="N814"/>
  <c r="N815"/>
  <c r="N816"/>
  <c r="N817"/>
  <c r="N818"/>
  <c r="N819"/>
  <c r="N820"/>
  <c r="N821"/>
  <c r="N822"/>
  <c r="N823"/>
  <c r="N824"/>
  <c r="N825"/>
  <c r="N826"/>
  <c r="N827"/>
  <c r="N828"/>
  <c r="O829"/>
  <c r="P829"/>
  <c r="N832"/>
  <c r="N833"/>
  <c r="N834"/>
  <c r="N835"/>
  <c r="N836"/>
  <c r="N837"/>
  <c r="N838"/>
  <c r="N839"/>
  <c r="N840"/>
  <c r="N841"/>
  <c r="N842"/>
  <c r="N843"/>
  <c r="N844"/>
  <c r="N845"/>
  <c r="N846"/>
  <c r="N847"/>
  <c r="N848"/>
  <c r="N849"/>
  <c r="N850"/>
  <c r="N851"/>
  <c r="N852"/>
  <c r="N853"/>
  <c r="N854"/>
  <c r="N855"/>
  <c r="N856"/>
  <c r="N857"/>
  <c r="N858"/>
  <c r="N859"/>
  <c r="N860"/>
  <c r="N861"/>
  <c r="N862"/>
  <c r="N863"/>
  <c r="N864"/>
  <c r="N865"/>
  <c r="N866"/>
  <c r="N867"/>
  <c r="N868"/>
  <c r="N869"/>
  <c r="N870"/>
  <c r="N871"/>
  <c r="N872"/>
  <c r="N873"/>
  <c r="N874"/>
  <c r="N875"/>
  <c r="N876"/>
  <c r="N877"/>
  <c r="N878"/>
  <c r="N879"/>
  <c r="N880"/>
  <c r="N881"/>
  <c r="N882"/>
  <c r="N883"/>
  <c r="N884"/>
  <c r="N885"/>
  <c r="N886"/>
  <c r="N887"/>
  <c r="O888"/>
  <c r="P888"/>
  <c r="P890" s="1"/>
  <c r="Q888"/>
  <c r="R888"/>
  <c r="P898"/>
  <c r="P899"/>
  <c r="T899"/>
  <c r="P904"/>
  <c r="P905"/>
  <c r="P907"/>
  <c r="P908"/>
  <c r="P910"/>
  <c r="P911"/>
  <c r="E2" i="25"/>
  <c r="C6"/>
  <c r="G6"/>
  <c r="C8"/>
  <c r="Q8"/>
  <c r="S8"/>
  <c r="C10"/>
  <c r="N10"/>
  <c r="E12"/>
  <c r="I829"/>
  <c r="I831" s="1"/>
  <c r="I888" s="1"/>
  <c r="I890" s="1"/>
  <c r="H12"/>
  <c r="N2" s="1"/>
  <c r="N4" s="1"/>
  <c r="N14"/>
  <c r="N15"/>
  <c r="N16"/>
  <c r="N17"/>
  <c r="N18"/>
  <c r="N19"/>
  <c r="N20"/>
  <c r="N21"/>
  <c r="N22"/>
  <c r="N23"/>
  <c r="N24"/>
  <c r="N25"/>
  <c r="N26"/>
  <c r="N27"/>
  <c r="N28"/>
  <c r="N29"/>
  <c r="N30"/>
  <c r="N31"/>
  <c r="N32"/>
  <c r="N33"/>
  <c r="N34"/>
  <c r="N35"/>
  <c r="N36"/>
  <c r="N37"/>
  <c r="N38"/>
  <c r="N39"/>
  <c r="N40"/>
  <c r="N41"/>
  <c r="N42"/>
  <c r="N43"/>
  <c r="N44"/>
  <c r="N45"/>
  <c r="N46"/>
  <c r="N47"/>
  <c r="N48"/>
  <c r="N49"/>
  <c r="N50"/>
  <c r="N51"/>
  <c r="N52"/>
  <c r="N53"/>
  <c r="N54"/>
  <c r="N55"/>
  <c r="N56"/>
  <c r="T907"/>
  <c r="N57"/>
  <c r="N58"/>
  <c r="N59"/>
  <c r="N60"/>
  <c r="N61"/>
  <c r="N62"/>
  <c r="N63"/>
  <c r="N64"/>
  <c r="N65"/>
  <c r="N66"/>
  <c r="N67"/>
  <c r="N68"/>
  <c r="N69"/>
  <c r="T911"/>
  <c r="N71"/>
  <c r="N72"/>
  <c r="N73"/>
  <c r="N74"/>
  <c r="N75"/>
  <c r="N76"/>
  <c r="N77"/>
  <c r="N78"/>
  <c r="N79"/>
  <c r="N80"/>
  <c r="N81"/>
  <c r="N82"/>
  <c r="N83"/>
  <c r="N84"/>
  <c r="N85"/>
  <c r="N86"/>
  <c r="N87"/>
  <c r="N88"/>
  <c r="N89"/>
  <c r="N90"/>
  <c r="N91"/>
  <c r="N92"/>
  <c r="N93"/>
  <c r="N94"/>
  <c r="N95"/>
  <c r="N96"/>
  <c r="N97"/>
  <c r="N98"/>
  <c r="N99"/>
  <c r="N100"/>
  <c r="N101"/>
  <c r="N103"/>
  <c r="N104"/>
  <c r="N105"/>
  <c r="N106"/>
  <c r="N107"/>
  <c r="N108"/>
  <c r="N109"/>
  <c r="N110"/>
  <c r="N111"/>
  <c r="N112"/>
  <c r="N114"/>
  <c r="N115"/>
  <c r="N116"/>
  <c r="N117"/>
  <c r="N118"/>
  <c r="N119"/>
  <c r="N120"/>
  <c r="N121"/>
  <c r="N122"/>
  <c r="N123"/>
  <c r="N124"/>
  <c r="N125"/>
  <c r="N126"/>
  <c r="N127"/>
  <c r="N128"/>
  <c r="N129"/>
  <c r="N130"/>
  <c r="N131"/>
  <c r="N132"/>
  <c r="N133"/>
  <c r="N134"/>
  <c r="N135"/>
  <c r="N136"/>
  <c r="N137"/>
  <c r="N138"/>
  <c r="N139"/>
  <c r="N140"/>
  <c r="N141"/>
  <c r="N142"/>
  <c r="N143"/>
  <c r="N144"/>
  <c r="N145"/>
  <c r="N146"/>
  <c r="N147"/>
  <c r="N148"/>
  <c r="N149"/>
  <c r="N150"/>
  <c r="N151"/>
  <c r="N152"/>
  <c r="N153"/>
  <c r="N154"/>
  <c r="N155"/>
  <c r="N156"/>
  <c r="N157"/>
  <c r="N158"/>
  <c r="N159"/>
  <c r="N160"/>
  <c r="N161"/>
  <c r="N162"/>
  <c r="N163"/>
  <c r="N164"/>
  <c r="N165"/>
  <c r="N166"/>
  <c r="N167"/>
  <c r="N168"/>
  <c r="N169"/>
  <c r="N170"/>
  <c r="N171"/>
  <c r="N172"/>
  <c r="N173"/>
  <c r="N174"/>
  <c r="N175"/>
  <c r="N176"/>
  <c r="N177"/>
  <c r="N178"/>
  <c r="N179"/>
  <c r="N180"/>
  <c r="N181"/>
  <c r="N182"/>
  <c r="N183"/>
  <c r="N184"/>
  <c r="N185"/>
  <c r="N186"/>
  <c r="N187"/>
  <c r="N188"/>
  <c r="N189"/>
  <c r="N190"/>
  <c r="N191"/>
  <c r="N192"/>
  <c r="N193"/>
  <c r="N194"/>
  <c r="N195"/>
  <c r="N196"/>
  <c r="N197"/>
  <c r="N198"/>
  <c r="N199"/>
  <c r="N200"/>
  <c r="N201"/>
  <c r="N202"/>
  <c r="N203"/>
  <c r="N204"/>
  <c r="N205"/>
  <c r="N206"/>
  <c r="N207"/>
  <c r="N208"/>
  <c r="N209"/>
  <c r="N210"/>
  <c r="N211"/>
  <c r="N212"/>
  <c r="N213"/>
  <c r="N214"/>
  <c r="N215"/>
  <c r="N216"/>
  <c r="N217"/>
  <c r="N218"/>
  <c r="N219"/>
  <c r="N220"/>
  <c r="N221"/>
  <c r="N222"/>
  <c r="N223"/>
  <c r="N224"/>
  <c r="N225"/>
  <c r="N226"/>
  <c r="N227"/>
  <c r="N228"/>
  <c r="N229"/>
  <c r="N230"/>
  <c r="N231"/>
  <c r="N232"/>
  <c r="N233"/>
  <c r="N234"/>
  <c r="N235"/>
  <c r="N236"/>
  <c r="N237"/>
  <c r="N238"/>
  <c r="N239"/>
  <c r="N240"/>
  <c r="N241"/>
  <c r="N242"/>
  <c r="N243"/>
  <c r="N244"/>
  <c r="N245"/>
  <c r="N246"/>
  <c r="N247"/>
  <c r="N248"/>
  <c r="N249"/>
  <c r="N250"/>
  <c r="N251"/>
  <c r="N252"/>
  <c r="N253"/>
  <c r="N254"/>
  <c r="N255"/>
  <c r="N256"/>
  <c r="N257"/>
  <c r="N258"/>
  <c r="N259"/>
  <c r="N260"/>
  <c r="N261"/>
  <c r="N262"/>
  <c r="N263"/>
  <c r="N264"/>
  <c r="N265"/>
  <c r="N266"/>
  <c r="N267"/>
  <c r="N268"/>
  <c r="N269"/>
  <c r="N270"/>
  <c r="N271"/>
  <c r="N272"/>
  <c r="N273"/>
  <c r="N274"/>
  <c r="N275"/>
  <c r="N276"/>
  <c r="N277"/>
  <c r="N278"/>
  <c r="N279"/>
  <c r="N280"/>
  <c r="N281"/>
  <c r="N282"/>
  <c r="N283"/>
  <c r="N284"/>
  <c r="N286"/>
  <c r="N287"/>
  <c r="N288"/>
  <c r="N289"/>
  <c r="N290"/>
  <c r="N291"/>
  <c r="N292"/>
  <c r="N293"/>
  <c r="N294"/>
  <c r="N295"/>
  <c r="N296"/>
  <c r="N297"/>
  <c r="N298"/>
  <c r="N299"/>
  <c r="N300"/>
  <c r="N301"/>
  <c r="N302"/>
  <c r="N303"/>
  <c r="N304"/>
  <c r="N305"/>
  <c r="N306"/>
  <c r="N307"/>
  <c r="N308"/>
  <c r="N309"/>
  <c r="N310"/>
  <c r="N311"/>
  <c r="N312"/>
  <c r="N313"/>
  <c r="N314"/>
  <c r="N315"/>
  <c r="N316"/>
  <c r="N317"/>
  <c r="N318"/>
  <c r="N319"/>
  <c r="N320"/>
  <c r="N321"/>
  <c r="N322"/>
  <c r="N323"/>
  <c r="N324"/>
  <c r="N325"/>
  <c r="N326"/>
  <c r="N327"/>
  <c r="N328"/>
  <c r="N329"/>
  <c r="N330"/>
  <c r="N331"/>
  <c r="N332"/>
  <c r="N333"/>
  <c r="N334"/>
  <c r="N335"/>
  <c r="N336"/>
  <c r="N337"/>
  <c r="N338"/>
  <c r="N339"/>
  <c r="N340"/>
  <c r="N341"/>
  <c r="N342"/>
  <c r="N343"/>
  <c r="N344"/>
  <c r="N345"/>
  <c r="N346"/>
  <c r="N347"/>
  <c r="N348"/>
  <c r="N349"/>
  <c r="N350"/>
  <c r="N351"/>
  <c r="N352"/>
  <c r="N353"/>
  <c r="N354"/>
  <c r="N355"/>
  <c r="N356"/>
  <c r="N357"/>
  <c r="N358"/>
  <c r="N359"/>
  <c r="N360"/>
  <c r="N361"/>
  <c r="N362"/>
  <c r="N363"/>
  <c r="N364"/>
  <c r="N365"/>
  <c r="N366"/>
  <c r="N367"/>
  <c r="N368"/>
  <c r="N369"/>
  <c r="N370"/>
  <c r="N371"/>
  <c r="N372"/>
  <c r="N373"/>
  <c r="N374"/>
  <c r="N375"/>
  <c r="N376"/>
  <c r="T899"/>
  <c r="N377"/>
  <c r="N378"/>
  <c r="N379"/>
  <c r="N380"/>
  <c r="N381"/>
  <c r="N382"/>
  <c r="N384"/>
  <c r="N385"/>
  <c r="N386"/>
  <c r="N387"/>
  <c r="N388"/>
  <c r="N389"/>
  <c r="N390"/>
  <c r="N391"/>
  <c r="N392"/>
  <c r="N393"/>
  <c r="N394"/>
  <c r="N395"/>
  <c r="N396"/>
  <c r="N397"/>
  <c r="N398"/>
  <c r="N399"/>
  <c r="N400"/>
  <c r="N401"/>
  <c r="N402"/>
  <c r="N403"/>
  <c r="N404"/>
  <c r="N405"/>
  <c r="N406"/>
  <c r="N407"/>
  <c r="N408"/>
  <c r="N409"/>
  <c r="N410"/>
  <c r="N411"/>
  <c r="N412"/>
  <c r="N413"/>
  <c r="N414"/>
  <c r="N415"/>
  <c r="N416"/>
  <c r="N417"/>
  <c r="N418"/>
  <c r="N419"/>
  <c r="N420"/>
  <c r="N421"/>
  <c r="N422"/>
  <c r="N423"/>
  <c r="N424"/>
  <c r="N425"/>
  <c r="N426"/>
  <c r="N427"/>
  <c r="N428"/>
  <c r="N429"/>
  <c r="N430"/>
  <c r="N431"/>
  <c r="N432"/>
  <c r="N433"/>
  <c r="N434"/>
  <c r="N435"/>
  <c r="N436"/>
  <c r="N437"/>
  <c r="N438"/>
  <c r="N439"/>
  <c r="N440"/>
  <c r="N441"/>
  <c r="N442"/>
  <c r="N443"/>
  <c r="N444"/>
  <c r="N445"/>
  <c r="N446"/>
  <c r="N447"/>
  <c r="N448"/>
  <c r="N449"/>
  <c r="N450"/>
  <c r="N451"/>
  <c r="N452"/>
  <c r="N453"/>
  <c r="N454"/>
  <c r="N455"/>
  <c r="N456"/>
  <c r="N457"/>
  <c r="N458"/>
  <c r="N459"/>
  <c r="N460"/>
  <c r="N461"/>
  <c r="N462"/>
  <c r="N463"/>
  <c r="N464"/>
  <c r="N465"/>
  <c r="N466"/>
  <c r="N467"/>
  <c r="N468"/>
  <c r="N469"/>
  <c r="N470"/>
  <c r="N471"/>
  <c r="N472"/>
  <c r="N473"/>
  <c r="N474"/>
  <c r="N475"/>
  <c r="N476"/>
  <c r="N477"/>
  <c r="N478"/>
  <c r="N479"/>
  <c r="N480"/>
  <c r="N481"/>
  <c r="N482"/>
  <c r="N483"/>
  <c r="N484"/>
  <c r="N485"/>
  <c r="N486"/>
  <c r="N487"/>
  <c r="N488"/>
  <c r="N489"/>
  <c r="N490"/>
  <c r="N491"/>
  <c r="N492"/>
  <c r="N493"/>
  <c r="N494"/>
  <c r="N495"/>
  <c r="N496"/>
  <c r="N497"/>
  <c r="N498"/>
  <c r="N499"/>
  <c r="N500"/>
  <c r="N501"/>
  <c r="N502"/>
  <c r="N503"/>
  <c r="N504"/>
  <c r="N505"/>
  <c r="N506"/>
  <c r="N507"/>
  <c r="N508"/>
  <c r="N509"/>
  <c r="N510"/>
  <c r="N511"/>
  <c r="N512"/>
  <c r="N513"/>
  <c r="N514"/>
  <c r="N515"/>
  <c r="N516"/>
  <c r="N517"/>
  <c r="N518"/>
  <c r="N519"/>
  <c r="N520"/>
  <c r="N521"/>
  <c r="N522"/>
  <c r="N523"/>
  <c r="N524"/>
  <c r="N525"/>
  <c r="N526"/>
  <c r="N527"/>
  <c r="N528"/>
  <c r="N529"/>
  <c r="N530"/>
  <c r="N531"/>
  <c r="N532"/>
  <c r="N533"/>
  <c r="N534"/>
  <c r="N535"/>
  <c r="N536"/>
  <c r="N537"/>
  <c r="N538"/>
  <c r="N539"/>
  <c r="N540"/>
  <c r="N541"/>
  <c r="N542"/>
  <c r="N543"/>
  <c r="N544"/>
  <c r="N545"/>
  <c r="N546"/>
  <c r="N547"/>
  <c r="N548"/>
  <c r="N549"/>
  <c r="N550"/>
  <c r="N551"/>
  <c r="N552"/>
  <c r="N554"/>
  <c r="N555"/>
  <c r="N556"/>
  <c r="N557"/>
  <c r="N560"/>
  <c r="N561"/>
  <c r="N562"/>
  <c r="N563"/>
  <c r="N565"/>
  <c r="N566"/>
  <c r="N567"/>
  <c r="N568"/>
  <c r="N569"/>
  <c r="N570"/>
  <c r="N571"/>
  <c r="N572"/>
  <c r="N573"/>
  <c r="N574"/>
  <c r="N575"/>
  <c r="N576"/>
  <c r="N577"/>
  <c r="N578"/>
  <c r="N579"/>
  <c r="N580"/>
  <c r="N581"/>
  <c r="N582"/>
  <c r="N583"/>
  <c r="N584"/>
  <c r="N585"/>
  <c r="N586"/>
  <c r="N587"/>
  <c r="N588"/>
  <c r="N589"/>
  <c r="N590"/>
  <c r="N591"/>
  <c r="N592"/>
  <c r="N593"/>
  <c r="N594"/>
  <c r="N595"/>
  <c r="N596"/>
  <c r="N597"/>
  <c r="N598"/>
  <c r="N599"/>
  <c r="N600"/>
  <c r="N602"/>
  <c r="N603"/>
  <c r="N604"/>
  <c r="N605"/>
  <c r="N606"/>
  <c r="N607"/>
  <c r="N608"/>
  <c r="N609"/>
  <c r="N610"/>
  <c r="N611"/>
  <c r="N612"/>
  <c r="N613"/>
  <c r="N614"/>
  <c r="N615"/>
  <c r="N616"/>
  <c r="N617"/>
  <c r="N618"/>
  <c r="N619"/>
  <c r="N620"/>
  <c r="N621"/>
  <c r="N622"/>
  <c r="N623"/>
  <c r="N624"/>
  <c r="N625"/>
  <c r="N626"/>
  <c r="N627"/>
  <c r="N628"/>
  <c r="N629"/>
  <c r="N630"/>
  <c r="N631"/>
  <c r="N632"/>
  <c r="N633"/>
  <c r="N634"/>
  <c r="N635"/>
  <c r="N636"/>
  <c r="N637"/>
  <c r="N638"/>
  <c r="N639"/>
  <c r="N640"/>
  <c r="N641"/>
  <c r="N642"/>
  <c r="N643"/>
  <c r="N644"/>
  <c r="N645"/>
  <c r="N646"/>
  <c r="N647"/>
  <c r="N648"/>
  <c r="N649"/>
  <c r="N650"/>
  <c r="N651"/>
  <c r="N652"/>
  <c r="N653"/>
  <c r="N654"/>
  <c r="N655"/>
  <c r="N656"/>
  <c r="N657"/>
  <c r="N658"/>
  <c r="N659"/>
  <c r="N660"/>
  <c r="N661"/>
  <c r="N662"/>
  <c r="N663"/>
  <c r="N664"/>
  <c r="N665"/>
  <c r="N666"/>
  <c r="N667"/>
  <c r="N668"/>
  <c r="N669"/>
  <c r="N670"/>
  <c r="N671"/>
  <c r="N672"/>
  <c r="N673"/>
  <c r="N674"/>
  <c r="N675"/>
  <c r="N676"/>
  <c r="N677"/>
  <c r="N678"/>
  <c r="N679"/>
  <c r="N680"/>
  <c r="N681"/>
  <c r="N682"/>
  <c r="N683"/>
  <c r="N684"/>
  <c r="N685"/>
  <c r="N686"/>
  <c r="N687"/>
  <c r="N688"/>
  <c r="N689"/>
  <c r="N690"/>
  <c r="N691"/>
  <c r="N692"/>
  <c r="N693"/>
  <c r="N694"/>
  <c r="N695"/>
  <c r="N696"/>
  <c r="N697"/>
  <c r="N698"/>
  <c r="N699"/>
  <c r="N700"/>
  <c r="N701"/>
  <c r="N702"/>
  <c r="N703"/>
  <c r="N704"/>
  <c r="N705"/>
  <c r="N706"/>
  <c r="N707"/>
  <c r="N708"/>
  <c r="N709"/>
  <c r="N710"/>
  <c r="N711"/>
  <c r="N712"/>
  <c r="N713"/>
  <c r="N714"/>
  <c r="N715"/>
  <c r="N716"/>
  <c r="N717"/>
  <c r="N718"/>
  <c r="N719"/>
  <c r="N720"/>
  <c r="N721"/>
  <c r="N722"/>
  <c r="N723"/>
  <c r="N724"/>
  <c r="N725"/>
  <c r="N726"/>
  <c r="N727"/>
  <c r="N728"/>
  <c r="N729"/>
  <c r="N730"/>
  <c r="N731"/>
  <c r="N732"/>
  <c r="N733"/>
  <c r="N734"/>
  <c r="N735"/>
  <c r="N736"/>
  <c r="N737"/>
  <c r="N738"/>
  <c r="N739"/>
  <c r="N740"/>
  <c r="N741"/>
  <c r="N742"/>
  <c r="N743"/>
  <c r="N744"/>
  <c r="N745"/>
  <c r="N746"/>
  <c r="N747"/>
  <c r="N748"/>
  <c r="N749"/>
  <c r="N750"/>
  <c r="N751"/>
  <c r="N752"/>
  <c r="N753"/>
  <c r="N754"/>
  <c r="N755"/>
  <c r="N756"/>
  <c r="N757"/>
  <c r="N758"/>
  <c r="N759"/>
  <c r="N760"/>
  <c r="N761"/>
  <c r="N762"/>
  <c r="N763"/>
  <c r="N764"/>
  <c r="N765"/>
  <c r="N766"/>
  <c r="N767"/>
  <c r="N768"/>
  <c r="N769"/>
  <c r="N770"/>
  <c r="N771"/>
  <c r="N772"/>
  <c r="N773"/>
  <c r="N774"/>
  <c r="N775"/>
  <c r="N776"/>
  <c r="N777"/>
  <c r="N778"/>
  <c r="N779"/>
  <c r="N780"/>
  <c r="N781"/>
  <c r="N782"/>
  <c r="N783"/>
  <c r="N784"/>
  <c r="N785"/>
  <c r="N786"/>
  <c r="N787"/>
  <c r="N788"/>
  <c r="N789"/>
  <c r="N790"/>
  <c r="N791"/>
  <c r="N792"/>
  <c r="N793"/>
  <c r="N794"/>
  <c r="N795"/>
  <c r="N796"/>
  <c r="N797"/>
  <c r="N798"/>
  <c r="N799"/>
  <c r="N800"/>
  <c r="N801"/>
  <c r="N802"/>
  <c r="N803"/>
  <c r="N804"/>
  <c r="N805"/>
  <c r="N806"/>
  <c r="N807"/>
  <c r="N808"/>
  <c r="N809"/>
  <c r="N810"/>
  <c r="N811"/>
  <c r="N812"/>
  <c r="N813"/>
  <c r="N814"/>
  <c r="N815"/>
  <c r="N816"/>
  <c r="N817"/>
  <c r="N818"/>
  <c r="N819"/>
  <c r="N820"/>
  <c r="N821"/>
  <c r="N822"/>
  <c r="N823"/>
  <c r="N824"/>
  <c r="N825"/>
  <c r="N826"/>
  <c r="N827"/>
  <c r="N828"/>
  <c r="O829"/>
  <c r="P829"/>
  <c r="N832"/>
  <c r="N833"/>
  <c r="N834"/>
  <c r="N835"/>
  <c r="N836"/>
  <c r="N837"/>
  <c r="N838"/>
  <c r="N839"/>
  <c r="N840"/>
  <c r="N841"/>
  <c r="N842"/>
  <c r="N843"/>
  <c r="N844"/>
  <c r="N845"/>
  <c r="N846"/>
  <c r="N847"/>
  <c r="N848"/>
  <c r="N849"/>
  <c r="N850"/>
  <c r="N851"/>
  <c r="N852"/>
  <c r="N853"/>
  <c r="N854"/>
  <c r="N855"/>
  <c r="N856"/>
  <c r="N857"/>
  <c r="N858"/>
  <c r="N859"/>
  <c r="N860"/>
  <c r="N861"/>
  <c r="N862"/>
  <c r="N863"/>
  <c r="N864"/>
  <c r="N865"/>
  <c r="N866"/>
  <c r="N867"/>
  <c r="N868"/>
  <c r="N869"/>
  <c r="N870"/>
  <c r="N871"/>
  <c r="N872"/>
  <c r="N873"/>
  <c r="N874"/>
  <c r="N875"/>
  <c r="N876"/>
  <c r="N877"/>
  <c r="N878"/>
  <c r="N879"/>
  <c r="N880"/>
  <c r="N881"/>
  <c r="N882"/>
  <c r="N883"/>
  <c r="N884"/>
  <c r="N885"/>
  <c r="N886"/>
  <c r="N887"/>
  <c r="O888"/>
  <c r="P888"/>
  <c r="Q888"/>
  <c r="R888"/>
  <c r="R890" s="1"/>
  <c r="R13" s="1"/>
  <c r="P898"/>
  <c r="P899"/>
  <c r="P904"/>
  <c r="P905"/>
  <c r="T905"/>
  <c r="P907"/>
  <c r="P908"/>
  <c r="T908"/>
  <c r="P910"/>
  <c r="P911"/>
  <c r="E2" i="20"/>
  <c r="C6"/>
  <c r="G6"/>
  <c r="C8"/>
  <c r="N10" s="1"/>
  <c r="Q8"/>
  <c r="S8"/>
  <c r="C10"/>
  <c r="E12"/>
  <c r="I829"/>
  <c r="I831" s="1"/>
  <c r="I888" s="1"/>
  <c r="I890" s="1"/>
  <c r="H12"/>
  <c r="N2" s="1"/>
  <c r="N4" s="1"/>
  <c r="N14"/>
  <c r="Z14" i="1"/>
  <c r="AA14"/>
  <c r="N15" i="20"/>
  <c r="Z15" i="1"/>
  <c r="AA15"/>
  <c r="N16" i="20"/>
  <c r="N17"/>
  <c r="N18"/>
  <c r="N19"/>
  <c r="N20"/>
  <c r="N21"/>
  <c r="N22"/>
  <c r="N23"/>
  <c r="N24"/>
  <c r="N25"/>
  <c r="N26"/>
  <c r="AA26" i="1"/>
  <c r="N27" i="20"/>
  <c r="N28"/>
  <c r="N29"/>
  <c r="N30"/>
  <c r="N31"/>
  <c r="N32"/>
  <c r="N33"/>
  <c r="N34"/>
  <c r="N35"/>
  <c r="N36"/>
  <c r="N37"/>
  <c r="N38"/>
  <c r="N39"/>
  <c r="N40"/>
  <c r="N41"/>
  <c r="N42"/>
  <c r="N43"/>
  <c r="N44"/>
  <c r="N45"/>
  <c r="N46"/>
  <c r="N47"/>
  <c r="N48"/>
  <c r="N49"/>
  <c r="N50"/>
  <c r="N51"/>
  <c r="N52"/>
  <c r="N53"/>
  <c r="N54"/>
  <c r="N55"/>
  <c r="Z55" i="1"/>
  <c r="N56" i="20"/>
  <c r="N57"/>
  <c r="N58"/>
  <c r="N59"/>
  <c r="N60"/>
  <c r="Z60" i="1"/>
  <c r="AA60"/>
  <c r="N61" i="20"/>
  <c r="Z61" i="1"/>
  <c r="AA61"/>
  <c r="N62" i="20"/>
  <c r="AA62" i="1"/>
  <c r="N63" i="20"/>
  <c r="AA63" i="1"/>
  <c r="N64" i="20"/>
  <c r="AA64" i="1"/>
  <c r="N65" i="20"/>
  <c r="N66"/>
  <c r="AA66" i="1"/>
  <c r="AP66" s="1"/>
  <c r="N67" i="20"/>
  <c r="AA67" i="1"/>
  <c r="N68" i="20"/>
  <c r="AA68" i="1"/>
  <c r="N69" i="20"/>
  <c r="AA69" i="1"/>
  <c r="N71" i="20"/>
  <c r="Z71" i="1"/>
  <c r="G19" i="4" s="1"/>
  <c r="G19" i="8" s="1"/>
  <c r="N72" i="20"/>
  <c r="N73"/>
  <c r="Z73" i="1"/>
  <c r="N74" i="20"/>
  <c r="Z74" i="1"/>
  <c r="N75" i="20"/>
  <c r="Z75" i="1"/>
  <c r="N76" i="20"/>
  <c r="Z76" i="1"/>
  <c r="N77" i="20"/>
  <c r="Z77" i="1"/>
  <c r="N78" i="20"/>
  <c r="Z78" i="1"/>
  <c r="N79" i="20"/>
  <c r="Z79" i="1"/>
  <c r="N80" i="20"/>
  <c r="Z80" i="1"/>
  <c r="N81" i="20"/>
  <c r="Z81" i="1"/>
  <c r="N82" i="20"/>
  <c r="Z82" i="1"/>
  <c r="N83" i="20"/>
  <c r="Z83" i="1"/>
  <c r="N84" i="20"/>
  <c r="Z84" i="1"/>
  <c r="N85" i="20"/>
  <c r="Z85" i="1"/>
  <c r="N86" i="20"/>
  <c r="Z86" i="1"/>
  <c r="N87" i="20"/>
  <c r="Z87" i="1"/>
  <c r="N88" i="20"/>
  <c r="Z88" i="1"/>
  <c r="N89" i="20"/>
  <c r="Z89" i="1"/>
  <c r="N90" i="20"/>
  <c r="N91"/>
  <c r="N92"/>
  <c r="N93"/>
  <c r="N94"/>
  <c r="N95"/>
  <c r="N96"/>
  <c r="N97"/>
  <c r="N98"/>
  <c r="N99"/>
  <c r="N100"/>
  <c r="N101"/>
  <c r="N103"/>
  <c r="Z103" i="1"/>
  <c r="N104" i="20"/>
  <c r="Z104" i="1"/>
  <c r="N105" i="20"/>
  <c r="Z105" i="1"/>
  <c r="N106" i="20"/>
  <c r="Z106" i="1"/>
  <c r="N107" i="20"/>
  <c r="Z107" i="1"/>
  <c r="N108" i="20"/>
  <c r="Z108" i="1"/>
  <c r="N109" i="20"/>
  <c r="Z109" i="1"/>
  <c r="N110" i="20"/>
  <c r="Z110" i="1"/>
  <c r="N111" i="20"/>
  <c r="N112"/>
  <c r="Z112" i="1"/>
  <c r="N114" i="20"/>
  <c r="AA114" i="1"/>
  <c r="N115" i="20"/>
  <c r="N116"/>
  <c r="N117"/>
  <c r="N118"/>
  <c r="AA118" i="1"/>
  <c r="N119" i="20"/>
  <c r="Z119" i="1"/>
  <c r="AO119"/>
  <c r="N120" i="20"/>
  <c r="Z120" i="1"/>
  <c r="AA120"/>
  <c r="N121" i="20"/>
  <c r="Z121" i="1"/>
  <c r="AA121"/>
  <c r="N122" i="20"/>
  <c r="AA122" i="1"/>
  <c r="AP122" s="1"/>
  <c r="N123" i="20"/>
  <c r="N124"/>
  <c r="Z124" i="1"/>
  <c r="N125" i="20"/>
  <c r="AA125" i="1"/>
  <c r="N126" i="20"/>
  <c r="Z126" i="1"/>
  <c r="N127" i="20"/>
  <c r="AA127" i="1"/>
  <c r="N128" i="20"/>
  <c r="AA128" i="1"/>
  <c r="N129" i="20"/>
  <c r="N130"/>
  <c r="AA130" i="1"/>
  <c r="N131" i="20"/>
  <c r="N132"/>
  <c r="N133"/>
  <c r="N134"/>
  <c r="Z134" i="1"/>
  <c r="N135" i="20"/>
  <c r="AA135" i="1"/>
  <c r="N136" i="20"/>
  <c r="Z136" i="1"/>
  <c r="N137" i="20"/>
  <c r="N138"/>
  <c r="Z138" i="1"/>
  <c r="N139" i="20"/>
  <c r="N140"/>
  <c r="AA140" i="1"/>
  <c r="N141" i="20"/>
  <c r="Z141" i="1"/>
  <c r="N142" i="20"/>
  <c r="AA142" i="1"/>
  <c r="N143" i="20"/>
  <c r="AA143" i="1"/>
  <c r="N144" i="20"/>
  <c r="Z144" i="1"/>
  <c r="N145" i="20"/>
  <c r="Z145" i="1"/>
  <c r="N146" i="20"/>
  <c r="AA146" i="1"/>
  <c r="N147" i="20"/>
  <c r="N148"/>
  <c r="Z148" i="1"/>
  <c r="N149" i="20"/>
  <c r="Z149" i="1"/>
  <c r="N150" i="20"/>
  <c r="AA150" i="1"/>
  <c r="N151" i="20"/>
  <c r="AA151" i="1"/>
  <c r="N152" i="20"/>
  <c r="Z152" i="1"/>
  <c r="N153" i="20"/>
  <c r="Z153" i="1"/>
  <c r="N154" i="20"/>
  <c r="Z154" i="1"/>
  <c r="N155" i="20"/>
  <c r="Z155" i="1"/>
  <c r="N156" i="20"/>
  <c r="Z156" i="1"/>
  <c r="N157" i="20"/>
  <c r="Z157" i="1"/>
  <c r="N158" i="20"/>
  <c r="Z158" i="1"/>
  <c r="N159" i="20"/>
  <c r="Z159" i="1"/>
  <c r="N160" i="20"/>
  <c r="Z160" i="1"/>
  <c r="AA160"/>
  <c r="N161" i="20"/>
  <c r="Z161" i="1"/>
  <c r="N162" i="20"/>
  <c r="N163"/>
  <c r="Z163" i="1"/>
  <c r="N164" i="20"/>
  <c r="Z164" i="1"/>
  <c r="N165" i="20"/>
  <c r="Z165" i="1"/>
  <c r="N166" i="20"/>
  <c r="Z166" i="1"/>
  <c r="N167" i="20"/>
  <c r="Z167" i="1"/>
  <c r="N168" i="20"/>
  <c r="Z168" i="1"/>
  <c r="N169" i="20"/>
  <c r="Z169" i="1"/>
  <c r="N170" i="20"/>
  <c r="N171"/>
  <c r="Z171" i="1"/>
  <c r="N172" i="20"/>
  <c r="Z172" i="1"/>
  <c r="N173" i="20"/>
  <c r="AA173" i="1"/>
  <c r="N174" i="20"/>
  <c r="AA174" i="1"/>
  <c r="N175" i="20"/>
  <c r="AA175" i="1"/>
  <c r="N176" i="20"/>
  <c r="Z176" i="1"/>
  <c r="AA176"/>
  <c r="N177" i="20"/>
  <c r="Z177" i="1"/>
  <c r="AO177" s="1"/>
  <c r="AA177"/>
  <c r="N178" i="20"/>
  <c r="N179"/>
  <c r="Z179" i="1"/>
  <c r="AA179"/>
  <c r="N180" i="20"/>
  <c r="Z180" i="1"/>
  <c r="AA180"/>
  <c r="N181" i="20"/>
  <c r="Z181" i="1"/>
  <c r="AA181"/>
  <c r="N182" i="20"/>
  <c r="Z182" i="1"/>
  <c r="AA182"/>
  <c r="N183" i="20"/>
  <c r="Z183" i="1"/>
  <c r="AO183" s="1"/>
  <c r="AA183"/>
  <c r="N184" i="20"/>
  <c r="AA184" i="1"/>
  <c r="N185" i="20"/>
  <c r="N186"/>
  <c r="AA186" i="1"/>
  <c r="N187" i="20"/>
  <c r="N188"/>
  <c r="Z188" i="1"/>
  <c r="N189" i="20"/>
  <c r="Z189" i="1"/>
  <c r="N190" i="20"/>
  <c r="AA190" i="1"/>
  <c r="N191" i="20"/>
  <c r="Z191" i="1"/>
  <c r="N192" i="20"/>
  <c r="AA192" i="1"/>
  <c r="N193" i="20"/>
  <c r="Z193" i="1"/>
  <c r="N194" i="20"/>
  <c r="AA194" i="1"/>
  <c r="N195" i="20"/>
  <c r="AA195" i="1"/>
  <c r="N196" i="20"/>
  <c r="Z196" i="1"/>
  <c r="N197" i="20"/>
  <c r="AA197" i="1"/>
  <c r="N198" i="20"/>
  <c r="AA198" i="1"/>
  <c r="N199" i="20"/>
  <c r="Z199" i="1"/>
  <c r="N200" i="20"/>
  <c r="AA200" i="1"/>
  <c r="N201" i="20"/>
  <c r="Z201" i="1"/>
  <c r="N202" i="20"/>
  <c r="AA202" i="1"/>
  <c r="N203" i="20"/>
  <c r="Z203" i="1"/>
  <c r="N204" i="20"/>
  <c r="AA204" i="1"/>
  <c r="N205" i="20"/>
  <c r="Z205" i="1"/>
  <c r="N206" i="20"/>
  <c r="AA206" i="1"/>
  <c r="N207" i="20"/>
  <c r="N208"/>
  <c r="Z208" i="1"/>
  <c r="AA208"/>
  <c r="N209" i="20"/>
  <c r="Z209" i="1"/>
  <c r="AA209"/>
  <c r="N210" i="20"/>
  <c r="Z210" i="1"/>
  <c r="AA210"/>
  <c r="AP210" s="1"/>
  <c r="N211" i="20"/>
  <c r="Z211" i="1"/>
  <c r="N212" i="20"/>
  <c r="AA212" i="1"/>
  <c r="N213" i="20"/>
  <c r="Z213" i="1"/>
  <c r="AO213" s="1"/>
  <c r="N214" i="20"/>
  <c r="AA214" i="1"/>
  <c r="AP214" s="1"/>
  <c r="N215" i="20"/>
  <c r="Z215" i="1"/>
  <c r="AA215"/>
  <c r="N216" i="20"/>
  <c r="Z216" i="1"/>
  <c r="AA216"/>
  <c r="N217" i="20"/>
  <c r="Z217" i="1"/>
  <c r="N218" i="20"/>
  <c r="Z218" i="1"/>
  <c r="AA218"/>
  <c r="AP218" s="1"/>
  <c r="N219" i="20"/>
  <c r="Z219" i="1"/>
  <c r="N220" i="20"/>
  <c r="AA220" i="1"/>
  <c r="AP220" s="1"/>
  <c r="N221" i="20"/>
  <c r="Z221" i="1"/>
  <c r="N222" i="20"/>
  <c r="AA222" i="1"/>
  <c r="AP222" s="1"/>
  <c r="N223" i="20"/>
  <c r="Z223" i="1"/>
  <c r="N224" i="20"/>
  <c r="AA224" i="1"/>
  <c r="N225" i="20"/>
  <c r="AA225" i="1"/>
  <c r="N226" i="20"/>
  <c r="AA226" i="1"/>
  <c r="AP226" s="1"/>
  <c r="AT226" s="1"/>
  <c r="N227" i="20"/>
  <c r="AA227" i="1"/>
  <c r="N228" i="20"/>
  <c r="AA228" i="1"/>
  <c r="N229" i="20"/>
  <c r="Z229" i="1"/>
  <c r="N230" i="20"/>
  <c r="Z230" i="1"/>
  <c r="N231" i="20"/>
  <c r="Z231" i="1"/>
  <c r="N232" i="20"/>
  <c r="AA232" i="1"/>
  <c r="N233" i="20"/>
  <c r="AA233" i="1"/>
  <c r="N234" i="20"/>
  <c r="AA234" i="1"/>
  <c r="AP234" s="1"/>
  <c r="N235" i="20"/>
  <c r="AA235" i="1"/>
  <c r="N236" i="20"/>
  <c r="Z236" i="1"/>
  <c r="N237" i="20"/>
  <c r="N238"/>
  <c r="AA238" i="1"/>
  <c r="N239" i="20"/>
  <c r="Z239" i="1"/>
  <c r="N240" i="20"/>
  <c r="Z240" i="1"/>
  <c r="N241" i="20"/>
  <c r="AA241" i="1"/>
  <c r="N242" i="20"/>
  <c r="AA242" i="1"/>
  <c r="N243" i="20"/>
  <c r="AA243" i="1"/>
  <c r="N244" i="20"/>
  <c r="AA244" i="1"/>
  <c r="N245" i="20"/>
  <c r="N246"/>
  <c r="Z246" i="1"/>
  <c r="N247" i="20"/>
  <c r="Z247" i="1"/>
  <c r="N248" i="20"/>
  <c r="Z248" i="1"/>
  <c r="N249" i="20"/>
  <c r="Z249" i="1"/>
  <c r="N250" i="20"/>
  <c r="Z250" i="1"/>
  <c r="N251" i="20"/>
  <c r="AA251" i="1"/>
  <c r="N252" i="20"/>
  <c r="AA252" i="1"/>
  <c r="N253" i="20"/>
  <c r="N254"/>
  <c r="Z254" i="1"/>
  <c r="N255" i="20"/>
  <c r="Z255" i="1"/>
  <c r="N256" i="20"/>
  <c r="Z256" i="1"/>
  <c r="N257" i="20"/>
  <c r="AA257" i="1"/>
  <c r="N258" i="20"/>
  <c r="AA258" i="1"/>
  <c r="N259" i="20"/>
  <c r="AA259" i="1"/>
  <c r="N260" i="20"/>
  <c r="AA260" i="1"/>
  <c r="N261" i="20"/>
  <c r="N262"/>
  <c r="AA262" i="1"/>
  <c r="AP262" s="1"/>
  <c r="N263" i="20"/>
  <c r="AA263" i="1"/>
  <c r="N264" i="20"/>
  <c r="N265"/>
  <c r="AA265" i="1"/>
  <c r="N266" i="20"/>
  <c r="AA266" i="1"/>
  <c r="N267" i="20"/>
  <c r="AA267" i="1"/>
  <c r="N268" i="20"/>
  <c r="AA268" i="1"/>
  <c r="N269" i="20"/>
  <c r="AA269" i="1"/>
  <c r="N270" i="20"/>
  <c r="AA270" i="1"/>
  <c r="N271" i="20"/>
  <c r="Z271" i="1"/>
  <c r="N272" i="20"/>
  <c r="AA272" i="1"/>
  <c r="N273" i="20"/>
  <c r="Z273" i="1"/>
  <c r="N274" i="20"/>
  <c r="AA274" i="1"/>
  <c r="N275" i="20"/>
  <c r="Z275" i="1"/>
  <c r="N276" i="20"/>
  <c r="AA276" i="1"/>
  <c r="N277" i="20"/>
  <c r="Z277" i="1"/>
  <c r="N278" i="20"/>
  <c r="N279"/>
  <c r="Z279" i="1"/>
  <c r="AA279"/>
  <c r="N280" i="20"/>
  <c r="Z280" i="1"/>
  <c r="N281" i="20"/>
  <c r="Z281" i="1"/>
  <c r="N282" i="20"/>
  <c r="AA282" i="1"/>
  <c r="N283" i="20"/>
  <c r="Z283" i="1"/>
  <c r="N284" i="20"/>
  <c r="AA284" i="1"/>
  <c r="N286" i="20"/>
  <c r="N287"/>
  <c r="N288"/>
  <c r="Z288" i="1"/>
  <c r="AO288"/>
  <c r="N289" i="20"/>
  <c r="N290"/>
  <c r="N291"/>
  <c r="Z291" i="1"/>
  <c r="N292" i="20"/>
  <c r="Z292" i="1"/>
  <c r="N293" i="20"/>
  <c r="N294"/>
  <c r="Z294" i="1"/>
  <c r="N295" i="20"/>
  <c r="Z295" i="1"/>
  <c r="N296" i="20"/>
  <c r="Z296" i="1"/>
  <c r="N297" i="20"/>
  <c r="Z297" i="1"/>
  <c r="N298" i="20"/>
  <c r="Z298" i="1"/>
  <c r="N299" i="20"/>
  <c r="Z299" i="1"/>
  <c r="N300" i="20"/>
  <c r="N301"/>
  <c r="Z301" i="1"/>
  <c r="N302" i="20"/>
  <c r="Z302" i="1"/>
  <c r="N303" i="20"/>
  <c r="Z303" i="1"/>
  <c r="N304" i="20"/>
  <c r="Z304" i="1"/>
  <c r="N305" i="20"/>
  <c r="Z305" i="1"/>
  <c r="N306" i="20"/>
  <c r="Z306" i="1"/>
  <c r="N307" i="20"/>
  <c r="Z307" i="1"/>
  <c r="N308" i="20"/>
  <c r="Z308" i="1"/>
  <c r="N309" i="20"/>
  <c r="Z309" i="1"/>
  <c r="N310" i="20"/>
  <c r="Z310" i="1"/>
  <c r="N311" i="20"/>
  <c r="Z311" i="1"/>
  <c r="N312" i="20"/>
  <c r="Z312" i="1"/>
  <c r="N313" i="20"/>
  <c r="Z313" i="1"/>
  <c r="N314" i="20"/>
  <c r="Z314" i="1"/>
  <c r="N315" i="20"/>
  <c r="Z315" i="1"/>
  <c r="N316" i="20"/>
  <c r="Z316" i="1"/>
  <c r="N317" i="20"/>
  <c r="Z317" i="1"/>
  <c r="N318" i="20"/>
  <c r="Z318" i="1"/>
  <c r="N319" i="20"/>
  <c r="Z319" i="1"/>
  <c r="N320" i="20"/>
  <c r="Z320" i="1"/>
  <c r="N321" i="20"/>
  <c r="N322"/>
  <c r="Z322" i="1"/>
  <c r="AA322"/>
  <c r="AP322" s="1"/>
  <c r="N323" i="20"/>
  <c r="Z323" i="1"/>
  <c r="N324" i="20"/>
  <c r="Z324" i="1"/>
  <c r="N325" i="20"/>
  <c r="Z325" i="1"/>
  <c r="N326" i="20"/>
  <c r="Z326" i="1"/>
  <c r="N327" i="20"/>
  <c r="Z327" i="1"/>
  <c r="AA327"/>
  <c r="N328" i="20"/>
  <c r="Z328" i="1"/>
  <c r="AA328"/>
  <c r="N329" i="20"/>
  <c r="Z329" i="1"/>
  <c r="AA329"/>
  <c r="N330" i="20"/>
  <c r="Z330" i="1"/>
  <c r="AA330"/>
  <c r="N331" i="20"/>
  <c r="Z331" i="1"/>
  <c r="N332" i="20"/>
  <c r="Z332" i="1"/>
  <c r="N333" i="20"/>
  <c r="Z333" i="1"/>
  <c r="N334" i="20"/>
  <c r="Z334" i="1"/>
  <c r="N335" i="20"/>
  <c r="Z335" i="1"/>
  <c r="N336" i="20"/>
  <c r="Z336" i="1"/>
  <c r="AA336"/>
  <c r="N337" i="20"/>
  <c r="Z337" i="1"/>
  <c r="AA337"/>
  <c r="N338" i="20"/>
  <c r="Z338" i="1"/>
  <c r="N339" i="20"/>
  <c r="Z339" i="1"/>
  <c r="N340" i="20"/>
  <c r="Z340" i="1"/>
  <c r="N341" i="20"/>
  <c r="Z341" i="1"/>
  <c r="N342" i="20"/>
  <c r="Z342" i="1"/>
  <c r="N343" i="20"/>
  <c r="Z343" i="1"/>
  <c r="N344" i="20"/>
  <c r="Z344" i="1"/>
  <c r="N345" i="20"/>
  <c r="AA345" i="1"/>
  <c r="AP345" s="1"/>
  <c r="N346" i="20"/>
  <c r="Z346" i="1"/>
  <c r="N347" i="20"/>
  <c r="Z347" i="1"/>
  <c r="N348" i="20"/>
  <c r="Z348" i="1"/>
  <c r="N349" i="20"/>
  <c r="Z349" i="1"/>
  <c r="N350" i="20"/>
  <c r="N351"/>
  <c r="Z351" i="1"/>
  <c r="N352" i="20"/>
  <c r="Z352" i="1"/>
  <c r="N353" i="20"/>
  <c r="Z353" i="1"/>
  <c r="N354" i="20"/>
  <c r="Z354" i="1"/>
  <c r="N355" i="20"/>
  <c r="Z355" i="1"/>
  <c r="N356" i="20"/>
  <c r="Z356" i="1"/>
  <c r="N357" i="20"/>
  <c r="Z357" i="1"/>
  <c r="N358" i="20"/>
  <c r="Z358" i="1"/>
  <c r="N359" i="20"/>
  <c r="Z359" i="1"/>
  <c r="N360" i="20"/>
  <c r="Z360" i="1"/>
  <c r="N361" i="20"/>
  <c r="Z361" i="1"/>
  <c r="N362" i="20"/>
  <c r="Z362" i="1"/>
  <c r="N363" i="20"/>
  <c r="Z363" i="1"/>
  <c r="N364" i="20"/>
  <c r="AA364" i="1"/>
  <c r="N365" i="20"/>
  <c r="AA365" i="1"/>
  <c r="N366" i="20"/>
  <c r="N367"/>
  <c r="AA367" i="1"/>
  <c r="AP367" s="1"/>
  <c r="N368" i="20"/>
  <c r="Z368" i="1"/>
  <c r="N369" i="20"/>
  <c r="Z369" i="1"/>
  <c r="N370" i="20"/>
  <c r="Z370" i="1"/>
  <c r="N371" i="20"/>
  <c r="Z371" i="1"/>
  <c r="N372" i="20"/>
  <c r="Z372" i="1"/>
  <c r="N373" i="20"/>
  <c r="Z373" i="1"/>
  <c r="N374" i="20"/>
  <c r="Z374" i="1"/>
  <c r="N375" i="20"/>
  <c r="Z375" i="1"/>
  <c r="N376" i="20"/>
  <c r="Z376" i="1"/>
  <c r="N377" i="20"/>
  <c r="N378"/>
  <c r="Z378" i="1"/>
  <c r="N379" i="20"/>
  <c r="Z379" i="1"/>
  <c r="N380" i="20"/>
  <c r="AA380" i="1"/>
  <c r="N381" i="20"/>
  <c r="AA381" i="1"/>
  <c r="N382" i="20"/>
  <c r="AA382" i="1"/>
  <c r="N384" i="20"/>
  <c r="AA384" i="1"/>
  <c r="N385" i="20"/>
  <c r="Z385" i="1"/>
  <c r="AA385"/>
  <c r="N386" i="20"/>
  <c r="AA386" i="1"/>
  <c r="N387" i="20"/>
  <c r="Z387" i="1"/>
  <c r="N388" i="20"/>
  <c r="AA388" i="1"/>
  <c r="N389" i="20"/>
  <c r="Z389" i="1"/>
  <c r="AA389"/>
  <c r="N390" i="20"/>
  <c r="AA390" i="1"/>
  <c r="N391" i="20"/>
  <c r="Z391" i="1"/>
  <c r="N392" i="20"/>
  <c r="AA392" i="1"/>
  <c r="N393" i="20"/>
  <c r="Z393" i="1"/>
  <c r="AA393"/>
  <c r="N394" i="20"/>
  <c r="AA394" i="1"/>
  <c r="N395" i="20"/>
  <c r="Z395" i="1"/>
  <c r="N396" i="20"/>
  <c r="AA396" i="1"/>
  <c r="N397" i="20"/>
  <c r="Z397" i="1"/>
  <c r="AA397"/>
  <c r="N398" i="20"/>
  <c r="N399"/>
  <c r="Z399" i="1"/>
  <c r="N400" i="20"/>
  <c r="AA400" i="1"/>
  <c r="N401" i="20"/>
  <c r="Z401" i="1"/>
  <c r="N402" i="20"/>
  <c r="N403"/>
  <c r="N404"/>
  <c r="N405"/>
  <c r="N406"/>
  <c r="N407"/>
  <c r="N408"/>
  <c r="N409"/>
  <c r="N410"/>
  <c r="Z410" i="1"/>
  <c r="AA410"/>
  <c r="N411" i="20"/>
  <c r="Z411" i="1"/>
  <c r="AA411"/>
  <c r="N412" i="20"/>
  <c r="Z412" i="1"/>
  <c r="AA412"/>
  <c r="N413" i="20"/>
  <c r="Z413" i="1"/>
  <c r="AA413"/>
  <c r="N414" i="20"/>
  <c r="Z414" i="1"/>
  <c r="AA414"/>
  <c r="N415" i="20"/>
  <c r="Z415" i="1"/>
  <c r="N416" i="20"/>
  <c r="AA416" i="1"/>
  <c r="N417" i="20"/>
  <c r="Z417" i="1"/>
  <c r="AA417"/>
  <c r="N418" i="20"/>
  <c r="Z418" i="1"/>
  <c r="AA418"/>
  <c r="N419" i="20"/>
  <c r="Z419" i="1"/>
  <c r="AA419"/>
  <c r="N420" i="20"/>
  <c r="Z420" i="1"/>
  <c r="AA420"/>
  <c r="N421" i="20"/>
  <c r="Z421" i="1"/>
  <c r="AA421"/>
  <c r="N422" i="20"/>
  <c r="Z422" i="1"/>
  <c r="AO422" s="1"/>
  <c r="AA422"/>
  <c r="N423" i="20"/>
  <c r="Z423" i="1"/>
  <c r="AA423"/>
  <c r="N424" i="20"/>
  <c r="Z424" i="1"/>
  <c r="AA424"/>
  <c r="N425" i="20"/>
  <c r="Z425" i="1"/>
  <c r="AA425"/>
  <c r="N426" i="20"/>
  <c r="Z426" i="1"/>
  <c r="AA426"/>
  <c r="N427" i="20"/>
  <c r="Z427" i="1"/>
  <c r="AA427"/>
  <c r="N428" i="20"/>
  <c r="Z428" i="1"/>
  <c r="AA428"/>
  <c r="N429" i="20"/>
  <c r="Z429" i="1"/>
  <c r="AA429"/>
  <c r="N430" i="20"/>
  <c r="Z430" i="1"/>
  <c r="AA430"/>
  <c r="N431" i="20"/>
  <c r="Z431" i="1"/>
  <c r="AA431"/>
  <c r="N432" i="20"/>
  <c r="Z432" i="1"/>
  <c r="AA432"/>
  <c r="N433" i="20"/>
  <c r="Z433" i="1"/>
  <c r="AA433"/>
  <c r="N434" i="20"/>
  <c r="Z434" i="1"/>
  <c r="AA434"/>
  <c r="N435" i="20"/>
  <c r="Z435" i="1"/>
  <c r="AA435"/>
  <c r="N436" i="20"/>
  <c r="Z436" i="1"/>
  <c r="AA436"/>
  <c r="N437" i="20"/>
  <c r="Z437" i="1"/>
  <c r="AA437"/>
  <c r="N438" i="20"/>
  <c r="Z438" i="1"/>
  <c r="AA438"/>
  <c r="N439" i="20"/>
  <c r="Z439" i="1"/>
  <c r="AA439"/>
  <c r="N440" i="20"/>
  <c r="Z440" i="1"/>
  <c r="AO440" s="1"/>
  <c r="AA440"/>
  <c r="N441" i="20"/>
  <c r="Z441" i="1"/>
  <c r="AA441"/>
  <c r="N442" i="20"/>
  <c r="Z442" i="1"/>
  <c r="AA442"/>
  <c r="N443" i="20"/>
  <c r="Z443" i="1"/>
  <c r="AA443"/>
  <c r="N444" i="20"/>
  <c r="Z444" i="1"/>
  <c r="AA444"/>
  <c r="N445" i="20"/>
  <c r="Z445" i="1"/>
  <c r="AA445"/>
  <c r="N446" i="20"/>
  <c r="Z446" i="1"/>
  <c r="AO446" s="1"/>
  <c r="AA446"/>
  <c r="N447" i="20"/>
  <c r="Z447" i="1"/>
  <c r="AA447"/>
  <c r="N448" i="20"/>
  <c r="Z448" i="1"/>
  <c r="AA448"/>
  <c r="N449" i="20"/>
  <c r="Z449" i="1"/>
  <c r="AA449"/>
  <c r="N450" i="20"/>
  <c r="Z450" i="1"/>
  <c r="AA450"/>
  <c r="N451" i="20"/>
  <c r="Z451" i="1"/>
  <c r="AA451"/>
  <c r="N452" i="20"/>
  <c r="Z452" i="1"/>
  <c r="AA452"/>
  <c r="N453" i="20"/>
  <c r="Z453" i="1"/>
  <c r="AA453"/>
  <c r="N454" i="20"/>
  <c r="Z454" i="1"/>
  <c r="AA454"/>
  <c r="N455" i="20"/>
  <c r="Z455" i="1"/>
  <c r="AA455"/>
  <c r="N456" i="20"/>
  <c r="Z456" i="1"/>
  <c r="AA456"/>
  <c r="N457" i="20"/>
  <c r="Z457" i="1"/>
  <c r="AA457"/>
  <c r="N458" i="20"/>
  <c r="Z458" i="1"/>
  <c r="AA458"/>
  <c r="N459" i="20"/>
  <c r="AA459" i="1"/>
  <c r="N460" i="20"/>
  <c r="Z460" i="1"/>
  <c r="AA460"/>
  <c r="N461" i="20"/>
  <c r="Z461" i="1"/>
  <c r="AA461"/>
  <c r="N462" i="20"/>
  <c r="Z462" i="1"/>
  <c r="AA462"/>
  <c r="N463" i="20"/>
  <c r="Z463" i="1"/>
  <c r="AA463"/>
  <c r="N464" i="20"/>
  <c r="Z464" i="1"/>
  <c r="AA464"/>
  <c r="N465" i="20"/>
  <c r="Z465" i="1"/>
  <c r="AA465"/>
  <c r="N466" i="20"/>
  <c r="Z466" i="1"/>
  <c r="AA466"/>
  <c r="N467" i="20"/>
  <c r="Z467" i="1"/>
  <c r="AA467"/>
  <c r="N468" i="20"/>
  <c r="Z468" i="1"/>
  <c r="N469" i="20"/>
  <c r="Z469" i="1"/>
  <c r="AA469"/>
  <c r="N470" i="20"/>
  <c r="Z470" i="1"/>
  <c r="AA470"/>
  <c r="N471" i="20"/>
  <c r="Z471" i="1"/>
  <c r="AA471"/>
  <c r="N472" i="20"/>
  <c r="Z472" i="1"/>
  <c r="AA472"/>
  <c r="N473" i="20"/>
  <c r="Z473" i="1"/>
  <c r="AA473"/>
  <c r="N474" i="20"/>
  <c r="Z474" i="1"/>
  <c r="AA474"/>
  <c r="N475" i="20"/>
  <c r="Z475" i="1"/>
  <c r="AA475"/>
  <c r="N476" i="20"/>
  <c r="Z476" i="1"/>
  <c r="AA476"/>
  <c r="N477" i="20"/>
  <c r="Z477" i="1"/>
  <c r="AA477"/>
  <c r="N478" i="20"/>
  <c r="Z478" i="1"/>
  <c r="AA478"/>
  <c r="N479" i="20"/>
  <c r="Z479" i="1"/>
  <c r="AA479"/>
  <c r="N480" i="20"/>
  <c r="Z480" i="1"/>
  <c r="AA480"/>
  <c r="N481" i="20"/>
  <c r="Z481" i="1"/>
  <c r="AA481"/>
  <c r="N482" i="20"/>
  <c r="Z482" i="1"/>
  <c r="AA482"/>
  <c r="N483" i="20"/>
  <c r="Z483" i="1"/>
  <c r="AA483"/>
  <c r="N484" i="20"/>
  <c r="Z484" i="1"/>
  <c r="AA484"/>
  <c r="N485" i="20"/>
  <c r="Z485" i="1"/>
  <c r="AA485"/>
  <c r="N486" i="20"/>
  <c r="Z486" i="1"/>
  <c r="AA486"/>
  <c r="N487" i="20"/>
  <c r="Z487" i="1"/>
  <c r="AO487" s="1"/>
  <c r="AA487"/>
  <c r="N488" i="20"/>
  <c r="Z488" i="1"/>
  <c r="AA488"/>
  <c r="N489" i="20"/>
  <c r="Z489" i="1"/>
  <c r="AA489"/>
  <c r="N490" i="20"/>
  <c r="Z490" i="1"/>
  <c r="AA490"/>
  <c r="N491" i="20"/>
  <c r="Z491" i="1"/>
  <c r="AA491"/>
  <c r="N492" i="20"/>
  <c r="Z492" i="1"/>
  <c r="AA492"/>
  <c r="N493" i="20"/>
  <c r="Z493" i="1"/>
  <c r="AA493"/>
  <c r="N494" i="20"/>
  <c r="Z494" i="1"/>
  <c r="AA494"/>
  <c r="N495" i="20"/>
  <c r="Z495" i="1"/>
  <c r="AO495" s="1"/>
  <c r="AA495"/>
  <c r="N496" i="20"/>
  <c r="Z496" i="1"/>
  <c r="AA496"/>
  <c r="N497" i="20"/>
  <c r="Z497" i="1"/>
  <c r="AO497" s="1"/>
  <c r="AA497"/>
  <c r="N498" i="20"/>
  <c r="Z498" i="1"/>
  <c r="AA498"/>
  <c r="AP498" s="1"/>
  <c r="N499" i="20"/>
  <c r="Z499" i="1"/>
  <c r="AO499" s="1"/>
  <c r="AA499"/>
  <c r="N500" i="20"/>
  <c r="Z500" i="1"/>
  <c r="AA500"/>
  <c r="AP500" s="1"/>
  <c r="N501" i="20"/>
  <c r="Z501" i="1"/>
  <c r="AO501" s="1"/>
  <c r="AA501"/>
  <c r="N502" i="20"/>
  <c r="Z502" i="1"/>
  <c r="AA502"/>
  <c r="AP502" s="1"/>
  <c r="N503" i="20"/>
  <c r="Z503" i="1"/>
  <c r="AA503"/>
  <c r="N504" i="20"/>
  <c r="Z504" i="1"/>
  <c r="AA504"/>
  <c r="N505" i="20"/>
  <c r="Z505" i="1"/>
  <c r="AO505" s="1"/>
  <c r="AA505"/>
  <c r="N506" i="20"/>
  <c r="Z506" i="1"/>
  <c r="AA506"/>
  <c r="AP506" s="1"/>
  <c r="N507" i="20"/>
  <c r="Z507" i="1"/>
  <c r="AA507"/>
  <c r="N508" i="20"/>
  <c r="Z508" i="1"/>
  <c r="AA508"/>
  <c r="N509" i="20"/>
  <c r="Z509" i="1"/>
  <c r="AA509"/>
  <c r="N510" i="20"/>
  <c r="Z510" i="1"/>
  <c r="AA510"/>
  <c r="N511" i="20"/>
  <c r="Z511" i="1"/>
  <c r="AA511"/>
  <c r="N512" i="20"/>
  <c r="Z512" i="1"/>
  <c r="AA512"/>
  <c r="N513" i="20"/>
  <c r="Z513" i="1"/>
  <c r="AA513"/>
  <c r="N514" i="20"/>
  <c r="Z514" i="1"/>
  <c r="AA514"/>
  <c r="N515" i="20"/>
  <c r="Z515" i="1"/>
  <c r="AA515"/>
  <c r="N516" i="20"/>
  <c r="Z516" i="1"/>
  <c r="AA516"/>
  <c r="N517" i="20"/>
  <c r="Z517" i="1"/>
  <c r="AA517"/>
  <c r="N518" i="20"/>
  <c r="Z518" i="1"/>
  <c r="AA518"/>
  <c r="N519" i="20"/>
  <c r="Z519" i="1"/>
  <c r="AA519"/>
  <c r="N520" i="20"/>
  <c r="Z520" i="1"/>
  <c r="AA520"/>
  <c r="AP520" s="1"/>
  <c r="N521" i="20"/>
  <c r="Z521" i="1"/>
  <c r="AA521"/>
  <c r="N522" i="20"/>
  <c r="Z522" i="1"/>
  <c r="AA522"/>
  <c r="N523" i="20"/>
  <c r="Z523" i="1"/>
  <c r="N524" i="20"/>
  <c r="AA524" i="1"/>
  <c r="N525" i="20"/>
  <c r="Z525" i="1"/>
  <c r="N526" i="20"/>
  <c r="AA526" i="1"/>
  <c r="AP526" s="1"/>
  <c r="N527" i="20"/>
  <c r="Z527" i="1"/>
  <c r="N528" i="20"/>
  <c r="Z528" i="1"/>
  <c r="AO528" s="1"/>
  <c r="AA528"/>
  <c r="N529" i="20"/>
  <c r="Z529" i="1"/>
  <c r="AA529"/>
  <c r="N530" i="20"/>
  <c r="Z530" i="1"/>
  <c r="AA530"/>
  <c r="N531" i="20"/>
  <c r="Z531" i="1"/>
  <c r="N532" i="20"/>
  <c r="AA532" i="1"/>
  <c r="N533" i="20"/>
  <c r="Z533" i="1"/>
  <c r="N534" i="20"/>
  <c r="AA534" i="1"/>
  <c r="N535" i="20"/>
  <c r="Z535" i="1"/>
  <c r="N536" i="20"/>
  <c r="Z536" i="1"/>
  <c r="AA536"/>
  <c r="N537" i="20"/>
  <c r="Z537" i="1"/>
  <c r="AA537"/>
  <c r="N538" i="20"/>
  <c r="Z538" i="1"/>
  <c r="AA538"/>
  <c r="N539" i="20"/>
  <c r="Z539" i="1"/>
  <c r="N540" i="20"/>
  <c r="AA540" i="1"/>
  <c r="N541" i="20"/>
  <c r="Z541" i="1"/>
  <c r="AO541" s="1"/>
  <c r="N542" i="20"/>
  <c r="AA542" i="1"/>
  <c r="N543" i="20"/>
  <c r="Z543" i="1"/>
  <c r="AO543" s="1"/>
  <c r="N544" i="20"/>
  <c r="Z544" i="1"/>
  <c r="AO544" s="1"/>
  <c r="AA544"/>
  <c r="N545" i="20"/>
  <c r="Z545" i="1"/>
  <c r="AA545"/>
  <c r="N546" i="20"/>
  <c r="Z546" i="1"/>
  <c r="AA546"/>
  <c r="N547" i="20"/>
  <c r="Z547" i="1"/>
  <c r="N548" i="20"/>
  <c r="AA548" i="1"/>
  <c r="N549" i="20"/>
  <c r="Z549" i="1"/>
  <c r="N550" i="20"/>
  <c r="AA550" i="1"/>
  <c r="N551" i="20"/>
  <c r="Z551" i="1"/>
  <c r="AA552"/>
  <c r="AA553"/>
  <c r="N554" i="20"/>
  <c r="Z554" i="1"/>
  <c r="N555" i="20"/>
  <c r="AA555" i="1"/>
  <c r="N556" i="20"/>
  <c r="Z556" i="1"/>
  <c r="N557" i="20"/>
  <c r="AA557" i="1"/>
  <c r="AA558"/>
  <c r="AP558" s="1"/>
  <c r="AA559"/>
  <c r="N560" i="20"/>
  <c r="Z560" i="1"/>
  <c r="AA560"/>
  <c r="N561" i="20"/>
  <c r="Z561" i="1"/>
  <c r="AO561" s="1"/>
  <c r="AA561"/>
  <c r="N562" i="20"/>
  <c r="Z562" i="1"/>
  <c r="AA562"/>
  <c r="AP562" s="1"/>
  <c r="N563" i="20"/>
  <c r="AA563" i="1"/>
  <c r="N565" i="20"/>
  <c r="AA565" i="1"/>
  <c r="AP565" s="1"/>
  <c r="N566" i="20"/>
  <c r="N567"/>
  <c r="N568"/>
  <c r="N569"/>
  <c r="N570"/>
  <c r="N571"/>
  <c r="N572"/>
  <c r="N573"/>
  <c r="Z573" i="1"/>
  <c r="N574" i="20"/>
  <c r="Z574" i="1"/>
  <c r="N575" i="20"/>
  <c r="Z575" i="1"/>
  <c r="N576" i="20"/>
  <c r="AA576" i="1"/>
  <c r="N577" i="20"/>
  <c r="AA577" i="1"/>
  <c r="N578" i="20"/>
  <c r="AA578" i="1"/>
  <c r="N579" i="20"/>
  <c r="Z579" i="1"/>
  <c r="N580" i="20"/>
  <c r="AA580" i="1"/>
  <c r="N581" i="20"/>
  <c r="N582"/>
  <c r="Z582" i="1"/>
  <c r="AA582"/>
  <c r="N583" i="20"/>
  <c r="Z583" i="1"/>
  <c r="AA583"/>
  <c r="N584" i="20"/>
  <c r="Z584" i="1"/>
  <c r="AA584"/>
  <c r="N585" i="20"/>
  <c r="Z585" i="1"/>
  <c r="N586" i="20"/>
  <c r="Z586" i="1"/>
  <c r="N587" i="20"/>
  <c r="AA587" i="1"/>
  <c r="N588" i="20"/>
  <c r="Z588" i="1"/>
  <c r="N589" i="20"/>
  <c r="N590"/>
  <c r="Z590" i="1"/>
  <c r="AA590"/>
  <c r="N591" i="20"/>
  <c r="Z591" i="1"/>
  <c r="AA591"/>
  <c r="N592" i="20"/>
  <c r="Z592" i="1"/>
  <c r="AA592"/>
  <c r="N593" i="20"/>
  <c r="AA593" i="1"/>
  <c r="N594" i="20"/>
  <c r="AA594" i="1"/>
  <c r="N595" i="20"/>
  <c r="Z595" i="1"/>
  <c r="AA595"/>
  <c r="AP595" s="1"/>
  <c r="N596" i="20"/>
  <c r="Z596" i="1"/>
  <c r="AA596"/>
  <c r="N597" i="20"/>
  <c r="Z597" i="1"/>
  <c r="AA597"/>
  <c r="N598" i="20"/>
  <c r="Z598" i="1"/>
  <c r="AA598"/>
  <c r="N599" i="20"/>
  <c r="Z599" i="1"/>
  <c r="AA599"/>
  <c r="N600" i="20"/>
  <c r="N602"/>
  <c r="AA602" i="1"/>
  <c r="N603" i="20"/>
  <c r="Z603" i="1"/>
  <c r="N604" i="20"/>
  <c r="Z604" i="1"/>
  <c r="N605" i="20"/>
  <c r="Z605" i="1"/>
  <c r="AA605"/>
  <c r="N606" i="20"/>
  <c r="Z606" i="1"/>
  <c r="AA606"/>
  <c r="N607" i="20"/>
  <c r="Z607" i="1"/>
  <c r="AA607"/>
  <c r="N608" i="20"/>
  <c r="Z608" i="1"/>
  <c r="N609" i="20"/>
  <c r="Z609" i="1"/>
  <c r="N610" i="20"/>
  <c r="AA610" i="1"/>
  <c r="N611" i="20"/>
  <c r="AA611" i="1"/>
  <c r="N612" i="20"/>
  <c r="Z612" i="1"/>
  <c r="AA612"/>
  <c r="N613" i="20"/>
  <c r="Z613" i="1"/>
  <c r="AA613"/>
  <c r="N614" i="20"/>
  <c r="Z614" i="1"/>
  <c r="N615" i="20"/>
  <c r="Z615" i="1"/>
  <c r="N616" i="20"/>
  <c r="N617"/>
  <c r="Z617" i="1"/>
  <c r="AA617"/>
  <c r="N618" i="20"/>
  <c r="Z618" i="1"/>
  <c r="N619" i="20"/>
  <c r="Z619" i="1"/>
  <c r="N620" i="20"/>
  <c r="N621"/>
  <c r="Z621" i="1"/>
  <c r="N622" i="20"/>
  <c r="Z622" i="1"/>
  <c r="N623" i="20"/>
  <c r="Z623" i="1"/>
  <c r="AO623" s="1"/>
  <c r="N624" i="20"/>
  <c r="AA624" i="1"/>
  <c r="N625" i="20"/>
  <c r="Z625" i="1"/>
  <c r="N626" i="20"/>
  <c r="AA626" i="1"/>
  <c r="N627" i="20"/>
  <c r="Z627" i="1"/>
  <c r="N628" i="20"/>
  <c r="AA628" i="1"/>
  <c r="N629" i="20"/>
  <c r="Z629" i="1"/>
  <c r="N630" i="20"/>
  <c r="N631"/>
  <c r="Z631" i="1"/>
  <c r="AO631" s="1"/>
  <c r="N632" i="20"/>
  <c r="AA632" i="1"/>
  <c r="N633" i="20"/>
  <c r="Z633" i="1"/>
  <c r="N634" i="20"/>
  <c r="AA634" i="1"/>
  <c r="N635" i="20"/>
  <c r="Z635" i="1"/>
  <c r="N636" i="20"/>
  <c r="AA636" i="1"/>
  <c r="N637" i="20"/>
  <c r="Z637" i="1"/>
  <c r="N638" i="20"/>
  <c r="AA638" i="1"/>
  <c r="N639" i="20"/>
  <c r="Z639" i="1"/>
  <c r="N640" i="20"/>
  <c r="N641"/>
  <c r="Z641" i="1"/>
  <c r="N642" i="20"/>
  <c r="AA642" i="1"/>
  <c r="N643" i="20"/>
  <c r="Z643" i="1"/>
  <c r="N644" i="20"/>
  <c r="AA644" i="1"/>
  <c r="N645" i="20"/>
  <c r="Z645" i="1"/>
  <c r="N646" i="20"/>
  <c r="AA646" i="1"/>
  <c r="N647" i="20"/>
  <c r="Z647" i="1"/>
  <c r="N648" i="20"/>
  <c r="AA648" i="1"/>
  <c r="N649" i="20"/>
  <c r="Z649" i="1"/>
  <c r="N650" i="20"/>
  <c r="AA650" i="1"/>
  <c r="N651" i="20"/>
  <c r="Z651" i="1"/>
  <c r="N652" i="20"/>
  <c r="AA652" i="1"/>
  <c r="N653" i="20"/>
  <c r="Z653" i="1"/>
  <c r="N654" i="20"/>
  <c r="N655"/>
  <c r="Z655" i="1"/>
  <c r="AA655"/>
  <c r="N656" i="20"/>
  <c r="Z656" i="1"/>
  <c r="AA656"/>
  <c r="N657" i="20"/>
  <c r="Z657" i="1"/>
  <c r="AA657"/>
  <c r="N658" i="20"/>
  <c r="Z658" i="1"/>
  <c r="AA658"/>
  <c r="N659" i="20"/>
  <c r="Z659" i="1"/>
  <c r="AA659"/>
  <c r="N660" i="20"/>
  <c r="Z660" i="1"/>
  <c r="AA660"/>
  <c r="N661" i="20"/>
  <c r="Z661" i="1"/>
  <c r="AA661"/>
  <c r="N662" i="20"/>
  <c r="Z662" i="1"/>
  <c r="AA662"/>
  <c r="N663" i="20"/>
  <c r="Z663" i="1"/>
  <c r="AA663"/>
  <c r="N664" i="20"/>
  <c r="Z664" i="1"/>
  <c r="AA664"/>
  <c r="N665" i="20"/>
  <c r="Z665" i="1"/>
  <c r="AA665"/>
  <c r="N666" i="20"/>
  <c r="Z666" i="1"/>
  <c r="AA666"/>
  <c r="N667" i="20"/>
  <c r="N668"/>
  <c r="Z668" i="1"/>
  <c r="AA668"/>
  <c r="N669" i="20"/>
  <c r="Z669" i="1"/>
  <c r="AA669"/>
  <c r="N670" i="20"/>
  <c r="Z670" i="1"/>
  <c r="AA670"/>
  <c r="N671" i="20"/>
  <c r="Z671" i="1"/>
  <c r="AA671"/>
  <c r="N672" i="20"/>
  <c r="Z672" i="1"/>
  <c r="AA672"/>
  <c r="N673" i="20"/>
  <c r="Z673" i="1"/>
  <c r="AA673"/>
  <c r="N674" i="20"/>
  <c r="Z674" i="1"/>
  <c r="AA674"/>
  <c r="N675" i="20"/>
  <c r="Z675" i="1"/>
  <c r="AA675"/>
  <c r="N676" i="20"/>
  <c r="Z676" i="1"/>
  <c r="AA676"/>
  <c r="N677" i="20"/>
  <c r="Z677" i="1"/>
  <c r="AA677"/>
  <c r="N678" i="20"/>
  <c r="Z678" i="1"/>
  <c r="AA678"/>
  <c r="N679" i="20"/>
  <c r="Z679" i="1"/>
  <c r="AA679"/>
  <c r="N680" i="20"/>
  <c r="Z680" i="1"/>
  <c r="AA680"/>
  <c r="N681" i="20"/>
  <c r="Z681" i="1"/>
  <c r="AA681"/>
  <c r="N682" i="20"/>
  <c r="Z682" i="1"/>
  <c r="AA682"/>
  <c r="N683" i="20"/>
  <c r="Z683" i="1"/>
  <c r="AA683"/>
  <c r="N684" i="20"/>
  <c r="Z684" i="1"/>
  <c r="AA684"/>
  <c r="N685" i="20"/>
  <c r="Z685" i="1"/>
  <c r="AA685"/>
  <c r="N686" i="20"/>
  <c r="Z686" i="1"/>
  <c r="AA686"/>
  <c r="N687" i="20"/>
  <c r="Z687" i="1"/>
  <c r="AA687"/>
  <c r="N688" i="20"/>
  <c r="Z688" i="1"/>
  <c r="AA688"/>
  <c r="N689" i="20"/>
  <c r="Z689" i="1"/>
  <c r="AA689"/>
  <c r="N690" i="20"/>
  <c r="Z690" i="1"/>
  <c r="AA690"/>
  <c r="N691" i="20"/>
  <c r="Z691" i="1"/>
  <c r="AA691"/>
  <c r="N692" i="20"/>
  <c r="Z692" i="1"/>
  <c r="AA692"/>
  <c r="N693" i="20"/>
  <c r="Z693" i="1"/>
  <c r="AA693"/>
  <c r="N694" i="20"/>
  <c r="Z694" i="1"/>
  <c r="AA694"/>
  <c r="N695" i="20"/>
  <c r="Z695" i="1"/>
  <c r="AA695"/>
  <c r="N696" i="20"/>
  <c r="Z696" i="1"/>
  <c r="AA696"/>
  <c r="N697" i="20"/>
  <c r="Z697" i="1"/>
  <c r="AA697"/>
  <c r="N698" i="20"/>
  <c r="Z698" i="1"/>
  <c r="AA698"/>
  <c r="N699" i="20"/>
  <c r="Z699" i="1"/>
  <c r="AA699"/>
  <c r="N700" i="20"/>
  <c r="Z700" i="1"/>
  <c r="AA700"/>
  <c r="N701" i="20"/>
  <c r="Z701" i="1"/>
  <c r="AA701"/>
  <c r="N702" i="20"/>
  <c r="Z702" i="1"/>
  <c r="AA702"/>
  <c r="N703" i="20"/>
  <c r="Z703" i="1"/>
  <c r="AA703"/>
  <c r="N704" i="20"/>
  <c r="N705"/>
  <c r="N706"/>
  <c r="Z706" i="1"/>
  <c r="AA706"/>
  <c r="N707" i="20"/>
  <c r="Z707" i="1"/>
  <c r="AA707"/>
  <c r="N708" i="20"/>
  <c r="Z708" i="1"/>
  <c r="AA708"/>
  <c r="N709" i="20"/>
  <c r="Z709" i="1"/>
  <c r="AA709"/>
  <c r="N710" i="20"/>
  <c r="Z710" i="1"/>
  <c r="AA710"/>
  <c r="N711" i="20"/>
  <c r="Z711" i="1"/>
  <c r="AA711"/>
  <c r="N712" i="20"/>
  <c r="Z712" i="1"/>
  <c r="AA712"/>
  <c r="N713" i="20"/>
  <c r="Z713" i="1"/>
  <c r="AA713"/>
  <c r="N714" i="20"/>
  <c r="Z714" i="1"/>
  <c r="AA714"/>
  <c r="N715" i="20"/>
  <c r="Z715" i="1"/>
  <c r="AA715"/>
  <c r="N716" i="20"/>
  <c r="Z716" i="1"/>
  <c r="AA716"/>
  <c r="N717" i="20"/>
  <c r="Z717" i="1"/>
  <c r="AA717"/>
  <c r="N718" i="20"/>
  <c r="Z718" i="1"/>
  <c r="AA718"/>
  <c r="N719" i="20"/>
  <c r="Z719" i="1"/>
  <c r="AA719"/>
  <c r="N720" i="20"/>
  <c r="Z720" i="1"/>
  <c r="AA720"/>
  <c r="N721" i="20"/>
  <c r="Z721" i="1"/>
  <c r="AA721"/>
  <c r="N722" i="20"/>
  <c r="Z722" i="1"/>
  <c r="AA722"/>
  <c r="N723" i="20"/>
  <c r="Z723" i="1"/>
  <c r="AA723"/>
  <c r="N724" i="20"/>
  <c r="Z724" i="1"/>
  <c r="AA724"/>
  <c r="N725" i="20"/>
  <c r="Z725" i="1"/>
  <c r="AA725"/>
  <c r="N726" i="20"/>
  <c r="Z726" i="1"/>
  <c r="AA726"/>
  <c r="N727" i="20"/>
  <c r="Z727" i="1"/>
  <c r="AA727"/>
  <c r="N728" i="20"/>
  <c r="Z728" i="1"/>
  <c r="AA728"/>
  <c r="N729" i="20"/>
  <c r="Z729" i="1"/>
  <c r="AA729"/>
  <c r="N730" i="20"/>
  <c r="Z730" i="1"/>
  <c r="AA730"/>
  <c r="N731" i="20"/>
  <c r="Z731" i="1"/>
  <c r="AA731"/>
  <c r="N732" i="20"/>
  <c r="Z732" i="1"/>
  <c r="AA732"/>
  <c r="N733" i="20"/>
  <c r="Z733" i="1"/>
  <c r="AA733"/>
  <c r="N734" i="20"/>
  <c r="Z734" i="1"/>
  <c r="AA734"/>
  <c r="N735" i="20"/>
  <c r="Z735" i="1"/>
  <c r="AA735"/>
  <c r="N736" i="20"/>
  <c r="Z736" i="1"/>
  <c r="AA736"/>
  <c r="N737" i="20"/>
  <c r="Z737" i="1"/>
  <c r="AA737"/>
  <c r="N738" i="20"/>
  <c r="Z738" i="1"/>
  <c r="AA738"/>
  <c r="N739" i="20"/>
  <c r="Z739" i="1"/>
  <c r="AA739"/>
  <c r="N740" i="20"/>
  <c r="Z740" i="1"/>
  <c r="AA740"/>
  <c r="N741" i="20"/>
  <c r="Z741" i="1"/>
  <c r="AA741"/>
  <c r="N742" i="20"/>
  <c r="Z742" i="1"/>
  <c r="AA742"/>
  <c r="N743" i="20"/>
  <c r="Z743" i="1"/>
  <c r="AA743"/>
  <c r="N744" i="20"/>
  <c r="Z744" i="1"/>
  <c r="AA744"/>
  <c r="N745" i="20"/>
  <c r="Z745" i="1"/>
  <c r="AA745"/>
  <c r="N746" i="20"/>
  <c r="Z746" i="1"/>
  <c r="AA746"/>
  <c r="N747" i="20"/>
  <c r="Z747" i="1"/>
  <c r="AA747"/>
  <c r="N748" i="20"/>
  <c r="Z748" i="1"/>
  <c r="AA748"/>
  <c r="N749" i="20"/>
  <c r="Z749" i="1"/>
  <c r="AA749"/>
  <c r="N750" i="20"/>
  <c r="Z750" i="1"/>
  <c r="AA750"/>
  <c r="N751" i="20"/>
  <c r="Z751" i="1"/>
  <c r="AA751"/>
  <c r="N752" i="20"/>
  <c r="Z752" i="1"/>
  <c r="AA752"/>
  <c r="N753" i="20"/>
  <c r="Z753" i="1"/>
  <c r="AA753"/>
  <c r="N754" i="20"/>
  <c r="Z754" i="1"/>
  <c r="AA754"/>
  <c r="N755" i="20"/>
  <c r="Z755" i="1"/>
  <c r="AA755"/>
  <c r="N756" i="20"/>
  <c r="Z756" i="1"/>
  <c r="AA756"/>
  <c r="N757" i="20"/>
  <c r="Z757" i="1"/>
  <c r="AA757"/>
  <c r="N758" i="20"/>
  <c r="Z758" i="1"/>
  <c r="AA758"/>
  <c r="N759" i="20"/>
  <c r="Z759" i="1"/>
  <c r="AA759"/>
  <c r="N760" i="20"/>
  <c r="Z760" i="1"/>
  <c r="AO760" s="1"/>
  <c r="AA760"/>
  <c r="N761" i="20"/>
  <c r="AA761" i="1"/>
  <c r="N762" i="20"/>
  <c r="Z762" i="1"/>
  <c r="AA762"/>
  <c r="N763" i="20"/>
  <c r="Z763" i="1"/>
  <c r="AA763"/>
  <c r="N764" i="20"/>
  <c r="Z764" i="1"/>
  <c r="AA764"/>
  <c r="N765" i="20"/>
  <c r="Z765" i="1"/>
  <c r="AA765"/>
  <c r="N766" i="20"/>
  <c r="Z766" i="1"/>
  <c r="AA766"/>
  <c r="N767" i="20"/>
  <c r="Z767" i="1"/>
  <c r="AA767"/>
  <c r="N768" i="20"/>
  <c r="Z768" i="1"/>
  <c r="AA768"/>
  <c r="N769" i="20"/>
  <c r="Z769" i="1"/>
  <c r="AA769"/>
  <c r="N770" i="20"/>
  <c r="Z770" i="1"/>
  <c r="AA770"/>
  <c r="N771" i="20"/>
  <c r="Z771" i="1"/>
  <c r="AA771"/>
  <c r="N772" i="20"/>
  <c r="Z772" i="1"/>
  <c r="AA772"/>
  <c r="N773" i="20"/>
  <c r="Z773" i="1"/>
  <c r="AA773"/>
  <c r="N774" i="20"/>
  <c r="Z774" i="1"/>
  <c r="AA774"/>
  <c r="N775" i="20"/>
  <c r="Z775" i="1"/>
  <c r="AA775"/>
  <c r="N776" i="20"/>
  <c r="Z776" i="1"/>
  <c r="AA776"/>
  <c r="N777" i="20"/>
  <c r="Z777" i="1"/>
  <c r="AA777"/>
  <c r="N778" i="20"/>
  <c r="Z778" i="1"/>
  <c r="AA778"/>
  <c r="N779" i="20"/>
  <c r="Z779" i="1"/>
  <c r="AA779"/>
  <c r="N780" i="20"/>
  <c r="Z780" i="1"/>
  <c r="AA780"/>
  <c r="N781" i="20"/>
  <c r="Z781" i="1"/>
  <c r="AA781"/>
  <c r="N782" i="20"/>
  <c r="Z782" i="1"/>
  <c r="AA782"/>
  <c r="N783" i="20"/>
  <c r="Z783" i="1"/>
  <c r="AA783"/>
  <c r="N784" i="20"/>
  <c r="Z784" i="1"/>
  <c r="AA784"/>
  <c r="N785" i="20"/>
  <c r="Z785" i="1"/>
  <c r="AA785"/>
  <c r="N786" i="20"/>
  <c r="Z786" i="1"/>
  <c r="AA786"/>
  <c r="N787" i="20"/>
  <c r="Z787" i="1"/>
  <c r="AA787"/>
  <c r="N788" i="20"/>
  <c r="Z788" i="1"/>
  <c r="AA788"/>
  <c r="N789" i="20"/>
  <c r="Z789" i="1"/>
  <c r="N790" i="20"/>
  <c r="Z790" i="1"/>
  <c r="AA790"/>
  <c r="N791" i="20"/>
  <c r="Z791" i="1"/>
  <c r="AA791"/>
  <c r="N792" i="20"/>
  <c r="Z792" i="1"/>
  <c r="AA792"/>
  <c r="N793" i="20"/>
  <c r="Z793" i="1"/>
  <c r="AA793"/>
  <c r="N794" i="20"/>
  <c r="Z794" i="1"/>
  <c r="AA794"/>
  <c r="N795" i="20"/>
  <c r="Z795" i="1"/>
  <c r="AA795"/>
  <c r="N796" i="20"/>
  <c r="Z796" i="1"/>
  <c r="AA796"/>
  <c r="N797" i="20"/>
  <c r="Z797" i="1"/>
  <c r="AA797"/>
  <c r="N798" i="20"/>
  <c r="Z798" i="1"/>
  <c r="AA798"/>
  <c r="N799" i="20"/>
  <c r="Z799" i="1"/>
  <c r="AA799"/>
  <c r="N800" i="20"/>
  <c r="Z800" i="1"/>
  <c r="AA800"/>
  <c r="G92" i="29" s="1"/>
  <c r="G92" i="30" s="1"/>
  <c r="N801" i="20"/>
  <c r="Z801" i="1"/>
  <c r="AA801"/>
  <c r="N802" i="20"/>
  <c r="Z802" i="1"/>
  <c r="AA802"/>
  <c r="N803" i="20"/>
  <c r="Z803" i="1"/>
  <c r="AA803"/>
  <c r="N804" i="20"/>
  <c r="Z804" i="1"/>
  <c r="AA804"/>
  <c r="N805" i="20"/>
  <c r="Z805" i="1"/>
  <c r="AA805"/>
  <c r="N806" i="20"/>
  <c r="Z806" i="1"/>
  <c r="AA806"/>
  <c r="N807" i="20"/>
  <c r="Z807" i="1"/>
  <c r="AA807"/>
  <c r="N808" i="20"/>
  <c r="Z808" i="1"/>
  <c r="AA808"/>
  <c r="N809" i="20"/>
  <c r="Z809" i="1"/>
  <c r="AA809"/>
  <c r="N810" i="20"/>
  <c r="Z810" i="1"/>
  <c r="AA810"/>
  <c r="N811" i="20"/>
  <c r="Z811" i="1"/>
  <c r="AA811"/>
  <c r="N812" i="20"/>
  <c r="Z812" i="1"/>
  <c r="AA812"/>
  <c r="N813" i="20"/>
  <c r="Z813" i="1"/>
  <c r="AA813"/>
  <c r="N814" i="20"/>
  <c r="Z814" i="1"/>
  <c r="AA814"/>
  <c r="N815" i="20"/>
  <c r="Z815" i="1"/>
  <c r="AA815"/>
  <c r="N816" i="20"/>
  <c r="Z816" i="1"/>
  <c r="AA816"/>
  <c r="N817" i="20"/>
  <c r="Z817" i="1"/>
  <c r="AA817"/>
  <c r="N818" i="20"/>
  <c r="Z818" i="1"/>
  <c r="AA818"/>
  <c r="N819" i="20"/>
  <c r="Z819" i="1"/>
  <c r="AA819"/>
  <c r="N820" i="20"/>
  <c r="Z820" i="1"/>
  <c r="AA820"/>
  <c r="N821" i="20"/>
  <c r="Z821" i="1"/>
  <c r="AA821"/>
  <c r="N822" i="20"/>
  <c r="Z822" i="1"/>
  <c r="AA822"/>
  <c r="N823" i="20"/>
  <c r="Z823" i="1"/>
  <c r="AA823"/>
  <c r="N824" i="20"/>
  <c r="Z824" i="1"/>
  <c r="AA824"/>
  <c r="N825" i="20"/>
  <c r="Z825" i="1"/>
  <c r="AA825"/>
  <c r="N826" i="20"/>
  <c r="Z826" i="1"/>
  <c r="AA826"/>
  <c r="N827" i="20"/>
  <c r="Z827" i="1"/>
  <c r="AA827"/>
  <c r="N828" i="20"/>
  <c r="Z828" i="1"/>
  <c r="AA828"/>
  <c r="O829" i="20"/>
  <c r="P829"/>
  <c r="N832"/>
  <c r="Z832" i="1"/>
  <c r="N833" i="20"/>
  <c r="Z833" i="1"/>
  <c r="N834" i="20"/>
  <c r="Z834" i="1"/>
  <c r="N835" i="20"/>
  <c r="N836"/>
  <c r="N837"/>
  <c r="Z837" i="1"/>
  <c r="N838" i="20"/>
  <c r="Z838" i="1"/>
  <c r="N839" i="20"/>
  <c r="Z839" i="1"/>
  <c r="N840" i="20"/>
  <c r="Z840" i="1"/>
  <c r="N841" i="20"/>
  <c r="Z841" i="1"/>
  <c r="N842" i="20"/>
  <c r="N843"/>
  <c r="N844"/>
  <c r="N845"/>
  <c r="N846"/>
  <c r="Z846" i="1"/>
  <c r="N847" i="20"/>
  <c r="N848"/>
  <c r="AA848" i="1"/>
  <c r="N849" i="20"/>
  <c r="Z849" i="1"/>
  <c r="AA849"/>
  <c r="N850" i="20"/>
  <c r="Z850" i="1"/>
  <c r="AA850"/>
  <c r="N851" i="20"/>
  <c r="Z851" i="1"/>
  <c r="AA851"/>
  <c r="N852" i="20"/>
  <c r="Z852" i="1"/>
  <c r="AA852"/>
  <c r="N853" i="20"/>
  <c r="Z853" i="1"/>
  <c r="AA853"/>
  <c r="N854" i="20"/>
  <c r="Z854" i="1"/>
  <c r="AA854"/>
  <c r="N855" i="20"/>
  <c r="Z855" i="1"/>
  <c r="AA855"/>
  <c r="N856" i="20"/>
  <c r="Z856" i="1"/>
  <c r="AA856"/>
  <c r="N857" i="20"/>
  <c r="Z857" i="1"/>
  <c r="AA857"/>
  <c r="N858" i="20"/>
  <c r="Z858" i="1"/>
  <c r="N859" i="20"/>
  <c r="Z859" i="1"/>
  <c r="N860" i="20"/>
  <c r="Z860" i="1"/>
  <c r="N861" i="20"/>
  <c r="Z861" i="1"/>
  <c r="N862" i="20"/>
  <c r="Z862" i="1"/>
  <c r="N863" i="20"/>
  <c r="Z863" i="1"/>
  <c r="N864" i="20"/>
  <c r="Z864" i="1"/>
  <c r="N865" i="20"/>
  <c r="Z865" i="1"/>
  <c r="N866" i="20"/>
  <c r="Z866" i="1"/>
  <c r="N867" i="20"/>
  <c r="Z867" i="1"/>
  <c r="N868" i="20"/>
  <c r="AA868" i="1"/>
  <c r="N869" i="20"/>
  <c r="N870"/>
  <c r="N871"/>
  <c r="N872"/>
  <c r="AA872" i="1"/>
  <c r="N873" i="20"/>
  <c r="N874"/>
  <c r="N875"/>
  <c r="AA875" i="1"/>
  <c r="N876" i="20"/>
  <c r="Z876" i="1"/>
  <c r="AA876"/>
  <c r="N877" i="20"/>
  <c r="Z877" i="1"/>
  <c r="AA877"/>
  <c r="N878" i="20"/>
  <c r="Z878" i="1"/>
  <c r="AA878"/>
  <c r="N879" i="20"/>
  <c r="Z879" i="1"/>
  <c r="AA879"/>
  <c r="N880" i="20"/>
  <c r="Z880" i="1"/>
  <c r="AA880"/>
  <c r="N881" i="20"/>
  <c r="Z881" i="1"/>
  <c r="AA881"/>
  <c r="N882" i="20"/>
  <c r="Z882" i="1"/>
  <c r="AA882"/>
  <c r="N883" i="20"/>
  <c r="Z883" i="1"/>
  <c r="AA883"/>
  <c r="N884" i="20"/>
  <c r="Z884" i="1"/>
  <c r="N885" i="20"/>
  <c r="N886"/>
  <c r="N887"/>
  <c r="Z887" i="1"/>
  <c r="O888" i="20"/>
  <c r="P888"/>
  <c r="Q888"/>
  <c r="R888"/>
  <c r="P898"/>
  <c r="P899"/>
  <c r="P904"/>
  <c r="P905"/>
  <c r="T905"/>
  <c r="P907"/>
  <c r="P908"/>
  <c r="P910"/>
  <c r="P911"/>
  <c r="A1" i="8"/>
  <c r="B5" s="1"/>
  <c r="G1"/>
  <c r="K1"/>
  <c r="H5"/>
  <c r="L5"/>
  <c r="M5"/>
  <c r="B75"/>
  <c r="B76"/>
  <c r="B77"/>
  <c r="B78"/>
  <c r="A1" i="4"/>
  <c r="B5" s="1"/>
  <c r="G1"/>
  <c r="K1"/>
  <c r="J5"/>
  <c r="J5" i="8" s="1"/>
  <c r="M5" i="4"/>
  <c r="E13"/>
  <c r="E13" i="8" s="1"/>
  <c r="K13" i="4"/>
  <c r="K13" i="8" s="1"/>
  <c r="E14" i="4"/>
  <c r="E14" i="8" s="1"/>
  <c r="K14" i="4"/>
  <c r="K14" i="8" s="1"/>
  <c r="E15" i="4"/>
  <c r="E15" i="8" s="1"/>
  <c r="K15" i="4"/>
  <c r="K15" i="8" s="1"/>
  <c r="E16" i="4"/>
  <c r="E16" i="8" s="1"/>
  <c r="K16" i="4"/>
  <c r="K16" i="8" s="1"/>
  <c r="E17" i="4"/>
  <c r="E17" i="8" s="1"/>
  <c r="D17" i="4"/>
  <c r="D17" i="8" s="1"/>
  <c r="K17" i="4"/>
  <c r="K17" i="8" s="1"/>
  <c r="E18" i="4"/>
  <c r="E18" i="8" s="1"/>
  <c r="D18" i="4"/>
  <c r="D18" i="8" s="1"/>
  <c r="K18" i="4"/>
  <c r="K18" i="8" s="1"/>
  <c r="E19" i="4"/>
  <c r="E19" i="8" s="1"/>
  <c r="K19" i="4"/>
  <c r="K19" i="8" s="1"/>
  <c r="E22" i="4"/>
  <c r="E22" i="8" s="1"/>
  <c r="K22" i="4"/>
  <c r="K22" i="8" s="1"/>
  <c r="E24" i="4"/>
  <c r="E24" i="8" s="1"/>
  <c r="K24" i="4"/>
  <c r="K24" i="8" s="1"/>
  <c r="E25" i="4"/>
  <c r="K25"/>
  <c r="K25" i="8" s="1"/>
  <c r="E31" i="4"/>
  <c r="E31" i="8" s="1"/>
  <c r="K31" i="4"/>
  <c r="K31" i="8" s="1"/>
  <c r="E32" i="4"/>
  <c r="E32" i="8" s="1"/>
  <c r="K32" i="4"/>
  <c r="K32" i="8" s="1"/>
  <c r="E33" i="4"/>
  <c r="E33" i="8" s="1"/>
  <c r="K33" i="4"/>
  <c r="K33" i="8" s="1"/>
  <c r="E44" i="4"/>
  <c r="E44" i="8" s="1"/>
  <c r="K44" i="4"/>
  <c r="K44" i="8" s="1"/>
  <c r="E48" i="4"/>
  <c r="E48" i="8" s="1"/>
  <c r="K48" i="4"/>
  <c r="K48" i="8" s="1"/>
  <c r="E49" i="4"/>
  <c r="E49" i="8" s="1"/>
  <c r="K49" i="4"/>
  <c r="K49" i="8" s="1"/>
  <c r="E55" i="4"/>
  <c r="E55" i="8" s="1"/>
  <c r="K55" i="4"/>
  <c r="E70"/>
  <c r="E70" i="8" s="1"/>
  <c r="K70" i="4"/>
  <c r="K70" i="8" s="1"/>
  <c r="J70" i="4"/>
  <c r="J70" i="8" s="1"/>
  <c r="B75" i="4"/>
  <c r="B76"/>
  <c r="B77"/>
  <c r="B78"/>
  <c r="B79"/>
  <c r="B80"/>
  <c r="B81"/>
  <c r="B82"/>
  <c r="E78"/>
  <c r="K78"/>
  <c r="K78" i="8" s="1"/>
  <c r="E79" i="4"/>
  <c r="K79"/>
  <c r="E80"/>
  <c r="K80"/>
  <c r="E81"/>
  <c r="K81"/>
  <c r="E85"/>
  <c r="E85" i="8"/>
  <c r="K85" i="4"/>
  <c r="K85" i="8" s="1"/>
  <c r="E86" i="4"/>
  <c r="E86" i="8" s="1"/>
  <c r="K86" i="4"/>
  <c r="K86" i="8" s="1"/>
  <c r="E92" i="4"/>
  <c r="K92"/>
  <c r="K92" i="8" s="1"/>
  <c r="A1" i="7"/>
  <c r="H5" s="1"/>
  <c r="G1"/>
  <c r="K1"/>
  <c r="N1"/>
  <c r="E5"/>
  <c r="M5"/>
  <c r="M12"/>
  <c r="N12"/>
  <c r="M13"/>
  <c r="N13"/>
  <c r="D14"/>
  <c r="D76" s="1"/>
  <c r="E14"/>
  <c r="G14"/>
  <c r="H14"/>
  <c r="J14"/>
  <c r="K14"/>
  <c r="M16"/>
  <c r="N16"/>
  <c r="M17"/>
  <c r="N17"/>
  <c r="M18"/>
  <c r="N18"/>
  <c r="M19"/>
  <c r="N19"/>
  <c r="M20"/>
  <c r="N20"/>
  <c r="M21"/>
  <c r="N21"/>
  <c r="D22"/>
  <c r="E22"/>
  <c r="G22"/>
  <c r="H22"/>
  <c r="J22"/>
  <c r="J78" s="1"/>
  <c r="K22"/>
  <c r="M24"/>
  <c r="N24"/>
  <c r="M25"/>
  <c r="N25"/>
  <c r="M26"/>
  <c r="N26"/>
  <c r="M27"/>
  <c r="N27"/>
  <c r="M28"/>
  <c r="N28"/>
  <c r="M29"/>
  <c r="N29"/>
  <c r="D30"/>
  <c r="D80" s="1"/>
  <c r="E30"/>
  <c r="G30"/>
  <c r="H30"/>
  <c r="J30"/>
  <c r="J80" s="1"/>
  <c r="K30"/>
  <c r="M41"/>
  <c r="N41"/>
  <c r="M42"/>
  <c r="N42"/>
  <c r="D43"/>
  <c r="E43"/>
  <c r="G43"/>
  <c r="H43"/>
  <c r="J43"/>
  <c r="J82"/>
  <c r="J39" s="1"/>
  <c r="K43"/>
  <c r="M45"/>
  <c r="N45"/>
  <c r="M46"/>
  <c r="N46"/>
  <c r="D47"/>
  <c r="D84" s="1"/>
  <c r="E47"/>
  <c r="G47"/>
  <c r="H47"/>
  <c r="J47"/>
  <c r="J84"/>
  <c r="J44" s="1"/>
  <c r="K47"/>
  <c r="K84"/>
  <c r="K44" s="1"/>
  <c r="M49"/>
  <c r="N49"/>
  <c r="M50"/>
  <c r="N50"/>
  <c r="D51"/>
  <c r="D86" s="1"/>
  <c r="E51"/>
  <c r="G51"/>
  <c r="H51"/>
  <c r="J51"/>
  <c r="J86"/>
  <c r="J48" s="1"/>
  <c r="K51"/>
  <c r="K86"/>
  <c r="K48"/>
  <c r="M53"/>
  <c r="N53"/>
  <c r="M54"/>
  <c r="N54"/>
  <c r="M55"/>
  <c r="N55"/>
  <c r="D56"/>
  <c r="D88" s="1"/>
  <c r="E56"/>
  <c r="G56"/>
  <c r="H56"/>
  <c r="J56"/>
  <c r="J88"/>
  <c r="J52" s="1"/>
  <c r="K56"/>
  <c r="K88"/>
  <c r="K52" s="1"/>
  <c r="D72"/>
  <c r="AK6" i="1"/>
  <c r="Q8"/>
  <c r="S8"/>
  <c r="X8"/>
  <c r="Z8"/>
  <c r="N10"/>
  <c r="E12"/>
  <c r="N14"/>
  <c r="AJ14"/>
  <c r="S14"/>
  <c r="T14"/>
  <c r="D63" i="4"/>
  <c r="D63" i="8" s="1"/>
  <c r="V14" i="1"/>
  <c r="W14"/>
  <c r="X14"/>
  <c r="Y14"/>
  <c r="AN14" s="1"/>
  <c r="AG14"/>
  <c r="AH14"/>
  <c r="J63" i="4"/>
  <c r="N15" i="1"/>
  <c r="AJ15"/>
  <c r="S15"/>
  <c r="T15"/>
  <c r="AM15"/>
  <c r="AG15"/>
  <c r="AH15"/>
  <c r="AN15"/>
  <c r="N16"/>
  <c r="AJ16"/>
  <c r="N17"/>
  <c r="AJ17"/>
  <c r="T17"/>
  <c r="AT17"/>
  <c r="N18"/>
  <c r="AJ18"/>
  <c r="AN18"/>
  <c r="N19"/>
  <c r="AJ19"/>
  <c r="T19"/>
  <c r="AP19"/>
  <c r="AT19" s="1"/>
  <c r="N20"/>
  <c r="AJ20"/>
  <c r="T20"/>
  <c r="AP20"/>
  <c r="N21"/>
  <c r="AJ21"/>
  <c r="AM21"/>
  <c r="N22"/>
  <c r="AJ22"/>
  <c r="T22"/>
  <c r="AP22"/>
  <c r="AT22" s="1"/>
  <c r="AM22"/>
  <c r="AN22"/>
  <c r="N23"/>
  <c r="AJ23"/>
  <c r="AK23"/>
  <c r="AR23" s="1"/>
  <c r="AN23"/>
  <c r="N24"/>
  <c r="AJ24"/>
  <c r="S24"/>
  <c r="AO24"/>
  <c r="T24"/>
  <c r="AP24"/>
  <c r="N25"/>
  <c r="AJ25"/>
  <c r="S25"/>
  <c r="T25"/>
  <c r="AP25"/>
  <c r="AM25"/>
  <c r="N26"/>
  <c r="AJ26"/>
  <c r="T26"/>
  <c r="AP26"/>
  <c r="N27"/>
  <c r="AJ27"/>
  <c r="N28"/>
  <c r="AJ28"/>
  <c r="N29"/>
  <c r="AJ29"/>
  <c r="N30"/>
  <c r="AJ30"/>
  <c r="N31"/>
  <c r="AJ31"/>
  <c r="N32"/>
  <c r="AJ32"/>
  <c r="N33"/>
  <c r="AJ33"/>
  <c r="N34"/>
  <c r="AJ34"/>
  <c r="N35"/>
  <c r="AJ35"/>
  <c r="N36"/>
  <c r="AJ36"/>
  <c r="N37"/>
  <c r="AJ37"/>
  <c r="N38"/>
  <c r="AJ38"/>
  <c r="N39"/>
  <c r="AJ39"/>
  <c r="N40"/>
  <c r="AJ40"/>
  <c r="N41"/>
  <c r="AJ41"/>
  <c r="N42"/>
  <c r="AJ42"/>
  <c r="N43"/>
  <c r="AJ43"/>
  <c r="N44"/>
  <c r="AJ44"/>
  <c r="N45"/>
  <c r="AJ45"/>
  <c r="N46"/>
  <c r="AJ46"/>
  <c r="N47"/>
  <c r="AJ47"/>
  <c r="N48"/>
  <c r="AJ48"/>
  <c r="N49"/>
  <c r="AJ49"/>
  <c r="N50"/>
  <c r="AJ50"/>
  <c r="N51"/>
  <c r="AJ51"/>
  <c r="N52"/>
  <c r="AJ52"/>
  <c r="AH904"/>
  <c r="N53"/>
  <c r="AJ53"/>
  <c r="N54"/>
  <c r="AJ54"/>
  <c r="AN54"/>
  <c r="N55"/>
  <c r="AJ55"/>
  <c r="AK55"/>
  <c r="AR55"/>
  <c r="N56"/>
  <c r="AJ56"/>
  <c r="T56"/>
  <c r="AN56"/>
  <c r="N57"/>
  <c r="T57"/>
  <c r="AM57"/>
  <c r="AJ57"/>
  <c r="N58"/>
  <c r="AJ58"/>
  <c r="T58"/>
  <c r="AP58"/>
  <c r="AT58" s="1"/>
  <c r="AN58"/>
  <c r="N59"/>
  <c r="AJ59"/>
  <c r="T59"/>
  <c r="AT59"/>
  <c r="N60"/>
  <c r="AJ60"/>
  <c r="S60"/>
  <c r="AO60"/>
  <c r="T60"/>
  <c r="AP60"/>
  <c r="AN60"/>
  <c r="N61"/>
  <c r="AJ61"/>
  <c r="S61"/>
  <c r="AO61"/>
  <c r="T61"/>
  <c r="AP61"/>
  <c r="AK61"/>
  <c r="N62"/>
  <c r="AJ62"/>
  <c r="T62"/>
  <c r="AP62"/>
  <c r="AT62" s="1"/>
  <c r="N63"/>
  <c r="AJ63"/>
  <c r="T63"/>
  <c r="AP63"/>
  <c r="N64"/>
  <c r="AJ64"/>
  <c r="T64"/>
  <c r="AP64"/>
  <c r="AT64" s="1"/>
  <c r="AN64"/>
  <c r="N65"/>
  <c r="AJ65"/>
  <c r="T65"/>
  <c r="AM65"/>
  <c r="N66"/>
  <c r="T66"/>
  <c r="AM66"/>
  <c r="AJ66"/>
  <c r="N67"/>
  <c r="AJ67"/>
  <c r="T67"/>
  <c r="AP67"/>
  <c r="AT67" s="1"/>
  <c r="AM67"/>
  <c r="N68"/>
  <c r="AJ68"/>
  <c r="T68"/>
  <c r="AP68"/>
  <c r="N69"/>
  <c r="T69"/>
  <c r="AP69"/>
  <c r="AL69"/>
  <c r="AR69"/>
  <c r="AJ69"/>
  <c r="AJ70"/>
  <c r="N71"/>
  <c r="AJ71"/>
  <c r="D19" i="4"/>
  <c r="D19" i="8"/>
  <c r="AG71" i="1"/>
  <c r="J19" i="4"/>
  <c r="J19" i="8" s="1"/>
  <c r="N72" i="1"/>
  <c r="AJ72"/>
  <c r="AM72"/>
  <c r="N73"/>
  <c r="AJ73"/>
  <c r="AK73"/>
  <c r="N74"/>
  <c r="AJ74"/>
  <c r="AM74"/>
  <c r="N75"/>
  <c r="AJ75"/>
  <c r="AK75"/>
  <c r="N76"/>
  <c r="AJ76"/>
  <c r="AM76"/>
  <c r="AN76"/>
  <c r="N77"/>
  <c r="AJ77"/>
  <c r="AK77"/>
  <c r="AR77" s="1"/>
  <c r="AN77"/>
  <c r="N78"/>
  <c r="AJ78"/>
  <c r="AM78"/>
  <c r="AN78"/>
  <c r="N79"/>
  <c r="AJ79"/>
  <c r="AK79"/>
  <c r="AR79" s="1"/>
  <c r="AN79"/>
  <c r="N80"/>
  <c r="AJ80"/>
  <c r="AM80"/>
  <c r="AN80"/>
  <c r="N81"/>
  <c r="AJ81"/>
  <c r="AK81"/>
  <c r="AR81" s="1"/>
  <c r="N82"/>
  <c r="AJ82"/>
  <c r="AK82"/>
  <c r="AR82" s="1"/>
  <c r="AM82"/>
  <c r="AN82"/>
  <c r="N83"/>
  <c r="AJ83"/>
  <c r="N84"/>
  <c r="AJ84"/>
  <c r="AM84"/>
  <c r="AN84"/>
  <c r="N85"/>
  <c r="AJ85"/>
  <c r="AK85"/>
  <c r="AR85" s="1"/>
  <c r="AN85"/>
  <c r="N86"/>
  <c r="AJ86"/>
  <c r="AN86"/>
  <c r="N87"/>
  <c r="AJ87"/>
  <c r="AK87"/>
  <c r="AN87"/>
  <c r="N88"/>
  <c r="AJ88"/>
  <c r="N89"/>
  <c r="AJ89"/>
  <c r="AK89"/>
  <c r="AR89" s="1"/>
  <c r="AN89"/>
  <c r="N90"/>
  <c r="AJ90"/>
  <c r="AM90"/>
  <c r="N91"/>
  <c r="AJ91"/>
  <c r="AK91"/>
  <c r="AR91" s="1"/>
  <c r="AN91"/>
  <c r="J17" i="4"/>
  <c r="J17" i="8" s="1"/>
  <c r="N92" i="1"/>
  <c r="AJ92"/>
  <c r="AN92"/>
  <c r="N93"/>
  <c r="AJ93"/>
  <c r="AN93"/>
  <c r="J18" i="4"/>
  <c r="J18" i="8" s="1"/>
  <c r="AK93" i="1"/>
  <c r="AR93" s="1"/>
  <c r="N94"/>
  <c r="AJ94"/>
  <c r="AL94"/>
  <c r="AR94"/>
  <c r="AM94"/>
  <c r="AN94"/>
  <c r="N95"/>
  <c r="AJ95"/>
  <c r="AL95"/>
  <c r="AR95" s="1"/>
  <c r="AN95"/>
  <c r="N96"/>
  <c r="AJ96"/>
  <c r="AL96"/>
  <c r="AR96" s="1"/>
  <c r="AM96"/>
  <c r="AN96"/>
  <c r="N97"/>
  <c r="AJ97"/>
  <c r="AL97"/>
  <c r="AR97" s="1"/>
  <c r="AM97"/>
  <c r="AN97"/>
  <c r="N98"/>
  <c r="AJ98"/>
  <c r="AL98"/>
  <c r="AR98" s="1"/>
  <c r="AM98"/>
  <c r="AN98"/>
  <c r="N99"/>
  <c r="AJ99"/>
  <c r="AL99"/>
  <c r="AR99" s="1"/>
  <c r="AN99"/>
  <c r="N100"/>
  <c r="AJ100"/>
  <c r="AL100"/>
  <c r="AR100" s="1"/>
  <c r="AM100"/>
  <c r="AN100"/>
  <c r="N101"/>
  <c r="AJ101"/>
  <c r="AL101"/>
  <c r="AN101"/>
  <c r="AJ102"/>
  <c r="N103"/>
  <c r="AJ103"/>
  <c r="AM103"/>
  <c r="N104"/>
  <c r="AJ104"/>
  <c r="AM104"/>
  <c r="AN104"/>
  <c r="AK104"/>
  <c r="AR104" s="1"/>
  <c r="N105"/>
  <c r="AJ105"/>
  <c r="AK105"/>
  <c r="AR105" s="1"/>
  <c r="AM105"/>
  <c r="N106"/>
  <c r="AJ106"/>
  <c r="AK106"/>
  <c r="AR106" s="1"/>
  <c r="AM106"/>
  <c r="AN106"/>
  <c r="N107"/>
  <c r="AJ107"/>
  <c r="AN107"/>
  <c r="N108"/>
  <c r="AM108"/>
  <c r="AJ108"/>
  <c r="AK108"/>
  <c r="AR108" s="1"/>
  <c r="N109"/>
  <c r="AJ109"/>
  <c r="AN109"/>
  <c r="N110"/>
  <c r="AJ110"/>
  <c r="AK110"/>
  <c r="AR110"/>
  <c r="N111"/>
  <c r="AJ111"/>
  <c r="AN111"/>
  <c r="N112"/>
  <c r="AJ112"/>
  <c r="AK112"/>
  <c r="AR112" s="1"/>
  <c r="AJ113"/>
  <c r="N114"/>
  <c r="AJ114"/>
  <c r="T114"/>
  <c r="AL114"/>
  <c r="AR114" s="1"/>
  <c r="AH114"/>
  <c r="N115"/>
  <c r="AJ115"/>
  <c r="S115"/>
  <c r="AM115"/>
  <c r="AS115" s="1"/>
  <c r="AG115"/>
  <c r="N116"/>
  <c r="AJ116"/>
  <c r="T116"/>
  <c r="AL116"/>
  <c r="AR116" s="1"/>
  <c r="N117"/>
  <c r="AJ117"/>
  <c r="S117"/>
  <c r="AG117"/>
  <c r="N118"/>
  <c r="AJ118"/>
  <c r="T118"/>
  <c r="AP118"/>
  <c r="AT118" s="1"/>
  <c r="AL118"/>
  <c r="AR118" s="1"/>
  <c r="AH118"/>
  <c r="N119"/>
  <c r="AJ119"/>
  <c r="AM119"/>
  <c r="N120"/>
  <c r="AJ120"/>
  <c r="S120"/>
  <c r="T120"/>
  <c r="AK120"/>
  <c r="AG120"/>
  <c r="AH120"/>
  <c r="N121"/>
  <c r="AJ121"/>
  <c r="S121"/>
  <c r="T121"/>
  <c r="AP121"/>
  <c r="AK121"/>
  <c r="AM121"/>
  <c r="AG121"/>
  <c r="AH121"/>
  <c r="N122"/>
  <c r="AJ122"/>
  <c r="T122"/>
  <c r="AN122"/>
  <c r="AH122"/>
  <c r="N123"/>
  <c r="AJ123"/>
  <c r="AM123"/>
  <c r="N124"/>
  <c r="AJ124"/>
  <c r="AK124"/>
  <c r="AR124" s="1"/>
  <c r="AN124"/>
  <c r="N125"/>
  <c r="AJ125"/>
  <c r="T125"/>
  <c r="AL125"/>
  <c r="AR125" s="1"/>
  <c r="AM125"/>
  <c r="AH125"/>
  <c r="N126"/>
  <c r="AJ126"/>
  <c r="AK126"/>
  <c r="AN126"/>
  <c r="N127"/>
  <c r="AJ127"/>
  <c r="T127"/>
  <c r="AL127"/>
  <c r="AR127" s="1"/>
  <c r="AM127"/>
  <c r="AH127"/>
  <c r="N128"/>
  <c r="AJ128"/>
  <c r="T128"/>
  <c r="AN128"/>
  <c r="AH128"/>
  <c r="N129"/>
  <c r="AJ129"/>
  <c r="AM129"/>
  <c r="N130"/>
  <c r="AJ130"/>
  <c r="T130"/>
  <c r="AP130"/>
  <c r="AN130"/>
  <c r="AH130"/>
  <c r="N131"/>
  <c r="AJ131"/>
  <c r="AM131"/>
  <c r="N132"/>
  <c r="AJ132"/>
  <c r="T132"/>
  <c r="AN132"/>
  <c r="AH132"/>
  <c r="N133"/>
  <c r="AJ133"/>
  <c r="T133"/>
  <c r="AL133"/>
  <c r="AR133" s="1"/>
  <c r="AM133"/>
  <c r="AN133"/>
  <c r="AH133"/>
  <c r="N134"/>
  <c r="AK134"/>
  <c r="AR134" s="1"/>
  <c r="AN134"/>
  <c r="AJ134"/>
  <c r="N135"/>
  <c r="AJ135"/>
  <c r="T135"/>
  <c r="AL135"/>
  <c r="AR135"/>
  <c r="AN135"/>
  <c r="AH135"/>
  <c r="N136"/>
  <c r="AJ136"/>
  <c r="AK136"/>
  <c r="AR136" s="1"/>
  <c r="AN136"/>
  <c r="N137"/>
  <c r="AJ137"/>
  <c r="AM137"/>
  <c r="AN137"/>
  <c r="N138"/>
  <c r="AJ138"/>
  <c r="AK138"/>
  <c r="AR138" s="1"/>
  <c r="AN138"/>
  <c r="N139"/>
  <c r="AJ139"/>
  <c r="T139"/>
  <c r="AL139"/>
  <c r="AR139" s="1"/>
  <c r="AM139"/>
  <c r="AN139"/>
  <c r="AH139"/>
  <c r="N140"/>
  <c r="AJ140"/>
  <c r="T140"/>
  <c r="AH140"/>
  <c r="N141"/>
  <c r="AJ141"/>
  <c r="AM141"/>
  <c r="AN141"/>
  <c r="N142"/>
  <c r="T142"/>
  <c r="AN142"/>
  <c r="AH142"/>
  <c r="AJ142"/>
  <c r="AM142"/>
  <c r="N143"/>
  <c r="AJ143"/>
  <c r="T143"/>
  <c r="AP143"/>
  <c r="AL143"/>
  <c r="AR143"/>
  <c r="AM143"/>
  <c r="AN143"/>
  <c r="AH143"/>
  <c r="N144"/>
  <c r="AN144"/>
  <c r="AJ144"/>
  <c r="AK144"/>
  <c r="AR144"/>
  <c r="N145"/>
  <c r="AJ145"/>
  <c r="AN145"/>
  <c r="N146"/>
  <c r="T146"/>
  <c r="AN146"/>
  <c r="AH146"/>
  <c r="AJ146"/>
  <c r="N147"/>
  <c r="AJ147"/>
  <c r="N148"/>
  <c r="AJ148"/>
  <c r="N149"/>
  <c r="AJ149"/>
  <c r="AM149"/>
  <c r="N150"/>
  <c r="AJ150"/>
  <c r="T150"/>
  <c r="AN150"/>
  <c r="AH150"/>
  <c r="N151"/>
  <c r="AJ151"/>
  <c r="T151"/>
  <c r="AL151"/>
  <c r="AN151"/>
  <c r="AH151"/>
  <c r="N152"/>
  <c r="AJ152"/>
  <c r="AK152"/>
  <c r="N153"/>
  <c r="AJ153"/>
  <c r="AM153"/>
  <c r="AN153"/>
  <c r="N154"/>
  <c r="AJ154"/>
  <c r="AK154"/>
  <c r="AR154"/>
  <c r="N155"/>
  <c r="AJ155"/>
  <c r="AM155"/>
  <c r="N156"/>
  <c r="AJ156"/>
  <c r="AK156"/>
  <c r="N157"/>
  <c r="AJ157"/>
  <c r="AM157"/>
  <c r="N158"/>
  <c r="AJ158"/>
  <c r="AK158"/>
  <c r="AS158"/>
  <c r="N159"/>
  <c r="AJ159"/>
  <c r="AM159"/>
  <c r="AN159"/>
  <c r="N160"/>
  <c r="AJ160"/>
  <c r="S160"/>
  <c r="AO160"/>
  <c r="T160"/>
  <c r="AP160"/>
  <c r="AG160"/>
  <c r="AH160"/>
  <c r="N161"/>
  <c r="AJ161"/>
  <c r="AM161"/>
  <c r="N162"/>
  <c r="AJ162"/>
  <c r="AK162"/>
  <c r="AR162" s="1"/>
  <c r="AN162"/>
  <c r="N163"/>
  <c r="AJ163"/>
  <c r="AM163"/>
  <c r="N164"/>
  <c r="AJ164"/>
  <c r="AK164"/>
  <c r="AR164" s="1"/>
  <c r="AN164"/>
  <c r="N165"/>
  <c r="AJ165"/>
  <c r="AN165"/>
  <c r="N166"/>
  <c r="AJ166"/>
  <c r="AK166"/>
  <c r="AR166"/>
  <c r="N167"/>
  <c r="AJ167"/>
  <c r="AM167"/>
  <c r="N168"/>
  <c r="AJ168"/>
  <c r="AK168"/>
  <c r="AR168" s="1"/>
  <c r="AN168"/>
  <c r="N169"/>
  <c r="AJ169"/>
  <c r="AM169"/>
  <c r="AN169"/>
  <c r="N170"/>
  <c r="AJ170"/>
  <c r="AK170"/>
  <c r="N171"/>
  <c r="AJ171"/>
  <c r="AM171"/>
  <c r="N172"/>
  <c r="AJ172"/>
  <c r="N173"/>
  <c r="AJ173"/>
  <c r="T173"/>
  <c r="AL173"/>
  <c r="AR173" s="1"/>
  <c r="AM173"/>
  <c r="AH173"/>
  <c r="N174"/>
  <c r="T174"/>
  <c r="AN174"/>
  <c r="AH174"/>
  <c r="AJ174"/>
  <c r="N175"/>
  <c r="AJ175"/>
  <c r="T175"/>
  <c r="AP175"/>
  <c r="AM175"/>
  <c r="AN175"/>
  <c r="AH175"/>
  <c r="N176"/>
  <c r="AJ176"/>
  <c r="S176"/>
  <c r="T176"/>
  <c r="AG176"/>
  <c r="AH176"/>
  <c r="AN176"/>
  <c r="N177"/>
  <c r="AJ177"/>
  <c r="S177"/>
  <c r="T177"/>
  <c r="AP177"/>
  <c r="P64" i="33"/>
  <c r="AN177" i="1"/>
  <c r="N178"/>
  <c r="AJ178"/>
  <c r="S178"/>
  <c r="AO178"/>
  <c r="T178"/>
  <c r="AM178"/>
  <c r="AG178"/>
  <c r="AH178"/>
  <c r="N179"/>
  <c r="AJ179"/>
  <c r="AN179"/>
  <c r="AG179"/>
  <c r="AH179"/>
  <c r="N180"/>
  <c r="AJ180"/>
  <c r="S180"/>
  <c r="T180"/>
  <c r="AL180"/>
  <c r="AM180"/>
  <c r="AG180"/>
  <c r="AH180"/>
  <c r="AN180"/>
  <c r="N181"/>
  <c r="AJ181"/>
  <c r="S181"/>
  <c r="T181"/>
  <c r="AN181"/>
  <c r="AG181"/>
  <c r="AH181"/>
  <c r="AP181" s="1"/>
  <c r="N182"/>
  <c r="AJ182"/>
  <c r="S182"/>
  <c r="T182"/>
  <c r="AG182"/>
  <c r="AH182"/>
  <c r="N183"/>
  <c r="AJ183"/>
  <c r="S183"/>
  <c r="T183"/>
  <c r="AG183"/>
  <c r="AH183"/>
  <c r="N184"/>
  <c r="AJ184"/>
  <c r="T184"/>
  <c r="AN184"/>
  <c r="AH184"/>
  <c r="N185"/>
  <c r="AJ185"/>
  <c r="N186"/>
  <c r="AJ186"/>
  <c r="T186"/>
  <c r="AH186"/>
  <c r="N187"/>
  <c r="AJ187"/>
  <c r="AL187"/>
  <c r="AR187" s="1"/>
  <c r="P19" i="35"/>
  <c r="N188" i="1"/>
  <c r="AJ188"/>
  <c r="AN188"/>
  <c r="N189"/>
  <c r="AJ189"/>
  <c r="AN189"/>
  <c r="N190"/>
  <c r="AJ190"/>
  <c r="T190"/>
  <c r="AH190"/>
  <c r="N191"/>
  <c r="AJ191"/>
  <c r="S191"/>
  <c r="T191"/>
  <c r="AG191"/>
  <c r="AH191"/>
  <c r="N192"/>
  <c r="AJ192"/>
  <c r="S192"/>
  <c r="T192"/>
  <c r="AK192"/>
  <c r="AG192"/>
  <c r="AH192"/>
  <c r="AP192" s="1"/>
  <c r="N193"/>
  <c r="AJ193"/>
  <c r="S193"/>
  <c r="T193"/>
  <c r="AG193"/>
  <c r="AH193"/>
  <c r="N194"/>
  <c r="AJ194"/>
  <c r="S194"/>
  <c r="T194"/>
  <c r="AK194"/>
  <c r="AG194"/>
  <c r="AH194"/>
  <c r="N195"/>
  <c r="AJ195"/>
  <c r="T195"/>
  <c r="AN195"/>
  <c r="AH195"/>
  <c r="AM195"/>
  <c r="N196"/>
  <c r="AJ196"/>
  <c r="N197"/>
  <c r="AJ197"/>
  <c r="T197"/>
  <c r="AP197"/>
  <c r="AH197"/>
  <c r="N198"/>
  <c r="AJ198"/>
  <c r="AH198"/>
  <c r="N199"/>
  <c r="AJ199"/>
  <c r="S199"/>
  <c r="AO199"/>
  <c r="T199"/>
  <c r="AG199"/>
  <c r="AH199"/>
  <c r="AN199"/>
  <c r="N200"/>
  <c r="AJ200"/>
  <c r="S200"/>
  <c r="AO200"/>
  <c r="T200"/>
  <c r="AP200"/>
  <c r="AK200"/>
  <c r="AG200"/>
  <c r="AH200"/>
  <c r="N201"/>
  <c r="AJ201"/>
  <c r="S201"/>
  <c r="T201"/>
  <c r="AP201"/>
  <c r="AG201"/>
  <c r="AH201"/>
  <c r="AL201"/>
  <c r="N202"/>
  <c r="AJ202"/>
  <c r="S202"/>
  <c r="T202"/>
  <c r="AG202"/>
  <c r="AH202"/>
  <c r="AP202" s="1"/>
  <c r="AK202"/>
  <c r="N203"/>
  <c r="AJ203"/>
  <c r="S203"/>
  <c r="T203"/>
  <c r="AN203"/>
  <c r="AG203"/>
  <c r="AH203"/>
  <c r="N204"/>
  <c r="AJ204"/>
  <c r="S204"/>
  <c r="AO204"/>
  <c r="T204"/>
  <c r="AK204"/>
  <c r="AG204"/>
  <c r="AH204"/>
  <c r="N205"/>
  <c r="AJ205"/>
  <c r="S205"/>
  <c r="T205"/>
  <c r="AL205"/>
  <c r="AM205"/>
  <c r="AG205"/>
  <c r="AH205"/>
  <c r="N206"/>
  <c r="S206"/>
  <c r="T206"/>
  <c r="AK206"/>
  <c r="AG206"/>
  <c r="AH206"/>
  <c r="AJ206"/>
  <c r="N207"/>
  <c r="AJ207"/>
  <c r="S207"/>
  <c r="T207"/>
  <c r="AG207"/>
  <c r="AH207"/>
  <c r="N208"/>
  <c r="AJ208"/>
  <c r="S208"/>
  <c r="T208"/>
  <c r="AG208"/>
  <c r="AH208"/>
  <c r="N209"/>
  <c r="AJ209"/>
  <c r="S209"/>
  <c r="T209"/>
  <c r="AL209"/>
  <c r="AG209"/>
  <c r="AH209"/>
  <c r="N210"/>
  <c r="S210"/>
  <c r="T210"/>
  <c r="AG210"/>
  <c r="AH210"/>
  <c r="AJ210"/>
  <c r="N211"/>
  <c r="AJ211"/>
  <c r="S211"/>
  <c r="T211"/>
  <c r="AM211"/>
  <c r="AG211"/>
  <c r="AH211"/>
  <c r="N212"/>
  <c r="AJ212"/>
  <c r="S212"/>
  <c r="T212"/>
  <c r="P69" i="33"/>
  <c r="AG212" i="1"/>
  <c r="AH212"/>
  <c r="N213"/>
  <c r="AJ213"/>
  <c r="S213"/>
  <c r="T213"/>
  <c r="AP213"/>
  <c r="AN213"/>
  <c r="AG213"/>
  <c r="AH213"/>
  <c r="N214"/>
  <c r="AJ214"/>
  <c r="S214"/>
  <c r="T214"/>
  <c r="AK214"/>
  <c r="AG214"/>
  <c r="AH214"/>
  <c r="N215"/>
  <c r="AJ215"/>
  <c r="S215"/>
  <c r="T215"/>
  <c r="AG215"/>
  <c r="AH215"/>
  <c r="N216"/>
  <c r="AJ216"/>
  <c r="S216"/>
  <c r="T216"/>
  <c r="AK216"/>
  <c r="AN216"/>
  <c r="AG216"/>
  <c r="AH216"/>
  <c r="N217"/>
  <c r="S217"/>
  <c r="T217"/>
  <c r="AM217"/>
  <c r="AG217"/>
  <c r="AH217"/>
  <c r="AJ217"/>
  <c r="N218"/>
  <c r="AJ218"/>
  <c r="S218"/>
  <c r="AO218"/>
  <c r="T218"/>
  <c r="AK218"/>
  <c r="AG218"/>
  <c r="AH218"/>
  <c r="N219"/>
  <c r="AJ219"/>
  <c r="AM219"/>
  <c r="N220"/>
  <c r="AJ220"/>
  <c r="T220"/>
  <c r="AH220"/>
  <c r="N221"/>
  <c r="AJ221"/>
  <c r="N222"/>
  <c r="AJ222"/>
  <c r="T222"/>
  <c r="AL222"/>
  <c r="AH222"/>
  <c r="N223"/>
  <c r="AJ223"/>
  <c r="AK223"/>
  <c r="AR223" s="1"/>
  <c r="N224"/>
  <c r="AJ224"/>
  <c r="T224"/>
  <c r="P81" i="33"/>
  <c r="AH224" i="1"/>
  <c r="N225"/>
  <c r="AJ225"/>
  <c r="T225"/>
  <c r="AH225"/>
  <c r="N226"/>
  <c r="AJ226"/>
  <c r="T226"/>
  <c r="AL226"/>
  <c r="AR226" s="1"/>
  <c r="AH226"/>
  <c r="N227"/>
  <c r="AJ227"/>
  <c r="T227"/>
  <c r="AH227"/>
  <c r="N228"/>
  <c r="AJ228"/>
  <c r="AL228"/>
  <c r="AR228" s="1"/>
  <c r="AH228"/>
  <c r="N229"/>
  <c r="AJ229"/>
  <c r="N230"/>
  <c r="AJ230"/>
  <c r="AK230"/>
  <c r="AN230"/>
  <c r="N231"/>
  <c r="AJ231"/>
  <c r="AN231"/>
  <c r="N232"/>
  <c r="AJ232"/>
  <c r="T232"/>
  <c r="AL232"/>
  <c r="AR232" s="1"/>
  <c r="AH232"/>
  <c r="N233"/>
  <c r="AJ233"/>
  <c r="T233"/>
  <c r="AP233"/>
  <c r="AH233"/>
  <c r="N234"/>
  <c r="AJ234"/>
  <c r="T234"/>
  <c r="AL234"/>
  <c r="AR234" s="1"/>
  <c r="AH234"/>
  <c r="N235"/>
  <c r="AJ235"/>
  <c r="T235"/>
  <c r="AN235"/>
  <c r="AH235"/>
  <c r="N236"/>
  <c r="AJ236"/>
  <c r="AM236"/>
  <c r="AK236"/>
  <c r="N237"/>
  <c r="T237"/>
  <c r="AN237"/>
  <c r="AH237"/>
  <c r="AJ237"/>
  <c r="N238"/>
  <c r="AJ238"/>
  <c r="T238"/>
  <c r="AP238"/>
  <c r="AL238"/>
  <c r="AR238" s="1"/>
  <c r="AH238"/>
  <c r="N239"/>
  <c r="AJ239"/>
  <c r="AM239"/>
  <c r="N240"/>
  <c r="AJ240"/>
  <c r="AN240"/>
  <c r="N241"/>
  <c r="T241"/>
  <c r="AH241"/>
  <c r="AJ241"/>
  <c r="N242"/>
  <c r="AJ242"/>
  <c r="T242"/>
  <c r="AP242"/>
  <c r="AL242"/>
  <c r="AH242"/>
  <c r="N243"/>
  <c r="AJ243"/>
  <c r="T243"/>
  <c r="AM243"/>
  <c r="AH243"/>
  <c r="N244"/>
  <c r="AJ244"/>
  <c r="T244"/>
  <c r="AL244"/>
  <c r="AS244"/>
  <c r="AH244"/>
  <c r="N245"/>
  <c r="AJ245"/>
  <c r="N246"/>
  <c r="AJ246"/>
  <c r="N247"/>
  <c r="AJ247"/>
  <c r="AM247"/>
  <c r="N248"/>
  <c r="AJ248"/>
  <c r="N249"/>
  <c r="AJ249"/>
  <c r="AM249"/>
  <c r="N250"/>
  <c r="AJ250"/>
  <c r="N251"/>
  <c r="AJ251"/>
  <c r="T251"/>
  <c r="AN251"/>
  <c r="AH251"/>
  <c r="N252"/>
  <c r="AJ252"/>
  <c r="T252"/>
  <c r="AP252"/>
  <c r="AH252"/>
  <c r="N253"/>
  <c r="AJ253"/>
  <c r="AM253"/>
  <c r="N254"/>
  <c r="AJ254"/>
  <c r="AK254"/>
  <c r="AR254"/>
  <c r="AN254"/>
  <c r="N255"/>
  <c r="AM255"/>
  <c r="AJ255"/>
  <c r="N256"/>
  <c r="AJ256"/>
  <c r="AK256"/>
  <c r="AR256"/>
  <c r="AN256"/>
  <c r="N257"/>
  <c r="AJ257"/>
  <c r="T257"/>
  <c r="AP257"/>
  <c r="AM257"/>
  <c r="AH257"/>
  <c r="N258"/>
  <c r="AJ258"/>
  <c r="T258"/>
  <c r="AP258"/>
  <c r="AL258"/>
  <c r="AH258"/>
  <c r="N259"/>
  <c r="AJ259"/>
  <c r="T259"/>
  <c r="AH259"/>
  <c r="N260"/>
  <c r="AJ260"/>
  <c r="T260"/>
  <c r="AP260"/>
  <c r="AL260"/>
  <c r="AR260"/>
  <c r="AH260"/>
  <c r="N261"/>
  <c r="AJ261"/>
  <c r="T261"/>
  <c r="AN261"/>
  <c r="AH261"/>
  <c r="N262"/>
  <c r="AJ262"/>
  <c r="T262"/>
  <c r="AL262"/>
  <c r="AH262"/>
  <c r="N263"/>
  <c r="AJ263"/>
  <c r="T263"/>
  <c r="AP263"/>
  <c r="AH263"/>
  <c r="N264"/>
  <c r="AJ264"/>
  <c r="T264"/>
  <c r="AL264"/>
  <c r="AR264" s="1"/>
  <c r="AH264"/>
  <c r="N265"/>
  <c r="AJ265"/>
  <c r="T265"/>
  <c r="AP265"/>
  <c r="AH265"/>
  <c r="N266"/>
  <c r="AJ266"/>
  <c r="T266"/>
  <c r="AL266"/>
  <c r="AH266"/>
  <c r="N267"/>
  <c r="AJ267"/>
  <c r="T267"/>
  <c r="AN267"/>
  <c r="AH267"/>
  <c r="AX267"/>
  <c r="N268"/>
  <c r="AJ268"/>
  <c r="T268"/>
  <c r="AP268"/>
  <c r="AL268"/>
  <c r="AH268"/>
  <c r="AX268"/>
  <c r="N269"/>
  <c r="AJ269"/>
  <c r="T269"/>
  <c r="AK269"/>
  <c r="AL269"/>
  <c r="AM269"/>
  <c r="AH269"/>
  <c r="AX269"/>
  <c r="N270"/>
  <c r="AJ270"/>
  <c r="T270"/>
  <c r="AP270"/>
  <c r="AK270"/>
  <c r="AH270"/>
  <c r="AX270"/>
  <c r="N271"/>
  <c r="AJ271"/>
  <c r="S271"/>
  <c r="T271"/>
  <c r="AM271"/>
  <c r="AG271"/>
  <c r="AH271"/>
  <c r="N272"/>
  <c r="AJ272"/>
  <c r="S272"/>
  <c r="T272"/>
  <c r="AK272"/>
  <c r="AG272"/>
  <c r="AH272"/>
  <c r="N273"/>
  <c r="AJ273"/>
  <c r="S273"/>
  <c r="T273"/>
  <c r="AM273"/>
  <c r="AG273"/>
  <c r="AH273"/>
  <c r="N274"/>
  <c r="AJ274"/>
  <c r="S274"/>
  <c r="AO274"/>
  <c r="T274"/>
  <c r="AK274"/>
  <c r="AG274"/>
  <c r="AH274"/>
  <c r="K66" i="7"/>
  <c r="K67" s="1"/>
  <c r="N275" i="1"/>
  <c r="AJ275"/>
  <c r="S275"/>
  <c r="T275"/>
  <c r="AG275"/>
  <c r="AH275"/>
  <c r="N276"/>
  <c r="AJ276"/>
  <c r="S276"/>
  <c r="T276"/>
  <c r="AK276"/>
  <c r="AN276"/>
  <c r="AG276"/>
  <c r="AH276"/>
  <c r="N277"/>
  <c r="AJ277"/>
  <c r="S277"/>
  <c r="AO277"/>
  <c r="T277"/>
  <c r="AP277"/>
  <c r="AG277"/>
  <c r="AH277"/>
  <c r="N278"/>
  <c r="AJ278"/>
  <c r="S278"/>
  <c r="T278"/>
  <c r="AK278"/>
  <c r="AG278"/>
  <c r="AH278"/>
  <c r="N279"/>
  <c r="AJ279"/>
  <c r="S279"/>
  <c r="T279"/>
  <c r="AL279"/>
  <c r="AN279"/>
  <c r="AG279"/>
  <c r="AH279"/>
  <c r="N280"/>
  <c r="AJ280"/>
  <c r="S280"/>
  <c r="T280"/>
  <c r="AK280"/>
  <c r="AG280"/>
  <c r="AH280"/>
  <c r="N281"/>
  <c r="AJ281"/>
  <c r="S281"/>
  <c r="AO281"/>
  <c r="T281"/>
  <c r="AP281"/>
  <c r="AG281"/>
  <c r="AH281"/>
  <c r="AN281"/>
  <c r="N282"/>
  <c r="AJ282"/>
  <c r="S282"/>
  <c r="T282"/>
  <c r="AP282"/>
  <c r="AK282"/>
  <c r="AN282"/>
  <c r="AG282"/>
  <c r="AH282"/>
  <c r="N283"/>
  <c r="AJ283"/>
  <c r="AM283"/>
  <c r="AN283"/>
  <c r="N284"/>
  <c r="AJ284"/>
  <c r="T284"/>
  <c r="AP284"/>
  <c r="AH284"/>
  <c r="AR284"/>
  <c r="AJ285"/>
  <c r="N286"/>
  <c r="AJ286"/>
  <c r="AK286"/>
  <c r="AR286" s="1"/>
  <c r="AN286"/>
  <c r="N287"/>
  <c r="AJ287"/>
  <c r="AR287"/>
  <c r="N288"/>
  <c r="AJ288"/>
  <c r="AN288"/>
  <c r="N289"/>
  <c r="AJ289"/>
  <c r="AK289"/>
  <c r="N290"/>
  <c r="AJ290"/>
  <c r="AN290"/>
  <c r="N291"/>
  <c r="AJ291"/>
  <c r="AN291"/>
  <c r="N292"/>
  <c r="AJ292"/>
  <c r="AK292"/>
  <c r="AR292"/>
  <c r="AN292"/>
  <c r="N293"/>
  <c r="AJ293"/>
  <c r="AK293"/>
  <c r="AR293" s="1"/>
  <c r="AM293"/>
  <c r="N294"/>
  <c r="AJ294"/>
  <c r="AN294"/>
  <c r="N295"/>
  <c r="AJ295"/>
  <c r="AN295"/>
  <c r="N296"/>
  <c r="AJ296"/>
  <c r="N297"/>
  <c r="AJ297"/>
  <c r="AM297"/>
  <c r="N298"/>
  <c r="AJ298"/>
  <c r="AN298"/>
  <c r="N299"/>
  <c r="AJ299"/>
  <c r="AN299"/>
  <c r="N300"/>
  <c r="AJ300"/>
  <c r="AN300"/>
  <c r="N301"/>
  <c r="AJ301"/>
  <c r="AM301"/>
  <c r="AN301"/>
  <c r="N302"/>
  <c r="AJ302"/>
  <c r="AN302"/>
  <c r="N303"/>
  <c r="AJ303"/>
  <c r="AM303"/>
  <c r="AN303"/>
  <c r="N304"/>
  <c r="AJ304"/>
  <c r="AN304"/>
  <c r="N305"/>
  <c r="AJ305"/>
  <c r="AM305"/>
  <c r="AN305"/>
  <c r="N306"/>
  <c r="AJ306"/>
  <c r="AN306"/>
  <c r="N307"/>
  <c r="AJ307"/>
  <c r="AN307"/>
  <c r="N308"/>
  <c r="AJ308"/>
  <c r="AM308"/>
  <c r="N309"/>
  <c r="AJ309"/>
  <c r="AM309"/>
  <c r="AN309"/>
  <c r="N310"/>
  <c r="AJ310"/>
  <c r="AM310"/>
  <c r="AN310"/>
  <c r="N311"/>
  <c r="AJ311"/>
  <c r="AM311"/>
  <c r="AN311"/>
  <c r="N312"/>
  <c r="AJ312"/>
  <c r="AN312"/>
  <c r="N313"/>
  <c r="AJ313"/>
  <c r="AM313"/>
  <c r="AN313"/>
  <c r="N314"/>
  <c r="AN314"/>
  <c r="AJ314"/>
  <c r="N315"/>
  <c r="AJ315"/>
  <c r="AM315"/>
  <c r="AN315"/>
  <c r="N316"/>
  <c r="AJ316"/>
  <c r="AN316"/>
  <c r="N317"/>
  <c r="AJ317"/>
  <c r="AM317"/>
  <c r="AN317"/>
  <c r="N318"/>
  <c r="AJ318"/>
  <c r="N319"/>
  <c r="AJ319"/>
  <c r="AN319"/>
  <c r="N320"/>
  <c r="AJ320"/>
  <c r="N321"/>
  <c r="AJ321"/>
  <c r="N322"/>
  <c r="S322"/>
  <c r="AO322"/>
  <c r="T322"/>
  <c r="AK322"/>
  <c r="AM322"/>
  <c r="AN322"/>
  <c r="AG322"/>
  <c r="AH322"/>
  <c r="AJ322"/>
  <c r="N323"/>
  <c r="AJ323"/>
  <c r="AM323"/>
  <c r="AN323"/>
  <c r="N324"/>
  <c r="AJ324"/>
  <c r="AK324"/>
  <c r="AR324" s="1"/>
  <c r="AN324"/>
  <c r="N325"/>
  <c r="AJ325"/>
  <c r="AM325"/>
  <c r="AN325"/>
  <c r="N326"/>
  <c r="AJ326"/>
  <c r="N327"/>
  <c r="AJ327"/>
  <c r="S327"/>
  <c r="T327"/>
  <c r="AM327"/>
  <c r="AG327"/>
  <c r="AH327"/>
  <c r="AN327"/>
  <c r="N328"/>
  <c r="AJ328"/>
  <c r="S328"/>
  <c r="T328"/>
  <c r="AK328"/>
  <c r="AN328"/>
  <c r="AG328"/>
  <c r="AH328"/>
  <c r="N329"/>
  <c r="AJ329"/>
  <c r="S329"/>
  <c r="AO329"/>
  <c r="T329"/>
  <c r="AL329"/>
  <c r="AM329"/>
  <c r="AN329"/>
  <c r="AG329"/>
  <c r="AH329"/>
  <c r="N330"/>
  <c r="S330"/>
  <c r="AO330"/>
  <c r="T330"/>
  <c r="AK330"/>
  <c r="AM330"/>
  <c r="AN330"/>
  <c r="AG330"/>
  <c r="AH330"/>
  <c r="AJ330"/>
  <c r="N331"/>
  <c r="AJ331"/>
  <c r="AK331"/>
  <c r="AM331"/>
  <c r="N332"/>
  <c r="AJ332"/>
  <c r="AN332"/>
  <c r="N333"/>
  <c r="AJ333"/>
  <c r="AN333"/>
  <c r="N334"/>
  <c r="AJ334"/>
  <c r="N335"/>
  <c r="AJ335"/>
  <c r="AN335"/>
  <c r="N336"/>
  <c r="AJ336"/>
  <c r="AK336"/>
  <c r="N337"/>
  <c r="AJ337"/>
  <c r="AL337"/>
  <c r="N338"/>
  <c r="AJ338"/>
  <c r="AK338"/>
  <c r="AR338" s="1"/>
  <c r="N339"/>
  <c r="AJ339"/>
  <c r="AM339"/>
  <c r="AN339"/>
  <c r="N340"/>
  <c r="AJ340"/>
  <c r="AK340"/>
  <c r="N341"/>
  <c r="AJ341"/>
  <c r="AK341"/>
  <c r="AR341" s="1"/>
  <c r="AM341"/>
  <c r="N342"/>
  <c r="AJ342"/>
  <c r="AN342"/>
  <c r="N343"/>
  <c r="AJ343"/>
  <c r="AM343"/>
  <c r="N344"/>
  <c r="AJ344"/>
  <c r="S344"/>
  <c r="T344"/>
  <c r="AK344"/>
  <c r="AN344"/>
  <c r="AG344"/>
  <c r="AH344"/>
  <c r="N345"/>
  <c r="AJ345"/>
  <c r="S345"/>
  <c r="AO345"/>
  <c r="T345"/>
  <c r="AN345"/>
  <c r="AG345"/>
  <c r="AH345"/>
  <c r="N346"/>
  <c r="AJ346"/>
  <c r="AN346"/>
  <c r="N347"/>
  <c r="AJ347"/>
  <c r="AK347"/>
  <c r="AR347" s="1"/>
  <c r="AM347"/>
  <c r="AN347"/>
  <c r="N348"/>
  <c r="AJ348"/>
  <c r="AN348"/>
  <c r="N349"/>
  <c r="AJ349"/>
  <c r="AM349"/>
  <c r="AN349"/>
  <c r="N350"/>
  <c r="AJ350"/>
  <c r="AN350"/>
  <c r="N351"/>
  <c r="AJ351"/>
  <c r="AM351"/>
  <c r="AN351"/>
  <c r="N352"/>
  <c r="AJ352"/>
  <c r="AN352"/>
  <c r="N353"/>
  <c r="AJ353"/>
  <c r="AM353"/>
  <c r="AN353"/>
  <c r="N354"/>
  <c r="AJ354"/>
  <c r="AN354"/>
  <c r="N355"/>
  <c r="AJ355"/>
  <c r="AK355"/>
  <c r="AM355"/>
  <c r="AN355"/>
  <c r="N356"/>
  <c r="AJ356"/>
  <c r="AN356"/>
  <c r="AS356" s="1"/>
  <c r="N357"/>
  <c r="AJ357"/>
  <c r="AM357"/>
  <c r="AN357"/>
  <c r="AK357"/>
  <c r="N358"/>
  <c r="AJ358"/>
  <c r="AM358"/>
  <c r="AN358"/>
  <c r="N359"/>
  <c r="AJ359"/>
  <c r="AN359"/>
  <c r="N360"/>
  <c r="AJ360"/>
  <c r="AN360"/>
  <c r="N361"/>
  <c r="AJ361"/>
  <c r="AK361"/>
  <c r="AM361"/>
  <c r="AN361"/>
  <c r="N362"/>
  <c r="AJ362"/>
  <c r="AN362"/>
  <c r="N363"/>
  <c r="AJ363"/>
  <c r="AM363"/>
  <c r="AK363"/>
  <c r="AR363"/>
  <c r="N364"/>
  <c r="AJ364"/>
  <c r="T364"/>
  <c r="AP364"/>
  <c r="AL364"/>
  <c r="AH364"/>
  <c r="AN364"/>
  <c r="N365"/>
  <c r="AJ365"/>
  <c r="T365"/>
  <c r="AP365"/>
  <c r="AM365"/>
  <c r="AH365"/>
  <c r="N366"/>
  <c r="AJ366"/>
  <c r="T366"/>
  <c r="AN366"/>
  <c r="AH366"/>
  <c r="AK366"/>
  <c r="N367"/>
  <c r="AJ367"/>
  <c r="T367"/>
  <c r="AM367"/>
  <c r="AN367"/>
  <c r="AH367"/>
  <c r="N368"/>
  <c r="AJ368"/>
  <c r="AM368"/>
  <c r="AK368"/>
  <c r="AR368" s="1"/>
  <c r="N369"/>
  <c r="AJ369"/>
  <c r="AM369"/>
  <c r="AN369"/>
  <c r="AS369" s="1"/>
  <c r="N370"/>
  <c r="AJ370"/>
  <c r="AK370"/>
  <c r="AR370" s="1"/>
  <c r="N371"/>
  <c r="AJ371"/>
  <c r="AN371"/>
  <c r="N372"/>
  <c r="AJ372"/>
  <c r="AK372"/>
  <c r="AR372" s="1"/>
  <c r="N373"/>
  <c r="AJ373"/>
  <c r="N374"/>
  <c r="AJ374"/>
  <c r="AK374"/>
  <c r="AM374"/>
  <c r="N375"/>
  <c r="AJ375"/>
  <c r="N376"/>
  <c r="AJ376"/>
  <c r="AK376"/>
  <c r="N377"/>
  <c r="AJ377"/>
  <c r="AK377"/>
  <c r="AM377"/>
  <c r="N378"/>
  <c r="AJ378"/>
  <c r="AM378"/>
  <c r="AN378"/>
  <c r="AK378"/>
  <c r="AR378"/>
  <c r="N379"/>
  <c r="AJ379"/>
  <c r="AM379"/>
  <c r="AN379"/>
  <c r="N380"/>
  <c r="AJ380"/>
  <c r="T380"/>
  <c r="AP380"/>
  <c r="AH380"/>
  <c r="N381"/>
  <c r="AJ381"/>
  <c r="T381"/>
  <c r="AP381"/>
  <c r="AM381"/>
  <c r="AN381"/>
  <c r="AH381"/>
  <c r="N382"/>
  <c r="AJ382"/>
  <c r="T382"/>
  <c r="AN382"/>
  <c r="AH382"/>
  <c r="AJ383"/>
  <c r="N384"/>
  <c r="AJ384"/>
  <c r="S384"/>
  <c r="T384"/>
  <c r="AR384"/>
  <c r="AG384"/>
  <c r="AH384"/>
  <c r="N385"/>
  <c r="AJ385"/>
  <c r="S385"/>
  <c r="T385"/>
  <c r="AN385"/>
  <c r="AG385"/>
  <c r="AH385"/>
  <c r="N386"/>
  <c r="AJ386"/>
  <c r="S386"/>
  <c r="T386"/>
  <c r="AG386"/>
  <c r="AH386"/>
  <c r="N387"/>
  <c r="AJ387"/>
  <c r="S387"/>
  <c r="T387"/>
  <c r="AG387"/>
  <c r="AH387"/>
  <c r="N388"/>
  <c r="AJ388"/>
  <c r="S388"/>
  <c r="T388"/>
  <c r="AG388"/>
  <c r="AH388"/>
  <c r="N389"/>
  <c r="AJ389"/>
  <c r="S389"/>
  <c r="T389"/>
  <c r="AG389"/>
  <c r="AH389"/>
  <c r="N390"/>
  <c r="AJ390"/>
  <c r="S390"/>
  <c r="T390"/>
  <c r="AG390"/>
  <c r="AH390"/>
  <c r="N391"/>
  <c r="AJ391"/>
  <c r="S391"/>
  <c r="T391"/>
  <c r="AG391"/>
  <c r="AH391"/>
  <c r="N392"/>
  <c r="AJ392"/>
  <c r="S392"/>
  <c r="T392"/>
  <c r="AG392"/>
  <c r="AH392"/>
  <c r="N393"/>
  <c r="AJ393"/>
  <c r="S393"/>
  <c r="T393"/>
  <c r="AN393"/>
  <c r="AG393"/>
  <c r="AH393"/>
  <c r="N394"/>
  <c r="AJ394"/>
  <c r="S394"/>
  <c r="T394"/>
  <c r="AG394"/>
  <c r="AH394"/>
  <c r="N395"/>
  <c r="AJ395"/>
  <c r="S395"/>
  <c r="T395"/>
  <c r="AM395"/>
  <c r="AG395"/>
  <c r="AH395"/>
  <c r="N396"/>
  <c r="AJ396"/>
  <c r="S396"/>
  <c r="T396"/>
  <c r="AG396"/>
  <c r="AH396"/>
  <c r="N397"/>
  <c r="AJ397"/>
  <c r="S397"/>
  <c r="T397"/>
  <c r="AM397"/>
  <c r="AG397"/>
  <c r="AH397"/>
  <c r="AP397" s="1"/>
  <c r="N398"/>
  <c r="AJ398"/>
  <c r="S398"/>
  <c r="T398"/>
  <c r="AR398"/>
  <c r="AN398"/>
  <c r="AG398"/>
  <c r="AH398"/>
  <c r="N399"/>
  <c r="AJ399"/>
  <c r="S399"/>
  <c r="T399"/>
  <c r="AG399"/>
  <c r="AH399"/>
  <c r="N400"/>
  <c r="AJ400"/>
  <c r="S400"/>
  <c r="T400"/>
  <c r="AR400"/>
  <c r="AG400"/>
  <c r="AH400"/>
  <c r="AP400" s="1"/>
  <c r="N401"/>
  <c r="AJ401"/>
  <c r="S401"/>
  <c r="T401"/>
  <c r="AN401"/>
  <c r="AG401"/>
  <c r="AH401"/>
  <c r="AJ402"/>
  <c r="AN402"/>
  <c r="AJ403"/>
  <c r="AM403"/>
  <c r="AN403"/>
  <c r="AJ404"/>
  <c r="AN404"/>
  <c r="AJ405"/>
  <c r="AM405"/>
  <c r="AJ406"/>
  <c r="AJ407"/>
  <c r="AM407"/>
  <c r="AN407"/>
  <c r="N408"/>
  <c r="AJ408"/>
  <c r="AJ409"/>
  <c r="AM409"/>
  <c r="N410"/>
  <c r="AJ410"/>
  <c r="S410"/>
  <c r="T410"/>
  <c r="AG410"/>
  <c r="AH410"/>
  <c r="N411"/>
  <c r="AJ411"/>
  <c r="S411"/>
  <c r="T411"/>
  <c r="AM411"/>
  <c r="AG411"/>
  <c r="AH411"/>
  <c r="N412"/>
  <c r="AJ412"/>
  <c r="S412"/>
  <c r="T412"/>
  <c r="AN412"/>
  <c r="AG412"/>
  <c r="AH412"/>
  <c r="AP412" s="1"/>
  <c r="N413"/>
  <c r="AJ413"/>
  <c r="S413"/>
  <c r="T413"/>
  <c r="AN413"/>
  <c r="AG413"/>
  <c r="AH413"/>
  <c r="N414"/>
  <c r="AJ414"/>
  <c r="S414"/>
  <c r="AO414"/>
  <c r="T414"/>
  <c r="AG414"/>
  <c r="AH414"/>
  <c r="N415"/>
  <c r="AJ415"/>
  <c r="AN415"/>
  <c r="N416"/>
  <c r="AJ416"/>
  <c r="T416"/>
  <c r="AH416"/>
  <c r="N417"/>
  <c r="AJ417"/>
  <c r="S417"/>
  <c r="T417"/>
  <c r="AM417"/>
  <c r="AG417"/>
  <c r="AH417"/>
  <c r="N418"/>
  <c r="AJ418"/>
  <c r="S418"/>
  <c r="T418"/>
  <c r="AN418"/>
  <c r="AG418"/>
  <c r="AH418"/>
  <c r="N419"/>
  <c r="AJ419"/>
  <c r="S419"/>
  <c r="T419"/>
  <c r="AG419"/>
  <c r="AH419"/>
  <c r="N420"/>
  <c r="AJ420"/>
  <c r="S420"/>
  <c r="T420"/>
  <c r="AN420"/>
  <c r="AG420"/>
  <c r="AH420"/>
  <c r="N421"/>
  <c r="AJ421"/>
  <c r="S421"/>
  <c r="T421"/>
  <c r="AN421"/>
  <c r="AG421"/>
  <c r="AH421"/>
  <c r="N422"/>
  <c r="AJ422"/>
  <c r="S422"/>
  <c r="T422"/>
  <c r="AP422"/>
  <c r="AG422"/>
  <c r="AH422"/>
  <c r="N423"/>
  <c r="AJ423"/>
  <c r="S423"/>
  <c r="T423"/>
  <c r="AN423"/>
  <c r="AG423"/>
  <c r="AH423"/>
  <c r="N424"/>
  <c r="AJ424"/>
  <c r="S424"/>
  <c r="T424"/>
  <c r="AG424"/>
  <c r="AH424"/>
  <c r="N425"/>
  <c r="AJ425"/>
  <c r="S425"/>
  <c r="T425"/>
  <c r="AM425"/>
  <c r="AG425"/>
  <c r="AH425"/>
  <c r="AP425" s="1"/>
  <c r="N426"/>
  <c r="AJ426"/>
  <c r="S426"/>
  <c r="T426"/>
  <c r="AN426"/>
  <c r="AG426"/>
  <c r="AH426"/>
  <c r="N427"/>
  <c r="AJ427"/>
  <c r="S427"/>
  <c r="T427"/>
  <c r="AM427"/>
  <c r="AG427"/>
  <c r="AH427"/>
  <c r="N428"/>
  <c r="AJ428"/>
  <c r="S428"/>
  <c r="T428"/>
  <c r="AN428"/>
  <c r="AG428"/>
  <c r="AH428"/>
  <c r="N429"/>
  <c r="AJ429"/>
  <c r="S429"/>
  <c r="T429"/>
  <c r="AN429"/>
  <c r="AG429"/>
  <c r="AH429"/>
  <c r="AP429" s="1"/>
  <c r="N430"/>
  <c r="AJ430"/>
  <c r="S430"/>
  <c r="T430"/>
  <c r="AG430"/>
  <c r="AH430"/>
  <c r="N431"/>
  <c r="AJ431"/>
  <c r="S431"/>
  <c r="AO431"/>
  <c r="T431"/>
  <c r="AN431"/>
  <c r="AG431"/>
  <c r="AH431"/>
  <c r="N432"/>
  <c r="AJ432"/>
  <c r="S432"/>
  <c r="T432"/>
  <c r="AP432"/>
  <c r="AG432"/>
  <c r="AH432"/>
  <c r="N433"/>
  <c r="AJ433"/>
  <c r="S433"/>
  <c r="T433"/>
  <c r="AG433"/>
  <c r="AH433"/>
  <c r="N434"/>
  <c r="AJ434"/>
  <c r="S434"/>
  <c r="T434"/>
  <c r="AP434"/>
  <c r="AG434"/>
  <c r="AH434"/>
  <c r="AN434"/>
  <c r="N435"/>
  <c r="AJ435"/>
  <c r="S435"/>
  <c r="T435"/>
  <c r="AM435"/>
  <c r="AG435"/>
  <c r="AH435"/>
  <c r="N436"/>
  <c r="AJ436"/>
  <c r="S436"/>
  <c r="T436"/>
  <c r="AN436"/>
  <c r="AG436"/>
  <c r="AH436"/>
  <c r="N437"/>
  <c r="AJ437"/>
  <c r="S437"/>
  <c r="AO437" s="1"/>
  <c r="T437"/>
  <c r="AN437"/>
  <c r="AG437"/>
  <c r="AH437"/>
  <c r="N438"/>
  <c r="AJ438"/>
  <c r="S438"/>
  <c r="T438"/>
  <c r="AP438"/>
  <c r="AG438"/>
  <c r="AX438"/>
  <c r="AH438"/>
  <c r="N439"/>
  <c r="AJ439"/>
  <c r="S439"/>
  <c r="T439"/>
  <c r="AN439"/>
  <c r="AG439"/>
  <c r="AX439"/>
  <c r="AH439"/>
  <c r="N440"/>
  <c r="AJ440"/>
  <c r="S440"/>
  <c r="T440"/>
  <c r="AP440"/>
  <c r="AT440" s="1"/>
  <c r="AG440"/>
  <c r="AX440"/>
  <c r="AH440"/>
  <c r="N441"/>
  <c r="AJ441"/>
  <c r="S441"/>
  <c r="T441"/>
  <c r="AM441"/>
  <c r="AG441"/>
  <c r="AX441"/>
  <c r="AH441"/>
  <c r="N442"/>
  <c r="AJ442"/>
  <c r="S442"/>
  <c r="T442"/>
  <c r="AN442"/>
  <c r="AG442"/>
  <c r="AH442"/>
  <c r="N443"/>
  <c r="AJ443"/>
  <c r="S443"/>
  <c r="AO443"/>
  <c r="T443"/>
  <c r="AM443"/>
  <c r="AG443"/>
  <c r="AH443"/>
  <c r="N444"/>
  <c r="AJ444"/>
  <c r="S444"/>
  <c r="T444"/>
  <c r="AN444"/>
  <c r="AG444"/>
  <c r="AH444"/>
  <c r="N445"/>
  <c r="AJ445"/>
  <c r="S445"/>
  <c r="T445"/>
  <c r="AG445"/>
  <c r="AH445"/>
  <c r="N446"/>
  <c r="AJ446"/>
  <c r="S446"/>
  <c r="T446"/>
  <c r="AN446"/>
  <c r="AG446"/>
  <c r="AH446"/>
  <c r="N447"/>
  <c r="AJ447"/>
  <c r="S447"/>
  <c r="T447"/>
  <c r="AP447"/>
  <c r="AM447"/>
  <c r="AG447"/>
  <c r="AH447"/>
  <c r="N448"/>
  <c r="AJ448"/>
  <c r="S448"/>
  <c r="T448"/>
  <c r="AN448"/>
  <c r="AG448"/>
  <c r="AH448"/>
  <c r="N449"/>
  <c r="AJ449"/>
  <c r="S449"/>
  <c r="AO449"/>
  <c r="T449"/>
  <c r="AG449"/>
  <c r="AH449"/>
  <c r="N450"/>
  <c r="AJ450"/>
  <c r="S450"/>
  <c r="T450"/>
  <c r="AG450"/>
  <c r="AH450"/>
  <c r="N451"/>
  <c r="AJ451"/>
  <c r="S451"/>
  <c r="T451"/>
  <c r="AG451"/>
  <c r="AH451"/>
  <c r="N452"/>
  <c r="AJ452"/>
  <c r="S452"/>
  <c r="T452"/>
  <c r="AG452"/>
  <c r="AH452"/>
  <c r="N453"/>
  <c r="AJ453"/>
  <c r="S453"/>
  <c r="T453"/>
  <c r="AM453"/>
  <c r="AG453"/>
  <c r="AH453"/>
  <c r="N454"/>
  <c r="AJ454"/>
  <c r="S454"/>
  <c r="T454"/>
  <c r="AN454"/>
  <c r="AG454"/>
  <c r="AH454"/>
  <c r="N455"/>
  <c r="AJ455"/>
  <c r="S455"/>
  <c r="T455"/>
  <c r="AM455"/>
  <c r="AG455"/>
  <c r="AH455"/>
  <c r="AP455" s="1"/>
  <c r="N456"/>
  <c r="AJ456"/>
  <c r="S456"/>
  <c r="T456"/>
  <c r="AN456"/>
  <c r="AG456"/>
  <c r="AH456"/>
  <c r="N457"/>
  <c r="AJ457"/>
  <c r="S457"/>
  <c r="T457"/>
  <c r="AN457"/>
  <c r="AG457"/>
  <c r="AH457"/>
  <c r="N458"/>
  <c r="AJ458"/>
  <c r="S458"/>
  <c r="T458"/>
  <c r="AG458"/>
  <c r="AH458"/>
  <c r="N459"/>
  <c r="AJ459"/>
  <c r="S459"/>
  <c r="T459"/>
  <c r="AG459"/>
  <c r="AH459"/>
  <c r="N460"/>
  <c r="AJ460"/>
  <c r="S460"/>
  <c r="AO460"/>
  <c r="T460"/>
  <c r="AG460"/>
  <c r="AH460"/>
  <c r="N461"/>
  <c r="AJ461"/>
  <c r="S461"/>
  <c r="T461"/>
  <c r="AP461"/>
  <c r="AM461"/>
  <c r="AG461"/>
  <c r="AH461"/>
  <c r="N462"/>
  <c r="AJ462"/>
  <c r="S462"/>
  <c r="T462"/>
  <c r="AN462"/>
  <c r="AG462"/>
  <c r="AH462"/>
  <c r="N463"/>
  <c r="AJ463"/>
  <c r="S463"/>
  <c r="AO463"/>
  <c r="T463"/>
  <c r="AG463"/>
  <c r="AH463"/>
  <c r="N464"/>
  <c r="AJ464"/>
  <c r="S464"/>
  <c r="T464"/>
  <c r="AP464"/>
  <c r="AN464"/>
  <c r="AG464"/>
  <c r="AH464"/>
  <c r="N465"/>
  <c r="AJ465"/>
  <c r="S465"/>
  <c r="T465"/>
  <c r="AM465"/>
  <c r="AG465"/>
  <c r="AH465"/>
  <c r="N466"/>
  <c r="AJ466"/>
  <c r="S466"/>
  <c r="AO466"/>
  <c r="T466"/>
  <c r="AG466"/>
  <c r="AH466"/>
  <c r="N467"/>
  <c r="AJ467"/>
  <c r="S467"/>
  <c r="T467"/>
  <c r="AM467"/>
  <c r="AG467"/>
  <c r="AH467"/>
  <c r="AP467" s="1"/>
  <c r="N468"/>
  <c r="AJ468"/>
  <c r="S468"/>
  <c r="T468"/>
  <c r="AN468"/>
  <c r="AG468"/>
  <c r="AH468"/>
  <c r="N469"/>
  <c r="AJ469"/>
  <c r="S469"/>
  <c r="T469"/>
  <c r="AN469"/>
  <c r="AG469"/>
  <c r="AH469"/>
  <c r="N470"/>
  <c r="AJ470"/>
  <c r="S470"/>
  <c r="T470"/>
  <c r="AG470"/>
  <c r="AH470"/>
  <c r="N471"/>
  <c r="AJ471"/>
  <c r="S471"/>
  <c r="T471"/>
  <c r="AN471"/>
  <c r="AG471"/>
  <c r="AH471"/>
  <c r="N472"/>
  <c r="AJ472"/>
  <c r="S472"/>
  <c r="T472"/>
  <c r="AG472"/>
  <c r="AH472"/>
  <c r="N473"/>
  <c r="AJ473"/>
  <c r="S473"/>
  <c r="T473"/>
  <c r="AP473"/>
  <c r="AM473"/>
  <c r="AG473"/>
  <c r="AH473"/>
  <c r="N474"/>
  <c r="AJ474"/>
  <c r="S474"/>
  <c r="T474"/>
  <c r="AN474"/>
  <c r="AG474"/>
  <c r="J55" i="29"/>
  <c r="AH474" i="1"/>
  <c r="N475"/>
  <c r="AJ475"/>
  <c r="S475"/>
  <c r="AO475"/>
  <c r="T475"/>
  <c r="AG475"/>
  <c r="AH475"/>
  <c r="N476"/>
  <c r="AJ476"/>
  <c r="S476"/>
  <c r="T476"/>
  <c r="AP476"/>
  <c r="AG476"/>
  <c r="AH476"/>
  <c r="N477"/>
  <c r="AJ477"/>
  <c r="S477"/>
  <c r="AO477"/>
  <c r="T477"/>
  <c r="AM477"/>
  <c r="AG477"/>
  <c r="AH477"/>
  <c r="N478"/>
  <c r="AJ478"/>
  <c r="S478"/>
  <c r="AO478"/>
  <c r="T478"/>
  <c r="AP478"/>
  <c r="AG478"/>
  <c r="AH478"/>
  <c r="N479"/>
  <c r="AJ479"/>
  <c r="S479"/>
  <c r="T479"/>
  <c r="AM479"/>
  <c r="AG479"/>
  <c r="AH479"/>
  <c r="N480"/>
  <c r="AJ480"/>
  <c r="S480"/>
  <c r="T480"/>
  <c r="AN480"/>
  <c r="AG480"/>
  <c r="AH480"/>
  <c r="N481"/>
  <c r="AJ481"/>
  <c r="S481"/>
  <c r="T481"/>
  <c r="AN481"/>
  <c r="AG481"/>
  <c r="AH481"/>
  <c r="J50" i="29"/>
  <c r="N482" i="1"/>
  <c r="AJ482"/>
  <c r="S482"/>
  <c r="T482"/>
  <c r="AP482"/>
  <c r="AG482"/>
  <c r="AH482"/>
  <c r="N483"/>
  <c r="AJ483"/>
  <c r="S483"/>
  <c r="AO483"/>
  <c r="T483"/>
  <c r="AN483"/>
  <c r="AG483"/>
  <c r="AH483"/>
  <c r="N484"/>
  <c r="AJ484"/>
  <c r="S484"/>
  <c r="AO484"/>
  <c r="T484"/>
  <c r="AP484"/>
  <c r="AG484"/>
  <c r="AH484"/>
  <c r="N485"/>
  <c r="AJ485"/>
  <c r="S485"/>
  <c r="T485"/>
  <c r="AM485"/>
  <c r="AG485"/>
  <c r="AH485"/>
  <c r="N486"/>
  <c r="AJ486"/>
  <c r="S486"/>
  <c r="AO486"/>
  <c r="T486"/>
  <c r="AN486"/>
  <c r="AG486"/>
  <c r="AH486"/>
  <c r="N487"/>
  <c r="AJ487"/>
  <c r="S487"/>
  <c r="T487"/>
  <c r="AP487"/>
  <c r="AG487"/>
  <c r="AH487"/>
  <c r="N488"/>
  <c r="AJ488"/>
  <c r="S488"/>
  <c r="T488"/>
  <c r="AN488"/>
  <c r="AG488"/>
  <c r="AH488"/>
  <c r="N489"/>
  <c r="AJ489"/>
  <c r="S489"/>
  <c r="AO489"/>
  <c r="T489"/>
  <c r="AN489"/>
  <c r="AG489"/>
  <c r="AH489"/>
  <c r="N490"/>
  <c r="AJ490"/>
  <c r="S490"/>
  <c r="AO490"/>
  <c r="T490"/>
  <c r="AP490"/>
  <c r="AG490"/>
  <c r="AH490"/>
  <c r="N491"/>
  <c r="AJ491"/>
  <c r="S491"/>
  <c r="T491"/>
  <c r="AN491"/>
  <c r="AG491"/>
  <c r="AH491"/>
  <c r="N492"/>
  <c r="AJ492"/>
  <c r="S492"/>
  <c r="T492"/>
  <c r="AG492"/>
  <c r="AH492"/>
  <c r="N493"/>
  <c r="AJ493"/>
  <c r="S493"/>
  <c r="T493"/>
  <c r="AP493"/>
  <c r="AG493"/>
  <c r="AH493"/>
  <c r="N494"/>
  <c r="AJ494"/>
  <c r="S494"/>
  <c r="AO494"/>
  <c r="T494"/>
  <c r="AN494"/>
  <c r="AG494"/>
  <c r="AH494"/>
  <c r="N495"/>
  <c r="AJ495"/>
  <c r="S495"/>
  <c r="T495"/>
  <c r="AP495"/>
  <c r="AG495"/>
  <c r="AH495"/>
  <c r="N496"/>
  <c r="AJ496"/>
  <c r="S496"/>
  <c r="T496"/>
  <c r="AG496"/>
  <c r="AH496"/>
  <c r="N497"/>
  <c r="AJ497"/>
  <c r="S497"/>
  <c r="T497"/>
  <c r="AP497"/>
  <c r="AN497"/>
  <c r="AG497"/>
  <c r="AH497"/>
  <c r="N498"/>
  <c r="AJ498"/>
  <c r="S498"/>
  <c r="T498"/>
  <c r="AG498"/>
  <c r="AH498"/>
  <c r="N499"/>
  <c r="AJ499"/>
  <c r="S499"/>
  <c r="T499"/>
  <c r="AG499"/>
  <c r="AH499"/>
  <c r="N500"/>
  <c r="AJ500"/>
  <c r="S500"/>
  <c r="T500"/>
  <c r="AG500"/>
  <c r="AH500"/>
  <c r="N501"/>
  <c r="AJ501"/>
  <c r="S501"/>
  <c r="T501"/>
  <c r="AM501"/>
  <c r="AG501"/>
  <c r="AH501"/>
  <c r="N502"/>
  <c r="AJ502"/>
  <c r="S502"/>
  <c r="AO502"/>
  <c r="T502"/>
  <c r="AN502"/>
  <c r="AG502"/>
  <c r="AH502"/>
  <c r="N503"/>
  <c r="AJ503"/>
  <c r="S503"/>
  <c r="T503"/>
  <c r="AP503"/>
  <c r="AM503"/>
  <c r="AG503"/>
  <c r="AH503"/>
  <c r="N504"/>
  <c r="AJ504"/>
  <c r="S504"/>
  <c r="T504"/>
  <c r="AN504"/>
  <c r="AG504"/>
  <c r="AH504"/>
  <c r="N505"/>
  <c r="AJ505"/>
  <c r="S505"/>
  <c r="T505"/>
  <c r="AN505"/>
  <c r="AG505"/>
  <c r="AH505"/>
  <c r="N506"/>
  <c r="AJ506"/>
  <c r="S506"/>
  <c r="AO506"/>
  <c r="T506"/>
  <c r="AG506"/>
  <c r="AH506"/>
  <c r="N507"/>
  <c r="AJ507"/>
  <c r="S507"/>
  <c r="T507"/>
  <c r="AN507"/>
  <c r="AG507"/>
  <c r="AH507"/>
  <c r="N508"/>
  <c r="AJ508"/>
  <c r="S508"/>
  <c r="AO508"/>
  <c r="T508"/>
  <c r="AG508"/>
  <c r="AH508"/>
  <c r="J74" i="29"/>
  <c r="J74" i="30" s="1"/>
  <c r="N509" i="1"/>
  <c r="AJ509"/>
  <c r="S509"/>
  <c r="T509"/>
  <c r="AP509"/>
  <c r="AM509"/>
  <c r="AG509"/>
  <c r="AH509"/>
  <c r="N510"/>
  <c r="AJ510"/>
  <c r="S510"/>
  <c r="T510"/>
  <c r="AN510"/>
  <c r="AG510"/>
  <c r="AH510"/>
  <c r="N511"/>
  <c r="AJ511"/>
  <c r="S511"/>
  <c r="T511"/>
  <c r="AM511"/>
  <c r="AG511"/>
  <c r="AH511"/>
  <c r="N512"/>
  <c r="AJ512"/>
  <c r="S512"/>
  <c r="AO512"/>
  <c r="T512"/>
  <c r="AP512"/>
  <c r="AR512"/>
  <c r="AG512"/>
  <c r="AH512"/>
  <c r="N513"/>
  <c r="AJ513"/>
  <c r="S513"/>
  <c r="T513"/>
  <c r="AP513"/>
  <c r="AG513"/>
  <c r="AH513"/>
  <c r="N514"/>
  <c r="AJ514"/>
  <c r="S514"/>
  <c r="AO514"/>
  <c r="T514"/>
  <c r="AG514"/>
  <c r="AH514"/>
  <c r="N515"/>
  <c r="AJ515"/>
  <c r="S515"/>
  <c r="T515"/>
  <c r="AP515"/>
  <c r="AG515"/>
  <c r="AH515"/>
  <c r="N516"/>
  <c r="AJ516"/>
  <c r="S516"/>
  <c r="AO516"/>
  <c r="T516"/>
  <c r="AG516"/>
  <c r="AH516"/>
  <c r="N517"/>
  <c r="AJ517"/>
  <c r="S517"/>
  <c r="T517"/>
  <c r="AP517"/>
  <c r="AM517"/>
  <c r="AG517"/>
  <c r="AH517"/>
  <c r="N518"/>
  <c r="AJ518"/>
  <c r="S518"/>
  <c r="T518"/>
  <c r="AN518"/>
  <c r="AG518"/>
  <c r="AH518"/>
  <c r="N519"/>
  <c r="AJ519"/>
  <c r="S519"/>
  <c r="T519"/>
  <c r="AM519"/>
  <c r="AG519"/>
  <c r="AH519"/>
  <c r="N520"/>
  <c r="AJ520"/>
  <c r="S520"/>
  <c r="AO520"/>
  <c r="T520"/>
  <c r="AG520"/>
  <c r="AH520"/>
  <c r="N521"/>
  <c r="AJ521"/>
  <c r="S521"/>
  <c r="T521"/>
  <c r="AN521"/>
  <c r="AG521"/>
  <c r="AH521"/>
  <c r="N522"/>
  <c r="AJ522"/>
  <c r="S522"/>
  <c r="AO522"/>
  <c r="T522"/>
  <c r="AP522"/>
  <c r="AG522"/>
  <c r="AH522"/>
  <c r="N523"/>
  <c r="AJ523"/>
  <c r="S523"/>
  <c r="T523"/>
  <c r="AN523"/>
  <c r="AG523"/>
  <c r="AH523"/>
  <c r="N524"/>
  <c r="AJ524"/>
  <c r="S524"/>
  <c r="T524"/>
  <c r="AG524"/>
  <c r="AH524"/>
  <c r="N525"/>
  <c r="AJ525"/>
  <c r="S525"/>
  <c r="T525"/>
  <c r="AM525"/>
  <c r="AG525"/>
  <c r="AH525"/>
  <c r="AP525" s="1"/>
  <c r="N526"/>
  <c r="AJ526"/>
  <c r="S526"/>
  <c r="T526"/>
  <c r="AN526"/>
  <c r="AG526"/>
  <c r="AH526"/>
  <c r="N527"/>
  <c r="AJ527"/>
  <c r="S527"/>
  <c r="AO527"/>
  <c r="T527"/>
  <c r="AG527"/>
  <c r="AH527"/>
  <c r="N528"/>
  <c r="AJ528"/>
  <c r="S528"/>
  <c r="T528"/>
  <c r="AN528"/>
  <c r="AG528"/>
  <c r="AH528"/>
  <c r="N529"/>
  <c r="AJ529"/>
  <c r="S529"/>
  <c r="AO529"/>
  <c r="T529"/>
  <c r="AN529"/>
  <c r="AG529"/>
  <c r="AH529"/>
  <c r="N530"/>
  <c r="AJ530"/>
  <c r="S530"/>
  <c r="T530"/>
  <c r="AP530"/>
  <c r="AG530"/>
  <c r="AH530"/>
  <c r="N531"/>
  <c r="AJ531"/>
  <c r="S531"/>
  <c r="AO531"/>
  <c r="T531"/>
  <c r="AG531"/>
  <c r="AH531"/>
  <c r="N532"/>
  <c r="AJ532"/>
  <c r="S532"/>
  <c r="T532"/>
  <c r="AP532"/>
  <c r="AG532"/>
  <c r="AH532"/>
  <c r="N533"/>
  <c r="AJ533"/>
  <c r="S533"/>
  <c r="AO533"/>
  <c r="T533"/>
  <c r="AM533"/>
  <c r="AG533"/>
  <c r="AH533"/>
  <c r="N534"/>
  <c r="AJ534"/>
  <c r="S534"/>
  <c r="T534"/>
  <c r="AN534"/>
  <c r="AG534"/>
  <c r="AH534"/>
  <c r="N535"/>
  <c r="AJ535"/>
  <c r="S535"/>
  <c r="AO535"/>
  <c r="T535"/>
  <c r="AM535"/>
  <c r="AG535"/>
  <c r="AH535"/>
  <c r="N536"/>
  <c r="AJ536"/>
  <c r="S536"/>
  <c r="T536"/>
  <c r="AP536"/>
  <c r="AN536"/>
  <c r="AG536"/>
  <c r="AH536"/>
  <c r="N537"/>
  <c r="AJ537"/>
  <c r="S537"/>
  <c r="T537"/>
  <c r="AN537"/>
  <c r="AG537"/>
  <c r="AH537"/>
  <c r="N538"/>
  <c r="AJ538"/>
  <c r="S538"/>
  <c r="T538"/>
  <c r="AG538"/>
  <c r="AH538"/>
  <c r="N539"/>
  <c r="AJ539"/>
  <c r="S539"/>
  <c r="T539"/>
  <c r="AN539"/>
  <c r="AG539"/>
  <c r="AH539"/>
  <c r="N540"/>
  <c r="AJ540"/>
  <c r="S540"/>
  <c r="AO540"/>
  <c r="T540"/>
  <c r="AG540"/>
  <c r="AH540"/>
  <c r="N541"/>
  <c r="AJ541"/>
  <c r="S541"/>
  <c r="T541"/>
  <c r="AP541"/>
  <c r="AM541"/>
  <c r="AG541"/>
  <c r="AH541"/>
  <c r="N542"/>
  <c r="AJ542"/>
  <c r="S542"/>
  <c r="T542"/>
  <c r="AP542"/>
  <c r="AN542"/>
  <c r="AG542"/>
  <c r="AH542"/>
  <c r="N543"/>
  <c r="AJ543"/>
  <c r="S543"/>
  <c r="T543"/>
  <c r="AM543"/>
  <c r="AG543"/>
  <c r="AH543"/>
  <c r="N544"/>
  <c r="AJ544"/>
  <c r="S544"/>
  <c r="T544"/>
  <c r="AP544"/>
  <c r="AT544"/>
  <c r="AG544"/>
  <c r="AH544"/>
  <c r="N545"/>
  <c r="AJ545"/>
  <c r="S545"/>
  <c r="T545"/>
  <c r="AG545"/>
  <c r="AH545"/>
  <c r="N546"/>
  <c r="AJ546"/>
  <c r="S546"/>
  <c r="AO546"/>
  <c r="T546"/>
  <c r="AP546"/>
  <c r="AR546"/>
  <c r="AG546"/>
  <c r="AH546"/>
  <c r="N547"/>
  <c r="AJ547"/>
  <c r="S547"/>
  <c r="AO547"/>
  <c r="T547"/>
  <c r="AN547"/>
  <c r="AG547"/>
  <c r="AH547"/>
  <c r="N548"/>
  <c r="AJ548"/>
  <c r="S548"/>
  <c r="T548"/>
  <c r="AG548"/>
  <c r="AH548"/>
  <c r="N549"/>
  <c r="AJ549"/>
  <c r="S549"/>
  <c r="AO549"/>
  <c r="T549"/>
  <c r="AP549"/>
  <c r="AM549"/>
  <c r="AG549"/>
  <c r="AH549"/>
  <c r="N550"/>
  <c r="AJ550"/>
  <c r="S550"/>
  <c r="AO550"/>
  <c r="T550"/>
  <c r="AP550"/>
  <c r="AN550"/>
  <c r="AG550"/>
  <c r="AH550"/>
  <c r="A551"/>
  <c r="N551"/>
  <c r="AJ551"/>
  <c r="S551"/>
  <c r="AO551"/>
  <c r="T551"/>
  <c r="AN551"/>
  <c r="AG551"/>
  <c r="AH551"/>
  <c r="S552"/>
  <c r="T552"/>
  <c r="AP552"/>
  <c r="AN552"/>
  <c r="AG552"/>
  <c r="AH552"/>
  <c r="S553"/>
  <c r="T553"/>
  <c r="AN553"/>
  <c r="AG553"/>
  <c r="AH553"/>
  <c r="N554"/>
  <c r="AJ554"/>
  <c r="S554"/>
  <c r="AO554"/>
  <c r="T554"/>
  <c r="AP554"/>
  <c r="AN554"/>
  <c r="AG554"/>
  <c r="AH554"/>
  <c r="N555"/>
  <c r="AJ555"/>
  <c r="S555"/>
  <c r="T555"/>
  <c r="AP555"/>
  <c r="AM555"/>
  <c r="AG555"/>
  <c r="AH555"/>
  <c r="N556"/>
  <c r="AJ556"/>
  <c r="S556"/>
  <c r="T556"/>
  <c r="AP556"/>
  <c r="AN556"/>
  <c r="AG556"/>
  <c r="AH556"/>
  <c r="A557"/>
  <c r="N557"/>
  <c r="AJ557"/>
  <c r="S557"/>
  <c r="T557"/>
  <c r="AG557"/>
  <c r="AH557"/>
  <c r="S558"/>
  <c r="T558"/>
  <c r="AN558"/>
  <c r="AG558"/>
  <c r="AH558"/>
  <c r="S559"/>
  <c r="T559"/>
  <c r="AP559"/>
  <c r="AN559"/>
  <c r="AG559"/>
  <c r="AH559"/>
  <c r="N560"/>
  <c r="AJ560"/>
  <c r="S560"/>
  <c r="T560"/>
  <c r="AG560"/>
  <c r="AH560"/>
  <c r="N561"/>
  <c r="AJ561"/>
  <c r="S561"/>
  <c r="T561"/>
  <c r="AP561"/>
  <c r="AT561"/>
  <c r="AG561"/>
  <c r="AH561"/>
  <c r="AM561"/>
  <c r="A562"/>
  <c r="S562"/>
  <c r="T562"/>
  <c r="AG562"/>
  <c r="AH562"/>
  <c r="S563"/>
  <c r="T563"/>
  <c r="AP563"/>
  <c r="AM563"/>
  <c r="AG563"/>
  <c r="AH563"/>
  <c r="S564"/>
  <c r="T564"/>
  <c r="AP564"/>
  <c r="AG564"/>
  <c r="AH564"/>
  <c r="N565"/>
  <c r="AJ565"/>
  <c r="S565"/>
  <c r="T565"/>
  <c r="AN565"/>
  <c r="AG565"/>
  <c r="AH565"/>
  <c r="N566"/>
  <c r="AJ566"/>
  <c r="T566"/>
  <c r="AP566" s="1"/>
  <c r="AT566" s="1"/>
  <c r="AN566"/>
  <c r="N567"/>
  <c r="AJ567"/>
  <c r="T567"/>
  <c r="AM567"/>
  <c r="AN567"/>
  <c r="N568"/>
  <c r="AJ568"/>
  <c r="T568"/>
  <c r="AP568" s="1"/>
  <c r="AT568" s="1"/>
  <c r="AN568"/>
  <c r="N569"/>
  <c r="AJ569"/>
  <c r="AM569"/>
  <c r="AN569"/>
  <c r="N570"/>
  <c r="AJ570"/>
  <c r="AN570"/>
  <c r="N571"/>
  <c r="AJ571"/>
  <c r="T571"/>
  <c r="AP571" s="1"/>
  <c r="AT571" s="1"/>
  <c r="AN571"/>
  <c r="N572"/>
  <c r="AJ572"/>
  <c r="N573"/>
  <c r="AJ573"/>
  <c r="AM573"/>
  <c r="N574"/>
  <c r="AJ574"/>
  <c r="AN574"/>
  <c r="N575"/>
  <c r="AJ575"/>
  <c r="N576"/>
  <c r="AJ576"/>
  <c r="T576"/>
  <c r="AH576"/>
  <c r="N577"/>
  <c r="AJ577"/>
  <c r="T577"/>
  <c r="AM577"/>
  <c r="AH577"/>
  <c r="N578"/>
  <c r="AJ578"/>
  <c r="T578"/>
  <c r="AN578"/>
  <c r="AH578"/>
  <c r="J52" i="29" s="1"/>
  <c r="N579" i="1"/>
  <c r="AJ579"/>
  <c r="AM579"/>
  <c r="N580"/>
  <c r="AN580"/>
  <c r="AJ580"/>
  <c r="N581"/>
  <c r="AJ581"/>
  <c r="AN581"/>
  <c r="N582"/>
  <c r="AJ582"/>
  <c r="N583"/>
  <c r="AJ583"/>
  <c r="AN583"/>
  <c r="N584"/>
  <c r="AJ584"/>
  <c r="N585"/>
  <c r="AJ585"/>
  <c r="N586"/>
  <c r="AJ586"/>
  <c r="AN586"/>
  <c r="N587"/>
  <c r="AJ587"/>
  <c r="D104" i="29"/>
  <c r="D104" i="30" s="1"/>
  <c r="M104" s="1"/>
  <c r="AM587" i="1"/>
  <c r="J104" i="29"/>
  <c r="J104" i="30"/>
  <c r="N588" i="1"/>
  <c r="AJ588"/>
  <c r="S588"/>
  <c r="T588"/>
  <c r="AP588"/>
  <c r="AN588"/>
  <c r="AG588"/>
  <c r="AH588"/>
  <c r="N589"/>
  <c r="AJ589"/>
  <c r="S589"/>
  <c r="AO589"/>
  <c r="T589"/>
  <c r="AM589"/>
  <c r="AG589"/>
  <c r="AH589"/>
  <c r="N590"/>
  <c r="AJ590"/>
  <c r="S590"/>
  <c r="T590"/>
  <c r="AR590"/>
  <c r="AN590"/>
  <c r="AG590"/>
  <c r="AH590"/>
  <c r="AP590" s="1"/>
  <c r="N591"/>
  <c r="AJ591"/>
  <c r="S591"/>
  <c r="AO591"/>
  <c r="T591"/>
  <c r="AP591"/>
  <c r="AG591"/>
  <c r="AH591"/>
  <c r="N592"/>
  <c r="AJ592"/>
  <c r="S592"/>
  <c r="T592"/>
  <c r="AN592"/>
  <c r="AG592"/>
  <c r="AH592"/>
  <c r="N593"/>
  <c r="AJ593"/>
  <c r="S593"/>
  <c r="T593"/>
  <c r="AG593"/>
  <c r="AH593"/>
  <c r="N594"/>
  <c r="AJ594"/>
  <c r="S594"/>
  <c r="T594"/>
  <c r="AN594"/>
  <c r="AG594"/>
  <c r="AH594"/>
  <c r="N595"/>
  <c r="AJ595"/>
  <c r="S595"/>
  <c r="AO595"/>
  <c r="T595"/>
  <c r="AM595"/>
  <c r="AG595"/>
  <c r="AH595"/>
  <c r="N596"/>
  <c r="AJ596"/>
  <c r="S596"/>
  <c r="T596"/>
  <c r="AN596"/>
  <c r="AG596"/>
  <c r="AH596"/>
  <c r="N597"/>
  <c r="AJ597"/>
  <c r="S597"/>
  <c r="AO597"/>
  <c r="T597"/>
  <c r="AN597"/>
  <c r="AG597"/>
  <c r="AH597"/>
  <c r="N598"/>
  <c r="AJ598"/>
  <c r="S598"/>
  <c r="AO598"/>
  <c r="T598"/>
  <c r="AP598"/>
  <c r="AG598"/>
  <c r="AH598"/>
  <c r="N599"/>
  <c r="AJ599"/>
  <c r="S599"/>
  <c r="T599"/>
  <c r="AG599"/>
  <c r="AH599"/>
  <c r="J108" i="29"/>
  <c r="N600" i="1"/>
  <c r="AJ600"/>
  <c r="S600"/>
  <c r="T600"/>
  <c r="AP600"/>
  <c r="AR600"/>
  <c r="AG600"/>
  <c r="AH600"/>
  <c r="AJ601"/>
  <c r="N602"/>
  <c r="AJ602"/>
  <c r="S602"/>
  <c r="T602"/>
  <c r="AM602"/>
  <c r="AG602"/>
  <c r="AH602"/>
  <c r="N603"/>
  <c r="AJ603"/>
  <c r="S603"/>
  <c r="T603"/>
  <c r="AM603"/>
  <c r="AN603"/>
  <c r="AG603"/>
  <c r="AH603"/>
  <c r="N604"/>
  <c r="AN604"/>
  <c r="AJ604"/>
  <c r="N605"/>
  <c r="AJ605"/>
  <c r="S605"/>
  <c r="T605"/>
  <c r="AM605"/>
  <c r="AG605"/>
  <c r="AH605"/>
  <c r="N606"/>
  <c r="AJ606"/>
  <c r="S606"/>
  <c r="T606"/>
  <c r="AR606"/>
  <c r="AG606"/>
  <c r="AH606"/>
  <c r="AP606" s="1"/>
  <c r="N607"/>
  <c r="AJ607"/>
  <c r="S607"/>
  <c r="T607"/>
  <c r="AM607"/>
  <c r="AG607"/>
  <c r="AH607"/>
  <c r="N608"/>
  <c r="AJ608"/>
  <c r="AN608"/>
  <c r="N609"/>
  <c r="AJ609"/>
  <c r="S609"/>
  <c r="AO609"/>
  <c r="T609"/>
  <c r="AP609"/>
  <c r="AM609"/>
  <c r="AG609"/>
  <c r="AH609"/>
  <c r="N610"/>
  <c r="AJ610"/>
  <c r="S610"/>
  <c r="T610"/>
  <c r="AR610"/>
  <c r="AN610"/>
  <c r="AG610"/>
  <c r="AH610"/>
  <c r="N611"/>
  <c r="AJ611"/>
  <c r="S611"/>
  <c r="T611"/>
  <c r="AP611"/>
  <c r="AM611"/>
  <c r="AG611"/>
  <c r="AH611"/>
  <c r="N612"/>
  <c r="S612"/>
  <c r="T612"/>
  <c r="AN612"/>
  <c r="AG612"/>
  <c r="AH612"/>
  <c r="AJ612"/>
  <c r="N613"/>
  <c r="AJ613"/>
  <c r="S613"/>
  <c r="T613"/>
  <c r="AM613"/>
  <c r="AG613"/>
  <c r="AH613"/>
  <c r="N614"/>
  <c r="AJ614"/>
  <c r="S614"/>
  <c r="T614"/>
  <c r="AN614"/>
  <c r="AG614"/>
  <c r="AH614"/>
  <c r="N615"/>
  <c r="AJ615"/>
  <c r="S615"/>
  <c r="T615"/>
  <c r="AM615"/>
  <c r="AG615"/>
  <c r="AH615"/>
  <c r="N616"/>
  <c r="AJ616"/>
  <c r="S616"/>
  <c r="T616"/>
  <c r="AN616"/>
  <c r="AG616"/>
  <c r="AH616"/>
  <c r="N617"/>
  <c r="AJ617"/>
  <c r="S617"/>
  <c r="T617"/>
  <c r="AG617"/>
  <c r="AH617"/>
  <c r="AP617" s="1"/>
  <c r="N618"/>
  <c r="AJ618"/>
  <c r="S618"/>
  <c r="T618"/>
  <c r="AG618"/>
  <c r="AH618"/>
  <c r="N619"/>
  <c r="AJ619"/>
  <c r="S619"/>
  <c r="T619"/>
  <c r="AG619"/>
  <c r="AH619"/>
  <c r="AP619" s="1"/>
  <c r="N620"/>
  <c r="AJ620"/>
  <c r="S620"/>
  <c r="AO620"/>
  <c r="T620"/>
  <c r="AM620"/>
  <c r="AG620"/>
  <c r="AH620"/>
  <c r="N621"/>
  <c r="AJ621"/>
  <c r="S621"/>
  <c r="T621"/>
  <c r="AG621"/>
  <c r="AH621"/>
  <c r="N622"/>
  <c r="AJ622"/>
  <c r="S622"/>
  <c r="T622"/>
  <c r="AG622"/>
  <c r="AH622"/>
  <c r="J18" i="29"/>
  <c r="N623" i="1"/>
  <c r="AJ623"/>
  <c r="S623"/>
  <c r="T623"/>
  <c r="AG623"/>
  <c r="AH623"/>
  <c r="A624"/>
  <c r="N624"/>
  <c r="AJ624"/>
  <c r="S624"/>
  <c r="AO624"/>
  <c r="T624"/>
  <c r="AG624"/>
  <c r="AH624"/>
  <c r="N625"/>
  <c r="AJ625"/>
  <c r="S625"/>
  <c r="T625"/>
  <c r="AR625"/>
  <c r="AM625"/>
  <c r="AG625"/>
  <c r="AH625"/>
  <c r="N626"/>
  <c r="AJ626"/>
  <c r="S626"/>
  <c r="T626"/>
  <c r="AP626"/>
  <c r="AG626"/>
  <c r="AH626"/>
  <c r="N627"/>
  <c r="AJ627"/>
  <c r="S627"/>
  <c r="AO627"/>
  <c r="T627"/>
  <c r="AM627"/>
  <c r="AG627"/>
  <c r="AH627"/>
  <c r="N628"/>
  <c r="AJ628"/>
  <c r="S628"/>
  <c r="AO628"/>
  <c r="T628"/>
  <c r="AP628"/>
  <c r="AG628"/>
  <c r="AH628"/>
  <c r="N629"/>
  <c r="AJ629"/>
  <c r="S629"/>
  <c r="T629"/>
  <c r="AM629"/>
  <c r="AG629"/>
  <c r="AH629"/>
  <c r="N630"/>
  <c r="AJ630"/>
  <c r="S630"/>
  <c r="T630"/>
  <c r="AG630"/>
  <c r="AH630"/>
  <c r="N631"/>
  <c r="AJ631"/>
  <c r="S631"/>
  <c r="T631"/>
  <c r="AM631"/>
  <c r="AG631"/>
  <c r="AH631"/>
  <c r="N632"/>
  <c r="AJ632"/>
  <c r="S632"/>
  <c r="T632"/>
  <c r="AN632"/>
  <c r="AG632"/>
  <c r="AH632"/>
  <c r="N633"/>
  <c r="AJ633"/>
  <c r="S633"/>
  <c r="AO633"/>
  <c r="T633"/>
  <c r="AG633"/>
  <c r="AH633"/>
  <c r="N634"/>
  <c r="AJ634"/>
  <c r="S634"/>
  <c r="T634"/>
  <c r="AR634"/>
  <c r="AG634"/>
  <c r="AH634"/>
  <c r="AP634" s="1"/>
  <c r="N635"/>
  <c r="AJ635"/>
  <c r="S635"/>
  <c r="T635"/>
  <c r="AR635"/>
  <c r="AG635"/>
  <c r="AH635"/>
  <c r="N636"/>
  <c r="AJ636"/>
  <c r="S636"/>
  <c r="AO636"/>
  <c r="T636"/>
  <c r="AG636"/>
  <c r="AH636"/>
  <c r="N637"/>
  <c r="AJ637"/>
  <c r="S637"/>
  <c r="T637"/>
  <c r="AP637"/>
  <c r="AG637"/>
  <c r="J26" i="29"/>
  <c r="J26" i="30" s="1"/>
  <c r="AH637" i="1"/>
  <c r="N638"/>
  <c r="AJ638"/>
  <c r="S638"/>
  <c r="T638"/>
  <c r="AG638"/>
  <c r="AH638"/>
  <c r="N639"/>
  <c r="AJ639"/>
  <c r="S639"/>
  <c r="T639"/>
  <c r="AP639"/>
  <c r="AG639"/>
  <c r="AH639"/>
  <c r="AN639"/>
  <c r="N640"/>
  <c r="AJ640"/>
  <c r="AN640"/>
  <c r="N641"/>
  <c r="AJ641"/>
  <c r="S641"/>
  <c r="AO641"/>
  <c r="T641"/>
  <c r="AM641"/>
  <c r="AG641"/>
  <c r="AH641"/>
  <c r="N642"/>
  <c r="AJ642"/>
  <c r="S642"/>
  <c r="T642"/>
  <c r="AR642"/>
  <c r="AN642"/>
  <c r="AG642"/>
  <c r="AH642"/>
  <c r="N643"/>
  <c r="AJ643"/>
  <c r="S643"/>
  <c r="AO643"/>
  <c r="T643"/>
  <c r="AP643"/>
  <c r="AM643"/>
  <c r="AG643"/>
  <c r="AH643"/>
  <c r="N644"/>
  <c r="AJ644"/>
  <c r="S644"/>
  <c r="T644"/>
  <c r="AP644"/>
  <c r="AG644"/>
  <c r="AH644"/>
  <c r="N645"/>
  <c r="AJ645"/>
  <c r="S645"/>
  <c r="AO645"/>
  <c r="T645"/>
  <c r="AG645"/>
  <c r="AH645"/>
  <c r="AN645"/>
  <c r="N646"/>
  <c r="AJ646"/>
  <c r="S646"/>
  <c r="AO646"/>
  <c r="T646"/>
  <c r="AP646"/>
  <c r="AR646"/>
  <c r="AG646"/>
  <c r="AH646"/>
  <c r="N647"/>
  <c r="AJ647"/>
  <c r="S647"/>
  <c r="T647"/>
  <c r="AG647"/>
  <c r="AH647"/>
  <c r="AP647" s="1"/>
  <c r="AN647"/>
  <c r="N648"/>
  <c r="AJ648"/>
  <c r="S648"/>
  <c r="T648"/>
  <c r="AR648"/>
  <c r="AG648"/>
  <c r="AH648"/>
  <c r="N649"/>
  <c r="AJ649"/>
  <c r="S649"/>
  <c r="AO649"/>
  <c r="T649"/>
  <c r="AM649"/>
  <c r="AG649"/>
  <c r="AH649"/>
  <c r="N650"/>
  <c r="AJ650"/>
  <c r="S650"/>
  <c r="AO650"/>
  <c r="T650"/>
  <c r="AP650"/>
  <c r="AN650"/>
  <c r="AG650"/>
  <c r="AH650"/>
  <c r="N651"/>
  <c r="AJ651"/>
  <c r="S651"/>
  <c r="T651"/>
  <c r="AM651"/>
  <c r="AG651"/>
  <c r="AH651"/>
  <c r="N652"/>
  <c r="AJ652"/>
  <c r="S652"/>
  <c r="AO652"/>
  <c r="T652"/>
  <c r="AP652"/>
  <c r="AN652"/>
  <c r="AG652"/>
  <c r="AH652"/>
  <c r="N653"/>
  <c r="AJ653"/>
  <c r="S653"/>
  <c r="T653"/>
  <c r="AP653"/>
  <c r="AG653"/>
  <c r="AH653"/>
  <c r="N654"/>
  <c r="AJ654"/>
  <c r="S654"/>
  <c r="T654"/>
  <c r="AM654"/>
  <c r="AG654"/>
  <c r="AH654"/>
  <c r="N655"/>
  <c r="AJ655"/>
  <c r="S655"/>
  <c r="AO655"/>
  <c r="T655"/>
  <c r="AN655"/>
  <c r="AG655"/>
  <c r="AH655"/>
  <c r="N656"/>
  <c r="AJ656"/>
  <c r="S656"/>
  <c r="T656"/>
  <c r="AP656"/>
  <c r="AG656"/>
  <c r="AH656"/>
  <c r="N657"/>
  <c r="AJ657"/>
  <c r="S657"/>
  <c r="AO657"/>
  <c r="T657"/>
  <c r="AM657"/>
  <c r="AG657"/>
  <c r="AH657"/>
  <c r="N658"/>
  <c r="AJ658"/>
  <c r="S658"/>
  <c r="T658"/>
  <c r="AN658"/>
  <c r="AG658"/>
  <c r="AH658"/>
  <c r="N659"/>
  <c r="AJ659"/>
  <c r="S659"/>
  <c r="AO659"/>
  <c r="T659"/>
  <c r="AP659"/>
  <c r="AM659"/>
  <c r="AG659"/>
  <c r="AH659"/>
  <c r="N660"/>
  <c r="AJ660"/>
  <c r="S660"/>
  <c r="T660"/>
  <c r="AP660"/>
  <c r="AN660"/>
  <c r="AG660"/>
  <c r="AH660"/>
  <c r="N661"/>
  <c r="AJ661"/>
  <c r="S661"/>
  <c r="AO661"/>
  <c r="T661"/>
  <c r="AG661"/>
  <c r="AH661"/>
  <c r="N662"/>
  <c r="AJ662"/>
  <c r="S662"/>
  <c r="T662"/>
  <c r="AP662"/>
  <c r="AG662"/>
  <c r="AH662"/>
  <c r="N663"/>
  <c r="AJ663"/>
  <c r="S663"/>
  <c r="AO663"/>
  <c r="T663"/>
  <c r="AN663"/>
  <c r="AG663"/>
  <c r="AH663"/>
  <c r="N664"/>
  <c r="AJ664"/>
  <c r="S664"/>
  <c r="AO664"/>
  <c r="T664"/>
  <c r="AP664"/>
  <c r="AR664"/>
  <c r="AG664"/>
  <c r="AH664"/>
  <c r="N665"/>
  <c r="AJ665"/>
  <c r="S665"/>
  <c r="T665"/>
  <c r="AP665"/>
  <c r="AG665"/>
  <c r="AH665"/>
  <c r="N666"/>
  <c r="AJ666"/>
  <c r="S666"/>
  <c r="AO666"/>
  <c r="T666"/>
  <c r="AN666"/>
  <c r="AG666"/>
  <c r="AH666"/>
  <c r="N667"/>
  <c r="AJ667"/>
  <c r="AM667"/>
  <c r="AN667"/>
  <c r="N668"/>
  <c r="AJ668"/>
  <c r="S668"/>
  <c r="AO668"/>
  <c r="T668"/>
  <c r="AP668"/>
  <c r="AN668"/>
  <c r="AG668"/>
  <c r="AH668"/>
  <c r="N669"/>
  <c r="AJ669"/>
  <c r="S669"/>
  <c r="AO669"/>
  <c r="T669"/>
  <c r="AP669"/>
  <c r="AN669"/>
  <c r="AG669"/>
  <c r="AH669"/>
  <c r="N670"/>
  <c r="AJ670"/>
  <c r="S670"/>
  <c r="AO670"/>
  <c r="T670"/>
  <c r="AR670"/>
  <c r="AG670"/>
  <c r="AH670"/>
  <c r="N671"/>
  <c r="AJ671"/>
  <c r="S671"/>
  <c r="AO671"/>
  <c r="T671"/>
  <c r="AN671"/>
  <c r="AG671"/>
  <c r="AH671"/>
  <c r="N672"/>
  <c r="AJ672"/>
  <c r="S672"/>
  <c r="AO672"/>
  <c r="T672"/>
  <c r="AP672"/>
  <c r="AG672"/>
  <c r="AH672"/>
  <c r="N673"/>
  <c r="AJ673"/>
  <c r="S673"/>
  <c r="T673"/>
  <c r="AP673"/>
  <c r="AN673"/>
  <c r="AG673"/>
  <c r="AH673"/>
  <c r="N674"/>
  <c r="AJ674"/>
  <c r="S674"/>
  <c r="AO674"/>
  <c r="T674"/>
  <c r="AG674"/>
  <c r="AH674"/>
  <c r="N675"/>
  <c r="AJ675"/>
  <c r="S675"/>
  <c r="T675"/>
  <c r="AP675"/>
  <c r="AG675"/>
  <c r="AH675"/>
  <c r="N676"/>
  <c r="AJ676"/>
  <c r="S676"/>
  <c r="AO676"/>
  <c r="T676"/>
  <c r="AN676"/>
  <c r="AG676"/>
  <c r="AH676"/>
  <c r="N677"/>
  <c r="AJ677"/>
  <c r="S677"/>
  <c r="AO677"/>
  <c r="AT677" s="1"/>
  <c r="T677"/>
  <c r="AP677"/>
  <c r="AG677"/>
  <c r="AH677"/>
  <c r="N678"/>
  <c r="AJ678"/>
  <c r="S678"/>
  <c r="T678"/>
  <c r="AN678"/>
  <c r="AG678"/>
  <c r="AH678"/>
  <c r="N679"/>
  <c r="AJ679"/>
  <c r="S679"/>
  <c r="T679"/>
  <c r="AN679"/>
  <c r="AG679"/>
  <c r="AH679"/>
  <c r="N680"/>
  <c r="AJ680"/>
  <c r="S680"/>
  <c r="T680"/>
  <c r="AG680"/>
  <c r="AH680"/>
  <c r="N681"/>
  <c r="AJ681"/>
  <c r="S681"/>
  <c r="T681"/>
  <c r="AN681"/>
  <c r="AG681"/>
  <c r="AH681"/>
  <c r="N682"/>
  <c r="AJ682"/>
  <c r="S682"/>
  <c r="AO682"/>
  <c r="T682"/>
  <c r="AG682"/>
  <c r="AH682"/>
  <c r="N683"/>
  <c r="AJ683"/>
  <c r="S683"/>
  <c r="T683"/>
  <c r="AP683"/>
  <c r="AM683"/>
  <c r="AG683"/>
  <c r="AH683"/>
  <c r="N684"/>
  <c r="AJ684"/>
  <c r="S684"/>
  <c r="T684"/>
  <c r="AR684"/>
  <c r="AG684"/>
  <c r="AH684"/>
  <c r="N685"/>
  <c r="AJ685"/>
  <c r="S685"/>
  <c r="AO685"/>
  <c r="T685"/>
  <c r="AM685"/>
  <c r="AG685"/>
  <c r="AH685"/>
  <c r="N686"/>
  <c r="AJ686"/>
  <c r="S686"/>
  <c r="AO686"/>
  <c r="T686"/>
  <c r="AP686"/>
  <c r="AG686"/>
  <c r="AH686"/>
  <c r="N687"/>
  <c r="AJ687"/>
  <c r="S687"/>
  <c r="T687"/>
  <c r="AN687"/>
  <c r="AG687"/>
  <c r="AH687"/>
  <c r="N688"/>
  <c r="AJ688"/>
  <c r="S688"/>
  <c r="AO688"/>
  <c r="T688"/>
  <c r="AG688"/>
  <c r="AH688"/>
  <c r="N689"/>
  <c r="AJ689"/>
  <c r="S689"/>
  <c r="T689"/>
  <c r="AP689"/>
  <c r="AG689"/>
  <c r="AH689"/>
  <c r="N690"/>
  <c r="AJ690"/>
  <c r="S690"/>
  <c r="AO690"/>
  <c r="T690"/>
  <c r="AM690"/>
  <c r="AG690"/>
  <c r="AH690"/>
  <c r="N691"/>
  <c r="AJ691"/>
  <c r="S691"/>
  <c r="AO691"/>
  <c r="T691"/>
  <c r="AP691"/>
  <c r="AG691"/>
  <c r="AH691"/>
  <c r="N692"/>
  <c r="AJ692"/>
  <c r="S692"/>
  <c r="T692"/>
  <c r="AN692"/>
  <c r="AG692"/>
  <c r="AH692"/>
  <c r="N693"/>
  <c r="AJ693"/>
  <c r="S693"/>
  <c r="T693"/>
  <c r="AG693"/>
  <c r="AH693"/>
  <c r="N694"/>
  <c r="AJ694"/>
  <c r="S694"/>
  <c r="T694"/>
  <c r="AP694"/>
  <c r="AR694"/>
  <c r="AG694"/>
  <c r="AH694"/>
  <c r="N695"/>
  <c r="AJ695"/>
  <c r="S695"/>
  <c r="T695"/>
  <c r="AN695"/>
  <c r="AG695"/>
  <c r="AH695"/>
  <c r="N696"/>
  <c r="AJ696"/>
  <c r="S696"/>
  <c r="AO696"/>
  <c r="T696"/>
  <c r="AG696"/>
  <c r="AH696"/>
  <c r="N697"/>
  <c r="AJ697"/>
  <c r="S697"/>
  <c r="T697"/>
  <c r="AP697"/>
  <c r="AG697"/>
  <c r="AH697"/>
  <c r="N698"/>
  <c r="AJ698"/>
  <c r="S698"/>
  <c r="AO698"/>
  <c r="T698"/>
  <c r="AR698"/>
  <c r="AG698"/>
  <c r="AH698"/>
  <c r="N699"/>
  <c r="AJ699"/>
  <c r="S699"/>
  <c r="AO699"/>
  <c r="T699"/>
  <c r="AM699"/>
  <c r="AG699"/>
  <c r="AH699"/>
  <c r="N700"/>
  <c r="AJ700"/>
  <c r="S700"/>
  <c r="T700"/>
  <c r="AP700"/>
  <c r="AN700"/>
  <c r="AG700"/>
  <c r="AH700"/>
  <c r="N701"/>
  <c r="AJ701"/>
  <c r="S701"/>
  <c r="T701"/>
  <c r="AM701"/>
  <c r="AG701"/>
  <c r="AH701"/>
  <c r="N702"/>
  <c r="AJ702"/>
  <c r="S702"/>
  <c r="AO702"/>
  <c r="T702"/>
  <c r="AN702"/>
  <c r="AG702"/>
  <c r="AH702"/>
  <c r="N703"/>
  <c r="AJ703"/>
  <c r="S703"/>
  <c r="T703"/>
  <c r="AM703"/>
  <c r="AS703" s="1"/>
  <c r="AG703"/>
  <c r="AH703"/>
  <c r="N704"/>
  <c r="AJ704"/>
  <c r="N705"/>
  <c r="AJ705"/>
  <c r="AM705"/>
  <c r="N706"/>
  <c r="AJ706"/>
  <c r="N707"/>
  <c r="AJ707"/>
  <c r="N708"/>
  <c r="AJ708"/>
  <c r="N709"/>
  <c r="AJ709"/>
  <c r="N710"/>
  <c r="AJ710"/>
  <c r="N711"/>
  <c r="AJ711"/>
  <c r="AM711"/>
  <c r="N712"/>
  <c r="AJ712"/>
  <c r="N713"/>
  <c r="AJ713"/>
  <c r="AM713"/>
  <c r="N714"/>
  <c r="AJ714"/>
  <c r="AR714"/>
  <c r="AN714"/>
  <c r="N715"/>
  <c r="AJ715"/>
  <c r="N716"/>
  <c r="AJ716"/>
  <c r="S716"/>
  <c r="T716"/>
  <c r="AR716"/>
  <c r="AG716"/>
  <c r="AH716"/>
  <c r="N717"/>
  <c r="S717"/>
  <c r="T717"/>
  <c r="AG717"/>
  <c r="AH717"/>
  <c r="AJ717"/>
  <c r="N718"/>
  <c r="AJ718"/>
  <c r="S718"/>
  <c r="T718"/>
  <c r="AG718"/>
  <c r="AH718"/>
  <c r="N719"/>
  <c r="AJ719"/>
  <c r="S719"/>
  <c r="T719"/>
  <c r="AG719"/>
  <c r="AH719"/>
  <c r="N720"/>
  <c r="AJ720"/>
  <c r="S720"/>
  <c r="T720"/>
  <c r="AG720"/>
  <c r="AH720"/>
  <c r="N721"/>
  <c r="AJ721"/>
  <c r="S721"/>
  <c r="AO721"/>
  <c r="T721"/>
  <c r="AN721"/>
  <c r="AG721"/>
  <c r="AH721"/>
  <c r="N722"/>
  <c r="AJ722"/>
  <c r="S722"/>
  <c r="AO722"/>
  <c r="T722"/>
  <c r="AP722"/>
  <c r="AN722"/>
  <c r="AG722"/>
  <c r="AH722"/>
  <c r="N723"/>
  <c r="AJ723"/>
  <c r="S723"/>
  <c r="T723"/>
  <c r="AM723"/>
  <c r="AS723" s="1"/>
  <c r="AG723"/>
  <c r="AH723"/>
  <c r="N724"/>
  <c r="AJ724"/>
  <c r="S724"/>
  <c r="T724"/>
  <c r="AG724"/>
  <c r="AH724"/>
  <c r="N725"/>
  <c r="AJ725"/>
  <c r="S725"/>
  <c r="AO725"/>
  <c r="T725"/>
  <c r="AP725"/>
  <c r="AM725"/>
  <c r="AG725"/>
  <c r="AH725"/>
  <c r="N726"/>
  <c r="AJ726"/>
  <c r="S726"/>
  <c r="T726"/>
  <c r="AP726"/>
  <c r="AG726"/>
  <c r="AH726"/>
  <c r="N727"/>
  <c r="AJ727"/>
  <c r="S727"/>
  <c r="AO727"/>
  <c r="T727"/>
  <c r="AG727"/>
  <c r="AH727"/>
  <c r="N728"/>
  <c r="AJ728"/>
  <c r="S728"/>
  <c r="T728"/>
  <c r="AP728"/>
  <c r="AR728"/>
  <c r="AG728"/>
  <c r="AH728"/>
  <c r="N729"/>
  <c r="AJ729"/>
  <c r="S729"/>
  <c r="AO729"/>
  <c r="T729"/>
  <c r="AR729"/>
  <c r="AG729"/>
  <c r="AH729"/>
  <c r="N730"/>
  <c r="AJ730"/>
  <c r="S730"/>
  <c r="AO730"/>
  <c r="T730"/>
  <c r="AM730"/>
  <c r="AG730"/>
  <c r="AH730"/>
  <c r="N731"/>
  <c r="AJ731"/>
  <c r="S731"/>
  <c r="AO731"/>
  <c r="T731"/>
  <c r="AG731"/>
  <c r="AH731"/>
  <c r="N732"/>
  <c r="AJ732"/>
  <c r="S732"/>
  <c r="T732"/>
  <c r="AG732"/>
  <c r="AH732"/>
  <c r="N733"/>
  <c r="AJ733"/>
  <c r="S733"/>
  <c r="AO733"/>
  <c r="T733"/>
  <c r="AP733"/>
  <c r="AT733"/>
  <c r="AG733"/>
  <c r="AH733"/>
  <c r="N734"/>
  <c r="AJ734"/>
  <c r="S734"/>
  <c r="T734"/>
  <c r="AN734"/>
  <c r="AG734"/>
  <c r="AH734"/>
  <c r="N735"/>
  <c r="AJ735"/>
  <c r="S735"/>
  <c r="AO735"/>
  <c r="T735"/>
  <c r="AG735"/>
  <c r="AH735"/>
  <c r="N736"/>
  <c r="AJ736"/>
  <c r="S736"/>
  <c r="T736"/>
  <c r="AP736"/>
  <c r="AG736"/>
  <c r="AH736"/>
  <c r="N737"/>
  <c r="AJ737"/>
  <c r="S737"/>
  <c r="AO737"/>
  <c r="T737"/>
  <c r="AG737"/>
  <c r="AH737"/>
  <c r="N738"/>
  <c r="AJ738"/>
  <c r="S738"/>
  <c r="T738"/>
  <c r="AP738"/>
  <c r="AM738"/>
  <c r="AG738"/>
  <c r="AH738"/>
  <c r="N739"/>
  <c r="AJ739"/>
  <c r="S739"/>
  <c r="T739"/>
  <c r="AG739"/>
  <c r="AH739"/>
  <c r="O23" i="36"/>
  <c r="N740" i="1"/>
  <c r="AJ740"/>
  <c r="S740"/>
  <c r="T740"/>
  <c r="AG740"/>
  <c r="AH740"/>
  <c r="AP740" s="1"/>
  <c r="N741"/>
  <c r="AJ741"/>
  <c r="S741"/>
  <c r="AO741"/>
  <c r="T741"/>
  <c r="AM741"/>
  <c r="AG741"/>
  <c r="AH741"/>
  <c r="N742"/>
  <c r="AJ742"/>
  <c r="S742"/>
  <c r="T742"/>
  <c r="AG742"/>
  <c r="AH742"/>
  <c r="N743"/>
  <c r="S743"/>
  <c r="AO743"/>
  <c r="T743"/>
  <c r="AG743"/>
  <c r="AH743"/>
  <c r="AJ743"/>
  <c r="N744"/>
  <c r="AJ744"/>
  <c r="S744"/>
  <c r="T744"/>
  <c r="AR744"/>
  <c r="AG744"/>
  <c r="AH744"/>
  <c r="N745"/>
  <c r="AJ745"/>
  <c r="S745"/>
  <c r="AO745"/>
  <c r="T745"/>
  <c r="AP745"/>
  <c r="AN745"/>
  <c r="AG745"/>
  <c r="AH745"/>
  <c r="N746"/>
  <c r="AJ746"/>
  <c r="S746"/>
  <c r="T746"/>
  <c r="AG746"/>
  <c r="AH746"/>
  <c r="N747"/>
  <c r="AJ747"/>
  <c r="S747"/>
  <c r="AO747"/>
  <c r="T747"/>
  <c r="AP747"/>
  <c r="AR747"/>
  <c r="AG747"/>
  <c r="AH747"/>
  <c r="N748"/>
  <c r="AJ748"/>
  <c r="S748"/>
  <c r="T748"/>
  <c r="AR748"/>
  <c r="AG748"/>
  <c r="AH748"/>
  <c r="N749"/>
  <c r="AJ749"/>
  <c r="S749"/>
  <c r="T749"/>
  <c r="AP749"/>
  <c r="AM749"/>
  <c r="AG749"/>
  <c r="AH749"/>
  <c r="N750"/>
  <c r="AJ750"/>
  <c r="S750"/>
  <c r="AO750"/>
  <c r="T750"/>
  <c r="AG750"/>
  <c r="AH750"/>
  <c r="N751"/>
  <c r="AJ751"/>
  <c r="S751"/>
  <c r="AO751"/>
  <c r="T751"/>
  <c r="AP751"/>
  <c r="AM751"/>
  <c r="AG751"/>
  <c r="AH751"/>
  <c r="N752"/>
  <c r="AJ752"/>
  <c r="S752"/>
  <c r="T752"/>
  <c r="AP752"/>
  <c r="AR752"/>
  <c r="AG752"/>
  <c r="AH752"/>
  <c r="N753"/>
  <c r="AJ753"/>
  <c r="S753"/>
  <c r="AO753"/>
  <c r="T753"/>
  <c r="AM753"/>
  <c r="AG753"/>
  <c r="AH753"/>
  <c r="N754"/>
  <c r="AJ754"/>
  <c r="S754"/>
  <c r="AO754"/>
  <c r="T754"/>
  <c r="AG754"/>
  <c r="AH754"/>
  <c r="N755"/>
  <c r="AJ755"/>
  <c r="S755"/>
  <c r="T755"/>
  <c r="AG755"/>
  <c r="AH755"/>
  <c r="N756"/>
  <c r="AJ756"/>
  <c r="S756"/>
  <c r="AO756"/>
  <c r="T756"/>
  <c r="AP756"/>
  <c r="AT756"/>
  <c r="AR756"/>
  <c r="AG756"/>
  <c r="AH756"/>
  <c r="AM756"/>
  <c r="N757"/>
  <c r="AJ757"/>
  <c r="S757"/>
  <c r="AO757"/>
  <c r="T757"/>
  <c r="AP757"/>
  <c r="AG757"/>
  <c r="AH757"/>
  <c r="N758"/>
  <c r="AJ758"/>
  <c r="S758"/>
  <c r="T758"/>
  <c r="AM758"/>
  <c r="AG758"/>
  <c r="AH758"/>
  <c r="N759"/>
  <c r="AJ759"/>
  <c r="S759"/>
  <c r="T759"/>
  <c r="AM759"/>
  <c r="AG759"/>
  <c r="AH759"/>
  <c r="N760"/>
  <c r="AJ760"/>
  <c r="S760"/>
  <c r="T760"/>
  <c r="AR760"/>
  <c r="AG760"/>
  <c r="AX760"/>
  <c r="AH760"/>
  <c r="N761"/>
  <c r="AJ761"/>
  <c r="S761"/>
  <c r="T761"/>
  <c r="AG761"/>
  <c r="AH761"/>
  <c r="N762"/>
  <c r="AJ762"/>
  <c r="S762"/>
  <c r="T762"/>
  <c r="AP762"/>
  <c r="AN762"/>
  <c r="AG762"/>
  <c r="AH762"/>
  <c r="N763"/>
  <c r="AJ763"/>
  <c r="S763"/>
  <c r="T763"/>
  <c r="AG763"/>
  <c r="AO763" s="1"/>
  <c r="AH763"/>
  <c r="J72" i="29"/>
  <c r="J72" i="30" s="1"/>
  <c r="N764" i="1"/>
  <c r="AJ764"/>
  <c r="S764"/>
  <c r="T764"/>
  <c r="AR764"/>
  <c r="AM764"/>
  <c r="AG764"/>
  <c r="AH764"/>
  <c r="N765"/>
  <c r="AJ765"/>
  <c r="S765"/>
  <c r="T765"/>
  <c r="AN765"/>
  <c r="AG765"/>
  <c r="AH765"/>
  <c r="N766"/>
  <c r="AJ766"/>
  <c r="S766"/>
  <c r="AO766"/>
  <c r="T766"/>
  <c r="AG766"/>
  <c r="AH766"/>
  <c r="N767"/>
  <c r="AJ767"/>
  <c r="S767"/>
  <c r="T767"/>
  <c r="AP767"/>
  <c r="AM767"/>
  <c r="AG767"/>
  <c r="AH767"/>
  <c r="N768"/>
  <c r="AJ768"/>
  <c r="S768"/>
  <c r="T768"/>
  <c r="AN768"/>
  <c r="AG768"/>
  <c r="AH768"/>
  <c r="N769"/>
  <c r="AJ769"/>
  <c r="S769"/>
  <c r="AO769"/>
  <c r="T769"/>
  <c r="AM769"/>
  <c r="AG769"/>
  <c r="AH769"/>
  <c r="N770"/>
  <c r="AJ770"/>
  <c r="S770"/>
  <c r="AO770"/>
  <c r="T770"/>
  <c r="AP770"/>
  <c r="AN770"/>
  <c r="AG770"/>
  <c r="AH770"/>
  <c r="N771"/>
  <c r="AJ771"/>
  <c r="S771"/>
  <c r="T771"/>
  <c r="AG771"/>
  <c r="AH771"/>
  <c r="AP771" s="1"/>
  <c r="N772"/>
  <c r="AJ772"/>
  <c r="S772"/>
  <c r="AO772"/>
  <c r="T772"/>
  <c r="AR772"/>
  <c r="AG772"/>
  <c r="AH772"/>
  <c r="N773"/>
  <c r="AJ773"/>
  <c r="S773"/>
  <c r="AO773"/>
  <c r="T773"/>
  <c r="AN773"/>
  <c r="AG773"/>
  <c r="AH773"/>
  <c r="N774"/>
  <c r="AJ774"/>
  <c r="S774"/>
  <c r="T774"/>
  <c r="AP774"/>
  <c r="AR774"/>
  <c r="AG774"/>
  <c r="AH774"/>
  <c r="N775"/>
  <c r="AJ775"/>
  <c r="S775"/>
  <c r="T775"/>
  <c r="AM775"/>
  <c r="AG775"/>
  <c r="AH775"/>
  <c r="N776"/>
  <c r="AJ776"/>
  <c r="S776"/>
  <c r="T776"/>
  <c r="AR776"/>
  <c r="AN776"/>
  <c r="AG776"/>
  <c r="AH776"/>
  <c r="N777"/>
  <c r="AJ777"/>
  <c r="S777"/>
  <c r="AO777"/>
  <c r="T777"/>
  <c r="AR777"/>
  <c r="AG777"/>
  <c r="AH777"/>
  <c r="N778"/>
  <c r="AJ778"/>
  <c r="S778"/>
  <c r="AO778"/>
  <c r="T778"/>
  <c r="AP778"/>
  <c r="AG778"/>
  <c r="AH778"/>
  <c r="N779"/>
  <c r="AJ779"/>
  <c r="S779"/>
  <c r="T779"/>
  <c r="AR779"/>
  <c r="AM779"/>
  <c r="AG779"/>
  <c r="AH779"/>
  <c r="N780"/>
  <c r="AJ780"/>
  <c r="S780"/>
  <c r="T780"/>
  <c r="AN780"/>
  <c r="AG780"/>
  <c r="AH780"/>
  <c r="N781"/>
  <c r="AJ781"/>
  <c r="S781"/>
  <c r="T781"/>
  <c r="AR781"/>
  <c r="AM781"/>
  <c r="AG781"/>
  <c r="AH781"/>
  <c r="N782"/>
  <c r="AJ782"/>
  <c r="S782"/>
  <c r="T782"/>
  <c r="AR782"/>
  <c r="AN782"/>
  <c r="AG782"/>
  <c r="AH782"/>
  <c r="N783"/>
  <c r="AJ783"/>
  <c r="S783"/>
  <c r="AO783"/>
  <c r="T783"/>
  <c r="AN783"/>
  <c r="AG783"/>
  <c r="AH783"/>
  <c r="N784"/>
  <c r="AJ784"/>
  <c r="S784"/>
  <c r="AO784"/>
  <c r="T784"/>
  <c r="AP784"/>
  <c r="AR784"/>
  <c r="AG784"/>
  <c r="AH784"/>
  <c r="N785"/>
  <c r="AJ785"/>
  <c r="S785"/>
  <c r="T785"/>
  <c r="AR785"/>
  <c r="AN785"/>
  <c r="AG785"/>
  <c r="AH785"/>
  <c r="N786"/>
  <c r="AJ786"/>
  <c r="S786"/>
  <c r="T786"/>
  <c r="AP786"/>
  <c r="AR786"/>
  <c r="AG786"/>
  <c r="AH786"/>
  <c r="N787"/>
  <c r="AJ787"/>
  <c r="S787"/>
  <c r="T787"/>
  <c r="AM787"/>
  <c r="AG787"/>
  <c r="AH787"/>
  <c r="N788"/>
  <c r="AJ788"/>
  <c r="S788"/>
  <c r="AO788"/>
  <c r="T788"/>
  <c r="AN788"/>
  <c r="AG788"/>
  <c r="AH788"/>
  <c r="N789"/>
  <c r="AJ789"/>
  <c r="S789"/>
  <c r="T789"/>
  <c r="AR789"/>
  <c r="AM789"/>
  <c r="AG789"/>
  <c r="AH789"/>
  <c r="J80" i="29" s="1"/>
  <c r="N790" i="1"/>
  <c r="AJ790"/>
  <c r="S790"/>
  <c r="AO790"/>
  <c r="T790"/>
  <c r="AP790"/>
  <c r="AN790"/>
  <c r="AG790"/>
  <c r="AH790"/>
  <c r="N791"/>
  <c r="S791"/>
  <c r="AO791"/>
  <c r="T791"/>
  <c r="AN791"/>
  <c r="AG791"/>
  <c r="AH791"/>
  <c r="J37" i="29"/>
  <c r="J37" i="30" s="1"/>
  <c r="AJ791" i="1"/>
  <c r="N792"/>
  <c r="AJ792"/>
  <c r="S792"/>
  <c r="AO792"/>
  <c r="T792"/>
  <c r="AP792"/>
  <c r="AM792"/>
  <c r="AG792"/>
  <c r="AH792"/>
  <c r="N793"/>
  <c r="AJ793"/>
  <c r="S793"/>
  <c r="T793"/>
  <c r="AR793"/>
  <c r="AN793"/>
  <c r="AG793"/>
  <c r="AH793"/>
  <c r="N794"/>
  <c r="AJ794"/>
  <c r="S794"/>
  <c r="AO794"/>
  <c r="T794"/>
  <c r="AP794"/>
  <c r="AM794"/>
  <c r="AG794"/>
  <c r="AH794"/>
  <c r="N795"/>
  <c r="AJ795"/>
  <c r="S795"/>
  <c r="T795"/>
  <c r="AP795"/>
  <c r="AM795"/>
  <c r="AG795"/>
  <c r="AH795"/>
  <c r="N796"/>
  <c r="AJ796"/>
  <c r="S796"/>
  <c r="T796"/>
  <c r="AR796"/>
  <c r="AN796"/>
  <c r="AG796"/>
  <c r="AH796"/>
  <c r="N797"/>
  <c r="AJ797"/>
  <c r="S797"/>
  <c r="AO797"/>
  <c r="T797"/>
  <c r="AM797"/>
  <c r="AG797"/>
  <c r="AH797"/>
  <c r="N798"/>
  <c r="AJ798"/>
  <c r="S798"/>
  <c r="AO798"/>
  <c r="T798"/>
  <c r="AP798"/>
  <c r="AN798"/>
  <c r="AG798"/>
  <c r="AH798"/>
  <c r="N799"/>
  <c r="AJ799"/>
  <c r="S799"/>
  <c r="T799"/>
  <c r="AR799"/>
  <c r="AN799"/>
  <c r="AG799"/>
  <c r="AH799"/>
  <c r="N800"/>
  <c r="AJ800"/>
  <c r="S800"/>
  <c r="T800"/>
  <c r="AR800"/>
  <c r="AG800"/>
  <c r="AH800"/>
  <c r="J92" i="29" s="1"/>
  <c r="N801" i="1"/>
  <c r="AJ801"/>
  <c r="S801"/>
  <c r="AO801"/>
  <c r="T801"/>
  <c r="AP801"/>
  <c r="AG801"/>
  <c r="AH801"/>
  <c r="N802"/>
  <c r="AJ802"/>
  <c r="S802"/>
  <c r="T802"/>
  <c r="AP802"/>
  <c r="AM802"/>
  <c r="AG802"/>
  <c r="J93" i="29"/>
  <c r="AH802" i="1"/>
  <c r="N803"/>
  <c r="AJ803"/>
  <c r="S803"/>
  <c r="AO803"/>
  <c r="T803"/>
  <c r="AM803"/>
  <c r="AG803"/>
  <c r="AH803"/>
  <c r="N804"/>
  <c r="AJ804"/>
  <c r="S804"/>
  <c r="T804"/>
  <c r="AR804"/>
  <c r="AN804"/>
  <c r="AG804"/>
  <c r="AH804"/>
  <c r="N805"/>
  <c r="AJ805"/>
  <c r="S805"/>
  <c r="T805"/>
  <c r="AR805"/>
  <c r="AM805"/>
  <c r="AG805"/>
  <c r="AH805"/>
  <c r="N806"/>
  <c r="AJ806"/>
  <c r="S806"/>
  <c r="AO806"/>
  <c r="T806"/>
  <c r="AP806"/>
  <c r="AN806"/>
  <c r="AG806"/>
  <c r="AH806"/>
  <c r="N807"/>
  <c r="AJ807"/>
  <c r="S807"/>
  <c r="T807"/>
  <c r="AP807"/>
  <c r="AG807"/>
  <c r="AH807"/>
  <c r="N808"/>
  <c r="AJ808"/>
  <c r="S808"/>
  <c r="T808"/>
  <c r="AR808"/>
  <c r="AN808"/>
  <c r="AG808"/>
  <c r="AH808"/>
  <c r="N809"/>
  <c r="AJ809"/>
  <c r="S809"/>
  <c r="AO809"/>
  <c r="T809"/>
  <c r="AG809"/>
  <c r="AH809"/>
  <c r="N810"/>
  <c r="AJ810"/>
  <c r="S810"/>
  <c r="T810"/>
  <c r="AP810"/>
  <c r="AM810"/>
  <c r="AG810"/>
  <c r="AH810"/>
  <c r="N811"/>
  <c r="AJ811"/>
  <c r="S811"/>
  <c r="T811"/>
  <c r="AM811"/>
  <c r="AS811" s="1"/>
  <c r="AG811"/>
  <c r="AH811"/>
  <c r="N812"/>
  <c r="AJ812"/>
  <c r="S812"/>
  <c r="T812"/>
  <c r="AR812"/>
  <c r="AN812"/>
  <c r="AG812"/>
  <c r="AH812"/>
  <c r="N813"/>
  <c r="AJ813"/>
  <c r="S813"/>
  <c r="T813"/>
  <c r="AM813"/>
  <c r="AG813"/>
  <c r="AH813"/>
  <c r="N814"/>
  <c r="AJ814"/>
  <c r="S814"/>
  <c r="T814"/>
  <c r="AR814"/>
  <c r="AN814"/>
  <c r="AG814"/>
  <c r="AH814"/>
  <c r="N815"/>
  <c r="AJ815"/>
  <c r="S815"/>
  <c r="AO815"/>
  <c r="T815"/>
  <c r="AG815"/>
  <c r="AH815"/>
  <c r="N816"/>
  <c r="AJ816"/>
  <c r="S816"/>
  <c r="T816"/>
  <c r="AP816"/>
  <c r="AG816"/>
  <c r="AH816"/>
  <c r="N817"/>
  <c r="AJ817"/>
  <c r="S817"/>
  <c r="AO817"/>
  <c r="T817"/>
  <c r="AN817"/>
  <c r="AG817"/>
  <c r="AH817"/>
  <c r="J97" i="29"/>
  <c r="J97" i="30" s="1"/>
  <c r="N818" i="1"/>
  <c r="AJ818"/>
  <c r="S818"/>
  <c r="AO818"/>
  <c r="T818"/>
  <c r="AP818"/>
  <c r="AR818"/>
  <c r="AG818"/>
  <c r="AH818"/>
  <c r="N819"/>
  <c r="AJ819"/>
  <c r="S819"/>
  <c r="T819"/>
  <c r="AM819"/>
  <c r="AS819"/>
  <c r="AG819"/>
  <c r="AH819"/>
  <c r="N820"/>
  <c r="AJ820"/>
  <c r="S820"/>
  <c r="T820"/>
  <c r="AR820"/>
  <c r="AN820"/>
  <c r="AG820"/>
  <c r="AH820"/>
  <c r="N821"/>
  <c r="AJ821"/>
  <c r="S821"/>
  <c r="T821"/>
  <c r="AR821"/>
  <c r="AM821"/>
  <c r="AG821"/>
  <c r="AH821"/>
  <c r="N822"/>
  <c r="AJ822"/>
  <c r="S822"/>
  <c r="T822"/>
  <c r="AM822"/>
  <c r="AN822"/>
  <c r="AG822"/>
  <c r="AH822"/>
  <c r="N823"/>
  <c r="AJ823"/>
  <c r="S823"/>
  <c r="T823"/>
  <c r="AP823"/>
  <c r="AG823"/>
  <c r="AH823"/>
  <c r="N824"/>
  <c r="AJ824"/>
  <c r="S824"/>
  <c r="AO824"/>
  <c r="T824"/>
  <c r="AR824"/>
  <c r="AG824"/>
  <c r="AH824"/>
  <c r="N825"/>
  <c r="AJ825"/>
  <c r="S825"/>
  <c r="AO825"/>
  <c r="T825"/>
  <c r="AP825"/>
  <c r="AG825"/>
  <c r="AH825"/>
  <c r="N826"/>
  <c r="AJ826"/>
  <c r="S826"/>
  <c r="T826"/>
  <c r="AP826"/>
  <c r="AM826"/>
  <c r="AG826"/>
  <c r="AH826"/>
  <c r="N827"/>
  <c r="AJ827"/>
  <c r="S827"/>
  <c r="AO827"/>
  <c r="T827"/>
  <c r="AM827"/>
  <c r="AG827"/>
  <c r="AH827"/>
  <c r="N828"/>
  <c r="AJ828"/>
  <c r="S828"/>
  <c r="AO828"/>
  <c r="T828"/>
  <c r="AR828"/>
  <c r="AN828"/>
  <c r="AG828"/>
  <c r="AH828"/>
  <c r="O829"/>
  <c r="P829"/>
  <c r="AC829"/>
  <c r="AD829"/>
  <c r="AJ829"/>
  <c r="AJ831"/>
  <c r="N832"/>
  <c r="AJ832"/>
  <c r="AM832"/>
  <c r="N833"/>
  <c r="AJ833"/>
  <c r="AK833"/>
  <c r="AR833" s="1"/>
  <c r="N834"/>
  <c r="AJ834"/>
  <c r="AM834"/>
  <c r="N835"/>
  <c r="AJ835"/>
  <c r="T835"/>
  <c r="AL835"/>
  <c r="AN835"/>
  <c r="AH835"/>
  <c r="N836"/>
  <c r="AJ836"/>
  <c r="T836"/>
  <c r="AL836"/>
  <c r="AR836" s="1"/>
  <c r="AM836"/>
  <c r="AH836"/>
  <c r="N837"/>
  <c r="AJ837"/>
  <c r="AN837"/>
  <c r="N838"/>
  <c r="AJ838"/>
  <c r="AM838"/>
  <c r="AN838"/>
  <c r="N839"/>
  <c r="AN839"/>
  <c r="AJ839"/>
  <c r="N840"/>
  <c r="AJ840"/>
  <c r="AM840"/>
  <c r="N841"/>
  <c r="AJ841"/>
  <c r="AN841"/>
  <c r="AS841"/>
  <c r="N842"/>
  <c r="AJ842"/>
  <c r="T842"/>
  <c r="AM842"/>
  <c r="AH842"/>
  <c r="N843"/>
  <c r="AJ843"/>
  <c r="T843"/>
  <c r="AL843"/>
  <c r="AR843"/>
  <c r="AN843"/>
  <c r="AH843"/>
  <c r="N844"/>
  <c r="AJ844"/>
  <c r="T844"/>
  <c r="AL844"/>
  <c r="AM844"/>
  <c r="AH844"/>
  <c r="N845"/>
  <c r="T845"/>
  <c r="AN845"/>
  <c r="AH845"/>
  <c r="AJ845"/>
  <c r="N846"/>
  <c r="AJ846"/>
  <c r="AM846"/>
  <c r="AN846"/>
  <c r="N847"/>
  <c r="AJ847"/>
  <c r="T847"/>
  <c r="AN847"/>
  <c r="AS847"/>
  <c r="AL847"/>
  <c r="N848"/>
  <c r="AJ848"/>
  <c r="T848"/>
  <c r="AL848"/>
  <c r="AR848"/>
  <c r="AM848"/>
  <c r="AN848"/>
  <c r="AH848"/>
  <c r="N849"/>
  <c r="AJ849"/>
  <c r="S849"/>
  <c r="T849"/>
  <c r="AN849"/>
  <c r="AG849"/>
  <c r="AH849"/>
  <c r="N850"/>
  <c r="AJ850"/>
  <c r="S850"/>
  <c r="T850"/>
  <c r="AM850"/>
  <c r="AN850"/>
  <c r="AG850"/>
  <c r="AH850"/>
  <c r="N851"/>
  <c r="AJ851"/>
  <c r="S851"/>
  <c r="T851"/>
  <c r="AR851"/>
  <c r="AN851"/>
  <c r="AG851"/>
  <c r="AH851"/>
  <c r="N852"/>
  <c r="AJ852"/>
  <c r="S852"/>
  <c r="T852"/>
  <c r="AM852"/>
  <c r="AS852"/>
  <c r="AN852"/>
  <c r="AG852"/>
  <c r="AH852"/>
  <c r="N853"/>
  <c r="AJ853"/>
  <c r="S853"/>
  <c r="AO853"/>
  <c r="T853"/>
  <c r="AP853"/>
  <c r="AR853"/>
  <c r="AG853"/>
  <c r="AH853"/>
  <c r="AN853"/>
  <c r="N854"/>
  <c r="AJ854"/>
  <c r="S854"/>
  <c r="T854"/>
  <c r="AM854"/>
  <c r="AS854" s="1"/>
  <c r="AN854"/>
  <c r="AG854"/>
  <c r="AH854"/>
  <c r="N855"/>
  <c r="AJ855"/>
  <c r="S855"/>
  <c r="T855"/>
  <c r="AN855"/>
  <c r="AG855"/>
  <c r="AH855"/>
  <c r="N856"/>
  <c r="AJ856"/>
  <c r="S856"/>
  <c r="T856"/>
  <c r="AM856"/>
  <c r="AN856"/>
  <c r="AG856"/>
  <c r="AH856"/>
  <c r="N857"/>
  <c r="AJ857"/>
  <c r="S857"/>
  <c r="T857"/>
  <c r="AR857"/>
  <c r="AN857"/>
  <c r="AG857"/>
  <c r="AH857"/>
  <c r="N858"/>
  <c r="AJ858"/>
  <c r="AM858"/>
  <c r="AN858"/>
  <c r="N859"/>
  <c r="AJ859"/>
  <c r="AK859"/>
  <c r="AR859"/>
  <c r="AN859"/>
  <c r="AS859"/>
  <c r="N860"/>
  <c r="AJ860"/>
  <c r="AM860"/>
  <c r="AN860"/>
  <c r="N861"/>
  <c r="AJ861"/>
  <c r="AN861"/>
  <c r="AS861" s="1"/>
  <c r="AK861"/>
  <c r="N862"/>
  <c r="AJ862"/>
  <c r="AM862"/>
  <c r="AN862"/>
  <c r="AS862" s="1"/>
  <c r="N863"/>
  <c r="AJ863"/>
  <c r="AK863"/>
  <c r="AR863" s="1"/>
  <c r="AN863"/>
  <c r="AS863" s="1"/>
  <c r="N864"/>
  <c r="AJ864"/>
  <c r="AM864"/>
  <c r="AN864"/>
  <c r="N865"/>
  <c r="AJ865"/>
  <c r="AK865"/>
  <c r="AN865"/>
  <c r="N866"/>
  <c r="AJ866"/>
  <c r="AN866"/>
  <c r="N867"/>
  <c r="AJ867"/>
  <c r="AN867"/>
  <c r="N868"/>
  <c r="AJ868"/>
  <c r="T868"/>
  <c r="AP868"/>
  <c r="AM868"/>
  <c r="AN868"/>
  <c r="AH868"/>
  <c r="N869"/>
  <c r="AJ869"/>
  <c r="T869"/>
  <c r="AP869"/>
  <c r="AL869"/>
  <c r="AR869"/>
  <c r="AH869"/>
  <c r="AN869"/>
  <c r="N870"/>
  <c r="AJ870"/>
  <c r="T870"/>
  <c r="AM870"/>
  <c r="AN870"/>
  <c r="AH870"/>
  <c r="N871"/>
  <c r="AJ871"/>
  <c r="T871"/>
  <c r="AL871"/>
  <c r="AR871" s="1"/>
  <c r="AN871"/>
  <c r="AH871"/>
  <c r="N872"/>
  <c r="AJ872"/>
  <c r="T872"/>
  <c r="AL872"/>
  <c r="AM872"/>
  <c r="AN872"/>
  <c r="AH872"/>
  <c r="N873"/>
  <c r="AJ873"/>
  <c r="T873"/>
  <c r="AP873"/>
  <c r="AL873"/>
  <c r="AR873" s="1"/>
  <c r="AN873"/>
  <c r="N874"/>
  <c r="AJ874"/>
  <c r="T874"/>
  <c r="AL874"/>
  <c r="AR874" s="1"/>
  <c r="AM874"/>
  <c r="AN874"/>
  <c r="AH874"/>
  <c r="N875"/>
  <c r="AJ875"/>
  <c r="T875"/>
  <c r="AL875"/>
  <c r="AR875" s="1"/>
  <c r="AN875"/>
  <c r="AH875"/>
  <c r="N876"/>
  <c r="AJ876"/>
  <c r="S876"/>
  <c r="T876"/>
  <c r="AM876"/>
  <c r="AN876"/>
  <c r="AG876"/>
  <c r="AH876"/>
  <c r="N877"/>
  <c r="AJ877"/>
  <c r="S877"/>
  <c r="T877"/>
  <c r="AR877"/>
  <c r="AN877"/>
  <c r="AG877"/>
  <c r="AH877"/>
  <c r="N878"/>
  <c r="AJ878"/>
  <c r="S878"/>
  <c r="T878"/>
  <c r="AM878"/>
  <c r="AN878"/>
  <c r="AG878"/>
  <c r="AH878"/>
  <c r="N879"/>
  <c r="AJ879"/>
  <c r="S879"/>
  <c r="AO879"/>
  <c r="T879"/>
  <c r="AN879"/>
  <c r="AG879"/>
  <c r="AH879"/>
  <c r="N880"/>
  <c r="AJ880"/>
  <c r="S880"/>
  <c r="T880"/>
  <c r="AM880"/>
  <c r="AN880"/>
  <c r="AG880"/>
  <c r="AH880"/>
  <c r="N881"/>
  <c r="AJ881"/>
  <c r="S881"/>
  <c r="AO881"/>
  <c r="T881"/>
  <c r="AP881"/>
  <c r="AN881"/>
  <c r="AG881"/>
  <c r="AH881"/>
  <c r="N882"/>
  <c r="AJ882"/>
  <c r="S882"/>
  <c r="T882"/>
  <c r="AM882"/>
  <c r="AN882"/>
  <c r="AG882"/>
  <c r="AH882"/>
  <c r="N883"/>
  <c r="AJ883"/>
  <c r="S883"/>
  <c r="T883"/>
  <c r="AR883"/>
  <c r="AN883"/>
  <c r="AG883"/>
  <c r="AH883"/>
  <c r="N884"/>
  <c r="AJ884"/>
  <c r="AM884"/>
  <c r="AN884"/>
  <c r="N885"/>
  <c r="T885"/>
  <c r="AN885"/>
  <c r="AH885"/>
  <c r="AJ885"/>
  <c r="N886"/>
  <c r="T886"/>
  <c r="AL886"/>
  <c r="AR886" s="1"/>
  <c r="AM886"/>
  <c r="AN886"/>
  <c r="AH886"/>
  <c r="AJ886"/>
  <c r="N887"/>
  <c r="AK887"/>
  <c r="AR887" s="1"/>
  <c r="AN887"/>
  <c r="AJ887"/>
  <c r="O888"/>
  <c r="P888"/>
  <c r="Q888"/>
  <c r="R888"/>
  <c r="AC888"/>
  <c r="AD888"/>
  <c r="AD890" s="1"/>
  <c r="AD13" s="1"/>
  <c r="AE888"/>
  <c r="AF888"/>
  <c r="AJ888"/>
  <c r="AJ890"/>
  <c r="P898"/>
  <c r="AD898"/>
  <c r="P899"/>
  <c r="AD899"/>
  <c r="P901"/>
  <c r="V901"/>
  <c r="AC901"/>
  <c r="AK901"/>
  <c r="Z901"/>
  <c r="AG901"/>
  <c r="AO901"/>
  <c r="AD901"/>
  <c r="AH901"/>
  <c r="P902"/>
  <c r="V902"/>
  <c r="AC902"/>
  <c r="AK902"/>
  <c r="Z902"/>
  <c r="AG902"/>
  <c r="AO902"/>
  <c r="AD902"/>
  <c r="AH902"/>
  <c r="P904"/>
  <c r="T904"/>
  <c r="T905"/>
  <c r="V904"/>
  <c r="AC904"/>
  <c r="AK904"/>
  <c r="Z904"/>
  <c r="AG904"/>
  <c r="AO904"/>
  <c r="AD904"/>
  <c r="P905"/>
  <c r="V905"/>
  <c r="AC905"/>
  <c r="AK905"/>
  <c r="Z905"/>
  <c r="AG905"/>
  <c r="AO905"/>
  <c r="AD905"/>
  <c r="AH905"/>
  <c r="P907"/>
  <c r="V907"/>
  <c r="AC907"/>
  <c r="AK907"/>
  <c r="Z907"/>
  <c r="AG907"/>
  <c r="AO907"/>
  <c r="AD907"/>
  <c r="AH907"/>
  <c r="P908"/>
  <c r="V908"/>
  <c r="AC908"/>
  <c r="AK908"/>
  <c r="Z908"/>
  <c r="AG908"/>
  <c r="AO908"/>
  <c r="AD908"/>
  <c r="AH908"/>
  <c r="V910"/>
  <c r="AC910"/>
  <c r="AK910" s="1"/>
  <c r="Z910"/>
  <c r="AG910"/>
  <c r="AO910"/>
  <c r="P911"/>
  <c r="V911"/>
  <c r="AC911" s="1"/>
  <c r="AK911" s="1"/>
  <c r="Z911"/>
  <c r="AG911"/>
  <c r="AO911"/>
  <c r="K23" i="4"/>
  <c r="G61"/>
  <c r="H10"/>
  <c r="H61"/>
  <c r="M9"/>
  <c r="M60"/>
  <c r="J60"/>
  <c r="E61"/>
  <c r="E104"/>
  <c r="E30"/>
  <c r="E12"/>
  <c r="H60" i="8"/>
  <c r="N9" i="4"/>
  <c r="N60"/>
  <c r="K60"/>
  <c r="G10" i="29"/>
  <c r="H10"/>
  <c r="J10"/>
  <c r="K10"/>
  <c r="M10"/>
  <c r="N10"/>
  <c r="AL845" i="1"/>
  <c r="AR845" s="1"/>
  <c r="AR787"/>
  <c r="AR783"/>
  <c r="AR768"/>
  <c r="P894" i="27"/>
  <c r="P4" s="1"/>
  <c r="AR692" i="1"/>
  <c r="AR686"/>
  <c r="AR685"/>
  <c r="AR676"/>
  <c r="W905"/>
  <c r="AR822"/>
  <c r="AR792"/>
  <c r="AR739"/>
  <c r="AR732"/>
  <c r="AR706"/>
  <c r="AN173"/>
  <c r="R890" i="26"/>
  <c r="R13" s="1"/>
  <c r="R894"/>
  <c r="R4" s="1"/>
  <c r="T888"/>
  <c r="O890"/>
  <c r="O13" s="1"/>
  <c r="P892"/>
  <c r="P2" s="1"/>
  <c r="AL217" i="1"/>
  <c r="AL198"/>
  <c r="AR198"/>
  <c r="N551" i="26"/>
  <c r="AR720" i="1"/>
  <c r="AR702"/>
  <c r="AR700"/>
  <c r="AR678"/>
  <c r="AR677"/>
  <c r="AR660"/>
  <c r="AR630"/>
  <c r="AR629"/>
  <c r="AR628"/>
  <c r="AR624"/>
  <c r="AR614"/>
  <c r="AR612"/>
  <c r="AR611"/>
  <c r="AR596"/>
  <c r="AR586"/>
  <c r="AR582"/>
  <c r="AR573"/>
  <c r="AR536"/>
  <c r="AR526"/>
  <c r="AR525"/>
  <c r="AR494"/>
  <c r="AR460"/>
  <c r="AR442"/>
  <c r="AR418"/>
  <c r="AR396"/>
  <c r="AR394"/>
  <c r="AR242"/>
  <c r="N562" i="26"/>
  <c r="N563"/>
  <c r="AR73" i="1"/>
  <c r="AL24"/>
  <c r="AR24" s="1"/>
  <c r="S888" i="25"/>
  <c r="AR659" i="1"/>
  <c r="AR638"/>
  <c r="AL120"/>
  <c r="AL67"/>
  <c r="AR67" s="1"/>
  <c r="AL56"/>
  <c r="AR817"/>
  <c r="AR802"/>
  <c r="AR703"/>
  <c r="AR697"/>
  <c r="AR696"/>
  <c r="AR626"/>
  <c r="AR621"/>
  <c r="AR598"/>
  <c r="AR290"/>
  <c r="AL277"/>
  <c r="AR740"/>
  <c r="AR737"/>
  <c r="AR736"/>
  <c r="AR710"/>
  <c r="AR662"/>
  <c r="AR652"/>
  <c r="AR651"/>
  <c r="AR645"/>
  <c r="AR592"/>
  <c r="AR584"/>
  <c r="AR578"/>
  <c r="AR574"/>
  <c r="AR572"/>
  <c r="AR558"/>
  <c r="AR552"/>
  <c r="AR550"/>
  <c r="AR544"/>
  <c r="AR518"/>
  <c r="AR504"/>
  <c r="AL271"/>
  <c r="AR488"/>
  <c r="AR483"/>
  <c r="AR464"/>
  <c r="AR452"/>
  <c r="AR444"/>
  <c r="AR426"/>
  <c r="AR420"/>
  <c r="AR414"/>
  <c r="AR392"/>
  <c r="AL22"/>
  <c r="AR22" s="1"/>
  <c r="AL252"/>
  <c r="AR252" s="1"/>
  <c r="AL220"/>
  <c r="AR220" s="1"/>
  <c r="AL17"/>
  <c r="AL15"/>
  <c r="P894" i="20"/>
  <c r="P4" s="1"/>
  <c r="AL366" i="1"/>
  <c r="AK867"/>
  <c r="AR867"/>
  <c r="AR823"/>
  <c r="AR819"/>
  <c r="AR806"/>
  <c r="AR803"/>
  <c r="AR801"/>
  <c r="AR798"/>
  <c r="AR794"/>
  <c r="AR790"/>
  <c r="AR788"/>
  <c r="AR780"/>
  <c r="AR778"/>
  <c r="AR770"/>
  <c r="AR769"/>
  <c r="AR766"/>
  <c r="AR762"/>
  <c r="AR758"/>
  <c r="AR754"/>
  <c r="AR750"/>
  <c r="AR746"/>
  <c r="AR742"/>
  <c r="AR738"/>
  <c r="AR734"/>
  <c r="AR730"/>
  <c r="AR726"/>
  <c r="AR724"/>
  <c r="AR722"/>
  <c r="AR718"/>
  <c r="AR712"/>
  <c r="AR708"/>
  <c r="AR704"/>
  <c r="AR701"/>
  <c r="AR695"/>
  <c r="AR683"/>
  <c r="AR679"/>
  <c r="AR666"/>
  <c r="AR663"/>
  <c r="AR658"/>
  <c r="AR656"/>
  <c r="AR653"/>
  <c r="AR650"/>
  <c r="AR644"/>
  <c r="AR643"/>
  <c r="AR636"/>
  <c r="AR632"/>
  <c r="AR631"/>
  <c r="AR623"/>
  <c r="AR616"/>
  <c r="AR613"/>
  <c r="AR609"/>
  <c r="AR570"/>
  <c r="AR568"/>
  <c r="AR566"/>
  <c r="AR560"/>
  <c r="AR534"/>
  <c r="AR523"/>
  <c r="AL382"/>
  <c r="AL380"/>
  <c r="AR380"/>
  <c r="AL365"/>
  <c r="AR365"/>
  <c r="AR474"/>
  <c r="AR470"/>
  <c r="AR466"/>
  <c r="AR462"/>
  <c r="AR458"/>
  <c r="AR454"/>
  <c r="AR450"/>
  <c r="AR446"/>
  <c r="AR440"/>
  <c r="AR430"/>
  <c r="AR422"/>
  <c r="AR412"/>
  <c r="AL345"/>
  <c r="AL327"/>
  <c r="AL281"/>
  <c r="AL275"/>
  <c r="AL273"/>
  <c r="AL270"/>
  <c r="AL211"/>
  <c r="AL207"/>
  <c r="AL203"/>
  <c r="AL199"/>
  <c r="AL193"/>
  <c r="AL182"/>
  <c r="AR63"/>
  <c r="AL60"/>
  <c r="AR58"/>
  <c r="G82" i="7"/>
  <c r="G39" s="1"/>
  <c r="AL842" i="1"/>
  <c r="AR842" s="1"/>
  <c r="AN579"/>
  <c r="AS579" s="1"/>
  <c r="AN575"/>
  <c r="AN573"/>
  <c r="AM571"/>
  <c r="AL367"/>
  <c r="AR367" s="1"/>
  <c r="AR361"/>
  <c r="AR353"/>
  <c r="AK345"/>
  <c r="AR345" s="1"/>
  <c r="AR335"/>
  <c r="AL328"/>
  <c r="AK327"/>
  <c r="AL322"/>
  <c r="AR322" s="1"/>
  <c r="AK320"/>
  <c r="AR320" s="1"/>
  <c r="AK318"/>
  <c r="AR318"/>
  <c r="AK316"/>
  <c r="AR316"/>
  <c r="AR315"/>
  <c r="AK314"/>
  <c r="AR314" s="1"/>
  <c r="AR313"/>
  <c r="AK312"/>
  <c r="AR312" s="1"/>
  <c r="AK308"/>
  <c r="AK306"/>
  <c r="AK304"/>
  <c r="AR303"/>
  <c r="AK302"/>
  <c r="AK300"/>
  <c r="AR300" s="1"/>
  <c r="AK298"/>
  <c r="AR298" s="1"/>
  <c r="AK296"/>
  <c r="AR296" s="1"/>
  <c r="AK294"/>
  <c r="AR294" s="1"/>
  <c r="AK275"/>
  <c r="AK268"/>
  <c r="AR268" s="1"/>
  <c r="AL267"/>
  <c r="AR267" s="1"/>
  <c r="AL263"/>
  <c r="AR263" s="1"/>
  <c r="AL259"/>
  <c r="AR259" s="1"/>
  <c r="AL251"/>
  <c r="AR251" s="1"/>
  <c r="AK250"/>
  <c r="AR250" s="1"/>
  <c r="AK248"/>
  <c r="AR248" s="1"/>
  <c r="AR247"/>
  <c r="AK246"/>
  <c r="AR246" s="1"/>
  <c r="AK240"/>
  <c r="AR240" s="1"/>
  <c r="AL235"/>
  <c r="AL227"/>
  <c r="AL218"/>
  <c r="AL210"/>
  <c r="AL206"/>
  <c r="AL202"/>
  <c r="AR202" s="1"/>
  <c r="AK196"/>
  <c r="AR196" s="1"/>
  <c r="AR159"/>
  <c r="AL885"/>
  <c r="AR885" s="1"/>
  <c r="AR881"/>
  <c r="AR879"/>
  <c r="AL870"/>
  <c r="AR870" s="1"/>
  <c r="AL868"/>
  <c r="AR868" s="1"/>
  <c r="AR849"/>
  <c r="AK841"/>
  <c r="AR841"/>
  <c r="AK839"/>
  <c r="AR839"/>
  <c r="AK837"/>
  <c r="AR837"/>
  <c r="AR826"/>
  <c r="AR816"/>
  <c r="AR810"/>
  <c r="AR761"/>
  <c r="AR759"/>
  <c r="AR749"/>
  <c r="AR741"/>
  <c r="AR715"/>
  <c r="AR713"/>
  <c r="AR707"/>
  <c r="AR690"/>
  <c r="AR688"/>
  <c r="AR682"/>
  <c r="AR680"/>
  <c r="AR674"/>
  <c r="AR672"/>
  <c r="AR665"/>
  <c r="AR654"/>
  <c r="AR640"/>
  <c r="AR620"/>
  <c r="AR608"/>
  <c r="AR607"/>
  <c r="AR602"/>
  <c r="AR564"/>
  <c r="AR562"/>
  <c r="AR538"/>
  <c r="AR524"/>
  <c r="AR522"/>
  <c r="AR516"/>
  <c r="AR514"/>
  <c r="AR506"/>
  <c r="AR498"/>
  <c r="AR492"/>
  <c r="AR490"/>
  <c r="AR482"/>
  <c r="AR410"/>
  <c r="AR404"/>
  <c r="AK382"/>
  <c r="AL381"/>
  <c r="AR369"/>
  <c r="AK364"/>
  <c r="AR364"/>
  <c r="AK362"/>
  <c r="AR362"/>
  <c r="AK360"/>
  <c r="AR360"/>
  <c r="AK358"/>
  <c r="AR358"/>
  <c r="AK356"/>
  <c r="AK354"/>
  <c r="AK352"/>
  <c r="AK350"/>
  <c r="AK346"/>
  <c r="AR346"/>
  <c r="AL344"/>
  <c r="AR343"/>
  <c r="AK337"/>
  <c r="AK334"/>
  <c r="AR334" s="1"/>
  <c r="AK332"/>
  <c r="AR332" s="1"/>
  <c r="AL330"/>
  <c r="AR330" s="1"/>
  <c r="AK329"/>
  <c r="AK326"/>
  <c r="AR326" s="1"/>
  <c r="AK288"/>
  <c r="AR288" s="1"/>
  <c r="AL280"/>
  <c r="AR280" s="1"/>
  <c r="AL276"/>
  <c r="AL272"/>
  <c r="AR272" s="1"/>
  <c r="AR258"/>
  <c r="AK217"/>
  <c r="AK209"/>
  <c r="AR209"/>
  <c r="AK205"/>
  <c r="AR205" s="1"/>
  <c r="AK201"/>
  <c r="AR201" s="1"/>
  <c r="AR855"/>
  <c r="AR668"/>
  <c r="G76" i="7"/>
  <c r="AL282" i="1"/>
  <c r="AK281"/>
  <c r="AL278"/>
  <c r="AK277"/>
  <c r="AL274"/>
  <c r="AR274" s="1"/>
  <c r="AK273"/>
  <c r="AR273" s="1"/>
  <c r="AL265"/>
  <c r="AR265" s="1"/>
  <c r="AL261"/>
  <c r="AL257"/>
  <c r="AR257"/>
  <c r="AR253"/>
  <c r="AR243"/>
  <c r="AL237"/>
  <c r="AR237"/>
  <c r="AL233"/>
  <c r="AR233"/>
  <c r="AL225"/>
  <c r="AR225"/>
  <c r="AR221"/>
  <c r="AL216"/>
  <c r="AL212"/>
  <c r="AL208"/>
  <c r="AK207"/>
  <c r="AL204"/>
  <c r="H81" i="4"/>
  <c r="AL200" i="1"/>
  <c r="AL195"/>
  <c r="AR195"/>
  <c r="AR161"/>
  <c r="H31" i="4"/>
  <c r="H31" i="8" s="1"/>
  <c r="H86" i="4"/>
  <c r="H86" i="8"/>
  <c r="AK193" i="1"/>
  <c r="AR193" s="1"/>
  <c r="AK191"/>
  <c r="AL184"/>
  <c r="AR184" s="1"/>
  <c r="AL181"/>
  <c r="AK180"/>
  <c r="AR180" s="1"/>
  <c r="AK176"/>
  <c r="AL183"/>
  <c r="AK182"/>
  <c r="AR182" s="1"/>
  <c r="AL179"/>
  <c r="AK178"/>
  <c r="AL174"/>
  <c r="AR174" s="1"/>
  <c r="AR172"/>
  <c r="AS163"/>
  <c r="AK160"/>
  <c r="AS159"/>
  <c r="AR158"/>
  <c r="AS157"/>
  <c r="AR156"/>
  <c r="AS155"/>
  <c r="AR152"/>
  <c r="H78" i="4"/>
  <c r="H78" i="8" s="1"/>
  <c r="AL150" i="1"/>
  <c r="AR150" s="1"/>
  <c r="AL146"/>
  <c r="AR146" s="1"/>
  <c r="AL142"/>
  <c r="AR142"/>
  <c r="AL140"/>
  <c r="AR140"/>
  <c r="AL132"/>
  <c r="AR132" s="1"/>
  <c r="AL130"/>
  <c r="AR130" s="1"/>
  <c r="AL128"/>
  <c r="AR128" s="1"/>
  <c r="AR126"/>
  <c r="AL122"/>
  <c r="AR122" s="1"/>
  <c r="AL121"/>
  <c r="H85" i="4"/>
  <c r="H85" i="8" s="1"/>
  <c r="H80" i="4"/>
  <c r="AR115" i="1"/>
  <c r="AR87"/>
  <c r="AL66"/>
  <c r="AL64"/>
  <c r="AR62"/>
  <c r="AL61"/>
  <c r="AL59"/>
  <c r="AR59" s="1"/>
  <c r="AL57"/>
  <c r="AR101"/>
  <c r="AL26"/>
  <c r="AR26" s="1"/>
  <c r="AL19"/>
  <c r="AR19" s="1"/>
  <c r="H17" i="4"/>
  <c r="H17" i="8" s="1"/>
  <c r="N17" s="1"/>
  <c r="H13" i="4"/>
  <c r="H13" i="8" s="1"/>
  <c r="AL25" i="1"/>
  <c r="AL14"/>
  <c r="P894" i="26"/>
  <c r="P4" s="1"/>
  <c r="S888"/>
  <c r="AM804" i="1"/>
  <c r="AN802"/>
  <c r="AM801"/>
  <c r="AN800"/>
  <c r="AM799"/>
  <c r="AN827"/>
  <c r="AN826"/>
  <c r="AM825"/>
  <c r="AN824"/>
  <c r="AM823"/>
  <c r="AM820"/>
  <c r="AN818"/>
  <c r="AS818" s="1"/>
  <c r="AM817"/>
  <c r="AN816"/>
  <c r="AM815"/>
  <c r="AM814"/>
  <c r="AN810"/>
  <c r="AM809"/>
  <c r="AM807"/>
  <c r="AM798"/>
  <c r="AN769"/>
  <c r="AN767"/>
  <c r="AN766"/>
  <c r="AM765"/>
  <c r="AN764"/>
  <c r="AM763"/>
  <c r="AN797"/>
  <c r="AM796"/>
  <c r="AS796" s="1"/>
  <c r="AN794"/>
  <c r="AM793"/>
  <c r="AN792"/>
  <c r="AM791"/>
  <c r="AM788"/>
  <c r="AN786"/>
  <c r="AM785"/>
  <c r="AN784"/>
  <c r="AM783"/>
  <c r="AN781"/>
  <c r="AN778"/>
  <c r="AM777"/>
  <c r="AN774"/>
  <c r="AM773"/>
  <c r="AN772"/>
  <c r="AM771"/>
  <c r="AS771" s="1"/>
  <c r="AM760"/>
  <c r="AN758"/>
  <c r="AM757"/>
  <c r="AS757" s="1"/>
  <c r="AN756"/>
  <c r="AM755"/>
  <c r="AM752"/>
  <c r="AN751"/>
  <c r="AS751" s="1"/>
  <c r="AM750"/>
  <c r="AM747"/>
  <c r="AN746"/>
  <c r="AM742"/>
  <c r="AM740"/>
  <c r="AM739"/>
  <c r="AM737"/>
  <c r="AN736"/>
  <c r="AN735"/>
  <c r="AM731"/>
  <c r="AM729"/>
  <c r="AM724"/>
  <c r="AM721"/>
  <c r="AN720"/>
  <c r="AM719"/>
  <c r="AN718"/>
  <c r="AM717"/>
  <c r="AM715"/>
  <c r="AS715" s="1"/>
  <c r="AM714"/>
  <c r="AM712"/>
  <c r="AN710"/>
  <c r="AM709"/>
  <c r="AM707"/>
  <c r="AM706"/>
  <c r="AN704"/>
  <c r="AM700"/>
  <c r="AN698"/>
  <c r="AM697"/>
  <c r="AN696"/>
  <c r="AM695"/>
  <c r="AS695" s="1"/>
  <c r="AM694"/>
  <c r="AN693"/>
  <c r="AN691"/>
  <c r="AN690"/>
  <c r="AM689"/>
  <c r="AN688"/>
  <c r="AM686"/>
  <c r="AM684"/>
  <c r="AN682"/>
  <c r="AM681"/>
  <c r="AN680"/>
  <c r="AM678"/>
  <c r="AN677"/>
  <c r="AM676"/>
  <c r="AN675"/>
  <c r="AM673"/>
  <c r="AS673" s="1"/>
  <c r="AN672"/>
  <c r="AM671"/>
  <c r="AM670"/>
  <c r="AM669"/>
  <c r="AS669" s="1"/>
  <c r="AN661"/>
  <c r="AN653"/>
  <c r="AN626"/>
  <c r="AN624"/>
  <c r="AN623"/>
  <c r="AN621"/>
  <c r="AN606"/>
  <c r="AN602"/>
  <c r="AS602" s="1"/>
  <c r="AM666"/>
  <c r="AN665"/>
  <c r="AN664"/>
  <c r="AM663"/>
  <c r="AS663" s="1"/>
  <c r="AN662"/>
  <c r="AM661"/>
  <c r="AM660"/>
  <c r="AS660" s="1"/>
  <c r="AN659"/>
  <c r="AM658"/>
  <c r="AN657"/>
  <c r="AN656"/>
  <c r="AM655"/>
  <c r="AN654"/>
  <c r="AM653"/>
  <c r="AM652"/>
  <c r="AS652" s="1"/>
  <c r="AN651"/>
  <c r="AM650"/>
  <c r="AN649"/>
  <c r="AN648"/>
  <c r="AM647"/>
  <c r="AN646"/>
  <c r="AM645"/>
  <c r="AS645" s="1"/>
  <c r="AM644"/>
  <c r="AN643"/>
  <c r="AM642"/>
  <c r="AS642" s="1"/>
  <c r="AM639"/>
  <c r="AS639" s="1"/>
  <c r="AN638"/>
  <c r="AM637"/>
  <c r="AM635"/>
  <c r="AN631"/>
  <c r="AM630"/>
  <c r="AN629"/>
  <c r="AM628"/>
  <c r="AN627"/>
  <c r="AS627" s="1"/>
  <c r="AN625"/>
  <c r="AM624"/>
  <c r="AS624" s="1"/>
  <c r="AM623"/>
  <c r="AN622"/>
  <c r="AM621"/>
  <c r="AN620"/>
  <c r="AM619"/>
  <c r="AN618"/>
  <c r="AN617"/>
  <c r="AM616"/>
  <c r="AN615"/>
  <c r="AS615" s="1"/>
  <c r="AM614"/>
  <c r="AN613"/>
  <c r="AS613" s="1"/>
  <c r="AM612"/>
  <c r="AN611"/>
  <c r="AM610"/>
  <c r="AN609"/>
  <c r="AN607"/>
  <c r="AM606"/>
  <c r="AN605"/>
  <c r="AN600"/>
  <c r="AM599"/>
  <c r="AN598"/>
  <c r="AM597"/>
  <c r="AN595"/>
  <c r="AN593"/>
  <c r="AN591"/>
  <c r="AN589"/>
  <c r="AN585"/>
  <c r="AN584"/>
  <c r="AM583"/>
  <c r="AN582"/>
  <c r="AM581"/>
  <c r="AS581" s="1"/>
  <c r="AN564"/>
  <c r="AN563"/>
  <c r="AN562"/>
  <c r="AN561"/>
  <c r="AN560"/>
  <c r="AM559"/>
  <c r="AS559" s="1"/>
  <c r="AM557"/>
  <c r="AN555"/>
  <c r="AM553"/>
  <c r="AN541"/>
  <c r="AN540"/>
  <c r="AM539"/>
  <c r="AN538"/>
  <c r="AM537"/>
  <c r="AM551"/>
  <c r="AN549"/>
  <c r="AS549"/>
  <c r="AN548"/>
  <c r="AM547"/>
  <c r="AM545"/>
  <c r="AN535"/>
  <c r="AN533"/>
  <c r="AM531"/>
  <c r="AM529"/>
  <c r="AN527"/>
  <c r="AN525"/>
  <c r="AN524"/>
  <c r="AM523"/>
  <c r="AS523"/>
  <c r="AN522"/>
  <c r="AM521"/>
  <c r="AN516"/>
  <c r="AM515"/>
  <c r="AN514"/>
  <c r="AM513"/>
  <c r="AN511"/>
  <c r="AN509"/>
  <c r="AS509" s="1"/>
  <c r="AN508"/>
  <c r="AN506"/>
  <c r="AM505"/>
  <c r="AN503"/>
  <c r="AN501"/>
  <c r="AN500"/>
  <c r="AM499"/>
  <c r="AN498"/>
  <c r="AM497"/>
  <c r="AN495"/>
  <c r="AN493"/>
  <c r="AN492"/>
  <c r="AM491"/>
  <c r="AM489"/>
  <c r="AN487"/>
  <c r="AN485"/>
  <c r="AN484"/>
  <c r="AM483"/>
  <c r="AN482"/>
  <c r="AM481"/>
  <c r="AN475"/>
  <c r="AN473"/>
  <c r="AN472"/>
  <c r="AM471"/>
  <c r="AN470"/>
  <c r="AN479"/>
  <c r="AN477"/>
  <c r="AN476"/>
  <c r="AN441"/>
  <c r="AN440"/>
  <c r="AM439"/>
  <c r="AS439" s="1"/>
  <c r="AN438"/>
  <c r="AM437"/>
  <c r="AM469"/>
  <c r="AN467"/>
  <c r="AN465"/>
  <c r="AN463"/>
  <c r="AN461"/>
  <c r="AN460"/>
  <c r="AM459"/>
  <c r="AN458"/>
  <c r="AM457"/>
  <c r="AN455"/>
  <c r="AN452"/>
  <c r="AM451"/>
  <c r="AN450"/>
  <c r="AM449"/>
  <c r="AM445"/>
  <c r="AS445" s="1"/>
  <c r="AN435"/>
  <c r="AS435" s="1"/>
  <c r="AN433"/>
  <c r="AN432"/>
  <c r="AM431"/>
  <c r="AN430"/>
  <c r="AM429"/>
  <c r="AN427"/>
  <c r="AN425"/>
  <c r="AN424"/>
  <c r="AM423"/>
  <c r="AN422"/>
  <c r="AM421"/>
  <c r="AN419"/>
  <c r="AN417"/>
  <c r="AN414"/>
  <c r="AM413"/>
  <c r="AN411"/>
  <c r="AS411" s="1"/>
  <c r="AM401"/>
  <c r="AN400"/>
  <c r="AM399"/>
  <c r="AN394"/>
  <c r="AN389"/>
  <c r="AN387"/>
  <c r="AN386"/>
  <c r="AN384"/>
  <c r="AR17"/>
  <c r="N552" i="26"/>
  <c r="AA901" i="1"/>
  <c r="AR281"/>
  <c r="AR381"/>
  <c r="AR302"/>
  <c r="AR348"/>
  <c r="AR350"/>
  <c r="AR308"/>
  <c r="N563" i="27"/>
  <c r="N552" i="20"/>
  <c r="AA75" i="31"/>
  <c r="AA81"/>
  <c r="AA199"/>
  <c r="AA209"/>
  <c r="AA213"/>
  <c r="AA241"/>
  <c r="AA200"/>
  <c r="AA204"/>
  <c r="AA206"/>
  <c r="AA210"/>
  <c r="AA212"/>
  <c r="N184"/>
  <c r="A196"/>
  <c r="A197"/>
  <c r="N197"/>
  <c r="AA342"/>
  <c r="AA440"/>
  <c r="AA432"/>
  <c r="AA415"/>
  <c r="AA272"/>
  <c r="AA264"/>
  <c r="AA193"/>
  <c r="AA169"/>
  <c r="AA153"/>
  <c r="AA149"/>
  <c r="AA137"/>
  <c r="AA133"/>
  <c r="AA121"/>
  <c r="AA117"/>
  <c r="AA105"/>
  <c r="AA101"/>
  <c r="AA89"/>
  <c r="AA250"/>
  <c r="AA246"/>
  <c r="AA242"/>
  <c r="AA232"/>
  <c r="AA185"/>
  <c r="AA80"/>
  <c r="AA74"/>
  <c r="AA78"/>
  <c r="AA371"/>
  <c r="AA332"/>
  <c r="AA328"/>
  <c r="AA316"/>
  <c r="AA312"/>
  <c r="AA296"/>
  <c r="AA292"/>
  <c r="AA280"/>
  <c r="AA276"/>
  <c r="AA457"/>
  <c r="AA449"/>
  <c r="AA413"/>
  <c r="AA405"/>
  <c r="AA397"/>
  <c r="AA341"/>
  <c r="AA366"/>
  <c r="AA354"/>
  <c r="AA384"/>
  <c r="AA317"/>
  <c r="AA301"/>
  <c r="AA293"/>
  <c r="AA285"/>
  <c r="AA277"/>
  <c r="AA269"/>
  <c r="AA335"/>
  <c r="AA256"/>
  <c r="AA187"/>
  <c r="AA238"/>
  <c r="AA191"/>
  <c r="AA178"/>
  <c r="AA170"/>
  <c r="AA166"/>
  <c r="AA158"/>
  <c r="AA154"/>
  <c r="AA150"/>
  <c r="AA146"/>
  <c r="AA142"/>
  <c r="AA138"/>
  <c r="AA134"/>
  <c r="AA130"/>
  <c r="AA126"/>
  <c r="AA122"/>
  <c r="AA118"/>
  <c r="AA114"/>
  <c r="AA110"/>
  <c r="AA106"/>
  <c r="AA102"/>
  <c r="AA98"/>
  <c r="AA94"/>
  <c r="AA90"/>
  <c r="AA86"/>
  <c r="AA59"/>
  <c r="AA45"/>
  <c r="AA41"/>
  <c r="AA21"/>
  <c r="AA73"/>
  <c r="AA65"/>
  <c r="AA61"/>
  <c r="AA453"/>
  <c r="AA445"/>
  <c r="AA437"/>
  <c r="AA425"/>
  <c r="AA409"/>
  <c r="AA401"/>
  <c r="AA345"/>
  <c r="AA370"/>
  <c r="AA350"/>
  <c r="AA392"/>
  <c r="AA376"/>
  <c r="AA329"/>
  <c r="AA321"/>
  <c r="AA297"/>
  <c r="AA289"/>
  <c r="AA196"/>
  <c r="AA450"/>
  <c r="AA446"/>
  <c r="AA442"/>
  <c r="AA438"/>
  <c r="AA434"/>
  <c r="AA430"/>
  <c r="AA459"/>
  <c r="AA455"/>
  <c r="AA451"/>
  <c r="AA447"/>
  <c r="AA443"/>
  <c r="AA439"/>
  <c r="AA435"/>
  <c r="AA431"/>
  <c r="AA427"/>
  <c r="AA411"/>
  <c r="AA403"/>
  <c r="AA399"/>
  <c r="AA395"/>
  <c r="AA379"/>
  <c r="AA343"/>
  <c r="AA424"/>
  <c r="AA398"/>
  <c r="AA394"/>
  <c r="AA390"/>
  <c r="AA382"/>
  <c r="AA378"/>
  <c r="AA372"/>
  <c r="AA368"/>
  <c r="AA360"/>
  <c r="AA352"/>
  <c r="AA421"/>
  <c r="AA417"/>
  <c r="AA412"/>
  <c r="AA388"/>
  <c r="AA380"/>
  <c r="AA374"/>
  <c r="AA349"/>
  <c r="AA334"/>
  <c r="AA331"/>
  <c r="AA327"/>
  <c r="AA323"/>
  <c r="AA319"/>
  <c r="AA311"/>
  <c r="AA307"/>
  <c r="AA303"/>
  <c r="AA299"/>
  <c r="AA295"/>
  <c r="AA291"/>
  <c r="AA287"/>
  <c r="AA279"/>
  <c r="AA275"/>
  <c r="AA271"/>
  <c r="AA267"/>
  <c r="AA263"/>
  <c r="AA259"/>
  <c r="AA330"/>
  <c r="AA326"/>
  <c r="AA322"/>
  <c r="AA318"/>
  <c r="AA314"/>
  <c r="AA310"/>
  <c r="AA306"/>
  <c r="AA302"/>
  <c r="AA298"/>
  <c r="AA294"/>
  <c r="AA290"/>
  <c r="AA286"/>
  <c r="AA282"/>
  <c r="AA278"/>
  <c r="AA274"/>
  <c r="AA270"/>
  <c r="AA262"/>
  <c r="AA258"/>
  <c r="AA254"/>
  <c r="AA245"/>
  <c r="AA239"/>
  <c r="AA233"/>
  <c r="AA229"/>
  <c r="AA225"/>
  <c r="AA221"/>
  <c r="AA197"/>
  <c r="AA195"/>
  <c r="AA189"/>
  <c r="AA183"/>
  <c r="AA179"/>
  <c r="AA175"/>
  <c r="AA171"/>
  <c r="AA167"/>
  <c r="AA163"/>
  <c r="AA159"/>
  <c r="AA155"/>
  <c r="AA151"/>
  <c r="AA147"/>
  <c r="AA143"/>
  <c r="AA139"/>
  <c r="AA135"/>
  <c r="AA131"/>
  <c r="AA127"/>
  <c r="AA123"/>
  <c r="AA119"/>
  <c r="AA111"/>
  <c r="AA107"/>
  <c r="AA103"/>
  <c r="AA99"/>
  <c r="AA95"/>
  <c r="AA91"/>
  <c r="AA87"/>
  <c r="AA252"/>
  <c r="AA248"/>
  <c r="AA244"/>
  <c r="AA236"/>
  <c r="AA230"/>
  <c r="AA214"/>
  <c r="AA186"/>
  <c r="AA180"/>
  <c r="AA176"/>
  <c r="AA172"/>
  <c r="AA168"/>
  <c r="AA164"/>
  <c r="AA160"/>
  <c r="AA156"/>
  <c r="AA152"/>
  <c r="AA148"/>
  <c r="AA144"/>
  <c r="AA140"/>
  <c r="AA136"/>
  <c r="AA132"/>
  <c r="AA128"/>
  <c r="AA124"/>
  <c r="AA120"/>
  <c r="AA116"/>
  <c r="AA112"/>
  <c r="AA108"/>
  <c r="AA104"/>
  <c r="AA100"/>
  <c r="AA96"/>
  <c r="AA92"/>
  <c r="AA88"/>
  <c r="AA83"/>
  <c r="AA79"/>
  <c r="AA72"/>
  <c r="AA68"/>
  <c r="AA64"/>
  <c r="AA60"/>
  <c r="AA56"/>
  <c r="AA52"/>
  <c r="AA38"/>
  <c r="AA34"/>
  <c r="AA30"/>
  <c r="AA26"/>
  <c r="AA22"/>
  <c r="AA18"/>
  <c r="AA71"/>
  <c r="AA67"/>
  <c r="AA63"/>
  <c r="AA58"/>
  <c r="AA54"/>
  <c r="AA50"/>
  <c r="AA44"/>
  <c r="AA36"/>
  <c r="AA32"/>
  <c r="AA28"/>
  <c r="AA24"/>
  <c r="AA20"/>
  <c r="AA461"/>
  <c r="D44" i="4"/>
  <c r="D44" i="8" s="1"/>
  <c r="AR342" i="1"/>
  <c r="AR331"/>
  <c r="AS323"/>
  <c r="AR297"/>
  <c r="AR230"/>
  <c r="AR374"/>
  <c r="AR355"/>
  <c r="J101" i="29"/>
  <c r="D92"/>
  <c r="D92" i="30" s="1"/>
  <c r="J25" i="29"/>
  <c r="J25" i="30" s="1"/>
  <c r="J57" i="29"/>
  <c r="J57" i="30"/>
  <c r="J44" i="29"/>
  <c r="J44" i="30" s="1"/>
  <c r="J32" i="4"/>
  <c r="J32" i="8" s="1"/>
  <c r="AM866" i="1"/>
  <c r="J60" i="29"/>
  <c r="J60" i="30" s="1"/>
  <c r="AR434" i="1"/>
  <c r="AR432"/>
  <c r="J43" i="29"/>
  <c r="J43" i="30" s="1"/>
  <c r="D93" i="29"/>
  <c r="D93" i="30" s="1"/>
  <c r="D25" i="29"/>
  <c r="D25" i="30" s="1"/>
  <c r="D52" i="29"/>
  <c r="D52" i="30" s="1"/>
  <c r="A552" i="1"/>
  <c r="AR548"/>
  <c r="AR468"/>
  <c r="D32" i="4"/>
  <c r="D32" i="8" s="1"/>
  <c r="J31" i="4"/>
  <c r="J31" i="8" s="1"/>
  <c r="E34" i="4"/>
  <c r="D55"/>
  <c r="J99" i="29"/>
  <c r="J99" i="30" s="1"/>
  <c r="J93"/>
  <c r="D105" i="29"/>
  <c r="D105" i="30" s="1"/>
  <c r="J48" i="29"/>
  <c r="J80" i="4"/>
  <c r="J81"/>
  <c r="J78"/>
  <c r="J78" i="8" s="1"/>
  <c r="J13" i="4"/>
  <c r="J13" i="8" s="1"/>
  <c r="J15" i="29"/>
  <c r="J15" i="30" s="1"/>
  <c r="J83" i="29"/>
  <c r="J83" i="30" s="1"/>
  <c r="J55"/>
  <c r="J46" i="29"/>
  <c r="J48" i="4"/>
  <c r="J48" i="8" s="1"/>
  <c r="D85" i="4"/>
  <c r="D85" i="8" s="1"/>
  <c r="D24" i="4"/>
  <c r="D24" i="8" s="1"/>
  <c r="D14" i="4"/>
  <c r="D14" i="8" s="1"/>
  <c r="J16" i="29"/>
  <c r="J16" i="30" s="1"/>
  <c r="D14" i="29"/>
  <c r="D60"/>
  <c r="D60" i="30" s="1"/>
  <c r="J56" i="29"/>
  <c r="AR151" i="1"/>
  <c r="J24" i="4"/>
  <c r="J24" i="8" s="1"/>
  <c r="D16" i="4"/>
  <c r="D16" i="8" s="1"/>
  <c r="D64" i="4"/>
  <c r="D64" i="8" s="1"/>
  <c r="E82" i="7"/>
  <c r="E39" s="1"/>
  <c r="R894" i="25"/>
  <c r="R4" s="1"/>
  <c r="D79" i="4"/>
  <c r="S888" i="20"/>
  <c r="H60" i="4"/>
  <c r="D34" i="29"/>
  <c r="D34" i="30" s="1"/>
  <c r="J45" i="29"/>
  <c r="J45" i="30" s="1"/>
  <c r="K52" i="29"/>
  <c r="K46"/>
  <c r="AA339" i="31"/>
  <c r="N559" i="27"/>
  <c r="N558"/>
  <c r="N559" i="26"/>
  <c r="N558"/>
  <c r="N559" i="25"/>
  <c r="N558"/>
  <c r="N559" i="20"/>
  <c r="N558"/>
  <c r="K93" i="8"/>
  <c r="K104" i="4"/>
  <c r="K101"/>
  <c r="K47"/>
  <c r="K84"/>
  <c r="K93"/>
  <c r="E23"/>
  <c r="A2" i="29"/>
  <c r="AR872" i="1"/>
  <c r="AR186"/>
  <c r="AS618"/>
  <c r="AR354"/>
  <c r="AR227"/>
  <c r="AS804"/>
  <c r="AR175"/>
  <c r="AR206"/>
  <c r="AR366"/>
  <c r="AS858"/>
  <c r="AR249"/>
  <c r="AS403"/>
  <c r="AN833"/>
  <c r="AR472"/>
  <c r="AR406"/>
  <c r="AR386"/>
  <c r="J36" i="29"/>
  <c r="J36" i="30" s="1"/>
  <c r="AR433" i="1"/>
  <c r="AR222"/>
  <c r="P73" i="33"/>
  <c r="O68"/>
  <c r="AK210" i="1"/>
  <c r="AR210" s="1"/>
  <c r="O80" i="33"/>
  <c r="P66" i="35"/>
  <c r="AL176" i="1"/>
  <c r="D25" i="4"/>
  <c r="D25" i="8" s="1"/>
  <c r="O76" i="33"/>
  <c r="O75"/>
  <c r="P70"/>
  <c r="O69"/>
  <c r="P66"/>
  <c r="R65"/>
  <c r="P894" i="25"/>
  <c r="P4" s="1"/>
  <c r="T907" i="27"/>
  <c r="AL224" i="1"/>
  <c r="AR224"/>
  <c r="O73" i="33"/>
  <c r="O70"/>
  <c r="P39" i="35"/>
  <c r="AL190" i="1"/>
  <c r="AR190" s="1"/>
  <c r="O66" i="33"/>
  <c r="AK179" i="1"/>
  <c r="AR179" s="1"/>
  <c r="O64" i="33"/>
  <c r="AK148" i="1"/>
  <c r="AR148" s="1"/>
  <c r="J22" i="4"/>
  <c r="J22" i="8" s="1"/>
  <c r="J16" i="4"/>
  <c r="J16" i="8" s="1"/>
  <c r="P79" i="33"/>
  <c r="O78"/>
  <c r="P75"/>
  <c r="O74"/>
  <c r="O72"/>
  <c r="O71"/>
  <c r="P68"/>
  <c r="O33" i="35"/>
  <c r="O27"/>
  <c r="AK188" i="1"/>
  <c r="AR188"/>
  <c r="J14" i="4"/>
  <c r="J14" i="8" s="1"/>
  <c r="M51" i="7"/>
  <c r="K34" i="4"/>
  <c r="E20"/>
  <c r="P61" i="35"/>
  <c r="T910" i="26"/>
  <c r="T911"/>
  <c r="T907"/>
  <c r="T908"/>
  <c r="T904"/>
  <c r="T905"/>
  <c r="T888" i="25"/>
  <c r="T894" s="1"/>
  <c r="T4" s="1"/>
  <c r="T911" i="27"/>
  <c r="T910"/>
  <c r="D45" i="29"/>
  <c r="D45" i="30" s="1"/>
  <c r="D84" i="29"/>
  <c r="D84" i="30" s="1"/>
  <c r="P77" i="33"/>
  <c r="P74"/>
  <c r="S32"/>
  <c r="S34"/>
  <c r="S4" s="1"/>
  <c r="P32"/>
  <c r="P34"/>
  <c r="N56" i="7"/>
  <c r="J76"/>
  <c r="J11" s="1"/>
  <c r="D82"/>
  <c r="M43"/>
  <c r="N196" i="31"/>
  <c r="AS878" i="1"/>
  <c r="AS725"/>
  <c r="AS429"/>
  <c r="AS666"/>
  <c r="AS713"/>
  <c r="AK846"/>
  <c r="AR846" s="1"/>
  <c r="AG888"/>
  <c r="AS769"/>
  <c r="AR306"/>
  <c r="AR241"/>
  <c r="J10" i="4"/>
  <c r="J100" i="29"/>
  <c r="AR807" i="1"/>
  <c r="H92" i="4"/>
  <c r="P894" i="1"/>
  <c r="P4" s="1"/>
  <c r="S888"/>
  <c r="AR204"/>
  <c r="AS616"/>
  <c r="AR847"/>
  <c r="A558"/>
  <c r="N558"/>
  <c r="AJ558"/>
  <c r="AR502"/>
  <c r="AS293"/>
  <c r="AS179"/>
  <c r="AR402"/>
  <c r="G80" i="7"/>
  <c r="K80"/>
  <c r="K23" s="1"/>
  <c r="E80"/>
  <c r="J85" i="4"/>
  <c r="J85" i="8" s="1"/>
  <c r="S65" i="33"/>
  <c r="T904" i="25"/>
  <c r="U462" i="31"/>
  <c r="V462"/>
  <c r="AA281"/>
  <c r="D20" i="29"/>
  <c r="N20"/>
  <c r="AS822" i="1"/>
  <c r="AS794"/>
  <c r="AS783"/>
  <c r="AS747"/>
  <c r="AS755"/>
  <c r="AS795"/>
  <c r="AS813"/>
  <c r="AS851"/>
  <c r="AS857"/>
  <c r="AR864"/>
  <c r="AR866"/>
  <c r="G55" i="4"/>
  <c r="AK832" i="1"/>
  <c r="AR832" s="1"/>
  <c r="V888"/>
  <c r="H55" i="4"/>
  <c r="AS879" i="1"/>
  <c r="AS881"/>
  <c r="AR884"/>
  <c r="X888"/>
  <c r="AS853"/>
  <c r="AR835"/>
  <c r="AS843"/>
  <c r="AS876"/>
  <c r="AR838"/>
  <c r="AS880"/>
  <c r="AR865"/>
  <c r="AR861"/>
  <c r="AS814"/>
  <c r="AS817"/>
  <c r="AS797"/>
  <c r="AS650"/>
  <c r="AS658"/>
  <c r="AS661"/>
  <c r="AS621"/>
  <c r="AS442"/>
  <c r="AS467"/>
  <c r="AR291"/>
  <c r="AR299"/>
  <c r="AR305"/>
  <c r="AR307"/>
  <c r="AR311"/>
  <c r="AR317"/>
  <c r="H33" i="4"/>
  <c r="H33" i="8" s="1"/>
  <c r="AK321" i="1"/>
  <c r="AR321" s="1"/>
  <c r="AK349"/>
  <c r="AR349" s="1"/>
  <c r="W899"/>
  <c r="W898"/>
  <c r="AR357"/>
  <c r="AR376"/>
  <c r="AR277"/>
  <c r="AR197"/>
  <c r="AS142"/>
  <c r="AR117"/>
  <c r="AR123"/>
  <c r="AR129"/>
  <c r="AR131"/>
  <c r="AR137"/>
  <c r="AS160"/>
  <c r="AR262"/>
  <c r="AR200"/>
  <c r="AS282"/>
  <c r="AR145"/>
  <c r="AR155"/>
  <c r="AS162"/>
  <c r="AR167"/>
  <c r="AK149"/>
  <c r="AR157"/>
  <c r="AR236"/>
  <c r="AR235"/>
  <c r="AR103"/>
  <c r="AR107"/>
  <c r="AK109"/>
  <c r="AR109" s="1"/>
  <c r="H24" i="4"/>
  <c r="AR76" i="1"/>
  <c r="AR78"/>
  <c r="AR80"/>
  <c r="AR88"/>
  <c r="H14" i="4"/>
  <c r="H14" i="8" s="1"/>
  <c r="N14" s="1"/>
  <c r="H19" i="4"/>
  <c r="H19" i="8" s="1"/>
  <c r="N19" s="1"/>
  <c r="AK72" i="1"/>
  <c r="AR72"/>
  <c r="AR75"/>
  <c r="AK92"/>
  <c r="AR92" s="1"/>
  <c r="AK86"/>
  <c r="AR86" s="1"/>
  <c r="AR25"/>
  <c r="AR16"/>
  <c r="G88" i="7"/>
  <c r="AK60" i="1"/>
  <c r="AR60"/>
  <c r="W901"/>
  <c r="AL20"/>
  <c r="AL901" s="1"/>
  <c r="W902"/>
  <c r="H70" i="4"/>
  <c r="H70" i="8" s="1"/>
  <c r="N70" s="1"/>
  <c r="W904" i="1"/>
  <c r="AL905"/>
  <c r="W908"/>
  <c r="W907"/>
  <c r="AR68"/>
  <c r="AR18"/>
  <c r="AR20"/>
  <c r="AS807"/>
  <c r="AS773"/>
  <c r="AS792"/>
  <c r="AS653"/>
  <c r="D97" i="29"/>
  <c r="D97" i="30"/>
  <c r="AS802" i="1"/>
  <c r="AS551"/>
  <c r="D78" i="4"/>
  <c r="D78" i="8" s="1"/>
  <c r="AS60" i="1"/>
  <c r="AS788"/>
  <c r="AS681"/>
  <c r="AS671"/>
  <c r="AS659"/>
  <c r="D18" i="29"/>
  <c r="AS603" i="1"/>
  <c r="D72" i="29"/>
  <c r="D72" i="30" s="1"/>
  <c r="AS367" i="1"/>
  <c r="D33" i="4"/>
  <c r="D33" i="8"/>
  <c r="D31" i="4"/>
  <c r="D31" i="8" s="1"/>
  <c r="D81" i="4"/>
  <c r="D48" i="29"/>
  <c r="AS418" i="1"/>
  <c r="AS427"/>
  <c r="AS479"/>
  <c r="AS477"/>
  <c r="D56" i="29"/>
  <c r="D56" i="30" s="1"/>
  <c r="D44" i="29"/>
  <c r="D44" i="30" s="1"/>
  <c r="D46" i="29"/>
  <c r="AS177" i="1"/>
  <c r="D80" i="4"/>
  <c r="S70" i="33"/>
  <c r="AS135" i="1"/>
  <c r="AS143"/>
  <c r="AS131"/>
  <c r="AS78"/>
  <c r="T911"/>
  <c r="D89" i="29"/>
  <c r="D80"/>
  <c r="D80" i="30" s="1"/>
  <c r="AS657" i="1"/>
  <c r="AS607"/>
  <c r="AS353"/>
  <c r="AS339"/>
  <c r="Q829"/>
  <c r="Q890" s="1"/>
  <c r="Q13" s="1"/>
  <c r="AS297"/>
  <c r="AS295"/>
  <c r="AS154"/>
  <c r="AS156"/>
  <c r="AS109"/>
  <c r="E88" i="7"/>
  <c r="AS18" i="1"/>
  <c r="D43" i="29"/>
  <c r="T898" i="1"/>
  <c r="R829"/>
  <c r="R890" s="1"/>
  <c r="D48" i="4"/>
  <c r="D48" i="8" s="1"/>
  <c r="D49" i="4"/>
  <c r="D49" i="8" s="1"/>
  <c r="D13" i="4"/>
  <c r="D15"/>
  <c r="D15" i="8" s="1"/>
  <c r="AS15" i="1"/>
  <c r="T899"/>
  <c r="AS823"/>
  <c r="AM806"/>
  <c r="AM786"/>
  <c r="AS786" s="1"/>
  <c r="AS767"/>
  <c r="AM778"/>
  <c r="AS778" s="1"/>
  <c r="AN701"/>
  <c r="AN708"/>
  <c r="AN716"/>
  <c r="AN712"/>
  <c r="AS712" s="1"/>
  <c r="AN706"/>
  <c r="AN697"/>
  <c r="AN694"/>
  <c r="AS694" s="1"/>
  <c r="AM698"/>
  <c r="AM702"/>
  <c r="AS702"/>
  <c r="AS676"/>
  <c r="AS678"/>
  <c r="AN674"/>
  <c r="AM679"/>
  <c r="AS679" s="1"/>
  <c r="AN683"/>
  <c r="AS683" s="1"/>
  <c r="AN685"/>
  <c r="AS685" s="1"/>
  <c r="AM687"/>
  <c r="AS687" s="1"/>
  <c r="AM693"/>
  <c r="AS693" s="1"/>
  <c r="AM691"/>
  <c r="AN689"/>
  <c r="AS689" s="1"/>
  <c r="AN686"/>
  <c r="AS686" s="1"/>
  <c r="AN684"/>
  <c r="AM677"/>
  <c r="AS677" s="1"/>
  <c r="AM675"/>
  <c r="AS675" s="1"/>
  <c r="AN670"/>
  <c r="AM668"/>
  <c r="AS668" s="1"/>
  <c r="AM664"/>
  <c r="AN634"/>
  <c r="AN635"/>
  <c r="AM636"/>
  <c r="AS636" s="1"/>
  <c r="AM638"/>
  <c r="AM414"/>
  <c r="AS414" s="1"/>
  <c r="AM385"/>
  <c r="AS385" s="1"/>
  <c r="AN392"/>
  <c r="AN396"/>
  <c r="AM387"/>
  <c r="AS387" s="1"/>
  <c r="AM375"/>
  <c r="AN372"/>
  <c r="AN370"/>
  <c r="AN368"/>
  <c r="AN365"/>
  <c r="AN363"/>
  <c r="AS363" s="1"/>
  <c r="AM359"/>
  <c r="AM360"/>
  <c r="AM376"/>
  <c r="AS351"/>
  <c r="T898" i="20"/>
  <c r="T899"/>
  <c r="AM276" i="1"/>
  <c r="AS276" s="1"/>
  <c r="AM228"/>
  <c r="AS228"/>
  <c r="AM234"/>
  <c r="H44" i="4"/>
  <c r="H44" i="8" s="1"/>
  <c r="AN201" i="1"/>
  <c r="AM208"/>
  <c r="AM209"/>
  <c r="AS209"/>
  <c r="AN210"/>
  <c r="AM213"/>
  <c r="AS213" s="1"/>
  <c r="AN214"/>
  <c r="AM215"/>
  <c r="AN217"/>
  <c r="AN218"/>
  <c r="AN219"/>
  <c r="AS219" s="1"/>
  <c r="AN220"/>
  <c r="AN223"/>
  <c r="AM224"/>
  <c r="AM229"/>
  <c r="AS229" s="1"/>
  <c r="AN233"/>
  <c r="AM235"/>
  <c r="AN236"/>
  <c r="AS236" s="1"/>
  <c r="AM242"/>
  <c r="AS242" s="1"/>
  <c r="AN245"/>
  <c r="AN248"/>
  <c r="AN249"/>
  <c r="AM251"/>
  <c r="AN252"/>
  <c r="AN253"/>
  <c r="AS253"/>
  <c r="AN255"/>
  <c r="AS255" s="1"/>
  <c r="AN258"/>
  <c r="AM259"/>
  <c r="AM264"/>
  <c r="AN265"/>
  <c r="AM266"/>
  <c r="AS266" s="1"/>
  <c r="AM267"/>
  <c r="AS267" s="1"/>
  <c r="AM272"/>
  <c r="AN277"/>
  <c r="AS277" s="1"/>
  <c r="AM202"/>
  <c r="AS202" s="1"/>
  <c r="AM203"/>
  <c r="AS203" s="1"/>
  <c r="AN207"/>
  <c r="AM225"/>
  <c r="AM238"/>
  <c r="AM241"/>
  <c r="AM262"/>
  <c r="AM263"/>
  <c r="AM268"/>
  <c r="AN269"/>
  <c r="AS269"/>
  <c r="AN270"/>
  <c r="AM604"/>
  <c r="AM656"/>
  <c r="AS656"/>
  <c r="AM672"/>
  <c r="AS672"/>
  <c r="AM674"/>
  <c r="AM680"/>
  <c r="AS680" s="1"/>
  <c r="AM682"/>
  <c r="AS682" s="1"/>
  <c r="AM688"/>
  <c r="AS688" s="1"/>
  <c r="AM726"/>
  <c r="AM728"/>
  <c r="AM736"/>
  <c r="AS736" s="1"/>
  <c r="AS721"/>
  <c r="AM722"/>
  <c r="AN724"/>
  <c r="AS724" s="1"/>
  <c r="AN726"/>
  <c r="AM727"/>
  <c r="AN728"/>
  <c r="AN729"/>
  <c r="AS729" s="1"/>
  <c r="AN730"/>
  <c r="AS730"/>
  <c r="AM733"/>
  <c r="AM735"/>
  <c r="AN739"/>
  <c r="AN741"/>
  <c r="AS741" s="1"/>
  <c r="AM743"/>
  <c r="AM745"/>
  <c r="AS745" s="1"/>
  <c r="AS731"/>
  <c r="AM720"/>
  <c r="AS720" s="1"/>
  <c r="AS700"/>
  <c r="AM696"/>
  <c r="AM708"/>
  <c r="AS708"/>
  <c r="AM716"/>
  <c r="AM704"/>
  <c r="AS704" s="1"/>
  <c r="AM710"/>
  <c r="AS710"/>
  <c r="AM718"/>
  <c r="AM662"/>
  <c r="AN644"/>
  <c r="AN641"/>
  <c r="AS646"/>
  <c r="AM632"/>
  <c r="AS632" s="1"/>
  <c r="AM634"/>
  <c r="AM626"/>
  <c r="AS614"/>
  <c r="AN599"/>
  <c r="AM598"/>
  <c r="AS598" s="1"/>
  <c r="AM600"/>
  <c r="AM578"/>
  <c r="AS578" s="1"/>
  <c r="AM580"/>
  <c r="AS580" s="1"/>
  <c r="AM574"/>
  <c r="AM562"/>
  <c r="AS562" s="1"/>
  <c r="AM552"/>
  <c r="AM524"/>
  <c r="AS524" s="1"/>
  <c r="AM530"/>
  <c r="AS511"/>
  <c r="AN513"/>
  <c r="AS513" s="1"/>
  <c r="AN515"/>
  <c r="AS515" s="1"/>
  <c r="AM518"/>
  <c r="AS518" s="1"/>
  <c r="AM498"/>
  <c r="AM500"/>
  <c r="AS500" s="1"/>
  <c r="AM502"/>
  <c r="AM504"/>
  <c r="AS504" s="1"/>
  <c r="AM506"/>
  <c r="AS506" s="1"/>
  <c r="AM508"/>
  <c r="AS491"/>
  <c r="AS489"/>
  <c r="AN490"/>
  <c r="AN496"/>
  <c r="AM493"/>
  <c r="AM487"/>
  <c r="AS487" s="1"/>
  <c r="AM482"/>
  <c r="AS482" s="1"/>
  <c r="AM466"/>
  <c r="AM470"/>
  <c r="AM472"/>
  <c r="AS472" s="1"/>
  <c r="AM474"/>
  <c r="AS474" s="1"/>
  <c r="AM444"/>
  <c r="AS444" s="1"/>
  <c r="AM446"/>
  <c r="AS446" s="1"/>
  <c r="AM448"/>
  <c r="AM450"/>
  <c r="AM452"/>
  <c r="AM436"/>
  <c r="AS436" s="1"/>
  <c r="AM400"/>
  <c r="AS395"/>
  <c r="AM394"/>
  <c r="AS394" s="1"/>
  <c r="AM396"/>
  <c r="AM398"/>
  <c r="AM391"/>
  <c r="AM393"/>
  <c r="AM389"/>
  <c r="AS389" s="1"/>
  <c r="AN388"/>
  <c r="AS381"/>
  <c r="AS378"/>
  <c r="AN380"/>
  <c r="AM372"/>
  <c r="AS354"/>
  <c r="AM362"/>
  <c r="AS362" s="1"/>
  <c r="AS350"/>
  <c r="AM344"/>
  <c r="AM332"/>
  <c r="AM340"/>
  <c r="AS319"/>
  <c r="AS327"/>
  <c r="AN326"/>
  <c r="AS322"/>
  <c r="AN321"/>
  <c r="AN320"/>
  <c r="AM294"/>
  <c r="AS294" s="1"/>
  <c r="AS278"/>
  <c r="AM274"/>
  <c r="AM250"/>
  <c r="AS250" s="1"/>
  <c r="AM252"/>
  <c r="AM254"/>
  <c r="AS254" s="1"/>
  <c r="AM260"/>
  <c r="AM223"/>
  <c r="AN224"/>
  <c r="AM227"/>
  <c r="AM233"/>
  <c r="AN221"/>
  <c r="AS221" s="1"/>
  <c r="AM222"/>
  <c r="AM230"/>
  <c r="AS230" s="1"/>
  <c r="AM232"/>
  <c r="AN234"/>
  <c r="AS234" s="1"/>
  <c r="S75" i="33"/>
  <c r="S72"/>
  <c r="R69"/>
  <c r="R68"/>
  <c r="AM218" i="1"/>
  <c r="AS218" s="1"/>
  <c r="AM196"/>
  <c r="AM204"/>
  <c r="G79" i="4"/>
  <c r="S66" i="33"/>
  <c r="S39" i="35"/>
  <c r="R27"/>
  <c r="AM184" i="1"/>
  <c r="AM188"/>
  <c r="AM192"/>
  <c r="AM174"/>
  <c r="AS174"/>
  <c r="AM166"/>
  <c r="AS166"/>
  <c r="AM168"/>
  <c r="AM170"/>
  <c r="AS173"/>
  <c r="AM151"/>
  <c r="AS151" s="1"/>
  <c r="AM144"/>
  <c r="AM146"/>
  <c r="AM150"/>
  <c r="AS153"/>
  <c r="T910" i="20"/>
  <c r="AM147" i="1"/>
  <c r="AS145"/>
  <c r="AM138"/>
  <c r="AS138" s="1"/>
  <c r="AM124"/>
  <c r="AS124" s="1"/>
  <c r="AM122"/>
  <c r="AS122" s="1"/>
  <c r="AM110"/>
  <c r="AS110" s="1"/>
  <c r="AM112"/>
  <c r="AS108"/>
  <c r="AM69"/>
  <c r="AM68"/>
  <c r="AS68" s="1"/>
  <c r="T911" i="20"/>
  <c r="R890"/>
  <c r="R13" s="1"/>
  <c r="AM61" i="1"/>
  <c r="AS61" s="1"/>
  <c r="AN61"/>
  <c r="AM59"/>
  <c r="AN55"/>
  <c r="AM14"/>
  <c r="X287"/>
  <c r="Z287"/>
  <c r="AO287" s="1"/>
  <c r="AT287" s="1"/>
  <c r="J89" i="29"/>
  <c r="J89" i="30" s="1"/>
  <c r="AS785" i="1"/>
  <c r="AS781"/>
  <c r="J34" i="29"/>
  <c r="J34" i="30"/>
  <c r="AS717" i="1"/>
  <c r="AS647"/>
  <c r="AS649"/>
  <c r="AS643"/>
  <c r="AS628"/>
  <c r="AS470"/>
  <c r="AH899"/>
  <c r="AE829"/>
  <c r="AE890" s="1"/>
  <c r="J44" i="4"/>
  <c r="J44" i="8" s="1"/>
  <c r="J79" i="4"/>
  <c r="AS167" i="1"/>
  <c r="J49" i="4"/>
  <c r="J49" i="8" s="1"/>
  <c r="AF829" i="1"/>
  <c r="AF890" s="1"/>
  <c r="AF13" s="1"/>
  <c r="AS123"/>
  <c r="AS121"/>
  <c r="AS120"/>
  <c r="AN287"/>
  <c r="J15" i="4"/>
  <c r="J15" i="8" s="1"/>
  <c r="AS806" i="1"/>
  <c r="AS691"/>
  <c r="AS684"/>
  <c r="AS638"/>
  <c r="AS635"/>
  <c r="AS365"/>
  <c r="AS359"/>
  <c r="AS214"/>
  <c r="AS735"/>
  <c r="AS728"/>
  <c r="AS722"/>
  <c r="AS641"/>
  <c r="AS626"/>
  <c r="AS493"/>
  <c r="AS448"/>
  <c r="AS344"/>
  <c r="AS223"/>
  <c r="AS188"/>
  <c r="AS144"/>
  <c r="N22" i="7"/>
  <c r="K76"/>
  <c r="G86"/>
  <c r="N51"/>
  <c r="K82"/>
  <c r="K39" s="1"/>
  <c r="N43"/>
  <c r="N30"/>
  <c r="M14"/>
  <c r="E84"/>
  <c r="E44" s="1"/>
  <c r="AA347" i="31"/>
  <c r="AA358"/>
  <c r="AA364"/>
  <c r="AM800" i="1"/>
  <c r="AN705"/>
  <c r="AN727"/>
  <c r="AM748"/>
  <c r="AS665"/>
  <c r="AS612"/>
  <c r="AM426"/>
  <c r="AM416"/>
  <c r="AM422"/>
  <c r="AM478"/>
  <c r="AM558"/>
  <c r="AM544"/>
  <c r="G31" i="4"/>
  <c r="G31" i="8" s="1"/>
  <c r="AS358" i="1"/>
  <c r="AS292"/>
  <c r="G86" i="4"/>
  <c r="AM248" i="1"/>
  <c r="AM198"/>
  <c r="AS198" s="1"/>
  <c r="AM206"/>
  <c r="AS206" s="1"/>
  <c r="AM210"/>
  <c r="AS210" s="1"/>
  <c r="AM216"/>
  <c r="AS216" s="1"/>
  <c r="AM280"/>
  <c r="S64" i="33"/>
  <c r="AN149" i="1"/>
  <c r="AS149" s="1"/>
  <c r="G24" i="4"/>
  <c r="AS66" i="1"/>
  <c r="AS820"/>
  <c r="AS799"/>
  <c r="AS801"/>
  <c r="D100" i="29"/>
  <c r="D99"/>
  <c r="D99" i="30" s="1"/>
  <c r="AS803" i="1"/>
  <c r="AS793"/>
  <c r="AS791"/>
  <c r="AS779"/>
  <c r="AS765"/>
  <c r="AS690"/>
  <c r="D16" i="29"/>
  <c r="D16" i="30"/>
  <c r="AS605" i="1"/>
  <c r="AS625"/>
  <c r="AS561"/>
  <c r="AS379"/>
  <c r="AS361"/>
  <c r="AS329"/>
  <c r="R33" i="35"/>
  <c r="AS727" i="1"/>
  <c r="AL336"/>
  <c r="AR336" s="1"/>
  <c r="AN337"/>
  <c r="N33" i="4"/>
  <c r="AM337" i="1"/>
  <c r="AS337" s="1"/>
  <c r="AN336"/>
  <c r="AM336"/>
  <c r="AR337"/>
  <c r="J33" i="4"/>
  <c r="J34" s="1"/>
  <c r="H38" i="29"/>
  <c r="AA70" i="31"/>
  <c r="N92" i="29"/>
  <c r="N35"/>
  <c r="N14"/>
  <c r="N18"/>
  <c r="N64"/>
  <c r="H90"/>
  <c r="H95"/>
  <c r="N47"/>
  <c r="N100"/>
  <c r="AA356" i="31"/>
  <c r="AA361"/>
  <c r="AA362"/>
  <c r="N57" i="29"/>
  <c r="N185" i="31"/>
  <c r="AA359"/>
  <c r="AS217" i="1"/>
  <c r="AS452"/>
  <c r="N14" i="4"/>
  <c r="AT881" i="1"/>
  <c r="AS833"/>
  <c r="AL904"/>
  <c r="AR844"/>
  <c r="J14" i="29"/>
  <c r="J14" i="30" s="1"/>
  <c r="AR304" i="1"/>
  <c r="AS521"/>
  <c r="J55" i="4"/>
  <c r="AS827" i="1"/>
  <c r="D94" i="29"/>
  <c r="AS610" i="1"/>
  <c r="AR356"/>
  <c r="AA551"/>
  <c r="AA547"/>
  <c r="AA543"/>
  <c r="AA539"/>
  <c r="AA535"/>
  <c r="AA531"/>
  <c r="AA527"/>
  <c r="AA523"/>
  <c r="T908" i="20"/>
  <c r="Z611" i="1"/>
  <c r="Z600"/>
  <c r="AA589"/>
  <c r="AA585"/>
  <c r="AA581"/>
  <c r="Z563"/>
  <c r="Z559"/>
  <c r="Z557"/>
  <c r="Z553"/>
  <c r="T910" i="25"/>
  <c r="S888" i="27"/>
  <c r="T899"/>
  <c r="T898" i="25"/>
  <c r="T907" i="20"/>
  <c r="T904"/>
  <c r="AA654" i="1"/>
  <c r="AA622"/>
  <c r="G18" i="29" s="1"/>
  <c r="M18" s="1"/>
  <c r="AA620" i="1"/>
  <c r="AA618"/>
  <c r="AA616"/>
  <c r="AA614"/>
  <c r="Z564"/>
  <c r="Z558"/>
  <c r="Z552"/>
  <c r="Z400"/>
  <c r="Z398"/>
  <c r="Z396"/>
  <c r="Z394"/>
  <c r="Z392"/>
  <c r="Z390"/>
  <c r="Z388"/>
  <c r="Z386"/>
  <c r="Z384"/>
  <c r="G43" i="29" s="1"/>
  <c r="Z377" i="1"/>
  <c r="AA366"/>
  <c r="Z350"/>
  <c r="AA898" s="1"/>
  <c r="Z321"/>
  <c r="Z300"/>
  <c r="AA280"/>
  <c r="AA278"/>
  <c r="G80" i="4" s="1"/>
  <c r="M80" s="1"/>
  <c r="AA264" i="1"/>
  <c r="AA261"/>
  <c r="H78" i="7" s="1"/>
  <c r="Z253" i="1"/>
  <c r="Z245"/>
  <c r="AA237"/>
  <c r="Z214"/>
  <c r="R71" i="33" s="1"/>
  <c r="AA211" i="1"/>
  <c r="AA207"/>
  <c r="G81" i="4" s="1"/>
  <c r="Z185" i="1"/>
  <c r="Z170"/>
  <c r="Z162"/>
  <c r="Z147"/>
  <c r="AA139"/>
  <c r="Z131"/>
  <c r="Z123"/>
  <c r="Z111"/>
  <c r="Z72"/>
  <c r="AA65"/>
  <c r="AA911"/>
  <c r="T898" i="26"/>
  <c r="G60" i="4"/>
  <c r="AA640" i="1"/>
  <c r="AN17"/>
  <c r="AM23"/>
  <c r="AS23" s="1"/>
  <c r="AM73"/>
  <c r="AM99"/>
  <c r="AS99" s="1"/>
  <c r="AR283"/>
  <c r="AM290"/>
  <c r="AS290" s="1"/>
  <c r="Z667"/>
  <c r="AO667" s="1"/>
  <c r="AK213"/>
  <c r="AM288"/>
  <c r="AA667"/>
  <c r="AP667" s="1"/>
  <c r="AK211"/>
  <c r="AK215"/>
  <c r="Z640"/>
  <c r="AO640" s="1"/>
  <c r="AM91"/>
  <c r="AR219"/>
  <c r="AM286"/>
  <c r="AS286" s="1"/>
  <c r="AS865"/>
  <c r="AS877"/>
  <c r="AM408"/>
  <c r="AM766"/>
  <c r="AM314"/>
  <c r="AM316"/>
  <c r="AS316" s="1"/>
  <c r="AM320"/>
  <c r="AS320" s="1"/>
  <c r="AM348"/>
  <c r="AM380"/>
  <c r="AS380" s="1"/>
  <c r="AM382"/>
  <c r="AM384"/>
  <c r="AS384" s="1"/>
  <c r="AM430"/>
  <c r="AM458"/>
  <c r="AS458" s="1"/>
  <c r="AM462"/>
  <c r="AS462"/>
  <c r="AM526"/>
  <c r="AM554"/>
  <c r="AS554" s="1"/>
  <c r="AM566"/>
  <c r="AM576"/>
  <c r="AM584"/>
  <c r="AS584" s="1"/>
  <c r="AM588"/>
  <c r="AS588" s="1"/>
  <c r="AM592"/>
  <c r="AM596"/>
  <c r="AS596" s="1"/>
  <c r="AM608"/>
  <c r="AS608" s="1"/>
  <c r="AS845"/>
  <c r="AM406"/>
  <c r="AM790"/>
  <c r="AS790" s="1"/>
  <c r="AS839"/>
  <c r="AS867"/>
  <c r="AS885"/>
  <c r="N108" i="29"/>
  <c r="N56"/>
  <c r="A191" i="31"/>
  <c r="N191"/>
  <c r="N190"/>
  <c r="N93" i="29"/>
  <c r="AA260" i="31"/>
  <c r="AA268"/>
  <c r="AA284"/>
  <c r="AA288"/>
  <c r="E62" i="29"/>
  <c r="AA62" i="31"/>
  <c r="AA66"/>
  <c r="AA76"/>
  <c r="N83" i="29"/>
  <c r="AA251" i="31"/>
  <c r="AA355"/>
  <c r="AA363"/>
  <c r="AA389"/>
  <c r="AA19"/>
  <c r="R61" i="33"/>
  <c r="S6"/>
  <c r="O35"/>
  <c r="R35"/>
  <c r="S51"/>
  <c r="P35"/>
  <c r="P53"/>
  <c r="O61"/>
  <c r="AR61" i="1"/>
  <c r="AS64"/>
  <c r="AA396" i="31"/>
  <c r="T894" i="26"/>
  <c r="T4" s="1"/>
  <c r="P6" i="33"/>
  <c r="D164" i="35"/>
  <c r="H195"/>
  <c r="AS80" i="1"/>
  <c r="AS886"/>
  <c r="D57" i="29"/>
  <c r="AS261" i="1"/>
  <c r="AS251"/>
  <c r="AS169"/>
  <c r="AS141"/>
  <c r="AS125"/>
  <c r="AS168"/>
  <c r="AS112"/>
  <c r="T907"/>
  <c r="T901"/>
  <c r="D70" i="4"/>
  <c r="P890" i="27"/>
  <c r="P13" s="1"/>
  <c r="J92" i="4"/>
  <c r="AS875" i="1"/>
  <c r="AT868"/>
  <c r="J75" i="29"/>
  <c r="J75" i="30" s="1"/>
  <c r="AH911" i="1"/>
  <c r="AS222"/>
  <c r="AS82"/>
  <c r="AM761"/>
  <c r="AM570"/>
  <c r="AS407"/>
  <c r="N17" i="4"/>
  <c r="H30"/>
  <c r="AR329" i="1"/>
  <c r="AR382"/>
  <c r="AR328"/>
  <c r="H34" i="4"/>
  <c r="AR269" i="1"/>
  <c r="AR279"/>
  <c r="N85" i="4"/>
  <c r="AR84" i="1"/>
  <c r="N16" i="4"/>
  <c r="AR15" i="1"/>
  <c r="AS317"/>
  <c r="AS105"/>
  <c r="T902"/>
  <c r="AS872"/>
  <c r="AS835"/>
  <c r="E76" i="7"/>
  <c r="E11" s="1"/>
  <c r="D86" i="4"/>
  <c r="D86" i="8" s="1"/>
  <c r="AS265" i="1"/>
  <c r="AT222"/>
  <c r="T908"/>
  <c r="J94" i="29"/>
  <c r="J94" i="30" s="1"/>
  <c r="P49" i="4"/>
  <c r="P49" i="8" s="1"/>
  <c r="A192" i="31"/>
  <c r="N192"/>
  <c r="R894" i="1"/>
  <c r="R4" s="1"/>
  <c r="O35" i="36"/>
  <c r="O25"/>
  <c r="AR216" i="1"/>
  <c r="K78" i="7"/>
  <c r="J40" i="4" s="1"/>
  <c r="E78" i="7"/>
  <c r="J106" i="29"/>
  <c r="J106" i="30" s="1"/>
  <c r="D74" i="29"/>
  <c r="D74" i="30" s="1"/>
  <c r="D22" i="4"/>
  <c r="D22" i="8" s="1"/>
  <c r="J13" i="29"/>
  <c r="J13" i="30" s="1"/>
  <c r="D61" i="29"/>
  <c r="D61" i="30" s="1"/>
  <c r="AH898" i="1"/>
  <c r="J25" i="4"/>
  <c r="J25" i="8"/>
  <c r="J32" i="29"/>
  <c r="J32" i="30" s="1"/>
  <c r="D75" i="29"/>
  <c r="D75" i="30" s="1"/>
  <c r="J61" i="29"/>
  <c r="AS310" i="1"/>
  <c r="E66" i="7"/>
  <c r="E67" s="1"/>
  <c r="R50" i="35"/>
  <c r="R80" i="33"/>
  <c r="R78"/>
  <c r="R70"/>
  <c r="AT659" i="1"/>
  <c r="S79" i="33"/>
  <c r="S77"/>
  <c r="R66"/>
  <c r="AA39" i="31"/>
  <c r="AS94" i="1"/>
  <c r="J64" i="4"/>
  <c r="J64" i="8" s="1"/>
  <c r="P890" i="20"/>
  <c r="P13" s="1"/>
  <c r="AA37" i="31"/>
  <c r="AA42"/>
  <c r="AA46"/>
  <c r="AA57"/>
  <c r="AA77"/>
  <c r="AA113"/>
  <c r="AA227"/>
  <c r="AA231"/>
  <c r="AA255"/>
  <c r="AA369"/>
  <c r="AA391"/>
  <c r="AA414"/>
  <c r="AA428"/>
  <c r="AA441"/>
  <c r="AA454"/>
  <c r="AA337"/>
  <c r="K97" i="30"/>
  <c r="AA902" i="1"/>
  <c r="AR83"/>
  <c r="AK181"/>
  <c r="AR181" s="1"/>
  <c r="AK199"/>
  <c r="AR199" s="1"/>
  <c r="AR413"/>
  <c r="AR449"/>
  <c r="AR485"/>
  <c r="AR487"/>
  <c r="AR527"/>
  <c r="AR528"/>
  <c r="AR681"/>
  <c r="AR733"/>
  <c r="AM774"/>
  <c r="AR856"/>
  <c r="AR862"/>
  <c r="AA129" i="31"/>
  <c r="AA184"/>
  <c r="AA219"/>
  <c r="AA304"/>
  <c r="AA308"/>
  <c r="AA333"/>
  <c r="AA338"/>
  <c r="AA340"/>
  <c r="AA375"/>
  <c r="AA400"/>
  <c r="AA418"/>
  <c r="AA458"/>
  <c r="P86" i="4"/>
  <c r="P86" i="8" s="1"/>
  <c r="AR827" i="1"/>
  <c r="AR530"/>
  <c r="G84" i="29"/>
  <c r="G84" i="30" s="1"/>
  <c r="N97"/>
  <c r="AA31" i="31"/>
  <c r="AA33"/>
  <c r="AA53"/>
  <c r="AA97"/>
  <c r="AA161"/>
  <c r="AA194"/>
  <c r="AA218"/>
  <c r="AA220"/>
  <c r="AA249"/>
  <c r="AA305"/>
  <c r="AA309"/>
  <c r="AA324"/>
  <c r="AA336"/>
  <c r="AA365"/>
  <c r="AA385"/>
  <c r="AA408"/>
  <c r="AA419"/>
  <c r="AA448"/>
  <c r="S19" i="35"/>
  <c r="S35" i="33"/>
  <c r="AR71" i="1"/>
  <c r="H18" i="4"/>
  <c r="G18"/>
  <c r="H49"/>
  <c r="AR333" i="1"/>
  <c r="AR567"/>
  <c r="AT570"/>
  <c r="AR709"/>
  <c r="AR711"/>
  <c r="AR717"/>
  <c r="AR791"/>
  <c r="AR797"/>
  <c r="AR850"/>
  <c r="AR882"/>
  <c r="G98" i="29"/>
  <c r="G98" i="30"/>
  <c r="G57" i="29"/>
  <c r="G57" i="30"/>
  <c r="AT502" i="1"/>
  <c r="S69" i="33"/>
  <c r="AT801" i="1"/>
  <c r="AT818"/>
  <c r="G100" i="29"/>
  <c r="G89"/>
  <c r="G89" i="30" s="1"/>
  <c r="G35" i="29"/>
  <c r="G35" i="30" s="1"/>
  <c r="G32" i="29"/>
  <c r="G32" i="30" s="1"/>
  <c r="G107" i="29"/>
  <c r="G48"/>
  <c r="G47"/>
  <c r="G48" i="4"/>
  <c r="G48" i="8" s="1"/>
  <c r="G70" i="4"/>
  <c r="G70" i="8" s="1"/>
  <c r="H88" i="7"/>
  <c r="H52" s="1"/>
  <c r="G63" i="4"/>
  <c r="G17"/>
  <c r="G17" i="8" s="1"/>
  <c r="AT265" i="1"/>
  <c r="G97" i="29"/>
  <c r="G97" i="30" s="1"/>
  <c r="M97" s="1"/>
  <c r="G34" i="29"/>
  <c r="G34" i="30" s="1"/>
  <c r="G37" i="29"/>
  <c r="G37" i="30" s="1"/>
  <c r="G16" i="29"/>
  <c r="G16" i="30" s="1"/>
  <c r="G50" i="29"/>
  <c r="G72"/>
  <c r="G72" i="30" s="1"/>
  <c r="G46" i="29"/>
  <c r="S71" i="33"/>
  <c r="G78" i="4"/>
  <c r="G78" i="8" s="1"/>
  <c r="S61" i="35"/>
  <c r="G26" i="29"/>
  <c r="G26" i="30" s="1"/>
  <c r="G108" i="29"/>
  <c r="AT90" i="1"/>
  <c r="S68" i="33"/>
  <c r="AT643" i="1"/>
  <c r="R72" i="33"/>
  <c r="S81"/>
  <c r="AT367" i="1"/>
  <c r="AT122"/>
  <c r="AT252"/>
  <c r="AT722"/>
  <c r="AT262"/>
  <c r="AT691"/>
  <c r="R76" i="33"/>
  <c r="AS837" i="1"/>
  <c r="AS840"/>
  <c r="R894" i="27"/>
  <c r="R4" s="1"/>
  <c r="AS571" i="1"/>
  <c r="AS314"/>
  <c r="A553" i="27"/>
  <c r="N553"/>
  <c r="N552"/>
  <c r="AT233" i="1"/>
  <c r="N19" i="4"/>
  <c r="AS866" i="1"/>
  <c r="AT798"/>
  <c r="AS798"/>
  <c r="AS826"/>
  <c r="AR271"/>
  <c r="AT725"/>
  <c r="AT68"/>
  <c r="AN777"/>
  <c r="AS777" s="1"/>
  <c r="AN787"/>
  <c r="AN821"/>
  <c r="AN825"/>
  <c r="AK183"/>
  <c r="AR183" s="1"/>
  <c r="AR185"/>
  <c r="AM212"/>
  <c r="AM256"/>
  <c r="G66" i="7"/>
  <c r="AR295" i="1"/>
  <c r="AR301"/>
  <c r="AR319"/>
  <c r="AR351"/>
  <c r="AR359"/>
  <c r="AR387"/>
  <c r="AR388"/>
  <c r="AR390"/>
  <c r="AR405"/>
  <c r="AR411"/>
  <c r="AS67"/>
  <c r="AM522"/>
  <c r="AM772"/>
  <c r="AM816"/>
  <c r="AR424"/>
  <c r="AR425"/>
  <c r="AR428"/>
  <c r="AR436"/>
  <c r="AR438"/>
  <c r="AR447"/>
  <c r="AR448"/>
  <c r="AR455"/>
  <c r="AR456"/>
  <c r="AR463"/>
  <c r="AR473"/>
  <c r="AR475"/>
  <c r="AR476"/>
  <c r="AR480"/>
  <c r="AR484"/>
  <c r="AR486"/>
  <c r="AR495"/>
  <c r="AR496"/>
  <c r="AR497"/>
  <c r="AR500"/>
  <c r="AR507"/>
  <c r="AR508"/>
  <c r="AR513"/>
  <c r="AR521"/>
  <c r="AR533"/>
  <c r="AR535"/>
  <c r="AR537"/>
  <c r="AR539"/>
  <c r="AR540"/>
  <c r="AR542"/>
  <c r="AR583"/>
  <c r="AR585"/>
  <c r="AR597"/>
  <c r="AR599"/>
  <c r="AR603"/>
  <c r="AR604"/>
  <c r="AR615"/>
  <c r="AR617"/>
  <c r="AR618"/>
  <c r="AR619"/>
  <c r="AR667"/>
  <c r="AR675"/>
  <c r="AR689"/>
  <c r="AR691"/>
  <c r="AR699"/>
  <c r="AR727"/>
  <c r="AR731"/>
  <c r="AR763"/>
  <c r="AR765"/>
  <c r="AR767"/>
  <c r="AR771"/>
  <c r="AR815"/>
  <c r="AR825"/>
  <c r="AR854"/>
  <c r="AR880"/>
  <c r="AN572"/>
  <c r="AS233"/>
  <c r="AS184"/>
  <c r="AN118"/>
  <c r="AN63"/>
  <c r="T908" i="27"/>
  <c r="E86" i="7"/>
  <c r="AL902" i="1"/>
  <c r="AK888"/>
  <c r="AR231"/>
  <c r="AR239"/>
  <c r="AR371"/>
  <c r="AR373"/>
  <c r="AR375"/>
  <c r="AR415"/>
  <c r="AR478"/>
  <c r="AR565"/>
  <c r="AR575"/>
  <c r="AR577"/>
  <c r="AR581"/>
  <c r="AR589"/>
  <c r="AM590"/>
  <c r="AR595"/>
  <c r="AR622"/>
  <c r="AL911"/>
  <c r="AR309"/>
  <c r="AS510"/>
  <c r="AR576"/>
  <c r="AS526"/>
  <c r="N72" i="29"/>
  <c r="N72" i="30"/>
  <c r="N104"/>
  <c r="N83"/>
  <c r="N57"/>
  <c r="H22" i="4"/>
  <c r="H22" i="8" s="1"/>
  <c r="N22" s="1"/>
  <c r="AS332" i="1"/>
  <c r="AS634"/>
  <c r="AS644"/>
  <c r="AS662"/>
  <c r="AS400"/>
  <c r="J36" i="4"/>
  <c r="J36" i="8" s="1"/>
  <c r="J37" i="4"/>
  <c r="J37" i="8" s="1"/>
  <c r="AS91" i="1"/>
  <c r="AS150"/>
  <c r="AT487"/>
  <c r="AS718"/>
  <c r="AS696"/>
  <c r="AS604"/>
  <c r="AT234"/>
  <c r="AS368"/>
  <c r="AS664"/>
  <c r="AS698"/>
  <c r="AT381"/>
  <c r="AS882"/>
  <c r="AS870"/>
  <c r="AT549"/>
  <c r="AS716"/>
  <c r="W911"/>
  <c r="AR66"/>
  <c r="AR153"/>
  <c r="AR170"/>
  <c r="AK177"/>
  <c r="AR244"/>
  <c r="AR266"/>
  <c r="AR289"/>
  <c r="H48" i="4"/>
  <c r="N48" s="1"/>
  <c r="AR377" i="1"/>
  <c r="AR416"/>
  <c r="AR520"/>
  <c r="AR532"/>
  <c r="AR588"/>
  <c r="AR633"/>
  <c r="AS455"/>
  <c r="AS425"/>
  <c r="AS421"/>
  <c r="AS355"/>
  <c r="AS330"/>
  <c r="AS325"/>
  <c r="AT322"/>
  <c r="AS315"/>
  <c r="AS311"/>
  <c r="AS303"/>
  <c r="AS302"/>
  <c r="AS180"/>
  <c r="AS175"/>
  <c r="AS165"/>
  <c r="AS139"/>
  <c r="AS133"/>
  <c r="AS127"/>
  <c r="AS106"/>
  <c r="AS104"/>
  <c r="AS103"/>
  <c r="AS97"/>
  <c r="AS93"/>
  <c r="AS84"/>
  <c r="AS76"/>
  <c r="AT66"/>
  <c r="AS22"/>
  <c r="G104" i="29"/>
  <c r="AR451" i="1"/>
  <c r="AR705"/>
  <c r="AS766"/>
  <c r="AS146"/>
  <c r="J33" i="8"/>
  <c r="AS558" i="1"/>
  <c r="AS422"/>
  <c r="AT422"/>
  <c r="AS426"/>
  <c r="AS393"/>
  <c r="AS450"/>
  <c r="H24" i="8"/>
  <c r="H104" i="4"/>
  <c r="N104" s="1"/>
  <c r="H55" i="8"/>
  <c r="N92" i="4"/>
  <c r="H92" i="8"/>
  <c r="AR64" i="1"/>
  <c r="N80" i="4"/>
  <c r="D93"/>
  <c r="E92" i="8"/>
  <c r="G65" i="29"/>
  <c r="G65" i="30" s="1"/>
  <c r="G60" i="29"/>
  <c r="G83"/>
  <c r="G83" i="30" s="1"/>
  <c r="G85" s="1"/>
  <c r="N46" i="29"/>
  <c r="E58"/>
  <c r="E56" i="30"/>
  <c r="N68" i="29"/>
  <c r="E68" i="30"/>
  <c r="H70" i="29"/>
  <c r="H68" i="30"/>
  <c r="AM20" i="1"/>
  <c r="AM26"/>
  <c r="AM56"/>
  <c r="AM62"/>
  <c r="AN72"/>
  <c r="AS72" s="1"/>
  <c r="AN81"/>
  <c r="AM107"/>
  <c r="AM111"/>
  <c r="AM152"/>
  <c r="AL160"/>
  <c r="AN161"/>
  <c r="O66" i="35"/>
  <c r="AL177" i="1"/>
  <c r="AL178"/>
  <c r="AN178"/>
  <c r="AS178"/>
  <c r="AM181"/>
  <c r="AN183"/>
  <c r="AM185"/>
  <c r="AN186"/>
  <c r="AL191"/>
  <c r="H79" i="4"/>
  <c r="AN191" i="1"/>
  <c r="AL192"/>
  <c r="AN192"/>
  <c r="AS192" s="1"/>
  <c r="AN193"/>
  <c r="AL194"/>
  <c r="AN194"/>
  <c r="AM201"/>
  <c r="AK203"/>
  <c r="AM207"/>
  <c r="AK208"/>
  <c r="AR208" s="1"/>
  <c r="AK212"/>
  <c r="AR212" s="1"/>
  <c r="AN212"/>
  <c r="AS212" s="1"/>
  <c r="AL213"/>
  <c r="P71" i="33"/>
  <c r="AL214" i="1"/>
  <c r="P72" i="33"/>
  <c r="AL215" i="1"/>
  <c r="AN232"/>
  <c r="AN239"/>
  <c r="AM240"/>
  <c r="AN289"/>
  <c r="AS289"/>
  <c r="AM299"/>
  <c r="AS299" s="1"/>
  <c r="AM307"/>
  <c r="AN308"/>
  <c r="AS308"/>
  <c r="AN318"/>
  <c r="AS318"/>
  <c r="AM321"/>
  <c r="AM333"/>
  <c r="AN334"/>
  <c r="AM335"/>
  <c r="AN338"/>
  <c r="H32" i="8"/>
  <c r="N32" i="4"/>
  <c r="AN340" i="1"/>
  <c r="AS340" s="1"/>
  <c r="AM345"/>
  <c r="AM371"/>
  <c r="AM373"/>
  <c r="AN374"/>
  <c r="AN375"/>
  <c r="AS375" s="1"/>
  <c r="AN377"/>
  <c r="AS377" s="1"/>
  <c r="AN390"/>
  <c r="AN391"/>
  <c r="AM404"/>
  <c r="AN405"/>
  <c r="AN406"/>
  <c r="AS406"/>
  <c r="AN408"/>
  <c r="AN409"/>
  <c r="AS409" s="1"/>
  <c r="AN410"/>
  <c r="AM415"/>
  <c r="AN416"/>
  <c r="AM419"/>
  <c r="AM432"/>
  <c r="AS432" s="1"/>
  <c r="AM433"/>
  <c r="AM463"/>
  <c r="AN466"/>
  <c r="AM475"/>
  <c r="AN478"/>
  <c r="AM495"/>
  <c r="AN499"/>
  <c r="AM507"/>
  <c r="AN512"/>
  <c r="AN519"/>
  <c r="AN520"/>
  <c r="AM527"/>
  <c r="AN530"/>
  <c r="AN531"/>
  <c r="AN532"/>
  <c r="AN543"/>
  <c r="AN544"/>
  <c r="AN545"/>
  <c r="AS545"/>
  <c r="AN546"/>
  <c r="AN557"/>
  <c r="AS557" s="1"/>
  <c r="AM565"/>
  <c r="AM575"/>
  <c r="AM585"/>
  <c r="AS585" s="1"/>
  <c r="AN587"/>
  <c r="AS587" s="1"/>
  <c r="AM591"/>
  <c r="AM617"/>
  <c r="AN619"/>
  <c r="AS619" s="1"/>
  <c r="AM633"/>
  <c r="AN637"/>
  <c r="J55" i="8"/>
  <c r="AS502" i="1"/>
  <c r="D30" i="4"/>
  <c r="AT277" i="1"/>
  <c r="AT242"/>
  <c r="AT686"/>
  <c r="AS670"/>
  <c r="AS701"/>
  <c r="AS449"/>
  <c r="AS372"/>
  <c r="AS508"/>
  <c r="AS516"/>
  <c r="AS305"/>
  <c r="AS360"/>
  <c r="AT175"/>
  <c r="AS539"/>
  <c r="AS313"/>
  <c r="AT143"/>
  <c r="N24" i="4"/>
  <c r="AS514" i="1"/>
  <c r="AS860"/>
  <c r="AS871"/>
  <c r="D55" i="8"/>
  <c r="D56" s="1"/>
  <c r="AS620" i="1"/>
  <c r="AS629"/>
  <c r="AR327"/>
  <c r="AT869"/>
  <c r="AT567"/>
  <c r="AS537"/>
  <c r="AS533"/>
  <c r="K56" i="4"/>
  <c r="K55" i="8"/>
  <c r="AS609" i="1"/>
  <c r="AT794"/>
  <c r="AS810"/>
  <c r="AR278"/>
  <c r="AR344"/>
  <c r="AR56"/>
  <c r="AR120"/>
  <c r="AS775"/>
  <c r="AS346"/>
  <c r="AR340"/>
  <c r="AR218"/>
  <c r="W829"/>
  <c r="G84" i="7"/>
  <c r="G44"/>
  <c r="G78"/>
  <c r="E26" i="4"/>
  <c r="E25" i="8"/>
  <c r="N16"/>
  <c r="O34" i="36"/>
  <c r="H25" i="4"/>
  <c r="G67" i="7"/>
  <c r="M66"/>
  <c r="AM392" i="1"/>
  <c r="AR399"/>
  <c r="E27" i="29"/>
  <c r="E81"/>
  <c r="H58"/>
  <c r="H56" i="30"/>
  <c r="N26"/>
  <c r="N35"/>
  <c r="H15" i="4"/>
  <c r="H20" s="1"/>
  <c r="AR147" i="1"/>
  <c r="AR229"/>
  <c r="AR391"/>
  <c r="AR407"/>
  <c r="AR409"/>
  <c r="AM438"/>
  <c r="AM480"/>
  <c r="AS480" s="1"/>
  <c r="AM486"/>
  <c r="AS486" s="1"/>
  <c r="AM622"/>
  <c r="AM640"/>
  <c r="AR719"/>
  <c r="AR721"/>
  <c r="AR725"/>
  <c r="AR735"/>
  <c r="AR743"/>
  <c r="AR745"/>
  <c r="AM762"/>
  <c r="AM768"/>
  <c r="AR775"/>
  <c r="AM780"/>
  <c r="AM784"/>
  <c r="AR795"/>
  <c r="AR811"/>
  <c r="AR813"/>
  <c r="AR858"/>
  <c r="AR437"/>
  <c r="AR441"/>
  <c r="AR443"/>
  <c r="AR445"/>
  <c r="AR467"/>
  <c r="AR479"/>
  <c r="AR491"/>
  <c r="AR493"/>
  <c r="AR505"/>
  <c r="AR531"/>
  <c r="AR543"/>
  <c r="AR545"/>
  <c r="AR571"/>
  <c r="AR579"/>
  <c r="AR605"/>
  <c r="AR639"/>
  <c r="AR647"/>
  <c r="AR649"/>
  <c r="N47" i="7"/>
  <c r="D78"/>
  <c r="D15" s="1"/>
  <c r="M22"/>
  <c r="N25" i="32"/>
  <c r="AM200" i="1"/>
  <c r="AT260"/>
  <c r="AS552"/>
  <c r="AS574"/>
  <c r="AS599"/>
  <c r="AS573"/>
  <c r="AS589"/>
  <c r="AS563"/>
  <c r="AS556"/>
  <c r="AS543"/>
  <c r="AS536"/>
  <c r="AS535"/>
  <c r="AS525"/>
  <c r="AS517"/>
  <c r="AS494"/>
  <c r="AS473"/>
  <c r="AS465"/>
  <c r="AS437"/>
  <c r="AT506"/>
  <c r="AS498"/>
  <c r="AS413"/>
  <c r="AS423"/>
  <c r="AS431"/>
  <c r="AS457"/>
  <c r="AS461"/>
  <c r="AS440"/>
  <c r="AS471"/>
  <c r="AS481"/>
  <c r="AS483"/>
  <c r="AS485"/>
  <c r="AS503"/>
  <c r="AS531"/>
  <c r="AS547"/>
  <c r="AS553"/>
  <c r="AS565"/>
  <c r="AS441"/>
  <c r="AT497"/>
  <c r="AS505"/>
  <c r="AT555"/>
  <c r="AS342"/>
  <c r="AS247"/>
  <c r="AM186"/>
  <c r="AS260"/>
  <c r="AS235"/>
  <c r="AM572"/>
  <c r="AS592"/>
  <c r="AS566"/>
  <c r="AS600"/>
  <c r="AS597"/>
  <c r="AS583"/>
  <c r="AS336"/>
  <c r="AS347"/>
  <c r="AM298"/>
  <c r="AM304"/>
  <c r="AS304" s="1"/>
  <c r="AS259"/>
  <c r="AS283"/>
  <c r="AS281"/>
  <c r="AS249"/>
  <c r="AS243"/>
  <c r="AS191"/>
  <c r="AS262"/>
  <c r="AN284"/>
  <c r="AN280"/>
  <c r="AN274"/>
  <c r="AN273"/>
  <c r="AN272"/>
  <c r="AN271"/>
  <c r="AN268"/>
  <c r="AN263"/>
  <c r="AM258"/>
  <c r="AT258"/>
  <c r="AN257"/>
  <c r="AN246"/>
  <c r="AM245"/>
  <c r="AN241"/>
  <c r="AN238"/>
  <c r="AM237"/>
  <c r="AM231"/>
  <c r="AS231"/>
  <c r="AN227"/>
  <c r="AN225"/>
  <c r="AS225" s="1"/>
  <c r="AN215"/>
  <c r="AN211"/>
  <c r="AN208"/>
  <c r="AN205"/>
  <c r="AN204"/>
  <c r="AN200"/>
  <c r="AM199"/>
  <c r="AN196"/>
  <c r="AM189"/>
  <c r="AN187"/>
  <c r="AN185"/>
  <c r="AM183"/>
  <c r="AS348"/>
  <c r="AT664"/>
  <c r="AT669"/>
  <c r="AS674"/>
  <c r="AT778"/>
  <c r="AS501"/>
  <c r="AS469"/>
  <c r="AS809"/>
  <c r="AS707"/>
  <c r="AS497"/>
  <c r="AS655"/>
  <c r="AT609"/>
  <c r="AS815"/>
  <c r="AS595"/>
  <c r="AS850"/>
  <c r="AS569"/>
  <c r="AS100"/>
  <c r="G64" i="4"/>
  <c r="AN19" i="1"/>
  <c r="AM71"/>
  <c r="AM87"/>
  <c r="AS87" s="1"/>
  <c r="AM101"/>
  <c r="AS101" s="1"/>
  <c r="AM220"/>
  <c r="AS220"/>
  <c r="AM296"/>
  <c r="AM300"/>
  <c r="AM334"/>
  <c r="AS334"/>
  <c r="AM370"/>
  <c r="AM464"/>
  <c r="AM496"/>
  <c r="AM582"/>
  <c r="AT745"/>
  <c r="AM24"/>
  <c r="AM54"/>
  <c r="AN57"/>
  <c r="AM58"/>
  <c r="AS58"/>
  <c r="AN69"/>
  <c r="AT69"/>
  <c r="AN71"/>
  <c r="AN73"/>
  <c r="AS73" s="1"/>
  <c r="AN74"/>
  <c r="AM77"/>
  <c r="AS77" s="1"/>
  <c r="AN83"/>
  <c r="AM85"/>
  <c r="AM95"/>
  <c r="AM130"/>
  <c r="AS130" s="1"/>
  <c r="AM270"/>
  <c r="AM306"/>
  <c r="AM386"/>
  <c r="AM390"/>
  <c r="AM420"/>
  <c r="AM428"/>
  <c r="AM538"/>
  <c r="AM540"/>
  <c r="AS540" s="1"/>
  <c r="AM732"/>
  <c r="AN733"/>
  <c r="AS631"/>
  <c r="AS714"/>
  <c r="AS868"/>
  <c r="AS309"/>
  <c r="AS279"/>
  <c r="AS98"/>
  <c r="AN20"/>
  <c r="AS20"/>
  <c r="AT20"/>
  <c r="AN21"/>
  <c r="AN25"/>
  <c r="AN62"/>
  <c r="AS62" s="1"/>
  <c r="AM86"/>
  <c r="AN88"/>
  <c r="AM126"/>
  <c r="AM128"/>
  <c r="AS128" s="1"/>
  <c r="AM136"/>
  <c r="AM176"/>
  <c r="AM246"/>
  <c r="AM312"/>
  <c r="AM326"/>
  <c r="AM338"/>
  <c r="AS338" s="1"/>
  <c r="AM352"/>
  <c r="AM456"/>
  <c r="AM460"/>
  <c r="AM484"/>
  <c r="AM520"/>
  <c r="AM532"/>
  <c r="AM548"/>
  <c r="AM550"/>
  <c r="AM564"/>
  <c r="AM594"/>
  <c r="AN699"/>
  <c r="AN709"/>
  <c r="AM754"/>
  <c r="AN763"/>
  <c r="AS763" s="1"/>
  <c r="AM776"/>
  <c r="AN789"/>
  <c r="AN805"/>
  <c r="AM824"/>
  <c r="AM828"/>
  <c r="AT93"/>
  <c r="AS90"/>
  <c r="G94" i="29"/>
  <c r="G94" i="30" s="1"/>
  <c r="AM388" i="1"/>
  <c r="AM412"/>
  <c r="AM424"/>
  <c r="AM476"/>
  <c r="AM534"/>
  <c r="AM542"/>
  <c r="AM560"/>
  <c r="AM586"/>
  <c r="AM734"/>
  <c r="AS734" s="1"/>
  <c r="AM744"/>
  <c r="AM746"/>
  <c r="AM770"/>
  <c r="AM808"/>
  <c r="AT792"/>
  <c r="G63" i="8"/>
  <c r="AS140" i="1"/>
  <c r="AT806"/>
  <c r="AT853"/>
  <c r="AS529"/>
  <c r="AS884"/>
  <c r="AS846"/>
  <c r="AS382"/>
  <c r="AS357"/>
  <c r="AS195"/>
  <c r="AS164"/>
  <c r="G36" i="29"/>
  <c r="G36" i="30" s="1"/>
  <c r="G64" i="29"/>
  <c r="G61"/>
  <c r="H76" i="7"/>
  <c r="H66"/>
  <c r="H67" s="1"/>
  <c r="AT747" i="1"/>
  <c r="AT595"/>
  <c r="AS848"/>
  <c r="AS291"/>
  <c r="AS147"/>
  <c r="AS111"/>
  <c r="AS96"/>
  <c r="AS92"/>
  <c r="G19" i="29"/>
  <c r="G32" i="4"/>
  <c r="G32" i="8" s="1"/>
  <c r="AM17" i="1"/>
  <c r="AM19"/>
  <c r="AM63"/>
  <c r="AM79"/>
  <c r="AS79"/>
  <c r="AM81"/>
  <c r="AM83"/>
  <c r="AM172"/>
  <c r="AM190"/>
  <c r="AM410"/>
  <c r="AM490"/>
  <c r="AS490" s="1"/>
  <c r="AM528"/>
  <c r="AM782"/>
  <c r="AM812"/>
  <c r="AM117"/>
  <c r="AS117"/>
  <c r="G52" i="29"/>
  <c r="G52" i="30" s="1"/>
  <c r="AM55" i="1"/>
  <c r="AS55" s="1"/>
  <c r="AM568"/>
  <c r="G18" i="8"/>
  <c r="M18" i="4"/>
  <c r="Z888" i="1"/>
  <c r="T888" i="27"/>
  <c r="T894" s="1"/>
  <c r="T4" s="1"/>
  <c r="AT873" i="1"/>
  <c r="AS874"/>
  <c r="AA874"/>
  <c r="AA870"/>
  <c r="AS838"/>
  <c r="R890" i="27"/>
  <c r="R13" s="1"/>
  <c r="G51" i="29"/>
  <c r="AN577" i="1"/>
  <c r="AN576"/>
  <c r="AS576" s="1"/>
  <c r="AS567"/>
  <c r="AS570"/>
  <c r="G74" i="29"/>
  <c r="G74" i="30" s="1"/>
  <c r="G75" i="29"/>
  <c r="AN376" i="1"/>
  <c r="AN373"/>
  <c r="G33" i="4"/>
  <c r="G33" i="8" s="1"/>
  <c r="AN343" i="1"/>
  <c r="AS343" s="1"/>
  <c r="AN341"/>
  <c r="AS341" s="1"/>
  <c r="AS335"/>
  <c r="AN331"/>
  <c r="G49" i="4"/>
  <c r="G49" i="8" s="1"/>
  <c r="AS301" i="1"/>
  <c r="AS288"/>
  <c r="G86" i="8"/>
  <c r="AN197" i="1"/>
  <c r="AN172"/>
  <c r="AN171"/>
  <c r="AS171"/>
  <c r="AN170"/>
  <c r="AS152"/>
  <c r="AA133"/>
  <c r="AS16"/>
  <c r="H84" i="7"/>
  <c r="H44"/>
  <c r="M24" i="4"/>
  <c r="G24" i="8"/>
  <c r="G16" i="4"/>
  <c r="G16" i="8" s="1"/>
  <c r="AN59" i="1"/>
  <c r="AA56"/>
  <c r="T904" i="27"/>
  <c r="T905"/>
  <c r="Z54" i="1"/>
  <c r="AO54" s="1"/>
  <c r="AT54" s="1"/>
  <c r="AN26"/>
  <c r="R75" i="33"/>
  <c r="R73"/>
  <c r="S73"/>
  <c r="R74"/>
  <c r="AT218" i="1"/>
  <c r="AR217"/>
  <c r="AS740"/>
  <c r="S19" i="36"/>
  <c r="R19" s="1"/>
  <c r="S18"/>
  <c r="R18" s="1"/>
  <c r="R64" i="33"/>
  <c r="AT751" i="1"/>
  <c r="AS758"/>
  <c r="AN738"/>
  <c r="AN744"/>
  <c r="AS744" s="1"/>
  <c r="AN759"/>
  <c r="AS759" s="1"/>
  <c r="AN754"/>
  <c r="AS753"/>
  <c r="AN752"/>
  <c r="AN750"/>
  <c r="AN748"/>
  <c r="AN732"/>
  <c r="O26" i="36"/>
  <c r="B26" s="1"/>
  <c r="AN743" i="1"/>
  <c r="AN749"/>
  <c r="O31" i="36"/>
  <c r="N31" s="1"/>
  <c r="O13"/>
  <c r="N13" s="1"/>
  <c r="O29"/>
  <c r="N29" s="1"/>
  <c r="AA910" i="1"/>
  <c r="W910"/>
  <c r="H45" i="4"/>
  <c r="V829" i="1"/>
  <c r="O51" i="35"/>
  <c r="AH910" i="1"/>
  <c r="AR149"/>
  <c r="AL910"/>
  <c r="R51" i="35"/>
  <c r="S51" s="1"/>
  <c r="T910" i="1"/>
  <c r="K15" i="7"/>
  <c r="D32"/>
  <c r="AR261" i="1"/>
  <c r="P67" i="33"/>
  <c r="P2" s="1"/>
  <c r="M34" i="29"/>
  <c r="N17"/>
  <c r="K27"/>
  <c r="N13"/>
  <c r="N16"/>
  <c r="N65"/>
  <c r="N34"/>
  <c r="K85"/>
  <c r="E102"/>
  <c r="N52"/>
  <c r="M57"/>
  <c r="K70"/>
  <c r="B31" i="36"/>
  <c r="AS739" i="1"/>
  <c r="O21" i="36"/>
  <c r="O30"/>
  <c r="O22"/>
  <c r="B22" s="1"/>
  <c r="N35"/>
  <c r="B35"/>
  <c r="O27"/>
  <c r="N23"/>
  <c r="B23"/>
  <c r="O14"/>
  <c r="N14" s="1"/>
  <c r="R66" i="35"/>
  <c r="S66"/>
  <c r="S14" i="36"/>
  <c r="R14" s="1"/>
  <c r="P892" i="20"/>
  <c r="P2" s="1"/>
  <c r="O15" i="36"/>
  <c r="P81" i="4"/>
  <c r="R4" i="33"/>
  <c r="E95" i="29"/>
  <c r="N26"/>
  <c r="H109"/>
  <c r="N60"/>
  <c r="N62" s="1"/>
  <c r="K22"/>
  <c r="M100"/>
  <c r="N80"/>
  <c r="N50"/>
  <c r="H102"/>
  <c r="N32"/>
  <c r="N15"/>
  <c r="N106"/>
  <c r="N94"/>
  <c r="E22"/>
  <c r="N36"/>
  <c r="E85"/>
  <c r="N24"/>
  <c r="N43"/>
  <c r="N45"/>
  <c r="K66"/>
  <c r="H70" i="30"/>
  <c r="M79" i="4"/>
  <c r="M32"/>
  <c r="M19"/>
  <c r="E84"/>
  <c r="K26"/>
  <c r="J47"/>
  <c r="D34"/>
  <c r="M31"/>
  <c r="J50"/>
  <c r="D23"/>
  <c r="D26"/>
  <c r="N55"/>
  <c r="N56" s="1"/>
  <c r="N13"/>
  <c r="M17"/>
  <c r="H93"/>
  <c r="E56"/>
  <c r="K20"/>
  <c r="H87"/>
  <c r="H84"/>
  <c r="K50"/>
  <c r="N86"/>
  <c r="D56"/>
  <c r="N31"/>
  <c r="N34" s="1"/>
  <c r="K12"/>
  <c r="K30"/>
  <c r="E101"/>
  <c r="G61" i="8"/>
  <c r="K60"/>
  <c r="G60"/>
  <c r="J60"/>
  <c r="H61"/>
  <c r="J10"/>
  <c r="E61"/>
  <c r="K101"/>
  <c r="E23"/>
  <c r="E26"/>
  <c r="Z117" i="1"/>
  <c r="AO117" s="1"/>
  <c r="G21" i="29"/>
  <c r="AA325" i="31"/>
  <c r="AA283"/>
  <c r="J21" i="29"/>
  <c r="D21"/>
  <c r="P87" i="4"/>
  <c r="P87" i="8"/>
  <c r="R34" i="33"/>
  <c r="N93" i="4"/>
  <c r="K37"/>
  <c r="K37" i="8" s="1"/>
  <c r="K36" i="4"/>
  <c r="K36" i="8" s="1"/>
  <c r="N49" i="29"/>
  <c r="E66"/>
  <c r="K12" i="8"/>
  <c r="E12"/>
  <c r="E20"/>
  <c r="E87" i="4"/>
  <c r="H56"/>
  <c r="K87"/>
  <c r="N84" i="29"/>
  <c r="N85" s="1"/>
  <c r="D152" i="33"/>
  <c r="H93" i="8"/>
  <c r="AM692" i="1"/>
  <c r="AS692" s="1"/>
  <c r="J29" i="29"/>
  <c r="J29" i="30" s="1"/>
  <c r="D29" i="29"/>
  <c r="D29" i="30" s="1"/>
  <c r="AS654" i="1"/>
  <c r="D30" i="29"/>
  <c r="D30" i="30" s="1"/>
  <c r="J30" i="29"/>
  <c r="AM648" i="1"/>
  <c r="AS648" s="1"/>
  <c r="K85" i="30"/>
  <c r="M97" i="29"/>
  <c r="G85"/>
  <c r="N98"/>
  <c r="E109"/>
  <c r="N104"/>
  <c r="H27" i="30"/>
  <c r="H58"/>
  <c r="N55" i="29"/>
  <c r="N58" s="1"/>
  <c r="K58"/>
  <c r="H66"/>
  <c r="K90" i="30"/>
  <c r="K90" i="29"/>
  <c r="N97"/>
  <c r="N107"/>
  <c r="N37"/>
  <c r="N101"/>
  <c r="K81"/>
  <c r="N89"/>
  <c r="H85"/>
  <c r="K70" i="30"/>
  <c r="G38" i="29"/>
  <c r="K95"/>
  <c r="E58" i="30"/>
  <c r="J41" i="4"/>
  <c r="J41" i="8" s="1"/>
  <c r="G52" i="7"/>
  <c r="M30"/>
  <c r="M32" s="1"/>
  <c r="K32"/>
  <c r="H32"/>
  <c r="N14"/>
  <c r="N32" s="1"/>
  <c r="K69" i="4"/>
  <c r="K69" i="8" s="1"/>
  <c r="D41" i="4"/>
  <c r="H82" i="7"/>
  <c r="N82" s="1"/>
  <c r="N39" s="1"/>
  <c r="N70" i="4"/>
  <c r="K11" i="7"/>
  <c r="G23"/>
  <c r="J32"/>
  <c r="M56"/>
  <c r="J69"/>
  <c r="N88"/>
  <c r="N52" s="1"/>
  <c r="J69" i="4"/>
  <c r="J69" i="8" s="1"/>
  <c r="D69" i="4"/>
  <c r="D69" i="8" s="1"/>
  <c r="K74" i="4"/>
  <c r="K71"/>
  <c r="K71" i="8" s="1"/>
  <c r="J71" i="4"/>
  <c r="J43"/>
  <c r="J43" i="8" s="1"/>
  <c r="H36" i="4"/>
  <c r="AS430" i="1"/>
  <c r="M33" i="4"/>
  <c r="AA899" i="1"/>
  <c r="G36" i="4"/>
  <c r="G36" i="8" s="1"/>
  <c r="M48" i="4"/>
  <c r="P81" i="8"/>
  <c r="P44" i="4"/>
  <c r="R6" i="33"/>
  <c r="R59"/>
  <c r="J56" i="8"/>
  <c r="AT790" i="1"/>
  <c r="AS408"/>
  <c r="AR211"/>
  <c r="G25" i="4"/>
  <c r="G25" i="8" s="1"/>
  <c r="G69" i="29"/>
  <c r="O4" i="33"/>
  <c r="J56" i="4"/>
  <c r="J35"/>
  <c r="E66" i="30"/>
  <c r="J30" i="4"/>
  <c r="AS705" i="1"/>
  <c r="AM287"/>
  <c r="AS287" s="1"/>
  <c r="AS264"/>
  <c r="D37" i="4"/>
  <c r="D37" i="8" s="1"/>
  <c r="D62" i="29"/>
  <c r="G99"/>
  <c r="G99" i="30" s="1"/>
  <c r="A559" i="1"/>
  <c r="N559"/>
  <c r="AJ559"/>
  <c r="H69" i="4"/>
  <c r="H69" i="8" s="1"/>
  <c r="AS417" i="1"/>
  <c r="AS651"/>
  <c r="AT380"/>
  <c r="AS371"/>
  <c r="G101" i="29"/>
  <c r="G93"/>
  <c r="G15"/>
  <c r="G15" i="30" s="1"/>
  <c r="AK14" i="1"/>
  <c r="AR14" s="1"/>
  <c r="AM134"/>
  <c r="AR141"/>
  <c r="AM402"/>
  <c r="AS402" s="1"/>
  <c r="AM454"/>
  <c r="D84" i="4"/>
  <c r="N26" i="36"/>
  <c r="AT364" i="1"/>
  <c r="D57" i="30"/>
  <c r="J38" i="4"/>
  <c r="AS239" i="1"/>
  <c r="J26" i="4"/>
  <c r="J23"/>
  <c r="AS761" i="1"/>
  <c r="D36" i="4"/>
  <c r="D36" i="8" s="1"/>
  <c r="AT26" i="1"/>
  <c r="H18" i="8"/>
  <c r="N18" s="1"/>
  <c r="N18" i="4"/>
  <c r="AS774" i="1"/>
  <c r="J61" i="30"/>
  <c r="J62" i="29"/>
  <c r="AS56" i="1"/>
  <c r="AT672"/>
  <c r="AS816"/>
  <c r="AS522"/>
  <c r="AS256"/>
  <c r="AS825"/>
  <c r="AS787"/>
  <c r="AT554"/>
  <c r="M49" i="4"/>
  <c r="N66" i="7"/>
  <c r="AS186" i="1"/>
  <c r="AS772"/>
  <c r="AS821"/>
  <c r="E48" i="7"/>
  <c r="D74" i="4"/>
  <c r="AS433" i="1"/>
  <c r="AS333"/>
  <c r="AS240"/>
  <c r="AR194"/>
  <c r="AS193"/>
  <c r="AT57"/>
  <c r="AS57"/>
  <c r="AS196"/>
  <c r="AT757"/>
  <c r="AT541"/>
  <c r="G104" i="30"/>
  <c r="M104" i="29"/>
  <c r="K28" i="4"/>
  <c r="AS780" i="1"/>
  <c r="AS768"/>
  <c r="AS438"/>
  <c r="H15" i="8"/>
  <c r="N15" s="1"/>
  <c r="N15" i="4"/>
  <c r="AS637" i="1"/>
  <c r="AS633"/>
  <c r="AS617"/>
  <c r="AS591"/>
  <c r="AT591"/>
  <c r="AS575"/>
  <c r="AS546"/>
  <c r="AS544"/>
  <c r="AS530"/>
  <c r="AS527"/>
  <c r="AS519"/>
  <c r="AS512"/>
  <c r="AR214"/>
  <c r="AR191"/>
  <c r="AS181"/>
  <c r="AR178"/>
  <c r="S17" i="36"/>
  <c r="R17"/>
  <c r="AR177" i="1"/>
  <c r="AT177"/>
  <c r="AS161"/>
  <c r="AR160"/>
  <c r="AT160"/>
  <c r="AS107"/>
  <c r="N68" i="30"/>
  <c r="G60"/>
  <c r="M60" i="29"/>
  <c r="AS475" i="1"/>
  <c r="AS232"/>
  <c r="AS622"/>
  <c r="AS392"/>
  <c r="AT281"/>
  <c r="AS784"/>
  <c r="AS762"/>
  <c r="AS640"/>
  <c r="H25" i="8"/>
  <c r="N25" i="4"/>
  <c r="N23" s="1"/>
  <c r="H23"/>
  <c r="AS507" i="1"/>
  <c r="AS499"/>
  <c r="AS495"/>
  <c r="AT495"/>
  <c r="AS478"/>
  <c r="AS466"/>
  <c r="AS419"/>
  <c r="AS416"/>
  <c r="AS415"/>
  <c r="AS405"/>
  <c r="AS404"/>
  <c r="AS391"/>
  <c r="AS374"/>
  <c r="AS345"/>
  <c r="AS321"/>
  <c r="AS307"/>
  <c r="AR213"/>
  <c r="AT213"/>
  <c r="AS207"/>
  <c r="AR203"/>
  <c r="AS201"/>
  <c r="AR192"/>
  <c r="N79" i="4"/>
  <c r="N92" i="8"/>
  <c r="N93" s="1"/>
  <c r="D93"/>
  <c r="AS463" i="1"/>
  <c r="G37" i="4"/>
  <c r="G37" i="8" s="1"/>
  <c r="K74"/>
  <c r="N84" i="7"/>
  <c r="N44" s="1"/>
  <c r="K35" i="4"/>
  <c r="H11" i="7"/>
  <c r="AS572" i="1"/>
  <c r="AS298"/>
  <c r="G50" i="4"/>
  <c r="AS183" i="1"/>
  <c r="AS189"/>
  <c r="AS200"/>
  <c r="AS227"/>
  <c r="AS237"/>
  <c r="AS241"/>
  <c r="AS268"/>
  <c r="AS272"/>
  <c r="AS274"/>
  <c r="AS280"/>
  <c r="AS205"/>
  <c r="AS271"/>
  <c r="AS185"/>
  <c r="AS199"/>
  <c r="AS204"/>
  <c r="AS208"/>
  <c r="AS215"/>
  <c r="AT238"/>
  <c r="AS238"/>
  <c r="AS245"/>
  <c r="AT257"/>
  <c r="AS257"/>
  <c r="AS263"/>
  <c r="AT263"/>
  <c r="AS273"/>
  <c r="AS284"/>
  <c r="AT284"/>
  <c r="AS187"/>
  <c r="AS211"/>
  <c r="AS258"/>
  <c r="AS136"/>
  <c r="G47" i="4"/>
  <c r="AS582" i="1"/>
  <c r="AS496"/>
  <c r="AS300"/>
  <c r="AS370"/>
  <c r="AS464"/>
  <c r="AS296"/>
  <c r="AT220"/>
  <c r="O17" i="36"/>
  <c r="AS808" i="1"/>
  <c r="AS770"/>
  <c r="AS828"/>
  <c r="AS805"/>
  <c r="AS594"/>
  <c r="AS564"/>
  <c r="AS520"/>
  <c r="AS456"/>
  <c r="AS21"/>
  <c r="AS733"/>
  <c r="AS428"/>
  <c r="AS386"/>
  <c r="AT130"/>
  <c r="AS352"/>
  <c r="AS548"/>
  <c r="AS460"/>
  <c r="AS560"/>
  <c r="AS542"/>
  <c r="AS534"/>
  <c r="AS476"/>
  <c r="AS424"/>
  <c r="AS412"/>
  <c r="AS388"/>
  <c r="AS776"/>
  <c r="AS550"/>
  <c r="AT550"/>
  <c r="AS532"/>
  <c r="AS484"/>
  <c r="AS312"/>
  <c r="AS246"/>
  <c r="AS176"/>
  <c r="AS126"/>
  <c r="AS88"/>
  <c r="AS86"/>
  <c r="AS25"/>
  <c r="AS586"/>
  <c r="AS699"/>
  <c r="AS746"/>
  <c r="AS306"/>
  <c r="AS270"/>
  <c r="AS95"/>
  <c r="AS85"/>
  <c r="AS74"/>
  <c r="AS71"/>
  <c r="AS24"/>
  <c r="AS420"/>
  <c r="AS789"/>
  <c r="AS709"/>
  <c r="AS538"/>
  <c r="AS326"/>
  <c r="AS824"/>
  <c r="AS69"/>
  <c r="AS410"/>
  <c r="AS81"/>
  <c r="AS63"/>
  <c r="AT63"/>
  <c r="AS19"/>
  <c r="G61" i="30"/>
  <c r="G62" i="29"/>
  <c r="M61"/>
  <c r="AS17" i="1"/>
  <c r="AS812"/>
  <c r="AS782"/>
  <c r="AS528"/>
  <c r="AS190"/>
  <c r="AS83"/>
  <c r="G34" i="4"/>
  <c r="G30"/>
  <c r="AS568" i="1"/>
  <c r="AS577"/>
  <c r="G75" i="30"/>
  <c r="M75" i="29"/>
  <c r="AS376" i="1"/>
  <c r="AS373"/>
  <c r="AS331"/>
  <c r="AS197"/>
  <c r="AS170"/>
  <c r="AS172"/>
  <c r="AA907"/>
  <c r="AA908"/>
  <c r="AS59"/>
  <c r="H86" i="7"/>
  <c r="N86" s="1"/>
  <c r="N48" s="1"/>
  <c r="AS26" i="1"/>
  <c r="B29" i="36"/>
  <c r="AS749" i="1"/>
  <c r="AS748"/>
  <c r="AS750"/>
  <c r="AS743"/>
  <c r="AS732"/>
  <c r="AS752"/>
  <c r="AS754"/>
  <c r="AS738"/>
  <c r="P51" i="35"/>
  <c r="N21" i="36"/>
  <c r="B21"/>
  <c r="N30"/>
  <c r="B30"/>
  <c r="N22"/>
  <c r="N27"/>
  <c r="B27"/>
  <c r="B15"/>
  <c r="N15"/>
  <c r="K72" i="4"/>
  <c r="N84"/>
  <c r="J61" i="8"/>
  <c r="K10"/>
  <c r="M21" i="29"/>
  <c r="K38" i="4"/>
  <c r="H101" i="8"/>
  <c r="H104"/>
  <c r="H56"/>
  <c r="J30" i="30"/>
  <c r="E70"/>
  <c r="K81"/>
  <c r="H85"/>
  <c r="H39" i="7"/>
  <c r="G69" i="4"/>
  <c r="K68"/>
  <c r="M99" i="29"/>
  <c r="G102"/>
  <c r="AS454" i="1"/>
  <c r="AS134"/>
  <c r="P44" i="8"/>
  <c r="G26" i="4"/>
  <c r="G23"/>
  <c r="M25"/>
  <c r="M23" s="1"/>
  <c r="M57" i="30"/>
  <c r="AT24" i="1"/>
  <c r="AT490"/>
  <c r="AT825"/>
  <c r="AT784"/>
  <c r="AT520"/>
  <c r="AT268"/>
  <c r="AT200"/>
  <c r="AT25"/>
  <c r="AT270"/>
  <c r="AT770"/>
  <c r="AP902"/>
  <c r="AP901"/>
  <c r="G74" i="4"/>
  <c r="G74" i="8" s="1"/>
  <c r="M69" i="4"/>
  <c r="M26"/>
  <c r="Q25" i="30"/>
  <c r="Q125" s="1"/>
  <c r="Q108" i="29"/>
  <c r="Q45"/>
  <c r="Q69" s="1"/>
  <c r="Q124" s="1"/>
  <c r="E32" i="7"/>
  <c r="N76"/>
  <c r="N11" s="1"/>
  <c r="AL888" i="1"/>
  <c r="AL894" s="1"/>
  <c r="AL4" s="1"/>
  <c r="AD894"/>
  <c r="AD4" s="1"/>
  <c r="U66" i="35"/>
  <c r="S50"/>
  <c r="D163"/>
  <c r="U96"/>
  <c r="D195"/>
  <c r="B96"/>
  <c r="AR119" i="1"/>
  <c r="AS118"/>
  <c r="AS119"/>
  <c r="AT119"/>
  <c r="D71" i="4"/>
  <c r="E52" i="7"/>
  <c r="G96" i="35"/>
  <c r="P122"/>
  <c r="P111"/>
  <c r="P123"/>
  <c r="O49"/>
  <c r="P95"/>
  <c r="E6" i="38"/>
  <c r="A3" i="31" s="1"/>
  <c r="R96" i="35"/>
  <c r="P112"/>
  <c r="P124"/>
  <c r="P113"/>
  <c r="S96"/>
  <c r="T124"/>
  <c r="R49"/>
  <c r="B99"/>
  <c r="B105"/>
  <c r="B113"/>
  <c r="B119"/>
  <c r="L121"/>
  <c r="O96"/>
  <c r="B102"/>
  <c r="B108"/>
  <c r="B116"/>
  <c r="D50" i="4"/>
  <c r="D47"/>
  <c r="E47"/>
  <c r="E50"/>
  <c r="AT288" i="1"/>
  <c r="A3" i="26"/>
  <c r="AT197" i="1"/>
  <c r="A3" i="27"/>
  <c r="P892" i="1"/>
  <c r="P2" s="1"/>
  <c r="I6" i="38"/>
  <c r="B2" i="36" s="1"/>
  <c r="AS667" i="1"/>
  <c r="E362" i="38"/>
  <c r="N6" i="36" s="1"/>
  <c r="V117" i="26"/>
  <c r="T117"/>
  <c r="AH117" i="1"/>
  <c r="AH115"/>
  <c r="AH829" s="1"/>
  <c r="AV117"/>
  <c r="V115" i="26"/>
  <c r="AX117" i="1"/>
  <c r="AV115"/>
  <c r="T115"/>
  <c r="AX115"/>
  <c r="T117"/>
  <c r="E180" i="41"/>
  <c r="P8" i="31"/>
  <c r="S8"/>
  <c r="V8"/>
  <c r="F139" i="41"/>
  <c r="K464" i="31"/>
  <c r="AP116" i="1"/>
  <c r="AT116" s="1"/>
  <c r="AP114"/>
  <c r="AT114" s="1"/>
  <c r="R892"/>
  <c r="R2" s="1"/>
  <c r="K61" i="8"/>
  <c r="M10"/>
  <c r="D74"/>
  <c r="G90" i="7"/>
  <c r="G69"/>
  <c r="D68" i="4"/>
  <c r="A553" i="1"/>
  <c r="N553"/>
  <c r="AJ553"/>
  <c r="N552"/>
  <c r="AJ552"/>
  <c r="AO759"/>
  <c r="O33" i="36"/>
  <c r="AP754" i="1"/>
  <c r="AT754" s="1"/>
  <c r="D79" i="29"/>
  <c r="AP731" i="1"/>
  <c r="AT731" s="1"/>
  <c r="D35" i="29"/>
  <c r="AP721" i="1"/>
  <c r="AT721" s="1"/>
  <c r="D36" i="29"/>
  <c r="AP699" i="1"/>
  <c r="AT699"/>
  <c r="D83" i="29"/>
  <c r="Q108" i="30"/>
  <c r="Q45"/>
  <c r="Q69" s="1"/>
  <c r="G69"/>
  <c r="H36" i="8"/>
  <c r="J92"/>
  <c r="J104" i="4"/>
  <c r="J93"/>
  <c r="J101"/>
  <c r="Q44"/>
  <c r="P4" i="33"/>
  <c r="Q81" i="4"/>
  <c r="O34" i="33"/>
  <c r="D71" i="8"/>
  <c r="AR57" i="1"/>
  <c r="AL908"/>
  <c r="AL907"/>
  <c r="AP773"/>
  <c r="AT773"/>
  <c r="D88" i="29"/>
  <c r="J79"/>
  <c r="J35"/>
  <c r="G69" i="8"/>
  <c r="M30" i="4"/>
  <c r="M34"/>
  <c r="N20"/>
  <c r="G64" i="30"/>
  <c r="G66" i="29"/>
  <c r="H40" i="4"/>
  <c r="H43"/>
  <c r="H43" i="8" s="1"/>
  <c r="G15" i="7"/>
  <c r="H41" i="4"/>
  <c r="H41" i="8" s="1"/>
  <c r="H42" i="4"/>
  <c r="H42" i="8" s="1"/>
  <c r="N66" i="29"/>
  <c r="N95"/>
  <c r="H71" i="4"/>
  <c r="H72" s="1"/>
  <c r="D43" i="30"/>
  <c r="D39" i="7"/>
  <c r="M82"/>
  <c r="M39" s="1"/>
  <c r="K52" i="30"/>
  <c r="N52" s="1"/>
  <c r="J56"/>
  <c r="J58" s="1"/>
  <c r="J58" i="29"/>
  <c r="B17" i="36"/>
  <c r="N17"/>
  <c r="J71" i="8"/>
  <c r="J68" i="4"/>
  <c r="J72"/>
  <c r="B13" i="36"/>
  <c r="G93" i="30"/>
  <c r="M93" i="29"/>
  <c r="D41" i="8"/>
  <c r="N30" i="4"/>
  <c r="G64" i="8"/>
  <c r="N24"/>
  <c r="H23"/>
  <c r="H26"/>
  <c r="D40" i="4"/>
  <c r="D40" i="8" s="1"/>
  <c r="D43" i="4"/>
  <c r="D45"/>
  <c r="E15" i="7"/>
  <c r="N25" i="36"/>
  <c r="B25"/>
  <c r="O6" i="33"/>
  <c r="P50" i="4"/>
  <c r="P50" i="8" s="1"/>
  <c r="O59" i="33"/>
  <c r="E23" i="7"/>
  <c r="J19" i="29"/>
  <c r="AP655" i="1"/>
  <c r="AT655"/>
  <c r="D32" i="29"/>
  <c r="AO638" i="1"/>
  <c r="D26" i="29"/>
  <c r="AO618" i="1"/>
  <c r="D24" i="29"/>
  <c r="AP605" i="1"/>
  <c r="D13" i="29"/>
  <c r="A563" i="1"/>
  <c r="N562"/>
  <c r="AJ562"/>
  <c r="AP529"/>
  <c r="AT529"/>
  <c r="D69" i="29"/>
  <c r="AO524" i="1"/>
  <c r="D68" i="29"/>
  <c r="AO519" i="1"/>
  <c r="D65" i="29"/>
  <c r="J65"/>
  <c r="J65" i="30" s="1"/>
  <c r="AO511" i="1"/>
  <c r="D64" i="29"/>
  <c r="J64"/>
  <c r="AO458" i="1"/>
  <c r="D55" i="29"/>
  <c r="AO453" i="1"/>
  <c r="D51" i="29"/>
  <c r="J51"/>
  <c r="J51" i="30" s="1"/>
  <c r="J49" i="29"/>
  <c r="AP450" i="1"/>
  <c r="D49" i="29"/>
  <c r="J63" i="8"/>
  <c r="M63" i="4"/>
  <c r="H82"/>
  <c r="M46" i="29"/>
  <c r="M33" i="8"/>
  <c r="AS697" i="1"/>
  <c r="H37" i="4"/>
  <c r="H38" s="1"/>
  <c r="G11" i="7"/>
  <c r="J98" i="29"/>
  <c r="AP805" i="1"/>
  <c r="D98" i="29"/>
  <c r="D19"/>
  <c r="A3" i="33"/>
  <c r="K20" i="35"/>
  <c r="A3" i="1"/>
  <c r="B34" i="36"/>
  <c r="N34"/>
  <c r="K56" i="8"/>
  <c r="K104"/>
  <c r="M59" i="39" s="1"/>
  <c r="M58" s="1"/>
  <c r="M57" s="1"/>
  <c r="H49" i="8"/>
  <c r="N49" i="4"/>
  <c r="H47"/>
  <c r="D94" i="30"/>
  <c r="D95" i="29"/>
  <c r="M94"/>
  <c r="AS248" i="1"/>
  <c r="D13" i="8"/>
  <c r="D20" i="4"/>
  <c r="D28" s="1"/>
  <c r="G55" i="8"/>
  <c r="G56" s="1"/>
  <c r="M55" i="4"/>
  <c r="G56"/>
  <c r="D14" i="30"/>
  <c r="AP847" i="1"/>
  <c r="AT847"/>
  <c r="D92" i="4"/>
  <c r="T888" i="1"/>
  <c r="T894" s="1"/>
  <c r="T4" s="1"/>
  <c r="AH888"/>
  <c r="AH894"/>
  <c r="AH4" s="1"/>
  <c r="J74" i="4"/>
  <c r="D70" i="8"/>
  <c r="M70" i="4"/>
  <c r="AP640" i="1"/>
  <c r="G20" i="29"/>
  <c r="D89" i="30"/>
  <c r="M89" i="29"/>
  <c r="H26" i="4"/>
  <c r="J61"/>
  <c r="K10"/>
  <c r="AR352" i="1"/>
  <c r="AL898"/>
  <c r="AL899"/>
  <c r="AO776"/>
  <c r="AP594"/>
  <c r="D106" i="29"/>
  <c r="J68"/>
  <c r="J69"/>
  <c r="J69" i="30" s="1"/>
  <c r="AO808" i="1"/>
  <c r="AO796"/>
  <c r="AO782"/>
  <c r="AO781"/>
  <c r="AP703"/>
  <c r="AP642"/>
  <c r="J107" i="29"/>
  <c r="AO596" i="1"/>
  <c r="D107" i="29"/>
  <c r="AO481" i="1"/>
  <c r="D50" i="29"/>
  <c r="AP880" i="1"/>
  <c r="AO878"/>
  <c r="AO877"/>
  <c r="AO876"/>
  <c r="AP857"/>
  <c r="AP828"/>
  <c r="AT828" s="1"/>
  <c r="D101" i="29"/>
  <c r="AO814" i="1"/>
  <c r="AP804"/>
  <c r="AP719"/>
  <c r="D37" i="29"/>
  <c r="AP616" i="1"/>
  <c r="AO603"/>
  <c r="AO553"/>
  <c r="AP883"/>
  <c r="AP882"/>
  <c r="AO880"/>
  <c r="AT880"/>
  <c r="AO857"/>
  <c r="AP856"/>
  <c r="AP854"/>
  <c r="AP822"/>
  <c r="AP821"/>
  <c r="AP820"/>
  <c r="AP819"/>
  <c r="AO805"/>
  <c r="AT805" s="1"/>
  <c r="AO804"/>
  <c r="AP799"/>
  <c r="AP793"/>
  <c r="AO789"/>
  <c r="AP785"/>
  <c r="AO703"/>
  <c r="AT652"/>
  <c r="AP651"/>
  <c r="AT650"/>
  <c r="AT646"/>
  <c r="AO642"/>
  <c r="AT628"/>
  <c r="AP625"/>
  <c r="AP610"/>
  <c r="AO600"/>
  <c r="AT600"/>
  <c r="AO590"/>
  <c r="AO564"/>
  <c r="AT564" s="1"/>
  <c r="AO552"/>
  <c r="AT552" s="1"/>
  <c r="AP551"/>
  <c r="AT551" s="1"/>
  <c r="AP547"/>
  <c r="AT547" s="1"/>
  <c r="AP535"/>
  <c r="AT535" s="1"/>
  <c r="AT522"/>
  <c r="AP886"/>
  <c r="AT886" s="1"/>
  <c r="AO883"/>
  <c r="AT883" s="1"/>
  <c r="AO882"/>
  <c r="AP872"/>
  <c r="AT872" s="1"/>
  <c r="AO856"/>
  <c r="AT856" s="1"/>
  <c r="AO854"/>
  <c r="AT854" s="1"/>
  <c r="AP852"/>
  <c r="AP851"/>
  <c r="AP850"/>
  <c r="AP848"/>
  <c r="AT848" s="1"/>
  <c r="AP845"/>
  <c r="AT845" s="1"/>
  <c r="AP843"/>
  <c r="AT843" s="1"/>
  <c r="AO823"/>
  <c r="AT823" s="1"/>
  <c r="AO822"/>
  <c r="AO821"/>
  <c r="AT821" s="1"/>
  <c r="AO820"/>
  <c r="AO819"/>
  <c r="AT819" s="1"/>
  <c r="AO816"/>
  <c r="AT816" s="1"/>
  <c r="AP813"/>
  <c r="AP812"/>
  <c r="AP811"/>
  <c r="AO810"/>
  <c r="AT810" s="1"/>
  <c r="AO807"/>
  <c r="AT807" s="1"/>
  <c r="AO799"/>
  <c r="AO793"/>
  <c r="AT793" s="1"/>
  <c r="AP791"/>
  <c r="AT791" s="1"/>
  <c r="AP787"/>
  <c r="AO786"/>
  <c r="AT786"/>
  <c r="AO785"/>
  <c r="AT785"/>
  <c r="AP780"/>
  <c r="AP779"/>
  <c r="AP775"/>
  <c r="AO774"/>
  <c r="AT774" s="1"/>
  <c r="AO771"/>
  <c r="AP768"/>
  <c r="AO767"/>
  <c r="AT767"/>
  <c r="AP765"/>
  <c r="AP764"/>
  <c r="AP763"/>
  <c r="AO762"/>
  <c r="AV762"/>
  <c r="AP759"/>
  <c r="AP758"/>
  <c r="AP755"/>
  <c r="AP746"/>
  <c r="AO740"/>
  <c r="AO738"/>
  <c r="AT738" s="1"/>
  <c r="AO736"/>
  <c r="AT736" s="1"/>
  <c r="AP734"/>
  <c r="AP732"/>
  <c r="AO726"/>
  <c r="AT726" s="1"/>
  <c r="AP724"/>
  <c r="AP723"/>
  <c r="AP720"/>
  <c r="AP718"/>
  <c r="AO717"/>
  <c r="AP701"/>
  <c r="AO700"/>
  <c r="AT700" s="1"/>
  <c r="AO697"/>
  <c r="AT697" s="1"/>
  <c r="AP695"/>
  <c r="AO694"/>
  <c r="AT694" s="1"/>
  <c r="AP692"/>
  <c r="AO689"/>
  <c r="AT689"/>
  <c r="AP687"/>
  <c r="AP684"/>
  <c r="AO683"/>
  <c r="AT683"/>
  <c r="AP681"/>
  <c r="AP678"/>
  <c r="AO675"/>
  <c r="AT675"/>
  <c r="AO665"/>
  <c r="AT665"/>
  <c r="AO662"/>
  <c r="AT662"/>
  <c r="AO656"/>
  <c r="AT656"/>
  <c r="AO653"/>
  <c r="AT653"/>
  <c r="AO651"/>
  <c r="AP648"/>
  <c r="AO647"/>
  <c r="AO644"/>
  <c r="AT644" s="1"/>
  <c r="AO639"/>
  <c r="AT639" s="1"/>
  <c r="AO637"/>
  <c r="AT637" s="1"/>
  <c r="AP635"/>
  <c r="AP632"/>
  <c r="AP629"/>
  <c r="AO626"/>
  <c r="AT626" s="1"/>
  <c r="AO625"/>
  <c r="AT625" s="1"/>
  <c r="AP622"/>
  <c r="AO619"/>
  <c r="AO617"/>
  <c r="AP614"/>
  <c r="AO611"/>
  <c r="AT611" s="1"/>
  <c r="AP607"/>
  <c r="AO606"/>
  <c r="AP602"/>
  <c r="AP599"/>
  <c r="AP592"/>
  <c r="AP577"/>
  <c r="AT577" s="1"/>
  <c r="AP576"/>
  <c r="AT576" s="1"/>
  <c r="AO563"/>
  <c r="AT563"/>
  <c r="AO562"/>
  <c r="AT562"/>
  <c r="AP560"/>
  <c r="AO559"/>
  <c r="AT559" s="1"/>
  <c r="AP557"/>
  <c r="AP548"/>
  <c r="AP545"/>
  <c r="AP539"/>
  <c r="AO532"/>
  <c r="AT532" s="1"/>
  <c r="AO530"/>
  <c r="AT530" s="1"/>
  <c r="AP523"/>
  <c r="AT512"/>
  <c r="AT484"/>
  <c r="AR270"/>
  <c r="AR121"/>
  <c r="B79" i="8"/>
  <c r="G79"/>
  <c r="E78"/>
  <c r="AP879" i="1"/>
  <c r="AT879"/>
  <c r="AP878"/>
  <c r="AP877"/>
  <c r="AP876"/>
  <c r="AP875"/>
  <c r="AT875" s="1"/>
  <c r="AP874"/>
  <c r="AT874" s="1"/>
  <c r="AP870"/>
  <c r="AT870" s="1"/>
  <c r="AO852"/>
  <c r="AT852" s="1"/>
  <c r="AO851"/>
  <c r="AO850"/>
  <c r="AT850" s="1"/>
  <c r="AP844"/>
  <c r="AT844" s="1"/>
  <c r="AP842"/>
  <c r="AT842" s="1"/>
  <c r="AP836"/>
  <c r="AP827"/>
  <c r="AT827"/>
  <c r="AO826"/>
  <c r="AT826"/>
  <c r="AP824"/>
  <c r="AT824"/>
  <c r="AP817"/>
  <c r="AT817"/>
  <c r="AP815"/>
  <c r="AT815"/>
  <c r="AP814"/>
  <c r="AO813"/>
  <c r="AT813" s="1"/>
  <c r="AO812"/>
  <c r="AT812" s="1"/>
  <c r="AO811"/>
  <c r="AT811" s="1"/>
  <c r="AP809"/>
  <c r="AT809" s="1"/>
  <c r="AP808"/>
  <c r="AP803"/>
  <c r="AT803"/>
  <c r="AO802"/>
  <c r="AT802"/>
  <c r="AP797"/>
  <c r="AT797"/>
  <c r="AP796"/>
  <c r="AO795"/>
  <c r="AT795" s="1"/>
  <c r="AP788"/>
  <c r="AT788" s="1"/>
  <c r="AO787"/>
  <c r="AT787" s="1"/>
  <c r="AP783"/>
  <c r="AT783" s="1"/>
  <c r="AP782"/>
  <c r="AP781"/>
  <c r="AO780"/>
  <c r="AT780" s="1"/>
  <c r="AO779"/>
  <c r="AT779" s="1"/>
  <c r="AP777"/>
  <c r="AT777" s="1"/>
  <c r="AP776"/>
  <c r="AO775"/>
  <c r="AT775" s="1"/>
  <c r="AP772"/>
  <c r="AT772" s="1"/>
  <c r="AP769"/>
  <c r="AT769" s="1"/>
  <c r="AO768"/>
  <c r="AP766"/>
  <c r="AT766"/>
  <c r="AO765"/>
  <c r="AO764"/>
  <c r="AV763"/>
  <c r="AP761"/>
  <c r="AP760"/>
  <c r="AO758"/>
  <c r="AT758" s="1"/>
  <c r="AO755"/>
  <c r="AT755" s="1"/>
  <c r="AP753"/>
  <c r="AT753" s="1"/>
  <c r="AO752"/>
  <c r="AT752" s="1"/>
  <c r="AP750"/>
  <c r="AT750" s="1"/>
  <c r="AO749"/>
  <c r="AT749" s="1"/>
  <c r="AO746"/>
  <c r="AT746" s="1"/>
  <c r="AP743"/>
  <c r="AT743" s="1"/>
  <c r="AP741"/>
  <c r="AT741" s="1"/>
  <c r="AP737"/>
  <c r="AT737" s="1"/>
  <c r="AP735"/>
  <c r="AT735" s="1"/>
  <c r="AO734"/>
  <c r="AT734" s="1"/>
  <c r="AO732"/>
  <c r="AT732" s="1"/>
  <c r="AP730"/>
  <c r="AT730" s="1"/>
  <c r="AP729"/>
  <c r="AT729" s="1"/>
  <c r="AO728"/>
  <c r="AT728" s="1"/>
  <c r="AP727"/>
  <c r="AT727" s="1"/>
  <c r="AO724"/>
  <c r="AT724" s="1"/>
  <c r="AO723"/>
  <c r="AT723" s="1"/>
  <c r="AO720"/>
  <c r="AT720" s="1"/>
  <c r="AO718"/>
  <c r="AT718" s="1"/>
  <c r="AP716"/>
  <c r="AP702"/>
  <c r="AT702" s="1"/>
  <c r="AO701"/>
  <c r="AT701" s="1"/>
  <c r="AP698"/>
  <c r="AT698" s="1"/>
  <c r="AP696"/>
  <c r="AT696" s="1"/>
  <c r="AO695"/>
  <c r="AP693"/>
  <c r="AO692"/>
  <c r="AT692" s="1"/>
  <c r="AP690"/>
  <c r="AT690" s="1"/>
  <c r="AP688"/>
  <c r="AT688" s="1"/>
  <c r="AO687"/>
  <c r="AT687" s="1"/>
  <c r="AP685"/>
  <c r="AT685" s="1"/>
  <c r="AO684"/>
  <c r="AT684" s="1"/>
  <c r="AP682"/>
  <c r="AT682" s="1"/>
  <c r="AO681"/>
  <c r="AT681" s="1"/>
  <c r="AP679"/>
  <c r="AO678"/>
  <c r="AT678" s="1"/>
  <c r="AP676"/>
  <c r="AT676" s="1"/>
  <c r="AP674"/>
  <c r="AT674" s="1"/>
  <c r="AO673"/>
  <c r="AT673" s="1"/>
  <c r="AP671"/>
  <c r="AT671" s="1"/>
  <c r="AP670"/>
  <c r="AT670" s="1"/>
  <c r="AP666"/>
  <c r="AT666" s="1"/>
  <c r="AP663"/>
  <c r="AT663" s="1"/>
  <c r="AP661"/>
  <c r="AT661" s="1"/>
  <c r="AO660"/>
  <c r="AT660" s="1"/>
  <c r="AP657"/>
  <c r="AT657" s="1"/>
  <c r="AP654"/>
  <c r="AP649"/>
  <c r="AT649" s="1"/>
  <c r="AO648"/>
  <c r="AT648" s="1"/>
  <c r="AP645"/>
  <c r="AT645" s="1"/>
  <c r="AP641"/>
  <c r="AT641" s="1"/>
  <c r="AP638"/>
  <c r="AP636"/>
  <c r="AT636" s="1"/>
  <c r="AO635"/>
  <c r="AT635" s="1"/>
  <c r="AP633"/>
  <c r="AT633" s="1"/>
  <c r="AO629"/>
  <c r="AP627"/>
  <c r="AT627"/>
  <c r="AP624"/>
  <c r="AT624"/>
  <c r="AO622"/>
  <c r="AT622"/>
  <c r="AP620"/>
  <c r="AT620"/>
  <c r="AP618"/>
  <c r="AP615"/>
  <c r="AO614"/>
  <c r="AT614" s="1"/>
  <c r="D15" i="29"/>
  <c r="AO607" i="1"/>
  <c r="AT607"/>
  <c r="AP603"/>
  <c r="D108" i="29"/>
  <c r="AO599" i="1"/>
  <c r="AT599"/>
  <c r="AP597"/>
  <c r="AT597"/>
  <c r="AP596"/>
  <c r="AP593"/>
  <c r="AO592"/>
  <c r="AT592" s="1"/>
  <c r="AP589"/>
  <c r="AT589" s="1"/>
  <c r="AO588"/>
  <c r="AT588" s="1"/>
  <c r="AO565"/>
  <c r="AT565" s="1"/>
  <c r="AO560"/>
  <c r="AT560" s="1"/>
  <c r="AO558"/>
  <c r="AT558" s="1"/>
  <c r="AO557"/>
  <c r="AT557" s="1"/>
  <c r="AO556"/>
  <c r="AT556" s="1"/>
  <c r="AP553"/>
  <c r="AO548"/>
  <c r="AT548" s="1"/>
  <c r="AO545"/>
  <c r="AT545" s="1"/>
  <c r="AP543"/>
  <c r="AT543" s="1"/>
  <c r="AO542"/>
  <c r="AT542" s="1"/>
  <c r="AP540"/>
  <c r="AT540" s="1"/>
  <c r="AO539"/>
  <c r="AT539" s="1"/>
  <c r="AP537"/>
  <c r="AO536"/>
  <c r="AT536"/>
  <c r="AP533"/>
  <c r="AT533"/>
  <c r="AP531"/>
  <c r="AT531"/>
  <c r="AP528"/>
  <c r="AT528"/>
  <c r="AP481"/>
  <c r="AT478"/>
  <c r="AR282"/>
  <c r="J42" i="4"/>
  <c r="J42" i="8" s="1"/>
  <c r="AP527" i="1"/>
  <c r="AT527" s="1"/>
  <c r="AO526"/>
  <c r="AT526" s="1"/>
  <c r="AP524"/>
  <c r="AO523"/>
  <c r="AT523" s="1"/>
  <c r="AP521"/>
  <c r="AP518"/>
  <c r="AO517"/>
  <c r="AT517" s="1"/>
  <c r="AO515"/>
  <c r="AT515" s="1"/>
  <c r="AO513"/>
  <c r="AT513" s="1"/>
  <c r="AP510"/>
  <c r="AO509"/>
  <c r="AT509" s="1"/>
  <c r="AP507"/>
  <c r="AP504"/>
  <c r="AO503"/>
  <c r="AT503" s="1"/>
  <c r="AO500"/>
  <c r="AT500" s="1"/>
  <c r="AO498"/>
  <c r="AT498" s="1"/>
  <c r="AP496"/>
  <c r="AO493"/>
  <c r="AT493" s="1"/>
  <c r="AP491"/>
  <c r="AP488"/>
  <c r="AP485"/>
  <c r="AO482"/>
  <c r="AT482" s="1"/>
  <c r="AP479"/>
  <c r="AO476"/>
  <c r="AT476"/>
  <c r="AP474"/>
  <c r="AO473"/>
  <c r="AT473" s="1"/>
  <c r="AP471"/>
  <c r="AO467"/>
  <c r="AP465"/>
  <c r="AO464"/>
  <c r="AT464" s="1"/>
  <c r="AP462"/>
  <c r="AO461"/>
  <c r="AT461" s="1"/>
  <c r="AP459"/>
  <c r="AP456"/>
  <c r="AO455"/>
  <c r="AO452"/>
  <c r="AO450"/>
  <c r="AT450" s="1"/>
  <c r="AP448"/>
  <c r="AO447"/>
  <c r="AT447" s="1"/>
  <c r="AP445"/>
  <c r="AP444"/>
  <c r="AP441"/>
  <c r="AO438"/>
  <c r="AT438" s="1"/>
  <c r="AX437"/>
  <c r="AX13"/>
  <c r="AX10" s="1"/>
  <c r="AP435"/>
  <c r="AO434"/>
  <c r="AT434"/>
  <c r="AO432"/>
  <c r="AT432"/>
  <c r="AP430"/>
  <c r="AO429"/>
  <c r="AP426"/>
  <c r="AO425"/>
  <c r="AP423"/>
  <c r="AP420"/>
  <c r="AP410"/>
  <c r="AO400"/>
  <c r="AO394"/>
  <c r="AP392"/>
  <c r="AP390"/>
  <c r="AP388"/>
  <c r="AP386"/>
  <c r="AT345"/>
  <c r="AO344"/>
  <c r="J86" i="4"/>
  <c r="AO282" i="1"/>
  <c r="AT282"/>
  <c r="AO280"/>
  <c r="AP279"/>
  <c r="AP278"/>
  <c r="AP276"/>
  <c r="AP267"/>
  <c r="AT267"/>
  <c r="AP251"/>
  <c r="AT251"/>
  <c r="AP241"/>
  <c r="AT241"/>
  <c r="AP215"/>
  <c r="AO214"/>
  <c r="AT214" s="1"/>
  <c r="AP211"/>
  <c r="AO210"/>
  <c r="AT210" s="1"/>
  <c r="AP208"/>
  <c r="AO206"/>
  <c r="AO201"/>
  <c r="AT201" s="1"/>
  <c r="AP195"/>
  <c r="AT195" s="1"/>
  <c r="AP184"/>
  <c r="AT184" s="1"/>
  <c r="AP182"/>
  <c r="AP180"/>
  <c r="AO176"/>
  <c r="AP174"/>
  <c r="AT174"/>
  <c r="AP150"/>
  <c r="AT150" s="1"/>
  <c r="S62" i="35"/>
  <c r="AP133" i="1"/>
  <c r="AT133"/>
  <c r="AP128"/>
  <c r="AT128" s="1"/>
  <c r="AP127"/>
  <c r="AT127" s="1"/>
  <c r="AP125"/>
  <c r="AT125" s="1"/>
  <c r="AO121"/>
  <c r="AT121" s="1"/>
  <c r="AO120"/>
  <c r="D42" i="4"/>
  <c r="D42" i="8" s="1"/>
  <c r="AP15" i="1"/>
  <c r="AO14"/>
  <c r="B46" i="30"/>
  <c r="D46"/>
  <c r="E45"/>
  <c r="K45"/>
  <c r="B107"/>
  <c r="E106"/>
  <c r="AO521" i="1"/>
  <c r="AT521" s="1"/>
  <c r="AP519"/>
  <c r="AO518"/>
  <c r="AT518" s="1"/>
  <c r="AP516"/>
  <c r="AT516" s="1"/>
  <c r="AP514"/>
  <c r="AT514" s="1"/>
  <c r="AP511"/>
  <c r="AO510"/>
  <c r="AP508"/>
  <c r="AT508" s="1"/>
  <c r="AO507"/>
  <c r="AP505"/>
  <c r="AT505" s="1"/>
  <c r="AO504"/>
  <c r="AT504" s="1"/>
  <c r="AP501"/>
  <c r="AT501" s="1"/>
  <c r="AP499"/>
  <c r="AT499" s="1"/>
  <c r="AO496"/>
  <c r="AT496" s="1"/>
  <c r="AP494"/>
  <c r="AT494" s="1"/>
  <c r="AP492"/>
  <c r="AO491"/>
  <c r="AP489"/>
  <c r="AT489" s="1"/>
  <c r="AO488"/>
  <c r="AT488" s="1"/>
  <c r="AP486"/>
  <c r="AT486" s="1"/>
  <c r="AO485"/>
  <c r="AP483"/>
  <c r="AT483" s="1"/>
  <c r="AP480"/>
  <c r="AO479"/>
  <c r="AT479" s="1"/>
  <c r="AP477"/>
  <c r="AT477" s="1"/>
  <c r="AP475"/>
  <c r="AT475" s="1"/>
  <c r="AO474"/>
  <c r="AT474" s="1"/>
  <c r="AP472"/>
  <c r="AO471"/>
  <c r="AT471" s="1"/>
  <c r="AP469"/>
  <c r="AO468"/>
  <c r="AP466"/>
  <c r="AT466" s="1"/>
  <c r="AO465"/>
  <c r="AT465" s="1"/>
  <c r="AP463"/>
  <c r="AT463" s="1"/>
  <c r="AO462"/>
  <c r="AP460"/>
  <c r="AT460" s="1"/>
  <c r="AP457"/>
  <c r="AO456"/>
  <c r="AT456" s="1"/>
  <c r="AP453"/>
  <c r="AP451"/>
  <c r="AP449"/>
  <c r="AT449"/>
  <c r="AO448"/>
  <c r="AT448" s="1"/>
  <c r="AO445"/>
  <c r="AO444"/>
  <c r="AT444" s="1"/>
  <c r="AP442"/>
  <c r="AO441"/>
  <c r="AP439"/>
  <c r="AP436"/>
  <c r="AO435"/>
  <c r="AP433"/>
  <c r="AO430"/>
  <c r="AP427"/>
  <c r="AO426"/>
  <c r="AT426" s="1"/>
  <c r="AP424"/>
  <c r="AO423"/>
  <c r="AO420"/>
  <c r="AP418"/>
  <c r="AO417"/>
  <c r="AP416"/>
  <c r="AT416" s="1"/>
  <c r="AP414"/>
  <c r="AT414"/>
  <c r="AO413"/>
  <c r="AO410"/>
  <c r="AT410" s="1"/>
  <c r="AO401"/>
  <c r="AO397"/>
  <c r="AP395"/>
  <c r="AO392"/>
  <c r="AT392" s="1"/>
  <c r="AO390"/>
  <c r="AO388"/>
  <c r="AT388" s="1"/>
  <c r="AO386"/>
  <c r="AP382"/>
  <c r="AT382" s="1"/>
  <c r="AP330"/>
  <c r="AT330" s="1"/>
  <c r="AP329"/>
  <c r="AT329" s="1"/>
  <c r="AP328"/>
  <c r="AP327"/>
  <c r="AO279"/>
  <c r="AT279" s="1"/>
  <c r="AO278"/>
  <c r="AT278" s="1"/>
  <c r="AO276"/>
  <c r="AT276" s="1"/>
  <c r="AP273"/>
  <c r="AP272"/>
  <c r="AO271"/>
  <c r="AT271" s="1"/>
  <c r="AP259"/>
  <c r="AT259" s="1"/>
  <c r="AP243"/>
  <c r="AT243"/>
  <c r="AP237"/>
  <c r="AT237"/>
  <c r="AP235"/>
  <c r="AT235"/>
  <c r="AP232"/>
  <c r="AT232"/>
  <c r="AP227"/>
  <c r="AT227"/>
  <c r="AP225"/>
  <c r="AT225"/>
  <c r="AP224"/>
  <c r="AT224"/>
  <c r="AO215"/>
  <c r="AP212"/>
  <c r="AT212" s="1"/>
  <c r="AO211"/>
  <c r="AT211" s="1"/>
  <c r="AO208"/>
  <c r="AT208" s="1"/>
  <c r="AP204"/>
  <c r="AT204" s="1"/>
  <c r="AO203"/>
  <c r="AT203" s="1"/>
  <c r="AP199"/>
  <c r="AT199" s="1"/>
  <c r="AP193"/>
  <c r="AP190"/>
  <c r="AT190"/>
  <c r="AP186"/>
  <c r="AT186"/>
  <c r="AP183"/>
  <c r="AT183"/>
  <c r="AO182"/>
  <c r="AO180"/>
  <c r="AP178"/>
  <c r="AP142"/>
  <c r="AT142" s="1"/>
  <c r="AP140"/>
  <c r="AT140" s="1"/>
  <c r="AP139"/>
  <c r="AT139" s="1"/>
  <c r="AO15"/>
  <c r="AP198"/>
  <c r="AT198" s="1"/>
  <c r="AP179"/>
  <c r="H107" i="30"/>
  <c r="AS116" i="1"/>
  <c r="J57" i="7"/>
  <c r="K75" i="4"/>
  <c r="K76"/>
  <c r="K76" i="8" s="1"/>
  <c r="K77" i="4"/>
  <c r="K77" i="8" s="1"/>
  <c r="AP446" i="1"/>
  <c r="AT446" s="1"/>
  <c r="AP443"/>
  <c r="AT443" s="1"/>
  <c r="AO442"/>
  <c r="AT442" s="1"/>
  <c r="AO439"/>
  <c r="AP437"/>
  <c r="AO436"/>
  <c r="AP431"/>
  <c r="AT431" s="1"/>
  <c r="AP428"/>
  <c r="AO427"/>
  <c r="AO421"/>
  <c r="AO418"/>
  <c r="AP411"/>
  <c r="AO398"/>
  <c r="AO395"/>
  <c r="AT395" s="1"/>
  <c r="AP393"/>
  <c r="AP384"/>
  <c r="AP366"/>
  <c r="AT366" s="1"/>
  <c r="AO328"/>
  <c r="AT328"/>
  <c r="AO327"/>
  <c r="AT327"/>
  <c r="AP274"/>
  <c r="AT274"/>
  <c r="AO273"/>
  <c r="AT273"/>
  <c r="AP269"/>
  <c r="AT269"/>
  <c r="AP266"/>
  <c r="AT266"/>
  <c r="AP264"/>
  <c r="AT264" s="1"/>
  <c r="AP261"/>
  <c r="AT261" s="1"/>
  <c r="AP216"/>
  <c r="AP209"/>
  <c r="AP207"/>
  <c r="AP205"/>
  <c r="AP173"/>
  <c r="AT173" s="1"/>
  <c r="AP65"/>
  <c r="AT65" s="1"/>
  <c r="AP56"/>
  <c r="AO179"/>
  <c r="E100" i="30"/>
  <c r="K107"/>
  <c r="H18"/>
  <c r="K94"/>
  <c r="E94"/>
  <c r="H94"/>
  <c r="H95" s="1"/>
  <c r="N30"/>
  <c r="AO396" i="1"/>
  <c r="AO384"/>
  <c r="AT384" s="1"/>
  <c r="AP344"/>
  <c r="AP280"/>
  <c r="AP244"/>
  <c r="AT244" s="1"/>
  <c r="AO216"/>
  <c r="AO209"/>
  <c r="AT209"/>
  <c r="AP206"/>
  <c r="AO205"/>
  <c r="AP151"/>
  <c r="AT151"/>
  <c r="S63" i="35"/>
  <c r="AP135" i="1"/>
  <c r="AT135" s="1"/>
  <c r="AP120"/>
  <c r="AT60"/>
  <c r="AP14"/>
  <c r="E18" i="30"/>
  <c r="H46"/>
  <c r="E17"/>
  <c r="B18"/>
  <c r="B19"/>
  <c r="B100"/>
  <c r="K100"/>
  <c r="E99"/>
  <c r="H99"/>
  <c r="N99" s="1"/>
  <c r="AO706" i="1"/>
  <c r="AO708"/>
  <c r="AO710"/>
  <c r="AO712"/>
  <c r="AO714"/>
  <c r="AO582"/>
  <c r="AO584"/>
  <c r="AO586"/>
  <c r="AP337"/>
  <c r="AT337" s="1"/>
  <c r="AS41"/>
  <c r="AA94"/>
  <c r="AP94" s="1"/>
  <c r="AA98"/>
  <c r="AP706"/>
  <c r="AP708"/>
  <c r="AP710"/>
  <c r="AP712"/>
  <c r="AP714"/>
  <c r="V402" i="27"/>
  <c r="V404"/>
  <c r="V406"/>
  <c r="V408"/>
  <c r="V640"/>
  <c r="AP569" i="1"/>
  <c r="AT569" s="1"/>
  <c r="AP580"/>
  <c r="AT580" s="1"/>
  <c r="AP582"/>
  <c r="AP584"/>
  <c r="AP586"/>
  <c r="M67" i="7"/>
  <c r="AA95" i="1"/>
  <c r="G13" i="4" s="1"/>
  <c r="M13" s="1"/>
  <c r="AA403" i="1"/>
  <c r="AA405"/>
  <c r="AP405" s="1"/>
  <c r="AA407"/>
  <c r="AA409"/>
  <c r="Z761"/>
  <c r="G88" i="29" s="1"/>
  <c r="G90" s="1"/>
  <c r="AO705" i="1"/>
  <c r="AO707"/>
  <c r="AO709"/>
  <c r="AO711"/>
  <c r="AO713"/>
  <c r="AO715"/>
  <c r="AO704"/>
  <c r="AO408"/>
  <c r="AV408"/>
  <c r="AV13"/>
  <c r="AV12" s="1"/>
  <c r="AP572"/>
  <c r="AT572" s="1"/>
  <c r="Y273" i="31"/>
  <c r="X273"/>
  <c r="X300"/>
  <c r="Y300"/>
  <c r="AO581" i="1"/>
  <c r="AT581" s="1"/>
  <c r="AO583"/>
  <c r="AO585"/>
  <c r="AT585"/>
  <c r="AO587"/>
  <c r="N67" i="7"/>
  <c r="N69" s="1"/>
  <c r="K82" i="4"/>
  <c r="AS29" i="1"/>
  <c r="AS49"/>
  <c r="AA96"/>
  <c r="AA100"/>
  <c r="AP100" s="1"/>
  <c r="AT100" s="1"/>
  <c r="Z402"/>
  <c r="AP707"/>
  <c r="AP709"/>
  <c r="AP711"/>
  <c r="AP713"/>
  <c r="AP715"/>
  <c r="AP408"/>
  <c r="V403" i="27"/>
  <c r="V405"/>
  <c r="V407"/>
  <c r="V409"/>
  <c r="V667"/>
  <c r="AP581" i="1"/>
  <c r="AP583"/>
  <c r="AT583" s="1"/>
  <c r="AP585"/>
  <c r="AP587"/>
  <c r="AA97"/>
  <c r="AA101"/>
  <c r="G22" i="4" s="1"/>
  <c r="AA402" i="1"/>
  <c r="AP402" s="1"/>
  <c r="AA404"/>
  <c r="AP404" s="1"/>
  <c r="AA406"/>
  <c r="AP29"/>
  <c r="AT29" s="1"/>
  <c r="AP30"/>
  <c r="AT30" s="1"/>
  <c r="AP38"/>
  <c r="AT38" s="1"/>
  <c r="AP42"/>
  <c r="AT42" s="1"/>
  <c r="AP46"/>
  <c r="AT46" s="1"/>
  <c r="AP228"/>
  <c r="AT228" s="1"/>
  <c r="AO72"/>
  <c r="AT72" s="1"/>
  <c r="AO76"/>
  <c r="AT76" s="1"/>
  <c r="AO80"/>
  <c r="AT80" s="1"/>
  <c r="AO84"/>
  <c r="AT84"/>
  <c r="AO88"/>
  <c r="AT88"/>
  <c r="AO105"/>
  <c r="AT105" s="1"/>
  <c r="AO109"/>
  <c r="AT109" s="1"/>
  <c r="AO145"/>
  <c r="AT145" s="1"/>
  <c r="AO152"/>
  <c r="AT152" s="1"/>
  <c r="AO156"/>
  <c r="AT156" s="1"/>
  <c r="AO161"/>
  <c r="AT161" s="1"/>
  <c r="AO165"/>
  <c r="AT165" s="1"/>
  <c r="AO169"/>
  <c r="AT169" s="1"/>
  <c r="AO185"/>
  <c r="AT185" s="1"/>
  <c r="AO219"/>
  <c r="AT219" s="1"/>
  <c r="AO230"/>
  <c r="AT230" s="1"/>
  <c r="AO240"/>
  <c r="AT240" s="1"/>
  <c r="AO248"/>
  <c r="AT248" s="1"/>
  <c r="AO254"/>
  <c r="AT254" s="1"/>
  <c r="AO295"/>
  <c r="AT295" s="1"/>
  <c r="AO299"/>
  <c r="AT299" s="1"/>
  <c r="AO303"/>
  <c r="AT303" s="1"/>
  <c r="AO307"/>
  <c r="AT307" s="1"/>
  <c r="AO311"/>
  <c r="AT311" s="1"/>
  <c r="AO315"/>
  <c r="AT315" s="1"/>
  <c r="AO319"/>
  <c r="AT319" s="1"/>
  <c r="AO324"/>
  <c r="AT324" s="1"/>
  <c r="AO332"/>
  <c r="AT332" s="1"/>
  <c r="AO336"/>
  <c r="AT336" s="1"/>
  <c r="AO341"/>
  <c r="AT341" s="1"/>
  <c r="AO347"/>
  <c r="AT347" s="1"/>
  <c r="AO351"/>
  <c r="AT351" s="1"/>
  <c r="AO355"/>
  <c r="AT355" s="1"/>
  <c r="AO359"/>
  <c r="AT359" s="1"/>
  <c r="AO363"/>
  <c r="AT363" s="1"/>
  <c r="AO371"/>
  <c r="AT371" s="1"/>
  <c r="AO375"/>
  <c r="AT375" s="1"/>
  <c r="AO379"/>
  <c r="AT379" s="1"/>
  <c r="AO575"/>
  <c r="AT575" s="1"/>
  <c r="AO832"/>
  <c r="AO838"/>
  <c r="AT838" s="1"/>
  <c r="AO846"/>
  <c r="AT846" s="1"/>
  <c r="AO861"/>
  <c r="AT861" s="1"/>
  <c r="AO865"/>
  <c r="AT865" s="1"/>
  <c r="AO887"/>
  <c r="AT887" s="1"/>
  <c r="Z403"/>
  <c r="AO403" s="1"/>
  <c r="Z407"/>
  <c r="AP409"/>
  <c r="AP31"/>
  <c r="AT31"/>
  <c r="AP39"/>
  <c r="AT39"/>
  <c r="AP43"/>
  <c r="AT43"/>
  <c r="AP47"/>
  <c r="AT47"/>
  <c r="AP51"/>
  <c r="AT51"/>
  <c r="AO73"/>
  <c r="AT73" s="1"/>
  <c r="AO77"/>
  <c r="AT77" s="1"/>
  <c r="AO81"/>
  <c r="AT81" s="1"/>
  <c r="AO85"/>
  <c r="AT85" s="1"/>
  <c r="AO89"/>
  <c r="AT89" s="1"/>
  <c r="AO106"/>
  <c r="AT106" s="1"/>
  <c r="AO110"/>
  <c r="AT110"/>
  <c r="AO123"/>
  <c r="AT123"/>
  <c r="AO131"/>
  <c r="AT131"/>
  <c r="AO138"/>
  <c r="AT138"/>
  <c r="AO147"/>
  <c r="AT147" s="1"/>
  <c r="AO153"/>
  <c r="AT153" s="1"/>
  <c r="AO157"/>
  <c r="AT157" s="1"/>
  <c r="AO162"/>
  <c r="AT162" s="1"/>
  <c r="AO166"/>
  <c r="AT166" s="1"/>
  <c r="AO170"/>
  <c r="AT170" s="1"/>
  <c r="AO188"/>
  <c r="AT188" s="1"/>
  <c r="AO221"/>
  <c r="AT221" s="1"/>
  <c r="AO231"/>
  <c r="AT231" s="1"/>
  <c r="AO245"/>
  <c r="AT245" s="1"/>
  <c r="AO249"/>
  <c r="AT249" s="1"/>
  <c r="AO255"/>
  <c r="AT255" s="1"/>
  <c r="AO291"/>
  <c r="AT291"/>
  <c r="AO296"/>
  <c r="AT296" s="1"/>
  <c r="AO300"/>
  <c r="AT300" s="1"/>
  <c r="AO304"/>
  <c r="AT304" s="1"/>
  <c r="AO308"/>
  <c r="AT308" s="1"/>
  <c r="AO312"/>
  <c r="AT312" s="1"/>
  <c r="AO316"/>
  <c r="AT316" s="1"/>
  <c r="AO320"/>
  <c r="AT320" s="1"/>
  <c r="AO325"/>
  <c r="AT325" s="1"/>
  <c r="AO333"/>
  <c r="AT333" s="1"/>
  <c r="AO338"/>
  <c r="AT338" s="1"/>
  <c r="AO342"/>
  <c r="AT342" s="1"/>
  <c r="AO348"/>
  <c r="AT348" s="1"/>
  <c r="AO352"/>
  <c r="AT352" s="1"/>
  <c r="AO356"/>
  <c r="AT356" s="1"/>
  <c r="AO360"/>
  <c r="AT360" s="1"/>
  <c r="AO368"/>
  <c r="AT368" s="1"/>
  <c r="AO372"/>
  <c r="AT372" s="1"/>
  <c r="AO376"/>
  <c r="AT376" s="1"/>
  <c r="AO415"/>
  <c r="AT415" s="1"/>
  <c r="AO579"/>
  <c r="AT579"/>
  <c r="AO833"/>
  <c r="AT833" s="1"/>
  <c r="AO839"/>
  <c r="AT839" s="1"/>
  <c r="AO858"/>
  <c r="AT858" s="1"/>
  <c r="AO862"/>
  <c r="AT862"/>
  <c r="AO866"/>
  <c r="AT866"/>
  <c r="AO18"/>
  <c r="AT18"/>
  <c r="AP98"/>
  <c r="AT98"/>
  <c r="AO402"/>
  <c r="Z404"/>
  <c r="AO404" s="1"/>
  <c r="Z409"/>
  <c r="AO409" s="1"/>
  <c r="V402" i="20"/>
  <c r="AP27" i="1"/>
  <c r="AT27" s="1"/>
  <c r="AP32"/>
  <c r="AT32" s="1"/>
  <c r="AP40"/>
  <c r="AT40" s="1"/>
  <c r="AP44"/>
  <c r="AT44" s="1"/>
  <c r="AP48"/>
  <c r="AT48" s="1"/>
  <c r="AP52"/>
  <c r="AT52" s="1"/>
  <c r="AP53"/>
  <c r="AT53" s="1"/>
  <c r="AO55"/>
  <c r="AT55" s="1"/>
  <c r="AO74"/>
  <c r="AT74" s="1"/>
  <c r="AO78"/>
  <c r="AT78" s="1"/>
  <c r="AO82"/>
  <c r="AT82" s="1"/>
  <c r="AO86"/>
  <c r="AT86" s="1"/>
  <c r="AO103"/>
  <c r="AT103" s="1"/>
  <c r="AO107"/>
  <c r="AT107" s="1"/>
  <c r="AO111"/>
  <c r="AT111" s="1"/>
  <c r="AO124"/>
  <c r="AT124" s="1"/>
  <c r="AO134"/>
  <c r="AT134" s="1"/>
  <c r="AO141"/>
  <c r="AT141" s="1"/>
  <c r="AO148"/>
  <c r="AT148" s="1"/>
  <c r="AO154"/>
  <c r="AT154" s="1"/>
  <c r="AO158"/>
  <c r="AT158" s="1"/>
  <c r="AO163"/>
  <c r="AT163" s="1"/>
  <c r="AO167"/>
  <c r="AT167" s="1"/>
  <c r="AO171"/>
  <c r="AT171" s="1"/>
  <c r="AO189"/>
  <c r="AT189" s="1"/>
  <c r="AO223"/>
  <c r="AT223" s="1"/>
  <c r="AO236"/>
  <c r="AT236" s="1"/>
  <c r="AO246"/>
  <c r="AT246" s="1"/>
  <c r="AO250"/>
  <c r="AT250" s="1"/>
  <c r="AO256"/>
  <c r="AT256" s="1"/>
  <c r="AO292"/>
  <c r="AT292" s="1"/>
  <c r="AO297"/>
  <c r="AT297" s="1"/>
  <c r="AO301"/>
  <c r="AT301" s="1"/>
  <c r="AO305"/>
  <c r="AT305" s="1"/>
  <c r="AO309"/>
  <c r="AT309" s="1"/>
  <c r="AO313"/>
  <c r="AT313" s="1"/>
  <c r="AO317"/>
  <c r="AT317" s="1"/>
  <c r="AO321"/>
  <c r="AT321" s="1"/>
  <c r="AO326"/>
  <c r="AT326" s="1"/>
  <c r="AO334"/>
  <c r="AT334" s="1"/>
  <c r="AO339"/>
  <c r="AT339" s="1"/>
  <c r="AO343"/>
  <c r="AT343" s="1"/>
  <c r="AO349"/>
  <c r="AT349" s="1"/>
  <c r="AO353"/>
  <c r="AT353" s="1"/>
  <c r="AO357"/>
  <c r="AT357" s="1"/>
  <c r="AO361"/>
  <c r="AT361" s="1"/>
  <c r="AO369"/>
  <c r="AT369" s="1"/>
  <c r="AO373"/>
  <c r="AT373" s="1"/>
  <c r="AO377"/>
  <c r="AT377" s="1"/>
  <c r="AO573"/>
  <c r="AT573" s="1"/>
  <c r="AO604"/>
  <c r="AT604" s="1"/>
  <c r="AO834"/>
  <c r="AT834" s="1"/>
  <c r="AO840"/>
  <c r="AT840" s="1"/>
  <c r="AO859"/>
  <c r="AT859" s="1"/>
  <c r="AO863"/>
  <c r="AT863" s="1"/>
  <c r="AO867"/>
  <c r="AT867" s="1"/>
  <c r="AO21"/>
  <c r="AT21" s="1"/>
  <c r="AP97"/>
  <c r="AT97" s="1"/>
  <c r="Z405"/>
  <c r="AO405" s="1"/>
  <c r="AT405" s="1"/>
  <c r="AP406"/>
  <c r="AO407"/>
  <c r="AP28"/>
  <c r="AT28"/>
  <c r="AP33"/>
  <c r="AT33"/>
  <c r="AP34"/>
  <c r="AT34"/>
  <c r="AP35"/>
  <c r="AT35"/>
  <c r="AP36"/>
  <c r="AT36"/>
  <c r="AP37"/>
  <c r="AT37"/>
  <c r="AP41"/>
  <c r="AT41"/>
  <c r="AP45"/>
  <c r="AT45"/>
  <c r="AP49"/>
  <c r="AT49"/>
  <c r="AO71"/>
  <c r="AT71"/>
  <c r="AO75"/>
  <c r="AT75"/>
  <c r="AO79"/>
  <c r="AT79"/>
  <c r="AO83"/>
  <c r="AT83" s="1"/>
  <c r="AO87"/>
  <c r="AT87" s="1"/>
  <c r="AO104"/>
  <c r="AT104" s="1"/>
  <c r="AO108"/>
  <c r="AT108" s="1"/>
  <c r="AO112"/>
  <c r="AT112" s="1"/>
  <c r="AO126"/>
  <c r="AT126" s="1"/>
  <c r="AO136"/>
  <c r="AT136" s="1"/>
  <c r="AO144"/>
  <c r="AT144" s="1"/>
  <c r="AO149"/>
  <c r="AO155"/>
  <c r="AT155" s="1"/>
  <c r="AO159"/>
  <c r="AT159" s="1"/>
  <c r="AO164"/>
  <c r="AT164" s="1"/>
  <c r="AO168"/>
  <c r="AT168" s="1"/>
  <c r="AO172"/>
  <c r="AT172" s="1"/>
  <c r="AO196"/>
  <c r="AT196" s="1"/>
  <c r="AO229"/>
  <c r="AT229" s="1"/>
  <c r="AO239"/>
  <c r="AT239" s="1"/>
  <c r="AO247"/>
  <c r="AT247" s="1"/>
  <c r="AO253"/>
  <c r="AT253" s="1"/>
  <c r="AO283"/>
  <c r="AT283" s="1"/>
  <c r="AO294"/>
  <c r="AT294" s="1"/>
  <c r="AO298"/>
  <c r="AT298" s="1"/>
  <c r="AO302"/>
  <c r="AT302" s="1"/>
  <c r="AO306"/>
  <c r="AT306" s="1"/>
  <c r="AO310"/>
  <c r="AT310" s="1"/>
  <c r="AO314"/>
  <c r="AT314" s="1"/>
  <c r="AO318"/>
  <c r="AT318" s="1"/>
  <c r="AO323"/>
  <c r="AT323" s="1"/>
  <c r="AO331"/>
  <c r="AT331" s="1"/>
  <c r="AO335"/>
  <c r="AT335" s="1"/>
  <c r="AO340"/>
  <c r="AT340" s="1"/>
  <c r="AO346"/>
  <c r="AT346" s="1"/>
  <c r="AO350"/>
  <c r="AT350" s="1"/>
  <c r="AO354"/>
  <c r="AT354" s="1"/>
  <c r="AO358"/>
  <c r="AT358" s="1"/>
  <c r="AO362"/>
  <c r="AT362"/>
  <c r="AO370"/>
  <c r="AT370"/>
  <c r="AO374"/>
  <c r="AT374"/>
  <c r="AO378"/>
  <c r="AT378"/>
  <c r="AO574"/>
  <c r="AT574"/>
  <c r="AO608"/>
  <c r="AT608"/>
  <c r="AO837"/>
  <c r="AT837"/>
  <c r="AO841"/>
  <c r="AT841"/>
  <c r="AO860"/>
  <c r="AT860"/>
  <c r="AO864"/>
  <c r="AT864"/>
  <c r="AO884"/>
  <c r="AT884" s="1"/>
  <c r="AO23"/>
  <c r="AT23" s="1"/>
  <c r="AP96"/>
  <c r="AT96" s="1"/>
  <c r="AP101"/>
  <c r="AT101" s="1"/>
  <c r="AP403"/>
  <c r="Z406"/>
  <c r="AO406" s="1"/>
  <c r="AT406" s="1"/>
  <c r="AP407"/>
  <c r="AT713"/>
  <c r="AT582"/>
  <c r="AT712"/>
  <c r="K19" i="30"/>
  <c r="B20"/>
  <c r="AT120" i="1"/>
  <c r="AT206"/>
  <c r="AT280"/>
  <c r="AT836"/>
  <c r="K79" i="8"/>
  <c r="AT703" i="1"/>
  <c r="AT553"/>
  <c r="AT481"/>
  <c r="J107" i="30"/>
  <c r="AT781" i="1"/>
  <c r="AT808"/>
  <c r="AO761"/>
  <c r="M10" i="4"/>
  <c r="K61"/>
  <c r="J74" i="8"/>
  <c r="M56" i="4"/>
  <c r="M94" i="30"/>
  <c r="R82" i="35"/>
  <c r="R68"/>
  <c r="U89"/>
  <c r="U69"/>
  <c r="O88"/>
  <c r="R118" s="1"/>
  <c r="U68"/>
  <c r="U108"/>
  <c r="U118"/>
  <c r="U86"/>
  <c r="U107"/>
  <c r="P75" i="29"/>
  <c r="P75" i="30" s="1"/>
  <c r="P76" s="1"/>
  <c r="U98" i="35"/>
  <c r="P114" i="29"/>
  <c r="P114" i="30" s="1"/>
  <c r="U113" i="35"/>
  <c r="P77" i="29"/>
  <c r="P77" i="30" s="1"/>
  <c r="U74" i="35"/>
  <c r="R71"/>
  <c r="P20"/>
  <c r="O20" s="1"/>
  <c r="S40"/>
  <c r="R40" s="1"/>
  <c r="S20"/>
  <c r="R20" s="1"/>
  <c r="P64"/>
  <c r="O64" s="1"/>
  <c r="S64"/>
  <c r="R64" s="1"/>
  <c r="R28"/>
  <c r="S28" s="1"/>
  <c r="U105"/>
  <c r="U83"/>
  <c r="R85"/>
  <c r="U77"/>
  <c r="O85"/>
  <c r="R115" s="1"/>
  <c r="O74"/>
  <c r="R104" s="1"/>
  <c r="S67"/>
  <c r="R67" s="1"/>
  <c r="U78"/>
  <c r="U102"/>
  <c r="P67"/>
  <c r="O67" s="1"/>
  <c r="P55" i="29"/>
  <c r="P55" i="30" s="1"/>
  <c r="V117" i="35"/>
  <c r="U104"/>
  <c r="V114"/>
  <c r="O77"/>
  <c r="R107" s="1"/>
  <c r="P66" i="4"/>
  <c r="P66" i="8" s="1"/>
  <c r="P32" i="29"/>
  <c r="P32" i="30" s="1"/>
  <c r="P54" i="29"/>
  <c r="P54" i="30" s="1"/>
  <c r="U101" i="35"/>
  <c r="U72"/>
  <c r="R74"/>
  <c r="U119"/>
  <c r="P115" i="29"/>
  <c r="P115" i="30" s="1"/>
  <c r="P67" i="4"/>
  <c r="P67" i="8" s="1"/>
  <c r="U88" i="35"/>
  <c r="R88"/>
  <c r="P30" i="29"/>
  <c r="P30" i="30" s="1"/>
  <c r="P31" s="1"/>
  <c r="O28" i="35"/>
  <c r="P28" s="1"/>
  <c r="O34"/>
  <c r="P34" s="1"/>
  <c r="P40"/>
  <c r="O40" s="1"/>
  <c r="O52"/>
  <c r="P52" s="1"/>
  <c r="R52"/>
  <c r="S52" s="1"/>
  <c r="R34"/>
  <c r="S34" s="1"/>
  <c r="U82"/>
  <c r="R77"/>
  <c r="U112"/>
  <c r="U71"/>
  <c r="O82"/>
  <c r="P91" s="1"/>
  <c r="U115"/>
  <c r="O71"/>
  <c r="R101" s="1"/>
  <c r="O68"/>
  <c r="U75"/>
  <c r="U85"/>
  <c r="U99"/>
  <c r="U116"/>
  <c r="D18" i="30"/>
  <c r="AT453" i="1"/>
  <c r="D66" i="29"/>
  <c r="M64"/>
  <c r="D64" i="30"/>
  <c r="AT519" i="1"/>
  <c r="M69" i="29"/>
  <c r="D69" i="30"/>
  <c r="D13"/>
  <c r="D26"/>
  <c r="M26"/>
  <c r="M26" i="29"/>
  <c r="D32" i="30"/>
  <c r="M32" s="1"/>
  <c r="M32" i="29"/>
  <c r="D43" i="8"/>
  <c r="M63"/>
  <c r="J68"/>
  <c r="J35" i="30"/>
  <c r="J38" i="29"/>
  <c r="G19" i="30"/>
  <c r="M36" i="29"/>
  <c r="D36" i="30"/>
  <c r="M36"/>
  <c r="AA273" i="31"/>
  <c r="AT408" i="1"/>
  <c r="AT711"/>
  <c r="G15" i="4"/>
  <c r="G15" i="8" s="1"/>
  <c r="M15" s="1"/>
  <c r="AT710" i="1"/>
  <c r="K18" i="30"/>
  <c r="N18" s="1"/>
  <c r="AT178" i="1"/>
  <c r="O18" i="36"/>
  <c r="N45" i="30"/>
  <c r="AT603" i="1"/>
  <c r="AT814"/>
  <c r="AT876"/>
  <c r="AT782"/>
  <c r="J18" i="30"/>
  <c r="AT776" i="1"/>
  <c r="M70" i="8"/>
  <c r="D102" i="29"/>
  <c r="M98"/>
  <c r="D98" i="30"/>
  <c r="D55"/>
  <c r="D58" i="29"/>
  <c r="AT511" i="1"/>
  <c r="D68" i="30"/>
  <c r="D70" i="29"/>
  <c r="AT638" i="1"/>
  <c r="D46" i="4"/>
  <c r="J79" i="30"/>
  <c r="N81" i="4"/>
  <c r="Q81" i="8"/>
  <c r="J101"/>
  <c r="J93"/>
  <c r="J104"/>
  <c r="L59" i="39" s="1"/>
  <c r="L58" s="1"/>
  <c r="B33" i="36"/>
  <c r="N33"/>
  <c r="AT832" i="1"/>
  <c r="AT709"/>
  <c r="AT586"/>
  <c r="AT708"/>
  <c r="B101" i="30"/>
  <c r="H100"/>
  <c r="J100"/>
  <c r="D100"/>
  <c r="G100"/>
  <c r="AP908" i="1"/>
  <c r="AT56"/>
  <c r="AP907"/>
  <c r="AT436"/>
  <c r="K75" i="8"/>
  <c r="AT423" i="1"/>
  <c r="AT430"/>
  <c r="AT445"/>
  <c r="N106" i="30"/>
  <c r="B47"/>
  <c r="E46"/>
  <c r="G46"/>
  <c r="J86" i="8"/>
  <c r="J84" i="4"/>
  <c r="J87"/>
  <c r="M86"/>
  <c r="O39" i="36"/>
  <c r="AT762" i="1"/>
  <c r="AT820"/>
  <c r="AT642"/>
  <c r="AT804"/>
  <c r="AT857"/>
  <c r="M37" i="29"/>
  <c r="D37" i="30"/>
  <c r="M101" i="29"/>
  <c r="AT877" i="1"/>
  <c r="M107" i="29"/>
  <c r="D107" i="30"/>
  <c r="J68"/>
  <c r="J70" s="1"/>
  <c r="J46"/>
  <c r="G20"/>
  <c r="D19"/>
  <c r="AT524" i="1"/>
  <c r="D27" i="29"/>
  <c r="D24" i="30"/>
  <c r="H40" i="8"/>
  <c r="M8" i="36"/>
  <c r="G6" i="4"/>
  <c r="G6" i="8" s="1"/>
  <c r="R8" i="36"/>
  <c r="M6"/>
  <c r="D83" i="30"/>
  <c r="D85" i="29"/>
  <c r="M83"/>
  <c r="AT759" i="1"/>
  <c r="M61" i="8"/>
  <c r="N10"/>
  <c r="N61"/>
  <c r="AT149" i="1"/>
  <c r="AP910"/>
  <c r="G45" i="29"/>
  <c r="G45" i="30" s="1"/>
  <c r="AT587" i="1"/>
  <c r="AT715"/>
  <c r="AT707"/>
  <c r="AT584"/>
  <c r="AT714"/>
  <c r="AT706"/>
  <c r="N94" i="30"/>
  <c r="AT179" i="1"/>
  <c r="O19" i="36"/>
  <c r="B19" s="1"/>
  <c r="B108" i="30"/>
  <c r="D108"/>
  <c r="E107"/>
  <c r="N107" s="1"/>
  <c r="G107"/>
  <c r="AT344" i="1"/>
  <c r="M108" i="29"/>
  <c r="D15" i="30"/>
  <c r="M15" i="29"/>
  <c r="B80" i="8"/>
  <c r="J79"/>
  <c r="E79"/>
  <c r="H79"/>
  <c r="AT882" i="1"/>
  <c r="AT878"/>
  <c r="M50" i="29"/>
  <c r="AT596" i="1"/>
  <c r="AT796"/>
  <c r="D79" i="8"/>
  <c r="D106" i="30"/>
  <c r="K46"/>
  <c r="N46" s="1"/>
  <c r="D101" i="4"/>
  <c r="D104"/>
  <c r="E93"/>
  <c r="D92" i="8"/>
  <c r="D104" s="1"/>
  <c r="D59" i="39" s="1"/>
  <c r="D58" s="1"/>
  <c r="J98" i="30"/>
  <c r="J102" i="29"/>
  <c r="H37" i="8"/>
  <c r="H35" s="1"/>
  <c r="H35" i="4"/>
  <c r="G18" i="30"/>
  <c r="M51" i="29"/>
  <c r="J66"/>
  <c r="J64" i="30"/>
  <c r="J66" s="1"/>
  <c r="D65"/>
  <c r="M65" s="1"/>
  <c r="M65" i="29"/>
  <c r="M66" s="1"/>
  <c r="A564" i="1"/>
  <c r="N564"/>
  <c r="AJ564"/>
  <c r="N563"/>
  <c r="AJ563"/>
  <c r="AT618"/>
  <c r="D45" i="8"/>
  <c r="H68" i="4"/>
  <c r="D88" i="30"/>
  <c r="Q44" i="8"/>
  <c r="N44" i="4"/>
  <c r="D38" i="29"/>
  <c r="M35"/>
  <c r="D35" i="30"/>
  <c r="D79"/>
  <c r="D81" i="29"/>
  <c r="D109"/>
  <c r="H77" i="4"/>
  <c r="H77" i="8" s="1"/>
  <c r="G57" i="7"/>
  <c r="H75" i="4"/>
  <c r="H75" i="8" s="1"/>
  <c r="H76" i="4"/>
  <c r="H76" i="8" s="1"/>
  <c r="N19" i="36"/>
  <c r="D85" i="30"/>
  <c r="H101"/>
  <c r="E101"/>
  <c r="J101"/>
  <c r="J102" s="1"/>
  <c r="K101"/>
  <c r="K102" s="1"/>
  <c r="G101"/>
  <c r="G102"/>
  <c r="D70"/>
  <c r="N100"/>
  <c r="R112" i="35"/>
  <c r="S121" s="1"/>
  <c r="P76" i="29"/>
  <c r="AT761" i="1"/>
  <c r="O38" i="36"/>
  <c r="B21" i="30"/>
  <c r="K20"/>
  <c r="H20"/>
  <c r="E20"/>
  <c r="D20"/>
  <c r="M45" i="29"/>
  <c r="D27" i="30"/>
  <c r="E80" i="8"/>
  <c r="B81"/>
  <c r="H80"/>
  <c r="N80" s="1"/>
  <c r="D80"/>
  <c r="J80"/>
  <c r="K80"/>
  <c r="G80"/>
  <c r="M107" i="30"/>
  <c r="D101"/>
  <c r="M101" s="1"/>
  <c r="N39" i="36"/>
  <c r="B39"/>
  <c r="J84" i="8"/>
  <c r="J87"/>
  <c r="M86"/>
  <c r="M98" i="30"/>
  <c r="R98" i="35"/>
  <c r="K47" i="30"/>
  <c r="B48"/>
  <c r="E47"/>
  <c r="H47"/>
  <c r="G47"/>
  <c r="M102" i="29"/>
  <c r="B18" i="36"/>
  <c r="N18"/>
  <c r="M18" i="30"/>
  <c r="S91" i="35"/>
  <c r="D81" i="30"/>
  <c r="M35"/>
  <c r="N79" i="8"/>
  <c r="E108" i="30"/>
  <c r="G108"/>
  <c r="J108"/>
  <c r="H108"/>
  <c r="H109" s="1"/>
  <c r="K108"/>
  <c r="V121" i="35"/>
  <c r="V110"/>
  <c r="M61" i="4"/>
  <c r="N10"/>
  <c r="N61"/>
  <c r="B82" i="8"/>
  <c r="K81"/>
  <c r="E81"/>
  <c r="D81"/>
  <c r="H81"/>
  <c r="J81"/>
  <c r="N38" i="36"/>
  <c r="B38"/>
  <c r="N101" i="30"/>
  <c r="B49"/>
  <c r="G48"/>
  <c r="D48"/>
  <c r="H48"/>
  <c r="J48"/>
  <c r="E48"/>
  <c r="K48"/>
  <c r="G21"/>
  <c r="J21"/>
  <c r="E21"/>
  <c r="K21"/>
  <c r="H21"/>
  <c r="D21"/>
  <c r="E109"/>
  <c r="K82" i="8"/>
  <c r="H82"/>
  <c r="B50" i="30"/>
  <c r="K49"/>
  <c r="E49"/>
  <c r="H49"/>
  <c r="J49"/>
  <c r="D49"/>
  <c r="B51"/>
  <c r="K50"/>
  <c r="G50"/>
  <c r="E50"/>
  <c r="J50"/>
  <c r="H50"/>
  <c r="D50"/>
  <c r="E51"/>
  <c r="H51"/>
  <c r="G51"/>
  <c r="K51"/>
  <c r="D51"/>
  <c r="H45" i="8"/>
  <c r="K23" l="1"/>
  <c r="K26"/>
  <c r="V117" i="27"/>
  <c r="T115"/>
  <c r="T117"/>
  <c r="V115"/>
  <c r="AT667" i="1"/>
  <c r="N78" i="7"/>
  <c r="N15" s="1"/>
  <c r="H15"/>
  <c r="H84" i="8"/>
  <c r="H87"/>
  <c r="E84"/>
  <c r="N86"/>
  <c r="E87"/>
  <c r="T115" i="20"/>
  <c r="T829" s="1"/>
  <c r="T117"/>
  <c r="V115"/>
  <c r="V13" s="1"/>
  <c r="R23" i="36" s="1"/>
  <c r="V117" i="20"/>
  <c r="V115" i="25"/>
  <c r="T115"/>
  <c r="V117"/>
  <c r="T117"/>
  <c r="M100" i="30"/>
  <c r="N32" i="8"/>
  <c r="AS148" i="1"/>
  <c r="AS33"/>
  <c r="AT640"/>
  <c r="M62" i="29"/>
  <c r="J72" i="8"/>
  <c r="E28"/>
  <c r="AS224" i="1"/>
  <c r="AS252"/>
  <c r="AS396"/>
  <c r="AS726"/>
  <c r="M93" i="30"/>
  <c r="J62"/>
  <c r="AS864" i="1"/>
  <c r="AS856"/>
  <c r="AT763"/>
  <c r="AS611"/>
  <c r="M18" i="8"/>
  <c r="AS27" i="1"/>
  <c r="AS30"/>
  <c r="AS32"/>
  <c r="AS37"/>
  <c r="AS44"/>
  <c r="AT403"/>
  <c r="AT409"/>
  <c r="AP95"/>
  <c r="AT95" s="1"/>
  <c r="G14" i="4"/>
  <c r="AT182" i="1"/>
  <c r="AT420"/>
  <c r="AT441"/>
  <c r="AT462"/>
  <c r="AT485"/>
  <c r="AT491"/>
  <c r="AT507"/>
  <c r="AT510"/>
  <c r="AT822"/>
  <c r="M89" i="30"/>
  <c r="N2" i="36"/>
  <c r="A3" i="35"/>
  <c r="N25" i="8"/>
  <c r="N23" s="1"/>
  <c r="G62" i="30"/>
  <c r="N87" i="4"/>
  <c r="J26" i="8"/>
  <c r="AS706" i="1"/>
  <c r="AS756"/>
  <c r="AT668"/>
  <c r="AT598"/>
  <c r="AS366"/>
  <c r="AT61"/>
  <c r="G95" i="30"/>
  <c r="G85" i="4"/>
  <c r="AR34" i="1"/>
  <c r="AR36"/>
  <c r="AA460" i="31"/>
  <c r="H102" i="30"/>
  <c r="K102" i="29"/>
  <c r="N99"/>
  <c r="N102" s="1"/>
  <c r="AA456" i="31"/>
  <c r="AA452"/>
  <c r="AA444"/>
  <c r="N98" i="30"/>
  <c r="E102"/>
  <c r="N102"/>
  <c r="AA436" i="31"/>
  <c r="N93" i="30"/>
  <c r="N95" s="1"/>
  <c r="K95"/>
  <c r="AA433" i="31"/>
  <c r="N92" i="30"/>
  <c r="E95"/>
  <c r="AA429" i="31"/>
  <c r="AA426"/>
  <c r="N38" i="29"/>
  <c r="AA423" i="31"/>
  <c r="AA422"/>
  <c r="H81" i="30"/>
  <c r="AA420" i="31"/>
  <c r="N89" i="30"/>
  <c r="N90" s="1"/>
  <c r="AA416" i="31"/>
  <c r="H90" i="30"/>
  <c r="H111" s="1"/>
  <c r="AA410" i="31"/>
  <c r="E90" i="29"/>
  <c r="E111" s="1"/>
  <c r="AA407" i="31"/>
  <c r="E90" i="30"/>
  <c r="N88" i="29"/>
  <c r="N90" s="1"/>
  <c r="H111"/>
  <c r="AA404" i="31"/>
  <c r="AA402"/>
  <c r="AA393"/>
  <c r="H81" i="29"/>
  <c r="AA387" i="31"/>
  <c r="AA386"/>
  <c r="N81" i="29"/>
  <c r="E79" i="30"/>
  <c r="N79" s="1"/>
  <c r="N81" s="1"/>
  <c r="AA383" i="31"/>
  <c r="AA377"/>
  <c r="AA373"/>
  <c r="AA367"/>
  <c r="K38" i="29"/>
  <c r="K40" s="1"/>
  <c r="E38"/>
  <c r="AA357" i="31"/>
  <c r="AA353"/>
  <c r="AA351"/>
  <c r="AA348"/>
  <c r="AA346"/>
  <c r="AA344"/>
  <c r="H38" i="30"/>
  <c r="N34"/>
  <c r="K38"/>
  <c r="E38"/>
  <c r="N37"/>
  <c r="E40" i="29"/>
  <c r="N84" i="30"/>
  <c r="N85" s="1"/>
  <c r="E85"/>
  <c r="AA320" i="31"/>
  <c r="H22" i="29"/>
  <c r="AA315" i="31"/>
  <c r="H22" i="30"/>
  <c r="N19" i="29"/>
  <c r="E19" i="30"/>
  <c r="N19" s="1"/>
  <c r="AA313" i="31"/>
  <c r="N21" i="30"/>
  <c r="N21" i="29"/>
  <c r="N20" i="30"/>
  <c r="K27"/>
  <c r="N25"/>
  <c r="AA265" i="31"/>
  <c r="H27" i="29"/>
  <c r="N25"/>
  <c r="N27" s="1"/>
  <c r="AA261" i="31"/>
  <c r="AA257"/>
  <c r="AA253"/>
  <c r="N17" i="30"/>
  <c r="AA247" i="31"/>
  <c r="N24" i="30"/>
  <c r="E27"/>
  <c r="N16"/>
  <c r="N15"/>
  <c r="N22" i="29"/>
  <c r="AA240" i="31"/>
  <c r="N14" i="30"/>
  <c r="K22"/>
  <c r="AA235" i="31"/>
  <c r="N13" i="30"/>
  <c r="AA228" i="31"/>
  <c r="AA226"/>
  <c r="AA224"/>
  <c r="AA223"/>
  <c r="AA222"/>
  <c r="N105" i="29"/>
  <c r="N109" s="1"/>
  <c r="X462" i="31"/>
  <c r="AA216"/>
  <c r="N105" i="30"/>
  <c r="K109"/>
  <c r="K111" s="1"/>
  <c r="K109" i="29"/>
  <c r="K111" s="1"/>
  <c r="N75"/>
  <c r="N75" i="30"/>
  <c r="AA198" i="31"/>
  <c r="AA192"/>
  <c r="AA190"/>
  <c r="AA188"/>
  <c r="AA182"/>
  <c r="AA181"/>
  <c r="AA173"/>
  <c r="H65" i="4"/>
  <c r="H65" i="8" s="1"/>
  <c r="H66" s="1"/>
  <c r="N69" i="30"/>
  <c r="N70" s="1"/>
  <c r="AA165" i="31"/>
  <c r="E70" i="29"/>
  <c r="N69"/>
  <c r="N70" s="1"/>
  <c r="AA162" i="31"/>
  <c r="V464"/>
  <c r="V470" s="1"/>
  <c r="U2" s="1"/>
  <c r="AA157"/>
  <c r="N65" i="30"/>
  <c r="N66" s="1"/>
  <c r="H66"/>
  <c r="AA145" i="31"/>
  <c r="AA141"/>
  <c r="K62" i="30"/>
  <c r="N61"/>
  <c r="H62"/>
  <c r="AA125" i="31"/>
  <c r="Y462"/>
  <c r="K62" i="29"/>
  <c r="AA115" i="31"/>
  <c r="H62" i="29"/>
  <c r="N60" i="30"/>
  <c r="E62"/>
  <c r="N50"/>
  <c r="AA109" i="31"/>
  <c r="N56" i="30"/>
  <c r="AA93" i="31"/>
  <c r="N55" i="30"/>
  <c r="N58" s="1"/>
  <c r="K58"/>
  <c r="AA85" i="31"/>
  <c r="AA84"/>
  <c r="N49" i="30"/>
  <c r="AA82" i="31"/>
  <c r="N51" i="29"/>
  <c r="N51" i="30"/>
  <c r="AA69" i="31"/>
  <c r="S464"/>
  <c r="S470" s="1"/>
  <c r="R2" s="1"/>
  <c r="N44" i="29"/>
  <c r="H53"/>
  <c r="E53"/>
  <c r="K53"/>
  <c r="H53" i="30"/>
  <c r="AA55" i="31"/>
  <c r="N47" i="30"/>
  <c r="AA51" i="31"/>
  <c r="K53" i="30"/>
  <c r="AA47" i="31"/>
  <c r="AA43"/>
  <c r="AA40"/>
  <c r="AA35"/>
  <c r="AA29"/>
  <c r="AA27"/>
  <c r="AA25"/>
  <c r="AA23"/>
  <c r="K65" i="4"/>
  <c r="K66" s="1"/>
  <c r="K62" s="1"/>
  <c r="E65"/>
  <c r="E53" i="30"/>
  <c r="N43"/>
  <c r="P464" i="31"/>
  <c r="AA15"/>
  <c r="AA14"/>
  <c r="N63" i="4"/>
  <c r="N63" i="8"/>
  <c r="K90" i="7"/>
  <c r="K69"/>
  <c r="H90"/>
  <c r="G82" i="4" s="1"/>
  <c r="G82" i="8" s="1"/>
  <c r="H69" i="7"/>
  <c r="D90"/>
  <c r="D69"/>
  <c r="D52"/>
  <c r="E82" i="4"/>
  <c r="E82" i="8" s="1"/>
  <c r="M88" i="7"/>
  <c r="M52" s="1"/>
  <c r="D48"/>
  <c r="E71" i="4"/>
  <c r="E71" i="8" s="1"/>
  <c r="M86" i="7"/>
  <c r="M48" s="1"/>
  <c r="M47"/>
  <c r="M69" s="1"/>
  <c r="D44"/>
  <c r="E69" i="4"/>
  <c r="M84" i="7"/>
  <c r="M44" s="1"/>
  <c r="E74" i="4"/>
  <c r="M69" i="8"/>
  <c r="D68"/>
  <c r="D72"/>
  <c r="M74"/>
  <c r="J23" i="7"/>
  <c r="J45" i="4"/>
  <c r="J45" i="8" s="1"/>
  <c r="M80" i="7"/>
  <c r="M23" s="1"/>
  <c r="E40" i="4"/>
  <c r="E40" i="8" s="1"/>
  <c r="E41" i="4"/>
  <c r="E41" i="8" s="1"/>
  <c r="D23" i="7"/>
  <c r="E42" i="4"/>
  <c r="E42" i="8" s="1"/>
  <c r="E45" i="4"/>
  <c r="E45" i="8" s="1"/>
  <c r="E43" i="4"/>
  <c r="E43" i="8" s="1"/>
  <c r="K43" i="4"/>
  <c r="K45"/>
  <c r="K45" i="8" s="1"/>
  <c r="J15" i="7"/>
  <c r="K42" i="4"/>
  <c r="K42" i="8" s="1"/>
  <c r="K41" i="4"/>
  <c r="K41" i="8" s="1"/>
  <c r="M78" i="7"/>
  <c r="M15" s="1"/>
  <c r="K40" i="4"/>
  <c r="K40" i="8" s="1"/>
  <c r="N42"/>
  <c r="G32" i="7"/>
  <c r="D11"/>
  <c r="M76"/>
  <c r="M11" s="1"/>
  <c r="E37" i="4"/>
  <c r="E36"/>
  <c r="G92"/>
  <c r="G93" s="1"/>
  <c r="Q890" i="27"/>
  <c r="Q13" s="1"/>
  <c r="M55" i="8"/>
  <c r="M56" s="1"/>
  <c r="S829" i="27"/>
  <c r="S890" s="1"/>
  <c r="S13" s="1"/>
  <c r="AP800" i="1"/>
  <c r="AS800"/>
  <c r="G95" i="29"/>
  <c r="G80"/>
  <c r="G80" i="30" s="1"/>
  <c r="AP789" i="1"/>
  <c r="G29" i="29"/>
  <c r="G29" i="30" s="1"/>
  <c r="G30" i="29"/>
  <c r="AA630" i="1"/>
  <c r="AP630" s="1"/>
  <c r="AA623"/>
  <c r="G25" i="29" s="1"/>
  <c r="G27" s="1"/>
  <c r="AA621" i="1"/>
  <c r="G24" i="29"/>
  <c r="G24" i="30" s="1"/>
  <c r="G13" i="29"/>
  <c r="AO602" i="1"/>
  <c r="AT602" s="1"/>
  <c r="G68" i="29"/>
  <c r="G70" s="1"/>
  <c r="G68" i="30"/>
  <c r="G70" s="1"/>
  <c r="AS401" i="1"/>
  <c r="AA401"/>
  <c r="AS399"/>
  <c r="AA399"/>
  <c r="AP399" s="1"/>
  <c r="AA398"/>
  <c r="AP398" s="1"/>
  <c r="AT398" s="1"/>
  <c r="H50" i="4"/>
  <c r="H48" i="8"/>
  <c r="T829" i="27"/>
  <c r="T890" s="1"/>
  <c r="H80" i="7"/>
  <c r="AO272" i="1"/>
  <c r="AT272" s="1"/>
  <c r="M4" i="36"/>
  <c r="M2"/>
  <c r="S67" i="33"/>
  <c r="M81" i="4"/>
  <c r="G81" i="8"/>
  <c r="O67" i="33"/>
  <c r="O2" s="1"/>
  <c r="G44" i="4"/>
  <c r="AO202" i="1"/>
  <c r="AT202" s="1"/>
  <c r="AT192"/>
  <c r="S80" i="35"/>
  <c r="B14" i="36"/>
  <c r="Z137" i="1"/>
  <c r="G85" i="8"/>
  <c r="M85" i="4"/>
  <c r="M84" s="1"/>
  <c r="AS129" i="1"/>
  <c r="Z129"/>
  <c r="V13" i="27"/>
  <c r="V12" s="1"/>
  <c r="P892"/>
  <c r="P2" s="1"/>
  <c r="R896"/>
  <c r="R892"/>
  <c r="R2" s="1"/>
  <c r="M74" i="4"/>
  <c r="AS54" i="1"/>
  <c r="N71" i="4"/>
  <c r="H48" i="7"/>
  <c r="H74" i="4"/>
  <c r="G48" i="7"/>
  <c r="O890" i="27"/>
  <c r="AA904" i="1"/>
  <c r="AA905"/>
  <c r="AP50"/>
  <c r="AP905" s="1"/>
  <c r="P896" i="26"/>
  <c r="P13"/>
  <c r="Q890"/>
  <c r="Q13" s="1"/>
  <c r="AS760" i="1"/>
  <c r="G17" i="29"/>
  <c r="G17" i="30" s="1"/>
  <c r="AP631" i="1"/>
  <c r="AP623"/>
  <c r="AS468"/>
  <c r="AA468"/>
  <c r="AS459"/>
  <c r="Z459"/>
  <c r="T829" i="26"/>
  <c r="T890" s="1"/>
  <c r="AS398" i="1"/>
  <c r="M37" i="4"/>
  <c r="G35"/>
  <c r="N47"/>
  <c r="N50"/>
  <c r="AS226" i="1"/>
  <c r="P64" i="4"/>
  <c r="M64" s="1"/>
  <c r="AS137" i="1"/>
  <c r="R892" i="26"/>
  <c r="R2" s="1"/>
  <c r="G43" i="4"/>
  <c r="AO137" i="1"/>
  <c r="AT137" s="1"/>
  <c r="M87" i="4"/>
  <c r="G87"/>
  <c r="G84"/>
  <c r="AO129" i="1"/>
  <c r="AT129" s="1"/>
  <c r="G45" i="4"/>
  <c r="G45" i="8" s="1"/>
  <c r="V13" i="26"/>
  <c r="V10" s="1"/>
  <c r="S829"/>
  <c r="S890" s="1"/>
  <c r="S13" s="1"/>
  <c r="N41" i="8"/>
  <c r="N26"/>
  <c r="G13"/>
  <c r="H71"/>
  <c r="N71" s="1"/>
  <c r="Y829" i="1"/>
  <c r="Y914" s="1"/>
  <c r="Y915" s="1"/>
  <c r="AS14"/>
  <c r="R37" i="36"/>
  <c r="AA871" i="1"/>
  <c r="G104" i="4" s="1"/>
  <c r="M104" s="1"/>
  <c r="W888" i="1"/>
  <c r="W890" s="1"/>
  <c r="W13" s="1"/>
  <c r="Y888"/>
  <c r="Y894" s="1"/>
  <c r="Y4" s="1"/>
  <c r="Q890" i="25"/>
  <c r="Q13" s="1"/>
  <c r="O890"/>
  <c r="O13" s="1"/>
  <c r="O37" i="36"/>
  <c r="AT760" i="1"/>
  <c r="G88" i="30"/>
  <c r="G90" s="1"/>
  <c r="G79" i="29"/>
  <c r="G79" i="30" s="1"/>
  <c r="AS742" i="1"/>
  <c r="AS719"/>
  <c r="AT651"/>
  <c r="AT629"/>
  <c r="M16" i="29"/>
  <c r="AT610" i="1"/>
  <c r="Z594"/>
  <c r="G106" i="29" s="1"/>
  <c r="M106" s="1"/>
  <c r="Z593" i="1"/>
  <c r="G105" i="29" s="1"/>
  <c r="AP468" i="1"/>
  <c r="G56" i="29"/>
  <c r="AT468" i="1"/>
  <c r="T829" i="25"/>
  <c r="T890" s="1"/>
  <c r="T13" s="1"/>
  <c r="G55" i="29"/>
  <c r="AO459" i="1"/>
  <c r="AT459" s="1"/>
  <c r="AT439"/>
  <c r="AS397"/>
  <c r="AT390"/>
  <c r="AT386"/>
  <c r="M36" i="4"/>
  <c r="G38"/>
  <c r="V13" i="25"/>
  <c r="H13" s="1"/>
  <c r="R892"/>
  <c r="R2" s="1"/>
  <c r="P892"/>
  <c r="P2" s="1"/>
  <c r="W914" i="1"/>
  <c r="W915" s="1"/>
  <c r="P890" i="25"/>
  <c r="P13" s="1"/>
  <c r="AT215" i="1"/>
  <c r="S829" i="25"/>
  <c r="S890" s="1"/>
  <c r="S13" s="1"/>
  <c r="S93" i="35"/>
  <c r="V111"/>
  <c r="H46" i="4"/>
  <c r="H39"/>
  <c r="N42"/>
  <c r="AA115" i="1"/>
  <c r="M15" i="4"/>
  <c r="G71"/>
  <c r="G71" i="8" s="1"/>
  <c r="M71" s="1"/>
  <c r="P896" i="25"/>
  <c r="AS887" i="1"/>
  <c r="R894" i="20"/>
  <c r="R4" s="1"/>
  <c r="I59" i="39"/>
  <c r="I58" s="1"/>
  <c r="I57" s="1"/>
  <c r="N101" i="4"/>
  <c r="H101"/>
  <c r="W894" i="1"/>
  <c r="W4" s="1"/>
  <c r="T888" i="20"/>
  <c r="T894" s="1"/>
  <c r="T4" s="1"/>
  <c r="AS855" i="1"/>
  <c r="AS849"/>
  <c r="AM888"/>
  <c r="AN888"/>
  <c r="AS832"/>
  <c r="Q890" i="20"/>
  <c r="Q13" s="1"/>
  <c r="O890"/>
  <c r="AT768" i="1"/>
  <c r="AT764"/>
  <c r="AS630"/>
  <c r="AT623"/>
  <c r="G14" i="29"/>
  <c r="AS606" i="1"/>
  <c r="R892" i="20"/>
  <c r="R2" s="1"/>
  <c r="AS593" i="1"/>
  <c r="G65" i="4"/>
  <c r="G66" s="1"/>
  <c r="X829" i="1"/>
  <c r="X890" s="1"/>
  <c r="S829" i="20"/>
  <c r="S890" s="1"/>
  <c r="S13" s="1"/>
  <c r="AS590" i="1"/>
  <c r="G66" i="30"/>
  <c r="AS492" i="1"/>
  <c r="AS451"/>
  <c r="AT435"/>
  <c r="AT427"/>
  <c r="AS390"/>
  <c r="G38" i="8"/>
  <c r="G35"/>
  <c r="H52" i="4"/>
  <c r="M37" i="8"/>
  <c r="AR275" i="1"/>
  <c r="AT216"/>
  <c r="S2" i="33"/>
  <c r="P85" i="8" s="1"/>
  <c r="AR207" i="1"/>
  <c r="AT205"/>
  <c r="AS194"/>
  <c r="W892"/>
  <c r="W2" s="1"/>
  <c r="AS182"/>
  <c r="AT180"/>
  <c r="V124" i="35"/>
  <c r="H46" i="8"/>
  <c r="H39"/>
  <c r="G87"/>
  <c r="G84"/>
  <c r="AS114" i="1"/>
  <c r="O13" i="20"/>
  <c r="R34" i="36" s="1"/>
  <c r="P896" i="20"/>
  <c r="H12" i="4"/>
  <c r="N22"/>
  <c r="V890" i="1"/>
  <c r="V13" s="1"/>
  <c r="V914"/>
  <c r="V915" s="1"/>
  <c r="H28" i="4"/>
  <c r="H54" s="1"/>
  <c r="T892" i="20"/>
  <c r="T2" s="1"/>
  <c r="AS50" i="1"/>
  <c r="AL829"/>
  <c r="AL890" s="1"/>
  <c r="AL13" s="1"/>
  <c r="D101" i="8"/>
  <c r="AP855" i="1"/>
  <c r="AO855"/>
  <c r="AT851"/>
  <c r="AP849"/>
  <c r="AO849"/>
  <c r="AH890"/>
  <c r="AH13" s="1"/>
  <c r="AP835"/>
  <c r="AT835" s="1"/>
  <c r="E93" i="8"/>
  <c r="P890" i="1"/>
  <c r="AF894"/>
  <c r="AF4" s="1"/>
  <c r="AR888"/>
  <c r="AC890"/>
  <c r="AC13" s="1"/>
  <c r="E104" i="8"/>
  <c r="E59" i="39" s="1"/>
  <c r="E58" s="1"/>
  <c r="E57" s="1"/>
  <c r="E101" i="8"/>
  <c r="E56"/>
  <c r="N55"/>
  <c r="O890" i="1"/>
  <c r="O13" s="1"/>
  <c r="M99" i="30"/>
  <c r="M102" s="1"/>
  <c r="J92"/>
  <c r="M92" s="1"/>
  <c r="M95" s="1"/>
  <c r="M92" i="29"/>
  <c r="M95" s="1"/>
  <c r="J95"/>
  <c r="AO800" i="1"/>
  <c r="AT800" s="1"/>
  <c r="AT799"/>
  <c r="D95" i="30"/>
  <c r="J80"/>
  <c r="J81" s="1"/>
  <c r="J81" i="29"/>
  <c r="M80"/>
  <c r="AT789" i="1"/>
  <c r="AT771"/>
  <c r="J88" i="29"/>
  <c r="J88" i="30" s="1"/>
  <c r="AT765" i="1"/>
  <c r="AS764"/>
  <c r="D90" i="29"/>
  <c r="D111" s="1"/>
  <c r="M72"/>
  <c r="M72" i="30"/>
  <c r="AP748" i="1"/>
  <c r="AO748"/>
  <c r="AO744"/>
  <c r="AP744"/>
  <c r="AP742"/>
  <c r="AO742"/>
  <c r="AT740"/>
  <c r="AO739"/>
  <c r="AP739"/>
  <c r="AO719"/>
  <c r="AT719" s="1"/>
  <c r="AP717"/>
  <c r="AT717" s="1"/>
  <c r="M38" i="29"/>
  <c r="AO716" i="1"/>
  <c r="AT716" s="1"/>
  <c r="M37" i="30"/>
  <c r="J38"/>
  <c r="J84"/>
  <c r="J85" s="1"/>
  <c r="M84" i="29"/>
  <c r="J85"/>
  <c r="M85"/>
  <c r="AP705" i="1"/>
  <c r="AT705" s="1"/>
  <c r="AP704"/>
  <c r="AT704" s="1"/>
  <c r="AT695"/>
  <c r="M83" i="30"/>
  <c r="AO693" i="1"/>
  <c r="AT693" s="1"/>
  <c r="AP680"/>
  <c r="AO680"/>
  <c r="M19" i="29"/>
  <c r="AO679" i="1"/>
  <c r="J19" i="30"/>
  <c r="M19" s="1"/>
  <c r="AT679" i="1"/>
  <c r="AO658"/>
  <c r="AP658"/>
  <c r="M21" i="30"/>
  <c r="AO654" i="1"/>
  <c r="AT654" s="1"/>
  <c r="AT647"/>
  <c r="J20" i="29"/>
  <c r="AT634" i="1"/>
  <c r="AT632"/>
  <c r="AT631"/>
  <c r="AO630"/>
  <c r="AT630" s="1"/>
  <c r="AS623"/>
  <c r="AO621"/>
  <c r="J17" i="29"/>
  <c r="J17" i="30" s="1"/>
  <c r="AP621" i="1"/>
  <c r="D17" i="29"/>
  <c r="D17" i="30" s="1"/>
  <c r="AT619" i="1"/>
  <c r="J24" i="29"/>
  <c r="AT617" i="1"/>
  <c r="AO616"/>
  <c r="AT616" s="1"/>
  <c r="AO615"/>
  <c r="AT615" s="1"/>
  <c r="AO613"/>
  <c r="AP613"/>
  <c r="M15" i="30"/>
  <c r="AO612" i="1"/>
  <c r="AP612"/>
  <c r="AT606"/>
  <c r="AO605"/>
  <c r="AT605" s="1"/>
  <c r="AO594"/>
  <c r="AT594" s="1"/>
  <c r="J105" i="29"/>
  <c r="AT590" i="1"/>
  <c r="AN829"/>
  <c r="D109" i="30"/>
  <c r="J52"/>
  <c r="M52" i="29"/>
  <c r="M52" i="30"/>
  <c r="AP578" i="1"/>
  <c r="AT578" s="1"/>
  <c r="M75" i="30"/>
  <c r="J70" i="29"/>
  <c r="M69" i="30"/>
  <c r="AO538" i="1"/>
  <c r="AP538"/>
  <c r="AO537"/>
  <c r="AT537" s="1"/>
  <c r="AP534"/>
  <c r="AO534"/>
  <c r="AO525"/>
  <c r="AT525" s="1"/>
  <c r="AO492"/>
  <c r="AT492" s="1"/>
  <c r="M60" i="30"/>
  <c r="M50"/>
  <c r="AO480" i="1"/>
  <c r="AT480" s="1"/>
  <c r="AO472"/>
  <c r="AT472" s="1"/>
  <c r="AP470"/>
  <c r="AO470"/>
  <c r="AO469"/>
  <c r="AT469" s="1"/>
  <c r="AT467"/>
  <c r="D58" i="30"/>
  <c r="AP458" i="1"/>
  <c r="AT458" s="1"/>
  <c r="AO457"/>
  <c r="AT457" s="1"/>
  <c r="AT455"/>
  <c r="AO454"/>
  <c r="AP454"/>
  <c r="M51" i="30"/>
  <c r="AP452" i="1"/>
  <c r="AT452" s="1"/>
  <c r="AO451"/>
  <c r="AT451" s="1"/>
  <c r="AT437"/>
  <c r="AO433"/>
  <c r="AT433" s="1"/>
  <c r="AT429"/>
  <c r="AO428"/>
  <c r="AT428" s="1"/>
  <c r="AT425"/>
  <c r="AO424"/>
  <c r="AT424" s="1"/>
  <c r="T829"/>
  <c r="T890" s="1"/>
  <c r="T13" s="1"/>
  <c r="J47" i="29"/>
  <c r="J47" i="30" s="1"/>
  <c r="J53" s="1"/>
  <c r="J77" s="1"/>
  <c r="AP421" i="1"/>
  <c r="AT421" s="1"/>
  <c r="D65" i="4"/>
  <c r="D66" s="1"/>
  <c r="AO419" i="1"/>
  <c r="J65" i="4"/>
  <c r="J65" i="8" s="1"/>
  <c r="J66" s="1"/>
  <c r="D47" i="29"/>
  <c r="D53" s="1"/>
  <c r="D77" s="1"/>
  <c r="AP419" i="1"/>
  <c r="AT418"/>
  <c r="AP417"/>
  <c r="AT417" s="1"/>
  <c r="AP413"/>
  <c r="AT413" s="1"/>
  <c r="AO412"/>
  <c r="AT412" s="1"/>
  <c r="AO411"/>
  <c r="AT411" s="1"/>
  <c r="M46" i="30"/>
  <c r="M45"/>
  <c r="AT407" i="1"/>
  <c r="AT402"/>
  <c r="AP401"/>
  <c r="AT401" s="1"/>
  <c r="AT400"/>
  <c r="AO399"/>
  <c r="AT399" s="1"/>
  <c r="AT397"/>
  <c r="AP396"/>
  <c r="AT396" s="1"/>
  <c r="AP394"/>
  <c r="AT394" s="1"/>
  <c r="AO393"/>
  <c r="AT393" s="1"/>
  <c r="AO391"/>
  <c r="AP391"/>
  <c r="AO389"/>
  <c r="AP389"/>
  <c r="AO387"/>
  <c r="AP387"/>
  <c r="AO385"/>
  <c r="AP385"/>
  <c r="AG829"/>
  <c r="AH892" s="1"/>
  <c r="AH2" s="1"/>
  <c r="AS349"/>
  <c r="AP898"/>
  <c r="M38" i="4"/>
  <c r="D38"/>
  <c r="D52" s="1"/>
  <c r="D54" s="1"/>
  <c r="D35"/>
  <c r="D35" i="8"/>
  <c r="D38"/>
  <c r="AP899" i="1"/>
  <c r="K30" i="8"/>
  <c r="K34"/>
  <c r="E34"/>
  <c r="E30"/>
  <c r="M50" i="4"/>
  <c r="N48" i="8"/>
  <c r="K50"/>
  <c r="K47"/>
  <c r="E47"/>
  <c r="N49"/>
  <c r="E50"/>
  <c r="AP275" i="1"/>
  <c r="AO275"/>
  <c r="AS275"/>
  <c r="S829"/>
  <c r="S890" s="1"/>
  <c r="S13" s="1"/>
  <c r="AM829"/>
  <c r="K46" i="4"/>
  <c r="K52" s="1"/>
  <c r="K54" s="1"/>
  <c r="J40" i="8"/>
  <c r="J46" i="4"/>
  <c r="J52" s="1"/>
  <c r="E39"/>
  <c r="E46"/>
  <c r="AP217" i="1"/>
  <c r="AO217"/>
  <c r="AR215"/>
  <c r="AO207"/>
  <c r="AT207" s="1"/>
  <c r="N81" i="8"/>
  <c r="N44"/>
  <c r="M81"/>
  <c r="AP194" i="1"/>
  <c r="AO194"/>
  <c r="AO193"/>
  <c r="AT193" s="1"/>
  <c r="M79" i="8"/>
  <c r="AO191" i="1"/>
  <c r="AP191"/>
  <c r="AP187"/>
  <c r="AT187" s="1"/>
  <c r="J39" i="4"/>
  <c r="AO181" i="1"/>
  <c r="AT181" s="1"/>
  <c r="S81" i="35"/>
  <c r="V91"/>
  <c r="P64" i="8"/>
  <c r="M64" s="1"/>
  <c r="V112" i="35"/>
  <c r="P80"/>
  <c r="Q82" i="4" s="1"/>
  <c r="V80" i="35"/>
  <c r="V81" s="1"/>
  <c r="AP176" i="1"/>
  <c r="AR176"/>
  <c r="P92" i="35"/>
  <c r="P29" i="29"/>
  <c r="P29" i="30" s="1"/>
  <c r="M29" s="1"/>
  <c r="AT176" i="1"/>
  <c r="M29" i="29"/>
  <c r="S83" i="35"/>
  <c r="P82" i="4"/>
  <c r="P82" i="8" s="1"/>
  <c r="P45" i="4"/>
  <c r="P45" i="8" s="1"/>
  <c r="P31" i="29"/>
  <c r="K39" i="4"/>
  <c r="K73"/>
  <c r="AP146" i="1"/>
  <c r="AT146" s="1"/>
  <c r="D46" i="8"/>
  <c r="E46"/>
  <c r="N85"/>
  <c r="K84"/>
  <c r="K87"/>
  <c r="AP132" i="1"/>
  <c r="AT132" s="1"/>
  <c r="M85" i="8"/>
  <c r="E39"/>
  <c r="M80"/>
  <c r="K83"/>
  <c r="AD892" i="1"/>
  <c r="AD2" s="1"/>
  <c r="J39" i="8"/>
  <c r="J46"/>
  <c r="K83" i="4"/>
  <c r="K89" s="1"/>
  <c r="J23" i="8"/>
  <c r="M24"/>
  <c r="E28" i="4"/>
  <c r="D12"/>
  <c r="M17" i="8"/>
  <c r="M13"/>
  <c r="AK829" i="1"/>
  <c r="M16" i="4"/>
  <c r="J12"/>
  <c r="D20" i="8"/>
  <c r="D12"/>
  <c r="M16"/>
  <c r="N12" i="4"/>
  <c r="J20"/>
  <c r="J28" s="1"/>
  <c r="K20" i="8"/>
  <c r="K28" s="1"/>
  <c r="R29" i="36"/>
  <c r="AX12" i="1"/>
  <c r="AD896"/>
  <c r="R21" i="36"/>
  <c r="AV10" i="1"/>
  <c r="AT15"/>
  <c r="AF896"/>
  <c r="AE13"/>
  <c r="AF892"/>
  <c r="AF2" s="1"/>
  <c r="R39" i="36"/>
  <c r="R13" i="1"/>
  <c r="R896"/>
  <c r="P13"/>
  <c r="R31" i="36" s="1"/>
  <c r="AT14" i="1"/>
  <c r="D47" i="8"/>
  <c r="D50"/>
  <c r="V123" i="35"/>
  <c r="M49" i="8"/>
  <c r="S94" i="35"/>
  <c r="S92"/>
  <c r="V122"/>
  <c r="P93"/>
  <c r="P40" i="4"/>
  <c r="P65"/>
  <c r="P78"/>
  <c r="S82" i="35"/>
  <c r="Q48" i="29"/>
  <c r="V113" i="35"/>
  <c r="S110"/>
  <c r="S124" s="1"/>
  <c r="AA300" i="31"/>
  <c r="M47" i="4"/>
  <c r="C58" i="39"/>
  <c r="C61"/>
  <c r="D57"/>
  <c r="C59"/>
  <c r="AT404" i="1"/>
  <c r="G22" i="8"/>
  <c r="M22" s="1"/>
  <c r="M22" i="4"/>
  <c r="AT94" i="1"/>
  <c r="L57" i="39"/>
  <c r="K61"/>
  <c r="K59"/>
  <c r="K58"/>
  <c r="G14" i="8"/>
  <c r="M14" i="4"/>
  <c r="G12"/>
  <c r="G20"/>
  <c r="G28" s="1"/>
  <c r="K73" i="8"/>
  <c r="G26"/>
  <c r="G23"/>
  <c r="K68"/>
  <c r="K72"/>
  <c r="K38"/>
  <c r="K35"/>
  <c r="G75" i="4"/>
  <c r="G77"/>
  <c r="G77" i="8" s="1"/>
  <c r="G47"/>
  <c r="G50"/>
  <c r="M48"/>
  <c r="E69" i="7"/>
  <c r="E90"/>
  <c r="D62" i="30"/>
  <c r="M61"/>
  <c r="J20" i="8"/>
  <c r="J28" s="1"/>
  <c r="J12"/>
  <c r="J34"/>
  <c r="M31"/>
  <c r="J30"/>
  <c r="H30"/>
  <c r="N31"/>
  <c r="H34"/>
  <c r="H83" i="4"/>
  <c r="H89" s="1"/>
  <c r="M16" i="30"/>
  <c r="Q48" i="8"/>
  <c r="Q48" i="4"/>
  <c r="Q85" i="8"/>
  <c r="Q85" i="4"/>
  <c r="G30" i="8"/>
  <c r="G34"/>
  <c r="M36"/>
  <c r="J35"/>
  <c r="J38"/>
  <c r="M34" i="30"/>
  <c r="M38" s="1"/>
  <c r="G38"/>
  <c r="D87" i="8"/>
  <c r="D84"/>
  <c r="G43" i="30"/>
  <c r="M43" i="29"/>
  <c r="J50" i="8"/>
  <c r="J47"/>
  <c r="D26"/>
  <c r="D28" s="1"/>
  <c r="M25"/>
  <c r="D23"/>
  <c r="M32"/>
  <c r="D30"/>
  <c r="D34"/>
  <c r="H12"/>
  <c r="H20"/>
  <c r="H28" s="1"/>
  <c r="N13"/>
  <c r="V12" i="20"/>
  <c r="V10"/>
  <c r="N108" i="30"/>
  <c r="N109" s="1"/>
  <c r="P74" i="29"/>
  <c r="Q29"/>
  <c r="Q74"/>
  <c r="M108" i="30"/>
  <c r="D38"/>
  <c r="D39" i="8"/>
  <c r="D66" i="30"/>
  <c r="M64"/>
  <c r="M66" s="1"/>
  <c r="D102"/>
  <c r="H73" i="4"/>
  <c r="M68" i="30"/>
  <c r="H13" i="20"/>
  <c r="D90" i="30"/>
  <c r="D111" s="1"/>
  <c r="H38" i="8"/>
  <c r="Z829" i="1"/>
  <c r="AP911"/>
  <c r="D39" i="4"/>
  <c r="M84" i="30"/>
  <c r="D72" i="4"/>
  <c r="A3" i="32"/>
  <c r="A3" i="20"/>
  <c r="A3" i="25"/>
  <c r="N26" i="4"/>
  <c r="N28" s="1"/>
  <c r="AS555" i="1"/>
  <c r="AT546"/>
  <c r="N33" i="8"/>
  <c r="G49" i="29"/>
  <c r="AS89" i="1"/>
  <c r="D87" i="4"/>
  <c r="AS541" i="1"/>
  <c r="AR276"/>
  <c r="M19" i="8"/>
  <c r="AS132" i="1"/>
  <c r="N30" i="29"/>
  <c r="M62" i="30" l="1"/>
  <c r="D6" i="4"/>
  <c r="D6" i="8" s="1"/>
  <c r="R4" i="36"/>
  <c r="D52" i="8"/>
  <c r="K89"/>
  <c r="V83" i="35"/>
  <c r="J95" i="30"/>
  <c r="AA829" i="1"/>
  <c r="M35" i="4"/>
  <c r="N41"/>
  <c r="K77" i="30"/>
  <c r="H40"/>
  <c r="AA117" i="1"/>
  <c r="N111" i="29"/>
  <c r="E111" i="30"/>
  <c r="N111"/>
  <c r="E81"/>
  <c r="K40"/>
  <c r="N38"/>
  <c r="H40" i="29"/>
  <c r="E22" i="30"/>
  <c r="N27"/>
  <c r="E40"/>
  <c r="N22"/>
  <c r="Y464" i="31"/>
  <c r="Y470" s="1"/>
  <c r="X2" s="1"/>
  <c r="K113" i="30"/>
  <c r="K125" s="1"/>
  <c r="K122" s="1"/>
  <c r="U470" i="31"/>
  <c r="H66" i="4"/>
  <c r="H62" s="1"/>
  <c r="S468" i="31"/>
  <c r="S4" s="1"/>
  <c r="V468"/>
  <c r="V4" s="1"/>
  <c r="E77" i="29"/>
  <c r="E113" s="1"/>
  <c r="E124" s="1"/>
  <c r="E121" s="1"/>
  <c r="H77" i="30"/>
  <c r="H113" s="1"/>
  <c r="H124" s="1"/>
  <c r="N62"/>
  <c r="E77"/>
  <c r="K77" i="29"/>
  <c r="K113" s="1"/>
  <c r="K124" s="1"/>
  <c r="K121" s="1"/>
  <c r="H77"/>
  <c r="H113" s="1"/>
  <c r="H123" s="1"/>
  <c r="H120" s="1"/>
  <c r="R470" i="31"/>
  <c r="K91" i="4"/>
  <c r="K100" s="1"/>
  <c r="E65" i="8"/>
  <c r="E66" s="1"/>
  <c r="AA462" i="31"/>
  <c r="K65" i="8"/>
  <c r="K66" s="1"/>
  <c r="K91" s="1"/>
  <c r="E66" i="4"/>
  <c r="E62" s="1"/>
  <c r="P470" i="31"/>
  <c r="P468"/>
  <c r="P466"/>
  <c r="G76" i="4"/>
  <c r="G76" i="8" s="1"/>
  <c r="H57" i="7"/>
  <c r="K57"/>
  <c r="J75" i="4"/>
  <c r="J76"/>
  <c r="J76" i="8" s="1"/>
  <c r="J77" i="4"/>
  <c r="J77" i="8" s="1"/>
  <c r="J82" i="4"/>
  <c r="J82" i="8" s="1"/>
  <c r="D57" i="7"/>
  <c r="E77" i="4"/>
  <c r="E76"/>
  <c r="E75"/>
  <c r="E83" s="1"/>
  <c r="M90" i="7"/>
  <c r="M57" s="1"/>
  <c r="H72" i="8"/>
  <c r="H68"/>
  <c r="E74"/>
  <c r="E68" i="4"/>
  <c r="E72"/>
  <c r="E69" i="8"/>
  <c r="N69" i="4"/>
  <c r="N72" s="1"/>
  <c r="K43" i="8"/>
  <c r="N43" i="4"/>
  <c r="E37" i="8"/>
  <c r="N37" s="1"/>
  <c r="N37" i="4"/>
  <c r="E36" i="8"/>
  <c r="E35" i="4"/>
  <c r="E38"/>
  <c r="E52" s="1"/>
  <c r="E54" s="1"/>
  <c r="N36"/>
  <c r="N38" s="1"/>
  <c r="G92" i="8"/>
  <c r="M92" i="4"/>
  <c r="M93" s="1"/>
  <c r="AP871" i="1"/>
  <c r="AT871" s="1"/>
  <c r="AA888"/>
  <c r="AA894" s="1"/>
  <c r="AA4" s="1"/>
  <c r="G101" i="4"/>
  <c r="G81" i="29"/>
  <c r="G30" i="30"/>
  <c r="M30" s="1"/>
  <c r="M30" i="29"/>
  <c r="G13" i="30"/>
  <c r="M13" s="1"/>
  <c r="M13" i="29"/>
  <c r="M68"/>
  <c r="M70" s="1"/>
  <c r="T892" i="27"/>
  <c r="T2" s="1"/>
  <c r="G44" i="29"/>
  <c r="H50" i="8"/>
  <c r="H47"/>
  <c r="H23" i="7"/>
  <c r="G41" i="4"/>
  <c r="N80" i="7"/>
  <c r="N23" s="1"/>
  <c r="G40" i="4"/>
  <c r="G40" i="8" s="1"/>
  <c r="G44"/>
  <c r="M44" s="1"/>
  <c r="R67" i="33"/>
  <c r="R2" s="1"/>
  <c r="P48" i="8" s="1"/>
  <c r="M44" i="4"/>
  <c r="Q65"/>
  <c r="P81" i="35"/>
  <c r="Q64" i="4"/>
  <c r="Q40"/>
  <c r="P94" i="35"/>
  <c r="Q78" i="4"/>
  <c r="H13" i="27"/>
  <c r="V10"/>
  <c r="AP115" i="1"/>
  <c r="AT115" s="1"/>
  <c r="R27" i="36"/>
  <c r="O13" i="27"/>
  <c r="R38" i="36" s="1"/>
  <c r="P896" i="27"/>
  <c r="N74" i="4"/>
  <c r="H74" i="8"/>
  <c r="G72"/>
  <c r="G68" i="4"/>
  <c r="AP904" i="1"/>
  <c r="G72" i="4"/>
  <c r="G68" i="8"/>
  <c r="M71" i="4"/>
  <c r="M72" s="1"/>
  <c r="AT50" i="1"/>
  <c r="AM890"/>
  <c r="AM13" s="1"/>
  <c r="AN890"/>
  <c r="AN13" s="1"/>
  <c r="R896" i="26"/>
  <c r="R26" i="36"/>
  <c r="AT744" i="1"/>
  <c r="G25" i="30"/>
  <c r="M25" i="29"/>
  <c r="T892" i="26"/>
  <c r="T2" s="1"/>
  <c r="G106" i="30"/>
  <c r="M106" s="1"/>
  <c r="AO593" i="1"/>
  <c r="AT593" s="1"/>
  <c r="G109" i="29"/>
  <c r="G111" s="1"/>
  <c r="G105" i="30"/>
  <c r="M45" i="4"/>
  <c r="G43" i="8"/>
  <c r="M43" s="1"/>
  <c r="M43" i="4"/>
  <c r="V12" i="26"/>
  <c r="H13"/>
  <c r="R33" i="36"/>
  <c r="Y890" i="1"/>
  <c r="Y13" s="1"/>
  <c r="R896" i="25"/>
  <c r="AO888" i="1"/>
  <c r="AS888"/>
  <c r="B37" i="36"/>
  <c r="N37"/>
  <c r="M79" i="29"/>
  <c r="M81" s="1"/>
  <c r="G81" i="30"/>
  <c r="M79"/>
  <c r="M85"/>
  <c r="AT680" i="1"/>
  <c r="AT658"/>
  <c r="AT534"/>
  <c r="G56" i="30"/>
  <c r="M56" s="1"/>
  <c r="M56" i="29"/>
  <c r="AA914" i="1"/>
  <c r="AA915" s="1"/>
  <c r="G55" i="30"/>
  <c r="G58" i="29"/>
  <c r="M55"/>
  <c r="M58" s="1"/>
  <c r="AT385" i="1"/>
  <c r="R25" i="36"/>
  <c r="R24" s="1"/>
  <c r="AW13" i="1"/>
  <c r="R22" i="36" s="1"/>
  <c r="V10" i="25"/>
  <c r="V12"/>
  <c r="R35" i="36"/>
  <c r="R36" s="1"/>
  <c r="AR829" i="1"/>
  <c r="AR890" s="1"/>
  <c r="AR13" s="1"/>
  <c r="AR10" s="1"/>
  <c r="T896" i="25"/>
  <c r="T892"/>
  <c r="T2" s="1"/>
  <c r="V93" i="35"/>
  <c r="Y892" i="1"/>
  <c r="Y2" s="1"/>
  <c r="AA890"/>
  <c r="AA13" s="1"/>
  <c r="R896" i="20"/>
  <c r="T890"/>
  <c r="T13" s="1"/>
  <c r="AT849" i="1"/>
  <c r="AN894"/>
  <c r="AN4" s="1"/>
  <c r="AT748"/>
  <c r="AT742"/>
  <c r="X13"/>
  <c r="G14" i="30"/>
  <c r="M14" i="29"/>
  <c r="G22"/>
  <c r="G40" s="1"/>
  <c r="G65" i="8"/>
  <c r="G66" s="1"/>
  <c r="X914" i="1"/>
  <c r="X915" s="1"/>
  <c r="M70" i="30"/>
  <c r="AT454" i="1"/>
  <c r="M2" i="4"/>
  <c r="M2" i="30" s="1"/>
  <c r="W896" i="1"/>
  <c r="P85" i="4"/>
  <c r="AT191" i="1"/>
  <c r="V92" i="35"/>
  <c r="V95" s="1"/>
  <c r="V82"/>
  <c r="P48" i="29"/>
  <c r="P48" i="30" s="1"/>
  <c r="N82" i="4"/>
  <c r="Q82" i="8"/>
  <c r="N82" s="1"/>
  <c r="M20" i="4"/>
  <c r="M28" s="1"/>
  <c r="M12"/>
  <c r="T896" i="20"/>
  <c r="M72" i="8"/>
  <c r="M68"/>
  <c r="P896" i="1"/>
  <c r="AT855"/>
  <c r="N104" i="8"/>
  <c r="Q59" i="39" s="1"/>
  <c r="N101" i="8"/>
  <c r="N56"/>
  <c r="M80" i="30"/>
  <c r="M81" s="1"/>
  <c r="M88" i="29"/>
  <c r="M90" s="1"/>
  <c r="J90"/>
  <c r="J90" i="30"/>
  <c r="M88"/>
  <c r="M90" s="1"/>
  <c r="AT739" i="1"/>
  <c r="M20" i="29"/>
  <c r="J20" i="30"/>
  <c r="M20" s="1"/>
  <c r="M17" i="29"/>
  <c r="J22"/>
  <c r="AT621" i="1"/>
  <c r="D22" i="29"/>
  <c r="D40" s="1"/>
  <c r="D113" s="1"/>
  <c r="M17" i="30"/>
  <c r="D22"/>
  <c r="D40" s="1"/>
  <c r="J24"/>
  <c r="J27" i="29"/>
  <c r="J40" s="1"/>
  <c r="M24"/>
  <c r="AT613" i="1"/>
  <c r="AT612"/>
  <c r="J109" i="29"/>
  <c r="J111" s="1"/>
  <c r="J105" i="30"/>
  <c r="M105" i="29"/>
  <c r="M109" s="1"/>
  <c r="AT538" i="1"/>
  <c r="AT470"/>
  <c r="J66" i="4"/>
  <c r="AO829" i="1"/>
  <c r="AO890" s="1"/>
  <c r="AG890"/>
  <c r="AG13" s="1"/>
  <c r="D65" i="8"/>
  <c r="D66" s="1"/>
  <c r="J53" i="29"/>
  <c r="J77" s="1"/>
  <c r="AT419" i="1"/>
  <c r="M47" i="29"/>
  <c r="D47" i="30"/>
  <c r="AT391" i="1"/>
  <c r="AT389"/>
  <c r="AT387"/>
  <c r="T896"/>
  <c r="T892"/>
  <c r="T2" s="1"/>
  <c r="J54" i="4"/>
  <c r="N50" i="8"/>
  <c r="N47"/>
  <c r="AT275" i="1"/>
  <c r="AN892"/>
  <c r="AN2" s="1"/>
  <c r="AT217"/>
  <c r="AT194"/>
  <c r="V94" i="35"/>
  <c r="P83" i="4"/>
  <c r="P82" i="35"/>
  <c r="P83"/>
  <c r="Q45" i="4"/>
  <c r="S112" i="35"/>
  <c r="S123"/>
  <c r="S111"/>
  <c r="S113"/>
  <c r="S122"/>
  <c r="N87" i="8"/>
  <c r="N84"/>
  <c r="M84"/>
  <c r="M87"/>
  <c r="AL892" i="1"/>
  <c r="AL2" s="1"/>
  <c r="AK890"/>
  <c r="AH896"/>
  <c r="P65" i="8"/>
  <c r="M65" i="4"/>
  <c r="M66" s="1"/>
  <c r="N48" i="29"/>
  <c r="N53" s="1"/>
  <c r="Q48" i="30"/>
  <c r="Q53" i="29"/>
  <c r="Q113" s="1"/>
  <c r="Q121" s="1"/>
  <c r="Q120" s="1"/>
  <c r="P78" i="8"/>
  <c r="M78" s="1"/>
  <c r="M78" i="4"/>
  <c r="P40" i="8"/>
  <c r="M40" s="1"/>
  <c r="Q83" i="4"/>
  <c r="N78"/>
  <c r="Q78" i="8"/>
  <c r="D54"/>
  <c r="P46" i="4"/>
  <c r="Z914" i="1"/>
  <c r="Z915" s="1"/>
  <c r="AA892"/>
  <c r="AA2" s="1"/>
  <c r="Z890"/>
  <c r="N65" i="4"/>
  <c r="Q65" i="8"/>
  <c r="P74" i="30"/>
  <c r="M74" i="29"/>
  <c r="M45" i="8"/>
  <c r="N20"/>
  <c r="N28" s="1"/>
  <c r="N12"/>
  <c r="M43" i="30"/>
  <c r="T13" i="26"/>
  <c r="T896"/>
  <c r="N34" i="8"/>
  <c r="N30"/>
  <c r="G75"/>
  <c r="G83" i="4"/>
  <c r="G89" s="1"/>
  <c r="G91" s="1"/>
  <c r="G12" i="8"/>
  <c r="G20"/>
  <c r="G28" s="1"/>
  <c r="M14"/>
  <c r="J52"/>
  <c r="J54" s="1"/>
  <c r="G53" i="29"/>
  <c r="G49" i="30"/>
  <c r="M49" s="1"/>
  <c r="M49" i="29"/>
  <c r="Q29" i="30"/>
  <c r="N29" i="29"/>
  <c r="N40" s="1"/>
  <c r="Q74" i="30"/>
  <c r="N74" s="1"/>
  <c r="N74" i="29"/>
  <c r="N64" i="4"/>
  <c r="Q64" i="8"/>
  <c r="N64" s="1"/>
  <c r="Q46" i="4"/>
  <c r="N40"/>
  <c r="Q40" i="8"/>
  <c r="M23"/>
  <c r="M26"/>
  <c r="M38"/>
  <c r="M35"/>
  <c r="T13" i="27"/>
  <c r="T896"/>
  <c r="M34" i="8"/>
  <c r="M30"/>
  <c r="D77" i="4"/>
  <c r="D75"/>
  <c r="E57" i="7"/>
  <c r="N90"/>
  <c r="N57" s="1"/>
  <c r="D76" i="4"/>
  <c r="D82"/>
  <c r="M47" i="8"/>
  <c r="M50"/>
  <c r="AS829" i="1"/>
  <c r="AS890" s="1"/>
  <c r="AS13" s="1"/>
  <c r="AS10" s="1"/>
  <c r="H52" i="8"/>
  <c r="H54" s="1"/>
  <c r="AP117" i="1" l="1"/>
  <c r="G42" i="4"/>
  <c r="J113" i="29"/>
  <c r="M22"/>
  <c r="AT888" i="1"/>
  <c r="M101" i="4"/>
  <c r="AP888" i="1"/>
  <c r="AP894" s="1"/>
  <c r="AP4" s="1"/>
  <c r="E73" i="4"/>
  <c r="E113" i="30"/>
  <c r="E125" s="1"/>
  <c r="E122" s="1"/>
  <c r="R468" i="31"/>
  <c r="E123" i="29"/>
  <c r="E120" s="1"/>
  <c r="X470" i="31"/>
  <c r="V466"/>
  <c r="U4" s="1"/>
  <c r="Y468"/>
  <c r="X468" s="1"/>
  <c r="H91" i="4"/>
  <c r="H103" s="1"/>
  <c r="H124" i="29"/>
  <c r="H121" s="1"/>
  <c r="K123"/>
  <c r="K120" s="1"/>
  <c r="H125" i="30"/>
  <c r="H122" s="1"/>
  <c r="U468" i="31"/>
  <c r="N65" i="8"/>
  <c r="N66" s="1"/>
  <c r="S466" i="31"/>
  <c r="R466" s="1"/>
  <c r="K103" i="4"/>
  <c r="E124" i="30"/>
  <c r="E121" s="1"/>
  <c r="K124"/>
  <c r="K121" s="1"/>
  <c r="H100" i="4"/>
  <c r="N66"/>
  <c r="N62" s="1"/>
  <c r="O466" i="31"/>
  <c r="O4"/>
  <c r="O470"/>
  <c r="O2"/>
  <c r="P4"/>
  <c r="O468"/>
  <c r="G73" i="4"/>
  <c r="J75" i="8"/>
  <c r="J83" i="4"/>
  <c r="J89" s="1"/>
  <c r="J91" s="1"/>
  <c r="J73"/>
  <c r="E76" i="8"/>
  <c r="N76" s="1"/>
  <c r="N76" i="4"/>
  <c r="E75" i="8"/>
  <c r="N75" s="1"/>
  <c r="N75" i="4"/>
  <c r="E77" i="8"/>
  <c r="N77" s="1"/>
  <c r="N77" i="4"/>
  <c r="M68"/>
  <c r="E68" i="8"/>
  <c r="N69"/>
  <c r="E72"/>
  <c r="E89" i="4"/>
  <c r="E91" s="1"/>
  <c r="E100" s="1"/>
  <c r="N68"/>
  <c r="E73" i="8"/>
  <c r="G46" i="4"/>
  <c r="G52" s="1"/>
  <c r="G54" s="1"/>
  <c r="M40"/>
  <c r="N43" i="8"/>
  <c r="K46"/>
  <c r="K52" s="1"/>
  <c r="K54" s="1"/>
  <c r="K39"/>
  <c r="E35"/>
  <c r="E38"/>
  <c r="E52" s="1"/>
  <c r="E54" s="1"/>
  <c r="N36"/>
  <c r="N35" i="4"/>
  <c r="G93" i="8"/>
  <c r="G104"/>
  <c r="H59" i="39" s="1"/>
  <c r="H58" s="1"/>
  <c r="G61" s="1"/>
  <c r="M92" i="8"/>
  <c r="G101"/>
  <c r="A9" i="29"/>
  <c r="A9" i="30" s="1"/>
  <c r="A9" i="4"/>
  <c r="A60" s="1"/>
  <c r="M44" i="29"/>
  <c r="G44" i="30"/>
  <c r="M44" s="1"/>
  <c r="G41" i="8"/>
  <c r="M41" s="1"/>
  <c r="M41" i="4"/>
  <c r="P48"/>
  <c r="N27" i="32"/>
  <c r="P53" i="29"/>
  <c r="P113" s="1"/>
  <c r="P121" s="1"/>
  <c r="P120" s="1"/>
  <c r="N74" i="8"/>
  <c r="H83"/>
  <c r="H89" s="1"/>
  <c r="H91" s="1"/>
  <c r="I3" i="39" s="1"/>
  <c r="I2" s="1"/>
  <c r="I1" s="1"/>
  <c r="H73" i="8"/>
  <c r="AN896" i="1"/>
  <c r="M27" i="29"/>
  <c r="M40" s="1"/>
  <c r="G27" i="30"/>
  <c r="M25"/>
  <c r="G109"/>
  <c r="G111" s="1"/>
  <c r="M2" i="29"/>
  <c r="N77"/>
  <c r="N113" s="1"/>
  <c r="M48"/>
  <c r="M53" s="1"/>
  <c r="M77" s="1"/>
  <c r="N73" i="4"/>
  <c r="AW10" i="1"/>
  <c r="AW12"/>
  <c r="Y896"/>
  <c r="H57" i="39"/>
  <c r="M111" i="29"/>
  <c r="G77"/>
  <c r="G113" s="1"/>
  <c r="G124" s="1"/>
  <c r="G121" s="1"/>
  <c r="M55" i="30"/>
  <c r="M58" s="1"/>
  <c r="G58"/>
  <c r="H13" i="1"/>
  <c r="AV8"/>
  <c r="N83" i="4"/>
  <c r="N89" s="1"/>
  <c r="M2" i="8"/>
  <c r="P46"/>
  <c r="P83"/>
  <c r="G59" i="39"/>
  <c r="G58"/>
  <c r="M14" i="30"/>
  <c r="G22"/>
  <c r="G40" s="1"/>
  <c r="M22"/>
  <c r="Q58" i="39"/>
  <c r="J22" i="30"/>
  <c r="D123" i="29"/>
  <c r="D120" s="1"/>
  <c r="D124"/>
  <c r="D121" s="1"/>
  <c r="J27" i="30"/>
  <c r="M24"/>
  <c r="M27" s="1"/>
  <c r="M40" s="1"/>
  <c r="A9" i="8"/>
  <c r="A60" s="1"/>
  <c r="M65"/>
  <c r="M66" s="1"/>
  <c r="J109" i="30"/>
  <c r="J111" s="1"/>
  <c r="M105"/>
  <c r="M109" s="1"/>
  <c r="M111" s="1"/>
  <c r="M47"/>
  <c r="D53"/>
  <c r="D77" s="1"/>
  <c r="D113" s="1"/>
  <c r="D124" s="1"/>
  <c r="Q45" i="8"/>
  <c r="N45" s="1"/>
  <c r="N45" i="4"/>
  <c r="N46" s="1"/>
  <c r="N52" s="1"/>
  <c r="N54" s="1"/>
  <c r="AK13" i="1"/>
  <c r="AL896"/>
  <c r="Q83" i="8"/>
  <c r="N78"/>
  <c r="Q53" i="30"/>
  <c r="Q113" s="1"/>
  <c r="Q122" s="1"/>
  <c r="Q121" s="1"/>
  <c r="N48"/>
  <c r="N53" s="1"/>
  <c r="N77" s="1"/>
  <c r="P53"/>
  <c r="P113" s="1"/>
  <c r="P122" s="1"/>
  <c r="P121" s="1"/>
  <c r="M48"/>
  <c r="M53" s="1"/>
  <c r="P100" i="4"/>
  <c r="P101"/>
  <c r="M3" i="39"/>
  <c r="M2" s="1"/>
  <c r="M1" s="1"/>
  <c r="K100" i="8"/>
  <c r="K103"/>
  <c r="G100" i="4"/>
  <c r="G103"/>
  <c r="D76" i="8"/>
  <c r="M76" s="1"/>
  <c r="M76" i="4"/>
  <c r="D77" i="8"/>
  <c r="M77" s="1"/>
  <c r="M77" i="4"/>
  <c r="Q46" i="8"/>
  <c r="N40"/>
  <c r="Q100" i="4"/>
  <c r="Q101"/>
  <c r="AO13" i="1"/>
  <c r="M20" i="8"/>
  <c r="M28" s="1"/>
  <c r="M12"/>
  <c r="M74" i="30"/>
  <c r="Z13" i="1"/>
  <c r="AA896"/>
  <c r="D82" i="8"/>
  <c r="M82" s="1"/>
  <c r="M82" i="4"/>
  <c r="D83"/>
  <c r="D89" s="1"/>
  <c r="D91" s="1"/>
  <c r="M75"/>
  <c r="D73"/>
  <c r="D75" i="8"/>
  <c r="N29" i="30"/>
  <c r="N40" s="1"/>
  <c r="I128" i="39"/>
  <c r="I127" s="1"/>
  <c r="I66" s="1"/>
  <c r="H121" i="30"/>
  <c r="G83" i="8"/>
  <c r="G89" s="1"/>
  <c r="G91" s="1"/>
  <c r="G73"/>
  <c r="P101"/>
  <c r="J2" i="4"/>
  <c r="E2"/>
  <c r="G53" i="30"/>
  <c r="J123" i="29" l="1"/>
  <c r="J120" s="1"/>
  <c r="J124"/>
  <c r="J121" s="1"/>
  <c r="AT117" i="1"/>
  <c r="AT829" s="1"/>
  <c r="AT890" s="1"/>
  <c r="AT13" s="1"/>
  <c r="AT10" s="1"/>
  <c r="AP829"/>
  <c r="G39" i="4"/>
  <c r="G42" i="8"/>
  <c r="M42" i="4"/>
  <c r="M39" s="1"/>
  <c r="M46"/>
  <c r="M52" s="1"/>
  <c r="M54" s="1"/>
  <c r="U466" i="31"/>
  <c r="Y4"/>
  <c r="H100" i="8"/>
  <c r="R4" i="31"/>
  <c r="E128" i="39"/>
  <c r="E127" s="1"/>
  <c r="E66" s="1"/>
  <c r="M128"/>
  <c r="M127" s="1"/>
  <c r="M66" s="1"/>
  <c r="N91" i="4"/>
  <c r="N103" s="1"/>
  <c r="H103" i="8"/>
  <c r="E103" i="4"/>
  <c r="E83" i="8"/>
  <c r="E89" s="1"/>
  <c r="E91" s="1"/>
  <c r="E100" s="1"/>
  <c r="J103" i="4"/>
  <c r="J100"/>
  <c r="J83" i="8"/>
  <c r="J89" s="1"/>
  <c r="J91" s="1"/>
  <c r="J73"/>
  <c r="N68"/>
  <c r="N72"/>
  <c r="N38"/>
  <c r="N35"/>
  <c r="M104"/>
  <c r="P59" i="39" s="1"/>
  <c r="M101" i="8"/>
  <c r="M93"/>
  <c r="P100"/>
  <c r="M113" i="29"/>
  <c r="M124" s="1"/>
  <c r="M121" s="1"/>
  <c r="G123"/>
  <c r="G120" s="1"/>
  <c r="G77" i="30"/>
  <c r="G113" s="1"/>
  <c r="G125" s="1"/>
  <c r="G122" s="1"/>
  <c r="Q57" i="39"/>
  <c r="J40" i="30"/>
  <c r="J113" s="1"/>
  <c r="D125"/>
  <c r="D122" s="1"/>
  <c r="N39" i="4"/>
  <c r="N113" i="30"/>
  <c r="N125" s="1"/>
  <c r="N122" s="1"/>
  <c r="N83" i="8"/>
  <c r="N89" s="1"/>
  <c r="N91" s="1"/>
  <c r="N73"/>
  <c r="M83" i="4"/>
  <c r="M89" s="1"/>
  <c r="M91" s="1"/>
  <c r="M100" s="1"/>
  <c r="M73"/>
  <c r="Q100" i="8"/>
  <c r="Q101"/>
  <c r="E2" i="30"/>
  <c r="E2" i="8"/>
  <c r="E2" i="29"/>
  <c r="D83" i="8"/>
  <c r="D89" s="1"/>
  <c r="D91" s="1"/>
  <c r="M75"/>
  <c r="D73"/>
  <c r="N123" i="29"/>
  <c r="N120" s="1"/>
  <c r="N124"/>
  <c r="N121" s="1"/>
  <c r="Y466" i="31"/>
  <c r="J2" i="29"/>
  <c r="J2" i="8"/>
  <c r="J2" i="30"/>
  <c r="D121"/>
  <c r="D128" i="39"/>
  <c r="D100" i="4"/>
  <c r="D103"/>
  <c r="N39" i="8"/>
  <c r="N46"/>
  <c r="N52" s="1"/>
  <c r="N54" s="1"/>
  <c r="M77" i="30"/>
  <c r="M113" s="1"/>
  <c r="G39" i="8" l="1"/>
  <c r="G46"/>
  <c r="G52" s="1"/>
  <c r="G54" s="1"/>
  <c r="M42"/>
  <c r="AP890" i="1"/>
  <c r="AP892"/>
  <c r="AP2" s="1"/>
  <c r="N100" i="4"/>
  <c r="E3" i="39"/>
  <c r="E2" s="1"/>
  <c r="E1" s="1"/>
  <c r="E103" i="8"/>
  <c r="J100"/>
  <c r="L3" i="39"/>
  <c r="L2" s="1"/>
  <c r="J103" i="8"/>
  <c r="P58" i="39"/>
  <c r="A59"/>
  <c r="N124" i="30"/>
  <c r="Q128" i="39" s="1"/>
  <c r="Q127" s="1"/>
  <c r="Q66" s="1"/>
  <c r="G124" i="30"/>
  <c r="H128" i="39" s="1"/>
  <c r="H127" s="1"/>
  <c r="M123" i="29"/>
  <c r="M120" s="1"/>
  <c r="J124" i="30"/>
  <c r="J125"/>
  <c r="J122" s="1"/>
  <c r="M103" i="4"/>
  <c r="M73" i="8"/>
  <c r="M83"/>
  <c r="M89" s="1"/>
  <c r="M91" s="1"/>
  <c r="X4" i="31"/>
  <c r="X466"/>
  <c r="G121" i="30"/>
  <c r="D100" i="8"/>
  <c r="D103"/>
  <c r="D3" i="39"/>
  <c r="M124" i="30"/>
  <c r="M125"/>
  <c r="M122" s="1"/>
  <c r="Q3" i="39"/>
  <c r="Q2" s="1"/>
  <c r="Q1" s="1"/>
  <c r="N100" i="8"/>
  <c r="N103"/>
  <c r="D127" i="39"/>
  <c r="M46" i="8" l="1"/>
  <c r="M52" s="1"/>
  <c r="M54" s="1"/>
  <c r="M39"/>
  <c r="M100"/>
  <c r="AP13" i="1"/>
  <c r="AP896"/>
  <c r="H3" i="39"/>
  <c r="H2" s="1"/>
  <c r="G100" i="8"/>
  <c r="G103"/>
  <c r="N121" i="30"/>
  <c r="K5" i="39"/>
  <c r="K53"/>
  <c r="K3"/>
  <c r="L1"/>
  <c r="K2"/>
  <c r="P57"/>
  <c r="O61"/>
  <c r="O59"/>
  <c r="O58"/>
  <c r="A63"/>
  <c r="A61"/>
  <c r="A62"/>
  <c r="L128"/>
  <c r="L127" s="1"/>
  <c r="J121" i="30"/>
  <c r="M103" i="8"/>
  <c r="D2" i="39"/>
  <c r="P3"/>
  <c r="P2" s="1"/>
  <c r="C128"/>
  <c r="C130"/>
  <c r="D66"/>
  <c r="C127"/>
  <c r="M121" i="30"/>
  <c r="P128" i="39"/>
  <c r="G128"/>
  <c r="G127"/>
  <c r="H66"/>
  <c r="G130"/>
  <c r="G53" l="1"/>
  <c r="G2"/>
  <c r="H1"/>
  <c r="G5"/>
  <c r="G3"/>
  <c r="K128"/>
  <c r="L66"/>
  <c r="K130"/>
  <c r="K127"/>
  <c r="C53"/>
  <c r="C5"/>
  <c r="D1"/>
  <c r="C3"/>
  <c r="C2"/>
  <c r="P127"/>
  <c r="A128"/>
  <c r="O2"/>
  <c r="O3"/>
  <c r="O53"/>
  <c r="P1"/>
  <c r="O5"/>
  <c r="A3"/>
  <c r="O127" l="1"/>
  <c r="O130"/>
  <c r="O128"/>
  <c r="P66"/>
  <c r="A55"/>
  <c r="A5"/>
  <c r="A54"/>
  <c r="A7"/>
  <c r="A6"/>
  <c r="A53"/>
  <c r="A131"/>
  <c r="A133"/>
  <c r="A132"/>
  <c r="A130"/>
</calcChain>
</file>

<file path=xl/comments1.xml><?xml version="1.0" encoding="utf-8"?>
<comments xmlns="http://schemas.openxmlformats.org/spreadsheetml/2006/main">
  <authors>
    <author>Никола Павлов</author>
    <author>DBoyadzhieva</author>
    <author>npavlov</author>
  </authors>
  <commentList>
    <comment ref="D4" authorId="0">
      <text>
        <r>
          <rPr>
            <sz val="10"/>
            <color indexed="81"/>
            <rFont val="Times New Roman"/>
            <family val="1"/>
            <charset val="204"/>
          </rPr>
          <t xml:space="preserve">Този код </t>
        </r>
        <r>
          <rPr>
            <i/>
            <u/>
            <sz val="10"/>
            <color indexed="10"/>
            <rFont val="Times New Roman"/>
            <family val="1"/>
            <charset val="204"/>
          </rPr>
          <t>не</t>
        </r>
        <r>
          <rPr>
            <sz val="10"/>
            <color indexed="81"/>
            <rFont val="Times New Roman"/>
            <family val="1"/>
            <charset val="204"/>
          </rPr>
          <t xml:space="preserve"> е </t>
        </r>
        <r>
          <rPr>
            <b/>
            <i/>
            <u/>
            <sz val="10"/>
            <color indexed="10"/>
            <rFont val="Times New Roman"/>
            <family val="1"/>
            <charset val="204"/>
          </rPr>
          <t>задължителен</t>
        </r>
        <r>
          <rPr>
            <b/>
            <i/>
            <sz val="10"/>
            <color indexed="81"/>
            <rFont val="Times New Roman"/>
            <family val="1"/>
            <charset val="204"/>
          </rPr>
          <t>.</t>
        </r>
        <r>
          <rPr>
            <sz val="10"/>
            <color indexed="81"/>
            <rFont val="Times New Roman"/>
            <family val="1"/>
            <charset val="204"/>
          </rPr>
          <t xml:space="preserve">Той може да се използва при изготвянето и представянето на отчетите на подведомствените разпоредители, включително ЦУ на първостепенния разпоредител с бюджет.
</t>
        </r>
      </text>
    </comment>
    <comment ref="K10" authorId="1">
      <text>
        <r>
          <rPr>
            <sz val="10"/>
            <color indexed="81"/>
            <rFont val="Times New Roman"/>
            <family val="1"/>
            <charset val="204"/>
          </rPr>
          <t xml:space="preserve">Датата на изготвяне се въвежда само с цифри и разделител </t>
        </r>
        <r>
          <rPr>
            <b/>
            <i/>
            <sz val="12"/>
            <color indexed="18"/>
            <rFont val="Times New Roman"/>
            <family val="1"/>
            <charset val="204"/>
          </rPr>
          <t>"."</t>
        </r>
        <r>
          <rPr>
            <sz val="10"/>
            <color indexed="81"/>
            <rFont val="Times New Roman"/>
            <family val="1"/>
            <charset val="204"/>
          </rPr>
          <t xml:space="preserve"> или </t>
        </r>
        <r>
          <rPr>
            <b/>
            <i/>
            <sz val="12"/>
            <color indexed="18"/>
            <rFont val="Times New Roman"/>
            <family val="1"/>
            <charset val="204"/>
          </rPr>
          <t>"-"</t>
        </r>
        <r>
          <rPr>
            <sz val="10"/>
            <color indexed="81"/>
            <rFont val="Times New Roman"/>
            <family val="1"/>
            <charset val="204"/>
          </rPr>
          <t xml:space="preserve">,
 </t>
        </r>
        <r>
          <rPr>
            <i/>
            <u/>
            <sz val="10"/>
            <color indexed="10"/>
            <rFont val="Times New Roman"/>
            <family val="1"/>
            <charset val="204"/>
          </rPr>
          <t>без</t>
        </r>
        <r>
          <rPr>
            <sz val="10"/>
            <color indexed="81"/>
            <rFont val="Times New Roman"/>
            <family val="1"/>
            <charset val="204"/>
          </rPr>
          <t xml:space="preserve"> букви за година.</t>
        </r>
      </text>
    </comment>
    <comment ref="H12" authorId="2">
      <text>
        <r>
          <rPr>
            <sz val="9"/>
            <color indexed="81"/>
            <rFont val="Times New Roman"/>
            <family val="1"/>
            <charset val="204"/>
          </rPr>
          <t xml:space="preserve">В зависимост от отчетния период се въвежда:
              </t>
        </r>
        <r>
          <rPr>
            <sz val="9"/>
            <color indexed="18"/>
            <rFont val="Times New Roman"/>
            <family val="1"/>
            <charset val="204"/>
          </rPr>
          <t xml:space="preserve">  </t>
        </r>
        <r>
          <rPr>
            <b/>
            <sz val="9"/>
            <color indexed="18"/>
            <rFont val="Times New Roman"/>
            <family val="1"/>
            <charset val="204"/>
          </rPr>
          <t xml:space="preserve">3 1  м а р т   2 0 2 0 г.
                3 0   ю н и   2 0 2 0 г.
                30  септември  2020 г.
                31  декември  2020 г.
</t>
        </r>
        <r>
          <rPr>
            <sz val="10"/>
            <color indexed="81"/>
            <rFont val="Times New Roman"/>
            <family val="1"/>
            <charset val="204"/>
          </rPr>
          <t xml:space="preserve">Осигурена е и възможност за избор на друга дата (последно число на съответния месец), ако бюджетната организация попълва този файл с данни към края на друг месец от годината. </t>
        </r>
      </text>
    </comment>
    <comment ref="T115" authorId="0">
      <text>
        <r>
          <rPr>
            <sz val="10"/>
            <color indexed="81"/>
            <rFont val="Times New Roman"/>
            <family val="1"/>
            <charset val="204"/>
          </rPr>
          <t xml:space="preserve">Допустимо </t>
        </r>
        <r>
          <rPr>
            <b/>
            <i/>
            <sz val="10"/>
            <color indexed="10"/>
            <rFont val="Times New Roman"/>
            <family val="1"/>
            <charset val="204"/>
          </rPr>
          <t xml:space="preserve">"червено" </t>
        </r>
        <r>
          <rPr>
            <b/>
            <i/>
            <sz val="10"/>
            <color indexed="81"/>
            <rFont val="Times New Roman"/>
            <family val="1"/>
            <charset val="204"/>
          </rPr>
          <t>Кт салдо</t>
        </r>
        <r>
          <rPr>
            <sz val="10"/>
            <color indexed="81"/>
            <rFont val="Times New Roman"/>
            <family val="1"/>
            <charset val="204"/>
          </rPr>
          <t xml:space="preserve"> за </t>
        </r>
        <r>
          <rPr>
            <b/>
            <sz val="10"/>
            <color indexed="81"/>
            <rFont val="Times New Roman"/>
            <family val="1"/>
            <charset val="204"/>
          </rPr>
          <t>сметка 4020</t>
        </r>
        <r>
          <rPr>
            <sz val="10"/>
            <color indexed="81"/>
            <rFont val="Times New Roman"/>
            <family val="1"/>
            <charset val="204"/>
          </rPr>
          <t xml:space="preserve"> текущо през годината, с изключение на годишната оборотна ведомост</t>
        </r>
        <r>
          <rPr>
            <sz val="10"/>
            <color indexed="81"/>
            <rFont val="Times New Roman"/>
            <family val="1"/>
            <charset val="204"/>
          </rPr>
          <t xml:space="preserve">.
</t>
        </r>
      </text>
    </comment>
    <comment ref="AA115" authorId="0">
      <text>
        <r>
          <rPr>
            <sz val="10"/>
            <color indexed="81"/>
            <rFont val="Times New Roman"/>
            <family val="1"/>
            <charset val="204"/>
          </rPr>
          <t xml:space="preserve">Допустимо </t>
        </r>
        <r>
          <rPr>
            <b/>
            <i/>
            <sz val="10"/>
            <color indexed="10"/>
            <rFont val="Times New Roman"/>
            <family val="1"/>
            <charset val="204"/>
          </rPr>
          <t xml:space="preserve">"червено" </t>
        </r>
        <r>
          <rPr>
            <b/>
            <i/>
            <sz val="10"/>
            <color indexed="81"/>
            <rFont val="Times New Roman"/>
            <family val="1"/>
            <charset val="204"/>
          </rPr>
          <t>Кт салдо</t>
        </r>
        <r>
          <rPr>
            <sz val="10"/>
            <color indexed="81"/>
            <rFont val="Times New Roman"/>
            <family val="1"/>
            <charset val="204"/>
          </rPr>
          <t xml:space="preserve"> за </t>
        </r>
        <r>
          <rPr>
            <b/>
            <sz val="10"/>
            <color indexed="81"/>
            <rFont val="Times New Roman"/>
            <family val="1"/>
            <charset val="204"/>
          </rPr>
          <t>сметка 4020</t>
        </r>
        <r>
          <rPr>
            <sz val="10"/>
            <color indexed="81"/>
            <rFont val="Times New Roman"/>
            <family val="1"/>
            <charset val="204"/>
          </rPr>
          <t xml:space="preserve"> текущо през годината, с изключение на годишната оборотна ведомост</t>
        </r>
        <r>
          <rPr>
            <sz val="10"/>
            <color indexed="81"/>
            <rFont val="Times New Roman"/>
            <family val="1"/>
            <charset val="204"/>
          </rPr>
          <t xml:space="preserve">.
</t>
        </r>
      </text>
    </comment>
    <comment ref="AH115" authorId="0">
      <text>
        <r>
          <rPr>
            <sz val="10"/>
            <color indexed="81"/>
            <rFont val="Times New Roman"/>
            <family val="1"/>
            <charset val="204"/>
          </rPr>
          <t xml:space="preserve">Допустимо </t>
        </r>
        <r>
          <rPr>
            <b/>
            <i/>
            <sz val="10"/>
            <color indexed="10"/>
            <rFont val="Times New Roman"/>
            <family val="1"/>
            <charset val="204"/>
          </rPr>
          <t xml:space="preserve">"червено" </t>
        </r>
        <r>
          <rPr>
            <b/>
            <i/>
            <sz val="10"/>
            <color indexed="81"/>
            <rFont val="Times New Roman"/>
            <family val="1"/>
            <charset val="204"/>
          </rPr>
          <t>Кт салдо</t>
        </r>
        <r>
          <rPr>
            <sz val="10"/>
            <color indexed="81"/>
            <rFont val="Times New Roman"/>
            <family val="1"/>
            <charset val="204"/>
          </rPr>
          <t xml:space="preserve"> за </t>
        </r>
        <r>
          <rPr>
            <b/>
            <sz val="10"/>
            <color indexed="81"/>
            <rFont val="Times New Roman"/>
            <family val="1"/>
            <charset val="204"/>
          </rPr>
          <t>сметка 4020</t>
        </r>
        <r>
          <rPr>
            <sz val="10"/>
            <color indexed="81"/>
            <rFont val="Times New Roman"/>
            <family val="1"/>
            <charset val="204"/>
          </rPr>
          <t xml:space="preserve"> текущо през годината, с изключение на годишната оборотна ведомост</t>
        </r>
        <r>
          <rPr>
            <sz val="10"/>
            <color indexed="81"/>
            <rFont val="Times New Roman"/>
            <family val="1"/>
            <charset val="204"/>
          </rPr>
          <t xml:space="preserve">.
</t>
        </r>
      </text>
    </comment>
    <comment ref="AP115" authorId="0">
      <text>
        <r>
          <rPr>
            <sz val="10"/>
            <color indexed="81"/>
            <rFont val="Times New Roman"/>
            <family val="1"/>
            <charset val="204"/>
          </rPr>
          <t xml:space="preserve">Допустимо </t>
        </r>
        <r>
          <rPr>
            <b/>
            <i/>
            <sz val="10"/>
            <color indexed="10"/>
            <rFont val="Times New Roman"/>
            <family val="1"/>
            <charset val="204"/>
          </rPr>
          <t xml:space="preserve">"червено" </t>
        </r>
        <r>
          <rPr>
            <b/>
            <i/>
            <sz val="10"/>
            <color indexed="81"/>
            <rFont val="Times New Roman"/>
            <family val="1"/>
            <charset val="204"/>
          </rPr>
          <t>Кт салдо</t>
        </r>
        <r>
          <rPr>
            <sz val="10"/>
            <color indexed="81"/>
            <rFont val="Times New Roman"/>
            <family val="1"/>
            <charset val="204"/>
          </rPr>
          <t xml:space="preserve"> за </t>
        </r>
        <r>
          <rPr>
            <b/>
            <sz val="10"/>
            <color indexed="81"/>
            <rFont val="Times New Roman"/>
            <family val="1"/>
            <charset val="204"/>
          </rPr>
          <t>сметка 4020</t>
        </r>
        <r>
          <rPr>
            <sz val="10"/>
            <color indexed="81"/>
            <rFont val="Times New Roman"/>
            <family val="1"/>
            <charset val="204"/>
          </rPr>
          <t xml:space="preserve"> текущо през годината, с изключение на годишната оборотна ведомост</t>
        </r>
        <r>
          <rPr>
            <sz val="10"/>
            <color indexed="81"/>
            <rFont val="Times New Roman"/>
            <family val="1"/>
            <charset val="204"/>
          </rPr>
          <t xml:space="preserve">.
</t>
        </r>
      </text>
    </comment>
    <comment ref="T117" authorId="0">
      <text>
        <r>
          <rPr>
            <sz val="10"/>
            <color indexed="81"/>
            <rFont val="Times New Roman"/>
            <family val="1"/>
            <charset val="204"/>
          </rPr>
          <t xml:space="preserve">Допустимо </t>
        </r>
        <r>
          <rPr>
            <b/>
            <i/>
            <sz val="10"/>
            <color indexed="10"/>
            <rFont val="Times New Roman"/>
            <family val="1"/>
            <charset val="204"/>
          </rPr>
          <t xml:space="preserve">"червено" </t>
        </r>
        <r>
          <rPr>
            <b/>
            <i/>
            <sz val="10"/>
            <color indexed="81"/>
            <rFont val="Times New Roman"/>
            <family val="1"/>
            <charset val="204"/>
          </rPr>
          <t>Кт салдо</t>
        </r>
        <r>
          <rPr>
            <sz val="10"/>
            <color indexed="81"/>
            <rFont val="Times New Roman"/>
            <family val="1"/>
            <charset val="204"/>
          </rPr>
          <t xml:space="preserve"> за </t>
        </r>
        <r>
          <rPr>
            <b/>
            <sz val="10"/>
            <color indexed="81"/>
            <rFont val="Times New Roman"/>
            <family val="1"/>
            <charset val="204"/>
          </rPr>
          <t>сметка 4040</t>
        </r>
        <r>
          <rPr>
            <sz val="10"/>
            <color indexed="81"/>
            <rFont val="Times New Roman"/>
            <family val="1"/>
            <charset val="204"/>
          </rPr>
          <t xml:space="preserve"> текущо през годината, с изключение на годишната оборотна ведомост.
</t>
        </r>
      </text>
    </comment>
    <comment ref="AA117" authorId="0">
      <text>
        <r>
          <rPr>
            <sz val="10"/>
            <color indexed="81"/>
            <rFont val="Times New Roman"/>
            <family val="1"/>
            <charset val="204"/>
          </rPr>
          <t xml:space="preserve">Допустимо </t>
        </r>
        <r>
          <rPr>
            <b/>
            <i/>
            <sz val="10"/>
            <color indexed="10"/>
            <rFont val="Times New Roman"/>
            <family val="1"/>
            <charset val="204"/>
          </rPr>
          <t xml:space="preserve">"червено" </t>
        </r>
        <r>
          <rPr>
            <b/>
            <i/>
            <sz val="10"/>
            <color indexed="81"/>
            <rFont val="Times New Roman"/>
            <family val="1"/>
            <charset val="204"/>
          </rPr>
          <t>Кт салдо</t>
        </r>
        <r>
          <rPr>
            <sz val="10"/>
            <color indexed="81"/>
            <rFont val="Times New Roman"/>
            <family val="1"/>
            <charset val="204"/>
          </rPr>
          <t xml:space="preserve"> за </t>
        </r>
        <r>
          <rPr>
            <b/>
            <sz val="10"/>
            <color indexed="81"/>
            <rFont val="Times New Roman"/>
            <family val="1"/>
            <charset val="204"/>
          </rPr>
          <t>сметка 4040</t>
        </r>
        <r>
          <rPr>
            <sz val="10"/>
            <color indexed="81"/>
            <rFont val="Times New Roman"/>
            <family val="1"/>
            <charset val="204"/>
          </rPr>
          <t xml:space="preserve"> текущо през годината, с изключение на годишната оборотна ведомост.
</t>
        </r>
      </text>
    </comment>
    <comment ref="AH117" authorId="0">
      <text>
        <r>
          <rPr>
            <sz val="10"/>
            <color indexed="81"/>
            <rFont val="Times New Roman"/>
            <family val="1"/>
            <charset val="204"/>
          </rPr>
          <t xml:space="preserve">Допустимо </t>
        </r>
        <r>
          <rPr>
            <b/>
            <i/>
            <sz val="10"/>
            <color indexed="10"/>
            <rFont val="Times New Roman"/>
            <family val="1"/>
            <charset val="204"/>
          </rPr>
          <t xml:space="preserve">"червено" </t>
        </r>
        <r>
          <rPr>
            <b/>
            <i/>
            <sz val="10"/>
            <color indexed="81"/>
            <rFont val="Times New Roman"/>
            <family val="1"/>
            <charset val="204"/>
          </rPr>
          <t>Кт салдо</t>
        </r>
        <r>
          <rPr>
            <sz val="10"/>
            <color indexed="81"/>
            <rFont val="Times New Roman"/>
            <family val="1"/>
            <charset val="204"/>
          </rPr>
          <t xml:space="preserve"> за </t>
        </r>
        <r>
          <rPr>
            <b/>
            <sz val="10"/>
            <color indexed="81"/>
            <rFont val="Times New Roman"/>
            <family val="1"/>
            <charset val="204"/>
          </rPr>
          <t>сметка 4040</t>
        </r>
        <r>
          <rPr>
            <sz val="10"/>
            <color indexed="81"/>
            <rFont val="Times New Roman"/>
            <family val="1"/>
            <charset val="204"/>
          </rPr>
          <t xml:space="preserve"> текущо през годината, с изключение на годишната оборотна ведомост.
</t>
        </r>
      </text>
    </comment>
    <comment ref="AP117" authorId="0">
      <text>
        <r>
          <rPr>
            <sz val="10"/>
            <color indexed="81"/>
            <rFont val="Times New Roman"/>
            <family val="1"/>
            <charset val="204"/>
          </rPr>
          <t xml:space="preserve">Допустимо </t>
        </r>
        <r>
          <rPr>
            <b/>
            <i/>
            <sz val="10"/>
            <color indexed="10"/>
            <rFont val="Times New Roman"/>
            <family val="1"/>
            <charset val="204"/>
          </rPr>
          <t xml:space="preserve">"червено" </t>
        </r>
        <r>
          <rPr>
            <b/>
            <i/>
            <sz val="10"/>
            <color indexed="81"/>
            <rFont val="Times New Roman"/>
            <family val="1"/>
            <charset val="204"/>
          </rPr>
          <t>Кт салдо</t>
        </r>
        <r>
          <rPr>
            <sz val="10"/>
            <color indexed="81"/>
            <rFont val="Times New Roman"/>
            <family val="1"/>
            <charset val="204"/>
          </rPr>
          <t xml:space="preserve"> за </t>
        </r>
        <r>
          <rPr>
            <b/>
            <sz val="10"/>
            <color indexed="81"/>
            <rFont val="Times New Roman"/>
            <family val="1"/>
            <charset val="204"/>
          </rPr>
          <t>сметка 4040</t>
        </r>
        <r>
          <rPr>
            <sz val="10"/>
            <color indexed="81"/>
            <rFont val="Times New Roman"/>
            <family val="1"/>
            <charset val="204"/>
          </rPr>
          <t xml:space="preserve"> текущо през годината, с изключение на годишната оборотна ведомост.
</t>
        </r>
      </text>
    </comment>
  </commentList>
</comments>
</file>

<file path=xl/comments10.xml><?xml version="1.0" encoding="utf-8"?>
<comments xmlns="http://schemas.openxmlformats.org/spreadsheetml/2006/main">
  <authors>
    <author>Никола Павлов</author>
  </authors>
  <commentList>
    <comment ref="D4" authorId="0">
      <text>
        <r>
          <rPr>
            <sz val="10"/>
            <color indexed="81"/>
            <rFont val="Times New Roman"/>
            <family val="1"/>
            <charset val="204"/>
          </rPr>
          <t xml:space="preserve">Този код </t>
        </r>
        <r>
          <rPr>
            <i/>
            <u/>
            <sz val="10"/>
            <color indexed="10"/>
            <rFont val="Times New Roman"/>
            <family val="1"/>
            <charset val="204"/>
          </rPr>
          <t>не</t>
        </r>
        <r>
          <rPr>
            <sz val="10"/>
            <color indexed="81"/>
            <rFont val="Times New Roman"/>
            <family val="1"/>
            <charset val="204"/>
          </rPr>
          <t xml:space="preserve"> е </t>
        </r>
        <r>
          <rPr>
            <b/>
            <i/>
            <u/>
            <sz val="10"/>
            <color indexed="10"/>
            <rFont val="Times New Roman"/>
            <family val="1"/>
            <charset val="204"/>
          </rPr>
          <t>задължителен</t>
        </r>
        <r>
          <rPr>
            <b/>
            <i/>
            <sz val="10"/>
            <color indexed="81"/>
            <rFont val="Times New Roman"/>
            <family val="1"/>
            <charset val="204"/>
          </rPr>
          <t>.</t>
        </r>
        <r>
          <rPr>
            <sz val="10"/>
            <color indexed="81"/>
            <rFont val="Times New Roman"/>
            <family val="1"/>
            <charset val="204"/>
          </rPr>
          <t xml:space="preserve">Той може да се използва при изготвянето и представянето на отчетите на подведомствените разпоредители, включително ЦУ на първостепенния разпоредител с бюджет.
</t>
        </r>
      </text>
    </comment>
    <comment ref="T115" authorId="0">
      <text>
        <r>
          <rPr>
            <sz val="10"/>
            <color indexed="81"/>
            <rFont val="Times New Roman"/>
            <family val="1"/>
            <charset val="204"/>
          </rPr>
          <t xml:space="preserve">Допустимо </t>
        </r>
        <r>
          <rPr>
            <b/>
            <i/>
            <sz val="10"/>
            <color indexed="10"/>
            <rFont val="Times New Roman"/>
            <family val="1"/>
            <charset val="204"/>
          </rPr>
          <t xml:space="preserve">"червено" </t>
        </r>
        <r>
          <rPr>
            <b/>
            <i/>
            <sz val="10"/>
            <color indexed="81"/>
            <rFont val="Times New Roman"/>
            <family val="1"/>
            <charset val="204"/>
          </rPr>
          <t>Кт салдо</t>
        </r>
        <r>
          <rPr>
            <sz val="10"/>
            <color indexed="81"/>
            <rFont val="Times New Roman"/>
            <family val="1"/>
            <charset val="204"/>
          </rPr>
          <t xml:space="preserve"> за </t>
        </r>
        <r>
          <rPr>
            <b/>
            <sz val="10"/>
            <color indexed="81"/>
            <rFont val="Times New Roman"/>
            <family val="1"/>
            <charset val="204"/>
          </rPr>
          <t>сметка 4020</t>
        </r>
        <r>
          <rPr>
            <sz val="10"/>
            <color indexed="81"/>
            <rFont val="Times New Roman"/>
            <family val="1"/>
            <charset val="204"/>
          </rPr>
          <t xml:space="preserve"> текущо през годината, с изключение на годишната оборотна ведомост</t>
        </r>
        <r>
          <rPr>
            <sz val="10"/>
            <color indexed="81"/>
            <rFont val="Times New Roman"/>
            <family val="1"/>
            <charset val="204"/>
          </rPr>
          <t xml:space="preserve">.
</t>
        </r>
      </text>
    </comment>
    <comment ref="T117" authorId="0">
      <text>
        <r>
          <rPr>
            <sz val="10"/>
            <color indexed="81"/>
            <rFont val="Times New Roman"/>
            <family val="1"/>
            <charset val="204"/>
          </rPr>
          <t xml:space="preserve">Допустимо </t>
        </r>
        <r>
          <rPr>
            <b/>
            <i/>
            <sz val="10"/>
            <color indexed="10"/>
            <rFont val="Times New Roman"/>
            <family val="1"/>
            <charset val="204"/>
          </rPr>
          <t xml:space="preserve">"червено" </t>
        </r>
        <r>
          <rPr>
            <b/>
            <i/>
            <sz val="10"/>
            <color indexed="81"/>
            <rFont val="Times New Roman"/>
            <family val="1"/>
            <charset val="204"/>
          </rPr>
          <t>Кт салдо</t>
        </r>
        <r>
          <rPr>
            <sz val="10"/>
            <color indexed="81"/>
            <rFont val="Times New Roman"/>
            <family val="1"/>
            <charset val="204"/>
          </rPr>
          <t xml:space="preserve"> за </t>
        </r>
        <r>
          <rPr>
            <b/>
            <sz val="10"/>
            <color indexed="81"/>
            <rFont val="Times New Roman"/>
            <family val="1"/>
            <charset val="204"/>
          </rPr>
          <t>сметка 4040</t>
        </r>
        <r>
          <rPr>
            <sz val="10"/>
            <color indexed="81"/>
            <rFont val="Times New Roman"/>
            <family val="1"/>
            <charset val="204"/>
          </rPr>
          <t xml:space="preserve"> текущо през годината, с изключение на годишната оборотна ведомост.
</t>
        </r>
      </text>
    </comment>
  </commentList>
</comments>
</file>

<file path=xl/comments11.xml><?xml version="1.0" encoding="utf-8"?>
<comments xmlns="http://schemas.openxmlformats.org/spreadsheetml/2006/main">
  <authors>
    <author>Никола Павлов</author>
  </authors>
  <commentList>
    <comment ref="D4" authorId="0">
      <text>
        <r>
          <rPr>
            <sz val="10"/>
            <color indexed="81"/>
            <rFont val="Times New Roman"/>
            <family val="1"/>
            <charset val="204"/>
          </rPr>
          <t xml:space="preserve">Този код </t>
        </r>
        <r>
          <rPr>
            <i/>
            <u/>
            <sz val="10"/>
            <color indexed="10"/>
            <rFont val="Times New Roman"/>
            <family val="1"/>
            <charset val="204"/>
          </rPr>
          <t>не</t>
        </r>
        <r>
          <rPr>
            <sz val="10"/>
            <color indexed="81"/>
            <rFont val="Times New Roman"/>
            <family val="1"/>
            <charset val="204"/>
          </rPr>
          <t xml:space="preserve"> е </t>
        </r>
        <r>
          <rPr>
            <b/>
            <i/>
            <u/>
            <sz val="10"/>
            <color indexed="10"/>
            <rFont val="Times New Roman"/>
            <family val="1"/>
            <charset val="204"/>
          </rPr>
          <t>задължителен</t>
        </r>
        <r>
          <rPr>
            <b/>
            <i/>
            <sz val="10"/>
            <color indexed="81"/>
            <rFont val="Times New Roman"/>
            <family val="1"/>
            <charset val="204"/>
          </rPr>
          <t>.</t>
        </r>
        <r>
          <rPr>
            <sz val="10"/>
            <color indexed="81"/>
            <rFont val="Times New Roman"/>
            <family val="1"/>
            <charset val="204"/>
          </rPr>
          <t xml:space="preserve">Той може да се използва при изготвянето и представянето на отчетите на подведомствените разпоредители, включително ЦУ на първостепенния разпоредител с бюджет.
</t>
        </r>
      </text>
    </comment>
    <comment ref="T115" authorId="0">
      <text>
        <r>
          <rPr>
            <sz val="10"/>
            <color indexed="81"/>
            <rFont val="Times New Roman"/>
            <family val="1"/>
            <charset val="204"/>
          </rPr>
          <t xml:space="preserve">Допустимо </t>
        </r>
        <r>
          <rPr>
            <b/>
            <i/>
            <sz val="10"/>
            <color indexed="10"/>
            <rFont val="Times New Roman"/>
            <family val="1"/>
            <charset val="204"/>
          </rPr>
          <t xml:space="preserve">"червено" </t>
        </r>
        <r>
          <rPr>
            <b/>
            <i/>
            <sz val="10"/>
            <color indexed="81"/>
            <rFont val="Times New Roman"/>
            <family val="1"/>
            <charset val="204"/>
          </rPr>
          <t>Кт салдо</t>
        </r>
        <r>
          <rPr>
            <sz val="10"/>
            <color indexed="81"/>
            <rFont val="Times New Roman"/>
            <family val="1"/>
            <charset val="204"/>
          </rPr>
          <t xml:space="preserve"> за </t>
        </r>
        <r>
          <rPr>
            <b/>
            <sz val="10"/>
            <color indexed="81"/>
            <rFont val="Times New Roman"/>
            <family val="1"/>
            <charset val="204"/>
          </rPr>
          <t>сметка 4020</t>
        </r>
        <r>
          <rPr>
            <sz val="10"/>
            <color indexed="81"/>
            <rFont val="Times New Roman"/>
            <family val="1"/>
            <charset val="204"/>
          </rPr>
          <t xml:space="preserve"> текущо през годината, с изключение на годишната оборотна ведомост</t>
        </r>
        <r>
          <rPr>
            <sz val="10"/>
            <color indexed="81"/>
            <rFont val="Times New Roman"/>
            <family val="1"/>
            <charset val="204"/>
          </rPr>
          <t xml:space="preserve">.
</t>
        </r>
      </text>
    </comment>
    <comment ref="T117" authorId="0">
      <text>
        <r>
          <rPr>
            <sz val="10"/>
            <color indexed="81"/>
            <rFont val="Times New Roman"/>
            <family val="1"/>
            <charset val="204"/>
          </rPr>
          <t xml:space="preserve">Допустимо </t>
        </r>
        <r>
          <rPr>
            <b/>
            <i/>
            <sz val="10"/>
            <color indexed="10"/>
            <rFont val="Times New Roman"/>
            <family val="1"/>
            <charset val="204"/>
          </rPr>
          <t xml:space="preserve">"червено" </t>
        </r>
        <r>
          <rPr>
            <b/>
            <i/>
            <sz val="10"/>
            <color indexed="81"/>
            <rFont val="Times New Roman"/>
            <family val="1"/>
            <charset val="204"/>
          </rPr>
          <t>Кт салдо</t>
        </r>
        <r>
          <rPr>
            <sz val="10"/>
            <color indexed="81"/>
            <rFont val="Times New Roman"/>
            <family val="1"/>
            <charset val="204"/>
          </rPr>
          <t xml:space="preserve"> за </t>
        </r>
        <r>
          <rPr>
            <b/>
            <sz val="10"/>
            <color indexed="81"/>
            <rFont val="Times New Roman"/>
            <family val="1"/>
            <charset val="204"/>
          </rPr>
          <t>сметка 4040</t>
        </r>
        <r>
          <rPr>
            <sz val="10"/>
            <color indexed="81"/>
            <rFont val="Times New Roman"/>
            <family val="1"/>
            <charset val="204"/>
          </rPr>
          <t xml:space="preserve"> текущо през годината, с изключение на годишната оборотна ведомост.
</t>
        </r>
      </text>
    </comment>
  </commentList>
</comments>
</file>

<file path=xl/comments12.xml><?xml version="1.0" encoding="utf-8"?>
<comments xmlns="http://schemas.openxmlformats.org/spreadsheetml/2006/main">
  <authors>
    <author>Никола Павлов</author>
  </authors>
  <commentList>
    <comment ref="D4" authorId="0">
      <text>
        <r>
          <rPr>
            <sz val="10"/>
            <color indexed="81"/>
            <rFont val="Times New Roman"/>
            <family val="1"/>
            <charset val="204"/>
          </rPr>
          <t xml:space="preserve">Този код </t>
        </r>
        <r>
          <rPr>
            <i/>
            <u/>
            <sz val="10"/>
            <color indexed="10"/>
            <rFont val="Times New Roman"/>
            <family val="1"/>
            <charset val="204"/>
          </rPr>
          <t>не</t>
        </r>
        <r>
          <rPr>
            <sz val="10"/>
            <color indexed="81"/>
            <rFont val="Times New Roman"/>
            <family val="1"/>
            <charset val="204"/>
          </rPr>
          <t xml:space="preserve"> е </t>
        </r>
        <r>
          <rPr>
            <b/>
            <i/>
            <u/>
            <sz val="10"/>
            <color indexed="10"/>
            <rFont val="Times New Roman"/>
            <family val="1"/>
            <charset val="204"/>
          </rPr>
          <t>задължителен</t>
        </r>
        <r>
          <rPr>
            <b/>
            <i/>
            <sz val="10"/>
            <color indexed="81"/>
            <rFont val="Times New Roman"/>
            <family val="1"/>
            <charset val="204"/>
          </rPr>
          <t>.</t>
        </r>
        <r>
          <rPr>
            <sz val="10"/>
            <color indexed="81"/>
            <rFont val="Times New Roman"/>
            <family val="1"/>
            <charset val="204"/>
          </rPr>
          <t xml:space="preserve">Той може да се използва при изготвянето и представянето на отчетите на подведомствените разпоредители, включително ЦУ на първостепенния разпоредител с бюджет.
</t>
        </r>
      </text>
    </comment>
    <comment ref="T115" authorId="0">
      <text>
        <r>
          <rPr>
            <sz val="10"/>
            <color indexed="81"/>
            <rFont val="Times New Roman"/>
            <family val="1"/>
            <charset val="204"/>
          </rPr>
          <t xml:space="preserve">Допустимо </t>
        </r>
        <r>
          <rPr>
            <b/>
            <i/>
            <sz val="10"/>
            <color indexed="10"/>
            <rFont val="Times New Roman"/>
            <family val="1"/>
            <charset val="204"/>
          </rPr>
          <t xml:space="preserve">"червено" </t>
        </r>
        <r>
          <rPr>
            <b/>
            <i/>
            <sz val="10"/>
            <color indexed="81"/>
            <rFont val="Times New Roman"/>
            <family val="1"/>
            <charset val="204"/>
          </rPr>
          <t>Кт салдо</t>
        </r>
        <r>
          <rPr>
            <sz val="10"/>
            <color indexed="81"/>
            <rFont val="Times New Roman"/>
            <family val="1"/>
            <charset val="204"/>
          </rPr>
          <t xml:space="preserve"> за </t>
        </r>
        <r>
          <rPr>
            <b/>
            <sz val="10"/>
            <color indexed="81"/>
            <rFont val="Times New Roman"/>
            <family val="1"/>
            <charset val="204"/>
          </rPr>
          <t>сметка 4020</t>
        </r>
        <r>
          <rPr>
            <sz val="10"/>
            <color indexed="81"/>
            <rFont val="Times New Roman"/>
            <family val="1"/>
            <charset val="204"/>
          </rPr>
          <t xml:space="preserve"> текущо през годината, с изключение на годишната оборотна ведомост</t>
        </r>
        <r>
          <rPr>
            <sz val="10"/>
            <color indexed="81"/>
            <rFont val="Times New Roman"/>
            <family val="1"/>
            <charset val="204"/>
          </rPr>
          <t xml:space="preserve">.
</t>
        </r>
      </text>
    </comment>
    <comment ref="T117" authorId="0">
      <text>
        <r>
          <rPr>
            <sz val="10"/>
            <color indexed="81"/>
            <rFont val="Times New Roman"/>
            <family val="1"/>
            <charset val="204"/>
          </rPr>
          <t xml:space="preserve">Допустимо </t>
        </r>
        <r>
          <rPr>
            <b/>
            <i/>
            <sz val="10"/>
            <color indexed="10"/>
            <rFont val="Times New Roman"/>
            <family val="1"/>
            <charset val="204"/>
          </rPr>
          <t xml:space="preserve">"червено" </t>
        </r>
        <r>
          <rPr>
            <b/>
            <i/>
            <sz val="10"/>
            <color indexed="81"/>
            <rFont val="Times New Roman"/>
            <family val="1"/>
            <charset val="204"/>
          </rPr>
          <t>Кт салдо</t>
        </r>
        <r>
          <rPr>
            <sz val="10"/>
            <color indexed="81"/>
            <rFont val="Times New Roman"/>
            <family val="1"/>
            <charset val="204"/>
          </rPr>
          <t xml:space="preserve"> за </t>
        </r>
        <r>
          <rPr>
            <b/>
            <sz val="10"/>
            <color indexed="81"/>
            <rFont val="Times New Roman"/>
            <family val="1"/>
            <charset val="204"/>
          </rPr>
          <t>сметка 4040</t>
        </r>
        <r>
          <rPr>
            <sz val="10"/>
            <color indexed="81"/>
            <rFont val="Times New Roman"/>
            <family val="1"/>
            <charset val="204"/>
          </rPr>
          <t xml:space="preserve"> текущо през годината, с изключение на годишната оборотна ведомост.
</t>
        </r>
      </text>
    </comment>
  </commentList>
</comments>
</file>

<file path=xl/comments13.xml><?xml version="1.0" encoding="utf-8"?>
<comments xmlns="http://schemas.openxmlformats.org/spreadsheetml/2006/main">
  <authors>
    <author>NPavlov</author>
    <author>npavlov</author>
  </authors>
  <commentList>
    <comment ref="C82" authorId="0">
      <text>
        <r>
          <rPr>
            <sz val="10"/>
            <color indexed="81"/>
            <rFont val="Times New Roman Cyr"/>
            <family val="1"/>
            <charset val="204"/>
          </rPr>
          <t xml:space="preserve">Закрит съгласно </t>
        </r>
        <r>
          <rPr>
            <b/>
            <sz val="10"/>
            <color indexed="81"/>
            <rFont val="Times New Roman Cyr"/>
            <family val="1"/>
            <charset val="204"/>
          </rPr>
          <t>т. 6.3</t>
        </r>
        <r>
          <rPr>
            <sz val="10"/>
            <color indexed="81"/>
            <rFont val="Times New Roman Cyr"/>
            <family val="1"/>
            <charset val="204"/>
          </rPr>
          <t xml:space="preserve"> от  писмо на МФ </t>
        </r>
        <r>
          <rPr>
            <b/>
            <i/>
            <sz val="10"/>
            <color indexed="62"/>
            <rFont val="Times New Roman Cyr"/>
            <family val="1"/>
            <charset val="204"/>
          </rPr>
          <t>БДС № 15</t>
        </r>
        <r>
          <rPr>
            <b/>
            <i/>
            <sz val="10"/>
            <color indexed="81"/>
            <rFont val="Times New Roman Cyr"/>
            <family val="1"/>
            <charset val="204"/>
          </rPr>
          <t>/</t>
        </r>
        <r>
          <rPr>
            <b/>
            <i/>
            <sz val="10"/>
            <color indexed="10"/>
            <rFont val="Times New Roman CYR"/>
            <family val="1"/>
            <charset val="204"/>
          </rPr>
          <t>16.08.2001 г.</t>
        </r>
      </text>
    </comment>
    <comment ref="C162" authorId="1">
      <text>
        <r>
          <rPr>
            <sz val="10"/>
            <color indexed="81"/>
            <rFont val="Times New Roman"/>
            <family val="1"/>
            <charset val="204"/>
          </rPr>
          <t xml:space="preserve">Допълнено с
 </t>
        </r>
        <r>
          <rPr>
            <b/>
            <sz val="10"/>
            <color indexed="81"/>
            <rFont val="Times New Roman"/>
            <family val="1"/>
            <charset val="204"/>
          </rPr>
          <t>ДДС № 04/2015 г.</t>
        </r>
      </text>
    </comment>
    <comment ref="C183" authorId="0">
      <text>
        <r>
          <rPr>
            <sz val="10"/>
            <color indexed="81"/>
            <rFont val="Times New Roman Cyr"/>
            <family val="1"/>
            <charset val="204"/>
          </rPr>
          <t xml:space="preserve">Открит съгласно </t>
        </r>
        <r>
          <rPr>
            <b/>
            <sz val="10"/>
            <color indexed="81"/>
            <rFont val="Times New Roman Cyr"/>
            <family val="1"/>
            <charset val="204"/>
          </rPr>
          <t>т. 6.1</t>
        </r>
        <r>
          <rPr>
            <sz val="10"/>
            <color indexed="81"/>
            <rFont val="Times New Roman Cyr"/>
            <family val="1"/>
            <charset val="204"/>
          </rPr>
          <t xml:space="preserve"> от  писмо на МФ </t>
        </r>
        <r>
          <rPr>
            <b/>
            <i/>
            <sz val="10"/>
            <color indexed="62"/>
            <rFont val="Times New Roman Cyr"/>
            <family val="1"/>
            <charset val="204"/>
          </rPr>
          <t>БДС № 15</t>
        </r>
        <r>
          <rPr>
            <b/>
            <i/>
            <sz val="10"/>
            <color indexed="81"/>
            <rFont val="Times New Roman Cyr"/>
            <family val="1"/>
            <charset val="204"/>
          </rPr>
          <t>/</t>
        </r>
        <r>
          <rPr>
            <b/>
            <i/>
            <sz val="10"/>
            <color indexed="10"/>
            <rFont val="Times New Roman CYR"/>
            <family val="1"/>
            <charset val="204"/>
          </rPr>
          <t>16.08.2001 г.</t>
        </r>
      </text>
    </comment>
    <comment ref="C202" authorId="0">
      <text>
        <r>
          <rPr>
            <sz val="10"/>
            <color indexed="81"/>
            <rFont val="Times New Roman Cyr"/>
            <family val="1"/>
            <charset val="204"/>
          </rPr>
          <t xml:space="preserve">Открит съгласно </t>
        </r>
        <r>
          <rPr>
            <b/>
            <sz val="10"/>
            <color indexed="81"/>
            <rFont val="Times New Roman Cyr"/>
            <family val="1"/>
            <charset val="204"/>
          </rPr>
          <t>т. 1.1</t>
        </r>
        <r>
          <rPr>
            <sz val="10"/>
            <color indexed="81"/>
            <rFont val="Times New Roman Cyr"/>
            <family val="1"/>
            <charset val="204"/>
          </rPr>
          <t xml:space="preserve"> от  писмо на МФ </t>
        </r>
        <r>
          <rPr>
            <b/>
            <i/>
            <sz val="10"/>
            <color indexed="62"/>
            <rFont val="Times New Roman Cyr"/>
            <family val="1"/>
            <charset val="204"/>
          </rPr>
          <t>БДС № 15</t>
        </r>
        <r>
          <rPr>
            <b/>
            <i/>
            <sz val="10"/>
            <color indexed="81"/>
            <rFont val="Times New Roman Cyr"/>
            <family val="1"/>
            <charset val="204"/>
          </rPr>
          <t>/</t>
        </r>
        <r>
          <rPr>
            <b/>
            <i/>
            <sz val="10"/>
            <color indexed="10"/>
            <rFont val="Times New Roman CYR"/>
            <family val="1"/>
            <charset val="204"/>
          </rPr>
          <t>16.08.2001 г.</t>
        </r>
      </text>
    </comment>
  </commentList>
</comments>
</file>

<file path=xl/comments2.xml><?xml version="1.0" encoding="utf-8"?>
<comments xmlns="http://schemas.openxmlformats.org/spreadsheetml/2006/main">
  <authors>
    <author>Никола Павлов</author>
  </authors>
  <commentList>
    <comment ref="D4" authorId="0">
      <text>
        <r>
          <rPr>
            <sz val="10"/>
            <color indexed="81"/>
            <rFont val="Times New Roman"/>
            <family val="1"/>
            <charset val="204"/>
          </rPr>
          <t xml:space="preserve">Този код </t>
        </r>
        <r>
          <rPr>
            <i/>
            <u/>
            <sz val="10"/>
            <color indexed="10"/>
            <rFont val="Times New Roman"/>
            <family val="1"/>
            <charset val="204"/>
          </rPr>
          <t>не</t>
        </r>
        <r>
          <rPr>
            <sz val="10"/>
            <color indexed="81"/>
            <rFont val="Times New Roman"/>
            <family val="1"/>
            <charset val="204"/>
          </rPr>
          <t xml:space="preserve"> е </t>
        </r>
        <r>
          <rPr>
            <b/>
            <i/>
            <u/>
            <sz val="10"/>
            <color indexed="10"/>
            <rFont val="Times New Roman"/>
            <family val="1"/>
            <charset val="204"/>
          </rPr>
          <t>задължителен</t>
        </r>
        <r>
          <rPr>
            <b/>
            <i/>
            <sz val="10"/>
            <color indexed="81"/>
            <rFont val="Times New Roman"/>
            <family val="1"/>
            <charset val="204"/>
          </rPr>
          <t>.</t>
        </r>
        <r>
          <rPr>
            <sz val="10"/>
            <color indexed="81"/>
            <rFont val="Times New Roman"/>
            <family val="1"/>
            <charset val="204"/>
          </rPr>
          <t xml:space="preserve">Той може да се използва при изготвянето и представянето на отчетите на подведомствените разпоредители, включително ЦУ на първостепенния разпоредител с бюджет.
</t>
        </r>
      </text>
    </comment>
  </commentList>
</comments>
</file>

<file path=xl/comments3.xml><?xml version="1.0" encoding="utf-8"?>
<comments xmlns="http://schemas.openxmlformats.org/spreadsheetml/2006/main">
  <authors>
    <author>NPavlov</author>
  </authors>
  <commentList>
    <comment ref="D12" authorId="0">
      <text>
        <r>
          <rPr>
            <sz val="9"/>
            <color indexed="81"/>
            <rFont val="Times New Roman Cyr"/>
            <family val="1"/>
            <charset val="204"/>
          </rPr>
          <t xml:space="preserve">  редове </t>
        </r>
        <r>
          <rPr>
            <b/>
            <sz val="9"/>
            <color indexed="81"/>
            <rFont val="Times New Roman Cyr"/>
            <family val="1"/>
            <charset val="204"/>
          </rPr>
          <t>1061</t>
        </r>
        <r>
          <rPr>
            <sz val="9"/>
            <color indexed="81"/>
            <rFont val="Times New Roman Cyr"/>
            <family val="1"/>
            <charset val="204"/>
          </rPr>
          <t xml:space="preserve"> и </t>
        </r>
        <r>
          <rPr>
            <b/>
            <sz val="9"/>
            <color indexed="81"/>
            <rFont val="Times New Roman Cyr"/>
            <family val="1"/>
            <charset val="204"/>
          </rPr>
          <t>1062</t>
        </r>
        <r>
          <rPr>
            <sz val="9"/>
            <color indexed="81"/>
            <rFont val="Times New Roman Cyr"/>
            <family val="1"/>
            <charset val="204"/>
          </rPr>
          <t xml:space="preserve"> се попълват  със </t>
        </r>
        <r>
          <rPr>
            <sz val="9"/>
            <color indexed="10"/>
            <rFont val="Times New Roman Cyr"/>
          </rPr>
          <t xml:space="preserve"> </t>
        </r>
        <r>
          <rPr>
            <b/>
            <sz val="9"/>
            <color indexed="18"/>
            <rFont val="Times New Roman CYR"/>
            <charset val="204"/>
          </rPr>
          <t>знак "плюс"</t>
        </r>
        <r>
          <rPr>
            <b/>
            <sz val="9"/>
            <color indexed="81"/>
            <rFont val="Times New Roman Cyr"/>
            <family val="1"/>
            <charset val="204"/>
          </rPr>
          <t>!</t>
        </r>
      </text>
    </comment>
    <comment ref="D16" authorId="0">
      <text>
        <r>
          <rPr>
            <sz val="9"/>
            <color indexed="81"/>
            <rFont val="Times New Roman Cyr"/>
            <family val="1"/>
            <charset val="204"/>
          </rPr>
          <t xml:space="preserve">  редове </t>
        </r>
        <r>
          <rPr>
            <b/>
            <sz val="9"/>
            <color indexed="81"/>
            <rFont val="Times New Roman Cyr"/>
            <family val="1"/>
            <charset val="204"/>
          </rPr>
          <t>1071-1076</t>
        </r>
        <r>
          <rPr>
            <sz val="9"/>
            <color indexed="81"/>
            <rFont val="Times New Roman Cyr"/>
            <family val="1"/>
            <charset val="204"/>
          </rPr>
          <t xml:space="preserve"> се попълват  със </t>
        </r>
        <r>
          <rPr>
            <sz val="9"/>
            <color indexed="10"/>
            <rFont val="Times New Roman Cyr"/>
          </rPr>
          <t xml:space="preserve"> </t>
        </r>
        <r>
          <rPr>
            <b/>
            <sz val="9"/>
            <color indexed="18"/>
            <rFont val="Times New Roman CYR"/>
            <charset val="204"/>
          </rPr>
          <t>знак "плюс"</t>
        </r>
        <r>
          <rPr>
            <b/>
            <sz val="9"/>
            <color indexed="81"/>
            <rFont val="Times New Roman Cyr"/>
            <family val="1"/>
            <charset val="204"/>
          </rPr>
          <t>!</t>
        </r>
      </text>
    </comment>
    <comment ref="D24" authorId="0">
      <text>
        <r>
          <rPr>
            <sz val="10"/>
            <color indexed="81"/>
            <rFont val="Times New Roman Cyr"/>
            <family val="1"/>
            <charset val="204"/>
          </rPr>
          <t xml:space="preserve">на редове </t>
        </r>
        <r>
          <rPr>
            <b/>
            <sz val="10"/>
            <color indexed="81"/>
            <rFont val="Times New Roman Cyr"/>
            <family val="1"/>
            <charset val="204"/>
          </rPr>
          <t>1081-1086</t>
        </r>
        <r>
          <rPr>
            <sz val="10"/>
            <color indexed="81"/>
            <rFont val="Times New Roman Cyr"/>
            <family val="1"/>
            <charset val="204"/>
          </rPr>
          <t xml:space="preserve"> колоните за </t>
        </r>
        <r>
          <rPr>
            <sz val="10"/>
            <color indexed="16"/>
            <rFont val="Times New Roman Cyr"/>
          </rPr>
          <t>начален</t>
        </r>
        <r>
          <rPr>
            <sz val="10"/>
            <color indexed="81"/>
            <rFont val="Times New Roman Cyr"/>
            <family val="1"/>
            <charset val="204"/>
          </rPr>
          <t xml:space="preserve"> и </t>
        </r>
        <r>
          <rPr>
            <sz val="10"/>
            <color indexed="58"/>
            <rFont val="Times New Roman Cyr"/>
          </rPr>
          <t>краен</t>
        </r>
        <r>
          <rPr>
            <sz val="10"/>
            <color indexed="17"/>
            <rFont val="Times New Roman Cyr"/>
            <family val="1"/>
            <charset val="204"/>
          </rPr>
          <t xml:space="preserve"> </t>
        </r>
        <r>
          <rPr>
            <sz val="10"/>
            <color indexed="81"/>
            <rFont val="Times New Roman Cyr"/>
            <family val="1"/>
            <charset val="204"/>
          </rPr>
          <t>баланс се попълват:  - със</t>
        </r>
        <r>
          <rPr>
            <b/>
            <sz val="10"/>
            <color indexed="10"/>
            <rFont val="Times New Roman Cyr"/>
            <family val="1"/>
            <charset val="204"/>
          </rPr>
          <t xml:space="preserve"> </t>
        </r>
        <r>
          <rPr>
            <b/>
            <sz val="10"/>
            <color indexed="18"/>
            <rFont val="Times New Roman Cyr"/>
          </rPr>
          <t>знак "плюс"</t>
        </r>
        <r>
          <rPr>
            <sz val="10"/>
            <color indexed="81"/>
            <rFont val="Times New Roman Cyr"/>
            <family val="1"/>
            <charset val="204"/>
          </rPr>
          <t xml:space="preserve"> за </t>
        </r>
        <r>
          <rPr>
            <i/>
            <sz val="10"/>
            <color indexed="18"/>
            <rFont val="Times New Roman Cyr"/>
          </rPr>
          <t>Дебитен</t>
        </r>
        <r>
          <rPr>
            <sz val="10"/>
            <color indexed="81"/>
            <rFont val="Times New Roman Cyr"/>
            <family val="1"/>
            <charset val="204"/>
          </rPr>
          <t xml:space="preserve"> коректив;  - със</t>
        </r>
        <r>
          <rPr>
            <b/>
            <sz val="10"/>
            <color indexed="12"/>
            <rFont val="Times New Roman Cyr"/>
            <family val="1"/>
            <charset val="204"/>
          </rPr>
          <t xml:space="preserve"> </t>
        </r>
        <r>
          <rPr>
            <b/>
            <sz val="10"/>
            <color indexed="10"/>
            <rFont val="Times New Roman Cyr"/>
          </rPr>
          <t>знак "минус"</t>
        </r>
        <r>
          <rPr>
            <b/>
            <sz val="10"/>
            <color indexed="12"/>
            <rFont val="Times New Roman Cyr"/>
            <family val="1"/>
            <charset val="204"/>
          </rPr>
          <t xml:space="preserve"> </t>
        </r>
        <r>
          <rPr>
            <sz val="10"/>
            <color indexed="81"/>
            <rFont val="Times New Roman Cyr"/>
            <family val="1"/>
            <charset val="204"/>
          </rPr>
          <t xml:space="preserve">за </t>
        </r>
        <r>
          <rPr>
            <i/>
            <sz val="10"/>
            <color indexed="10"/>
            <rFont val="Times New Roman Cyr"/>
          </rPr>
          <t>Кредитен</t>
        </r>
        <r>
          <rPr>
            <sz val="10"/>
            <color indexed="81"/>
            <rFont val="Times New Roman Cyr"/>
            <family val="1"/>
            <charset val="204"/>
          </rPr>
          <t xml:space="preserve"> коректив.</t>
        </r>
      </text>
    </comment>
    <comment ref="D41" authorId="0">
      <text>
        <r>
          <rPr>
            <sz val="10"/>
            <color indexed="81"/>
            <rFont val="Times New Roman Cyr"/>
            <family val="1"/>
            <charset val="204"/>
          </rPr>
          <t xml:space="preserve">на редове </t>
        </r>
        <r>
          <rPr>
            <b/>
            <sz val="10"/>
            <color indexed="81"/>
            <rFont val="Times New Roman Cyr"/>
            <family val="1"/>
            <charset val="204"/>
          </rPr>
          <t>1511</t>
        </r>
        <r>
          <rPr>
            <sz val="10"/>
            <color indexed="81"/>
            <rFont val="Times New Roman Cyr"/>
            <family val="1"/>
            <charset val="204"/>
          </rPr>
          <t xml:space="preserve"> и </t>
        </r>
        <r>
          <rPr>
            <b/>
            <sz val="10"/>
            <color indexed="81"/>
            <rFont val="Times New Roman Cyr"/>
            <family val="1"/>
            <charset val="204"/>
          </rPr>
          <t>1521</t>
        </r>
        <r>
          <rPr>
            <sz val="10"/>
            <color indexed="81"/>
            <rFont val="Times New Roman Cyr"/>
            <family val="1"/>
            <charset val="204"/>
          </rPr>
          <t xml:space="preserve"> колоните за </t>
        </r>
        <r>
          <rPr>
            <sz val="10"/>
            <color indexed="16"/>
            <rFont val="Times New Roman Cyr"/>
          </rPr>
          <t>на-чален</t>
        </r>
        <r>
          <rPr>
            <sz val="10"/>
            <color indexed="81"/>
            <rFont val="Times New Roman Cyr"/>
            <family val="1"/>
            <charset val="204"/>
          </rPr>
          <t xml:space="preserve"> и </t>
        </r>
        <r>
          <rPr>
            <sz val="10"/>
            <color indexed="58"/>
            <rFont val="Times New Roman Cyr"/>
          </rPr>
          <t>краен</t>
        </r>
        <r>
          <rPr>
            <sz val="10"/>
            <color indexed="17"/>
            <rFont val="Times New Roman Cyr"/>
            <family val="1"/>
            <charset val="204"/>
          </rPr>
          <t xml:space="preserve"> </t>
        </r>
        <r>
          <rPr>
            <sz val="10"/>
            <color indexed="81"/>
            <rFont val="Times New Roman Cyr"/>
            <family val="1"/>
            <charset val="204"/>
          </rPr>
          <t>баланс се попълват така:    - със</t>
        </r>
        <r>
          <rPr>
            <b/>
            <sz val="10"/>
            <color indexed="10"/>
            <rFont val="Times New Roman Cyr"/>
            <family val="1"/>
            <charset val="204"/>
          </rPr>
          <t xml:space="preserve"> </t>
        </r>
        <r>
          <rPr>
            <b/>
            <sz val="10"/>
            <color indexed="10"/>
            <rFont val="Times New Roman Cyr"/>
          </rPr>
          <t>знак "плюс"</t>
        </r>
        <r>
          <rPr>
            <sz val="10"/>
            <color indexed="81"/>
            <rFont val="Times New Roman Cyr"/>
            <family val="1"/>
            <charset val="204"/>
          </rPr>
          <t xml:space="preserve"> за </t>
        </r>
        <r>
          <rPr>
            <sz val="10"/>
            <color indexed="10"/>
            <rFont val="Times New Roman Cyr"/>
          </rPr>
          <t>отстъпки  (дебит)</t>
        </r>
        <r>
          <rPr>
            <sz val="10"/>
            <color indexed="81"/>
            <rFont val="Times New Roman Cyr"/>
            <family val="1"/>
            <charset val="204"/>
          </rPr>
          <t>;
- със</t>
        </r>
        <r>
          <rPr>
            <b/>
            <sz val="10"/>
            <color indexed="12"/>
            <rFont val="Times New Roman Cyr"/>
            <family val="1"/>
            <charset val="204"/>
          </rPr>
          <t xml:space="preserve"> </t>
        </r>
        <r>
          <rPr>
            <b/>
            <sz val="10"/>
            <color indexed="18"/>
            <rFont val="Times New Roman Cyr"/>
          </rPr>
          <t>знак "минус"</t>
        </r>
        <r>
          <rPr>
            <b/>
            <sz val="10"/>
            <color indexed="12"/>
            <rFont val="Times New Roman Cyr"/>
            <family val="1"/>
            <charset val="204"/>
          </rPr>
          <t xml:space="preserve"> </t>
        </r>
        <r>
          <rPr>
            <sz val="10"/>
            <color indexed="81"/>
            <rFont val="Times New Roman Cyr"/>
            <family val="1"/>
            <charset val="204"/>
          </rPr>
          <t>за</t>
        </r>
        <r>
          <rPr>
            <sz val="10"/>
            <color indexed="12"/>
            <rFont val="Times New Roman Cyr"/>
            <family val="1"/>
            <charset val="204"/>
          </rPr>
          <t xml:space="preserve"> </t>
        </r>
        <r>
          <rPr>
            <sz val="10"/>
            <color indexed="18"/>
            <rFont val="Times New Roman Cyr"/>
          </rPr>
          <t>премии (кредит)</t>
        </r>
        <r>
          <rPr>
            <sz val="10"/>
            <color indexed="81"/>
            <rFont val="Times New Roman Cyr"/>
            <family val="1"/>
            <charset val="204"/>
          </rPr>
          <t>.</t>
        </r>
      </text>
    </comment>
    <comment ref="D45" authorId="0">
      <text>
        <r>
          <rPr>
            <sz val="9"/>
            <color indexed="81"/>
            <rFont val="Times New Roman Cyr"/>
            <family val="1"/>
            <charset val="204"/>
          </rPr>
          <t xml:space="preserve">  редове </t>
        </r>
        <r>
          <rPr>
            <b/>
            <sz val="9"/>
            <color indexed="81"/>
            <rFont val="Times New Roman Cyr"/>
            <family val="1"/>
            <charset val="204"/>
          </rPr>
          <t>2511</t>
        </r>
        <r>
          <rPr>
            <sz val="9"/>
            <color indexed="81"/>
            <rFont val="Times New Roman Cyr"/>
            <family val="1"/>
            <charset val="204"/>
          </rPr>
          <t xml:space="preserve"> и </t>
        </r>
        <r>
          <rPr>
            <b/>
            <sz val="9"/>
            <color indexed="81"/>
            <rFont val="Times New Roman Cyr"/>
            <family val="1"/>
            <charset val="204"/>
          </rPr>
          <t>2521</t>
        </r>
        <r>
          <rPr>
            <sz val="9"/>
            <color indexed="81"/>
            <rFont val="Times New Roman Cyr"/>
            <family val="1"/>
            <charset val="204"/>
          </rPr>
          <t xml:space="preserve"> се попълват  със  </t>
        </r>
        <r>
          <rPr>
            <b/>
            <sz val="9"/>
            <color indexed="18"/>
            <rFont val="Times New Roman Cyr"/>
          </rPr>
          <t>знак "плюс"</t>
        </r>
        <r>
          <rPr>
            <b/>
            <sz val="9"/>
            <color indexed="81"/>
            <rFont val="Times New Roman Cyr"/>
            <family val="1"/>
            <charset val="204"/>
          </rPr>
          <t>!</t>
        </r>
      </text>
    </comment>
    <comment ref="D49" authorId="0">
      <text>
        <r>
          <rPr>
            <sz val="9"/>
            <color indexed="81"/>
            <rFont val="Times New Roman Cyr"/>
            <family val="1"/>
            <charset val="204"/>
          </rPr>
          <t xml:space="preserve">  редове </t>
        </r>
        <r>
          <rPr>
            <b/>
            <sz val="9"/>
            <color indexed="81"/>
            <rFont val="Times New Roman Cyr"/>
            <family val="1"/>
            <charset val="204"/>
          </rPr>
          <t>3513</t>
        </r>
        <r>
          <rPr>
            <sz val="9"/>
            <color indexed="81"/>
            <rFont val="Times New Roman Cyr"/>
            <family val="1"/>
            <charset val="204"/>
          </rPr>
          <t xml:space="preserve"> и </t>
        </r>
        <r>
          <rPr>
            <b/>
            <sz val="9"/>
            <color indexed="81"/>
            <rFont val="Times New Roman Cyr"/>
            <family val="1"/>
            <charset val="204"/>
          </rPr>
          <t>3521</t>
        </r>
        <r>
          <rPr>
            <sz val="9"/>
            <color indexed="81"/>
            <rFont val="Times New Roman Cyr"/>
            <family val="1"/>
            <charset val="204"/>
          </rPr>
          <t xml:space="preserve"> се попълват  със  </t>
        </r>
        <r>
          <rPr>
            <b/>
            <sz val="9"/>
            <color indexed="18"/>
            <rFont val="Times New Roman Cyr"/>
          </rPr>
          <t>знак "плюс"</t>
        </r>
        <r>
          <rPr>
            <b/>
            <sz val="9"/>
            <color indexed="81"/>
            <rFont val="Times New Roman Cyr"/>
            <family val="1"/>
            <charset val="204"/>
          </rPr>
          <t>!</t>
        </r>
      </text>
    </comment>
    <comment ref="G49" authorId="0">
      <text>
        <r>
          <rPr>
            <sz val="9"/>
            <color indexed="81"/>
            <rFont val="Times New Roman Cyr"/>
            <family val="1"/>
            <charset val="204"/>
          </rPr>
          <t xml:space="preserve">  редове </t>
        </r>
        <r>
          <rPr>
            <b/>
            <sz val="9"/>
            <color indexed="81"/>
            <rFont val="Times New Roman Cyr"/>
            <family val="1"/>
            <charset val="204"/>
          </rPr>
          <t>3513</t>
        </r>
        <r>
          <rPr>
            <sz val="9"/>
            <color indexed="81"/>
            <rFont val="Times New Roman Cyr"/>
            <family val="1"/>
            <charset val="204"/>
          </rPr>
          <t xml:space="preserve"> и </t>
        </r>
        <r>
          <rPr>
            <b/>
            <sz val="9"/>
            <color indexed="81"/>
            <rFont val="Times New Roman Cyr"/>
            <family val="1"/>
            <charset val="204"/>
          </rPr>
          <t>3521</t>
        </r>
        <r>
          <rPr>
            <sz val="9"/>
            <color indexed="81"/>
            <rFont val="Times New Roman Cyr"/>
            <family val="1"/>
            <charset val="204"/>
          </rPr>
          <t xml:space="preserve"> се попълват  със  </t>
        </r>
        <r>
          <rPr>
            <b/>
            <sz val="9"/>
            <color indexed="18"/>
            <rFont val="Times New Roman Cyr"/>
          </rPr>
          <t>знак "плюс"</t>
        </r>
        <r>
          <rPr>
            <b/>
            <sz val="9"/>
            <color indexed="81"/>
            <rFont val="Times New Roman Cyr"/>
            <family val="1"/>
            <charset val="204"/>
          </rPr>
          <t>!</t>
        </r>
      </text>
    </comment>
    <comment ref="D53" authorId="0">
      <text>
        <r>
          <rPr>
            <sz val="10"/>
            <color indexed="81"/>
            <rFont val="Times New Roman Cyr"/>
            <family val="1"/>
            <charset val="204"/>
          </rPr>
          <t xml:space="preserve">на редове </t>
        </r>
        <r>
          <rPr>
            <b/>
            <sz val="10"/>
            <color indexed="81"/>
            <rFont val="Times New Roman Cyr"/>
            <family val="1"/>
            <charset val="204"/>
          </rPr>
          <t>3813</t>
        </r>
        <r>
          <rPr>
            <sz val="10"/>
            <color indexed="81"/>
            <rFont val="Times New Roman Cyr"/>
            <family val="1"/>
            <charset val="204"/>
          </rPr>
          <t xml:space="preserve"> и </t>
        </r>
        <r>
          <rPr>
            <b/>
            <sz val="10"/>
            <color indexed="81"/>
            <rFont val="Times New Roman Cyr"/>
            <family val="1"/>
            <charset val="204"/>
          </rPr>
          <t>3821</t>
        </r>
        <r>
          <rPr>
            <sz val="10"/>
            <color indexed="81"/>
            <rFont val="Times New Roman Cyr"/>
            <family val="1"/>
            <charset val="204"/>
          </rPr>
          <t xml:space="preserve"> колоните за </t>
        </r>
        <r>
          <rPr>
            <sz val="10"/>
            <color indexed="16"/>
            <rFont val="Times New Roman Cyr"/>
          </rPr>
          <t>начален</t>
        </r>
        <r>
          <rPr>
            <sz val="10"/>
            <color indexed="81"/>
            <rFont val="Times New Roman Cyr"/>
            <family val="1"/>
            <charset val="204"/>
          </rPr>
          <t xml:space="preserve"> и </t>
        </r>
        <r>
          <rPr>
            <sz val="10"/>
            <color indexed="58"/>
            <rFont val="Times New Roman Cyr"/>
          </rPr>
          <t>краен</t>
        </r>
        <r>
          <rPr>
            <sz val="10"/>
            <color indexed="17"/>
            <rFont val="Times New Roman Cyr"/>
            <family val="1"/>
            <charset val="204"/>
          </rPr>
          <t xml:space="preserve"> </t>
        </r>
        <r>
          <rPr>
            <sz val="10"/>
            <color indexed="81"/>
            <rFont val="Times New Roman Cyr"/>
            <family val="1"/>
            <charset val="204"/>
          </rPr>
          <t>баланс се попълват:
    - със</t>
        </r>
        <r>
          <rPr>
            <b/>
            <sz val="10"/>
            <color indexed="10"/>
            <rFont val="Times New Roman Cyr"/>
            <family val="1"/>
            <charset val="204"/>
          </rPr>
          <t xml:space="preserve"> </t>
        </r>
        <r>
          <rPr>
            <b/>
            <sz val="10"/>
            <color indexed="10"/>
            <rFont val="Times New Roman Cyr"/>
          </rPr>
          <t>знак "плюс"</t>
        </r>
        <r>
          <rPr>
            <sz val="10"/>
            <color indexed="81"/>
            <rFont val="Times New Roman Cyr"/>
            <family val="1"/>
            <charset val="204"/>
          </rPr>
          <t xml:space="preserve"> за коректив </t>
        </r>
        <r>
          <rPr>
            <i/>
            <u/>
            <sz val="10"/>
            <color indexed="10"/>
            <rFont val="Times New Roman Cyr"/>
          </rPr>
          <t>под</t>
        </r>
        <r>
          <rPr>
            <sz val="10"/>
            <color indexed="81"/>
            <rFont val="Times New Roman Cyr"/>
            <family val="1"/>
            <charset val="204"/>
          </rPr>
          <t xml:space="preserve"> номиналната стойност</t>
        </r>
        <r>
          <rPr>
            <sz val="10"/>
            <color indexed="10"/>
            <rFont val="Times New Roman Cyr"/>
          </rPr>
          <t xml:space="preserve">  (дебит)</t>
        </r>
        <r>
          <rPr>
            <sz val="10"/>
            <color indexed="81"/>
            <rFont val="Times New Roman Cyr"/>
            <family val="1"/>
            <charset val="204"/>
          </rPr>
          <t>;
   - със</t>
        </r>
        <r>
          <rPr>
            <b/>
            <sz val="10"/>
            <color indexed="12"/>
            <rFont val="Times New Roman Cyr"/>
            <family val="1"/>
            <charset val="204"/>
          </rPr>
          <t xml:space="preserve"> </t>
        </r>
        <r>
          <rPr>
            <b/>
            <sz val="10"/>
            <color indexed="18"/>
            <rFont val="Times New Roman Cyr"/>
          </rPr>
          <t>знак "минус"</t>
        </r>
        <r>
          <rPr>
            <b/>
            <sz val="10"/>
            <color indexed="12"/>
            <rFont val="Times New Roman Cyr"/>
            <family val="1"/>
            <charset val="204"/>
          </rPr>
          <t xml:space="preserve"> </t>
        </r>
        <r>
          <rPr>
            <sz val="10"/>
            <color indexed="81"/>
            <rFont val="Times New Roman Cyr"/>
            <family val="1"/>
            <charset val="204"/>
          </rPr>
          <t>за коректив</t>
        </r>
        <r>
          <rPr>
            <sz val="10"/>
            <color indexed="18"/>
            <rFont val="Times New Roman Cyr"/>
          </rPr>
          <t xml:space="preserve"> </t>
        </r>
        <r>
          <rPr>
            <i/>
            <u/>
            <sz val="10"/>
            <color indexed="18"/>
            <rFont val="Times New Roman Cyr"/>
          </rPr>
          <t>над</t>
        </r>
        <r>
          <rPr>
            <sz val="10"/>
            <color indexed="18"/>
            <rFont val="Times New Roman Cyr"/>
          </rPr>
          <t xml:space="preserve"> </t>
        </r>
        <r>
          <rPr>
            <sz val="10"/>
            <color indexed="81"/>
            <rFont val="Times New Roman Cyr"/>
          </rPr>
          <t xml:space="preserve">номиналната стойност </t>
        </r>
        <r>
          <rPr>
            <sz val="10"/>
            <color indexed="18"/>
            <rFont val="Times New Roman Cyr"/>
          </rPr>
          <t>(кредит)</t>
        </r>
        <r>
          <rPr>
            <sz val="10"/>
            <color indexed="81"/>
            <rFont val="Times New Roman Cyr"/>
            <family val="1"/>
            <charset val="204"/>
          </rPr>
          <t>.</t>
        </r>
      </text>
    </comment>
    <comment ref="D55" authorId="0">
      <text>
        <r>
          <rPr>
            <sz val="9"/>
            <color indexed="81"/>
            <rFont val="Times New Roman Cyr"/>
            <family val="1"/>
            <charset val="204"/>
          </rPr>
          <t xml:space="preserve">  ред </t>
        </r>
        <r>
          <rPr>
            <b/>
            <sz val="9"/>
            <color indexed="81"/>
            <rFont val="Times New Roman Cyr"/>
            <family val="1"/>
            <charset val="204"/>
          </rPr>
          <t>3891</t>
        </r>
        <r>
          <rPr>
            <sz val="9"/>
            <color indexed="81"/>
            <rFont val="Times New Roman Cyr"/>
            <family val="1"/>
            <charset val="204"/>
          </rPr>
          <t xml:space="preserve"> се попълва  със  </t>
        </r>
        <r>
          <rPr>
            <b/>
            <sz val="9"/>
            <color indexed="10"/>
            <rFont val="Times New Roman Cyr"/>
          </rPr>
          <t>знак "минус"</t>
        </r>
        <r>
          <rPr>
            <b/>
            <sz val="9"/>
            <color indexed="81"/>
            <rFont val="Times New Roman Cyr"/>
            <family val="1"/>
            <charset val="204"/>
          </rPr>
          <t>!</t>
        </r>
      </text>
    </comment>
    <comment ref="D58" authorId="0">
      <text>
        <r>
          <rPr>
            <sz val="10"/>
            <color indexed="81"/>
            <rFont val="Times New Roman Cyr"/>
            <family val="1"/>
            <charset val="204"/>
          </rPr>
          <t xml:space="preserve">на редове </t>
        </r>
        <r>
          <rPr>
            <b/>
            <sz val="10"/>
            <color indexed="81"/>
            <rFont val="Times New Roman Cyr"/>
            <family val="1"/>
            <charset val="204"/>
          </rPr>
          <t>3992-3999</t>
        </r>
        <r>
          <rPr>
            <sz val="10"/>
            <color indexed="81"/>
            <rFont val="Times New Roman Cyr"/>
            <family val="1"/>
            <charset val="204"/>
          </rPr>
          <t xml:space="preserve"> колоните за </t>
        </r>
        <r>
          <rPr>
            <sz val="10"/>
            <color indexed="16"/>
            <rFont val="Times New Roman Cyr"/>
          </rPr>
          <t>начален</t>
        </r>
        <r>
          <rPr>
            <sz val="10"/>
            <color indexed="81"/>
            <rFont val="Times New Roman Cyr"/>
            <family val="1"/>
            <charset val="204"/>
          </rPr>
          <t xml:space="preserve"> и </t>
        </r>
        <r>
          <rPr>
            <sz val="10"/>
            <color indexed="58"/>
            <rFont val="Times New Roman Cyr"/>
          </rPr>
          <t>краен</t>
        </r>
        <r>
          <rPr>
            <sz val="10"/>
            <color indexed="17"/>
            <rFont val="Times New Roman Cyr"/>
            <family val="1"/>
            <charset val="204"/>
          </rPr>
          <t xml:space="preserve"> </t>
        </r>
        <r>
          <rPr>
            <sz val="10"/>
            <color indexed="81"/>
            <rFont val="Times New Roman Cyr"/>
            <family val="1"/>
            <charset val="204"/>
          </rPr>
          <t>баланс се попълват:  - със</t>
        </r>
        <r>
          <rPr>
            <b/>
            <sz val="10"/>
            <color indexed="10"/>
            <rFont val="Times New Roman Cyr"/>
            <family val="1"/>
            <charset val="204"/>
          </rPr>
          <t xml:space="preserve"> </t>
        </r>
        <r>
          <rPr>
            <b/>
            <sz val="10"/>
            <color indexed="18"/>
            <rFont val="Times New Roman Cyr"/>
          </rPr>
          <t>знак "плюс"</t>
        </r>
        <r>
          <rPr>
            <sz val="10"/>
            <color indexed="81"/>
            <rFont val="Times New Roman Cyr"/>
            <family val="1"/>
            <charset val="204"/>
          </rPr>
          <t xml:space="preserve"> за </t>
        </r>
        <r>
          <rPr>
            <i/>
            <sz val="10"/>
            <color indexed="18"/>
            <rFont val="Times New Roman Cyr"/>
          </rPr>
          <t>Кредитен</t>
        </r>
        <r>
          <rPr>
            <sz val="10"/>
            <color indexed="81"/>
            <rFont val="Times New Roman Cyr"/>
            <family val="1"/>
            <charset val="204"/>
          </rPr>
          <t xml:space="preserve"> коректив;  - със</t>
        </r>
        <r>
          <rPr>
            <b/>
            <sz val="10"/>
            <color indexed="12"/>
            <rFont val="Times New Roman Cyr"/>
            <family val="1"/>
            <charset val="204"/>
          </rPr>
          <t xml:space="preserve"> </t>
        </r>
        <r>
          <rPr>
            <b/>
            <sz val="10"/>
            <color indexed="10"/>
            <rFont val="Times New Roman Cyr"/>
          </rPr>
          <t>знак "минус"</t>
        </r>
        <r>
          <rPr>
            <b/>
            <sz val="10"/>
            <color indexed="12"/>
            <rFont val="Times New Roman Cyr"/>
            <family val="1"/>
            <charset val="204"/>
          </rPr>
          <t xml:space="preserve"> </t>
        </r>
        <r>
          <rPr>
            <sz val="10"/>
            <color indexed="81"/>
            <rFont val="Times New Roman Cyr"/>
            <family val="1"/>
            <charset val="204"/>
          </rPr>
          <t xml:space="preserve">за </t>
        </r>
        <r>
          <rPr>
            <i/>
            <sz val="10"/>
            <color indexed="10"/>
            <rFont val="Times New Roman Cyr"/>
          </rPr>
          <t>Дебитен</t>
        </r>
        <r>
          <rPr>
            <sz val="10"/>
            <color indexed="81"/>
            <rFont val="Times New Roman Cyr"/>
            <family val="1"/>
            <charset val="204"/>
          </rPr>
          <t xml:space="preserve"> коректив.</t>
        </r>
      </text>
    </comment>
  </commentList>
</comments>
</file>

<file path=xl/comments4.xml><?xml version="1.0" encoding="utf-8"?>
<comments xmlns="http://schemas.openxmlformats.org/spreadsheetml/2006/main">
  <authors>
    <author>Никола Павлов</author>
  </authors>
  <commentList>
    <comment ref="D4" authorId="0">
      <text>
        <r>
          <rPr>
            <sz val="10"/>
            <color indexed="81"/>
            <rFont val="Times New Roman"/>
            <family val="1"/>
            <charset val="204"/>
          </rPr>
          <t xml:space="preserve">Този код </t>
        </r>
        <r>
          <rPr>
            <i/>
            <u/>
            <sz val="10"/>
            <color indexed="10"/>
            <rFont val="Times New Roman"/>
            <family val="1"/>
            <charset val="204"/>
          </rPr>
          <t>не</t>
        </r>
        <r>
          <rPr>
            <sz val="10"/>
            <color indexed="81"/>
            <rFont val="Times New Roman"/>
            <family val="1"/>
            <charset val="204"/>
          </rPr>
          <t xml:space="preserve"> е </t>
        </r>
        <r>
          <rPr>
            <b/>
            <i/>
            <u/>
            <sz val="10"/>
            <color indexed="10"/>
            <rFont val="Times New Roman"/>
            <family val="1"/>
            <charset val="204"/>
          </rPr>
          <t>задължителен</t>
        </r>
        <r>
          <rPr>
            <b/>
            <i/>
            <sz val="10"/>
            <color indexed="81"/>
            <rFont val="Times New Roman"/>
            <family val="1"/>
            <charset val="204"/>
          </rPr>
          <t>.</t>
        </r>
        <r>
          <rPr>
            <sz val="10"/>
            <color indexed="81"/>
            <rFont val="Times New Roman"/>
            <family val="1"/>
            <charset val="204"/>
          </rPr>
          <t xml:space="preserve">Той може да се използва при изготвянето и представянето на отчетите на подведомствените разпоредители, включително ЦУ на първостепенния разпоредител с бюджет.
</t>
        </r>
      </text>
    </comment>
  </commentList>
</comments>
</file>

<file path=xl/comments5.xml><?xml version="1.0" encoding="utf-8"?>
<comments xmlns="http://schemas.openxmlformats.org/spreadsheetml/2006/main">
  <authors>
    <author>Никола Павлов</author>
    <author>NPavlov</author>
  </authors>
  <commentList>
    <comment ref="D4" authorId="0">
      <text>
        <r>
          <rPr>
            <sz val="10"/>
            <color indexed="81"/>
            <rFont val="Times New Roman"/>
            <family val="1"/>
            <charset val="204"/>
          </rPr>
          <t xml:space="preserve">Този код </t>
        </r>
        <r>
          <rPr>
            <i/>
            <u/>
            <sz val="10"/>
            <color indexed="10"/>
            <rFont val="Times New Roman"/>
            <family val="1"/>
            <charset val="204"/>
          </rPr>
          <t>не</t>
        </r>
        <r>
          <rPr>
            <sz val="10"/>
            <color indexed="81"/>
            <rFont val="Times New Roman"/>
            <family val="1"/>
            <charset val="204"/>
          </rPr>
          <t xml:space="preserve"> е </t>
        </r>
        <r>
          <rPr>
            <b/>
            <i/>
            <u/>
            <sz val="10"/>
            <color indexed="10"/>
            <rFont val="Times New Roman"/>
            <family val="1"/>
            <charset val="204"/>
          </rPr>
          <t>задължителен</t>
        </r>
        <r>
          <rPr>
            <b/>
            <i/>
            <sz val="10"/>
            <color indexed="81"/>
            <rFont val="Times New Roman"/>
            <family val="1"/>
            <charset val="204"/>
          </rPr>
          <t>.</t>
        </r>
        <r>
          <rPr>
            <sz val="10"/>
            <color indexed="81"/>
            <rFont val="Times New Roman"/>
            <family val="1"/>
            <charset val="204"/>
          </rPr>
          <t xml:space="preserve">Той може да се използва при изготвянето и представянето на отчетите на подведомствените разпоредители, включително ЦУ на първостепенния разпоредител с бюджет.
</t>
        </r>
      </text>
    </comment>
    <comment ref="O98" authorId="1">
      <text>
        <r>
          <rPr>
            <sz val="10"/>
            <color indexed="81"/>
            <rFont val="Times New Roman Cyr"/>
            <charset val="204"/>
          </rPr>
          <t xml:space="preserve">От </t>
        </r>
        <r>
          <rPr>
            <b/>
            <sz val="10"/>
            <color indexed="81"/>
            <rFont val="Times New Roman Cyr"/>
            <charset val="204"/>
          </rPr>
          <t>файла на оборотната ведомост</t>
        </r>
        <r>
          <rPr>
            <b/>
            <i/>
            <sz val="10"/>
            <color indexed="81"/>
            <rFont val="Times New Roman Cyr"/>
            <charset val="204"/>
          </rPr>
          <t xml:space="preserve"> </t>
        </r>
        <r>
          <rPr>
            <b/>
            <i/>
            <u/>
            <sz val="10"/>
            <color indexed="10"/>
            <rFont val="Times New Roman Cyr"/>
            <charset val="204"/>
          </rPr>
          <t xml:space="preserve">за предходната година </t>
        </r>
        <r>
          <rPr>
            <sz val="10"/>
            <color indexed="81"/>
            <rFont val="Times New Roman Cyr"/>
            <charset val="204"/>
          </rPr>
          <t xml:space="preserve">- от таблица </t>
        </r>
        <r>
          <rPr>
            <sz val="10"/>
            <color indexed="18"/>
            <rFont val="Times New Roman Cyr"/>
            <charset val="204"/>
          </rPr>
          <t xml:space="preserve"> </t>
        </r>
        <r>
          <rPr>
            <b/>
            <sz val="10"/>
            <color indexed="18"/>
            <rFont val="Times New Roman CYR"/>
            <charset val="204"/>
          </rPr>
          <t xml:space="preserve">Municipal-Bal </t>
        </r>
        <r>
          <rPr>
            <sz val="10"/>
            <color indexed="81"/>
            <rFont val="Times New Roman Cyr"/>
            <charset val="204"/>
          </rPr>
          <t>въведи сумата от</t>
        </r>
        <r>
          <rPr>
            <b/>
            <sz val="10"/>
            <color indexed="81"/>
            <rFont val="Times New Roman Cyr"/>
            <charset val="204"/>
          </rPr>
          <t xml:space="preserve"> клетка O68 </t>
        </r>
      </text>
    </comment>
    <comment ref="O99" authorId="1">
      <text>
        <r>
          <rPr>
            <sz val="10"/>
            <color indexed="81"/>
            <rFont val="Times New Roman Cyr"/>
            <charset val="204"/>
          </rPr>
          <t xml:space="preserve">От </t>
        </r>
        <r>
          <rPr>
            <b/>
            <sz val="10"/>
            <color indexed="81"/>
            <rFont val="Times New Roman Cyr"/>
            <charset val="204"/>
          </rPr>
          <t>файла на оборотната ведомост</t>
        </r>
        <r>
          <rPr>
            <b/>
            <i/>
            <sz val="10"/>
            <color indexed="81"/>
            <rFont val="Times New Roman Cyr"/>
            <charset val="204"/>
          </rPr>
          <t xml:space="preserve"> </t>
        </r>
        <r>
          <rPr>
            <b/>
            <i/>
            <u/>
            <sz val="10"/>
            <color indexed="10"/>
            <rFont val="Times New Roman Cyr"/>
            <charset val="204"/>
          </rPr>
          <t xml:space="preserve">за предходната година </t>
        </r>
        <r>
          <rPr>
            <sz val="10"/>
            <color indexed="81"/>
            <rFont val="Times New Roman Cyr"/>
            <charset val="204"/>
          </rPr>
          <t xml:space="preserve">- от таблица </t>
        </r>
        <r>
          <rPr>
            <sz val="10"/>
            <color indexed="18"/>
            <rFont val="Times New Roman Cyr"/>
            <charset val="204"/>
          </rPr>
          <t xml:space="preserve"> </t>
        </r>
        <r>
          <rPr>
            <b/>
            <sz val="10"/>
            <color indexed="18"/>
            <rFont val="Times New Roman CYR"/>
            <charset val="204"/>
          </rPr>
          <t xml:space="preserve">Municipal-Bal </t>
        </r>
        <r>
          <rPr>
            <sz val="10"/>
            <color indexed="81"/>
            <rFont val="Times New Roman Cyr"/>
            <charset val="204"/>
          </rPr>
          <t>въведи сумата от</t>
        </r>
        <r>
          <rPr>
            <b/>
            <sz val="10"/>
            <color indexed="81"/>
            <rFont val="Times New Roman Cyr"/>
            <charset val="204"/>
          </rPr>
          <t xml:space="preserve"> клетка O69 </t>
        </r>
      </text>
    </comment>
    <comment ref="O101" authorId="1">
      <text>
        <r>
          <rPr>
            <sz val="10"/>
            <color indexed="81"/>
            <rFont val="Times New Roman Cyr"/>
            <charset val="204"/>
          </rPr>
          <t xml:space="preserve">От </t>
        </r>
        <r>
          <rPr>
            <b/>
            <sz val="10"/>
            <color indexed="81"/>
            <rFont val="Times New Roman Cyr"/>
            <charset val="204"/>
          </rPr>
          <t>файла на оборотната ведомост</t>
        </r>
        <r>
          <rPr>
            <b/>
            <i/>
            <sz val="10"/>
            <color indexed="81"/>
            <rFont val="Times New Roman Cyr"/>
            <charset val="204"/>
          </rPr>
          <t xml:space="preserve"> </t>
        </r>
        <r>
          <rPr>
            <b/>
            <i/>
            <u/>
            <sz val="10"/>
            <color indexed="10"/>
            <rFont val="Times New Roman Cyr"/>
            <charset val="204"/>
          </rPr>
          <t xml:space="preserve">за предходната година </t>
        </r>
        <r>
          <rPr>
            <sz val="10"/>
            <color indexed="81"/>
            <rFont val="Times New Roman Cyr"/>
            <charset val="204"/>
          </rPr>
          <t xml:space="preserve">- от таблица </t>
        </r>
        <r>
          <rPr>
            <sz val="10"/>
            <color indexed="18"/>
            <rFont val="Times New Roman Cyr"/>
            <charset val="204"/>
          </rPr>
          <t xml:space="preserve"> </t>
        </r>
        <r>
          <rPr>
            <b/>
            <sz val="10"/>
            <color indexed="18"/>
            <rFont val="Times New Roman CYR"/>
            <charset val="204"/>
          </rPr>
          <t xml:space="preserve">Municipal-Bal </t>
        </r>
        <r>
          <rPr>
            <sz val="10"/>
            <color indexed="81"/>
            <rFont val="Times New Roman Cyr"/>
            <charset val="204"/>
          </rPr>
          <t>въведи сумата от</t>
        </r>
        <r>
          <rPr>
            <b/>
            <sz val="10"/>
            <color indexed="81"/>
            <rFont val="Times New Roman Cyr"/>
            <charset val="204"/>
          </rPr>
          <t xml:space="preserve"> клетка O71 </t>
        </r>
      </text>
    </comment>
    <comment ref="O102" authorId="1">
      <text>
        <r>
          <rPr>
            <sz val="10"/>
            <color indexed="81"/>
            <rFont val="Times New Roman Cyr"/>
            <charset val="204"/>
          </rPr>
          <t xml:space="preserve">От </t>
        </r>
        <r>
          <rPr>
            <b/>
            <sz val="10"/>
            <color indexed="81"/>
            <rFont val="Times New Roman Cyr"/>
            <charset val="204"/>
          </rPr>
          <t>файла на оборотната ведомост</t>
        </r>
        <r>
          <rPr>
            <b/>
            <i/>
            <sz val="10"/>
            <color indexed="81"/>
            <rFont val="Times New Roman Cyr"/>
            <charset val="204"/>
          </rPr>
          <t xml:space="preserve"> </t>
        </r>
        <r>
          <rPr>
            <b/>
            <i/>
            <u/>
            <sz val="10"/>
            <color indexed="10"/>
            <rFont val="Times New Roman Cyr"/>
            <charset val="204"/>
          </rPr>
          <t xml:space="preserve">за предходната година </t>
        </r>
        <r>
          <rPr>
            <sz val="10"/>
            <color indexed="81"/>
            <rFont val="Times New Roman Cyr"/>
            <charset val="204"/>
          </rPr>
          <t xml:space="preserve">- от таблица </t>
        </r>
        <r>
          <rPr>
            <sz val="10"/>
            <color indexed="18"/>
            <rFont val="Times New Roman Cyr"/>
            <charset val="204"/>
          </rPr>
          <t xml:space="preserve"> </t>
        </r>
        <r>
          <rPr>
            <b/>
            <sz val="10"/>
            <color indexed="18"/>
            <rFont val="Times New Roman CYR"/>
            <charset val="204"/>
          </rPr>
          <t xml:space="preserve">Municipal-Bal </t>
        </r>
        <r>
          <rPr>
            <sz val="10"/>
            <color indexed="81"/>
            <rFont val="Times New Roman Cyr"/>
            <charset val="204"/>
          </rPr>
          <t>въведи сумата от</t>
        </r>
        <r>
          <rPr>
            <b/>
            <sz val="10"/>
            <color indexed="81"/>
            <rFont val="Times New Roman Cyr"/>
            <charset val="204"/>
          </rPr>
          <t xml:space="preserve"> клетка O72 </t>
        </r>
      </text>
    </comment>
    <comment ref="O104" authorId="1">
      <text>
        <r>
          <rPr>
            <sz val="10"/>
            <color indexed="81"/>
            <rFont val="Times New Roman Cyr"/>
            <charset val="204"/>
          </rPr>
          <t xml:space="preserve">От </t>
        </r>
        <r>
          <rPr>
            <b/>
            <sz val="10"/>
            <color indexed="81"/>
            <rFont val="Times New Roman Cyr"/>
            <charset val="204"/>
          </rPr>
          <t>файла на оборотната ведомост</t>
        </r>
        <r>
          <rPr>
            <b/>
            <i/>
            <sz val="10"/>
            <color indexed="81"/>
            <rFont val="Times New Roman Cyr"/>
            <charset val="204"/>
          </rPr>
          <t xml:space="preserve"> </t>
        </r>
        <r>
          <rPr>
            <b/>
            <i/>
            <u/>
            <sz val="10"/>
            <color indexed="10"/>
            <rFont val="Times New Roman Cyr"/>
            <charset val="204"/>
          </rPr>
          <t xml:space="preserve">за предходната година </t>
        </r>
        <r>
          <rPr>
            <sz val="10"/>
            <color indexed="81"/>
            <rFont val="Times New Roman Cyr"/>
            <charset val="204"/>
          </rPr>
          <t xml:space="preserve">- от таблица </t>
        </r>
        <r>
          <rPr>
            <sz val="10"/>
            <color indexed="18"/>
            <rFont val="Times New Roman Cyr"/>
            <charset val="204"/>
          </rPr>
          <t xml:space="preserve"> </t>
        </r>
        <r>
          <rPr>
            <b/>
            <sz val="10"/>
            <color indexed="18"/>
            <rFont val="Times New Roman CYR"/>
            <charset val="204"/>
          </rPr>
          <t xml:space="preserve">Municipal-Bal </t>
        </r>
        <r>
          <rPr>
            <sz val="10"/>
            <color indexed="81"/>
            <rFont val="Times New Roman Cyr"/>
            <charset val="204"/>
          </rPr>
          <t>въведи сумата от</t>
        </r>
        <r>
          <rPr>
            <b/>
            <sz val="10"/>
            <color indexed="81"/>
            <rFont val="Times New Roman Cyr"/>
            <charset val="204"/>
          </rPr>
          <t xml:space="preserve"> клетка O74 </t>
        </r>
      </text>
    </comment>
    <comment ref="O105" authorId="1">
      <text>
        <r>
          <rPr>
            <sz val="10"/>
            <color indexed="81"/>
            <rFont val="Times New Roman Cyr"/>
            <charset val="204"/>
          </rPr>
          <t xml:space="preserve">От </t>
        </r>
        <r>
          <rPr>
            <b/>
            <sz val="10"/>
            <color indexed="81"/>
            <rFont val="Times New Roman Cyr"/>
            <charset val="204"/>
          </rPr>
          <t>файла на оборотната ведомост</t>
        </r>
        <r>
          <rPr>
            <b/>
            <i/>
            <sz val="10"/>
            <color indexed="81"/>
            <rFont val="Times New Roman Cyr"/>
            <charset val="204"/>
          </rPr>
          <t xml:space="preserve"> </t>
        </r>
        <r>
          <rPr>
            <b/>
            <i/>
            <u/>
            <sz val="10"/>
            <color indexed="10"/>
            <rFont val="Times New Roman Cyr"/>
            <charset val="204"/>
          </rPr>
          <t xml:space="preserve">за предходната година </t>
        </r>
        <r>
          <rPr>
            <sz val="10"/>
            <color indexed="81"/>
            <rFont val="Times New Roman Cyr"/>
            <charset val="204"/>
          </rPr>
          <t xml:space="preserve">- от таблица </t>
        </r>
        <r>
          <rPr>
            <sz val="10"/>
            <color indexed="18"/>
            <rFont val="Times New Roman Cyr"/>
            <charset val="204"/>
          </rPr>
          <t xml:space="preserve"> </t>
        </r>
        <r>
          <rPr>
            <b/>
            <sz val="10"/>
            <color indexed="18"/>
            <rFont val="Times New Roman CYR"/>
            <charset val="204"/>
          </rPr>
          <t xml:space="preserve">Municipal-Bal </t>
        </r>
        <r>
          <rPr>
            <sz val="10"/>
            <color indexed="81"/>
            <rFont val="Times New Roman Cyr"/>
            <charset val="204"/>
          </rPr>
          <t>въведи сумата от</t>
        </r>
        <r>
          <rPr>
            <b/>
            <sz val="10"/>
            <color indexed="81"/>
            <rFont val="Times New Roman Cyr"/>
            <charset val="204"/>
          </rPr>
          <t xml:space="preserve"> клетка O75 </t>
        </r>
      </text>
    </comment>
    <comment ref="O107" authorId="1">
      <text>
        <r>
          <rPr>
            <sz val="10"/>
            <color indexed="81"/>
            <rFont val="Times New Roman Cyr"/>
            <charset val="204"/>
          </rPr>
          <t xml:space="preserve">От </t>
        </r>
        <r>
          <rPr>
            <b/>
            <sz val="10"/>
            <color indexed="81"/>
            <rFont val="Times New Roman Cyr"/>
            <charset val="204"/>
          </rPr>
          <t>файла на оборотната ведомост</t>
        </r>
        <r>
          <rPr>
            <b/>
            <i/>
            <sz val="10"/>
            <color indexed="81"/>
            <rFont val="Times New Roman Cyr"/>
            <charset val="204"/>
          </rPr>
          <t xml:space="preserve"> </t>
        </r>
        <r>
          <rPr>
            <b/>
            <i/>
            <u/>
            <sz val="10"/>
            <color indexed="10"/>
            <rFont val="Times New Roman Cyr"/>
            <charset val="204"/>
          </rPr>
          <t xml:space="preserve">за предходната година </t>
        </r>
        <r>
          <rPr>
            <sz val="10"/>
            <color indexed="81"/>
            <rFont val="Times New Roman Cyr"/>
            <charset val="204"/>
          </rPr>
          <t xml:space="preserve">- от таблица </t>
        </r>
        <r>
          <rPr>
            <sz val="10"/>
            <color indexed="18"/>
            <rFont val="Times New Roman Cyr"/>
            <charset val="204"/>
          </rPr>
          <t xml:space="preserve"> </t>
        </r>
        <r>
          <rPr>
            <b/>
            <sz val="10"/>
            <color indexed="18"/>
            <rFont val="Times New Roman CYR"/>
            <charset val="204"/>
          </rPr>
          <t xml:space="preserve">Municipal-Bal </t>
        </r>
        <r>
          <rPr>
            <sz val="10"/>
            <color indexed="81"/>
            <rFont val="Times New Roman Cyr"/>
            <charset val="204"/>
          </rPr>
          <t>въведи сумата от</t>
        </r>
        <r>
          <rPr>
            <b/>
            <sz val="10"/>
            <color indexed="81"/>
            <rFont val="Times New Roman Cyr"/>
            <charset val="204"/>
          </rPr>
          <t xml:space="preserve"> клетка O77 </t>
        </r>
      </text>
    </comment>
    <comment ref="O108" authorId="1">
      <text>
        <r>
          <rPr>
            <sz val="10"/>
            <color indexed="81"/>
            <rFont val="Times New Roman Cyr"/>
            <charset val="204"/>
          </rPr>
          <t xml:space="preserve">От </t>
        </r>
        <r>
          <rPr>
            <b/>
            <sz val="10"/>
            <color indexed="81"/>
            <rFont val="Times New Roman Cyr"/>
            <charset val="204"/>
          </rPr>
          <t>файла на оборотната ведомост</t>
        </r>
        <r>
          <rPr>
            <b/>
            <i/>
            <sz val="10"/>
            <color indexed="81"/>
            <rFont val="Times New Roman Cyr"/>
            <charset val="204"/>
          </rPr>
          <t xml:space="preserve"> </t>
        </r>
        <r>
          <rPr>
            <b/>
            <i/>
            <u/>
            <sz val="10"/>
            <color indexed="10"/>
            <rFont val="Times New Roman Cyr"/>
            <charset val="204"/>
          </rPr>
          <t xml:space="preserve">за предходната година </t>
        </r>
        <r>
          <rPr>
            <sz val="10"/>
            <color indexed="81"/>
            <rFont val="Times New Roman Cyr"/>
            <charset val="204"/>
          </rPr>
          <t xml:space="preserve">- от таблица </t>
        </r>
        <r>
          <rPr>
            <sz val="10"/>
            <color indexed="18"/>
            <rFont val="Times New Roman Cyr"/>
            <charset val="204"/>
          </rPr>
          <t xml:space="preserve"> </t>
        </r>
        <r>
          <rPr>
            <b/>
            <sz val="10"/>
            <color indexed="18"/>
            <rFont val="Times New Roman CYR"/>
            <charset val="204"/>
          </rPr>
          <t xml:space="preserve">Municipal-Bal </t>
        </r>
        <r>
          <rPr>
            <sz val="10"/>
            <color indexed="81"/>
            <rFont val="Times New Roman Cyr"/>
            <charset val="204"/>
          </rPr>
          <t>въведи сумата от</t>
        </r>
        <r>
          <rPr>
            <b/>
            <sz val="10"/>
            <color indexed="81"/>
            <rFont val="Times New Roman Cyr"/>
            <charset val="204"/>
          </rPr>
          <t xml:space="preserve"> клетка O78 </t>
        </r>
      </text>
    </comment>
    <comment ref="O112" authorId="1">
      <text>
        <r>
          <rPr>
            <sz val="10"/>
            <color indexed="81"/>
            <rFont val="Times New Roman Cyr"/>
            <charset val="204"/>
          </rPr>
          <t xml:space="preserve">От </t>
        </r>
        <r>
          <rPr>
            <b/>
            <sz val="10"/>
            <color indexed="81"/>
            <rFont val="Times New Roman Cyr"/>
            <charset val="204"/>
          </rPr>
          <t>файла на оборотната ведомост</t>
        </r>
        <r>
          <rPr>
            <b/>
            <i/>
            <sz val="10"/>
            <color indexed="81"/>
            <rFont val="Times New Roman Cyr"/>
            <charset val="204"/>
          </rPr>
          <t xml:space="preserve"> </t>
        </r>
        <r>
          <rPr>
            <b/>
            <i/>
            <u/>
            <sz val="10"/>
            <color indexed="10"/>
            <rFont val="Times New Roman Cyr"/>
            <charset val="204"/>
          </rPr>
          <t xml:space="preserve">за предходната година </t>
        </r>
        <r>
          <rPr>
            <sz val="10"/>
            <color indexed="81"/>
            <rFont val="Times New Roman Cyr"/>
            <charset val="204"/>
          </rPr>
          <t xml:space="preserve">- от таблица </t>
        </r>
        <r>
          <rPr>
            <sz val="10"/>
            <color indexed="18"/>
            <rFont val="Times New Roman Cyr"/>
            <charset val="204"/>
          </rPr>
          <t xml:space="preserve"> </t>
        </r>
        <r>
          <rPr>
            <b/>
            <sz val="10"/>
            <color indexed="18"/>
            <rFont val="Times New Roman CYR"/>
            <charset val="204"/>
          </rPr>
          <t xml:space="preserve">Municipal-Bal </t>
        </r>
        <r>
          <rPr>
            <sz val="10"/>
            <color indexed="81"/>
            <rFont val="Times New Roman Cyr"/>
            <charset val="204"/>
          </rPr>
          <t>въведи сумата от</t>
        </r>
        <r>
          <rPr>
            <b/>
            <sz val="10"/>
            <color indexed="81"/>
            <rFont val="Times New Roman Cyr"/>
            <charset val="204"/>
          </rPr>
          <t xml:space="preserve"> клетка O82 </t>
        </r>
      </text>
    </comment>
    <comment ref="O113" authorId="1">
      <text>
        <r>
          <rPr>
            <sz val="10"/>
            <color indexed="81"/>
            <rFont val="Times New Roman Cyr"/>
            <charset val="204"/>
          </rPr>
          <t xml:space="preserve">От </t>
        </r>
        <r>
          <rPr>
            <b/>
            <sz val="10"/>
            <color indexed="81"/>
            <rFont val="Times New Roman Cyr"/>
            <charset val="204"/>
          </rPr>
          <t>файла на оборотната ведомост</t>
        </r>
        <r>
          <rPr>
            <b/>
            <i/>
            <sz val="10"/>
            <color indexed="81"/>
            <rFont val="Times New Roman Cyr"/>
            <charset val="204"/>
          </rPr>
          <t xml:space="preserve"> </t>
        </r>
        <r>
          <rPr>
            <b/>
            <i/>
            <u/>
            <sz val="10"/>
            <color indexed="10"/>
            <rFont val="Times New Roman Cyr"/>
            <charset val="204"/>
          </rPr>
          <t xml:space="preserve">за предходната година </t>
        </r>
        <r>
          <rPr>
            <sz val="10"/>
            <color indexed="81"/>
            <rFont val="Times New Roman Cyr"/>
            <charset val="204"/>
          </rPr>
          <t xml:space="preserve">- от таблица </t>
        </r>
        <r>
          <rPr>
            <sz val="10"/>
            <color indexed="18"/>
            <rFont val="Times New Roman Cyr"/>
            <charset val="204"/>
          </rPr>
          <t xml:space="preserve"> </t>
        </r>
        <r>
          <rPr>
            <b/>
            <sz val="10"/>
            <color indexed="18"/>
            <rFont val="Times New Roman CYR"/>
            <charset val="204"/>
          </rPr>
          <t xml:space="preserve">Municipal-Bal </t>
        </r>
        <r>
          <rPr>
            <sz val="10"/>
            <color indexed="81"/>
            <rFont val="Times New Roman Cyr"/>
            <charset val="204"/>
          </rPr>
          <t>въведи сумата от</t>
        </r>
        <r>
          <rPr>
            <b/>
            <sz val="10"/>
            <color indexed="81"/>
            <rFont val="Times New Roman Cyr"/>
            <charset val="204"/>
          </rPr>
          <t xml:space="preserve"> клетка O83 </t>
        </r>
      </text>
    </comment>
    <comment ref="O115" authorId="1">
      <text>
        <r>
          <rPr>
            <sz val="10"/>
            <color indexed="81"/>
            <rFont val="Times New Roman Cyr"/>
            <charset val="204"/>
          </rPr>
          <t xml:space="preserve">От </t>
        </r>
        <r>
          <rPr>
            <b/>
            <sz val="10"/>
            <color indexed="81"/>
            <rFont val="Times New Roman Cyr"/>
            <charset val="204"/>
          </rPr>
          <t>файла на оборотната ведомост</t>
        </r>
        <r>
          <rPr>
            <b/>
            <i/>
            <sz val="10"/>
            <color indexed="81"/>
            <rFont val="Times New Roman Cyr"/>
            <charset val="204"/>
          </rPr>
          <t xml:space="preserve"> </t>
        </r>
        <r>
          <rPr>
            <b/>
            <i/>
            <u/>
            <sz val="10"/>
            <color indexed="10"/>
            <rFont val="Times New Roman Cyr"/>
            <charset val="204"/>
          </rPr>
          <t xml:space="preserve">за предходната година </t>
        </r>
        <r>
          <rPr>
            <sz val="10"/>
            <color indexed="81"/>
            <rFont val="Times New Roman Cyr"/>
            <charset val="204"/>
          </rPr>
          <t xml:space="preserve">- от таблица </t>
        </r>
        <r>
          <rPr>
            <sz val="10"/>
            <color indexed="18"/>
            <rFont val="Times New Roman Cyr"/>
            <charset val="204"/>
          </rPr>
          <t xml:space="preserve"> </t>
        </r>
        <r>
          <rPr>
            <b/>
            <sz val="10"/>
            <color indexed="18"/>
            <rFont val="Times New Roman CYR"/>
            <charset val="204"/>
          </rPr>
          <t xml:space="preserve">Municipal-Bal </t>
        </r>
        <r>
          <rPr>
            <sz val="10"/>
            <color indexed="81"/>
            <rFont val="Times New Roman Cyr"/>
            <charset val="204"/>
          </rPr>
          <t>въведи сумата от</t>
        </r>
        <r>
          <rPr>
            <b/>
            <sz val="10"/>
            <color indexed="81"/>
            <rFont val="Times New Roman Cyr"/>
            <charset val="204"/>
          </rPr>
          <t xml:space="preserve"> клетка O85 </t>
        </r>
      </text>
    </comment>
    <comment ref="O116" authorId="1">
      <text>
        <r>
          <rPr>
            <sz val="10"/>
            <color indexed="81"/>
            <rFont val="Times New Roman Cyr"/>
            <charset val="204"/>
          </rPr>
          <t xml:space="preserve">От </t>
        </r>
        <r>
          <rPr>
            <b/>
            <sz val="10"/>
            <color indexed="81"/>
            <rFont val="Times New Roman Cyr"/>
            <charset val="204"/>
          </rPr>
          <t>файла на оборотната ведомост</t>
        </r>
        <r>
          <rPr>
            <b/>
            <i/>
            <sz val="10"/>
            <color indexed="81"/>
            <rFont val="Times New Roman Cyr"/>
            <charset val="204"/>
          </rPr>
          <t xml:space="preserve"> </t>
        </r>
        <r>
          <rPr>
            <b/>
            <i/>
            <u/>
            <sz val="10"/>
            <color indexed="10"/>
            <rFont val="Times New Roman Cyr"/>
            <charset val="204"/>
          </rPr>
          <t xml:space="preserve">за предходната година </t>
        </r>
        <r>
          <rPr>
            <sz val="10"/>
            <color indexed="81"/>
            <rFont val="Times New Roman Cyr"/>
            <charset val="204"/>
          </rPr>
          <t xml:space="preserve">- от таблица </t>
        </r>
        <r>
          <rPr>
            <sz val="10"/>
            <color indexed="18"/>
            <rFont val="Times New Roman Cyr"/>
            <charset val="204"/>
          </rPr>
          <t xml:space="preserve"> </t>
        </r>
        <r>
          <rPr>
            <b/>
            <sz val="10"/>
            <color indexed="18"/>
            <rFont val="Times New Roman CYR"/>
            <charset val="204"/>
          </rPr>
          <t xml:space="preserve">Municipal-Bal </t>
        </r>
        <r>
          <rPr>
            <sz val="10"/>
            <color indexed="81"/>
            <rFont val="Times New Roman Cyr"/>
            <charset val="204"/>
          </rPr>
          <t>въведи сумата от</t>
        </r>
        <r>
          <rPr>
            <b/>
            <sz val="10"/>
            <color indexed="81"/>
            <rFont val="Times New Roman Cyr"/>
            <charset val="204"/>
          </rPr>
          <t xml:space="preserve"> клетка O86 </t>
        </r>
      </text>
    </comment>
    <comment ref="O118" authorId="1">
      <text>
        <r>
          <rPr>
            <sz val="10"/>
            <color indexed="81"/>
            <rFont val="Times New Roman Cyr"/>
            <charset val="204"/>
          </rPr>
          <t xml:space="preserve">От </t>
        </r>
        <r>
          <rPr>
            <b/>
            <sz val="10"/>
            <color indexed="81"/>
            <rFont val="Times New Roman Cyr"/>
            <charset val="204"/>
          </rPr>
          <t>файла на оборотната ведомост</t>
        </r>
        <r>
          <rPr>
            <b/>
            <i/>
            <sz val="10"/>
            <color indexed="81"/>
            <rFont val="Times New Roman Cyr"/>
            <charset val="204"/>
          </rPr>
          <t xml:space="preserve"> </t>
        </r>
        <r>
          <rPr>
            <b/>
            <i/>
            <u/>
            <sz val="10"/>
            <color indexed="10"/>
            <rFont val="Times New Roman Cyr"/>
            <charset val="204"/>
          </rPr>
          <t xml:space="preserve">за предходната година </t>
        </r>
        <r>
          <rPr>
            <sz val="10"/>
            <color indexed="81"/>
            <rFont val="Times New Roman Cyr"/>
            <charset val="204"/>
          </rPr>
          <t xml:space="preserve">- от таблица </t>
        </r>
        <r>
          <rPr>
            <sz val="10"/>
            <color indexed="18"/>
            <rFont val="Times New Roman Cyr"/>
            <charset val="204"/>
          </rPr>
          <t xml:space="preserve"> </t>
        </r>
        <r>
          <rPr>
            <b/>
            <sz val="10"/>
            <color indexed="18"/>
            <rFont val="Times New Roman CYR"/>
            <charset val="204"/>
          </rPr>
          <t xml:space="preserve">Municipal-Bal </t>
        </r>
        <r>
          <rPr>
            <sz val="10"/>
            <color indexed="81"/>
            <rFont val="Times New Roman Cyr"/>
            <charset val="204"/>
          </rPr>
          <t>въведи сумата от</t>
        </r>
        <r>
          <rPr>
            <b/>
            <sz val="10"/>
            <color indexed="81"/>
            <rFont val="Times New Roman Cyr"/>
            <charset val="204"/>
          </rPr>
          <t xml:space="preserve"> клетка O88 </t>
        </r>
      </text>
    </comment>
    <comment ref="O119" authorId="1">
      <text>
        <r>
          <rPr>
            <sz val="10"/>
            <color indexed="81"/>
            <rFont val="Times New Roman Cyr"/>
            <charset val="204"/>
          </rPr>
          <t xml:space="preserve">От </t>
        </r>
        <r>
          <rPr>
            <b/>
            <sz val="10"/>
            <color indexed="81"/>
            <rFont val="Times New Roman Cyr"/>
            <charset val="204"/>
          </rPr>
          <t>файла на оборотната ведомост</t>
        </r>
        <r>
          <rPr>
            <b/>
            <i/>
            <sz val="10"/>
            <color indexed="81"/>
            <rFont val="Times New Roman Cyr"/>
            <charset val="204"/>
          </rPr>
          <t xml:space="preserve"> </t>
        </r>
        <r>
          <rPr>
            <b/>
            <i/>
            <u/>
            <sz val="10"/>
            <color indexed="10"/>
            <rFont val="Times New Roman Cyr"/>
            <charset val="204"/>
          </rPr>
          <t xml:space="preserve">за предходната година </t>
        </r>
        <r>
          <rPr>
            <sz val="10"/>
            <color indexed="81"/>
            <rFont val="Times New Roman Cyr"/>
            <charset val="204"/>
          </rPr>
          <t xml:space="preserve">- от таблица </t>
        </r>
        <r>
          <rPr>
            <sz val="10"/>
            <color indexed="18"/>
            <rFont val="Times New Roman Cyr"/>
            <charset val="204"/>
          </rPr>
          <t xml:space="preserve"> </t>
        </r>
        <r>
          <rPr>
            <b/>
            <sz val="10"/>
            <color indexed="18"/>
            <rFont val="Times New Roman CYR"/>
            <charset val="204"/>
          </rPr>
          <t xml:space="preserve">Municipal-Bal </t>
        </r>
        <r>
          <rPr>
            <sz val="10"/>
            <color indexed="81"/>
            <rFont val="Times New Roman Cyr"/>
            <charset val="204"/>
          </rPr>
          <t>въведи сумата от</t>
        </r>
        <r>
          <rPr>
            <b/>
            <sz val="10"/>
            <color indexed="81"/>
            <rFont val="Times New Roman Cyr"/>
            <charset val="204"/>
          </rPr>
          <t xml:space="preserve"> клетка O89 </t>
        </r>
      </text>
    </comment>
    <comment ref="U126" authorId="1">
      <text>
        <r>
          <rPr>
            <sz val="10"/>
            <color indexed="81"/>
            <rFont val="Times New Roman Cyr"/>
            <charset val="204"/>
          </rPr>
          <t xml:space="preserve">От </t>
        </r>
        <r>
          <rPr>
            <b/>
            <sz val="10"/>
            <color indexed="81"/>
            <rFont val="Times New Roman Cyr"/>
            <charset val="204"/>
          </rPr>
          <t>файла на оборотната ведомост</t>
        </r>
        <r>
          <rPr>
            <b/>
            <i/>
            <sz val="10"/>
            <color indexed="81"/>
            <rFont val="Times New Roman Cyr"/>
            <charset val="204"/>
          </rPr>
          <t xml:space="preserve"> </t>
        </r>
        <r>
          <rPr>
            <b/>
            <i/>
            <u/>
            <sz val="10"/>
            <color indexed="10"/>
            <rFont val="Times New Roman Cyr"/>
            <charset val="204"/>
          </rPr>
          <t xml:space="preserve">за предходната година </t>
        </r>
        <r>
          <rPr>
            <sz val="10"/>
            <color indexed="81"/>
            <rFont val="Times New Roman Cyr"/>
            <charset val="204"/>
          </rPr>
          <t xml:space="preserve">- от таблица </t>
        </r>
        <r>
          <rPr>
            <sz val="10"/>
            <color indexed="18"/>
            <rFont val="Times New Roman Cyr"/>
            <charset val="204"/>
          </rPr>
          <t xml:space="preserve"> </t>
        </r>
        <r>
          <rPr>
            <b/>
            <sz val="10"/>
            <color indexed="18"/>
            <rFont val="Times New Roman CYR"/>
            <charset val="204"/>
          </rPr>
          <t xml:space="preserve">Municipal-Bal </t>
        </r>
        <r>
          <rPr>
            <sz val="10"/>
            <color indexed="81"/>
            <rFont val="Times New Roman Cyr"/>
            <charset val="204"/>
          </rPr>
          <t>въведи сумата от</t>
        </r>
        <r>
          <rPr>
            <b/>
            <sz val="10"/>
            <color indexed="81"/>
            <rFont val="Times New Roman Cyr"/>
            <charset val="204"/>
          </rPr>
          <t xml:space="preserve"> клетка U82 </t>
        </r>
      </text>
    </comment>
    <comment ref="U128" authorId="1">
      <text>
        <r>
          <rPr>
            <sz val="10"/>
            <color indexed="81"/>
            <rFont val="Times New Roman Cyr"/>
            <charset val="204"/>
          </rPr>
          <t xml:space="preserve">От </t>
        </r>
        <r>
          <rPr>
            <b/>
            <sz val="10"/>
            <color indexed="81"/>
            <rFont val="Times New Roman Cyr"/>
            <charset val="204"/>
          </rPr>
          <t>файла на оборотната ведомост</t>
        </r>
        <r>
          <rPr>
            <b/>
            <i/>
            <sz val="10"/>
            <color indexed="81"/>
            <rFont val="Times New Roman Cyr"/>
            <charset val="204"/>
          </rPr>
          <t xml:space="preserve"> </t>
        </r>
        <r>
          <rPr>
            <b/>
            <i/>
            <u/>
            <sz val="10"/>
            <color indexed="10"/>
            <rFont val="Times New Roman Cyr"/>
            <charset val="204"/>
          </rPr>
          <t xml:space="preserve">за предходната година </t>
        </r>
        <r>
          <rPr>
            <sz val="10"/>
            <color indexed="81"/>
            <rFont val="Times New Roman Cyr"/>
            <charset val="204"/>
          </rPr>
          <t xml:space="preserve">- от таблица </t>
        </r>
        <r>
          <rPr>
            <sz val="10"/>
            <color indexed="18"/>
            <rFont val="Times New Roman Cyr"/>
            <charset val="204"/>
          </rPr>
          <t xml:space="preserve"> </t>
        </r>
        <r>
          <rPr>
            <b/>
            <sz val="10"/>
            <color indexed="18"/>
            <rFont val="Times New Roman CYR"/>
            <charset val="204"/>
          </rPr>
          <t xml:space="preserve">Municipal-Bal </t>
        </r>
        <r>
          <rPr>
            <sz val="10"/>
            <color indexed="81"/>
            <rFont val="Times New Roman Cyr"/>
            <charset val="204"/>
          </rPr>
          <t>въведи сумата от</t>
        </r>
        <r>
          <rPr>
            <b/>
            <sz val="10"/>
            <color indexed="81"/>
            <rFont val="Times New Roman Cyr"/>
            <charset val="204"/>
          </rPr>
          <t xml:space="preserve"> клетка U85 </t>
        </r>
      </text>
    </comment>
  </commentList>
</comments>
</file>

<file path=xl/comments6.xml><?xml version="1.0" encoding="utf-8"?>
<comments xmlns="http://schemas.openxmlformats.org/spreadsheetml/2006/main">
  <authors>
    <author>Никола Павлов</author>
  </authors>
  <commentList>
    <comment ref="D4" authorId="0">
      <text>
        <r>
          <rPr>
            <sz val="10"/>
            <color indexed="81"/>
            <rFont val="Times New Roman"/>
            <family val="1"/>
            <charset val="204"/>
          </rPr>
          <t xml:space="preserve">Този код </t>
        </r>
        <r>
          <rPr>
            <i/>
            <u/>
            <sz val="10"/>
            <color indexed="10"/>
            <rFont val="Times New Roman"/>
            <family val="1"/>
            <charset val="204"/>
          </rPr>
          <t>не</t>
        </r>
        <r>
          <rPr>
            <sz val="10"/>
            <color indexed="81"/>
            <rFont val="Times New Roman"/>
            <family val="1"/>
            <charset val="204"/>
          </rPr>
          <t xml:space="preserve"> е </t>
        </r>
        <r>
          <rPr>
            <b/>
            <i/>
            <u/>
            <sz val="10"/>
            <color indexed="10"/>
            <rFont val="Times New Roman"/>
            <family val="1"/>
            <charset val="204"/>
          </rPr>
          <t>задължителен</t>
        </r>
        <r>
          <rPr>
            <b/>
            <i/>
            <sz val="10"/>
            <color indexed="81"/>
            <rFont val="Times New Roman"/>
            <family val="1"/>
            <charset val="204"/>
          </rPr>
          <t>.</t>
        </r>
        <r>
          <rPr>
            <sz val="10"/>
            <color indexed="81"/>
            <rFont val="Times New Roman"/>
            <family val="1"/>
            <charset val="204"/>
          </rPr>
          <t xml:space="preserve">Той може да се използва при изготвянето и представянето на отчетите на подведомствените разпоредители, включително ЦУ на първостепенния разпоредител с бюджет.
</t>
        </r>
      </text>
    </comment>
  </commentList>
</comments>
</file>

<file path=xl/comments7.xml><?xml version="1.0" encoding="utf-8"?>
<comments xmlns="http://schemas.openxmlformats.org/spreadsheetml/2006/main">
  <authors>
    <author>Никола Павлов</author>
  </authors>
  <commentList>
    <comment ref="D42" authorId="0">
      <text>
        <r>
          <rPr>
            <sz val="10"/>
            <color indexed="81"/>
            <rFont val="Times New Roman"/>
            <family val="1"/>
            <charset val="204"/>
          </rPr>
          <t xml:space="preserve">Включва </t>
        </r>
        <r>
          <rPr>
            <b/>
            <i/>
            <sz val="10"/>
            <color indexed="10"/>
            <rFont val="Times New Roman"/>
            <family val="1"/>
            <charset val="204"/>
          </rPr>
          <t xml:space="preserve">"червено" </t>
        </r>
        <r>
          <rPr>
            <b/>
            <i/>
            <sz val="10"/>
            <color indexed="81"/>
            <rFont val="Times New Roman"/>
            <family val="1"/>
            <charset val="204"/>
          </rPr>
          <t>Кт салдо</t>
        </r>
        <r>
          <rPr>
            <sz val="10"/>
            <color indexed="81"/>
            <rFont val="Times New Roman"/>
            <family val="1"/>
            <charset val="204"/>
          </rPr>
          <t xml:space="preserve"> за </t>
        </r>
        <r>
          <rPr>
            <b/>
            <sz val="10"/>
            <color indexed="81"/>
            <rFont val="Times New Roman"/>
            <family val="1"/>
            <charset val="204"/>
          </rPr>
          <t>сметки 4020</t>
        </r>
        <r>
          <rPr>
            <sz val="10"/>
            <color indexed="81"/>
            <rFont val="Times New Roman"/>
            <family val="1"/>
            <charset val="204"/>
          </rPr>
          <t xml:space="preserve"> и </t>
        </r>
        <r>
          <rPr>
            <b/>
            <sz val="10"/>
            <color indexed="81"/>
            <rFont val="Times New Roman"/>
            <family val="1"/>
            <charset val="204"/>
          </rPr>
          <t>4040</t>
        </r>
        <r>
          <rPr>
            <sz val="10"/>
            <color indexed="81"/>
            <rFont val="Times New Roman"/>
            <family val="1"/>
            <charset val="204"/>
          </rPr>
          <t xml:space="preserve"> текущо през годината, с изключение на годишната оборотна ведомост.
</t>
        </r>
      </text>
    </comment>
    <comment ref="G42" authorId="0">
      <text>
        <r>
          <rPr>
            <sz val="10"/>
            <color indexed="81"/>
            <rFont val="Times New Roman"/>
            <family val="1"/>
            <charset val="204"/>
          </rPr>
          <t xml:space="preserve">Включва </t>
        </r>
        <r>
          <rPr>
            <b/>
            <i/>
            <sz val="10"/>
            <color indexed="10"/>
            <rFont val="Times New Roman"/>
            <family val="1"/>
            <charset val="204"/>
          </rPr>
          <t xml:space="preserve">"червено" </t>
        </r>
        <r>
          <rPr>
            <b/>
            <i/>
            <sz val="10"/>
            <color indexed="81"/>
            <rFont val="Times New Roman"/>
            <family val="1"/>
            <charset val="204"/>
          </rPr>
          <t>Кт салдо</t>
        </r>
        <r>
          <rPr>
            <sz val="10"/>
            <color indexed="81"/>
            <rFont val="Times New Roman"/>
            <family val="1"/>
            <charset val="204"/>
          </rPr>
          <t xml:space="preserve"> за </t>
        </r>
        <r>
          <rPr>
            <b/>
            <sz val="10"/>
            <color indexed="81"/>
            <rFont val="Times New Roman"/>
            <family val="1"/>
            <charset val="204"/>
          </rPr>
          <t>сметки 4020</t>
        </r>
        <r>
          <rPr>
            <sz val="10"/>
            <color indexed="81"/>
            <rFont val="Times New Roman"/>
            <family val="1"/>
            <charset val="204"/>
          </rPr>
          <t xml:space="preserve"> и </t>
        </r>
        <r>
          <rPr>
            <b/>
            <sz val="10"/>
            <color indexed="81"/>
            <rFont val="Times New Roman"/>
            <family val="1"/>
            <charset val="204"/>
          </rPr>
          <t>4040</t>
        </r>
        <r>
          <rPr>
            <sz val="10"/>
            <color indexed="81"/>
            <rFont val="Times New Roman"/>
            <family val="1"/>
            <charset val="204"/>
          </rPr>
          <t xml:space="preserve"> текущо през годината, с изключение на годишната оборотна ведомост.
</t>
        </r>
      </text>
    </comment>
    <comment ref="J42" authorId="0">
      <text>
        <r>
          <rPr>
            <sz val="10"/>
            <color indexed="81"/>
            <rFont val="Times New Roman"/>
            <family val="1"/>
            <charset val="204"/>
          </rPr>
          <t xml:space="preserve">Включва </t>
        </r>
        <r>
          <rPr>
            <b/>
            <i/>
            <sz val="10"/>
            <color indexed="10"/>
            <rFont val="Times New Roman"/>
            <family val="1"/>
            <charset val="204"/>
          </rPr>
          <t xml:space="preserve">"червено" </t>
        </r>
        <r>
          <rPr>
            <b/>
            <i/>
            <sz val="10"/>
            <color indexed="81"/>
            <rFont val="Times New Roman"/>
            <family val="1"/>
            <charset val="204"/>
          </rPr>
          <t>Кт салдо</t>
        </r>
        <r>
          <rPr>
            <sz val="10"/>
            <color indexed="81"/>
            <rFont val="Times New Roman"/>
            <family val="1"/>
            <charset val="204"/>
          </rPr>
          <t xml:space="preserve"> за </t>
        </r>
        <r>
          <rPr>
            <b/>
            <sz val="10"/>
            <color indexed="81"/>
            <rFont val="Times New Roman"/>
            <family val="1"/>
            <charset val="204"/>
          </rPr>
          <t>сметки 4020</t>
        </r>
        <r>
          <rPr>
            <sz val="10"/>
            <color indexed="81"/>
            <rFont val="Times New Roman"/>
            <family val="1"/>
            <charset val="204"/>
          </rPr>
          <t xml:space="preserve"> и </t>
        </r>
        <r>
          <rPr>
            <b/>
            <sz val="10"/>
            <color indexed="81"/>
            <rFont val="Times New Roman"/>
            <family val="1"/>
            <charset val="204"/>
          </rPr>
          <t>4040</t>
        </r>
        <r>
          <rPr>
            <sz val="10"/>
            <color indexed="81"/>
            <rFont val="Times New Roman"/>
            <family val="1"/>
            <charset val="204"/>
          </rPr>
          <t xml:space="preserve"> текущо през годината, с изключение на годишната оборотна ведомост.
</t>
        </r>
      </text>
    </comment>
    <comment ref="M42" authorId="0">
      <text>
        <r>
          <rPr>
            <sz val="10"/>
            <color indexed="81"/>
            <rFont val="Times New Roman"/>
            <family val="1"/>
            <charset val="204"/>
          </rPr>
          <t xml:space="preserve">Включва </t>
        </r>
        <r>
          <rPr>
            <b/>
            <i/>
            <sz val="10"/>
            <color indexed="10"/>
            <rFont val="Times New Roman"/>
            <family val="1"/>
            <charset val="204"/>
          </rPr>
          <t xml:space="preserve">"червено" </t>
        </r>
        <r>
          <rPr>
            <b/>
            <i/>
            <sz val="10"/>
            <color indexed="81"/>
            <rFont val="Times New Roman"/>
            <family val="1"/>
            <charset val="204"/>
          </rPr>
          <t>Кт салдо</t>
        </r>
        <r>
          <rPr>
            <sz val="10"/>
            <color indexed="81"/>
            <rFont val="Times New Roman"/>
            <family val="1"/>
            <charset val="204"/>
          </rPr>
          <t xml:space="preserve"> за </t>
        </r>
        <r>
          <rPr>
            <b/>
            <sz val="10"/>
            <color indexed="81"/>
            <rFont val="Times New Roman"/>
            <family val="1"/>
            <charset val="204"/>
          </rPr>
          <t>сметки 4020</t>
        </r>
        <r>
          <rPr>
            <sz val="10"/>
            <color indexed="81"/>
            <rFont val="Times New Roman"/>
            <family val="1"/>
            <charset val="204"/>
          </rPr>
          <t xml:space="preserve"> и </t>
        </r>
        <r>
          <rPr>
            <b/>
            <sz val="10"/>
            <color indexed="81"/>
            <rFont val="Times New Roman"/>
            <family val="1"/>
            <charset val="204"/>
          </rPr>
          <t>4040</t>
        </r>
        <r>
          <rPr>
            <sz val="10"/>
            <color indexed="81"/>
            <rFont val="Times New Roman"/>
            <family val="1"/>
            <charset val="204"/>
          </rPr>
          <t xml:space="preserve"> текущо през годината, с изключение на годишната оборотна ведомост.
</t>
        </r>
      </text>
    </comment>
  </commentList>
</comments>
</file>

<file path=xl/comments8.xml><?xml version="1.0" encoding="utf-8"?>
<comments xmlns="http://schemas.openxmlformats.org/spreadsheetml/2006/main">
  <authors>
    <author>Никола Павлов</author>
  </authors>
  <commentList>
    <comment ref="D20" authorId="0">
      <text>
        <r>
          <rPr>
            <b/>
            <i/>
            <sz val="12"/>
            <color indexed="10"/>
            <rFont val="Times New Roman"/>
            <family val="1"/>
            <charset val="204"/>
          </rPr>
          <t>Извадено</t>
        </r>
        <r>
          <rPr>
            <b/>
            <sz val="12"/>
            <color indexed="81"/>
            <rFont val="Times New Roman"/>
            <family val="1"/>
            <charset val="204"/>
          </rPr>
          <t xml:space="preserve"> салдо на </t>
        </r>
        <r>
          <rPr>
            <b/>
            <i/>
            <sz val="12"/>
            <color indexed="10"/>
            <rFont val="Times New Roman"/>
            <family val="1"/>
            <charset val="204"/>
          </rPr>
          <t>с/ка 7178</t>
        </r>
        <r>
          <rPr>
            <b/>
            <sz val="12"/>
            <color indexed="18"/>
            <rFont val="Times New Roman"/>
            <family val="1"/>
            <charset val="204"/>
          </rPr>
          <t>!</t>
        </r>
      </text>
    </comment>
    <comment ref="E20" authorId="0">
      <text>
        <r>
          <rPr>
            <b/>
            <i/>
            <sz val="12"/>
            <color indexed="10"/>
            <rFont val="Times New Roman"/>
            <family val="1"/>
            <charset val="204"/>
          </rPr>
          <t>Извадено</t>
        </r>
        <r>
          <rPr>
            <b/>
            <sz val="12"/>
            <color indexed="81"/>
            <rFont val="Times New Roman"/>
            <family val="1"/>
            <charset val="204"/>
          </rPr>
          <t xml:space="preserve"> салдо на </t>
        </r>
        <r>
          <rPr>
            <b/>
            <i/>
            <sz val="12"/>
            <color indexed="10"/>
            <rFont val="Times New Roman"/>
            <family val="1"/>
            <charset val="204"/>
          </rPr>
          <t>с/ка 7178</t>
        </r>
        <r>
          <rPr>
            <b/>
            <sz val="12"/>
            <color indexed="18"/>
            <rFont val="Times New Roman"/>
            <family val="1"/>
            <charset val="204"/>
          </rPr>
          <t>!</t>
        </r>
      </text>
    </comment>
    <comment ref="G20" authorId="0">
      <text>
        <r>
          <rPr>
            <b/>
            <i/>
            <sz val="12"/>
            <color indexed="10"/>
            <rFont val="Times New Roman"/>
            <family val="1"/>
            <charset val="204"/>
          </rPr>
          <t>Извадено</t>
        </r>
        <r>
          <rPr>
            <b/>
            <sz val="12"/>
            <color indexed="81"/>
            <rFont val="Times New Roman"/>
            <family val="1"/>
            <charset val="204"/>
          </rPr>
          <t xml:space="preserve"> салдо на </t>
        </r>
        <r>
          <rPr>
            <b/>
            <i/>
            <sz val="12"/>
            <color indexed="10"/>
            <rFont val="Times New Roman"/>
            <family val="1"/>
            <charset val="204"/>
          </rPr>
          <t>с/ка 7178</t>
        </r>
        <r>
          <rPr>
            <b/>
            <sz val="12"/>
            <color indexed="18"/>
            <rFont val="Times New Roman"/>
            <family val="1"/>
            <charset val="204"/>
          </rPr>
          <t>!</t>
        </r>
      </text>
    </comment>
    <comment ref="H20" authorId="0">
      <text>
        <r>
          <rPr>
            <b/>
            <i/>
            <sz val="12"/>
            <color indexed="10"/>
            <rFont val="Times New Roman"/>
            <family val="1"/>
            <charset val="204"/>
          </rPr>
          <t>Извадено</t>
        </r>
        <r>
          <rPr>
            <b/>
            <sz val="12"/>
            <color indexed="81"/>
            <rFont val="Times New Roman"/>
            <family val="1"/>
            <charset val="204"/>
          </rPr>
          <t xml:space="preserve"> салдо на </t>
        </r>
        <r>
          <rPr>
            <b/>
            <i/>
            <sz val="12"/>
            <color indexed="10"/>
            <rFont val="Times New Roman"/>
            <family val="1"/>
            <charset val="204"/>
          </rPr>
          <t>с/ка 7178</t>
        </r>
        <r>
          <rPr>
            <b/>
            <sz val="12"/>
            <color indexed="18"/>
            <rFont val="Times New Roman"/>
            <family val="1"/>
            <charset val="204"/>
          </rPr>
          <t>!</t>
        </r>
      </text>
    </comment>
    <comment ref="J20" authorId="0">
      <text>
        <r>
          <rPr>
            <b/>
            <i/>
            <sz val="12"/>
            <color indexed="10"/>
            <rFont val="Times New Roman"/>
            <family val="1"/>
            <charset val="204"/>
          </rPr>
          <t>Извадено</t>
        </r>
        <r>
          <rPr>
            <b/>
            <sz val="12"/>
            <color indexed="81"/>
            <rFont val="Times New Roman"/>
            <family val="1"/>
            <charset val="204"/>
          </rPr>
          <t xml:space="preserve"> салдо на </t>
        </r>
        <r>
          <rPr>
            <b/>
            <i/>
            <sz val="12"/>
            <color indexed="10"/>
            <rFont val="Times New Roman"/>
            <family val="1"/>
            <charset val="204"/>
          </rPr>
          <t>с/ка 7178</t>
        </r>
        <r>
          <rPr>
            <b/>
            <sz val="12"/>
            <color indexed="18"/>
            <rFont val="Times New Roman"/>
            <family val="1"/>
            <charset val="204"/>
          </rPr>
          <t>!</t>
        </r>
      </text>
    </comment>
    <comment ref="K20" authorId="0">
      <text>
        <r>
          <rPr>
            <b/>
            <i/>
            <sz val="12"/>
            <color indexed="10"/>
            <rFont val="Times New Roman"/>
            <family val="1"/>
            <charset val="204"/>
          </rPr>
          <t>Извадено</t>
        </r>
        <r>
          <rPr>
            <b/>
            <sz val="12"/>
            <color indexed="81"/>
            <rFont val="Times New Roman"/>
            <family val="1"/>
            <charset val="204"/>
          </rPr>
          <t xml:space="preserve"> салдо на </t>
        </r>
        <r>
          <rPr>
            <b/>
            <i/>
            <sz val="12"/>
            <color indexed="10"/>
            <rFont val="Times New Roman"/>
            <family val="1"/>
            <charset val="204"/>
          </rPr>
          <t>с/ка 7178</t>
        </r>
        <r>
          <rPr>
            <b/>
            <sz val="12"/>
            <color indexed="18"/>
            <rFont val="Times New Roman"/>
            <family val="1"/>
            <charset val="204"/>
          </rPr>
          <t>!</t>
        </r>
      </text>
    </comment>
    <comment ref="D29" authorId="0">
      <text>
        <r>
          <rPr>
            <b/>
            <i/>
            <sz val="12"/>
            <color indexed="18"/>
            <rFont val="Times New Roman"/>
            <family val="1"/>
            <charset val="204"/>
          </rPr>
          <t>Добавено</t>
        </r>
        <r>
          <rPr>
            <b/>
            <sz val="12"/>
            <color indexed="81"/>
            <rFont val="Times New Roman"/>
            <family val="1"/>
            <charset val="204"/>
          </rPr>
          <t xml:space="preserve"> салдо на </t>
        </r>
        <r>
          <rPr>
            <b/>
            <i/>
            <sz val="12"/>
            <color indexed="18"/>
            <rFont val="Times New Roman"/>
            <family val="1"/>
            <charset val="204"/>
          </rPr>
          <t>с/ка 7178</t>
        </r>
        <r>
          <rPr>
            <b/>
            <sz val="12"/>
            <color indexed="18"/>
            <rFont val="Times New Roman"/>
            <family val="1"/>
            <charset val="204"/>
          </rPr>
          <t>!</t>
        </r>
      </text>
    </comment>
    <comment ref="E29" authorId="0">
      <text>
        <r>
          <rPr>
            <b/>
            <i/>
            <sz val="12"/>
            <color indexed="18"/>
            <rFont val="Times New Roman"/>
            <family val="1"/>
            <charset val="204"/>
          </rPr>
          <t>Добавено</t>
        </r>
        <r>
          <rPr>
            <b/>
            <sz val="12"/>
            <color indexed="81"/>
            <rFont val="Times New Roman"/>
            <family val="1"/>
            <charset val="204"/>
          </rPr>
          <t xml:space="preserve"> салдо на </t>
        </r>
        <r>
          <rPr>
            <b/>
            <i/>
            <sz val="12"/>
            <color indexed="18"/>
            <rFont val="Times New Roman"/>
            <family val="1"/>
            <charset val="204"/>
          </rPr>
          <t>с/ка 7178</t>
        </r>
        <r>
          <rPr>
            <b/>
            <sz val="12"/>
            <color indexed="18"/>
            <rFont val="Times New Roman"/>
            <family val="1"/>
            <charset val="204"/>
          </rPr>
          <t>!</t>
        </r>
      </text>
    </comment>
    <comment ref="G29" authorId="0">
      <text>
        <r>
          <rPr>
            <b/>
            <i/>
            <sz val="12"/>
            <color indexed="18"/>
            <rFont val="Times New Roman"/>
            <family val="1"/>
            <charset val="204"/>
          </rPr>
          <t>Добавено</t>
        </r>
        <r>
          <rPr>
            <b/>
            <sz val="12"/>
            <color indexed="81"/>
            <rFont val="Times New Roman"/>
            <family val="1"/>
            <charset val="204"/>
          </rPr>
          <t xml:space="preserve"> салдо на </t>
        </r>
        <r>
          <rPr>
            <b/>
            <i/>
            <sz val="12"/>
            <color indexed="18"/>
            <rFont val="Times New Roman"/>
            <family val="1"/>
            <charset val="204"/>
          </rPr>
          <t>с/ка 7178</t>
        </r>
        <r>
          <rPr>
            <b/>
            <sz val="12"/>
            <color indexed="18"/>
            <rFont val="Times New Roman"/>
            <family val="1"/>
            <charset val="204"/>
          </rPr>
          <t>!</t>
        </r>
      </text>
    </comment>
    <comment ref="H29" authorId="0">
      <text>
        <r>
          <rPr>
            <b/>
            <i/>
            <sz val="12"/>
            <color indexed="18"/>
            <rFont val="Times New Roman"/>
            <family val="1"/>
            <charset val="204"/>
          </rPr>
          <t>Добавено</t>
        </r>
        <r>
          <rPr>
            <b/>
            <sz val="12"/>
            <color indexed="81"/>
            <rFont val="Times New Roman"/>
            <family val="1"/>
            <charset val="204"/>
          </rPr>
          <t xml:space="preserve"> салдо на </t>
        </r>
        <r>
          <rPr>
            <b/>
            <i/>
            <sz val="12"/>
            <color indexed="18"/>
            <rFont val="Times New Roman"/>
            <family val="1"/>
            <charset val="204"/>
          </rPr>
          <t>с/ка 7178</t>
        </r>
        <r>
          <rPr>
            <b/>
            <sz val="12"/>
            <color indexed="18"/>
            <rFont val="Times New Roman"/>
            <family val="1"/>
            <charset val="204"/>
          </rPr>
          <t>!</t>
        </r>
      </text>
    </comment>
    <comment ref="J29" authorId="0">
      <text>
        <r>
          <rPr>
            <b/>
            <i/>
            <sz val="12"/>
            <color indexed="18"/>
            <rFont val="Times New Roman"/>
            <family val="1"/>
            <charset val="204"/>
          </rPr>
          <t>Добавено</t>
        </r>
        <r>
          <rPr>
            <b/>
            <sz val="12"/>
            <color indexed="81"/>
            <rFont val="Times New Roman"/>
            <family val="1"/>
            <charset val="204"/>
          </rPr>
          <t xml:space="preserve"> салдо на </t>
        </r>
        <r>
          <rPr>
            <b/>
            <i/>
            <sz val="12"/>
            <color indexed="18"/>
            <rFont val="Times New Roman"/>
            <family val="1"/>
            <charset val="204"/>
          </rPr>
          <t>с/ка 7178</t>
        </r>
        <r>
          <rPr>
            <b/>
            <sz val="12"/>
            <color indexed="18"/>
            <rFont val="Times New Roman"/>
            <family val="1"/>
            <charset val="204"/>
          </rPr>
          <t>!</t>
        </r>
      </text>
    </comment>
    <comment ref="K29" authorId="0">
      <text>
        <r>
          <rPr>
            <b/>
            <i/>
            <sz val="12"/>
            <color indexed="18"/>
            <rFont val="Times New Roman"/>
            <family val="1"/>
            <charset val="204"/>
          </rPr>
          <t>Добавено</t>
        </r>
        <r>
          <rPr>
            <b/>
            <sz val="12"/>
            <color indexed="81"/>
            <rFont val="Times New Roman"/>
            <family val="1"/>
            <charset val="204"/>
          </rPr>
          <t xml:space="preserve"> салдо на </t>
        </r>
        <r>
          <rPr>
            <b/>
            <i/>
            <sz val="12"/>
            <color indexed="18"/>
            <rFont val="Times New Roman"/>
            <family val="1"/>
            <charset val="204"/>
          </rPr>
          <t>с/ка 7178</t>
        </r>
        <r>
          <rPr>
            <b/>
            <sz val="12"/>
            <color indexed="18"/>
            <rFont val="Times New Roman"/>
            <family val="1"/>
            <charset val="204"/>
          </rPr>
          <t>!</t>
        </r>
      </text>
    </comment>
    <comment ref="J72" authorId="0">
      <text>
        <r>
          <rPr>
            <b/>
            <sz val="12"/>
            <color indexed="81"/>
            <rFont val="Times New Roman"/>
            <family val="1"/>
            <charset val="204"/>
          </rPr>
          <t xml:space="preserve">Включва и </t>
        </r>
        <r>
          <rPr>
            <b/>
            <i/>
            <sz val="12"/>
            <color indexed="18"/>
            <rFont val="Times New Roman"/>
            <family val="1"/>
            <charset val="204"/>
          </rPr>
          <t>сметка 7609</t>
        </r>
        <r>
          <rPr>
            <b/>
            <sz val="12"/>
            <color indexed="18"/>
            <rFont val="Times New Roman"/>
            <family val="1"/>
            <charset val="204"/>
          </rPr>
          <t>!</t>
        </r>
      </text>
    </comment>
    <comment ref="K72" authorId="0">
      <text>
        <r>
          <rPr>
            <b/>
            <sz val="12"/>
            <color indexed="81"/>
            <rFont val="Times New Roman"/>
            <family val="1"/>
            <charset val="204"/>
          </rPr>
          <t xml:space="preserve">Включва и </t>
        </r>
        <r>
          <rPr>
            <b/>
            <i/>
            <sz val="12"/>
            <color indexed="18"/>
            <rFont val="Times New Roman"/>
            <family val="1"/>
            <charset val="204"/>
          </rPr>
          <t>сметка 7609</t>
        </r>
        <r>
          <rPr>
            <b/>
            <sz val="12"/>
            <color indexed="18"/>
            <rFont val="Times New Roman"/>
            <family val="1"/>
            <charset val="204"/>
          </rPr>
          <t>!</t>
        </r>
      </text>
    </comment>
    <comment ref="J88" authorId="0">
      <text>
        <r>
          <rPr>
            <b/>
            <i/>
            <u/>
            <sz val="12"/>
            <color indexed="10"/>
            <rFont val="Times New Roman"/>
            <family val="1"/>
            <charset val="204"/>
          </rPr>
          <t>Не</t>
        </r>
        <r>
          <rPr>
            <b/>
            <sz val="12"/>
            <color indexed="81"/>
            <rFont val="Times New Roman"/>
            <family val="1"/>
            <charset val="204"/>
          </rPr>
          <t xml:space="preserve"> включва</t>
        </r>
        <r>
          <rPr>
            <b/>
            <sz val="12"/>
            <color indexed="10"/>
            <rFont val="Times New Roman"/>
            <family val="1"/>
            <charset val="204"/>
          </rPr>
          <t xml:space="preserve"> </t>
        </r>
        <r>
          <rPr>
            <b/>
            <i/>
            <sz val="12"/>
            <color indexed="10"/>
            <rFont val="Times New Roman"/>
            <family val="1"/>
            <charset val="204"/>
          </rPr>
          <t>сметка 7609</t>
        </r>
        <r>
          <rPr>
            <b/>
            <sz val="12"/>
            <color indexed="18"/>
            <rFont val="Times New Roman"/>
            <family val="1"/>
            <charset val="204"/>
          </rPr>
          <t>!</t>
        </r>
      </text>
    </comment>
    <comment ref="K88" authorId="0">
      <text>
        <r>
          <rPr>
            <b/>
            <i/>
            <u/>
            <sz val="12"/>
            <color indexed="10"/>
            <rFont val="Times New Roman"/>
            <family val="1"/>
            <charset val="204"/>
          </rPr>
          <t>Не</t>
        </r>
        <r>
          <rPr>
            <b/>
            <sz val="12"/>
            <color indexed="81"/>
            <rFont val="Times New Roman"/>
            <family val="1"/>
            <charset val="204"/>
          </rPr>
          <t xml:space="preserve"> включва</t>
        </r>
        <r>
          <rPr>
            <b/>
            <sz val="12"/>
            <color indexed="10"/>
            <rFont val="Times New Roman"/>
            <family val="1"/>
            <charset val="204"/>
          </rPr>
          <t xml:space="preserve"> </t>
        </r>
        <r>
          <rPr>
            <b/>
            <i/>
            <sz val="12"/>
            <color indexed="10"/>
            <rFont val="Times New Roman"/>
            <family val="1"/>
            <charset val="204"/>
          </rPr>
          <t>сметка 7609</t>
        </r>
        <r>
          <rPr>
            <b/>
            <sz val="12"/>
            <color indexed="18"/>
            <rFont val="Times New Roman"/>
            <family val="1"/>
            <charset val="204"/>
          </rPr>
          <t>!</t>
        </r>
      </text>
    </comment>
  </commentList>
</comments>
</file>

<file path=xl/comments9.xml><?xml version="1.0" encoding="utf-8"?>
<comments xmlns="http://schemas.openxmlformats.org/spreadsheetml/2006/main">
  <authors>
    <author>Никола Павлов</author>
  </authors>
  <commentList>
    <comment ref="D4" authorId="0">
      <text>
        <r>
          <rPr>
            <sz val="10"/>
            <color indexed="81"/>
            <rFont val="Times New Roman"/>
            <family val="1"/>
            <charset val="204"/>
          </rPr>
          <t xml:space="preserve">Този код </t>
        </r>
        <r>
          <rPr>
            <i/>
            <u/>
            <sz val="10"/>
            <color indexed="10"/>
            <rFont val="Times New Roman"/>
            <family val="1"/>
            <charset val="204"/>
          </rPr>
          <t>не</t>
        </r>
        <r>
          <rPr>
            <sz val="10"/>
            <color indexed="81"/>
            <rFont val="Times New Roman"/>
            <family val="1"/>
            <charset val="204"/>
          </rPr>
          <t xml:space="preserve"> е </t>
        </r>
        <r>
          <rPr>
            <b/>
            <i/>
            <u/>
            <sz val="10"/>
            <color indexed="10"/>
            <rFont val="Times New Roman"/>
            <family val="1"/>
            <charset val="204"/>
          </rPr>
          <t>задължителен</t>
        </r>
        <r>
          <rPr>
            <b/>
            <i/>
            <sz val="10"/>
            <color indexed="81"/>
            <rFont val="Times New Roman"/>
            <family val="1"/>
            <charset val="204"/>
          </rPr>
          <t>.</t>
        </r>
        <r>
          <rPr>
            <sz val="10"/>
            <color indexed="81"/>
            <rFont val="Times New Roman"/>
            <family val="1"/>
            <charset val="204"/>
          </rPr>
          <t xml:space="preserve">Той може да се използва при изготвянето и представянето на отчетите на подведомствените разпоредители, включително ЦУ на първостепенния разпоредител с бюджет.
</t>
        </r>
      </text>
    </comment>
    <comment ref="T115" authorId="0">
      <text>
        <r>
          <rPr>
            <sz val="10"/>
            <color indexed="81"/>
            <rFont val="Times New Roman"/>
            <family val="1"/>
            <charset val="204"/>
          </rPr>
          <t xml:space="preserve">Допустимо </t>
        </r>
        <r>
          <rPr>
            <b/>
            <i/>
            <sz val="10"/>
            <color indexed="10"/>
            <rFont val="Times New Roman"/>
            <family val="1"/>
            <charset val="204"/>
          </rPr>
          <t xml:space="preserve">"червено" </t>
        </r>
        <r>
          <rPr>
            <b/>
            <i/>
            <sz val="10"/>
            <color indexed="81"/>
            <rFont val="Times New Roman"/>
            <family val="1"/>
            <charset val="204"/>
          </rPr>
          <t>Кт салдо</t>
        </r>
        <r>
          <rPr>
            <sz val="10"/>
            <color indexed="81"/>
            <rFont val="Times New Roman"/>
            <family val="1"/>
            <charset val="204"/>
          </rPr>
          <t xml:space="preserve"> за </t>
        </r>
        <r>
          <rPr>
            <b/>
            <sz val="10"/>
            <color indexed="81"/>
            <rFont val="Times New Roman"/>
            <family val="1"/>
            <charset val="204"/>
          </rPr>
          <t>сметка 4020</t>
        </r>
        <r>
          <rPr>
            <sz val="10"/>
            <color indexed="81"/>
            <rFont val="Times New Roman"/>
            <family val="1"/>
            <charset val="204"/>
          </rPr>
          <t xml:space="preserve"> текущо през годината, с изключение на годишната оборотна ведомост</t>
        </r>
        <r>
          <rPr>
            <sz val="10"/>
            <color indexed="81"/>
            <rFont val="Times New Roman"/>
            <family val="1"/>
            <charset val="204"/>
          </rPr>
          <t xml:space="preserve">.
</t>
        </r>
      </text>
    </comment>
    <comment ref="T117" authorId="0">
      <text>
        <r>
          <rPr>
            <sz val="10"/>
            <color indexed="81"/>
            <rFont val="Times New Roman"/>
            <family val="1"/>
            <charset val="204"/>
          </rPr>
          <t xml:space="preserve">Допустимо </t>
        </r>
        <r>
          <rPr>
            <b/>
            <i/>
            <sz val="10"/>
            <color indexed="10"/>
            <rFont val="Times New Roman"/>
            <family val="1"/>
            <charset val="204"/>
          </rPr>
          <t xml:space="preserve">"червено" </t>
        </r>
        <r>
          <rPr>
            <b/>
            <i/>
            <sz val="10"/>
            <color indexed="81"/>
            <rFont val="Times New Roman"/>
            <family val="1"/>
            <charset val="204"/>
          </rPr>
          <t>Кт салдо</t>
        </r>
        <r>
          <rPr>
            <sz val="10"/>
            <color indexed="81"/>
            <rFont val="Times New Roman"/>
            <family val="1"/>
            <charset val="204"/>
          </rPr>
          <t xml:space="preserve"> за </t>
        </r>
        <r>
          <rPr>
            <b/>
            <sz val="10"/>
            <color indexed="81"/>
            <rFont val="Times New Roman"/>
            <family val="1"/>
            <charset val="204"/>
          </rPr>
          <t>сметка 4040</t>
        </r>
        <r>
          <rPr>
            <sz val="10"/>
            <color indexed="81"/>
            <rFont val="Times New Roman"/>
            <family val="1"/>
            <charset val="204"/>
          </rPr>
          <t xml:space="preserve"> текущо през годината, с изключение на годишната оборотна ведомост.
</t>
        </r>
      </text>
    </comment>
  </commentList>
</comments>
</file>

<file path=xl/sharedStrings.xml><?xml version="1.0" encoding="utf-8"?>
<sst xmlns="http://schemas.openxmlformats.org/spreadsheetml/2006/main" count="8529" uniqueCount="2309">
  <si>
    <t>Приходи от лихви по търговски кредит от чуждестранни лица</t>
  </si>
  <si>
    <t>Приходи от лихви по финансов лизинг от местни лица</t>
  </si>
  <si>
    <t>Приходи от лихви по финансов лизинг от чуждестранни лица</t>
  </si>
  <si>
    <t>Приходи от лихви по депозити, включени в системата на единна сметка (нето)</t>
  </si>
  <si>
    <t>Приходи от лихви в левове по банкови сметки и депозити в страната</t>
  </si>
  <si>
    <t>Приходи от лихви във валута по банкови сметки и депозити в страната</t>
  </si>
  <si>
    <t>Приходи от лихви по банкови сметки и депозити в чужбина</t>
  </si>
  <si>
    <t>Приходи от лихви за просрочени вземания от бюджетни организации</t>
  </si>
  <si>
    <t>Приходи от лихви върху просрочени публични вземания</t>
  </si>
  <si>
    <t>Разходи за провизии за други вземания (приходно-разходни позиции)</t>
  </si>
  <si>
    <t>Сторнирани (възстановени) провизии за публични държавни и общински вземания</t>
  </si>
  <si>
    <t>Сторнирани (възстановени) провизии за заеми и други вземания (финансиращи позиции)</t>
  </si>
  <si>
    <t>Сторнирани (възстановени) провизии за други вземания (приходно-разходни позиции)</t>
  </si>
  <si>
    <t>Разходи за провизии за други задължения</t>
  </si>
  <si>
    <t>Сторнирани провизии за други задължения</t>
  </si>
  <si>
    <t>Отписани вземания (приходно-разходни позиции) от бюджетни организации от подсектор "Централно управление"</t>
  </si>
  <si>
    <t>Отписани вземания (финансиращи позиции) от бюджетни организации от подсектор "Централно управление"</t>
  </si>
  <si>
    <t>Отписани вземания (приходно-разходни позиции) от общини</t>
  </si>
  <si>
    <t>Отписани вземания (финансиращи позиции) от общини</t>
  </si>
  <si>
    <t>Отписани вземания (приходно-разходни позиции) от социалноосигурителни фондове</t>
  </si>
  <si>
    <t>Отписани вземания (финансиращи позиции) от социалноосигурителни фондове</t>
  </si>
  <si>
    <t>Отписани публични държавни и общински вземания</t>
  </si>
  <si>
    <t>Отписани вземания (приходно-разходни позиции) от други предприятия от сектор "Държавно управление"</t>
  </si>
  <si>
    <t>Отписани вземания (финансиращи позиции) от други предприятия от сектор "Държавно управление"</t>
  </si>
  <si>
    <t>Отписани други вземания (приходно-разходни позиции) от местни лица</t>
  </si>
  <si>
    <t>Отписани други вземания (финансиращи позиции) от местни лица</t>
  </si>
  <si>
    <t>Отписани други вземания (приходно-разходни позиции) към чуждестранни лица</t>
  </si>
  <si>
    <t>Отписани други вземания (финансиращи позиции) към чуждестранни лица</t>
  </si>
  <si>
    <t>Намаление на нефинансови дълготрайни активи от други събития</t>
  </si>
  <si>
    <t>Намаление на материални запаси от други събития</t>
  </si>
  <si>
    <t>Намаление на финансови активи (приходно-разходни позиции) от други събития</t>
  </si>
  <si>
    <t>Намаление на финансови активи (финансиращи позиции) от други събития</t>
  </si>
  <si>
    <t>Намаление на парични средства от други събития</t>
  </si>
  <si>
    <t>Увеличение на пасиви (приходно-разходни позиции) от други събития</t>
  </si>
  <si>
    <t>Увеличение на пасиви (финансиращи позиции) от други събития</t>
  </si>
  <si>
    <t>Разчети за лихви върху вземания от активирани гаранции от чуждестранни лица</t>
  </si>
  <si>
    <t>Краткосрочни вземания от приватизация от местни лица</t>
  </si>
  <si>
    <t>Краткосрочни вземания от приватизация от чуждестранни лица</t>
  </si>
  <si>
    <t>Дългосрочни вземания от приватизация от местни лица</t>
  </si>
  <si>
    <t>Дългосрочни вземания от приватизация от чуждестранни лица</t>
  </si>
  <si>
    <t>Текущ дял по дългосрочни вземания от приватизация от местни лица</t>
  </si>
  <si>
    <t>Текущ дял по дългосрочни вземания от приватизация от чуждестранни лица</t>
  </si>
  <si>
    <t>Вземания от наказателни лихви, глоби и санкции по приватизация</t>
  </si>
  <si>
    <t>Незавършено строителство, производство и основен ремонт</t>
  </si>
  <si>
    <t>Провизии за други задължения</t>
  </si>
  <si>
    <t>РАЗДЕЛ 5 - СМЕТКИ ЗА ФИНАНСОВИ АКТИВИ</t>
  </si>
  <si>
    <t>Дебитен оборот</t>
  </si>
  <si>
    <t>Приписани помощи и дарения от чужбина</t>
  </si>
  <si>
    <t>Разчети за плащания в СЕБРА</t>
  </si>
  <si>
    <t>Вътрешни касови трансфери в левове</t>
  </si>
  <si>
    <t>Вътрешни касови трансфери във валута</t>
  </si>
  <si>
    <t>Касови трансфери на отчислени приходи</t>
  </si>
  <si>
    <t>Касови трансфери от/за бюджети на бюджетни организации от подсектор "Централно управление"</t>
  </si>
  <si>
    <t>Касови трансфери от/за бюджети на общини</t>
  </si>
  <si>
    <t>Касови трансфери от/за бюджети на социалноосигурителни фондове</t>
  </si>
  <si>
    <t>Касови трансфери от/за сметки за средства от Европейския съюз на бюджетни организации от подсектор "Централно управление"</t>
  </si>
  <si>
    <t>Касови трансфери от/за сметки за средства от Европейския съюз на общини</t>
  </si>
  <si>
    <t>Касови трансфери от/за сметки за средства от Европейския съюз на социалноосигурителни фондове</t>
  </si>
  <si>
    <t>Касови трансфери от/за сметки за чужди средства на бюджетни организации от подсектор "Централно управление"</t>
  </si>
  <si>
    <t>Касови трансфери от/за сметки за чужди средства на общини</t>
  </si>
  <si>
    <t>Касови трансфери от/за сметки за чужди средства на социалноосигурителни фондове</t>
  </si>
  <si>
    <t>Трансфери за поети данъци върху доходите на физическите лица</t>
  </si>
  <si>
    <t>Трансфери за поети осигурителни вноски за ДОО</t>
  </si>
  <si>
    <t>Трансфери за поети осигурителни вноски за здравно осигуряване</t>
  </si>
  <si>
    <t>Трансфери за поети осигурителни вноски за допълнително задължително пенсионно и здравно осигуряване</t>
  </si>
  <si>
    <t>Корективен трансфер за поети осигурителни вноски и данъци</t>
  </si>
  <si>
    <t>Разпределени суми на трансфери за поети осигурителни вноски и данъци</t>
  </si>
  <si>
    <t>Коректив за капитализирани активи в отчетна група "Други сметки и дейности"</t>
  </si>
  <si>
    <t>Прехвърлени нефинансови дълготрайни активи от/към бюджетни организации от подсектор "Централно управление"</t>
  </si>
  <si>
    <t>Прехвърлени материални запаси от/към бюджетни организации от подсектор "Централно управление"</t>
  </si>
  <si>
    <t>Прехвърлени финансови активи (приходно-разходни позиции) от/към бюджетни организации от подсектор "Централно управление"</t>
  </si>
  <si>
    <t>Прехвърлени финансови активи (финансиращи позиции) от/към бюджетни организации от подсектор "Централно управление"</t>
  </si>
  <si>
    <t>Прехвърлени пасиви (приходно-разходни позиции) от/към бюджетни организации от подсектор "Централно управление"</t>
  </si>
  <si>
    <t>Прехвърлени пасиви (финансиращи позиции) от/към бюджетни организации от подсектор "Централно управление"</t>
  </si>
  <si>
    <t>Прехвърлени нефинансови дълготрайни активи от/към общини</t>
  </si>
  <si>
    <t>Прехвърлени материални запаси от/към общини</t>
  </si>
  <si>
    <t>Прехвърлени финансови активи (приходно-разходни позиции) от/към общини</t>
  </si>
  <si>
    <t>Прехвърлени финансови активи (финансиращи позиции) от/към общини</t>
  </si>
  <si>
    <t>Прехвърлени пасиви (приходно-разходни позиции) от/към общини</t>
  </si>
  <si>
    <t>Прехвърлени пасиви (финансиращи позиции) от/към общини</t>
  </si>
  <si>
    <t>Прехвърлени нефинансови дълготрайни активи от/към социалноосигурителни фондове</t>
  </si>
  <si>
    <t>Прехвърлени материални запаси от/към социалноосигурителни фондове</t>
  </si>
  <si>
    <t>Прехвърлени финансови активи (приходно-разходни позиции) от/към социалноосигурителни фондове</t>
  </si>
  <si>
    <t>Прехвърлени финансови активи (финансиращи позиции) от/към социалноосигурителни фондове</t>
  </si>
  <si>
    <t>Прехвърлени пасиви (приходно-разходни позиции) от/към социалноосигурителни фондове</t>
  </si>
  <si>
    <t>Прехвърлени пасиви (финансиращи позиции) от/към социалноосигурителни фондове</t>
  </si>
  <si>
    <t>Прехвърлени нефинансови дълготрайни активи от/към други предприятия от сектор "Държавно управление"</t>
  </si>
  <si>
    <t>Вътрешни трансфери на поети ангажименти за разходи</t>
  </si>
  <si>
    <t>Прехвърлени ангажименти за разходи от/към други бюджетни организации</t>
  </si>
  <si>
    <t>Прехвърлени ангажименти за разходи от/към други предприятия</t>
  </si>
  <si>
    <t>Корекции в обема/стойността на поетите ангажименти за разходи</t>
  </si>
  <si>
    <t>Анулиране (канцелиране) на поети ангажименти за разходи</t>
  </si>
  <si>
    <t>Възникнали нови задължения за разходи</t>
  </si>
  <si>
    <t>Активи в употреба, изписани като разход</t>
  </si>
  <si>
    <t>Просрочени публични държавни вземания</t>
  </si>
  <si>
    <t>Просрочени публични общински вземания</t>
  </si>
  <si>
    <t>Просрочени вземания от клиенти</t>
  </si>
  <si>
    <t>Просрочени вземания от приватизация</t>
  </si>
  <si>
    <t>Просрочени вземания от концесии и наеми</t>
  </si>
  <si>
    <t>Просрочени вземания от бенефициенти за възстановяване на средства от Европейския съюз</t>
  </si>
  <si>
    <t>Просрочени вземания от бенефициенти за възстановяване на средства от други донори</t>
  </si>
  <si>
    <t>Просрочени вземания от заеми</t>
  </si>
  <si>
    <t>Други просрочени вземания</t>
  </si>
  <si>
    <t>Просрочени задължения по надвнесени публични държавни и общински вземания</t>
  </si>
  <si>
    <t>Просрочени задължения за внасяне на данъци, вноски, такси и административни санкции</t>
  </si>
  <si>
    <t>Просрочени задължения към доставчици</t>
  </si>
  <si>
    <t>Просрочени задължения към персонала</t>
  </si>
  <si>
    <t>Просрочени задължения за пенсии, стипендии, помощи и други текущи и капиталови трансфери към домакинства</t>
  </si>
  <si>
    <t>Просрочени задължения за субсидии и други текущи и капиталови трансфери към предприятия</t>
  </si>
  <si>
    <t>Просрочени задължения по заеми</t>
  </si>
  <si>
    <t>Други просрочени задължения</t>
  </si>
  <si>
    <t>Недопустими разходи за сметка на бенефициента</t>
  </si>
  <si>
    <t>Финансиране на разходи за сметка на национално съфинансиране</t>
  </si>
  <si>
    <t>Финансиране на разходи за сметка на средства от Европейския съюз</t>
  </si>
  <si>
    <t>Финансиране на разходи за сметка на средства от международни организации</t>
  </si>
  <si>
    <t>Финансиране на разходи за сметка на средства от други държави</t>
  </si>
  <si>
    <t>Финансиране на разходи за сметка на други донори от чужбина</t>
  </si>
  <si>
    <t>Финансиране на разходи за сметка на други донори от страната</t>
  </si>
  <si>
    <t>Финансиране на разходи за сметка на бенефициента</t>
  </si>
  <si>
    <t>Други задбалансови активи</t>
  </si>
  <si>
    <t>Други задбалансови пасиви</t>
  </si>
  <si>
    <t>Кореспондираща сметка за задбалансови активи</t>
  </si>
  <si>
    <t>Кореспондираща сметка за задбалансови пасиви</t>
  </si>
  <si>
    <t>Чекове и други парични еквиваленти в левове</t>
  </si>
  <si>
    <t>Чекове и други парични еквиваленти във валута</t>
  </si>
  <si>
    <t>Мажоритарни дялове и акции в предприятия в страната</t>
  </si>
  <si>
    <t>Дялове и акции в асоциирани предприятия в страната</t>
  </si>
  <si>
    <t>Други дялове и акции в предприятия в страната</t>
  </si>
  <si>
    <t>Мажоритарни дялове и акции в предприятия в чужбина</t>
  </si>
  <si>
    <t>Дялове и акции в асоциирани предприятия в чужбина</t>
  </si>
  <si>
    <t>Облигации и други дългови ценни книжа на предприятия в страната</t>
  </si>
  <si>
    <t>Облигации и други дългови ценни книжа на други държави</t>
  </si>
  <si>
    <t>Облигации и други дългови ценни книжа на международни организации</t>
  </si>
  <si>
    <t>Облигации и други дългови ценни книжа на финансови институции</t>
  </si>
  <si>
    <t>Други чуждестранни облигации и дългови ценни книжа</t>
  </si>
  <si>
    <t>Премии/отстъпки от номинала на дългови ценни книжа на предприятия в страната</t>
  </si>
  <si>
    <t>Премии/отстъпки от номинала на облигации и други дългови ценни книжа на други държави</t>
  </si>
  <si>
    <t>Премии/отстъпки от номинала на облигации и други дългови ценни книжа на межд. о-ции</t>
  </si>
  <si>
    <t>Премии/отстъпки от номинала на облигации и др. дългови ценни книжа на фин. институции</t>
  </si>
  <si>
    <t>Премии/отстъпки от номинала на други чуждестранни облигации и дългови ценни книжа</t>
  </si>
  <si>
    <t>Разчети за лихви по облигации и други дългови ценни книжа на емитенти от страната</t>
  </si>
  <si>
    <t>Разчети за лихви по облигации и други дългови ценни книжа на други държави</t>
  </si>
  <si>
    <t>Увеличение на парични средства от други събития</t>
  </si>
  <si>
    <t>Намаление на пасиви (приходно-разходни позиции) от други събития</t>
  </si>
  <si>
    <t>Намаление на пасиви (финансиращи позиции) от други събития</t>
  </si>
  <si>
    <t xml:space="preserve"> 6. Активи с историческа и худ. стойност и книги</t>
  </si>
  <si>
    <t>вземания за лихви-н. с-до</t>
  </si>
  <si>
    <t>задължения за лихви-н. с-до</t>
  </si>
  <si>
    <t>вземания за лихви-кр.с-до</t>
  </si>
  <si>
    <t>задължения за лихви-кр.с-до</t>
  </si>
  <si>
    <t>а</t>
  </si>
  <si>
    <t>б</t>
  </si>
  <si>
    <t xml:space="preserve"> А. НЕФИНАНСОВИ АКТИВИ</t>
  </si>
  <si>
    <t xml:space="preserve"> I. Дълготрайни материални активи</t>
  </si>
  <si>
    <t xml:space="preserve"> 1. Сгради</t>
  </si>
  <si>
    <t xml:space="preserve"> 3. Стопански инвентар и други ДМА</t>
  </si>
  <si>
    <t xml:space="preserve"> 4. Д М А   в   процес на придобиване</t>
  </si>
  <si>
    <t xml:space="preserve"> ІІ. Нематериални дълготрайни активи</t>
  </si>
  <si>
    <t xml:space="preserve"> III. Краткотрайни материални активи</t>
  </si>
  <si>
    <t xml:space="preserve">          "Други сметки и дейности"</t>
  </si>
  <si>
    <r>
      <t xml:space="preserve">ОТЧЕТНА   ГРУПА  (СТОПАНСКА  ОБЛАСТ)   </t>
    </r>
    <r>
      <rPr>
        <b/>
        <i/>
        <sz val="14"/>
        <color indexed="37"/>
        <rFont val="Times New Roman Cyr"/>
        <family val="1"/>
        <charset val="204"/>
      </rPr>
      <t>"ДРУГИ  СМЕТКИ   И   ДЕЙНОСТИ"</t>
    </r>
  </si>
  <si>
    <t>/СБОРНА/</t>
  </si>
  <si>
    <t>с / ка</t>
  </si>
  <si>
    <t xml:space="preserve"> 2. Други краткотрайни материални активи</t>
  </si>
  <si>
    <t xml:space="preserve"> Б. ФИНАНСОВИ АКТИВИ</t>
  </si>
  <si>
    <t xml:space="preserve"> I. Дялове, акции и други ценни книжа</t>
  </si>
  <si>
    <t xml:space="preserve"> 1. Дялове и акции</t>
  </si>
  <si>
    <t xml:space="preserve"> 2. Държавни/общински ценни книжа</t>
  </si>
  <si>
    <t xml:space="preserve"> 3. Облигации и други ценни книжа</t>
  </si>
  <si>
    <t xml:space="preserve"> II. Вземания от заеми</t>
  </si>
  <si>
    <t xml:space="preserve"> 1. Дългосрочни вземания по заеми</t>
  </si>
  <si>
    <t xml:space="preserve"> 2. Краткосрочни вземания по заеми</t>
  </si>
  <si>
    <t xml:space="preserve"> III. Други вземания</t>
  </si>
  <si>
    <t xml:space="preserve"> 2. Вземания от клиенти</t>
  </si>
  <si>
    <t xml:space="preserve"> 3. Разчет за номинални лихви по задължения по търг. кредит</t>
  </si>
  <si>
    <r>
      <t xml:space="preserve">Относително тегло на </t>
    </r>
    <r>
      <rPr>
        <b/>
        <i/>
        <sz val="10"/>
        <color indexed="18"/>
        <rFont val="Times New Roman CYR"/>
      </rPr>
      <t>задължения над 1 година</t>
    </r>
    <r>
      <rPr>
        <b/>
        <i/>
        <sz val="10"/>
        <color indexed="60"/>
        <rFont val="Times New Roman CYR"/>
        <family val="1"/>
        <charset val="204"/>
      </rPr>
      <t xml:space="preserve"> </t>
    </r>
    <r>
      <rPr>
        <b/>
        <sz val="10"/>
        <rFont val="Times New Roman CYR"/>
      </rPr>
      <t>по</t>
    </r>
    <r>
      <rPr>
        <b/>
        <i/>
        <sz val="10"/>
        <color indexed="60"/>
        <rFont val="Times New Roman CYR"/>
        <family val="1"/>
        <charset val="204"/>
      </rPr>
      <t xml:space="preserve"> </t>
    </r>
    <r>
      <rPr>
        <b/>
        <i/>
        <sz val="10"/>
        <color indexed="16"/>
        <rFont val="Times New Roman CYR"/>
      </rPr>
      <t>финансов лизинг</t>
    </r>
    <r>
      <rPr>
        <b/>
        <sz val="10"/>
        <color indexed="59"/>
        <rFont val="Times New Roman CYR"/>
        <family val="1"/>
        <charset val="204"/>
      </rPr>
      <t xml:space="preserve"> (сметки 1911 и 1912)</t>
    </r>
  </si>
  <si>
    <r>
      <t xml:space="preserve">Относително тегло на </t>
    </r>
    <r>
      <rPr>
        <b/>
        <i/>
        <sz val="10"/>
        <color indexed="58"/>
        <rFont val="Times New Roman CYR"/>
      </rPr>
      <t>текущи задължения</t>
    </r>
    <r>
      <rPr>
        <b/>
        <i/>
        <sz val="10"/>
        <color indexed="60"/>
        <rFont val="Times New Roman CYR"/>
        <family val="1"/>
        <charset val="204"/>
      </rPr>
      <t xml:space="preserve"> </t>
    </r>
    <r>
      <rPr>
        <b/>
        <sz val="10"/>
        <rFont val="Times New Roman CYR"/>
      </rPr>
      <t>по</t>
    </r>
    <r>
      <rPr>
        <b/>
        <i/>
        <sz val="10"/>
        <color indexed="60"/>
        <rFont val="Times New Roman CYR"/>
        <family val="1"/>
        <charset val="204"/>
      </rPr>
      <t xml:space="preserve"> </t>
    </r>
    <r>
      <rPr>
        <b/>
        <i/>
        <sz val="10"/>
        <color indexed="16"/>
        <rFont val="Times New Roman CYR"/>
      </rPr>
      <t>финансов лизинг</t>
    </r>
    <r>
      <rPr>
        <b/>
        <sz val="10"/>
        <color indexed="16"/>
        <rFont val="Times New Roman CYR"/>
      </rPr>
      <t xml:space="preserve"> </t>
    </r>
    <r>
      <rPr>
        <b/>
        <sz val="10"/>
        <color indexed="59"/>
        <rFont val="Times New Roman CYR"/>
        <family val="1"/>
        <charset val="204"/>
      </rPr>
      <t>(сметки 1913 и 1914)</t>
    </r>
  </si>
  <si>
    <r>
      <t xml:space="preserve">Относително тегло на </t>
    </r>
    <r>
      <rPr>
        <b/>
        <i/>
        <sz val="10"/>
        <color indexed="18"/>
        <rFont val="Times New Roman CYR"/>
      </rPr>
      <t>задължения над 1 година</t>
    </r>
    <r>
      <rPr>
        <b/>
        <i/>
        <sz val="10"/>
        <color indexed="60"/>
        <rFont val="Times New Roman CYR"/>
        <family val="1"/>
        <charset val="204"/>
      </rPr>
      <t xml:space="preserve"> </t>
    </r>
    <r>
      <rPr>
        <b/>
        <sz val="10"/>
        <rFont val="Times New Roman CYR"/>
      </rPr>
      <t>по</t>
    </r>
    <r>
      <rPr>
        <b/>
        <i/>
        <sz val="10"/>
        <color indexed="60"/>
        <rFont val="Times New Roman CYR"/>
        <family val="1"/>
        <charset val="204"/>
      </rPr>
      <t xml:space="preserve"> </t>
    </r>
    <r>
      <rPr>
        <b/>
        <i/>
        <sz val="10"/>
        <color indexed="16"/>
        <rFont val="Times New Roman CYR"/>
      </rPr>
      <t>търговски кредит</t>
    </r>
    <r>
      <rPr>
        <b/>
        <sz val="10"/>
        <color indexed="59"/>
        <rFont val="Times New Roman CYR"/>
        <family val="1"/>
        <charset val="204"/>
      </rPr>
      <t xml:space="preserve"> (сметки 1921 и 1922)</t>
    </r>
  </si>
  <si>
    <r>
      <t xml:space="preserve">Относително тегло на </t>
    </r>
    <r>
      <rPr>
        <b/>
        <i/>
        <sz val="10"/>
        <color indexed="58"/>
        <rFont val="Times New Roman CYR"/>
      </rPr>
      <t>текущи задължения</t>
    </r>
    <r>
      <rPr>
        <b/>
        <i/>
        <sz val="10"/>
        <color indexed="60"/>
        <rFont val="Times New Roman CYR"/>
        <family val="1"/>
        <charset val="204"/>
      </rPr>
      <t xml:space="preserve"> </t>
    </r>
    <r>
      <rPr>
        <b/>
        <sz val="10"/>
        <rFont val="Times New Roman CYR"/>
      </rPr>
      <t>по</t>
    </r>
    <r>
      <rPr>
        <b/>
        <i/>
        <sz val="10"/>
        <color indexed="60"/>
        <rFont val="Times New Roman CYR"/>
        <family val="1"/>
        <charset val="204"/>
      </rPr>
      <t xml:space="preserve"> </t>
    </r>
    <r>
      <rPr>
        <b/>
        <i/>
        <sz val="10"/>
        <color indexed="16"/>
        <rFont val="Times New Roman CYR"/>
      </rPr>
      <t>търговски кредит</t>
    </r>
    <r>
      <rPr>
        <b/>
        <sz val="10"/>
        <color indexed="16"/>
        <rFont val="Times New Roman CYR"/>
      </rPr>
      <t xml:space="preserve"> </t>
    </r>
    <r>
      <rPr>
        <b/>
        <sz val="10"/>
        <color indexed="59"/>
        <rFont val="Times New Roman CYR"/>
        <family val="1"/>
        <charset val="204"/>
      </rPr>
      <t>(сметки 1923 и 1924)</t>
    </r>
  </si>
  <si>
    <t>дълг. т. к-т-дял в нач.салдо</t>
  </si>
  <si>
    <t>кратк. т. к/т-дял в нач.салдо</t>
  </si>
  <si>
    <t>дълг. т. к-т-дял в кр.салдо</t>
  </si>
  <si>
    <t>кратк. т. к/т-дял в кр.салдо</t>
  </si>
  <si>
    <t xml:space="preserve">                   "Б Ю Д Ж Е Т"</t>
  </si>
  <si>
    <t xml:space="preserve">            "Сметки за средства от ЕС"</t>
  </si>
  <si>
    <r>
      <t xml:space="preserve">ОТЧЕТНА  ГРУПА (СТОП. ОБЛАСТ) </t>
    </r>
    <r>
      <rPr>
        <b/>
        <i/>
        <sz val="14"/>
        <color indexed="18"/>
        <rFont val="Times New Roman CYR"/>
        <family val="1"/>
        <charset val="204"/>
      </rPr>
      <t>"СМЕТКИ ЗА СРЕДСТВА ОТ ЕВРОПЕЙСКИЯ СЪЮЗ"</t>
    </r>
  </si>
  <si>
    <t>РАЗДЕЛ  9 - КОНТРОЛА  ЗА РАВНЕНИЕ НА ОБЩАТА СУМА НА САЛДАТА И ОБОРОТИТЕ</t>
  </si>
  <si>
    <t>Контрола крайни салда</t>
  </si>
  <si>
    <t>Раздели 1 - 7 - обороти</t>
  </si>
  <si>
    <t>Раздел 9 - начални салда</t>
  </si>
  <si>
    <t>Раздел 9 - обороти</t>
  </si>
  <si>
    <t>Раздели 1 - 7 - нач. салда</t>
  </si>
  <si>
    <t>Раздели 1 - 7 - кр. салда</t>
  </si>
  <si>
    <t>Раздел 9 - крайни салда</t>
  </si>
  <si>
    <t>ОБОРОТНА ВЕДОМОСТ</t>
  </si>
  <si>
    <t xml:space="preserve">      ОБЩО  ЗА ВСИЧКИ ОТЧЕТНИ ГРУПИ</t>
  </si>
  <si>
    <t>обороти</t>
  </si>
  <si>
    <t>и по текущ дял по дългосрочни пасиви</t>
  </si>
  <si>
    <r>
      <t>Задължения за лихви (</t>
    </r>
    <r>
      <rPr>
        <b/>
        <i/>
        <sz val="10"/>
        <color indexed="10"/>
        <rFont val="Times New Roman CYR"/>
      </rPr>
      <t>без</t>
    </r>
    <r>
      <rPr>
        <b/>
        <sz val="10"/>
        <rFont val="Times New Roman CYR"/>
        <family val="1"/>
        <charset val="204"/>
      </rPr>
      <t xml:space="preserve"> разчетите по </t>
    </r>
    <r>
      <rPr>
        <b/>
        <sz val="10"/>
        <color indexed="10"/>
        <rFont val="Times New Roman Cyr"/>
      </rPr>
      <t>сметки 1927</t>
    </r>
    <r>
      <rPr>
        <b/>
        <sz val="10"/>
        <rFont val="Times New Roman CYR"/>
        <family val="1"/>
        <charset val="204"/>
      </rPr>
      <t xml:space="preserve"> и </t>
    </r>
    <r>
      <rPr>
        <b/>
        <sz val="10"/>
        <color indexed="10"/>
        <rFont val="Times New Roman Cyr"/>
      </rPr>
      <t xml:space="preserve">1928 </t>
    </r>
    <r>
      <rPr>
        <b/>
        <sz val="10"/>
        <rFont val="Times New Roman CYR"/>
      </rPr>
      <t>и</t>
    </r>
    <r>
      <rPr>
        <b/>
        <sz val="10"/>
        <color indexed="10"/>
        <rFont val="Times New Roman Cyr"/>
      </rPr>
      <t xml:space="preserve"> </t>
    </r>
    <r>
      <rPr>
        <b/>
        <i/>
        <sz val="10"/>
        <color indexed="10"/>
        <rFont val="Times New Roman CYR"/>
      </rPr>
      <t>без</t>
    </r>
    <r>
      <rPr>
        <b/>
        <sz val="10"/>
        <color indexed="10"/>
        <rFont val="Times New Roman Cyr"/>
      </rPr>
      <t xml:space="preserve"> </t>
    </r>
    <r>
      <rPr>
        <b/>
        <sz val="10"/>
        <rFont val="Times New Roman CYR"/>
      </rPr>
      <t>сметки</t>
    </r>
    <r>
      <rPr>
        <b/>
        <sz val="10"/>
        <color indexed="10"/>
        <rFont val="Times New Roman Cyr"/>
      </rPr>
      <t xml:space="preserve"> 481</t>
    </r>
    <r>
      <rPr>
        <b/>
        <sz val="10"/>
        <rFont val="Times New Roman CYR"/>
      </rPr>
      <t>)</t>
    </r>
  </si>
  <si>
    <r>
      <t>Вземания за лихви (</t>
    </r>
    <r>
      <rPr>
        <b/>
        <i/>
        <sz val="10"/>
        <color indexed="10"/>
        <rFont val="Times New Roman CYR"/>
      </rPr>
      <t>без</t>
    </r>
    <r>
      <rPr>
        <b/>
        <sz val="10"/>
        <rFont val="Times New Roman CYR"/>
        <family val="1"/>
        <charset val="204"/>
      </rPr>
      <t xml:space="preserve"> сметка </t>
    </r>
    <r>
      <rPr>
        <b/>
        <sz val="10"/>
        <color indexed="10"/>
        <rFont val="Times New Roman Cyr"/>
      </rPr>
      <t>4379</t>
    </r>
    <r>
      <rPr>
        <b/>
        <sz val="10"/>
        <rFont val="Times New Roman CYR"/>
      </rPr>
      <t xml:space="preserve"> и</t>
    </r>
    <r>
      <rPr>
        <b/>
        <i/>
        <sz val="10"/>
        <color indexed="10"/>
        <rFont val="Times New Roman CYR"/>
      </rPr>
      <t xml:space="preserve"> без</t>
    </r>
    <r>
      <rPr>
        <b/>
        <sz val="10"/>
        <rFont val="Times New Roman CYR"/>
      </rPr>
      <t xml:space="preserve"> вземания от лихви по сметки</t>
    </r>
    <r>
      <rPr>
        <b/>
        <sz val="10"/>
        <color indexed="10"/>
        <rFont val="Times New Roman Cyr"/>
      </rPr>
      <t xml:space="preserve"> 481</t>
    </r>
    <r>
      <rPr>
        <b/>
        <sz val="10"/>
        <rFont val="Times New Roman CYR"/>
        <family val="1"/>
        <charset val="204"/>
      </rPr>
      <t>)</t>
    </r>
  </si>
  <si>
    <t>Задължения към доставчици от страната</t>
  </si>
  <si>
    <t xml:space="preserve">(в хил. лева) </t>
  </si>
  <si>
    <t xml:space="preserve"> 1 - 9</t>
  </si>
  <si>
    <t>Доставчици по аванси от страната</t>
  </si>
  <si>
    <t>Задължения към доставчици от чужбина</t>
  </si>
  <si>
    <t>Доставчици по аванси от чужбина</t>
  </si>
  <si>
    <t>Вземания от клиенти от страната</t>
  </si>
  <si>
    <t xml:space="preserve"> 1. Коректив по дългосрочни задължения по фин. лизинг</t>
  </si>
  <si>
    <t xml:space="preserve"> 2. Коректив по текущ дял  на задължения по фин. лизинг</t>
  </si>
  <si>
    <t xml:space="preserve">   СПРАВКА ЗА ПРОВИЗИИ НА ВЗЕМАНИЯ И КОРЕКТИВИ НА ПАСИВИ  към</t>
  </si>
  <si>
    <t xml:space="preserve"> Общо провизии и корективи за вземания (без публ. в-ия)</t>
  </si>
  <si>
    <t>с/ки 4960-4962 - контрола за равнение с оборотната ведомост</t>
  </si>
  <si>
    <t>Текущ дял по други дългосрочни заеми от чужбина</t>
  </si>
  <si>
    <t>Задължения по заеми по активирани гаранции към местни лица</t>
  </si>
  <si>
    <t>Задължения по заеми по активирани гаранции към чуждестранни лица</t>
  </si>
  <si>
    <t>Задължения по финансов лизинг към местни лица</t>
  </si>
  <si>
    <t>Задължения по финансов лизинг към чуждестранни лица</t>
  </si>
  <si>
    <t>Текущ дял по задължения по финансов лизинг към местни лица</t>
  </si>
  <si>
    <t>Текущ дял по задължения по финансов лизинг към чуждестранни лица</t>
  </si>
  <si>
    <t>Коректив на номинална стойност на задължения по финансов лизинг към местни лица</t>
  </si>
  <si>
    <t>Текущ дял по задължения по дългосрочен търговски кредит към местни лица</t>
  </si>
  <si>
    <t>Текущ дял по задължения по дългосрочен търговски кредит към чуждестранни лица</t>
  </si>
  <si>
    <t>Коректив на номинална стойност/задължения за лихви по дългосрочен търговски кредит към местни лица</t>
  </si>
  <si>
    <t>Коректив на номинална стойност/задължения за лихви по дългосрочен търговски кредит към чуждестранни лица</t>
  </si>
  <si>
    <t>Текущ дял по други дългосрочни заеми и дългове към местни лица</t>
  </si>
  <si>
    <t>Задължения за лихви по други заеми и дългове към местни лица</t>
  </si>
  <si>
    <t>Вътрешни разчети между бюджет и сметки за средства от Европейския съюз</t>
  </si>
  <si>
    <t>Вътрешни разчети между бюджет и сметки за чужди средства</t>
  </si>
  <si>
    <t>Вътрешни разчети между сметки за средства от Европейския съюз и сметки за чужди средства</t>
  </si>
  <si>
    <t>Разчети за данъци върху доходите на физически лица</t>
  </si>
  <si>
    <t>Разчети за данък добавена стойност</t>
  </si>
  <si>
    <t>Разчети за данък върху приходите от стопанска дейност/Разчети за корпоративен данък</t>
  </si>
  <si>
    <t>Други разчети с централния бюджет</t>
  </si>
  <si>
    <t>Разчети за други държавни данъци</t>
  </si>
  <si>
    <t>Задължения към бюджетни организации от подсектор "Централно управление" за такси, административни санкции и други неданъчни публични вземания</t>
  </si>
  <si>
    <t>Вземания (приходно-разходни позиции) от бюджетни организации от подсектор "Централно управление"</t>
  </si>
  <si>
    <t>Други задължения (приходно-разходни позиции) към бюджетни организации от подсектор "Централно управление"</t>
  </si>
  <si>
    <t>Отсрочени трансфери за поети осигурителни вноски за допълнително задължително пенсионно и здравно осигуряване</t>
  </si>
  <si>
    <t>Отсрочени трансфери за поети данъци върху доходите на физическите лица</t>
  </si>
  <si>
    <t>Отсрочени трансфери за поети осигурителни вноски за ДОО</t>
  </si>
  <si>
    <t>Отсрочени трансфери за поети осигурителни вноски за здравно осигуряване</t>
  </si>
  <si>
    <t>Коректив за вземания от бюджетни организации</t>
  </si>
  <si>
    <t>Коректив за вземания от местни лица</t>
  </si>
  <si>
    <t>Коректив за вземания от чуждестранни лица</t>
  </si>
  <si>
    <t>Коректив за задължения към бюджетни организации</t>
  </si>
  <si>
    <t>Коректив за задължения към доставчици - местни лица</t>
  </si>
  <si>
    <t>Коректив за задължения към доставчици - чуждестранни лица</t>
  </si>
  <si>
    <t>Коректив за задължения към персонала - местни лица</t>
  </si>
  <si>
    <t>Коректив за задължения към персонала - чуждестранни лица</t>
  </si>
  <si>
    <t>Коректив за задължения за предоставяне на помощи и други трансфери към домакинства</t>
  </si>
  <si>
    <t>Коректив за задължения за субсидии, капиталови трансфери и здравно-осигурителни дейности</t>
  </si>
  <si>
    <t>Коректив за други задължения към местни лица</t>
  </si>
  <si>
    <t>Коректив за други задължения към чуждестранни лица</t>
  </si>
  <si>
    <t>Коректив за вземания за помощи и дарения</t>
  </si>
  <si>
    <t>Коректив за неусвоени помощи и дарения</t>
  </si>
  <si>
    <t>Актив</t>
  </si>
  <si>
    <t xml:space="preserve"> 2. Компютри, транспортни средства, оборудване</t>
  </si>
  <si>
    <t>БЮДЖЕТНА ОРГАНИЗАЦИЯ</t>
  </si>
  <si>
    <t>КОД ПО ЕБК</t>
  </si>
  <si>
    <t>БАЛАНС</t>
  </si>
  <si>
    <t>/с б о р е н/</t>
  </si>
  <si>
    <t xml:space="preserve"> Обор. ведомост</t>
  </si>
  <si>
    <t xml:space="preserve">          ОБОРОТИ ПРЕЗ ГОДИНАТА</t>
  </si>
  <si>
    <r>
      <t xml:space="preserve">                  КРАЙНО</t>
    </r>
    <r>
      <rPr>
        <b/>
        <sz val="12"/>
        <rFont val="Times New Roman CYR"/>
        <family val="1"/>
        <charset val="204"/>
      </rPr>
      <t xml:space="preserve"> САЛДО</t>
    </r>
  </si>
  <si>
    <t>СРЕДСТВА ОТ ЕВРОПЕЙСКИЯ СЪЮЗ"</t>
  </si>
  <si>
    <t xml:space="preserve"> </t>
  </si>
  <si>
    <t>с/ки 1927 и 1928 - контрола за равнение с оборотната ведомост</t>
  </si>
  <si>
    <t xml:space="preserve"> 1. Коректив на номинална ст-ст по дългосрочен търг. кредит</t>
  </si>
  <si>
    <t>Задължения към общини за временни депозити и гаранции</t>
  </si>
  <si>
    <t>Вземания от социалноосигурителни фондове за временни депозити и гаранции</t>
  </si>
  <si>
    <t>Задължения към социалноосигурителни фондове за временни депозити и гаранции</t>
  </si>
  <si>
    <t>Временни депозити, гаранции и други чужди средства от държавни/общински предприятия</t>
  </si>
  <si>
    <t>Временни депозити, гаранции и други чужди средства от местни лица</t>
  </si>
  <si>
    <t>Временни депозити, гаранции и други чужди средства от чуждестранни лица</t>
  </si>
  <si>
    <t>Събрани средства за осигурителни фондове за допълнително задължително осигуряване</t>
  </si>
  <si>
    <t>Начислени лихви върху вземания от Европейския съюз</t>
  </si>
  <si>
    <t>Начислени лихви върху вземания от други международни организации</t>
  </si>
  <si>
    <t>Начислени лихви върху вземания от други държави</t>
  </si>
  <si>
    <t>Начислени лихви върху задължения към Европейския съюз</t>
  </si>
  <si>
    <t>Начислени лихви върху задължения към други международни организации</t>
  </si>
  <si>
    <t>Начислени лихви върху задължения към други държави</t>
  </si>
  <si>
    <t>Задължения към други държави за данъци и осигурителни вноски, такси и административни санкции</t>
  </si>
  <si>
    <t>Вземания  от други държави за надвнесени данъци, осигурителни вноски, такси и административни санкции</t>
  </si>
  <si>
    <t>Други задължения към други държави (приходно-разходни позиции)</t>
  </si>
  <si>
    <t>Други задължения към други държави (финансиращи позиции)</t>
  </si>
  <si>
    <t>Други вземания от други държави (приходно-разходни позиции)</t>
  </si>
  <si>
    <t>Други вземания от други държави (финансиращи позиции)</t>
  </si>
  <si>
    <t>Задължения към международни организации (приходно-разходни позиции)</t>
  </si>
  <si>
    <t>Задължения към международни организации (финансиращи позиции)</t>
  </si>
  <si>
    <t>Задължения към Европейския съюз (приходно-разходни позиции)</t>
  </si>
  <si>
    <t>Задължения към Европейския съюз (финансиращи позиции)</t>
  </si>
  <si>
    <t>Вземания от международни организации (приходно-разходни позиции)</t>
  </si>
  <si>
    <t>Вземания от международни организации (финансиращи позиции)</t>
  </si>
  <si>
    <t>Вземания от Европейския съюз (приходно-разходни позиции)</t>
  </si>
  <si>
    <t>Вземания от Европейския съюз (финансиращи позиции)</t>
  </si>
  <si>
    <t>Начислени лихви върху други вземания от местни лица</t>
  </si>
  <si>
    <t>Начислени лихви върху други вземания от чуждестранни лица</t>
  </si>
  <si>
    <t>Начислени лихви върху други задължения към местни лица</t>
  </si>
  <si>
    <t>Начислени лихви върху други задължения към чуждестранни лица</t>
  </si>
  <si>
    <t>Вземания от други дебитори - местни лица (финансиращи позиции)</t>
  </si>
  <si>
    <t>Вземания от други дебитори - чуждестранни лица (финансиращи позиции)</t>
  </si>
  <si>
    <t>Вземания от други дебитори - местни лица (приходно-разходни позиции)</t>
  </si>
  <si>
    <t>Касови трансфери от/за централния бюджет</t>
  </si>
  <si>
    <t>Разчети за лихви по предоставени заеми и временна финансова помощ на нестопански организации</t>
  </si>
  <si>
    <t>Разчети за лихви по предоставени заеми и временна финансова помощ на домакинства</t>
  </si>
  <si>
    <t>Разчети за лихви по предоставени заеми и временна финансова помощ на предприятия от сектор "Държавно управление"</t>
  </si>
  <si>
    <t>Провизии за предоставени заеми и временна финансова помощ на предприятия</t>
  </si>
  <si>
    <t>Провизии за предоставени заеми и временна финансова помощ на нестопански организации</t>
  </si>
  <si>
    <t>Провизии за предоставени заеми и временна финансова помощ на домакинства</t>
  </si>
  <si>
    <t>Провизии за предоставени заеми и временна финансова помощ на предприятия от сектор "Държавно управление"</t>
  </si>
  <si>
    <t>Текущ дял по предоставени дългосрочни заеми на други държави</t>
  </si>
  <si>
    <t>Текущ дял по предоставени дългосрочни заеми международни организации</t>
  </si>
  <si>
    <t>Предоставени краткосрочни заеми на други държави</t>
  </si>
  <si>
    <t>Предоставени краткосрочни заеми на международни организации</t>
  </si>
  <si>
    <t>Предоставени дългосрочни заеми на други държави</t>
  </si>
  <si>
    <t>Предоставени дългосрочни заеми на международни организации</t>
  </si>
  <si>
    <t>Други предоставени краткосрочни заеми в чужбина</t>
  </si>
  <si>
    <t>Други предоставени дългосрочни заеми в чужбина</t>
  </si>
  <si>
    <t>Текущ дял по други дългосрочни заеми в чужбина</t>
  </si>
  <si>
    <t>Провизии за предоставени заеми на други държави</t>
  </si>
  <si>
    <t>Провизии за предоставени заеми на международни организации</t>
  </si>
  <si>
    <t>Провизии за други предоставени заеми в чужбина</t>
  </si>
  <si>
    <t>Разходи за горива, вода и енергия</t>
  </si>
  <si>
    <t>Разходи за канцеларски материали</t>
  </si>
  <si>
    <t>Разходи за храна</t>
  </si>
  <si>
    <t>Разходи за медикаменти и лекарства</t>
  </si>
  <si>
    <t>Разходи за учебни материали и помагала</t>
  </si>
  <si>
    <t>Разходи за постелен инвентар и работно облекло</t>
  </si>
  <si>
    <t>Разходи за строителни материали</t>
  </si>
  <si>
    <t>Разходи за консумативи и резервни части за хардуер</t>
  </si>
  <si>
    <t>Разходи за други резервни части</t>
  </si>
  <si>
    <t>Разходи за други материали</t>
  </si>
  <si>
    <t>Разходи за текущ ремонт</t>
  </si>
  <si>
    <t>Разходи за транспорт</t>
  </si>
  <si>
    <t>Разходи за пощенски и телекомуникационни услуги</t>
  </si>
  <si>
    <t>Разходи за квалификация и преквалификация на персонала</t>
  </si>
  <si>
    <t>Разходи за поддръжка на софтуер</t>
  </si>
  <si>
    <t>Разходи за поддръжка на хардуер</t>
  </si>
  <si>
    <t>Разходи за консултантски услуги</t>
  </si>
  <si>
    <t>Други разходи за външни услуги</t>
  </si>
  <si>
    <t>Разходи за амортизации на нематериални дълготрайни активи</t>
  </si>
  <si>
    <t>Разходи за амортизация на продуктивни и работни животни</t>
  </si>
  <si>
    <t>Разходи за амортизация на сгради</t>
  </si>
  <si>
    <t>Разходи за амортизация на машини, съоръжения, оборудване</t>
  </si>
  <si>
    <t>Разходи за амортизация на транспортни средства</t>
  </si>
  <si>
    <t>Разходи за амортизация на стопански инвентар</t>
  </si>
  <si>
    <t>Разходи за амортизация на други дълготрайни материални активи</t>
  </si>
  <si>
    <t>Разходи за амортизация на инфраструктурни обекти</t>
  </si>
  <si>
    <t>Разходи за заплати и възнаграждения на персонал по служебни правоотношения</t>
  </si>
  <si>
    <t>Разходи за заплати и възнаграждения на персонал по трудови и приравнени на тях правоотношения</t>
  </si>
  <si>
    <t>Разходи за заплати и възнаграждения на персонал по трудови правоотношения - нещатен персонал</t>
  </si>
  <si>
    <t>Разходи за заплати и възнаграждения на персонал по извънтрудови правоотношения</t>
  </si>
  <si>
    <t>Разходи за заплати и възнаграждения на чуждестранни лица</t>
  </si>
  <si>
    <t>Разходи за провизии за персонал</t>
  </si>
  <si>
    <t>Сторнирани разходи за провизии за персонал</t>
  </si>
  <si>
    <t>Амортизация на транспортни средства</t>
  </si>
  <si>
    <t>Амортизация на стопански инвентар</t>
  </si>
  <si>
    <t>Амортизация на други дълготрайни материални активи</t>
  </si>
  <si>
    <t>Почивни станции, хотели, учебни центрове, оздравителни комплекси</t>
  </si>
  <si>
    <t>Капитализирани разходи по наети/предоставени за ползване дълготрайни материални активи</t>
  </si>
  <si>
    <t>Програмни продукти и лицензи за програмни продукти</t>
  </si>
  <si>
    <t>Нематериални дълготрайни активи в процес на разработка и придобиване</t>
  </si>
  <si>
    <t>Амортизация на инфраструктурни обекти</t>
  </si>
  <si>
    <t>Материали</t>
  </si>
  <si>
    <t xml:space="preserve"> 1. Материали, продукция, стоки, незавършено производство</t>
  </si>
  <si>
    <t>Пасив</t>
  </si>
  <si>
    <t xml:space="preserve"> A. КАПИТАЛ В БЮДЖЕТНИТЕ ПРЕДПРИЯТИЯ</t>
  </si>
  <si>
    <t xml:space="preserve"> 1. Дългосрочни задължения по емисии на ценни книжа</t>
  </si>
  <si>
    <t xml:space="preserve"> 1. Краткоср. задължения по заеми и емисии на ценни книжа</t>
  </si>
  <si>
    <t xml:space="preserve"> 4. Задължения за пенсии, помощи, стипендии, субсидии</t>
  </si>
  <si>
    <t>ДЕБИТ</t>
  </si>
  <si>
    <t>КРЕДИТ</t>
  </si>
  <si>
    <t>РАЗДЕЛ 1 - СМЕТКИ ЗА КАПИТАЛИ И ЗАЕМИ</t>
  </si>
  <si>
    <r>
      <t>ЗАДБАЛАНСОВИ</t>
    </r>
    <r>
      <rPr>
        <b/>
        <sz val="9"/>
        <rFont val="Times New Roman CYR"/>
        <family val="1"/>
        <charset val="204"/>
      </rPr>
      <t xml:space="preserve"> АКТИВИ И ПАСИВИ - СУМА НА НЕРАВНЕНИЕ</t>
    </r>
  </si>
  <si>
    <r>
      <t xml:space="preserve">                        ЗАДБАЛАНСОВИ</t>
    </r>
    <r>
      <rPr>
        <b/>
        <sz val="10"/>
        <rFont val="Times New Roman CYR"/>
        <family val="1"/>
        <charset val="204"/>
      </rPr>
      <t xml:space="preserve"> АКТИВИ И ПАСИВИ - РАВНЕНИЕ</t>
    </r>
  </si>
  <si>
    <t>РАЗДЕЛ 9 - ЗАДБАЛАНСОВИ СМЕТКИ</t>
  </si>
  <si>
    <t xml:space="preserve"> Чужди финансови активи за съхранение, разпределение и управление</t>
  </si>
  <si>
    <t>РАЗДЕЛИ  1 - 9 - КОНТРОЛА  ЗА РАВНЕНИЕ НА ОБЩАТА СУМА НА САЛДАТА И ОБОРОТИТЕ</t>
  </si>
  <si>
    <t>ЕБК код</t>
  </si>
  <si>
    <r>
      <t xml:space="preserve">                  </t>
    </r>
    <r>
      <rPr>
        <b/>
        <i/>
        <sz val="12"/>
        <rFont val="Times New Roman CYR"/>
        <family val="1"/>
        <charset val="204"/>
      </rPr>
      <t>НАЧАЛНО</t>
    </r>
    <r>
      <rPr>
        <b/>
        <sz val="12"/>
        <rFont val="Times New Roman CYR"/>
        <family val="1"/>
        <charset val="204"/>
      </rPr>
      <t xml:space="preserve"> САЛДО</t>
    </r>
  </si>
  <si>
    <t xml:space="preserve">               Дата на изготвяне</t>
  </si>
  <si>
    <t>Други дебитори по условни вземания</t>
  </si>
  <si>
    <t>Други кредитори по условни задължения</t>
  </si>
  <si>
    <t>Земи, гори и трайни насаждения</t>
  </si>
  <si>
    <t>Инфраструктурни обекти</t>
  </si>
  <si>
    <t>Активи с историческа и художествена стойност</t>
  </si>
  <si>
    <t>Кредитен оборот</t>
  </si>
  <si>
    <t>Предоставени дългосрочни заеми и временна финансова помощ на домакинства</t>
  </si>
  <si>
    <t>Предоставени краткосрочни заеми и временна финансова помощ на предприятия от сектор "Държавно управление"</t>
  </si>
  <si>
    <t>Предоставени дългосрочни заеми и временна финансова помощ на предприятия от сектор "Държавно управление"</t>
  </si>
  <si>
    <t>Текущ дял по дългосрочни заеми и временна финансова помощ на предприятия от сектор "Държавно управление"</t>
  </si>
  <si>
    <t>Разчети за лихви по предоставени заеми и временна финансова помощ на предприятия</t>
  </si>
  <si>
    <t>Задължения за пенсии в страната</t>
  </si>
  <si>
    <t>Задължения за пенсии в чужбина</t>
  </si>
  <si>
    <t>Задължения за помощи и други трансфери към домакинства - местни лица</t>
  </si>
  <si>
    <t>Задължения за помощи и други трансфери към домакинства - чуждестранни лица</t>
  </si>
  <si>
    <t>Вземания за възстановяване на помощи и други трансфери към домакинства - местни лица</t>
  </si>
  <si>
    <t>Вземания за възстановяване на помощи и други трансфери към домакинства - чуждестранни лица</t>
  </si>
  <si>
    <t>IV.  В С И Ч К О</t>
  </si>
  <si>
    <t xml:space="preserve"> Раздели, групи, статии</t>
  </si>
  <si>
    <t>Задължения за предоставяне на текущи субсидии и капиталови трансфери</t>
  </si>
  <si>
    <t>Вземания за подлежащи на възстановяване неусвоени субсидии и капиталови трансфери</t>
  </si>
  <si>
    <t>Разчети за лихви върху вземания от данъци, вноски, такси и административни глоби и санкции</t>
  </si>
  <si>
    <t>Задължения за възстановяване на данъци, вноски, такси и административни глоби и санкции</t>
  </si>
  <si>
    <t>Разчети за лихви по задължения за възстановяване на данъци, вноски, такси и административни глоби и санкции</t>
  </si>
  <si>
    <t>Вземания от активирани гаранции от местни лица</t>
  </si>
  <si>
    <t>Вземания от активирани гаранции от чуждестранни лица</t>
  </si>
  <si>
    <t>Разчети за лихви върху вземания от активирани гаранции от местни лица</t>
  </si>
  <si>
    <t xml:space="preserve"> 3. Предоставени аванси</t>
  </si>
  <si>
    <t xml:space="preserve"> 4. Подотчетни лица</t>
  </si>
  <si>
    <t xml:space="preserve"> 5. Вземания по заеми между бюджетни предприятия</t>
  </si>
  <si>
    <t xml:space="preserve"> 6. Други вземания</t>
  </si>
  <si>
    <t xml:space="preserve"> IV. Парични средства</t>
  </si>
  <si>
    <t xml:space="preserve"> 1. Парични средства  в брой</t>
  </si>
  <si>
    <t xml:space="preserve"> 2. Парични средства в банкови сметки</t>
  </si>
  <si>
    <t xml:space="preserve"> Общо за раздел "Б":</t>
  </si>
  <si>
    <t xml:space="preserve"> С у м а   н а   а к т и в а</t>
  </si>
  <si>
    <t xml:space="preserve"> В.  ЗАДБАЛАНСОВИ АКТИВИ</t>
  </si>
  <si>
    <t xml:space="preserve"> 1. Разполагаем капитал</t>
  </si>
  <si>
    <t xml:space="preserve"> I. Дългосрочни задължения</t>
  </si>
  <si>
    <t xml:space="preserve"> 2. Дългосрочни задължения по получени заеми</t>
  </si>
  <si>
    <t xml:space="preserve"> II. Краткосрочни задължения</t>
  </si>
  <si>
    <t xml:space="preserve"> 2. Задължения към доставчици</t>
  </si>
  <si>
    <t xml:space="preserve"> 3. Получени аванси</t>
  </si>
  <si>
    <t xml:space="preserve"> 5. Задължения за данъци, мита и такси</t>
  </si>
  <si>
    <t xml:space="preserve"> 7. Задължения към персонала</t>
  </si>
  <si>
    <t xml:space="preserve"> 9. Други краткосрочни задължения</t>
  </si>
  <si>
    <t xml:space="preserve"> 1. Провизии за задължения</t>
  </si>
  <si>
    <t>С у м а   н а   п а с и в а</t>
  </si>
  <si>
    <r>
      <t xml:space="preserve"> </t>
    </r>
    <r>
      <rPr>
        <b/>
        <i/>
        <sz val="12"/>
        <rFont val="Times New Roman CYR"/>
        <family val="1"/>
        <charset val="204"/>
      </rPr>
      <t>В.  ЗАДБАЛАНСОВИ ПАСИВИ</t>
    </r>
  </si>
  <si>
    <t>Обор. ведомост</t>
  </si>
  <si>
    <t xml:space="preserve">     e-mail</t>
  </si>
  <si>
    <t>Разходи за банково обслужване на сметки и плащания</t>
  </si>
  <si>
    <r>
      <t>Разходи за възнаграждения на персонал в натура</t>
    </r>
    <r>
      <rPr>
        <b/>
        <i/>
        <sz val="12"/>
        <color indexed="10"/>
        <rFont val="Times New Roman CYR"/>
        <family val="1"/>
        <charset val="204"/>
      </rPr>
      <t/>
    </r>
  </si>
  <si>
    <t>Разходи за осигурителни вноски за държавно обществено осигуряване</t>
  </si>
  <si>
    <t>Разходи за здравно осигуряване</t>
  </si>
  <si>
    <t>Разходи за допълнително задължително здравно осигуряване</t>
  </si>
  <si>
    <t>Разходи за допълнително задължително пенсионно осигуряване</t>
  </si>
  <si>
    <t>Разходи за доброволно осигуряване за сметка на работодателя</t>
  </si>
  <si>
    <t>Осигурителни вноски в чуждестранни осигурителни фондове</t>
  </si>
  <si>
    <t>Други осигурителни вноски</t>
  </si>
  <si>
    <t>Разходи за държавни такси</t>
  </si>
  <si>
    <t>Разходи за общински такси</t>
  </si>
  <si>
    <t>Разходи за съдебни такси в страната</t>
  </si>
  <si>
    <t>Разходи за държавни данъци</t>
  </si>
  <si>
    <t>Разходи за общински данъци</t>
  </si>
  <si>
    <t>Разходи за такси в чужбина</t>
  </si>
  <si>
    <t>Разходи за съдебни такси в чужбина</t>
  </si>
  <si>
    <t>Разходи за данъци в чужбина</t>
  </si>
  <si>
    <t>Разходи за наеми в страната</t>
  </si>
  <si>
    <t>Разходи за наеми в чужбина</t>
  </si>
  <si>
    <t>Разходи за наеми на земя в страната</t>
  </si>
  <si>
    <t>Разходи за наеми на земя в чужбина</t>
  </si>
  <si>
    <t>Разходи за придобиване на инфраструктурни обекти чрез външни доставки</t>
  </si>
  <si>
    <t>Основен ремонт на инфраструктурни обекти чрез външни доставки</t>
  </si>
  <si>
    <t>Разходи за придобиване на земя в страната</t>
  </si>
  <si>
    <t>Разходи за придобиване на земя в чужбина</t>
  </si>
  <si>
    <t>Разходи за придобиване на активи с художествена и историческа стойност и книги за библиотеките</t>
  </si>
  <si>
    <t>Коректив за разходи</t>
  </si>
  <si>
    <t>Коректив за придобиване на активи</t>
  </si>
  <si>
    <t>Приписани разходи за външни услуги</t>
  </si>
  <si>
    <t>Приписани разходи за наеми</t>
  </si>
  <si>
    <t>Приписани други разходи</t>
  </si>
  <si>
    <t>Разходи за членски внос в международни организации и за участие в международни прояви</t>
  </si>
  <si>
    <t xml:space="preserve">Разходи за съдебни разноски и арбитраж в страната  </t>
  </si>
  <si>
    <t>Разходи за съдебни разноски и арбитраж в чужбина</t>
  </si>
  <si>
    <t>Разходи за командировки в страната</t>
  </si>
  <si>
    <t>Разходи за командировки в чужбина</t>
  </si>
  <si>
    <t>Разходи за санкции и неустойки в страната</t>
  </si>
  <si>
    <t>Разходи за санкции и неустойки в чужбина</t>
  </si>
  <si>
    <t>Други разходи в страната</t>
  </si>
  <si>
    <t>Други разходи в чужбина</t>
  </si>
  <si>
    <t>РАЗДЕЛ 6 - СМЕТКИ ЗА РАЗХОДИ</t>
  </si>
  <si>
    <t>Задължения към доставчици за здравно-осигурителни дейности</t>
  </si>
  <si>
    <t>Предоставени аванси на доставчици за здравно-осигурителни дейности</t>
  </si>
  <si>
    <t>Разчети с доставчици от сектор "Държавно управление" за здравно-осигурителни дейности</t>
  </si>
  <si>
    <t>Разчети за аванси към доставчици от сектор "Държавно управление" за здравно-осигурителни дейности</t>
  </si>
  <si>
    <t>Задължения към доставчици (приходни позиции)</t>
  </si>
  <si>
    <t>Доставчици по аванси (приходни позиции)</t>
  </si>
  <si>
    <t>Вземания за възстановяване на пенсии</t>
  </si>
  <si>
    <t>Задължения към работници, служители и друг персонал - местни лица</t>
  </si>
  <si>
    <t>Вземания от работници, служители и друг персонал - местни лица</t>
  </si>
  <si>
    <t>Задължения към работници, служители и друг персонал - чуждестранни лица</t>
  </si>
  <si>
    <t>Вземания от работници, служители и друг персонал - чуждестранни лица</t>
  </si>
  <si>
    <t>Задължения към студенти и ученици - местни лица</t>
  </si>
  <si>
    <t>Вземания от студенти и ученици - местни лица</t>
  </si>
  <si>
    <t>Задължения към студенти - чуждестранни лица</t>
  </si>
  <si>
    <t>Вземания от студенти - чуждестранни лица</t>
  </si>
  <si>
    <t>Вземания от подотчетни местни лица</t>
  </si>
  <si>
    <t>Вземания от подотчетни чуждестранни лица</t>
  </si>
  <si>
    <t>NF-CSF</t>
  </si>
  <si>
    <t>R A</t>
  </si>
  <si>
    <t>D E S</t>
  </si>
  <si>
    <t>D M P</t>
  </si>
  <si>
    <r>
      <t xml:space="preserve">СЕС-контрол-н. </t>
    </r>
    <r>
      <rPr>
        <b/>
        <i/>
        <sz val="10"/>
        <color indexed="18"/>
        <rFont val="Times New Roman"/>
        <family val="1"/>
        <charset val="204"/>
      </rPr>
      <t>дт</t>
    </r>
    <r>
      <rPr>
        <b/>
        <sz val="10"/>
        <color indexed="18"/>
        <rFont val="Times New Roman"/>
        <family val="1"/>
        <charset val="204"/>
      </rPr>
      <t xml:space="preserve"> с/до</t>
    </r>
  </si>
  <si>
    <r>
      <t xml:space="preserve">СЕС-контрол-н. </t>
    </r>
    <r>
      <rPr>
        <b/>
        <i/>
        <sz val="10"/>
        <color indexed="18"/>
        <rFont val="Times New Roman"/>
        <family val="1"/>
        <charset val="204"/>
      </rPr>
      <t>кт</t>
    </r>
    <r>
      <rPr>
        <b/>
        <sz val="10"/>
        <color indexed="18"/>
        <rFont val="Times New Roman"/>
        <family val="1"/>
        <charset val="204"/>
      </rPr>
      <t xml:space="preserve"> с/до</t>
    </r>
  </si>
  <si>
    <r>
      <t>СЕС-контрола-</t>
    </r>
    <r>
      <rPr>
        <b/>
        <i/>
        <sz val="10"/>
        <color indexed="18"/>
        <rFont val="Times New Roman"/>
        <family val="1"/>
        <charset val="204"/>
      </rPr>
      <t>дт</t>
    </r>
    <r>
      <rPr>
        <b/>
        <sz val="10"/>
        <color indexed="18"/>
        <rFont val="Times New Roman"/>
        <family val="1"/>
        <charset val="204"/>
      </rPr>
      <t xml:space="preserve"> оборот</t>
    </r>
  </si>
  <si>
    <r>
      <t>СЕС-контрола-</t>
    </r>
    <r>
      <rPr>
        <b/>
        <i/>
        <sz val="10"/>
        <color indexed="18"/>
        <rFont val="Times New Roman"/>
        <family val="1"/>
        <charset val="204"/>
      </rPr>
      <t>кт</t>
    </r>
    <r>
      <rPr>
        <b/>
        <sz val="10"/>
        <color indexed="18"/>
        <rFont val="Times New Roman"/>
        <family val="1"/>
        <charset val="204"/>
      </rPr>
      <t xml:space="preserve"> оборот</t>
    </r>
  </si>
  <si>
    <r>
      <t xml:space="preserve"> "Сметки за средства от ЕС" - </t>
    </r>
    <r>
      <rPr>
        <b/>
        <i/>
        <sz val="12"/>
        <color indexed="16"/>
        <rFont val="Times New Roman CYR"/>
      </rPr>
      <t>NF-KSF</t>
    </r>
  </si>
  <si>
    <t>Разходи за комисионни по поемане и обслужване на емисии на ДЦК (ОбЦК)</t>
  </si>
  <si>
    <t>Разходи за застраховане</t>
  </si>
  <si>
    <t>Разходи за други финансови услуги и комисионни</t>
  </si>
  <si>
    <t>Разходи за лихви по ДЦК (ОбЦК)</t>
  </si>
  <si>
    <t>Коректив за разходи за лихви по обратно изкупени ДЦК (ОбЦК)</t>
  </si>
  <si>
    <t>Разходи за лихви по банкови заеми в страната</t>
  </si>
  <si>
    <t>Разходи за лихви по други заеми от страната</t>
  </si>
  <si>
    <t>Разходи за лихви по заеми от други държави</t>
  </si>
  <si>
    <t>Разходи за лихви по заеми от международни организации</t>
  </si>
  <si>
    <t>Разходи за лихви по заеми от банки и финансови институции от чужбина</t>
  </si>
  <si>
    <t>Разходи за лихви по други заеми и дългове от чужбина</t>
  </si>
  <si>
    <t xml:space="preserve">Разходи за лихви по търговски кредит от местни лица </t>
  </si>
  <si>
    <t xml:space="preserve">Разходи за лихви по търговски кредит от чуждестранни лица </t>
  </si>
  <si>
    <t xml:space="preserve">Разходи за лихви по финансов лизинг от местни лица </t>
  </si>
  <si>
    <t xml:space="preserve">Разходи за лихви по финансов лизинг от чуждестранни лица </t>
  </si>
  <si>
    <t>Разходи за лихви за просрочени задължения към бюджетни организации</t>
  </si>
  <si>
    <t>Разходи за лихви за просрочени задължения към други местни лица</t>
  </si>
  <si>
    <t>Разходи за лихви за просрочени задължения към други чуждестранни лица</t>
  </si>
  <si>
    <t>Лихви върху подлежащи на възстановяване публични вземания от данъци, осигурителни вноски, такси и административни санкции</t>
  </si>
  <si>
    <r>
      <t xml:space="preserve">Относително тегло на </t>
    </r>
    <r>
      <rPr>
        <b/>
        <i/>
        <sz val="10"/>
        <color indexed="18"/>
        <rFont val="Times New Roman CYR"/>
      </rPr>
      <t>задължения над 1 година</t>
    </r>
    <r>
      <rPr>
        <b/>
        <i/>
        <sz val="10"/>
        <color indexed="60"/>
        <rFont val="Times New Roman CYR"/>
        <family val="1"/>
        <charset val="204"/>
      </rPr>
      <t xml:space="preserve"> </t>
    </r>
    <r>
      <rPr>
        <b/>
        <sz val="10"/>
        <rFont val="Times New Roman CYR"/>
      </rPr>
      <t>по</t>
    </r>
    <r>
      <rPr>
        <b/>
        <i/>
        <sz val="10"/>
        <color indexed="60"/>
        <rFont val="Times New Roman CYR"/>
        <family val="1"/>
        <charset val="204"/>
      </rPr>
      <t xml:space="preserve"> </t>
    </r>
    <r>
      <rPr>
        <b/>
        <i/>
        <sz val="10"/>
        <color indexed="16"/>
        <rFont val="Times New Roman CYR"/>
      </rPr>
      <t>дългоср. емисии на ЦК</t>
    </r>
    <r>
      <rPr>
        <b/>
        <i/>
        <sz val="10"/>
        <color indexed="60"/>
        <rFont val="Times New Roman CYR"/>
        <family val="1"/>
        <charset val="204"/>
      </rPr>
      <t xml:space="preserve"> </t>
    </r>
    <r>
      <rPr>
        <b/>
        <sz val="10"/>
        <color indexed="59"/>
        <rFont val="Times New Roman CYR"/>
        <family val="1"/>
        <charset val="204"/>
      </rPr>
      <t xml:space="preserve"> (сметки 1521 и 1522)</t>
    </r>
  </si>
  <si>
    <r>
      <t xml:space="preserve">Относително тегло на </t>
    </r>
    <r>
      <rPr>
        <b/>
        <i/>
        <sz val="10"/>
        <color indexed="58"/>
        <rFont val="Times New Roman CYR"/>
      </rPr>
      <t>текущи задължения</t>
    </r>
    <r>
      <rPr>
        <b/>
        <i/>
        <sz val="10"/>
        <color indexed="60"/>
        <rFont val="Times New Roman CYR"/>
        <family val="1"/>
        <charset val="204"/>
      </rPr>
      <t xml:space="preserve"> </t>
    </r>
    <r>
      <rPr>
        <b/>
        <sz val="10"/>
        <rFont val="Times New Roman CYR"/>
      </rPr>
      <t>по</t>
    </r>
    <r>
      <rPr>
        <b/>
        <i/>
        <sz val="10"/>
        <color indexed="60"/>
        <rFont val="Times New Roman CYR"/>
        <family val="1"/>
        <charset val="204"/>
      </rPr>
      <t xml:space="preserve"> </t>
    </r>
    <r>
      <rPr>
        <b/>
        <i/>
        <sz val="10"/>
        <color indexed="16"/>
        <rFont val="Times New Roman CYR"/>
      </rPr>
      <t>дългосрочни емисии на ЦК</t>
    </r>
    <r>
      <rPr>
        <b/>
        <sz val="10"/>
        <color indexed="59"/>
        <rFont val="Times New Roman CYR"/>
        <family val="1"/>
        <charset val="204"/>
      </rPr>
      <t xml:space="preserve"> (сметки 1523 и 1524)</t>
    </r>
  </si>
  <si>
    <t>Разходи за лихви за вноската към бюджета на Европейския съюз и за други събрани средства за Европейския съюз</t>
  </si>
  <si>
    <t>Разходи за лихви за просрочени суми за възстановяване на средства от Европейския съюз</t>
  </si>
  <si>
    <t>Разходи за лихви за просрочени суми за възстановяване на други донорски средства</t>
  </si>
  <si>
    <t>Разходи за лихви за просрочени данъци, осигурителни вноски и други подобни публични държавни вземания</t>
  </si>
  <si>
    <t>Разходи за лихви за просрочени общински данъци и други подобни публични общински вземания</t>
  </si>
  <si>
    <t>Приписани трансфери за финансови институции в страната</t>
  </si>
  <si>
    <t>Субсидии и други текущи трансфери за нестопански организации</t>
  </si>
  <si>
    <t>Текущи трансфери в натура за нестопански организации</t>
  </si>
  <si>
    <t>Приписани текущи трансфери за нестопански организации</t>
  </si>
  <si>
    <t>Капиталови трансфери за нестопански организации</t>
  </si>
  <si>
    <t>Капиталови трансфери в натура за нестопански организации</t>
  </si>
  <si>
    <t>Приписани капиталови трансфери за нестопански организации</t>
  </si>
  <si>
    <t>Субсидии и други текущи трансфери за стопански предприятия от сектор "Държавно управление"</t>
  </si>
  <si>
    <t>Субсидии и други текущи трансфери за нестопански организации от сектор "Държавно управление"</t>
  </si>
  <si>
    <t xml:space="preserve">  e-mail</t>
  </si>
  <si>
    <t>Текущи трансфери в натура за стопански предприятия от сектор "Държавно управление"</t>
  </si>
  <si>
    <t>Текущи трансфери в натура за нестопански предприятия от сектор "Държавно управление"</t>
  </si>
  <si>
    <t>Капиталови трансфери за стопански предприятия от сектор "Държавно управление"</t>
  </si>
  <si>
    <t>Капиталови трансфери за нестопански организации от сектор "Държавно управление"</t>
  </si>
  <si>
    <t>Капиталови трансфери в натура за стопански предприятия от сектор "Държавно управление"</t>
  </si>
  <si>
    <t>Капиталови трансфери в натура за нестопански предприятия от сектор "Държавно управление"</t>
  </si>
  <si>
    <t>Приписани трансфери за стопански предприятия от сектор "Държавно управление"</t>
  </si>
  <si>
    <t>Приписани трансфери за нестопански организации от сектор "Държавно управление"</t>
  </si>
  <si>
    <t>Предоставени помощи и други текущи трансфери на други държави</t>
  </si>
  <si>
    <t>Предоставени помощи и други текущи трансфери в натура на други държави</t>
  </si>
  <si>
    <t>Предоставени капиталови трансфери на други държави</t>
  </si>
  <si>
    <t>Предоставени капиталови трансфери в натура на други държави</t>
  </si>
  <si>
    <t>Приписани трансфери за други държави</t>
  </si>
  <si>
    <r>
      <t>Административни</t>
    </r>
    <r>
      <rPr>
        <sz val="12"/>
        <rFont val="Times New Roman CYR"/>
        <family val="1"/>
        <charset val="204"/>
      </rPr>
      <t xml:space="preserve"> сгради</t>
    </r>
  </si>
  <si>
    <r>
      <t>Други</t>
    </r>
    <r>
      <rPr>
        <sz val="12"/>
        <rFont val="Times New Roman CYR"/>
        <family val="1"/>
        <charset val="204"/>
      </rPr>
      <t xml:space="preserve"> сгради</t>
    </r>
  </si>
  <si>
    <r>
      <t>Компютри</t>
    </r>
    <r>
      <rPr>
        <sz val="12"/>
        <rFont val="Times New Roman CYR"/>
        <family val="1"/>
        <charset val="204"/>
      </rPr>
      <t xml:space="preserve"> и хардуерно оборудване</t>
    </r>
  </si>
  <si>
    <r>
      <t>Други</t>
    </r>
    <r>
      <rPr>
        <sz val="12"/>
        <rFont val="Times New Roman CYR"/>
        <family val="1"/>
        <charset val="204"/>
      </rPr>
      <t xml:space="preserve"> машини, съоръжения, оборудване</t>
    </r>
  </si>
  <si>
    <r>
      <t xml:space="preserve">Леки </t>
    </r>
    <r>
      <rPr>
        <sz val="12"/>
        <rFont val="Times New Roman CYR"/>
        <family val="1"/>
        <charset val="204"/>
      </rPr>
      <t>автомобили</t>
    </r>
  </si>
  <si>
    <r>
      <t>Други</t>
    </r>
    <r>
      <rPr>
        <sz val="12"/>
        <rFont val="Times New Roman CYR"/>
        <family val="1"/>
        <charset val="204"/>
      </rPr>
      <t xml:space="preserve"> транспортни средства</t>
    </r>
  </si>
  <si>
    <t>Стопански инвентар</t>
  </si>
  <si>
    <r>
      <t>Други</t>
    </r>
    <r>
      <rPr>
        <sz val="12"/>
        <rFont val="Times New Roman CYR"/>
        <family val="1"/>
        <charset val="204"/>
      </rPr>
      <t xml:space="preserve"> дълготрайни материални активи в процес на придобиване</t>
    </r>
  </si>
  <si>
    <r>
      <t>Други</t>
    </r>
    <r>
      <rPr>
        <sz val="12"/>
        <rFont val="Times New Roman CYR"/>
        <family val="1"/>
        <charset val="204"/>
      </rPr>
      <t xml:space="preserve"> дълготрайни материални активи</t>
    </r>
  </si>
  <si>
    <r>
      <t>Патенти</t>
    </r>
    <r>
      <rPr>
        <sz val="12"/>
        <rFont val="Times New Roman CYR"/>
        <family val="1"/>
        <charset val="204"/>
      </rPr>
      <t>, лицензи, концесионни права, фирмени и търговски марки и др.</t>
    </r>
  </si>
  <si>
    <r>
      <t>Други</t>
    </r>
    <r>
      <rPr>
        <sz val="12"/>
        <rFont val="Times New Roman CYR"/>
        <family val="1"/>
        <charset val="204"/>
      </rPr>
      <t xml:space="preserve"> нематериални дълготрайни активи</t>
    </r>
  </si>
  <si>
    <t>Б. Корективи по сметки за дългосрочни пасиви</t>
  </si>
  <si>
    <t>Приписани разходи за лихви към местни лица</t>
  </si>
  <si>
    <t>Приписани разходи за лихви към чуждестранни лица</t>
  </si>
  <si>
    <t>Начислени други разходи за лихви към местни лица</t>
  </si>
  <si>
    <t>Начислени други разходи за лихви към чуждестранни лица</t>
  </si>
  <si>
    <t>А. Провизии по вземания (без публични вземания)</t>
  </si>
  <si>
    <t>Начален баланс (в лева)</t>
  </si>
  <si>
    <t>Краен баланс   (в лева)</t>
  </si>
  <si>
    <t>Вноска в бюджета на Европейския съюз и други трансфери към Европейския съюз</t>
  </si>
  <si>
    <t>Предоставени текущи трансфери на международни организации</t>
  </si>
  <si>
    <t>Предоставени текущи трансфери в натура на международни организации</t>
  </si>
  <si>
    <t>Предоставени капиталови трансфери на международни организации</t>
  </si>
  <si>
    <t>Предоставени капиталови трансфери в натура на международни организации</t>
  </si>
  <si>
    <t>Приписани трансфери за международни организации</t>
  </si>
  <si>
    <t>Други текущи помощи и трансфери за чуждестранни лица</t>
  </si>
  <si>
    <t>Други текущи помощи и трансфери в натура за чуждестранни лица</t>
  </si>
  <si>
    <t>Други капиталови трансфери за чуждестранни лица</t>
  </si>
  <si>
    <t>Други капиталови трансфери в натура за чуждестранни лица</t>
  </si>
  <si>
    <t>Други приписани трансфери за чужбина</t>
  </si>
  <si>
    <t>Разходи за лихви за просрочени чуждестранни данъци, осигурителни вноски и други подобни задължения към други държави</t>
  </si>
  <si>
    <t>Коректив за разходи за лихви към бюджетни организации</t>
  </si>
  <si>
    <t>Разходи за пенсии в страната</t>
  </si>
  <si>
    <t>Разходи за пенсии в чужбина</t>
  </si>
  <si>
    <t>Разходи за стипендии на местни лица</t>
  </si>
  <si>
    <t>Разходи за стипендии на чуждестранни лица</t>
  </si>
  <si>
    <t>Помощи, обезщетения и други текущи трансфери за домакинства</t>
  </si>
  <si>
    <t>Текущи трансфери за домакинства - поети лихвени плащания</t>
  </si>
  <si>
    <t>Текущи помощи, обезщетения и други текущи трансфери в натура за домакинства</t>
  </si>
  <si>
    <t>Приписани текущи трансфери за домакинства</t>
  </si>
  <si>
    <t>Капиталови трансфери и обезщетения за домакинства</t>
  </si>
  <si>
    <t>Капиталови трансфери за домакинства  - поети заеми и дългове</t>
  </si>
  <si>
    <r>
      <t xml:space="preserve">       Дял на </t>
    </r>
    <r>
      <rPr>
        <b/>
        <i/>
        <sz val="10"/>
        <color indexed="58"/>
        <rFont val="Times New Roman CYR"/>
      </rPr>
      <t>кратко</t>
    </r>
    <r>
      <rPr>
        <b/>
        <sz val="10"/>
        <rFont val="Times New Roman CYR"/>
        <family val="1"/>
        <charset val="204"/>
      </rPr>
      <t xml:space="preserve">срочните </t>
    </r>
    <r>
      <rPr>
        <b/>
        <i/>
        <sz val="10"/>
        <color indexed="16"/>
        <rFont val="Times New Roman CYR"/>
      </rPr>
      <t>вземания</t>
    </r>
    <r>
      <rPr>
        <b/>
        <i/>
        <sz val="10"/>
        <color indexed="60"/>
        <rFont val="Times New Roman CYR"/>
        <family val="1"/>
        <charset val="204"/>
      </rPr>
      <t xml:space="preserve"> </t>
    </r>
    <r>
      <rPr>
        <b/>
        <sz val="10"/>
        <rFont val="Times New Roman CYR"/>
        <family val="1"/>
        <charset val="204"/>
      </rPr>
      <t>в общия размер на заемите (подгрупи 531, 532, 581 и 582)</t>
    </r>
  </si>
  <si>
    <r>
      <t xml:space="preserve">        Дял на </t>
    </r>
    <r>
      <rPr>
        <b/>
        <i/>
        <sz val="10"/>
        <color indexed="18"/>
        <rFont val="Times New Roman CYR"/>
      </rPr>
      <t>дълго</t>
    </r>
    <r>
      <rPr>
        <b/>
        <sz val="10"/>
        <rFont val="Times New Roman CYR"/>
        <family val="1"/>
        <charset val="204"/>
      </rPr>
      <t xml:space="preserve">срочните </t>
    </r>
    <r>
      <rPr>
        <b/>
        <i/>
        <sz val="10"/>
        <color indexed="16"/>
        <rFont val="Times New Roman CYR"/>
      </rPr>
      <t>вземания</t>
    </r>
    <r>
      <rPr>
        <b/>
        <sz val="10"/>
        <rFont val="Times New Roman CYR"/>
        <family val="1"/>
        <charset val="204"/>
      </rPr>
      <t xml:space="preserve"> в общия размер на заемите (подгрупи 531, 532, 581 и 582)</t>
    </r>
  </si>
  <si>
    <t>СМЕТКИ ОТ РАЗДЕЛИ  1 - 7 - САЛДА И ОБОРОТИ  - ОБЩО</t>
  </si>
  <si>
    <t>СМЕТКИ ОТ РАЗДЕЛ  9 - САЛДА И ОБОРОТИ  - ОБЩО</t>
  </si>
  <si>
    <t xml:space="preserve">            САЛДА И ОБОРОТИ  - ВСИЧКО</t>
  </si>
  <si>
    <t>Контрола начални салда</t>
  </si>
  <si>
    <t>Контрола обороти</t>
  </si>
  <si>
    <t>РАЗДЕЛИ 1 - 7 - КОНТРОЛА  ЗА РАВНЕНИЕ НА ОБЩАТА СУМА НА САЛДАТА И ОБОРОТИТЕ</t>
  </si>
  <si>
    <t>Капиталови трансфери и обезщетения в натура за домакинства</t>
  </si>
  <si>
    <t>Приписани капиталови трансфери и обезщетения за домакинства</t>
  </si>
  <si>
    <t>Здравно-осигурителни разходи - плащания към предприятия от сектор "Държавно управление"</t>
  </si>
  <si>
    <t>Здравно-осигурителни разходи - коректив за плащания към бюджетни организации</t>
  </si>
  <si>
    <t>Субсидии и други текущи трансфери за финансови институции в страната</t>
  </si>
  <si>
    <t>Субсидии и други текущи трансфери за нефинансови предприятия</t>
  </si>
  <si>
    <t>Текущи трансфери в натура за финансови институции в страната</t>
  </si>
  <si>
    <t>Текущи трансфери в натура за нефинансови предприятия</t>
  </si>
  <si>
    <t>Приписани трансфери за нефинансови предприятия</t>
  </si>
  <si>
    <t>Капиталови трансфери за нефинансови предприятия</t>
  </si>
  <si>
    <t>Капиталови трансфери за финансови институции от страната</t>
  </si>
  <si>
    <t>Капиталови трансфери в натура за нефинансови предприятия</t>
  </si>
  <si>
    <t>Капиталови трансфери в натура за финансови институции от страната</t>
  </si>
  <si>
    <t xml:space="preserve">         КОД ПО ЕБК</t>
  </si>
  <si>
    <t>Разчети за лихви по предоставени заеми на други държави</t>
  </si>
  <si>
    <t>Разчети за лихви по предоставени заеми на международни организации</t>
  </si>
  <si>
    <t>Разчети за лихви по други предоставени заеми в чужбина</t>
  </si>
  <si>
    <t>Приходи от продажби на машини, съоръжения, оборудване</t>
  </si>
  <si>
    <t>Приходи от продажби на транспортни средства</t>
  </si>
  <si>
    <t>Приходи от продажби на стопански инвентар</t>
  </si>
  <si>
    <t xml:space="preserve">Приходи от продажби на незавършено строителство </t>
  </si>
  <si>
    <t>Приходи от продажби на други дълготрайни материани активи</t>
  </si>
  <si>
    <t>Приходи от продажби на запаси на държавния резерв</t>
  </si>
  <si>
    <t>Приходи от продажби на запаси на изкупена продукция</t>
  </si>
  <si>
    <t>Приходи от продажби на конфискувани и придобити от обезпечения дълготрайни активи</t>
  </si>
  <si>
    <t>Приходи от продажби на конфискувани и придобити от обезпечения материални запаси</t>
  </si>
  <si>
    <t>Приходи от продажби на конфискувани и придобити от обезпечения финансови активи</t>
  </si>
  <si>
    <t>Вноски от БНБ за превишение на приходите над разходите</t>
  </si>
  <si>
    <t>Дялово участие във финансовия резултат на предприятия в страната с мажоритарно участие-нето</t>
  </si>
  <si>
    <t>Дялово участие във финансовия резултат на предприятия в чужбина с мажоритарно участие-нето</t>
  </si>
  <si>
    <t>Дялово участие във финансовия резултат на асоциирани предприятия в страната - нето</t>
  </si>
  <si>
    <t>Дялово участие във финансовия резултат на асоциирани предприятия в чужбина - нето</t>
  </si>
  <si>
    <t>Вноски от държавни/общински предприятия за превишение на приходите над разходите</t>
  </si>
  <si>
    <t>Коректив за приходи</t>
  </si>
  <si>
    <t xml:space="preserve">Приписани приходи от наеми и концесии </t>
  </si>
  <si>
    <t>Приписани приходи от продажби на активи</t>
  </si>
  <si>
    <t>Приписани други приходи</t>
  </si>
  <si>
    <t>Отчисления за данък върху приходите от стопанска дейност на бюджетните предприятия по ЗКПО</t>
  </si>
  <si>
    <t>Приходи от застрахователни обезщетения за дълготрайни активи</t>
  </si>
  <si>
    <t>Други приходи от застрахователни обезщетения</t>
  </si>
  <si>
    <t>Приходи от неустойки, начети и обезщетения</t>
  </si>
  <si>
    <t>Други приходи</t>
  </si>
  <si>
    <t>Приходи от лихви по ДЦК</t>
  </si>
  <si>
    <t>Приходи от лихви по ОбЦК</t>
  </si>
  <si>
    <t>Приходи от лихви по облигации и други дългови ценни книжа от предприятия в страната</t>
  </si>
  <si>
    <t>Приходи от лихви по облигации и други дългови ценни книжа на други държави</t>
  </si>
  <si>
    <t>Приходи от лихви по облигации и други дългови ценни книжа на международни организации</t>
  </si>
  <si>
    <t>Приходи от лихви по облигации и други дългови ценни книжа на финансови институции от чужбина</t>
  </si>
  <si>
    <t>Приходи от лихви по други облигации и дългови ценни книжа в чужбина</t>
  </si>
  <si>
    <t>Приходи от лихви по преоформен държавен дълг</t>
  </si>
  <si>
    <t>Приходи от лихви по заеми на нефинансови предприятия</t>
  </si>
  <si>
    <t>Приходи от лихви по заеми на нестопански организации</t>
  </si>
  <si>
    <t>Приходи от лихви по заеми на домакинства</t>
  </si>
  <si>
    <t>Приходи от лихви по заеми на финансови институции</t>
  </si>
  <si>
    <t>Приходи от лихви по заеми на други държави</t>
  </si>
  <si>
    <t>Приходи от лихви по други заеми в чужбина</t>
  </si>
  <si>
    <t>Приходи от лихви по търговски кредит от местни лица</t>
  </si>
  <si>
    <t>Придобиване на дълготрайни материални активи по стопански начин</t>
  </si>
  <si>
    <t>Придобиване на нематериални дълготрайни активи по стопански начин</t>
  </si>
  <si>
    <t>Придобиване на материални запаси по стопански начин</t>
  </si>
  <si>
    <t>Разходи за изграждане на инфраструктурни обекти по стопански начин</t>
  </si>
  <si>
    <t>Текущ ремонт на дълготрайни материални активи и инфраструктурни обекти по стопански начин</t>
  </si>
  <si>
    <t>Основен ремонт на дълготрайни материални активи по стопански начин</t>
  </si>
  <si>
    <t>Основен ремонт на инфраструктурни обекти по стопански начин</t>
  </si>
  <si>
    <t>Разходи за провизии на публични държавни и общински вземания</t>
  </si>
  <si>
    <t>Разходи за провизии за заеми и други вземания (финансиращи позиции)</t>
  </si>
  <si>
    <t>Разчети с БНБ</t>
  </si>
  <si>
    <t>Общо</t>
  </si>
  <si>
    <t xml:space="preserve"> 1-7</t>
  </si>
  <si>
    <t>Касови приходи от данъци, мита, митнически такси и осигурителни вноски</t>
  </si>
  <si>
    <t>Начислени приходи от данъци, мита, митнически такси и осигурителни вноски</t>
  </si>
  <si>
    <t>Начислени суми за възстановяване на данъци, мита, митнически такси и осигурителни вноски</t>
  </si>
  <si>
    <t>Преотстъпени приходи от данъци, мита, митнически такси и осигурителни вноски</t>
  </si>
  <si>
    <t>Приходи от такси в левове</t>
  </si>
  <si>
    <t>Приходи от такси във валута</t>
  </si>
  <si>
    <t>Приходи от административни глоби и санкции</t>
  </si>
  <si>
    <t>Приходи от продажби на услуги</t>
  </si>
  <si>
    <t>Приходи от продажби на незавършено производство</t>
  </si>
  <si>
    <t>Приходи от продажби на материали</t>
  </si>
  <si>
    <t>Приходи от продажби на продукция</t>
  </si>
  <si>
    <t>Приходи от продажби на стоки</t>
  </si>
  <si>
    <t>Приходи от продажби на млади животни и животни за угояване</t>
  </si>
  <si>
    <t xml:space="preserve">Приходи от наеми на имущество </t>
  </si>
  <si>
    <t>Приходи от използване на нематериални дълготрайни активи</t>
  </si>
  <si>
    <t>Приходи от наеми на земя</t>
  </si>
  <si>
    <t>Приходи от концесии</t>
  </si>
  <si>
    <t>Приходи от продажби на земи, гори и трайни насаждения</t>
  </si>
  <si>
    <t>Приходи от продажби на инфраструктурни обекти</t>
  </si>
  <si>
    <t>Приходи от продажби на активи с художествена и историческа стойност и книги в библиотеките</t>
  </si>
  <si>
    <t>Приходи от продажби на нематериални дълготрайни активи</t>
  </si>
  <si>
    <t>Приходи от продажби на прилежащи към сгради и съоръжения земи</t>
  </si>
  <si>
    <t>Приходи от продажби на продуктивни и работни животни</t>
  </si>
  <si>
    <t>Приходи от продажби на сгради</t>
  </si>
  <si>
    <t>Книги в библиотеките</t>
  </si>
  <si>
    <t>Приходи от финансови услуги и комисионни</t>
  </si>
  <si>
    <t xml:space="preserve"> 1. По дългосрочни общински ценни книжа</t>
  </si>
  <si>
    <t xml:space="preserve"> 2. По текущ дял  по дългосрочни общински ценни книжа</t>
  </si>
  <si>
    <t xml:space="preserve">                                                                            Д а т а :</t>
  </si>
  <si>
    <t>краткоср.-дял в нач.салдо</t>
  </si>
  <si>
    <t>дългоср.-дял в нач.салдо</t>
  </si>
  <si>
    <t>краткоср.-дял в кр.салдо</t>
  </si>
  <si>
    <t>дългоср.-дял в кр.салдо</t>
  </si>
  <si>
    <t>кратк. ЦК.-дял в нач.салдо</t>
  </si>
  <si>
    <t>дълг. ЦК.-дял в нач.салдо</t>
  </si>
  <si>
    <t>кратк. ЦК.-дял в кр.салдо</t>
  </si>
  <si>
    <t>дълг. ЦК.-дял в кр.салдо</t>
  </si>
  <si>
    <t>кратк. л-г-дял в нач.салдо</t>
  </si>
  <si>
    <t>дълг. л-г-дял в нач.салдо</t>
  </si>
  <si>
    <t>дълг. л-г-дял в кр.салдо</t>
  </si>
  <si>
    <t>кратк. л-г-дял в кр.салдо</t>
  </si>
  <si>
    <t xml:space="preserve">                III. ОТЧЕТНА  ГРУПА</t>
  </si>
  <si>
    <t>Чужди материални запаси за съхранение, разпределение и управление</t>
  </si>
  <si>
    <t>Поети ангажименти за разходи - наличности</t>
  </si>
  <si>
    <t>Неусвоени суми от средства за безопасност и съхраняване на радиоактивни отпадъци и за извеждане на ядрени съоръжения</t>
  </si>
  <si>
    <t>Залог на ДЦК (ОбЦК)</t>
  </si>
  <si>
    <t>Други чужди финансови активи, предоставени в залог на бюджетни организации</t>
  </si>
  <si>
    <t>Получени гаранции и поръчителства</t>
  </si>
  <si>
    <t>Обезпечени вземания с ипотеки</t>
  </si>
  <si>
    <t>Обезпечени вземания по реда на особените залози</t>
  </si>
  <si>
    <t>Предоставени държавни (общински) гаранции по заеми</t>
  </si>
  <si>
    <t>Предоставени други държавни (общински) гаранции</t>
  </si>
  <si>
    <t>Предоставени дълготрайни активи и материални запаси в залог и ипотека</t>
  </si>
  <si>
    <t>Обезпечени задължения по реда на особените залози</t>
  </si>
  <si>
    <t>Актюерски разчети за пенсионни задължения</t>
  </si>
  <si>
    <t>Възникнали ангажименти за разходи</t>
  </si>
  <si>
    <t>Възникнали ангажименти за разходи с незабавна реализация</t>
  </si>
  <si>
    <t>Реализирани ангажименти за разходи чрез плащане/възникване на задължение</t>
  </si>
  <si>
    <t>Приходи от лихви за просрочени вземания за възстановяване на средства от Европейския съюз</t>
  </si>
  <si>
    <t>Приходи от лихви за просрочени вземания за възстановяване на други донорски средства</t>
  </si>
  <si>
    <t>Приходи от лихви за просрочени частни вземания от местни лица</t>
  </si>
  <si>
    <t>Приходи от лихви за просрочени частни вземания от чуждестранни лица</t>
  </si>
  <si>
    <t>Приписани приходи от лихви по заеми</t>
  </si>
  <si>
    <t>Приписани приходи от други лихви</t>
  </si>
  <si>
    <t>Начислени други лихви към местни лица</t>
  </si>
  <si>
    <t>Начислени други лихви към чуждестранни лица</t>
  </si>
  <si>
    <t>Коректив за приходи от лихви от бюджетни организации</t>
  </si>
  <si>
    <t>Постъпления от продажба на държавни ценни книжа</t>
  </si>
  <si>
    <t>Отчетна стойност на продадени държавни ценни книжа</t>
  </si>
  <si>
    <t>Постъпления от продажба на общински ценни книжа</t>
  </si>
  <si>
    <t>Отчетна стойност на продадени общински ценни книжа</t>
  </si>
  <si>
    <t>Постъпления от продажба на други дългови ценни книжа</t>
  </si>
  <si>
    <t>Отчетна стойност на продадени други дългови ценни книжа</t>
  </si>
  <si>
    <t>Постъпления от продажба на други финансови активи</t>
  </si>
  <si>
    <t>Отчетна стойност на продадени други финансови активи</t>
  </si>
  <si>
    <t>Коректив на приходите от текущи помощи и дарения, предоставени от страната</t>
  </si>
  <si>
    <t>Коректив на приходите от капиталови помощи и дарения, предоставени от страната</t>
  </si>
  <si>
    <t>Коректив на приходите от текущи помощи и дарения, предоставени от Европейския съюз</t>
  </si>
  <si>
    <t>Коректив на приходите от капиталови помощи и дарения, предоставени от Европейския съюз</t>
  </si>
  <si>
    <t>Коректив на приходите от текущи помощи и дарения, предоставени от международни организации</t>
  </si>
  <si>
    <t>Коректив на приходите от капиталови помощи и дарения, предоставени от международни организации</t>
  </si>
  <si>
    <t>Коректив на приходите от текущи помощи и дарения, предоставени от други държави</t>
  </si>
  <si>
    <t>Коректив на приходите от капиталови помощи и дарения, предоставени от други държави</t>
  </si>
  <si>
    <t>Коректив на приходите от други текущи помощи и дарения, предоставени от чужбина</t>
  </si>
  <si>
    <t>Коректив на приходите от други капиталови помощи и дарения, предоставени от чужбина</t>
  </si>
  <si>
    <t>Получени текущи помощи и дарения от страната</t>
  </si>
  <si>
    <t>Получени капиталови помощи и дарения от страната</t>
  </si>
  <si>
    <t>Получени текущи помощи и дарения в натура от страната</t>
  </si>
  <si>
    <t>Получени капиталови помощи и дарения в натура от страната</t>
  </si>
  <si>
    <t>Приписани помощи и дарения от страната</t>
  </si>
  <si>
    <t>Получени текущи помощи и дарения от други държави</t>
  </si>
  <si>
    <t>Получени капиталови помощи и дарения от други държави</t>
  </si>
  <si>
    <t>Получени текущи помощи и дарения в натура от други държави</t>
  </si>
  <si>
    <t>Получени капиталови помощи и дарения в натура от други държави</t>
  </si>
  <si>
    <t>Получени текущи помощи и дарения от Европейския съюз</t>
  </si>
  <si>
    <t>Получени капиталови помощи и дарения от Европейския съюз</t>
  </si>
  <si>
    <t>Получени текущи помощи и дарения в натура от Европейския съюз</t>
  </si>
  <si>
    <t>Получени капиталови помощи и дарения в натура от Европейския съюз</t>
  </si>
  <si>
    <t>Получени текущи помощи и дарения от други международни организации</t>
  </si>
  <si>
    <t>Получени капиталови помощи и дарения от други международни организации</t>
  </si>
  <si>
    <t>Получени текущи помощи и дарения в натура от други международни организации</t>
  </si>
  <si>
    <t>Получени капиталови помощи и дарения в натура от други международни организации</t>
  </si>
  <si>
    <t>Получени други текущи помощи и дарения от чужбина</t>
  </si>
  <si>
    <t>Получени други капиталови помощи и дарения от чужбина</t>
  </si>
  <si>
    <t>Получени други текущи помощи и дарения в натура от чужбина</t>
  </si>
  <si>
    <t>Получени други капиталови помощи и дарения в натура от чужбина</t>
  </si>
  <si>
    <t>Разчети за лихви по облигации и други дългови ценни книжа на международни организации</t>
  </si>
  <si>
    <t>Разчети за лихви по облигации и други дългови ценни книжа на банки и финансови институции от чужбина</t>
  </si>
  <si>
    <t>Разчети за лихви по облигации и други дългови ценни книжа на други нерезиденти</t>
  </si>
  <si>
    <t>Придобити краткосрочни държавни ценни книжа</t>
  </si>
  <si>
    <t>Придобити дългосрочни държавни ценни книжа</t>
  </si>
  <si>
    <t>Придобити краткосрочни общински ценни книжа</t>
  </si>
  <si>
    <t>Придобити дългосрочни общински ценни книжа</t>
  </si>
  <si>
    <t>Премии/отстъпки от номинала на ДЦК</t>
  </si>
  <si>
    <t>Премии/отстъпки от номинала на ОбЦК</t>
  </si>
  <si>
    <t>Разчети за лихви по придобити ДЦК</t>
  </si>
  <si>
    <t>Разчети за лихви по придобити ОбЦК</t>
  </si>
  <si>
    <t>Текущ дял по дългосрочни заеми и временна финансова помощ на предприятия</t>
  </si>
  <si>
    <t>Текущ дял по дългосрочни заеми и временна финансова помощ на нестопански организации</t>
  </si>
  <si>
    <t>Текущ дял по дългосрочни заеми и временна финансова помощ на домакинства</t>
  </si>
  <si>
    <t>Предоставени краткосрочни заеми и временна финансова помощ на предприятия</t>
  </si>
  <si>
    <t>Предоставени краткосрочни заеми и временна финансова помощ на нестопански организации</t>
  </si>
  <si>
    <t>Предоставени краткосрочни заеми и временна финансова помощ на домакинства</t>
  </si>
  <si>
    <t xml:space="preserve"> 5. Инфраструктурни обекти</t>
  </si>
  <si>
    <t xml:space="preserve">      ЕИК/ БУЛСТАТ</t>
  </si>
  <si>
    <t>ЕИК/БУЛСТАТ</t>
  </si>
  <si>
    <t xml:space="preserve"> 6. Активи с историческа и художествена стойност и книги</t>
  </si>
  <si>
    <t xml:space="preserve"> 7. Земи, гори и трайни насаждения</t>
  </si>
  <si>
    <t xml:space="preserve"> 2. Коректив на ном. ст-ст по текущ дял на дълг. търговски к-т</t>
  </si>
  <si>
    <t xml:space="preserve"> Ръководител :</t>
  </si>
  <si>
    <t xml:space="preserve">                 Главен  счетоводител :</t>
  </si>
  <si>
    <r>
      <t xml:space="preserve">                 II.ОТЧЕТНА  ГРУПА</t>
    </r>
    <r>
      <rPr>
        <b/>
        <sz val="10"/>
        <rFont val="Times New Roman CYR"/>
        <family val="1"/>
        <charset val="204"/>
      </rPr>
      <t xml:space="preserve"> </t>
    </r>
    <r>
      <rPr>
        <b/>
        <i/>
        <sz val="10"/>
        <color indexed="20"/>
        <rFont val="Times New Roman Cyr"/>
      </rPr>
      <t>"СМЕТКИ ЗА</t>
    </r>
  </si>
  <si>
    <t>Текущи сметки в левове на централния бюджет в БНБ</t>
  </si>
  <si>
    <t>Текущи сметки в левове, консолидирани в системата на единна сметка</t>
  </si>
  <si>
    <t>Срочни депозити в левове, консолидирани в системата на единна сметка</t>
  </si>
  <si>
    <t>Срочни депозити в левове на централния бюджет в БНБ</t>
  </si>
  <si>
    <t>Срочни депозити във валута на централния бюджет в БНБ</t>
  </si>
  <si>
    <t>Срочни депозити във валута на бюджетни организации в БНБ</t>
  </si>
  <si>
    <t>Текущи сметки във валута на бюджетни организации в БНБ</t>
  </si>
  <si>
    <t>Текущи сметки във валута на централния бюджет в БНБ</t>
  </si>
  <si>
    <t>Касови наличности в левове</t>
  </si>
  <si>
    <t>Касови наличности във валута</t>
  </si>
  <si>
    <t xml:space="preserve">                                 Пасив</t>
  </si>
  <si>
    <t xml:space="preserve">                                 Актив</t>
  </si>
  <si>
    <t>РАЗДЕЛ 2 - СМЕТКИ ЗА ДЪЛГОТРАЙНИ МАТЕРИАЛНИ И НЕМАТЕРИАЛНИ АКТИВИ</t>
  </si>
  <si>
    <t>Продуктивни и работни животни</t>
  </si>
  <si>
    <t>Прехвърлени материални запаси от/към други предприятия от сектор "Държавно управление"</t>
  </si>
  <si>
    <t>Прехвърлени финансови активи (приходно-разходни позиции) от/към други предприятия от сектор "Държавно управление"</t>
  </si>
  <si>
    <t>Прехвърлени финансови активи (финансиращи позиции) от/към други предприятия от сектор "Държавно управление"</t>
  </si>
  <si>
    <t>Прехвърлени пасиви (приходно-разходни позиции) от/към други предприятия от сектор "Държавно управление"</t>
  </si>
  <si>
    <t>Прехвърлени пасиви (финансиращи позиции) от/към други предприятия от сектор "Държавно управление"</t>
  </si>
  <si>
    <t>Приписани трансфери от/за бюджетни организации от подсектор "Централно управление"</t>
  </si>
  <si>
    <t>Приписани трансфери от/за общини</t>
  </si>
  <si>
    <t>Приписани трансфери от/за социалноосигурителни фондове</t>
  </si>
  <si>
    <t>Приписани трансфери от/за други предприятия от сектор "Държавно управление"</t>
  </si>
  <si>
    <t>Прехвърлени нефинансови дълготрайни активи от/към други сектори на икономиката</t>
  </si>
  <si>
    <t>Прехвърлени материални запаси от/към други сектори на икономиката</t>
  </si>
  <si>
    <t>Прехвърлени финансови активи (приходно-разходни позиции) от/към други сектори на икономиката</t>
  </si>
  <si>
    <t>Прехвърлени пасиви (приходно-разходни позиции) от/към други сектори на икономиката</t>
  </si>
  <si>
    <t>Прехвърлени пасиви (финансиращи позиции) от/към други сектори на икономиката</t>
  </si>
  <si>
    <t>Придобито/закрито дялово участие от реорганизиране на бюджетни организации</t>
  </si>
  <si>
    <t>Преоценки на нефинансови дълготрайни активи</t>
  </si>
  <si>
    <t>Преоценки на материални запаси</t>
  </si>
  <si>
    <t>Преоценки на финансови активи (приходно-разходни позиции)</t>
  </si>
  <si>
    <t>Преоценки на финансови активи (финансиращи позиции)</t>
  </si>
  <si>
    <t>Преоценки на пасиви (приходно-разходни позиции)</t>
  </si>
  <si>
    <t>Преоценки на пасиви (финансиращи позиции)</t>
  </si>
  <si>
    <t>Отписани задължения (приходно-разходни позиции) към бюджетни организации от подсектор "Централно управление"</t>
  </si>
  <si>
    <t>Отписани задължения (финансиращи позиции) към бюджетни организации от подсектор "Централно управление"</t>
  </si>
  <si>
    <t>Отписани задължения (приходно-разходни позиции) към общини</t>
  </si>
  <si>
    <t>Отписани задължения (финансиращи позиции) към общини</t>
  </si>
  <si>
    <t>Отписани задължения (приходно-разходни позиции) към социалноосигурителни фондове</t>
  </si>
  <si>
    <t>Отписани задължения (финансиращи позиции) към социалноосигурителни фондове</t>
  </si>
  <si>
    <t>Отписани задължения (приходно-разходни позиции) към други предприятия от сектор "Държавно управление"</t>
  </si>
  <si>
    <t>Отписани задължения (финансиращи позиции) към други предприятия от сектор "Държавно управление"</t>
  </si>
  <si>
    <t>Отписани задължения (приходно-разходни позиции) към други местни лица</t>
  </si>
  <si>
    <t>Отписани задължения (финансиращи позиции) към други местни лица</t>
  </si>
  <si>
    <t>Отписани задължения (приходно-разходни позиции) към чуждестранни лица</t>
  </si>
  <si>
    <t>Отписани задължения (финансиращи позиции) към чуждестранни лица</t>
  </si>
  <si>
    <t>Конфискувани дълготрайни активи</t>
  </si>
  <si>
    <t>Конфискувани материални запаси</t>
  </si>
  <si>
    <t>Конфискувани финансови активи (приходно-разходни позиции)</t>
  </si>
  <si>
    <t>Конфискувани финансови активи (финансиращи позиции)</t>
  </si>
  <si>
    <t>Конфискувани парични средства</t>
  </si>
  <si>
    <t>Увеличение на нефинансови дълготрайни активи от други събития</t>
  </si>
  <si>
    <t>Увеличение на материални запаси от други събития</t>
  </si>
  <si>
    <t>Увеличение на финансови активи (приходно-разходни позиции) от други събития</t>
  </si>
  <si>
    <t>Увеличение на финансови активи (финансиращи позиции) от други събития</t>
  </si>
  <si>
    <t>Краткосрочни заеми от небюджетни предприятия от сектор "Държавно управление"</t>
  </si>
  <si>
    <t>Дългосрочни заеми от небюджетни предприятия от сектор "Държавно управление"</t>
  </si>
  <si>
    <t>Текущ дял по дългосрочни заеми от небюджетни предприятия от сектор "Държавно управление"</t>
  </si>
  <si>
    <t>Задължения за лихви по заеми от небюджетни предприятия от сектор "Държавно управление"</t>
  </si>
  <si>
    <t>Други краткосрочни заеми и дългове към местни лица</t>
  </si>
  <si>
    <t>Задължения по дългосрочен търговски кредит към местни лица</t>
  </si>
  <si>
    <t>Задължения по дългосрочен търговски кредит към чуждестранни лица</t>
  </si>
  <si>
    <t>Задължения за общински данъци, такси и административни санкции</t>
  </si>
  <si>
    <t>Вземания от надвнесени общински данъци, такси и административни санкции</t>
  </si>
  <si>
    <t>Други разчети с общини - вземания (приходно-разходни позиции)</t>
  </si>
  <si>
    <t>Други разчети с общини - задължения (приходно-разходни позиции)</t>
  </si>
  <si>
    <t>Разчети за вноски за Държавното обществено осигуряване</t>
  </si>
  <si>
    <t>Разчети за здравни вноски за Националната здравноосигурителна каса</t>
  </si>
  <si>
    <t>Разчети за допълнително задължително пенсионно осигуряване</t>
  </si>
  <si>
    <t>Разчети  за допълнително задължително здравно осигуряване</t>
  </si>
  <si>
    <t>Задължения към социалноосигурителни фондове за административни санкции и други неданъчни публични вземания</t>
  </si>
  <si>
    <t>Други разчети със социално осигурителни фондове - вземания (приходно-разходни позиции)</t>
  </si>
  <si>
    <t>Други разчети със социално осигурителни фондове - задължения (приходно-разходни позиции)</t>
  </si>
  <si>
    <t>Разчети с централния бюджет за автоматично финансиране на плащания при недостиг на средства по сметки</t>
  </si>
  <si>
    <t>Временни безлихвени заеми от/за централния бюджет</t>
  </si>
  <si>
    <t>Временни безлихвени заеми от/за бюджетни организаци от подсектор "Централно управление"</t>
  </si>
  <si>
    <t>Временни безлихвени заеми от/за общински бюджети</t>
  </si>
  <si>
    <t>Временни безлихвени заеми от/за социалноосигурителни фондове</t>
  </si>
  <si>
    <t>Временни безлихвени заеми от/за сметки за средствата от Европейския съюз на бюджетни организации от подсектор "Централно управление"</t>
  </si>
  <si>
    <t>Временни безлихвени заеми от/за сметки за средствата от Европейския съюз на общини</t>
  </si>
  <si>
    <t>Временни безлихвени заеми от/за сметки за средствата от Европейския съюз на социалноосигурителни фондове</t>
  </si>
  <si>
    <t>Временни безлихвени заеми от/за сметки за чужди средства</t>
  </si>
  <si>
    <t>Разчети между централния бюджет и първостепенните разпоредители за поети осигурителни вноски и данъци</t>
  </si>
  <si>
    <t>Разчети между централния бюджет и социалноосигурителни фондове за поети осигурителни вноски</t>
  </si>
  <si>
    <t>Разчети между бюджети, сметки и фондове за поети осигурителни вноски и данъци</t>
  </si>
  <si>
    <t>Разчети с централния бюджет за събрани средства и извършени плащания</t>
  </si>
  <si>
    <t>Разчети с бюджети по държавния бюджет за събрани средства и извършени плащания</t>
  </si>
  <si>
    <t>Разчети с бюджети на общини за събрани средства и извършени плащания</t>
  </si>
  <si>
    <t>Разчети със социалноосигурителни фондове за събрани средства и извършени плащания</t>
  </si>
  <si>
    <t>Разчети с други бюджети за събрани средства и извършени плащания</t>
  </si>
  <si>
    <t>Разчети със сметки за средства от Европейския съюз на бюджетни организации от подсектор "Централно управление" за постъпили и разходвани средства</t>
  </si>
  <si>
    <t>Разчети със сметки за средства от Европейския съюз на общините за постъпили и разходвани средства</t>
  </si>
  <si>
    <t>Разчети със сметки за средства от Европейския съюз на социалноосигурителни фондове за постъпили и разходвани средства</t>
  </si>
  <si>
    <t>Вземания от бюджетни организации от подсектор "Централно управление" за временни депозити и гаранции</t>
  </si>
  <si>
    <t>Задължения към бюджетни организации от подсектор "Централно управление" за временни депозити и гаранции</t>
  </si>
  <si>
    <t>Вземания от общини за временни депозити и гаранции</t>
  </si>
  <si>
    <t>Задължения по аванси към клиенти от страната</t>
  </si>
  <si>
    <t>Вземания от клиенти от чужбина</t>
  </si>
  <si>
    <t>Задължения по аванси към клиенти от чужбина</t>
  </si>
  <si>
    <t>Здравно-осигурителни разходи</t>
  </si>
  <si>
    <t>с/ки 539 и 589 - контрола за равнение с оборотната ведомост</t>
  </si>
  <si>
    <t>с/ки 1917 и 1918 - контрола за равнение с оборотната ведомост</t>
  </si>
  <si>
    <t>Амортизация на нематериални дълготрайни активи</t>
  </si>
  <si>
    <t>РАЗДЕЛ 3 - СМЕТКИ ЗА МАТЕРИАЛНИ ЗАПАСИ И КОНФИСКУВАНИ АКТИВИ</t>
  </si>
  <si>
    <t>Незавършено производство</t>
  </si>
  <si>
    <t>Продукция</t>
  </si>
  <si>
    <t>Стоки</t>
  </si>
  <si>
    <t>Млади животни и животни за угояване</t>
  </si>
  <si>
    <t>Запаси на държавния резерв</t>
  </si>
  <si>
    <t>Изкупена продукция</t>
  </si>
  <si>
    <t>Конфискувани и придобити от обезпечения дълготрайни материални активи</t>
  </si>
  <si>
    <t>Конфискувани и придобити от обезпечения нематериални дълготрайни активи</t>
  </si>
  <si>
    <t>Конфискувани и придобити от обезпечения материални запаси</t>
  </si>
  <si>
    <t>РАЗДЕЛ 4 - СМЕТКИ ЗА РАЗЧЕТИ - ВЗЕМАНИЯ И ЗАДЪЛЖЕНИЯ</t>
  </si>
  <si>
    <t>Чужди дълготрайни активи</t>
  </si>
  <si>
    <t>Вземания от концесии от местни лица</t>
  </si>
  <si>
    <t>Вземания от концесии от чуждестранни лица</t>
  </si>
  <si>
    <t>Вземания от предприятия и физически лица за възстановяване на средства по донорски програми (приходно-разходни позиции)</t>
  </si>
  <si>
    <t>Вземания от предприятия и физически лица за възстановяване на средства по донорски програми (финансиращи позиции)</t>
  </si>
  <si>
    <t>Вземания от бюджетни организации от подсектор "Централно управление" за възстановяване на средства по донорски програми</t>
  </si>
  <si>
    <t>Вземания от общини за възстановяване на средства по донорски програми</t>
  </si>
  <si>
    <t>Вземания от социалноосигурителни фондове за възстановяване на средства по донорски програми</t>
  </si>
  <si>
    <t>Задължения към бюджетни организации за възстановяване на средства по донорски програми</t>
  </si>
  <si>
    <t>Задължения към небюджетни организации за възстановяване на средства по донорски програми</t>
  </si>
  <si>
    <t>Задължения към чуждестранни лица за възстановяване на средства по донорски програми</t>
  </si>
  <si>
    <t>Вътрешни разчети</t>
  </si>
  <si>
    <t>Вземания от други дебитори - чуждестранни лица (приходно-разходни позиции)</t>
  </si>
  <si>
    <t>Задължения към други кредитори - местни лица (финансиращи позиции)</t>
  </si>
  <si>
    <t>Задължения към други кредитори - чуждестранни лица (финансиращи позиции)</t>
  </si>
  <si>
    <t>Задължения към други кредитори - местни лица (приходно-разходни позиции)</t>
  </si>
  <si>
    <t>Задължения към други кредитори - чуждестранни лица (приходно-разходни позиции)</t>
  </si>
  <si>
    <t>Провизии за публични държавни и общински вземания</t>
  </si>
  <si>
    <t>Провизии за непублични вземания срещу местни лица (финансиращи позиции)</t>
  </si>
  <si>
    <t>Провизии за непублични вземания срещу чуждестранни лица (финансиращи позиции)</t>
  </si>
  <si>
    <t>Провизии за непублични вземания срещу местни лица (приходно-разходни позиции)</t>
  </si>
  <si>
    <t>Провизии за непублични вземания срещу чуждестранни лица (приходно-разходни позиции)</t>
  </si>
  <si>
    <r>
      <t xml:space="preserve">   "Сметки за средства от ЕС" - </t>
    </r>
    <r>
      <rPr>
        <b/>
        <i/>
        <sz val="12"/>
        <rFont val="Times New Roman CYR"/>
      </rPr>
      <t>DES</t>
    </r>
  </si>
  <si>
    <r>
      <t xml:space="preserve">   "Сметки за средства от ЕС" - </t>
    </r>
    <r>
      <rPr>
        <b/>
        <i/>
        <sz val="12"/>
        <color indexed="10"/>
        <rFont val="Times New Roman CYR"/>
      </rPr>
      <t>DMP</t>
    </r>
  </si>
  <si>
    <t>Краткосрочни заеми от банки в страната</t>
  </si>
  <si>
    <t>Дългосрочни заеми от банки в страната</t>
  </si>
  <si>
    <t>Текущ дял по дългосрочни заеми от банки в страната</t>
  </si>
  <si>
    <t>Краткосрочни заеми от други държави</t>
  </si>
  <si>
    <t>Краткосрочни заеми от международни организации</t>
  </si>
  <si>
    <t>Дългосрочни заеми от други държави</t>
  </si>
  <si>
    <t>Дългосрочни заеми от международни организации</t>
  </si>
  <si>
    <t>Текущ дял по дългосрочни заеми от други държави</t>
  </si>
  <si>
    <t>Текущ дял по дългосрочни заеми от международни организации</t>
  </si>
  <si>
    <t>Краткосрочни заеми от банки и финансови институции от чужбина</t>
  </si>
  <si>
    <t>Други краткосрочни заеми от чужбина</t>
  </si>
  <si>
    <t>Дългосрочни заеми от банки и финансови институции от чужбина</t>
  </si>
  <si>
    <t>Други дългосрочни заеми от чужбина</t>
  </si>
  <si>
    <t>Текущ дял по дългосрочни заеми от банки и финансови институции от чужбина</t>
  </si>
  <si>
    <t>Коректив на номинална стойност на задължения по финансов лизинг към чуждестранни лица</t>
  </si>
  <si>
    <t>Разполагаем капитал</t>
  </si>
  <si>
    <t>Акумулирано изменение на нетните активи</t>
  </si>
  <si>
    <t>Изменение на нетните активи за периода</t>
  </si>
  <si>
    <t xml:space="preserve">Краткосрочни ДЦК (ОбЦК) </t>
  </si>
  <si>
    <t>Обратно изкупени краткосрочни ДЦК (ОбЦК)</t>
  </si>
  <si>
    <t>Дългосрочни ДЦК (ОбЦК)</t>
  </si>
  <si>
    <t>Текущ дял по дългосрочни ДЦК (ОбЦК)</t>
  </si>
  <si>
    <t>Обратно изкупени дългосрочни ДЦК (ОбЦК)</t>
  </si>
  <si>
    <t>Задължения за лихви по ДЦК (ОбЦК)</t>
  </si>
  <si>
    <t>Коректив за задължения за лихви по обратно изкупени ДЦК (ОбЦК)</t>
  </si>
  <si>
    <t>Премии/отстъпки от номинала на краткосрочни ДЦК (ОбЦК)</t>
  </si>
  <si>
    <t>Премии/отстъпки от номинала на дългосрочни ДЦК (ОбЦК)</t>
  </si>
  <si>
    <t>Задължения за лихви по заеми от банки в страната</t>
  </si>
  <si>
    <t>Задължения за лихви по заеми от други държави</t>
  </si>
  <si>
    <t>Задължения за лихви по заеми от международни организации</t>
  </si>
  <si>
    <t>Задължения за лихви по заеми от банки и финансови институции от чужбина</t>
  </si>
  <si>
    <t>Задължения за лихви по други заеми от чужбина</t>
  </si>
  <si>
    <t>Задължения за лихви по активирани гаранции към местни лица</t>
  </si>
  <si>
    <t>Задължения за лихви по активирани гаранции към чуждестранни лица</t>
  </si>
  <si>
    <t>Други дългосрочни заеми и дългове към местни лица</t>
  </si>
  <si>
    <t>Прилежащи към сгради и съоръжения земи</t>
  </si>
  <si>
    <t>Жилищни сгради, общежития и апартаменти</t>
  </si>
  <si>
    <t>Амортизация на продуктивни и работни животни</t>
  </si>
  <si>
    <t>Амортизация на сгради</t>
  </si>
  <si>
    <t>Амортизация на машини, съоръжения, оборудване</t>
  </si>
  <si>
    <r>
      <t xml:space="preserve">                      I. </t>
    </r>
    <r>
      <rPr>
        <b/>
        <sz val="9"/>
        <rFont val="Times New Roman CYR"/>
        <family val="1"/>
        <charset val="204"/>
      </rPr>
      <t>ОТЧЕТНА ГРУПА</t>
    </r>
  </si>
  <si>
    <r>
      <t xml:space="preserve">                              I. </t>
    </r>
    <r>
      <rPr>
        <b/>
        <sz val="9"/>
        <rFont val="Times New Roman CYR"/>
        <family val="1"/>
        <charset val="204"/>
      </rPr>
      <t>ОТЧЕТНА ГРУПА</t>
    </r>
  </si>
  <si>
    <r>
      <t xml:space="preserve">                                 </t>
    </r>
    <r>
      <rPr>
        <b/>
        <i/>
        <sz val="11"/>
        <color indexed="18"/>
        <rFont val="Times New Roman CYR"/>
      </rPr>
      <t>"БЮДЖЕТ"</t>
    </r>
  </si>
  <si>
    <t xml:space="preserve">           СРЕДСТВА ОТ ЕВРОПЕЙСКИЯ СЪЮЗ"</t>
  </si>
  <si>
    <r>
      <t xml:space="preserve">             I. </t>
    </r>
    <r>
      <rPr>
        <b/>
        <sz val="9"/>
        <rFont val="Times New Roman CYR"/>
        <family val="1"/>
        <charset val="204"/>
      </rPr>
      <t>ОТЧЕТНА ГРУПА</t>
    </r>
  </si>
  <si>
    <t>СТВА ОТ ЕВРОПЕЙСКИЯ СЪЮЗ"</t>
  </si>
  <si>
    <t xml:space="preserve">                             III. ОТЧЕТНА  ГРУПА</t>
  </si>
  <si>
    <t xml:space="preserve">                 "ДРУГИ СМЕТКИ И ДЕЙНОСТИ"</t>
  </si>
  <si>
    <t>Текущи банкови сметки в левове</t>
  </si>
  <si>
    <t>Текущи банкови сметки във валута</t>
  </si>
  <si>
    <t>Срочни депозити в левове</t>
  </si>
  <si>
    <t>Срочни депозити във валута</t>
  </si>
  <si>
    <t>Акредитиви и други сметки в левове</t>
  </si>
  <si>
    <t>Акредитиви и други сметки във валута</t>
  </si>
  <si>
    <t>Касови наличности в чужбина</t>
  </si>
  <si>
    <t>Текущи банкови сметки в чужбина</t>
  </si>
  <si>
    <t>Срочни депозити в чужбина</t>
  </si>
  <si>
    <t>Акредитиви и други сметки в чужбина</t>
  </si>
  <si>
    <t>Разчети за лихви по банкови сметки и депозити в БНБ</t>
  </si>
  <si>
    <t>Разчети за лихви по банкови сметки и депозити в банки от страната</t>
  </si>
  <si>
    <t>Разчети за лихви по банкови сметки и депозити в чужбина</t>
  </si>
  <si>
    <t>Левови преводи между сметки на бюджетни организации в процес на сетълмент към края на периода</t>
  </si>
  <si>
    <t>Валутни преводи между сметки на бюджетни организации в процес на сетълмент към края на периода</t>
  </si>
  <si>
    <t>Провизии за бъдещи плащания към персонала</t>
  </si>
  <si>
    <t xml:space="preserve">ОБОРОТНА   ВЕДОМОСТ </t>
  </si>
  <si>
    <t xml:space="preserve"> к ъ м</t>
  </si>
  <si>
    <t xml:space="preserve">  към</t>
  </si>
  <si>
    <t xml:space="preserve">                                   Б А Л А Н С    на</t>
  </si>
  <si>
    <t xml:space="preserve">                                                   Б А Л А Н С   н а</t>
  </si>
  <si>
    <t>Предоставени дългосрочни заеми и временна финансова помощ на предприятия</t>
  </si>
  <si>
    <t>Предоставени дългосрочни заеми и временна финансова помощ на нестопански организации</t>
  </si>
  <si>
    <t>(1)</t>
  </si>
  <si>
    <t>(2)</t>
  </si>
  <si>
    <t>Текуща година           (в лева)</t>
  </si>
  <si>
    <t>Текуща година</t>
  </si>
  <si>
    <t xml:space="preserve"> 2. Отсрочени помощи, дарения и трансфери</t>
  </si>
  <si>
    <t xml:space="preserve"> IІI. Провизии и отсрочени постъпления</t>
  </si>
  <si>
    <t xml:space="preserve"> 6. Задължения за вноски към ДОО, НЗОК, ДЗПО</t>
  </si>
  <si>
    <t>Предходна година       31 декември (в лева)</t>
  </si>
  <si>
    <t xml:space="preserve"> А. ПРИХОДИ, ПОМОЩИ И ДАРЕНИЯ</t>
  </si>
  <si>
    <t xml:space="preserve"> I. Текущи приходи</t>
  </si>
  <si>
    <t xml:space="preserve"> 6. Приходи от концесии</t>
  </si>
  <si>
    <t xml:space="preserve"> 5. Приходи от наеми</t>
  </si>
  <si>
    <t xml:space="preserve"> 7. Приходи от лихви</t>
  </si>
  <si>
    <t xml:space="preserve"> 8. Приходи от дивиденти и дялово участие </t>
  </si>
  <si>
    <t xml:space="preserve"> 9. Други текущи приходи</t>
  </si>
  <si>
    <t xml:space="preserve"> Общо за група ІІ:</t>
  </si>
  <si>
    <t xml:space="preserve"> Общо за група І:</t>
  </si>
  <si>
    <t xml:space="preserve"> Общо за група ІІІ:</t>
  </si>
  <si>
    <t xml:space="preserve"> Общо за група ІV:</t>
  </si>
  <si>
    <t>Общо за раздел "Б":</t>
  </si>
  <si>
    <t>Общо за раздел "А":</t>
  </si>
  <si>
    <t xml:space="preserve"> Общо за раздел "А":</t>
  </si>
  <si>
    <t xml:space="preserve"> 1. Помощи и дарения от Европейския съюз</t>
  </si>
  <si>
    <t xml:space="preserve"> 2. Други помощи и дарения от чужбина</t>
  </si>
  <si>
    <t>Актив (в левове)</t>
  </si>
  <si>
    <t>Пасив (в левове)</t>
  </si>
  <si>
    <t xml:space="preserve">      (в  л е в о в е) </t>
  </si>
  <si>
    <t xml:space="preserve"> Б. РАЗХОДИ</t>
  </si>
  <si>
    <t xml:space="preserve"> 1. Разходи за материали</t>
  </si>
  <si>
    <t xml:space="preserve"> 2. Разходи за външни услуги и наеми</t>
  </si>
  <si>
    <t xml:space="preserve"> 4. Разходи за възнаграждения на персонал</t>
  </si>
  <si>
    <t xml:space="preserve"> 3. Разходи за амортизации</t>
  </si>
  <si>
    <t xml:space="preserve"> 5. Разходи за осигурителни вноски</t>
  </si>
  <si>
    <t xml:space="preserve"> 6. Разходи за данъци и такси</t>
  </si>
  <si>
    <t xml:space="preserve"> I. Текущи нелихвени разходи</t>
  </si>
  <si>
    <t xml:space="preserve"> 7. Разходи за командировки</t>
  </si>
  <si>
    <t xml:space="preserve"> 1. Разходи за лихви по заеми и дългове</t>
  </si>
  <si>
    <t xml:space="preserve"> 2. Други разходи за лихви</t>
  </si>
  <si>
    <t xml:space="preserve"> 5. Вземания по заеми м/у бюджетни организации</t>
  </si>
  <si>
    <t xml:space="preserve"> 8. Задължения по заеми м/у бюдж. организации</t>
  </si>
  <si>
    <t xml:space="preserve"> 5. Вземания по заеми между бюджетни организации</t>
  </si>
  <si>
    <t xml:space="preserve"> 8. Задължения по заеми между бюджетни организации</t>
  </si>
  <si>
    <t xml:space="preserve"> 1. Текущи субсидии и трансфери към други лица</t>
  </si>
  <si>
    <t xml:space="preserve"> 2. Капиталови трансфери към други лица</t>
  </si>
  <si>
    <t xml:space="preserve"> V. Субсидии и капиталови трансфери</t>
  </si>
  <si>
    <t xml:space="preserve"> Общо за група V:</t>
  </si>
  <si>
    <t xml:space="preserve">         "ДРУГИ СМЕТКИ И ДЕЙНОСТИ" (ДСД)</t>
  </si>
  <si>
    <t xml:space="preserve"> 2. Продажба на нефинансови дълготрайни активи</t>
  </si>
  <si>
    <t xml:space="preserve"> 1. Продажба на материали, стоки и продукция</t>
  </si>
  <si>
    <t xml:space="preserve"> IІ. Продажби на нефинансови активи</t>
  </si>
  <si>
    <t xml:space="preserve"> 4. Приходи от услуги</t>
  </si>
  <si>
    <t xml:space="preserve"> 1. на продадени материали, стоки и продукция</t>
  </si>
  <si>
    <t xml:space="preserve"> 2. на продадени нефинансови дълготрайни активи</t>
  </si>
  <si>
    <t xml:space="preserve"> III. Разходи за лихви</t>
  </si>
  <si>
    <t xml:space="preserve"> IV. Трансфери към домакинства</t>
  </si>
  <si>
    <t>VІ. Разходи за активи, капитализирани в ДСД</t>
  </si>
  <si>
    <t xml:space="preserve"> Г. РЕЗУЛТАТ ОТ ФИНАНСОВИ ОПЕРАЦИИ</t>
  </si>
  <si>
    <t xml:space="preserve"> Общо за раздел "Г":</t>
  </si>
  <si>
    <t xml:space="preserve"> 1. Нето-резултат от продажби на финансови активи</t>
  </si>
  <si>
    <t xml:space="preserve"> 2. Курсови разлики от валутни операции (нето)</t>
  </si>
  <si>
    <t xml:space="preserve"> Общо за раздел "В":</t>
  </si>
  <si>
    <t xml:space="preserve"> Д. ПРЕОЦЕНКИ И ДРУГИ СЪБИТИЯ</t>
  </si>
  <si>
    <t xml:space="preserve"> 3. Преоценки на пасиви</t>
  </si>
  <si>
    <t xml:space="preserve"> 2. Преоценки на финансови активи</t>
  </si>
  <si>
    <t xml:space="preserve"> 1. Преоценки на нефинансови активи</t>
  </si>
  <si>
    <t xml:space="preserve"> 2. Отписани задължения</t>
  </si>
  <si>
    <t xml:space="preserve"> 1. Прираст от конфискувани активи</t>
  </si>
  <si>
    <t xml:space="preserve"> 5. Намаление на пасиви от други събития</t>
  </si>
  <si>
    <t xml:space="preserve"> 2. Отписани други вземания</t>
  </si>
  <si>
    <t xml:space="preserve"> 1. Отписани публични вземания</t>
  </si>
  <si>
    <t xml:space="preserve"> 5. Увеличение на пасиви от други събития</t>
  </si>
  <si>
    <t xml:space="preserve"> 2. Прехвърлени нетни активи от/за други предприятия</t>
  </si>
  <si>
    <t xml:space="preserve"> IІ. Промяна в нетните активи от преоценки (нето)</t>
  </si>
  <si>
    <t xml:space="preserve"> IІІ. Прираст на нетните активи от други събития</t>
  </si>
  <si>
    <t xml:space="preserve"> I. Прехвърлени нетни активи</t>
  </si>
  <si>
    <t xml:space="preserve"> Общо за раздел "Д": (І. + ІІ. +ІІІ - ІV.)</t>
  </si>
  <si>
    <t>(бюджетна организация, предприятие по чл. 165, ал. 1 от ЗПФ, поделение)</t>
  </si>
  <si>
    <t xml:space="preserve">Текуща година           </t>
  </si>
  <si>
    <t xml:space="preserve">  ЕИК/ БУЛСТАТ</t>
  </si>
  <si>
    <t xml:space="preserve">      КОД ПО ЕБК</t>
  </si>
  <si>
    <t xml:space="preserve"> 1. Прехвърлени нетни активи между бюджeтни органицзации</t>
  </si>
  <si>
    <t xml:space="preserve"> 3. Увеличение на нефинансови активи от други събития</t>
  </si>
  <si>
    <t xml:space="preserve"> 4. Увеличение на финансови активи от други събития</t>
  </si>
  <si>
    <t xml:space="preserve"> 3. Намаление на нефинансови активи от други събития</t>
  </si>
  <si>
    <t xml:space="preserve"> 4. Намаление на финансови активи от други събития</t>
  </si>
  <si>
    <t xml:space="preserve"> 8. Разходи за застраховане и други финансови услуги</t>
  </si>
  <si>
    <t>VІ. Разходи за активи, капитализирани в отчетна група "ДСД"</t>
  </si>
  <si>
    <t xml:space="preserve">   СРЕДСТВА ОТ ЕВРОПЕЙСКИЯ СЪЮЗ"</t>
  </si>
  <si>
    <t xml:space="preserve">  "ДРУГИ  СМЕТКИ И ДЕЙНОСТИ" (ДСД)</t>
  </si>
  <si>
    <t xml:space="preserve">                     IІI. ОТЧЕТНА  ГРУПА </t>
  </si>
  <si>
    <r>
      <t xml:space="preserve">       II.ОТЧЕТНА  ГРУПА </t>
    </r>
    <r>
      <rPr>
        <b/>
        <i/>
        <sz val="10"/>
        <color indexed="20"/>
        <rFont val="Times New Roman Cyr"/>
      </rPr>
      <t>"СМЕТКИ ЗА</t>
    </r>
  </si>
  <si>
    <t xml:space="preserve">   СТВА ОТ ЕВРОПЕЙСКИЯ СЪЮЗ"</t>
  </si>
  <si>
    <t xml:space="preserve"> IV. Намаление на нетните активи от други събития</t>
  </si>
  <si>
    <r>
      <t xml:space="preserve">                           I. </t>
    </r>
    <r>
      <rPr>
        <b/>
        <sz val="9"/>
        <rFont val="Times New Roman CYR"/>
        <family val="1"/>
        <charset val="204"/>
      </rPr>
      <t>ОТЧЕТНА ГРУПА</t>
    </r>
  </si>
  <si>
    <r>
      <t xml:space="preserve">                             </t>
    </r>
    <r>
      <rPr>
        <b/>
        <i/>
        <sz val="11"/>
        <color indexed="18"/>
        <rFont val="Times New Roman CYR"/>
      </rPr>
      <t>"БЮДЖЕТ"</t>
    </r>
  </si>
  <si>
    <t>ОТЧЕТ ЗА ПРИХОДИТЕ И РАЗХОДИТЕ на</t>
  </si>
  <si>
    <t xml:space="preserve">         ОТЧЕТ ЗА ПРИХОДИТЕ И РАЗХОДИТЕ   на</t>
  </si>
  <si>
    <t xml:space="preserve"> 1. Осигурителни плащания и други текущи трансфери</t>
  </si>
  <si>
    <t xml:space="preserve"> 2. Капиталови трансфери към домакинства</t>
  </si>
  <si>
    <t xml:space="preserve"> 3. Приходи от административни глоби и санкции</t>
  </si>
  <si>
    <t xml:space="preserve"> IV. Приходи от застрахователни обезщетения</t>
  </si>
  <si>
    <t xml:space="preserve"> V. Приходи от помощи и дарения</t>
  </si>
  <si>
    <t xml:space="preserve"> 10. Разходи за провизии за вземания</t>
  </si>
  <si>
    <t xml:space="preserve"> 1. Касови трансфери между бюджетни организации (нето)</t>
  </si>
  <si>
    <t xml:space="preserve"> 2. Приписани трансфери между бюджетни организации (нето)</t>
  </si>
  <si>
    <t xml:space="preserve"> В. ТРАНСФЕРИ МЕЖДУ БЮДЖЕТНИ ОРГАНИЗАЦИИ</t>
  </si>
  <si>
    <t xml:space="preserve"> 1. Касови трансфери м/у бюджетни организации (нето)</t>
  </si>
  <si>
    <t xml:space="preserve"> 2. Приписани трансфери м/у бюджетни организации (нето)</t>
  </si>
  <si>
    <t>Предходна година (към 31 декември)</t>
  </si>
  <si>
    <r>
      <t xml:space="preserve">          О Т Ч Е Т Н А    Г Р У П А   (С Т О П А Н С К А    О Б Л А С Т)   </t>
    </r>
    <r>
      <rPr>
        <b/>
        <i/>
        <sz val="14"/>
        <color indexed="20"/>
        <rFont val="Times New Roman CYR"/>
        <family val="1"/>
        <charset val="204"/>
      </rPr>
      <t>"Б Ю Д Ж Е Т"</t>
    </r>
  </si>
  <si>
    <t>БЮДЖЕТ</t>
  </si>
  <si>
    <t>КОНТРОЛА</t>
  </si>
  <si>
    <t>СМЕТКИ ОТ РАЗДЕЛ 6 - крайни салда от предходната година преди приключвателните операции</t>
  </si>
  <si>
    <t>СМЕТКИ ОТ РАЗДЕЛ 7 - крайни салда от предходната година преди приключвателните операции</t>
  </si>
  <si>
    <t>предходна</t>
  </si>
  <si>
    <t>година</t>
  </si>
  <si>
    <t>Сметки от раздели 6 и 7 - крайни салда от предходната година преди приключвателните операции</t>
  </si>
  <si>
    <t xml:space="preserve"> 10-11</t>
  </si>
  <si>
    <t xml:space="preserve"> 6-7</t>
  </si>
  <si>
    <t>КОНТРОЛА ЗА РАВНЕНИЕ С ОТЧЕТА ЗА ПРИХОДИ И РАЗХОДИ</t>
  </si>
  <si>
    <r>
      <t>р-л 6 и 7</t>
    </r>
    <r>
      <rPr>
        <b/>
        <sz val="10"/>
        <color indexed="16"/>
        <rFont val="Times New Roman CYR"/>
      </rPr>
      <t xml:space="preserve"> - </t>
    </r>
    <r>
      <rPr>
        <b/>
        <i/>
        <sz val="10"/>
        <color indexed="16"/>
        <rFont val="Times New Roman CYR"/>
      </rPr>
      <t>Нетно</t>
    </r>
    <r>
      <rPr>
        <b/>
        <sz val="10"/>
        <color indexed="16"/>
        <rFont val="Times New Roman CYR"/>
      </rPr>
      <t xml:space="preserve"> </t>
    </r>
    <r>
      <rPr>
        <b/>
        <i/>
        <sz val="10"/>
        <color indexed="16"/>
        <rFont val="Times New Roman CYR"/>
      </rPr>
      <t xml:space="preserve">крайно </t>
    </r>
    <r>
      <rPr>
        <b/>
        <sz val="10"/>
        <color indexed="16"/>
        <rFont val="Times New Roman CYR"/>
      </rPr>
      <t>салдо-предходна година</t>
    </r>
  </si>
  <si>
    <t>КОНТРОЛА ЗА РАВНЕНИЕ С БАЛАНСА</t>
  </si>
  <si>
    <r>
      <rPr>
        <b/>
        <i/>
        <sz val="10"/>
        <color indexed="18"/>
        <rFont val="Times New Roman CYR"/>
        <charset val="204"/>
      </rPr>
      <t xml:space="preserve">КОНТРОЛА </t>
    </r>
    <r>
      <rPr>
        <b/>
        <sz val="10"/>
        <rFont val="Times New Roman CYR"/>
        <family val="1"/>
        <charset val="204"/>
      </rPr>
      <t>- РАВНЕНИЕ С БАЛАНСА - СУМА НА НЕРАВНЕНИЕТО</t>
    </r>
  </si>
  <si>
    <t xml:space="preserve">  КРАЙНИ САЛДА гр. 10, 11 и р-л 6 и 7</t>
  </si>
  <si>
    <r>
      <t xml:space="preserve">  КРАЙНИ</t>
    </r>
    <r>
      <rPr>
        <b/>
        <sz val="12"/>
        <rFont val="Times New Roman CYR"/>
        <family val="1"/>
        <charset val="204"/>
      </rPr>
      <t xml:space="preserve"> САЛДА с/ки гр. 10, 11 и р-л 6 и 7</t>
    </r>
  </si>
  <si>
    <t xml:space="preserve">   ПРЕДХОДНА ГОДИНА - САЛДА ПО СМЕТКИ</t>
  </si>
  <si>
    <t xml:space="preserve"> 2. Акумулирано изменение на нетните активи от минали години</t>
  </si>
  <si>
    <t xml:space="preserve"> 3. Изменение на нетните активи за периода</t>
  </si>
  <si>
    <t xml:space="preserve">  година</t>
  </si>
  <si>
    <t xml:space="preserve"> 3. на продадени конфискувани нефинансови активи</t>
  </si>
  <si>
    <t xml:space="preserve"> 3. Продажба на конфискувани нефинансови активи</t>
  </si>
  <si>
    <r>
      <rPr>
        <b/>
        <i/>
        <sz val="10"/>
        <color indexed="16"/>
        <rFont val="Times New Roman CYR"/>
        <charset val="204"/>
      </rPr>
      <t>КОНТРОЛА</t>
    </r>
    <r>
      <rPr>
        <b/>
        <i/>
        <sz val="10"/>
        <color indexed="18"/>
        <rFont val="Times New Roman CYR"/>
        <charset val="204"/>
      </rPr>
      <t xml:space="preserve"> </t>
    </r>
    <r>
      <rPr>
        <b/>
        <sz val="10"/>
        <rFont val="Times New Roman CYR"/>
        <family val="1"/>
        <charset val="204"/>
      </rPr>
      <t>- РАВНЕНИЕ С ОБОРОТНА В-СТ - СУМА НА НЕРАВНЕНИЕ</t>
    </r>
  </si>
  <si>
    <r>
      <rPr>
        <b/>
        <i/>
        <sz val="10"/>
        <color indexed="16"/>
        <rFont val="Times New Roman CYR"/>
        <charset val="204"/>
      </rPr>
      <t>КОНТРОЛА</t>
    </r>
    <r>
      <rPr>
        <b/>
        <i/>
        <sz val="10"/>
        <color indexed="18"/>
        <rFont val="Times New Roman CYR"/>
        <charset val="204"/>
      </rPr>
      <t xml:space="preserve"> </t>
    </r>
    <r>
      <rPr>
        <b/>
        <sz val="10"/>
        <rFont val="Times New Roman CYR"/>
        <family val="1"/>
        <charset val="204"/>
      </rPr>
      <t>- РАВНЕНИЕ С ОБОРОТНА ВЕДОМОСТ - СУМА НА НЕРАВНЕНИЕТО</t>
    </r>
  </si>
  <si>
    <r>
      <rPr>
        <b/>
        <i/>
        <sz val="10"/>
        <color indexed="16"/>
        <rFont val="Times New Roman CYR"/>
        <charset val="204"/>
      </rPr>
      <t>КОНТРОЛА</t>
    </r>
    <r>
      <rPr>
        <b/>
        <i/>
        <sz val="10"/>
        <color indexed="18"/>
        <rFont val="Times New Roman CYR"/>
        <charset val="204"/>
      </rPr>
      <t xml:space="preserve"> </t>
    </r>
    <r>
      <rPr>
        <b/>
        <sz val="10"/>
        <rFont val="Times New Roman CYR"/>
        <family val="1"/>
        <charset val="204"/>
      </rPr>
      <t xml:space="preserve">- РАВНЕНИЕ С ОБОРОТНА ВЕДОМОСТ </t>
    </r>
    <r>
      <rPr>
        <b/>
        <i/>
        <sz val="11"/>
        <color indexed="16"/>
        <rFont val="Times New Roman CYR"/>
        <charset val="204"/>
      </rPr>
      <t>(в хил. лв)</t>
    </r>
  </si>
  <si>
    <r>
      <rPr>
        <b/>
        <i/>
        <sz val="10"/>
        <color indexed="18"/>
        <rFont val="Times New Roman CYR"/>
        <charset val="204"/>
      </rPr>
      <t xml:space="preserve">КОНТРОЛА </t>
    </r>
    <r>
      <rPr>
        <b/>
        <sz val="10"/>
        <rFont val="Times New Roman CYR"/>
        <family val="1"/>
        <charset val="204"/>
      </rPr>
      <t xml:space="preserve">- РАВНЕНИЕ С БАЛАНСА </t>
    </r>
    <r>
      <rPr>
        <b/>
        <i/>
        <sz val="11"/>
        <color indexed="18"/>
        <rFont val="Times New Roman CYR"/>
        <charset val="204"/>
      </rPr>
      <t>(в хил. лв.)</t>
    </r>
  </si>
  <si>
    <r>
      <rPr>
        <b/>
        <i/>
        <sz val="10"/>
        <color indexed="18"/>
        <rFont val="Times New Roman CYR"/>
        <charset val="204"/>
      </rPr>
      <t xml:space="preserve">КОНТРОЛА </t>
    </r>
    <r>
      <rPr>
        <b/>
        <sz val="10"/>
        <rFont val="Times New Roman CYR"/>
        <family val="1"/>
        <charset val="204"/>
      </rPr>
      <t xml:space="preserve">- РАВНЕНИЕ С БАЛАНСА </t>
    </r>
    <r>
      <rPr>
        <b/>
        <i/>
        <sz val="11"/>
        <color indexed="18"/>
        <rFont val="Times New Roman CYR"/>
        <charset val="204"/>
      </rPr>
      <t>(в левове)</t>
    </r>
  </si>
  <si>
    <r>
      <rPr>
        <b/>
        <i/>
        <sz val="10"/>
        <color indexed="16"/>
        <rFont val="Times New Roman CYR"/>
        <charset val="204"/>
      </rPr>
      <t>КОНТРОЛА</t>
    </r>
    <r>
      <rPr>
        <b/>
        <i/>
        <sz val="10"/>
        <color indexed="18"/>
        <rFont val="Times New Roman CYR"/>
        <charset val="204"/>
      </rPr>
      <t xml:space="preserve"> </t>
    </r>
    <r>
      <rPr>
        <b/>
        <sz val="10"/>
        <rFont val="Times New Roman CYR"/>
        <family val="1"/>
        <charset val="204"/>
      </rPr>
      <t xml:space="preserve">- РАВНЕНИЕ С ОБОРОТНА ВЕДОМОСТ </t>
    </r>
    <r>
      <rPr>
        <b/>
        <i/>
        <sz val="11"/>
        <color indexed="16"/>
        <rFont val="Times New Roman CYR"/>
        <charset val="204"/>
      </rPr>
      <t>(в левове)</t>
    </r>
  </si>
  <si>
    <t xml:space="preserve"> 4. Помощи и дарения от страната</t>
  </si>
  <si>
    <t xml:space="preserve"> В. ТРАНСФЕРИ М/У БЮДЖЕТНИ ОРГАНИЗАЦИИ</t>
  </si>
  <si>
    <t xml:space="preserve">Предходна година                          (31 декември) </t>
  </si>
  <si>
    <t>Текуща година                          (в левове)</t>
  </si>
  <si>
    <t>Предходна година                         31 декември (в лева)</t>
  </si>
  <si>
    <t>(данни от касовите отчети)</t>
  </si>
  <si>
    <r>
      <t xml:space="preserve">     2.3) СЕС - </t>
    </r>
    <r>
      <rPr>
        <b/>
        <i/>
        <sz val="12"/>
        <rFont val="Times New Roman CYR"/>
        <charset val="204"/>
      </rPr>
      <t>ДЕС</t>
    </r>
  </si>
  <si>
    <r>
      <t xml:space="preserve">     2.2) СЕС - </t>
    </r>
    <r>
      <rPr>
        <b/>
        <i/>
        <sz val="12"/>
        <color indexed="58"/>
        <rFont val="Times New Roman CYR"/>
        <charset val="204"/>
      </rPr>
      <t>РА</t>
    </r>
  </si>
  <si>
    <r>
      <t xml:space="preserve">     2.1) СЕС - </t>
    </r>
    <r>
      <rPr>
        <b/>
        <i/>
        <sz val="12"/>
        <color indexed="20"/>
        <rFont val="Times New Roman CYR"/>
        <charset val="204"/>
      </rPr>
      <t>НФ-КСФ</t>
    </r>
  </si>
  <si>
    <t xml:space="preserve">    в това число:</t>
  </si>
  <si>
    <t>ВСИЧКО касов дефицит/излишък, отчетен в БЮДЖЕТ, СЕС и Сметките за чужди средства</t>
  </si>
  <si>
    <r>
      <t xml:space="preserve">В тази таблица се попълват данни за показателя </t>
    </r>
    <r>
      <rPr>
        <b/>
        <sz val="12"/>
        <rFont val="Times New Roman"/>
        <family val="1"/>
        <charset val="204"/>
      </rPr>
      <t>V. БЮДЖЕТНО САЛДО</t>
    </r>
    <r>
      <rPr>
        <sz val="12"/>
        <rFont val="Times New Roman"/>
        <family val="1"/>
        <charset val="204"/>
      </rPr>
      <t xml:space="preserve"> от</t>
    </r>
    <r>
      <rPr>
        <b/>
        <sz val="12"/>
        <rFont val="Times New Roman"/>
        <family val="1"/>
        <charset val="204"/>
      </rPr>
      <t xml:space="preserve"> </t>
    </r>
    <r>
      <rPr>
        <b/>
        <i/>
        <u/>
        <sz val="12"/>
        <rFont val="Times New Roman"/>
        <family val="1"/>
        <charset val="204"/>
      </rPr>
      <t>тримесечните</t>
    </r>
  </si>
  <si>
    <r>
      <rPr>
        <b/>
        <i/>
        <u/>
        <sz val="12"/>
        <rFont val="Times New Roman"/>
        <family val="1"/>
        <charset val="204"/>
      </rPr>
      <t>касови</t>
    </r>
    <r>
      <rPr>
        <sz val="12"/>
        <rFont val="Times New Roman"/>
        <family val="1"/>
        <charset val="204"/>
      </rPr>
      <t xml:space="preserve"> </t>
    </r>
    <r>
      <rPr>
        <b/>
        <i/>
        <sz val="12"/>
        <rFont val="Times New Roman"/>
        <family val="1"/>
        <charset val="204"/>
      </rPr>
      <t>отчети</t>
    </r>
    <r>
      <rPr>
        <sz val="12"/>
        <rFont val="Times New Roman"/>
        <family val="1"/>
        <charset val="204"/>
      </rPr>
      <t xml:space="preserve"> за съответния период на първостепенните разпоредители с бюджет, ДВУ, БАН,</t>
    </r>
  </si>
  <si>
    <r>
      <t xml:space="preserve">бюджетните организации по чл. </t>
    </r>
    <r>
      <rPr>
        <sz val="12"/>
        <color indexed="18"/>
        <rFont val="Times New Roman"/>
        <family val="1"/>
        <charset val="204"/>
      </rPr>
      <t>13, ал. 4</t>
    </r>
    <r>
      <rPr>
        <sz val="12"/>
        <rFont val="Times New Roman"/>
        <family val="1"/>
        <charset val="204"/>
      </rPr>
      <t xml:space="preserve"> от </t>
    </r>
    <r>
      <rPr>
        <sz val="12"/>
        <color indexed="18"/>
        <rFont val="Times New Roman"/>
        <family val="1"/>
        <charset val="204"/>
      </rPr>
      <t xml:space="preserve">ЗПФ </t>
    </r>
    <r>
      <rPr>
        <sz val="12"/>
        <rFont val="Times New Roman"/>
        <family val="1"/>
        <charset val="204"/>
      </rPr>
      <t>и от Националния фонд.</t>
    </r>
  </si>
  <si>
    <t>РАЗДЕЛ 7 - СМЕТКИ ЗА ПРИХОДИ, ТРАНСФЕРИ И ПРЕОЦЕНКИ</t>
  </si>
  <si>
    <t>Вземания за дивиденти от предприятия-несвързани лица</t>
  </si>
  <si>
    <t>Вземания за дивиденти от контролирани, съвместно контролирани и асоциирани предприятия</t>
  </si>
  <si>
    <t>Участия в съвместно контролирани предприятия в чужбина</t>
  </si>
  <si>
    <t>Други дялове и акции в предприятия в чужбина</t>
  </si>
  <si>
    <t>Деривати – активи</t>
  </si>
  <si>
    <t>Деривати – пасиви</t>
  </si>
  <si>
    <t>Други дългови ценни книжа от емитенти в страната</t>
  </si>
  <si>
    <t>Други дългови ценни книжа от емитенти в чужбина</t>
  </si>
  <si>
    <t>Дялово участие във финансовия резултат на съвместно контролирани предприятия в страната - нето</t>
  </si>
  <si>
    <t>Дялово участие във финансовия резултат на съвместно контролирани предприятия в чужбина - нето</t>
  </si>
  <si>
    <t>Приходи от дивиденти от предприятия-несвързани лица</t>
  </si>
  <si>
    <t>Дивиденти от контролирани, съвместно контролирани и асоциирани предприятия</t>
  </si>
  <si>
    <t>Постъпления от продажба и приватизация на дялове и акции</t>
  </si>
  <si>
    <t>Приписани постъпления от продажба и приватизация на дялове и акции</t>
  </si>
  <si>
    <t>Отчетна стойност на продадени и приватизирани дялове и акции</t>
  </si>
  <si>
    <t>Реализирани курсови разлики от операции с валутни активи</t>
  </si>
  <si>
    <t>Реализирани курсови разлики от операции с валутни пасиви</t>
  </si>
  <si>
    <t>Участия в съвместно контролирани предприятия в страната</t>
  </si>
  <si>
    <t xml:space="preserve"> (в левове)</t>
  </si>
  <si>
    <r>
      <t xml:space="preserve">     2.4) СЕС - </t>
    </r>
    <r>
      <rPr>
        <b/>
        <i/>
        <sz val="12"/>
        <color indexed="10"/>
        <rFont val="Times New Roman CYR"/>
        <charset val="204"/>
      </rPr>
      <t>ДМП</t>
    </r>
  </si>
  <si>
    <t>СМЕТКИ ОТ ГРУПИ 45 и 46 - насрещни вземания и задължения за елиминиране</t>
  </si>
  <si>
    <t>ВЪТРЕШНИ НАСРЕЩНИ САЛДА ПО РАЗЧЕТИ</t>
  </si>
  <si>
    <t xml:space="preserve">                    ОБЩ РАЗМЕР НА НАСРЕЩНИТЕ САЛДА ЗА ЕЛИМИНИРАНЕ</t>
  </si>
  <si>
    <t>46XX</t>
  </si>
  <si>
    <t>Вр. безлихвени заеми в рамките на първостепенния р-л/ДВУ/БАН/бюдж. о-ции по чл. 13, ал. 3 и 4 ЗПФ</t>
  </si>
  <si>
    <t xml:space="preserve">            НАСРЕЩНИ ВЗЕМАНИЯ И ЗАДЪЛЖЕНИЯ</t>
  </si>
  <si>
    <t xml:space="preserve">              НАСРЕЩНИ ВЗЕМАНИЯ И ЗАДЪЛЖЕНИЯ</t>
  </si>
  <si>
    <r>
      <t xml:space="preserve">                   </t>
    </r>
    <r>
      <rPr>
        <b/>
        <i/>
        <sz val="12"/>
        <color indexed="18"/>
        <rFont val="Times New Roman CYR"/>
        <charset val="204"/>
      </rPr>
      <t xml:space="preserve"> КРАЙНИ</t>
    </r>
    <r>
      <rPr>
        <b/>
        <sz val="12"/>
        <rFont val="Times New Roman CYR"/>
        <family val="1"/>
        <charset val="204"/>
      </rPr>
      <t xml:space="preserve"> САЛДА за </t>
    </r>
    <r>
      <rPr>
        <b/>
        <i/>
        <sz val="12"/>
        <color indexed="18"/>
        <rFont val="Times New Roman CYR"/>
        <charset val="204"/>
      </rPr>
      <t>елиминиране</t>
    </r>
  </si>
  <si>
    <t>Допълнителни указания за попълване:</t>
  </si>
  <si>
    <t xml:space="preserve">     насрещни вземания и задължения между: </t>
  </si>
  <si>
    <t xml:space="preserve">     б) МОН, ДВУ и БАН и между МО и ДВВУ;</t>
  </si>
  <si>
    <t xml:space="preserve">     в) ДФ "Земеделие" (ЕБК код 8400) и РА към ДФ "Земеделие" (ЕБК код 2220);</t>
  </si>
  <si>
    <t xml:space="preserve">     г) НФ и отчетните единици, прилагащи ЕБК код 9817;</t>
  </si>
  <si>
    <t xml:space="preserve">     д) МФ (ЕБК код 1000) и НФ (ЕБК код 9817);</t>
  </si>
  <si>
    <r>
      <rPr>
        <b/>
        <i/>
        <sz val="10"/>
        <color indexed="18"/>
        <rFont val="Times New Roman CYR"/>
        <charset val="204"/>
      </rPr>
      <t>крайни</t>
    </r>
    <r>
      <rPr>
        <b/>
        <sz val="10"/>
        <rFont val="Times New Roman CYR"/>
        <charset val="204"/>
      </rPr>
      <t xml:space="preserve"> </t>
    </r>
    <r>
      <rPr>
        <b/>
        <i/>
        <sz val="10"/>
        <rFont val="Times New Roman Cyr"/>
        <charset val="204"/>
      </rPr>
      <t>Дт</t>
    </r>
    <r>
      <rPr>
        <b/>
        <sz val="10"/>
        <rFont val="Times New Roman CYR"/>
        <charset val="204"/>
      </rPr>
      <t xml:space="preserve"> салда на кол. (7) </t>
    </r>
  </si>
  <si>
    <r>
      <rPr>
        <b/>
        <i/>
        <sz val="10"/>
        <color indexed="18"/>
        <rFont val="Times New Roman CYR"/>
        <charset val="204"/>
      </rPr>
      <t>крайни</t>
    </r>
    <r>
      <rPr>
        <b/>
        <sz val="10"/>
        <rFont val="Times New Roman CYR"/>
        <charset val="204"/>
      </rPr>
      <t xml:space="preserve"> </t>
    </r>
    <r>
      <rPr>
        <b/>
        <i/>
        <sz val="10"/>
        <rFont val="Times New Roman Cyr"/>
        <charset val="204"/>
      </rPr>
      <t>Кт</t>
    </r>
    <r>
      <rPr>
        <b/>
        <sz val="10"/>
        <rFont val="Times New Roman CYR"/>
        <charset val="204"/>
      </rPr>
      <t xml:space="preserve"> салда на кол. (7) </t>
    </r>
  </si>
  <si>
    <t>Контрола за равнение на елиминирани суми от актива и пасива</t>
  </si>
  <si>
    <r>
      <rPr>
        <b/>
        <i/>
        <sz val="10"/>
        <color indexed="18"/>
        <rFont val="Times New Roman CYR"/>
        <charset val="204"/>
      </rPr>
      <t>БАЛАНСОВИ</t>
    </r>
    <r>
      <rPr>
        <b/>
        <sz val="10"/>
        <color indexed="18"/>
        <rFont val="Times New Roman CYR"/>
        <charset val="204"/>
      </rPr>
      <t xml:space="preserve"> </t>
    </r>
    <r>
      <rPr>
        <b/>
        <sz val="10"/>
        <rFont val="Times New Roman CYR"/>
        <family val="1"/>
        <charset val="204"/>
      </rPr>
      <t>АКТИВИ И ПАСИВИ - СУМА НА НЕРАВНЕНИЕ</t>
    </r>
  </si>
  <si>
    <r>
      <t xml:space="preserve">                         </t>
    </r>
    <r>
      <rPr>
        <b/>
        <i/>
        <sz val="10"/>
        <color indexed="18"/>
        <rFont val="Times New Roman CYR"/>
        <charset val="204"/>
      </rPr>
      <t>БАЛАНСОВИ</t>
    </r>
    <r>
      <rPr>
        <b/>
        <sz val="10"/>
        <rFont val="Times New Roman CYR"/>
        <family val="1"/>
        <charset val="204"/>
      </rPr>
      <t xml:space="preserve"> АКТИВИ И ПАСИВИ - РАВНЕНИЕ</t>
    </r>
  </si>
  <si>
    <r>
      <t xml:space="preserve">           </t>
    </r>
    <r>
      <rPr>
        <b/>
        <i/>
        <sz val="10"/>
        <color indexed="18"/>
        <rFont val="Times New Roman CYR"/>
        <charset val="204"/>
      </rPr>
      <t>БАЛАНСОВИ</t>
    </r>
    <r>
      <rPr>
        <b/>
        <sz val="10"/>
        <rFont val="Times New Roman CYR"/>
        <family val="1"/>
        <charset val="204"/>
      </rPr>
      <t xml:space="preserve"> АКТИВИ И ПАСИВИ - СУМА НА НЕРАВНЕНИЕ (в хил. лв)</t>
    </r>
  </si>
  <si>
    <r>
      <t xml:space="preserve">          ЗАДБАЛАНСОВИ</t>
    </r>
    <r>
      <rPr>
        <b/>
        <sz val="9"/>
        <rFont val="Times New Roman CYR"/>
        <family val="1"/>
        <charset val="204"/>
      </rPr>
      <t xml:space="preserve"> АКТИВИ И ПАСИВИ - СУМА НА НЕРАВНЕНИЕ (в хил. лв)</t>
    </r>
  </si>
  <si>
    <r>
      <rPr>
        <b/>
        <i/>
        <sz val="10"/>
        <color indexed="18"/>
        <rFont val="Times New Roman CYR"/>
        <charset val="204"/>
      </rPr>
      <t>БАЛАНСОВИ</t>
    </r>
    <r>
      <rPr>
        <b/>
        <sz val="10"/>
        <color indexed="18"/>
        <rFont val="Times New Roman CYR"/>
        <charset val="204"/>
      </rPr>
      <t xml:space="preserve"> </t>
    </r>
    <r>
      <rPr>
        <b/>
        <sz val="10"/>
        <rFont val="Times New Roman CYR"/>
        <family val="1"/>
        <charset val="204"/>
      </rPr>
      <t>АКТИВИ И ПАСИВИ - РАВНЕНИЕ (в левове)</t>
    </r>
  </si>
  <si>
    <r>
      <t>ЗАДБАЛАНСОВИ</t>
    </r>
    <r>
      <rPr>
        <b/>
        <sz val="10"/>
        <rFont val="Times New Roman CYR"/>
        <family val="1"/>
        <charset val="204"/>
      </rPr>
      <t xml:space="preserve"> АКТИВИ И ПАСИВИ - РАВНЕНИЕ (в левове)</t>
    </r>
  </si>
  <si>
    <t>телефон:</t>
  </si>
  <si>
    <t xml:space="preserve">         Web-адрес</t>
  </si>
  <si>
    <t xml:space="preserve">  Web адрес</t>
  </si>
  <si>
    <t xml:space="preserve">        телефон:</t>
  </si>
  <si>
    <t xml:space="preserve">          телефон:</t>
  </si>
  <si>
    <t xml:space="preserve">              телефон:</t>
  </si>
  <si>
    <t xml:space="preserve">                    телефон:</t>
  </si>
  <si>
    <t xml:space="preserve">           КОД ПО ЕБК</t>
  </si>
  <si>
    <t xml:space="preserve">   КОД ПО ЕБК</t>
  </si>
  <si>
    <t xml:space="preserve">                  телефон:</t>
  </si>
  <si>
    <r>
      <t>Е</t>
    </r>
    <r>
      <rPr>
        <b/>
        <sz val="12"/>
        <rFont val="Times New Roman CYR"/>
        <charset val="204"/>
      </rPr>
      <t>лиминиране от баланса - 5. Вземания по заеми между бюджетни предприятия</t>
    </r>
    <r>
      <rPr>
        <b/>
        <sz val="12"/>
        <color indexed="18"/>
        <rFont val="Times New Roman Cyr"/>
        <charset val="204"/>
      </rPr>
      <t xml:space="preserve"> </t>
    </r>
    <r>
      <rPr>
        <i/>
        <sz val="12"/>
        <color indexed="18"/>
        <rFont val="Times New Roman CYR"/>
        <charset val="204"/>
      </rPr>
      <t>(шифър 0075)</t>
    </r>
  </si>
  <si>
    <r>
      <rPr>
        <b/>
        <sz val="12"/>
        <rFont val="Times New Roman CYR"/>
        <charset val="204"/>
      </rPr>
      <t>Елиминиране от баланса</t>
    </r>
    <r>
      <rPr>
        <b/>
        <sz val="12"/>
        <color indexed="16"/>
        <rFont val="Times New Roman CYR"/>
        <charset val="204"/>
      </rPr>
      <t xml:space="preserve"> -</t>
    </r>
    <r>
      <rPr>
        <b/>
        <sz val="12"/>
        <rFont val="Times New Roman CYR"/>
        <charset val="204"/>
      </rPr>
      <t xml:space="preserve"> 8. Задължения по заеми между бюджетни организации</t>
    </r>
    <r>
      <rPr>
        <b/>
        <sz val="12"/>
        <color indexed="16"/>
        <rFont val="Times New Roman CYR"/>
        <charset val="204"/>
      </rPr>
      <t xml:space="preserve"> </t>
    </r>
    <r>
      <rPr>
        <i/>
        <sz val="12"/>
        <color indexed="16"/>
        <rFont val="Times New Roman CYR"/>
        <charset val="204"/>
      </rPr>
      <t>(шифър 0528)</t>
    </r>
  </si>
  <si>
    <r>
      <rPr>
        <b/>
        <sz val="12"/>
        <rFont val="Times New Roman CYR"/>
        <charset val="204"/>
      </rPr>
      <t>Елиминиране от баланса</t>
    </r>
    <r>
      <rPr>
        <b/>
        <sz val="12"/>
        <color indexed="18"/>
        <rFont val="Times New Roman Cyr"/>
        <charset val="204"/>
      </rPr>
      <t xml:space="preserve"> - </t>
    </r>
    <r>
      <rPr>
        <b/>
        <sz val="12"/>
        <rFont val="Times New Roman CYR"/>
        <charset val="204"/>
      </rPr>
      <t xml:space="preserve">6. Други вземания </t>
    </r>
    <r>
      <rPr>
        <i/>
        <sz val="12"/>
        <color indexed="18"/>
        <rFont val="Times New Roman CYR"/>
        <charset val="204"/>
      </rPr>
      <t>(шифър 0076)</t>
    </r>
  </si>
  <si>
    <r>
      <rPr>
        <b/>
        <sz val="12"/>
        <rFont val="Times New Roman CYR"/>
        <charset val="204"/>
      </rPr>
      <t>Елиминиране от баланса</t>
    </r>
    <r>
      <rPr>
        <b/>
        <sz val="12"/>
        <color indexed="16"/>
        <rFont val="Times New Roman CYR"/>
        <charset val="204"/>
      </rPr>
      <t xml:space="preserve"> - </t>
    </r>
    <r>
      <rPr>
        <b/>
        <sz val="12"/>
        <rFont val="Times New Roman CYR"/>
        <charset val="204"/>
      </rPr>
      <t>9. Други задължения</t>
    </r>
    <r>
      <rPr>
        <i/>
        <sz val="12"/>
        <color indexed="16"/>
        <rFont val="Times New Roman CYR"/>
        <charset val="204"/>
      </rPr>
      <t xml:space="preserve"> (шифър 0529)</t>
    </r>
  </si>
  <si>
    <r>
      <t>от</t>
    </r>
    <r>
      <rPr>
        <b/>
        <i/>
        <sz val="12"/>
        <color indexed="10"/>
        <rFont val="Times New Roman"/>
        <family val="1"/>
        <charset val="204"/>
      </rPr>
      <t xml:space="preserve"> </t>
    </r>
    <r>
      <rPr>
        <b/>
        <i/>
        <sz val="12"/>
        <color indexed="16"/>
        <rFont val="Times New Roman"/>
        <family val="1"/>
        <charset val="204"/>
      </rPr>
      <t>НАЧАЛНИТЕ</t>
    </r>
    <r>
      <rPr>
        <b/>
        <i/>
        <sz val="12"/>
        <color indexed="10"/>
        <rFont val="Times New Roman"/>
        <family val="1"/>
        <charset val="204"/>
      </rPr>
      <t xml:space="preserve"> </t>
    </r>
    <r>
      <rPr>
        <b/>
        <sz val="12"/>
        <rFont val="Times New Roman"/>
        <family val="1"/>
        <charset val="204"/>
      </rPr>
      <t xml:space="preserve">САЛДА </t>
    </r>
    <r>
      <rPr>
        <sz val="12"/>
        <rFont val="Times New Roman"/>
        <family val="1"/>
        <charset val="204"/>
      </rPr>
      <t xml:space="preserve">в колона </t>
    </r>
    <r>
      <rPr>
        <b/>
        <sz val="12"/>
        <rFont val="Times New Roman"/>
        <family val="1"/>
        <charset val="204"/>
      </rPr>
      <t xml:space="preserve">ІV. ВСИЧКО </t>
    </r>
    <r>
      <rPr>
        <sz val="12"/>
        <rFont val="Times New Roman"/>
        <family val="1"/>
        <charset val="204"/>
      </rPr>
      <t>на съответните позиции</t>
    </r>
    <r>
      <rPr>
        <b/>
        <sz val="12"/>
        <rFont val="Times New Roman"/>
        <family val="1"/>
        <charset val="204"/>
      </rPr>
      <t xml:space="preserve"> </t>
    </r>
    <r>
      <rPr>
        <i/>
        <sz val="12"/>
        <rFont val="Times New Roman"/>
        <family val="1"/>
        <charset val="204"/>
      </rPr>
      <t>(шифри 0075, 0528, 0076 и 0529)</t>
    </r>
    <r>
      <rPr>
        <b/>
        <sz val="12"/>
        <rFont val="Times New Roman"/>
        <family val="1"/>
        <charset val="204"/>
      </rPr>
      <t xml:space="preserve"> на баланса</t>
    </r>
  </si>
  <si>
    <r>
      <rPr>
        <b/>
        <sz val="12"/>
        <rFont val="Times New Roman"/>
        <family val="1"/>
        <charset val="204"/>
      </rPr>
      <t>6.</t>
    </r>
    <r>
      <rPr>
        <sz val="12"/>
        <rFont val="Times New Roman"/>
        <family val="1"/>
        <charset val="204"/>
      </rPr>
      <t xml:space="preserve"> Когато са налице насрещни вземания/задължения по посочените в таблицата сметки </t>
    </r>
  </si>
  <si>
    <r>
      <rPr>
        <b/>
        <sz val="12"/>
        <rFont val="Times New Roman"/>
        <family val="1"/>
        <charset val="204"/>
      </rPr>
      <t>7.</t>
    </r>
    <r>
      <rPr>
        <sz val="12"/>
        <rFont val="Times New Roman"/>
        <family val="1"/>
        <charset val="204"/>
      </rPr>
      <t xml:space="preserve"> Когато е налице разчет (вземане или задължение) срещу друга единица </t>
    </r>
    <r>
      <rPr>
        <i/>
        <u/>
        <sz val="12"/>
        <rFont val="Times New Roman"/>
        <family val="1"/>
        <charset val="204"/>
      </rPr>
      <t xml:space="preserve">в рамките </t>
    </r>
  </si>
  <si>
    <r>
      <t xml:space="preserve">    </t>
    </r>
    <r>
      <rPr>
        <i/>
        <u/>
        <sz val="12"/>
        <rFont val="Times New Roman"/>
        <family val="1"/>
        <charset val="204"/>
      </rPr>
      <t>в рамките на отделната бюджетна организация/единица</t>
    </r>
    <r>
      <rPr>
        <sz val="12"/>
        <rFont val="Times New Roman"/>
        <family val="1"/>
        <charset val="204"/>
      </rPr>
      <t>, в съответните клетки се</t>
    </r>
  </si>
  <si>
    <t xml:space="preserve">    бюджетната организация/единица ще попълни в съответните клетки на талицата </t>
  </si>
  <si>
    <t xml:space="preserve">     е) МОСВ (ЕБК код 1900) и ПУДООС (ЕБК код 1950);</t>
  </si>
  <si>
    <t xml:space="preserve">     а) ДОО, УчПФ и фонд "ГВРС"</t>
  </si>
  <si>
    <r>
      <t xml:space="preserve">        І. Общ размер на салдото, отчетено по </t>
    </r>
    <r>
      <rPr>
        <b/>
        <i/>
        <sz val="12"/>
        <color indexed="16"/>
        <rFont val="Times New Roman Bold"/>
        <charset val="204"/>
      </rPr>
      <t>сметка 4544</t>
    </r>
    <r>
      <rPr>
        <b/>
        <sz val="12"/>
        <rFont val="Times New Roman CYR"/>
        <charset val="204"/>
      </rPr>
      <t xml:space="preserve"> в оборотната ведомост</t>
    </r>
  </si>
  <si>
    <r>
      <t xml:space="preserve">         ІІ. Общ размер на салдото, отчетено по </t>
    </r>
    <r>
      <rPr>
        <b/>
        <i/>
        <sz val="12"/>
        <color indexed="18"/>
        <rFont val="Times New Roman Bold"/>
        <charset val="204"/>
      </rPr>
      <t>сметка 4545</t>
    </r>
    <r>
      <rPr>
        <b/>
        <sz val="12"/>
        <rFont val="Times New Roman CYR"/>
        <charset val="204"/>
      </rPr>
      <t xml:space="preserve"> в оборотната ведомост</t>
    </r>
  </si>
  <si>
    <r>
      <t>ІІ.1. Вземания по сметка</t>
    </r>
    <r>
      <rPr>
        <b/>
        <sz val="12"/>
        <color indexed="18"/>
        <rFont val="Times New Roman Cyr"/>
        <charset val="204"/>
      </rPr>
      <t xml:space="preserve"> 4545</t>
    </r>
    <r>
      <rPr>
        <b/>
        <sz val="12"/>
        <rFont val="Times New Roman CYR"/>
        <charset val="204"/>
      </rPr>
      <t xml:space="preserve"> срещу общината-първостепенен разпоредител и нейни звена</t>
    </r>
  </si>
  <si>
    <r>
      <t xml:space="preserve">І. ОТЧЕТЕНИ ОТ ОБЩИНСКИ РАЗПОРЕДИТЕЛИ С БЮДЖЕТ САЛДА ПО </t>
    </r>
    <r>
      <rPr>
        <b/>
        <sz val="12"/>
        <color indexed="16"/>
        <rFont val="Times New Roman CYR"/>
        <charset val="204"/>
      </rPr>
      <t>СМЕТКА 4544</t>
    </r>
  </si>
  <si>
    <r>
      <t xml:space="preserve">ІІ. ОТЧЕТЕНИ ОТ ОБЩИНСКИ РАЗПОРЕДИТЕЛИ С БЮДЖЕТ САЛДА ПО </t>
    </r>
    <r>
      <rPr>
        <b/>
        <sz val="12"/>
        <color indexed="18"/>
        <rFont val="Times New Roman Cyr"/>
        <charset val="204"/>
      </rPr>
      <t>СМЕТКА 4545</t>
    </r>
  </si>
  <si>
    <r>
      <t xml:space="preserve">         ІІІ. Общ размер на салдото, отчетено по </t>
    </r>
    <r>
      <rPr>
        <b/>
        <i/>
        <sz val="12"/>
        <color indexed="18"/>
        <rFont val="Times New Roman Bold"/>
        <charset val="204"/>
      </rPr>
      <t>сметка 4547</t>
    </r>
    <r>
      <rPr>
        <b/>
        <sz val="12"/>
        <rFont val="Times New Roman CYR"/>
        <charset val="204"/>
      </rPr>
      <t xml:space="preserve"> в оборотната ведомост</t>
    </r>
  </si>
  <si>
    <r>
      <t xml:space="preserve">ІІІ. ОТЧЕТЕНИ ОТ ОБЩИНСКИ РАЗПОРЕДИТЕЛИ С БЮДЖЕТ САЛДА ПО </t>
    </r>
    <r>
      <rPr>
        <b/>
        <sz val="12"/>
        <color indexed="18"/>
        <rFont val="Times New Roman Cyr"/>
        <charset val="204"/>
      </rPr>
      <t>СМЕТКА 4547</t>
    </r>
  </si>
  <si>
    <r>
      <t xml:space="preserve">ІV. ОТЧЕТЕНИ ОТ ОБЩИНСКИ РАЗПОРЕДИТЕЛИ С БЮДЖЕТ САЛДА ПО </t>
    </r>
    <r>
      <rPr>
        <b/>
        <sz val="12"/>
        <color indexed="16"/>
        <rFont val="Times New Roman CYR"/>
        <charset val="204"/>
      </rPr>
      <t>СМЕТКА 4548</t>
    </r>
  </si>
  <si>
    <r>
      <t xml:space="preserve">        ІV. Общ размер на салдото, отчетено по </t>
    </r>
    <r>
      <rPr>
        <b/>
        <i/>
        <sz val="12"/>
        <color indexed="16"/>
        <rFont val="Times New Roman Bold"/>
        <charset val="204"/>
      </rPr>
      <t>сметка 4548</t>
    </r>
    <r>
      <rPr>
        <b/>
        <sz val="12"/>
        <rFont val="Times New Roman CYR"/>
        <charset val="204"/>
      </rPr>
      <t xml:space="preserve"> в оборотната ведомост</t>
    </r>
  </si>
  <si>
    <r>
      <t xml:space="preserve">V. ОТЧЕТЕНИ ОТ ОБЩИНСКИ СТРУКТУРИ САЛДА ПО </t>
    </r>
    <r>
      <rPr>
        <b/>
        <sz val="12"/>
        <color indexed="18"/>
        <rFont val="Times New Roman Cyr"/>
        <charset val="204"/>
      </rPr>
      <t>СМЕТКИ 4301 и 4303</t>
    </r>
  </si>
  <si>
    <r>
      <t xml:space="preserve">         V. Общ размер на салдата, отчетени по </t>
    </r>
    <r>
      <rPr>
        <b/>
        <i/>
        <sz val="12"/>
        <color indexed="18"/>
        <rFont val="Times New Roman Bold"/>
        <charset val="204"/>
      </rPr>
      <t>сметки 4301 и 4303</t>
    </r>
    <r>
      <rPr>
        <b/>
        <sz val="12"/>
        <rFont val="Times New Roman CYR"/>
        <charset val="204"/>
      </rPr>
      <t xml:space="preserve"> в оборотната ведомост</t>
    </r>
  </si>
  <si>
    <r>
      <t xml:space="preserve">VІ. ОТЧЕТЕНИ ОТ ОБЩИНСКИ СТРУКТУРИ САЛДА ПО </t>
    </r>
    <r>
      <rPr>
        <b/>
        <sz val="12"/>
        <color indexed="16"/>
        <rFont val="Times New Roman CYR"/>
        <charset val="204"/>
      </rPr>
      <t>СМЕТКИ 4311 и 4313</t>
    </r>
  </si>
  <si>
    <r>
      <t xml:space="preserve">        VІ. Общ размер на салдото, отчетено по </t>
    </r>
    <r>
      <rPr>
        <b/>
        <i/>
        <sz val="12"/>
        <color indexed="16"/>
        <rFont val="Times New Roman Bold"/>
        <charset val="204"/>
      </rPr>
      <t>сметки 4311 и 4313</t>
    </r>
    <r>
      <rPr>
        <b/>
        <sz val="12"/>
        <rFont val="Times New Roman CYR"/>
        <charset val="204"/>
      </rPr>
      <t xml:space="preserve"> в оборотната ведомост</t>
    </r>
  </si>
  <si>
    <r>
      <rPr>
        <b/>
        <sz val="12"/>
        <rFont val="Times New Roman CYR"/>
        <charset val="204"/>
      </rPr>
      <t>Сума за елиминиране от актива на баланса</t>
    </r>
    <r>
      <rPr>
        <b/>
        <sz val="12"/>
        <color indexed="18"/>
        <rFont val="Times New Roman Cyr"/>
        <charset val="204"/>
      </rPr>
      <t xml:space="preserve"> - </t>
    </r>
    <r>
      <rPr>
        <b/>
        <sz val="12"/>
        <rFont val="Times New Roman CYR"/>
        <charset val="204"/>
      </rPr>
      <t xml:space="preserve">1. Публични общински вземания </t>
    </r>
    <r>
      <rPr>
        <i/>
        <sz val="12"/>
        <color indexed="18"/>
        <rFont val="Times New Roman CYR"/>
        <charset val="204"/>
      </rPr>
      <t>(шифър 0071)</t>
    </r>
  </si>
  <si>
    <r>
      <rPr>
        <b/>
        <sz val="12"/>
        <rFont val="Times New Roman CYR"/>
        <charset val="204"/>
      </rPr>
      <t>Сума за елиминиране от актива на баланса</t>
    </r>
    <r>
      <rPr>
        <b/>
        <sz val="12"/>
        <color indexed="18"/>
        <rFont val="Times New Roman Cyr"/>
        <charset val="204"/>
      </rPr>
      <t xml:space="preserve"> - </t>
    </r>
    <r>
      <rPr>
        <b/>
        <sz val="12"/>
        <rFont val="Times New Roman CYR"/>
        <charset val="204"/>
      </rPr>
      <t xml:space="preserve">6. Други вземания </t>
    </r>
    <r>
      <rPr>
        <i/>
        <sz val="12"/>
        <color indexed="18"/>
        <rFont val="Times New Roman CYR"/>
        <charset val="204"/>
      </rPr>
      <t>(шифър 0076)</t>
    </r>
  </si>
  <si>
    <r>
      <rPr>
        <b/>
        <sz val="12"/>
        <rFont val="Times New Roman CYR"/>
        <charset val="204"/>
      </rPr>
      <t>Сума за елиминиране от пасива на баланса</t>
    </r>
    <r>
      <rPr>
        <b/>
        <sz val="12"/>
        <color indexed="16"/>
        <rFont val="Times New Roman CYR"/>
        <charset val="204"/>
      </rPr>
      <t xml:space="preserve"> - </t>
    </r>
    <r>
      <rPr>
        <b/>
        <sz val="12"/>
        <rFont val="Times New Roman CYR"/>
        <charset val="204"/>
      </rPr>
      <t>9. Други задължения</t>
    </r>
    <r>
      <rPr>
        <i/>
        <sz val="12"/>
        <color indexed="16"/>
        <rFont val="Times New Roman CYR"/>
        <charset val="204"/>
      </rPr>
      <t xml:space="preserve"> (шифър 0529)</t>
    </r>
  </si>
  <si>
    <t>Нето-ефект върху изменението на нетните активи в ОПР (шифър 1000)</t>
  </si>
  <si>
    <t>NA-OPR</t>
  </si>
  <si>
    <t>NA-BAL</t>
  </si>
  <si>
    <r>
      <rPr>
        <b/>
        <sz val="10"/>
        <color indexed="16"/>
        <rFont val="Times New Roman Cyr"/>
        <charset val="204"/>
      </rPr>
      <t>NA-OPR</t>
    </r>
    <r>
      <rPr>
        <b/>
        <sz val="10"/>
        <rFont val="Times New Roman CYR"/>
        <family val="1"/>
        <charset val="204"/>
      </rPr>
      <t xml:space="preserve"> = </t>
    </r>
    <r>
      <rPr>
        <b/>
        <sz val="10"/>
        <color indexed="18"/>
        <rFont val="Times New Roman CYR"/>
        <charset val="204"/>
      </rPr>
      <t>NA-BAL</t>
    </r>
    <r>
      <rPr>
        <b/>
        <sz val="10"/>
        <rFont val="Times New Roman CYR"/>
        <family val="1"/>
        <charset val="204"/>
      </rPr>
      <t xml:space="preserve"> = </t>
    </r>
    <r>
      <rPr>
        <b/>
        <sz val="10"/>
        <color indexed="16"/>
        <rFont val="Times New Roman Cyr"/>
        <charset val="204"/>
      </rPr>
      <t xml:space="preserve"> </t>
    </r>
    <r>
      <rPr>
        <b/>
        <sz val="10"/>
        <rFont val="Times New Roman CYR"/>
        <family val="1"/>
        <charset val="204"/>
      </rPr>
      <t xml:space="preserve"> </t>
    </r>
  </si>
  <si>
    <r>
      <t xml:space="preserve"> </t>
    </r>
    <r>
      <rPr>
        <b/>
        <sz val="10"/>
        <color indexed="18"/>
        <rFont val="Times New Roman CYR"/>
        <charset val="204"/>
      </rPr>
      <t>NA-BAL</t>
    </r>
    <r>
      <rPr>
        <b/>
        <sz val="10"/>
        <rFont val="Times New Roman CYR"/>
        <family val="1"/>
        <charset val="204"/>
      </rPr>
      <t xml:space="preserve"> =</t>
    </r>
    <r>
      <rPr>
        <b/>
        <sz val="10"/>
        <color indexed="16"/>
        <rFont val="Times New Roman Cyr"/>
        <charset val="204"/>
      </rPr>
      <t xml:space="preserve"> NA-OPR</t>
    </r>
    <r>
      <rPr>
        <b/>
        <sz val="10"/>
        <rFont val="Times New Roman CYR"/>
        <family val="1"/>
        <charset val="204"/>
      </rPr>
      <t xml:space="preserve"> =  </t>
    </r>
  </si>
  <si>
    <t xml:space="preserve">      Салда по сметки  4544, 4545, 4547, 4548, 430, 431 и 4500</t>
  </si>
  <si>
    <r>
      <t xml:space="preserve">                </t>
    </r>
    <r>
      <rPr>
        <b/>
        <i/>
        <sz val="12"/>
        <color indexed="16"/>
        <rFont val="Times New Roman CYR"/>
        <charset val="204"/>
      </rPr>
      <t xml:space="preserve">                          А. </t>
    </r>
    <r>
      <rPr>
        <b/>
        <i/>
        <sz val="12"/>
        <color indexed="16"/>
        <rFont val="Times New Roman CYR"/>
        <charset val="204"/>
      </rPr>
      <t>НАЧАЛНИ</t>
    </r>
    <r>
      <rPr>
        <b/>
        <sz val="12"/>
        <rFont val="Times New Roman CYR"/>
        <family val="1"/>
        <charset val="204"/>
      </rPr>
      <t xml:space="preserve"> САЛДА</t>
    </r>
  </si>
  <si>
    <r>
      <t xml:space="preserve">                                       </t>
    </r>
    <r>
      <rPr>
        <b/>
        <i/>
        <sz val="12"/>
        <color indexed="18"/>
        <rFont val="Times New Roman CYR"/>
        <charset val="204"/>
      </rPr>
      <t>Б.</t>
    </r>
    <r>
      <rPr>
        <b/>
        <i/>
        <sz val="12"/>
        <rFont val="Times New Roman CYR"/>
        <family val="1"/>
        <charset val="204"/>
      </rPr>
      <t xml:space="preserve"> </t>
    </r>
    <r>
      <rPr>
        <b/>
        <i/>
        <sz val="12"/>
        <color indexed="18"/>
        <rFont val="Times New Roman CYR"/>
        <charset val="204"/>
      </rPr>
      <t>КРАЙНИ</t>
    </r>
    <r>
      <rPr>
        <b/>
        <sz val="12"/>
        <rFont val="Times New Roman CYR"/>
        <family val="1"/>
        <charset val="204"/>
      </rPr>
      <t xml:space="preserve"> САЛДА </t>
    </r>
  </si>
  <si>
    <t xml:space="preserve">      и техните подведомстевни разпоредители с бюджет</t>
  </si>
  <si>
    <r>
      <rPr>
        <b/>
        <sz val="12"/>
        <rFont val="Times New Roman CYR"/>
        <charset val="204"/>
      </rPr>
      <t>а)</t>
    </r>
    <r>
      <rPr>
        <sz val="12"/>
        <rFont val="Times New Roman CYR"/>
        <family val="1"/>
        <charset val="204"/>
      </rPr>
      <t xml:space="preserve"> за общински данъци и такси, отчитани като разходи от общинската единица по с/ки 6062 и 6065</t>
    </r>
  </si>
  <si>
    <r>
      <rPr>
        <b/>
        <sz val="12"/>
        <rFont val="Times New Roman CYR"/>
        <charset val="204"/>
      </rPr>
      <t>б)</t>
    </r>
    <r>
      <rPr>
        <sz val="12"/>
        <rFont val="Times New Roman CYR"/>
        <family val="1"/>
        <charset val="204"/>
      </rPr>
      <t xml:space="preserve"> за туристически данък - вземане на общинската единица от общината-първост. разпоредител</t>
    </r>
  </si>
  <si>
    <r>
      <t xml:space="preserve">    Сума </t>
    </r>
    <r>
      <rPr>
        <b/>
        <i/>
        <sz val="10"/>
        <color indexed="10"/>
        <rFont val="Times New Roman Cyr"/>
        <charset val="204"/>
      </rPr>
      <t>елиминирана</t>
    </r>
    <r>
      <rPr>
        <b/>
        <sz val="10"/>
        <rFont val="Times New Roman CYR"/>
        <charset val="204"/>
      </rPr>
      <t xml:space="preserve"> от</t>
    </r>
  </si>
  <si>
    <r>
      <t xml:space="preserve">    Сума </t>
    </r>
    <r>
      <rPr>
        <i/>
        <sz val="10"/>
        <color indexed="10"/>
        <rFont val="Times New Roman Cyr"/>
        <charset val="204"/>
      </rPr>
      <t>елиминирана</t>
    </r>
    <r>
      <rPr>
        <sz val="10"/>
        <rFont val="Times New Roman CYR"/>
        <charset val="204"/>
      </rPr>
      <t xml:space="preserve"> от</t>
    </r>
  </si>
  <si>
    <r>
      <t xml:space="preserve">Сума </t>
    </r>
    <r>
      <rPr>
        <b/>
        <i/>
        <sz val="10"/>
        <color indexed="10"/>
        <rFont val="Times New Roman Cyr"/>
        <charset val="204"/>
      </rPr>
      <t>елиминирана</t>
    </r>
    <r>
      <rPr>
        <b/>
        <sz val="10"/>
        <rFont val="Times New Roman CYR"/>
        <charset val="204"/>
      </rPr>
      <t xml:space="preserve"> от</t>
    </r>
  </si>
  <si>
    <r>
      <t xml:space="preserve">Сума </t>
    </r>
    <r>
      <rPr>
        <i/>
        <sz val="10"/>
        <color indexed="10"/>
        <rFont val="Times New Roman Cyr"/>
        <charset val="204"/>
      </rPr>
      <t>елиминирана</t>
    </r>
    <r>
      <rPr>
        <sz val="10"/>
        <rFont val="Times New Roman CYR"/>
        <charset val="204"/>
      </rPr>
      <t xml:space="preserve"> от</t>
    </r>
  </si>
  <si>
    <t>ДА</t>
  </si>
  <si>
    <t>НЕ</t>
  </si>
  <si>
    <r>
      <t xml:space="preserve">I. </t>
    </r>
    <r>
      <rPr>
        <b/>
        <sz val="11"/>
        <rFont val="Times New Roman CYR"/>
      </rPr>
      <t>Вземания от заеми</t>
    </r>
    <r>
      <rPr>
        <b/>
        <sz val="10"/>
        <rFont val="Times New Roman CYR"/>
      </rPr>
      <t xml:space="preserve"> - </t>
    </r>
    <r>
      <rPr>
        <b/>
        <sz val="11"/>
        <rFont val="Times New Roman CYR"/>
      </rPr>
      <t>провизии</t>
    </r>
    <r>
      <rPr>
        <b/>
        <sz val="10"/>
        <rFont val="Times New Roman CYR"/>
      </rPr>
      <t xml:space="preserve"> </t>
    </r>
    <r>
      <rPr>
        <b/>
        <sz val="12"/>
        <rFont val="Times New Roman CYR"/>
      </rPr>
      <t>по с/ки 539 и 589</t>
    </r>
  </si>
  <si>
    <t xml:space="preserve"> Общо за І. - провизии по сметки 539 и 589:</t>
  </si>
  <si>
    <t xml:space="preserve"> III. Други вземания - коректив по с/ки 4960, 4961 и 4962</t>
  </si>
  <si>
    <t xml:space="preserve"> Общо за ІІІ. - коректив по с/ки 4960, 4961 и 4962</t>
  </si>
  <si>
    <r>
      <t xml:space="preserve"> I. Премии/отстъпки по емисии на дългоср. общ. ценни книжа (попълва се </t>
    </r>
    <r>
      <rPr>
        <b/>
        <i/>
        <sz val="12"/>
        <rFont val="Times New Roman CYR"/>
        <family val="1"/>
        <charset val="204"/>
      </rPr>
      <t>само</t>
    </r>
    <r>
      <rPr>
        <b/>
        <sz val="12"/>
        <rFont val="Times New Roman CYR"/>
        <family val="1"/>
        <charset val="204"/>
      </rPr>
      <t xml:space="preserve"> от общини-eмитенти на ОбЦК)</t>
    </r>
  </si>
  <si>
    <r>
      <t xml:space="preserve"> II. Обратно изкупени дългосрочни общ. ценни книжа (попълва се </t>
    </r>
    <r>
      <rPr>
        <b/>
        <i/>
        <sz val="12"/>
        <rFont val="Times New Roman CYR"/>
        <family val="1"/>
        <charset val="204"/>
      </rPr>
      <t>само</t>
    </r>
    <r>
      <rPr>
        <b/>
        <sz val="12"/>
        <rFont val="Times New Roman CYR"/>
        <family val="1"/>
        <charset val="204"/>
      </rPr>
      <t xml:space="preserve"> от общини, емитирали облигации !)</t>
    </r>
  </si>
  <si>
    <t xml:space="preserve"> Общо за ІІІ. - салда на сметки 1917 и 1918 /само Дт (+) /</t>
  </si>
  <si>
    <t xml:space="preserve"> IV. Коректив на номинална стойност на задължения и лихви по търговски кредит (сметки 1927 и 1928)</t>
  </si>
  <si>
    <t xml:space="preserve"> Общо за ІV. - салда на сметки 1927 и 1928 /Дт (+); Кт (-)/</t>
  </si>
  <si>
    <r>
      <t xml:space="preserve">    Отчетен </t>
    </r>
    <r>
      <rPr>
        <b/>
        <i/>
        <sz val="12"/>
        <rFont val="Times New Roman Bold"/>
        <charset val="204"/>
      </rPr>
      <t>касов дефицит/излишък</t>
    </r>
    <r>
      <rPr>
        <b/>
        <sz val="12"/>
        <rFont val="Times New Roman CYR"/>
        <family val="1"/>
        <charset val="204"/>
      </rPr>
      <t xml:space="preserve"> към </t>
    </r>
  </si>
  <si>
    <r>
      <t xml:space="preserve">Отчетени суми </t>
    </r>
    <r>
      <rPr>
        <b/>
        <i/>
        <sz val="11"/>
        <rFont val="Times New Roman"/>
        <family val="1"/>
        <charset val="204"/>
      </rPr>
      <t>в левове</t>
    </r>
  </si>
  <si>
    <r>
      <t>II.ОТЧЕТНА  ГР.</t>
    </r>
    <r>
      <rPr>
        <b/>
        <i/>
        <sz val="10"/>
        <rFont val="Times New Roman CYR"/>
        <family val="1"/>
        <charset val="204"/>
      </rPr>
      <t>"СМЕТКИ ЗА СРЕД-</t>
    </r>
  </si>
  <si>
    <r>
      <t xml:space="preserve">                  </t>
    </r>
    <r>
      <rPr>
        <b/>
        <i/>
        <sz val="11"/>
        <rFont val="Times New Roman CYR"/>
        <family val="1"/>
        <charset val="204"/>
      </rPr>
      <t>"БЮДЖЕТ"</t>
    </r>
  </si>
  <si>
    <t xml:space="preserve">       "ДРУГИ СМЕТКИ И ДЕЙНОСТИ"</t>
  </si>
  <si>
    <t xml:space="preserve">                   III. ОТЧЕТНА  ГРУПА</t>
  </si>
  <si>
    <r>
      <t xml:space="preserve">   II.ОТЧЕТНА  ГРУПА</t>
    </r>
    <r>
      <rPr>
        <b/>
        <sz val="10"/>
        <rFont val="Times New Roman CYR"/>
        <family val="1"/>
        <charset val="204"/>
      </rPr>
      <t xml:space="preserve"> </t>
    </r>
    <r>
      <rPr>
        <b/>
        <i/>
        <sz val="10"/>
        <rFont val="Times New Roman CYR"/>
        <family val="1"/>
        <charset val="204"/>
      </rPr>
      <t>"СМЕТКИ ЗА</t>
    </r>
  </si>
  <si>
    <r>
      <t xml:space="preserve">                         </t>
    </r>
    <r>
      <rPr>
        <b/>
        <i/>
        <sz val="11"/>
        <rFont val="Times New Roman CYR"/>
        <family val="1"/>
        <charset val="204"/>
      </rPr>
      <t>БЮДЖЕТ</t>
    </r>
  </si>
  <si>
    <r>
      <t xml:space="preserve">контрола - </t>
    </r>
    <r>
      <rPr>
        <b/>
        <i/>
        <sz val="12"/>
        <rFont val="Times New Roman Cyr"/>
        <family val="1"/>
      </rPr>
      <t>Начални</t>
    </r>
    <r>
      <rPr>
        <b/>
        <sz val="12"/>
        <rFont val="Times New Roman Cyr"/>
        <family val="1"/>
      </rPr>
      <t xml:space="preserve"> </t>
    </r>
    <r>
      <rPr>
        <b/>
        <i/>
        <sz val="12"/>
        <rFont val="Times New Roman Cyr"/>
        <family val="1"/>
      </rPr>
      <t>ДТ</t>
    </r>
    <r>
      <rPr>
        <b/>
        <sz val="12"/>
        <rFont val="Times New Roman Cyr"/>
        <family val="1"/>
      </rPr>
      <t xml:space="preserve"> салда</t>
    </r>
  </si>
  <si>
    <r>
      <t xml:space="preserve">контрола - </t>
    </r>
    <r>
      <rPr>
        <b/>
        <i/>
        <sz val="12"/>
        <rFont val="Times New Roman Cyr"/>
        <family val="1"/>
      </rPr>
      <t>Начални</t>
    </r>
    <r>
      <rPr>
        <b/>
        <sz val="12"/>
        <rFont val="Times New Roman Cyr"/>
        <family val="1"/>
      </rPr>
      <t xml:space="preserve"> </t>
    </r>
    <r>
      <rPr>
        <b/>
        <i/>
        <sz val="12"/>
        <rFont val="Times New Roman Cyr"/>
        <family val="1"/>
      </rPr>
      <t>КТ</t>
    </r>
    <r>
      <rPr>
        <b/>
        <sz val="12"/>
        <rFont val="Times New Roman Cyr"/>
        <family val="1"/>
      </rPr>
      <t xml:space="preserve"> салда</t>
    </r>
  </si>
  <si>
    <r>
      <t>контрола -</t>
    </r>
    <r>
      <rPr>
        <b/>
        <i/>
        <sz val="12"/>
        <rFont val="Times New Roman Cyr"/>
        <family val="1"/>
      </rPr>
      <t>Крайни</t>
    </r>
    <r>
      <rPr>
        <b/>
        <sz val="12"/>
        <rFont val="Times New Roman Cyr"/>
        <family val="1"/>
      </rPr>
      <t xml:space="preserve"> </t>
    </r>
    <r>
      <rPr>
        <b/>
        <i/>
        <sz val="12"/>
        <rFont val="Times New Roman Cyr"/>
        <family val="1"/>
      </rPr>
      <t>ДТ</t>
    </r>
    <r>
      <rPr>
        <b/>
        <sz val="12"/>
        <rFont val="Times New Roman Cyr"/>
        <family val="1"/>
      </rPr>
      <t xml:space="preserve"> салда</t>
    </r>
  </si>
  <si>
    <r>
      <t xml:space="preserve">контрола - </t>
    </r>
    <r>
      <rPr>
        <b/>
        <i/>
        <sz val="12"/>
        <rFont val="Times New Roman Cyr"/>
        <family val="1"/>
      </rPr>
      <t>Крайни</t>
    </r>
    <r>
      <rPr>
        <b/>
        <sz val="12"/>
        <rFont val="Times New Roman Cyr"/>
        <family val="1"/>
      </rPr>
      <t xml:space="preserve"> </t>
    </r>
    <r>
      <rPr>
        <b/>
        <i/>
        <sz val="12"/>
        <rFont val="Times New Roman Cyr"/>
        <family val="1"/>
      </rPr>
      <t>КТ</t>
    </r>
    <r>
      <rPr>
        <b/>
        <sz val="12"/>
        <rFont val="Times New Roman Cyr"/>
        <family val="1"/>
      </rPr>
      <t xml:space="preserve"> салда</t>
    </r>
  </si>
  <si>
    <t xml:space="preserve">       Преди да попълните тази таблица проверете</t>
  </si>
  <si>
    <r>
      <t>от</t>
    </r>
    <r>
      <rPr>
        <b/>
        <i/>
        <sz val="12"/>
        <color indexed="10"/>
        <rFont val="Times New Roman"/>
        <family val="1"/>
        <charset val="204"/>
      </rPr>
      <t xml:space="preserve"> </t>
    </r>
    <r>
      <rPr>
        <b/>
        <i/>
        <sz val="12"/>
        <color indexed="18"/>
        <rFont val="Times New Roman"/>
        <family val="1"/>
        <charset val="204"/>
      </rPr>
      <t>КРАЙНИТЕ</t>
    </r>
    <r>
      <rPr>
        <b/>
        <i/>
        <sz val="12"/>
        <color indexed="10"/>
        <rFont val="Times New Roman"/>
        <family val="1"/>
        <charset val="204"/>
      </rPr>
      <t xml:space="preserve"> </t>
    </r>
    <r>
      <rPr>
        <b/>
        <sz val="12"/>
        <rFont val="Times New Roman"/>
        <family val="1"/>
        <charset val="204"/>
      </rPr>
      <t xml:space="preserve">САЛДА </t>
    </r>
    <r>
      <rPr>
        <sz val="12"/>
        <rFont val="Times New Roman"/>
        <family val="1"/>
        <charset val="204"/>
      </rPr>
      <t xml:space="preserve">в колона </t>
    </r>
    <r>
      <rPr>
        <b/>
        <sz val="12"/>
        <rFont val="Times New Roman"/>
        <family val="1"/>
        <charset val="204"/>
      </rPr>
      <t xml:space="preserve">ІV. ВСИЧКО </t>
    </r>
    <r>
      <rPr>
        <sz val="12"/>
        <rFont val="Times New Roman"/>
        <family val="1"/>
        <charset val="204"/>
      </rPr>
      <t>на съответните позиции</t>
    </r>
    <r>
      <rPr>
        <b/>
        <sz val="12"/>
        <rFont val="Times New Roman"/>
        <family val="1"/>
        <charset val="204"/>
      </rPr>
      <t xml:space="preserve"> </t>
    </r>
    <r>
      <rPr>
        <i/>
        <sz val="12"/>
        <rFont val="Times New Roman"/>
        <family val="1"/>
        <charset val="204"/>
      </rPr>
      <t>(шифри 0075, 0528, 0076 и 0529)</t>
    </r>
    <r>
      <rPr>
        <b/>
        <sz val="12"/>
        <rFont val="Times New Roman"/>
        <family val="1"/>
        <charset val="204"/>
      </rPr>
      <t xml:space="preserve"> на баланса</t>
    </r>
  </si>
  <si>
    <t xml:space="preserve"> Коригиране на нетното изменение на активите</t>
  </si>
  <si>
    <t>контроли - крайно салдо</t>
  </si>
  <si>
    <t>контроли - начално салдо</t>
  </si>
  <si>
    <r>
      <rPr>
        <b/>
        <i/>
        <sz val="12"/>
        <color indexed="18"/>
        <rFont val="Times New Roman Bold"/>
        <charset val="204"/>
      </rPr>
      <t>ГОДИШНА</t>
    </r>
    <r>
      <rPr>
        <b/>
        <sz val="12"/>
        <rFont val="Times New Roman Bold"/>
        <charset val="204"/>
      </rPr>
      <t xml:space="preserve"> СПРАВКА за разчетни сметки на ОБЩИНИТЕ</t>
    </r>
  </si>
  <si>
    <r>
      <t xml:space="preserve">     "Сметки за средства от ЕС" - </t>
    </r>
    <r>
      <rPr>
        <b/>
        <i/>
        <sz val="12"/>
        <color indexed="58"/>
        <rFont val="Times New Roman CYR"/>
        <charset val="204"/>
      </rPr>
      <t>RA</t>
    </r>
  </si>
  <si>
    <r>
      <t xml:space="preserve">                         </t>
    </r>
    <r>
      <rPr>
        <b/>
        <i/>
        <sz val="11"/>
        <color indexed="18"/>
        <rFont val="Times New Roman CYR"/>
      </rPr>
      <t>"БЮДЖЕТ"</t>
    </r>
  </si>
  <si>
    <r>
      <t xml:space="preserve">                    I. </t>
    </r>
    <r>
      <rPr>
        <b/>
        <sz val="9"/>
        <rFont val="Times New Roman CYR"/>
        <family val="1"/>
        <charset val="204"/>
      </rPr>
      <t>ОТЧЕТНА ГРУПА</t>
    </r>
  </si>
  <si>
    <r>
      <t>II.ОТЧЕТНА  ГР.</t>
    </r>
    <r>
      <rPr>
        <b/>
        <i/>
        <sz val="10"/>
        <color indexed="28"/>
        <rFont val="Times New Roman CYR"/>
        <charset val="204"/>
      </rPr>
      <t>"СМЕТКИ ЗА СРЕД-</t>
    </r>
  </si>
  <si>
    <t xml:space="preserve"> 1. Прехвърлени нетни активи м/у бюдж. организации</t>
  </si>
  <si>
    <r>
      <t xml:space="preserve">                   </t>
    </r>
    <r>
      <rPr>
        <b/>
        <i/>
        <sz val="12"/>
        <color indexed="16"/>
        <rFont val="Times New Roman CYR"/>
        <charset val="204"/>
      </rPr>
      <t xml:space="preserve"> </t>
    </r>
    <r>
      <rPr>
        <b/>
        <i/>
        <sz val="12"/>
        <color indexed="16"/>
        <rFont val="Times New Roman CYR"/>
        <charset val="204"/>
      </rPr>
      <t>НАЧАЛНИ</t>
    </r>
    <r>
      <rPr>
        <b/>
        <sz val="12"/>
        <rFont val="Times New Roman CYR"/>
        <family val="1"/>
        <charset val="204"/>
      </rPr>
      <t xml:space="preserve"> САЛДА за </t>
    </r>
    <r>
      <rPr>
        <b/>
        <i/>
        <sz val="12"/>
        <color indexed="16"/>
        <rFont val="Times New Roman CYR"/>
        <charset val="204"/>
      </rPr>
      <t>елиминиране</t>
    </r>
  </si>
  <si>
    <r>
      <rPr>
        <b/>
        <sz val="12"/>
        <rFont val="Times New Roman CYR"/>
        <charset val="204"/>
      </rPr>
      <t>Елиминиране от баланса - 5. Вземания по заеми между бюджетни предприятия</t>
    </r>
    <r>
      <rPr>
        <b/>
        <sz val="12"/>
        <color indexed="18"/>
        <rFont val="Times New Roman Cyr"/>
        <charset val="204"/>
      </rPr>
      <t xml:space="preserve"> </t>
    </r>
    <r>
      <rPr>
        <i/>
        <sz val="12"/>
        <color indexed="18"/>
        <rFont val="Times New Roman CYR"/>
        <charset val="204"/>
      </rPr>
      <t>(шифър 0075)</t>
    </r>
  </si>
  <si>
    <t xml:space="preserve">              ОБЩО  ЗА ВСИЧКИ ОТЧЕТНИ ГРУПИ</t>
  </si>
  <si>
    <t xml:space="preserve">        ПРЕДХОДНА ГОДИНА - САЛДА ПО СМЕТКИ</t>
  </si>
  <si>
    <t xml:space="preserve">(в  левове) </t>
  </si>
  <si>
    <t>за текущата година</t>
  </si>
  <si>
    <t>за предходната година</t>
  </si>
  <si>
    <t xml:space="preserve">     Корекция в позицията корективи на приходи</t>
  </si>
  <si>
    <r>
      <rPr>
        <b/>
        <sz val="12"/>
        <rFont val="Times New Roman CYR"/>
        <charset val="204"/>
      </rPr>
      <t xml:space="preserve">Сума за коригиране на </t>
    </r>
    <r>
      <rPr>
        <b/>
        <i/>
        <sz val="12"/>
        <color indexed="10"/>
        <rFont val="Times New Roman CYR"/>
        <charset val="204"/>
      </rPr>
      <t>разходи</t>
    </r>
    <r>
      <rPr>
        <b/>
        <sz val="12"/>
        <rFont val="Times New Roman CYR"/>
        <charset val="204"/>
      </rPr>
      <t xml:space="preserve"> от ОПР - отразяване в разходи за данъци и такси</t>
    </r>
    <r>
      <rPr>
        <i/>
        <sz val="12"/>
        <color indexed="18"/>
        <rFont val="Times New Roman CYR"/>
        <charset val="204"/>
      </rPr>
      <t xml:space="preserve"> </t>
    </r>
    <r>
      <rPr>
        <i/>
        <sz val="12"/>
        <color indexed="10"/>
        <rFont val="Times New Roman CYR"/>
        <charset val="204"/>
      </rPr>
      <t>(шифър 0606)</t>
    </r>
  </si>
  <si>
    <t xml:space="preserve">                  Корекции в разходни позиции</t>
  </si>
  <si>
    <t>Общо корекция в изменението на нетните активи</t>
  </si>
  <si>
    <t>общо</t>
  </si>
  <si>
    <t>Контрола за равнение на корекциите в ОПР с тези в баланса</t>
  </si>
  <si>
    <r>
      <t xml:space="preserve">     Тази таблица се попълва </t>
    </r>
    <r>
      <rPr>
        <b/>
        <i/>
        <u/>
        <sz val="12"/>
        <color indexed="10"/>
        <rFont val="Times New Roman"/>
        <family val="1"/>
        <charset val="204"/>
      </rPr>
      <t>само</t>
    </r>
    <r>
      <rPr>
        <b/>
        <sz val="12"/>
        <rFont val="Times New Roman"/>
        <family val="1"/>
        <charset val="204"/>
      </rPr>
      <t xml:space="preserve"> от </t>
    </r>
    <r>
      <rPr>
        <b/>
        <i/>
        <u/>
        <sz val="12"/>
        <color indexed="10"/>
        <rFont val="Times New Roman"/>
        <family val="1"/>
        <charset val="204"/>
      </rPr>
      <t>ОБЩИНИТЕ</t>
    </r>
  </si>
  <si>
    <r>
      <t xml:space="preserve">      дали </t>
    </r>
    <r>
      <rPr>
        <b/>
        <i/>
        <sz val="12"/>
        <color indexed="18"/>
        <rFont val="Times New Roman"/>
        <family val="1"/>
        <charset val="204"/>
      </rPr>
      <t>коректно</t>
    </r>
    <r>
      <rPr>
        <b/>
        <sz val="12"/>
        <rFont val="Times New Roman"/>
        <family val="1"/>
        <charset val="204"/>
      </rPr>
      <t xml:space="preserve"> сте попълнили таблица </t>
    </r>
    <r>
      <rPr>
        <b/>
        <i/>
        <sz val="12"/>
        <color indexed="18"/>
        <rFont val="Times New Roman"/>
        <family val="1"/>
        <charset val="204"/>
      </rPr>
      <t>'Status'</t>
    </r>
    <r>
      <rPr>
        <b/>
        <sz val="12"/>
        <rFont val="Times New Roman"/>
        <family val="1"/>
        <charset val="204"/>
      </rPr>
      <t>!</t>
    </r>
  </si>
  <si>
    <t xml:space="preserve">                  (отнася се само за общините)</t>
  </si>
  <si>
    <r>
      <t xml:space="preserve">      първостепенния разпоредител ДВУ, и БАН) </t>
    </r>
    <r>
      <rPr>
        <i/>
        <u/>
        <sz val="12"/>
        <rFont val="Times New Roman"/>
        <family val="1"/>
        <charset val="204"/>
      </rPr>
      <t>суми</t>
    </r>
    <r>
      <rPr>
        <sz val="12"/>
        <rFont val="Times New Roman"/>
        <family val="1"/>
        <charset val="204"/>
      </rPr>
      <t xml:space="preserve"> и не се нарушават съответните</t>
    </r>
  </si>
  <si>
    <t xml:space="preserve">      контроли и равнения по отношение на агрегираните данни.</t>
  </si>
  <si>
    <r>
      <rPr>
        <b/>
        <sz val="12"/>
        <rFont val="Times New Roman"/>
        <family val="1"/>
        <charset val="204"/>
      </rPr>
      <t>11.</t>
    </r>
    <r>
      <rPr>
        <sz val="12"/>
        <rFont val="Times New Roman"/>
        <family val="1"/>
        <charset val="204"/>
      </rPr>
      <t xml:space="preserve"> Контролите за начални и крайни салда: </t>
    </r>
    <r>
      <rPr>
        <i/>
        <u/>
        <sz val="12"/>
        <rFont val="Times New Roman"/>
        <family val="1"/>
        <charset val="204"/>
      </rPr>
      <t>редове 64-81</t>
    </r>
    <r>
      <rPr>
        <sz val="12"/>
        <rFont val="Times New Roman"/>
        <family val="1"/>
        <charset val="204"/>
      </rPr>
      <t xml:space="preserve">, колони </t>
    </r>
    <r>
      <rPr>
        <i/>
        <u/>
        <sz val="12"/>
        <rFont val="Times New Roman"/>
        <family val="1"/>
        <charset val="204"/>
      </rPr>
      <t>"O", "P", "R" и "S"</t>
    </r>
    <r>
      <rPr>
        <sz val="12"/>
        <rFont val="Times New Roman"/>
        <family val="1"/>
        <charset val="204"/>
      </rPr>
      <t/>
    </r>
  </si>
  <si>
    <r>
      <t xml:space="preserve">      </t>
    </r>
    <r>
      <rPr>
        <i/>
        <u/>
        <sz val="12"/>
        <rFont val="Times New Roman"/>
        <family val="1"/>
        <charset val="204"/>
      </rPr>
      <t>са приложими</t>
    </r>
    <r>
      <rPr>
        <sz val="12"/>
        <rFont val="Times New Roman"/>
        <family val="1"/>
        <charset val="204"/>
      </rPr>
      <t xml:space="preserve"> както за файла на </t>
    </r>
    <r>
      <rPr>
        <i/>
        <u/>
        <sz val="12"/>
        <rFont val="Times New Roman"/>
        <family val="1"/>
        <charset val="204"/>
      </rPr>
      <t>отделната отчетна единица</t>
    </r>
    <r>
      <rPr>
        <sz val="12"/>
        <rFont val="Times New Roman"/>
        <family val="1"/>
        <charset val="204"/>
      </rPr>
      <t>, така и за файла</t>
    </r>
  </si>
  <si>
    <r>
      <t xml:space="preserve">      </t>
    </r>
    <r>
      <rPr>
        <i/>
        <u/>
        <sz val="12"/>
        <rFont val="Times New Roman"/>
        <family val="1"/>
        <charset val="204"/>
      </rPr>
      <t>за цялата система</t>
    </r>
    <r>
      <rPr>
        <sz val="12"/>
        <rFont val="Times New Roman"/>
        <family val="1"/>
        <charset val="204"/>
      </rPr>
      <t>, който се изпраща на МФ.</t>
    </r>
  </si>
  <si>
    <r>
      <t xml:space="preserve">      при условие, че се касае за </t>
    </r>
    <r>
      <rPr>
        <i/>
        <u/>
        <sz val="12"/>
        <rFont val="Times New Roman"/>
        <family val="1"/>
        <charset val="204"/>
      </rPr>
      <t>несъществени</t>
    </r>
    <r>
      <rPr>
        <sz val="12"/>
        <rFont val="Times New Roman"/>
        <family val="1"/>
        <charset val="204"/>
      </rPr>
      <t xml:space="preserve"> (спрямо системата на първостепенния </t>
    </r>
  </si>
  <si>
    <r>
      <rPr>
        <b/>
        <sz val="12"/>
        <rFont val="Times New Roman"/>
        <family val="1"/>
        <charset val="204"/>
      </rPr>
      <t>2.</t>
    </r>
    <r>
      <rPr>
        <sz val="12"/>
        <rFont val="Times New Roman"/>
        <family val="1"/>
        <charset val="204"/>
      </rPr>
      <t xml:space="preserve"> Тази таблица се попълва от </t>
    </r>
    <r>
      <rPr>
        <i/>
        <u/>
        <sz val="12"/>
        <rFont val="Times New Roman"/>
        <family val="1"/>
        <charset val="204"/>
      </rPr>
      <t>отделната</t>
    </r>
    <r>
      <rPr>
        <sz val="12"/>
        <rFont val="Times New Roman"/>
        <family val="1"/>
        <charset val="204"/>
      </rPr>
      <t xml:space="preserve"> бюджетна организация/единица, доколкото</t>
    </r>
  </si>
  <si>
    <r>
      <t xml:space="preserve">     тя изготвя и представя на висшестоящия разпоредител </t>
    </r>
    <r>
      <rPr>
        <i/>
        <u/>
        <sz val="12"/>
        <rFont val="Times New Roman"/>
        <family val="1"/>
        <charset val="204"/>
      </rPr>
      <t>отделен</t>
    </r>
    <r>
      <rPr>
        <sz val="12"/>
        <rFont val="Times New Roman"/>
        <family val="1"/>
        <charset val="204"/>
      </rPr>
      <t xml:space="preserve"> файл на оборотната</t>
    </r>
  </si>
  <si>
    <t xml:space="preserve">     ведомост и друга отчетна информация за включване/консолидиране на нейните</t>
  </si>
  <si>
    <r>
      <t xml:space="preserve">     данни въвфайла на  </t>
    </r>
    <r>
      <rPr>
        <i/>
        <u/>
        <sz val="12"/>
        <rFont val="Times New Roman"/>
        <family val="1"/>
        <charset val="204"/>
      </rPr>
      <t>сборната</t>
    </r>
    <r>
      <rPr>
        <sz val="12"/>
        <rFont val="Times New Roman"/>
        <family val="1"/>
        <charset val="204"/>
      </rPr>
      <t xml:space="preserve"> оборотна ведомост за системата на първостепенния</t>
    </r>
  </si>
  <si>
    <t xml:space="preserve">     разпоредител с бюджет, ДВУ и БАН.</t>
  </si>
  <si>
    <r>
      <t xml:space="preserve">   таблица във файла за техните </t>
    </r>
    <r>
      <rPr>
        <i/>
        <u/>
        <sz val="12"/>
        <rFont val="Times New Roman"/>
        <family val="1"/>
        <charset val="204"/>
      </rPr>
      <t>индивидуални</t>
    </r>
    <r>
      <rPr>
        <sz val="12"/>
        <rFont val="Times New Roman"/>
        <family val="1"/>
        <charset val="204"/>
      </rPr>
      <t xml:space="preserve"> данни.</t>
    </r>
  </si>
  <si>
    <r>
      <rPr>
        <b/>
        <sz val="12"/>
        <rFont val="Times New Roman"/>
        <family val="1"/>
        <charset val="204"/>
      </rPr>
      <t>4.</t>
    </r>
    <r>
      <rPr>
        <sz val="12"/>
        <rFont val="Times New Roman"/>
        <family val="1"/>
        <charset val="204"/>
      </rPr>
      <t xml:space="preserve"> Във файла на </t>
    </r>
    <r>
      <rPr>
        <i/>
        <u/>
        <sz val="12"/>
        <rFont val="Times New Roman"/>
        <family val="1"/>
        <charset val="204"/>
      </rPr>
      <t>сборната</t>
    </r>
    <r>
      <rPr>
        <sz val="12"/>
        <rFont val="Times New Roman"/>
        <family val="1"/>
        <charset val="204"/>
      </rPr>
      <t xml:space="preserve"> оборотна ведомост за </t>
    </r>
    <r>
      <rPr>
        <i/>
        <u/>
        <sz val="12"/>
        <rFont val="Times New Roman"/>
        <family val="1"/>
        <charset val="204"/>
      </rPr>
      <t>цялата</t>
    </r>
    <r>
      <rPr>
        <sz val="12"/>
        <rFont val="Times New Roman"/>
        <family val="1"/>
        <charset val="204"/>
      </rPr>
      <t xml:space="preserve"> система на първостепенния</t>
    </r>
  </si>
  <si>
    <t xml:space="preserve">    разпоредител, ДВУ и БАН (файлът, който се изпраща на МФ) в тази таблица следва</t>
  </si>
  <si>
    <r>
      <rPr>
        <b/>
        <sz val="12"/>
        <rFont val="Times New Roman"/>
        <family val="1"/>
        <charset val="204"/>
      </rPr>
      <t>5.</t>
    </r>
    <r>
      <rPr>
        <sz val="12"/>
        <rFont val="Times New Roman"/>
        <family val="1"/>
        <charset val="204"/>
      </rPr>
      <t xml:space="preserve"> Отделната бюджетна организация/единица попълва съответните позиции в табли-</t>
    </r>
  </si>
  <si>
    <t xml:space="preserve">    цата, представляващи както насрещни/огледални разчети между отделните отчетни</t>
  </si>
  <si>
    <t xml:space="preserve">    групи в рамките на бюджетната организация/единица (например огледалните</t>
  </si>
  <si>
    <t xml:space="preserve">     взаимни разчети между БЮДЖЕТ и СЕС по сметка 4682 ), така и вземания/задъл-</t>
  </si>
  <si>
    <r>
      <t xml:space="preserve">    жения по включените в таблицата разчети срещу други единици, </t>
    </r>
    <r>
      <rPr>
        <i/>
        <u/>
        <sz val="12"/>
        <rFont val="Times New Roman"/>
        <family val="1"/>
        <charset val="204"/>
      </rPr>
      <t>в рамките на</t>
    </r>
  </si>
  <si>
    <r>
      <t xml:space="preserve">    </t>
    </r>
    <r>
      <rPr>
        <i/>
        <u/>
        <sz val="12"/>
        <rFont val="Times New Roman"/>
        <family val="1"/>
        <charset val="204"/>
      </rPr>
      <t>системата на първостепенния разпоредител</t>
    </r>
    <r>
      <rPr>
        <sz val="12"/>
        <rFont val="Times New Roman"/>
        <family val="1"/>
        <charset val="204"/>
      </rPr>
      <t xml:space="preserve">, респективно - на </t>
    </r>
    <r>
      <rPr>
        <i/>
        <u/>
        <sz val="12"/>
        <rFont val="Times New Roman"/>
        <family val="1"/>
        <charset val="204"/>
      </rPr>
      <t>ДВУ и БАН</t>
    </r>
    <r>
      <rPr>
        <sz val="12"/>
        <rFont val="Times New Roman"/>
        <family val="1"/>
        <charset val="204"/>
      </rPr>
      <t>.</t>
    </r>
  </si>
  <si>
    <r>
      <t xml:space="preserve">    </t>
    </r>
    <r>
      <rPr>
        <i/>
        <u/>
        <sz val="12"/>
        <rFont val="Times New Roman"/>
        <family val="1"/>
        <charset val="204"/>
      </rPr>
      <t>на съответния първостепенен разпоредител, ДВУ и БАН</t>
    </r>
    <r>
      <rPr>
        <sz val="12"/>
        <rFont val="Times New Roman"/>
        <family val="1"/>
        <charset val="204"/>
      </rPr>
      <t xml:space="preserve"> отделната бюджетна</t>
    </r>
  </si>
  <si>
    <r>
      <rPr>
        <b/>
        <sz val="12"/>
        <rFont val="Times New Roman"/>
        <family val="1"/>
        <charset val="204"/>
      </rPr>
      <t>9.</t>
    </r>
    <r>
      <rPr>
        <sz val="12"/>
        <rFont val="Times New Roman"/>
        <family val="1"/>
        <charset val="204"/>
      </rPr>
      <t xml:space="preserve"> В таблицата е заложена за съответния показател логическа контрола - попълнените</t>
    </r>
  </si>
  <si>
    <t xml:space="preserve">     се показва съобщение за грешка.</t>
  </si>
  <si>
    <r>
      <t xml:space="preserve">    </t>
    </r>
    <r>
      <rPr>
        <i/>
        <sz val="12"/>
        <rFont val="Times New Roman"/>
        <family val="1"/>
        <charset val="204"/>
      </rPr>
      <t xml:space="preserve">  </t>
    </r>
    <r>
      <rPr>
        <i/>
        <u/>
        <sz val="12"/>
        <rFont val="Times New Roman"/>
        <family val="1"/>
        <charset val="204"/>
      </rPr>
      <t>само за файла,който е предназначен за представяне в МФ</t>
    </r>
    <r>
      <rPr>
        <sz val="12"/>
        <rFont val="Times New Roman"/>
        <family val="1"/>
        <charset val="204"/>
      </rPr>
      <t>.</t>
    </r>
  </si>
  <si>
    <r>
      <rPr>
        <b/>
        <sz val="12"/>
        <rFont val="Times New Roman"/>
        <family val="1"/>
        <charset val="204"/>
      </rPr>
      <t>12.</t>
    </r>
    <r>
      <rPr>
        <sz val="12"/>
        <rFont val="Times New Roman"/>
        <family val="1"/>
        <charset val="204"/>
      </rPr>
      <t xml:space="preserve"> При коректно отчитане, попълване и агрегиране на данните за тези разчети</t>
    </r>
  </si>
  <si>
    <r>
      <rPr>
        <b/>
        <sz val="12"/>
        <rFont val="Times New Roman"/>
        <family val="1"/>
        <charset val="204"/>
      </rPr>
      <t xml:space="preserve">      </t>
    </r>
    <r>
      <rPr>
        <sz val="12"/>
        <rFont val="Times New Roman"/>
        <family val="1"/>
        <charset val="204"/>
      </rPr>
      <t xml:space="preserve">във файла за </t>
    </r>
    <r>
      <rPr>
        <i/>
        <u/>
        <sz val="12"/>
        <rFont val="Times New Roman"/>
        <family val="1"/>
        <charset val="204"/>
      </rPr>
      <t>цялата</t>
    </r>
    <r>
      <rPr>
        <sz val="12"/>
        <rFont val="Times New Roman"/>
        <family val="1"/>
        <charset val="204"/>
      </rPr>
      <t xml:space="preserve"> система на първостепенния разпоредител, ДВУ и БАН</t>
    </r>
  </si>
  <si>
    <r>
      <rPr>
        <b/>
        <sz val="12"/>
        <rFont val="Times New Roman"/>
        <family val="1"/>
        <charset val="204"/>
      </rPr>
      <t xml:space="preserve">    </t>
    </r>
    <r>
      <rPr>
        <i/>
        <sz val="12"/>
        <rFont val="Times New Roman"/>
        <family val="1"/>
        <charset val="204"/>
      </rPr>
      <t xml:space="preserve"> </t>
    </r>
    <r>
      <rPr>
        <i/>
        <u/>
        <sz val="12"/>
        <rFont val="Times New Roman"/>
        <family val="1"/>
        <charset val="204"/>
      </rPr>
      <t>(файлът, който се изпраща на МФ</t>
    </r>
    <r>
      <rPr>
        <sz val="12"/>
        <rFont val="Times New Roman"/>
        <family val="1"/>
        <charset val="204"/>
      </rPr>
      <t>) би следвало съответните дебитни и кредитни</t>
    </r>
  </si>
  <si>
    <t xml:space="preserve">      салда да са равни.</t>
  </si>
  <si>
    <r>
      <t xml:space="preserve">     </t>
    </r>
    <r>
      <rPr>
        <i/>
        <sz val="12"/>
        <rFont val="Times New Roman"/>
        <family val="1"/>
        <charset val="204"/>
      </rPr>
      <t xml:space="preserve"> </t>
    </r>
    <r>
      <rPr>
        <i/>
        <u/>
        <sz val="12"/>
        <rFont val="Times New Roman"/>
        <family val="1"/>
        <charset val="204"/>
      </rPr>
      <t>е предназначен за представяне в МФ</t>
    </r>
    <r>
      <rPr>
        <sz val="12"/>
        <rFont val="Times New Roman"/>
        <family val="1"/>
        <charset val="204"/>
      </rPr>
      <t>. Поради това, за коректното попълване на</t>
    </r>
  </si>
  <si>
    <t>І.1. Задължения по сметка 4544 към общината-първостепенен разпоредител и нейни звена</t>
  </si>
  <si>
    <r>
      <rPr>
        <b/>
        <sz val="12"/>
        <rFont val="Times New Roman CYR"/>
        <charset val="204"/>
      </rPr>
      <t>а)</t>
    </r>
    <r>
      <rPr>
        <sz val="12"/>
        <rFont val="Times New Roman CYR"/>
        <charset val="204"/>
      </rPr>
      <t xml:space="preserve"> за общински данъци и такси, отчитани като разходи от общинската единица по с/ки 6062 и 6065</t>
    </r>
  </si>
  <si>
    <r>
      <rPr>
        <b/>
        <sz val="12"/>
        <rFont val="Times New Roman CYR"/>
        <charset val="204"/>
      </rPr>
      <t>б)</t>
    </r>
    <r>
      <rPr>
        <sz val="12"/>
        <rFont val="Times New Roman CYR"/>
        <charset val="204"/>
      </rPr>
      <t xml:space="preserve"> за туристически данък, дължим от общинската единица на общината-първост. разпоредител</t>
    </r>
  </si>
  <si>
    <t>І.2. Задължения за общински данъци и такси по сметка 4544, дължими към други общини</t>
  </si>
  <si>
    <t>ІІІ.1. Вземания по сметка 4547 срещу общината-първостепенен разпоредител и нейни звена</t>
  </si>
  <si>
    <t>ІІІ.2. Вземания по сметка 4547 срещу други общини</t>
  </si>
  <si>
    <t>V.2. Вземания по сметки 430 срещу други лица</t>
  </si>
  <si>
    <t>VІ.1. Задължения по сметки 431 към разпоредители с бюджет на общината</t>
  </si>
  <si>
    <t>VІ.2. Задължения по сметка 431 към други лица</t>
  </si>
  <si>
    <r>
      <t xml:space="preserve">        VІІ. Салда по сметка 4500 (на консолидирано ниво салдото на с/ка 4500 следва да е равно на </t>
    </r>
    <r>
      <rPr>
        <b/>
        <sz val="12"/>
        <color indexed="10"/>
        <rFont val="Times New Roman CYR"/>
        <charset val="204"/>
      </rPr>
      <t>0</t>
    </r>
    <r>
      <rPr>
        <b/>
        <sz val="12"/>
        <rFont val="Times New Roman CYR"/>
        <charset val="204"/>
      </rPr>
      <t>)</t>
    </r>
  </si>
  <si>
    <t>ІV.1. Задължения по сметка 4548 към общината-първостепенен разпоредител и нейни звена</t>
  </si>
  <si>
    <t>ІV.2. Задължения по сметка 4548 към други общини</t>
  </si>
  <si>
    <t>коректив на сумата за елиминиране, въведен от първостепенния разпоредител, ДВУ и БАН:</t>
  </si>
  <si>
    <t xml:space="preserve">   коректив на сумата за елиминиране, въведен от общината-първостепенен разпоредител:</t>
  </si>
  <si>
    <r>
      <rPr>
        <b/>
        <sz val="12"/>
        <rFont val="Times New Roman"/>
        <family val="1"/>
        <charset val="204"/>
      </rPr>
      <t>10.</t>
    </r>
    <r>
      <rPr>
        <sz val="12"/>
        <rFont val="Times New Roman"/>
        <family val="1"/>
        <charset val="204"/>
      </rPr>
      <t xml:space="preserve"> Полетата за </t>
    </r>
    <r>
      <rPr>
        <i/>
        <u/>
        <sz val="12"/>
        <rFont val="Times New Roman"/>
        <family val="1"/>
        <charset val="204"/>
      </rPr>
      <t>редове 34-61</t>
    </r>
    <r>
      <rPr>
        <sz val="12"/>
        <rFont val="Times New Roman"/>
        <family val="1"/>
        <charset val="204"/>
      </rPr>
      <t xml:space="preserve"> и свързаните с тях контроли  са приложими</t>
    </r>
  </si>
  <si>
    <r>
      <t xml:space="preserve">    попълват салдата по </t>
    </r>
    <r>
      <rPr>
        <i/>
        <sz val="12"/>
        <rFont val="Times New Roman"/>
        <family val="1"/>
        <charset val="204"/>
      </rPr>
      <t>ДЕБИТА</t>
    </r>
    <r>
      <rPr>
        <sz val="12"/>
        <rFont val="Times New Roman"/>
        <family val="1"/>
        <charset val="204"/>
      </rPr>
      <t xml:space="preserve"> и </t>
    </r>
    <r>
      <rPr>
        <i/>
        <sz val="12"/>
        <rFont val="Times New Roman"/>
        <family val="1"/>
        <charset val="204"/>
      </rPr>
      <t>КРЕДИТА</t>
    </r>
    <r>
      <rPr>
        <sz val="12"/>
        <rFont val="Times New Roman"/>
        <family val="1"/>
        <charset val="204"/>
      </rPr>
      <t xml:space="preserve"> на съответния разчет, които следва да са</t>
    </r>
  </si>
  <si>
    <r>
      <t xml:space="preserve">    с </t>
    </r>
    <r>
      <rPr>
        <i/>
        <u/>
        <sz val="12"/>
        <rFont val="Times New Roman"/>
        <family val="1"/>
        <charset val="204"/>
      </rPr>
      <t>равни суми</t>
    </r>
    <r>
      <rPr>
        <sz val="12"/>
        <rFont val="Times New Roman"/>
        <family val="1"/>
        <charset val="204"/>
      </rPr>
      <t xml:space="preserve"> (Например за насрещните разчети между БЮДЖЕТ и СЕС по с/ка 4682</t>
    </r>
  </si>
  <si>
    <r>
      <t xml:space="preserve">    за начални/крайни салда </t>
    </r>
    <r>
      <rPr>
        <i/>
        <u/>
        <sz val="12"/>
        <rFont val="Times New Roman"/>
        <family val="1"/>
        <charset val="204"/>
      </rPr>
      <t>една и съща сума</t>
    </r>
    <r>
      <rPr>
        <sz val="12"/>
        <rFont val="Times New Roman"/>
        <family val="1"/>
        <charset val="204"/>
      </rPr>
      <t xml:space="preserve"> по </t>
    </r>
    <r>
      <rPr>
        <i/>
        <sz val="12"/>
        <rFont val="Times New Roman"/>
        <family val="1"/>
        <charset val="204"/>
      </rPr>
      <t>Дебита</t>
    </r>
    <r>
      <rPr>
        <sz val="12"/>
        <rFont val="Times New Roman"/>
        <family val="1"/>
        <charset val="204"/>
      </rPr>
      <t xml:space="preserve"> и </t>
    </r>
    <r>
      <rPr>
        <i/>
        <sz val="12"/>
        <rFont val="Times New Roman"/>
        <family val="1"/>
        <charset val="204"/>
      </rPr>
      <t>Кредита</t>
    </r>
    <r>
      <rPr>
        <sz val="12"/>
        <rFont val="Times New Roman"/>
        <family val="1"/>
        <charset val="204"/>
      </rPr>
      <t>).</t>
    </r>
  </si>
  <si>
    <t xml:space="preserve">    да са агрегирани данните на всички единици от тяхната система.</t>
  </si>
  <si>
    <r>
      <rPr>
        <b/>
        <sz val="12"/>
        <rFont val="Times New Roman"/>
        <family val="1"/>
        <charset val="204"/>
      </rPr>
      <t>3.</t>
    </r>
    <r>
      <rPr>
        <sz val="12"/>
        <rFont val="Times New Roman"/>
        <family val="1"/>
        <charset val="204"/>
      </rPr>
      <t xml:space="preserve"> Данните на самите първостепенните разпоредители с бюджет, ДВУ и БАН (т.е. в </t>
    </r>
  </si>
  <si>
    <r>
      <t xml:space="preserve">    качеството им на отделни отчетни единици в системата)</t>
    </r>
    <r>
      <rPr>
        <sz val="12"/>
        <rFont val="Times New Roman"/>
        <family val="1"/>
        <charset val="204"/>
      </rPr>
      <t xml:space="preserve"> </t>
    </r>
    <r>
      <rPr>
        <i/>
        <u/>
        <sz val="12"/>
        <rFont val="Times New Roman"/>
        <family val="1"/>
        <charset val="204"/>
      </rPr>
      <t>също</t>
    </r>
    <r>
      <rPr>
        <sz val="12"/>
        <rFont val="Times New Roman"/>
        <family val="1"/>
        <charset val="204"/>
      </rPr>
      <t xml:space="preserve"> се попълват в тази</t>
    </r>
  </si>
  <si>
    <r>
      <t xml:space="preserve">     и представя на висшестоящия общински разпоредител </t>
    </r>
    <r>
      <rPr>
        <i/>
        <u/>
        <sz val="12"/>
        <rFont val="Times New Roman"/>
        <family val="1"/>
        <charset val="204"/>
      </rPr>
      <t>отделен</t>
    </r>
    <r>
      <rPr>
        <sz val="12"/>
        <rFont val="Times New Roman"/>
        <family val="1"/>
        <charset val="204"/>
      </rPr>
      <t xml:space="preserve"> файл на оборотната</t>
    </r>
  </si>
  <si>
    <r>
      <t xml:space="preserve">     данни във файла на  </t>
    </r>
    <r>
      <rPr>
        <i/>
        <u/>
        <sz val="12"/>
        <rFont val="Times New Roman"/>
        <family val="1"/>
        <charset val="204"/>
      </rPr>
      <t>сборната</t>
    </r>
    <r>
      <rPr>
        <sz val="12"/>
        <rFont val="Times New Roman"/>
        <family val="1"/>
        <charset val="204"/>
      </rPr>
      <t xml:space="preserve"> оборотна ведомост за системата на първостепенния</t>
    </r>
  </si>
  <si>
    <t xml:space="preserve">     разпоредител с бюджет-общината.</t>
  </si>
  <si>
    <r>
      <t xml:space="preserve">    с нейните </t>
    </r>
    <r>
      <rPr>
        <i/>
        <u/>
        <sz val="12"/>
        <rFont val="Times New Roman"/>
        <family val="1"/>
        <charset val="204"/>
      </rPr>
      <t>индивидуални</t>
    </r>
    <r>
      <rPr>
        <sz val="12"/>
        <rFont val="Times New Roman"/>
        <family val="1"/>
        <charset val="204"/>
      </rPr>
      <t xml:space="preserve"> данни.</t>
    </r>
  </si>
  <si>
    <t xml:space="preserve">   първостепенна система) също се попълват в тази таблица във файла </t>
  </si>
  <si>
    <t xml:space="preserve">     вземания и задължения към други общини и лица.</t>
  </si>
  <si>
    <t xml:space="preserve">     на общината-първостепенен разпоредител от останалите разчети по тези сметки - </t>
  </si>
  <si>
    <t>ІІ.2. Вземания за общински данъци и такси по сметка 4545 срещу други общини</t>
  </si>
  <si>
    <r>
      <rPr>
        <b/>
        <sz val="12"/>
        <rFont val="Times New Roman"/>
        <family val="1"/>
        <charset val="204"/>
      </rPr>
      <t xml:space="preserve">     </t>
    </r>
    <r>
      <rPr>
        <sz val="12"/>
        <rFont val="Times New Roman"/>
        <family val="1"/>
        <charset val="204"/>
      </rPr>
      <t xml:space="preserve">логическа контрола - общият размер на попълнените в съответните клетки суми </t>
    </r>
  </si>
  <si>
    <t xml:space="preserve">     по отделните позиции на разшифровката за дадена сметка следва да е равен на </t>
  </si>
  <si>
    <t xml:space="preserve">     В случай на разлика, съответното поле за контрола се оцветява в червен цвят и</t>
  </si>
  <si>
    <t xml:space="preserve">      система на общината вземания и задължения и свързаната с тях корекция на </t>
  </si>
  <si>
    <t xml:space="preserve">      подлежащите на елиминране и корекция суми на вземания, задължения, приходи</t>
  </si>
  <si>
    <t xml:space="preserve">      или разходи не са точни, в таблицата се дава възможност общината-първостепенен</t>
  </si>
  <si>
    <r>
      <t xml:space="preserve">      </t>
    </r>
    <r>
      <rPr>
        <i/>
        <u/>
        <sz val="12"/>
        <rFont val="Times New Roman"/>
        <family val="1"/>
        <charset val="204"/>
      </rPr>
      <t>за цялата система</t>
    </r>
    <r>
      <rPr>
        <sz val="12"/>
        <rFont val="Times New Roman"/>
        <family val="1"/>
        <charset val="204"/>
      </rPr>
      <t>, който се изпраща от общината на МФ.</t>
    </r>
  </si>
  <si>
    <t xml:space="preserve">      ните и агрегирани данни в таблицата.</t>
  </si>
  <si>
    <t xml:space="preserve">      приходи и разходи се изчислява автоматично въз основа на попълне-</t>
  </si>
  <si>
    <r>
      <rPr>
        <b/>
        <sz val="12"/>
        <rFont val="Times New Roman"/>
        <family val="1"/>
        <charset val="204"/>
      </rPr>
      <t>4.</t>
    </r>
    <r>
      <rPr>
        <sz val="12"/>
        <rFont val="Times New Roman"/>
        <family val="1"/>
        <charset val="204"/>
      </rPr>
      <t xml:space="preserve"> Тази таблица се попълва от </t>
    </r>
    <r>
      <rPr>
        <i/>
        <u/>
        <sz val="12"/>
        <rFont val="Times New Roman"/>
        <family val="1"/>
        <charset val="204"/>
      </rPr>
      <t>отделната</t>
    </r>
    <r>
      <rPr>
        <sz val="12"/>
        <rFont val="Times New Roman"/>
        <family val="1"/>
        <charset val="204"/>
      </rPr>
      <t xml:space="preserve"> общинска единица, доколкото тя изготвя</t>
    </r>
  </si>
  <si>
    <r>
      <rPr>
        <b/>
        <sz val="12"/>
        <rFont val="Times New Roman"/>
        <family val="1"/>
        <charset val="204"/>
      </rPr>
      <t>5.</t>
    </r>
    <r>
      <rPr>
        <sz val="12"/>
        <rFont val="Times New Roman"/>
        <family val="1"/>
        <charset val="204"/>
      </rPr>
      <t xml:space="preserve"> Данните на </t>
    </r>
    <r>
      <rPr>
        <i/>
        <sz val="12"/>
        <rFont val="Times New Roman"/>
        <family val="1"/>
        <charset val="204"/>
      </rPr>
      <t>самата</t>
    </r>
    <r>
      <rPr>
        <sz val="12"/>
        <rFont val="Times New Roman"/>
        <family val="1"/>
        <charset val="204"/>
      </rPr>
      <t xml:space="preserve"> община (като </t>
    </r>
    <r>
      <rPr>
        <i/>
        <sz val="12"/>
        <rFont val="Times New Roman"/>
        <family val="1"/>
        <charset val="204"/>
      </rPr>
      <t>отделна</t>
    </r>
    <r>
      <rPr>
        <sz val="12"/>
        <rFont val="Times New Roman"/>
        <family val="1"/>
        <charset val="204"/>
      </rPr>
      <t xml:space="preserve"> отчетна единица в рамките на цялата </t>
    </r>
  </si>
  <si>
    <r>
      <rPr>
        <b/>
        <sz val="12"/>
        <rFont val="Times New Roman"/>
        <family val="1"/>
        <charset val="204"/>
      </rPr>
      <t>6.</t>
    </r>
    <r>
      <rPr>
        <sz val="12"/>
        <rFont val="Times New Roman"/>
        <family val="1"/>
        <charset val="204"/>
      </rPr>
      <t xml:space="preserve"> Справката представлява разшифровка на начални и крайни салда на някои разчетни</t>
    </r>
  </si>
  <si>
    <t xml:space="preserve">    ния, задължения, приходи и разходи, произтичащи от включените в таблицата</t>
  </si>
  <si>
    <t xml:space="preserve">    разчети между единици в рамките на общината-първостепенен разпоредител.</t>
  </si>
  <si>
    <r>
      <rPr>
        <b/>
        <sz val="12"/>
        <rFont val="Times New Roman CYR"/>
        <charset val="204"/>
      </rPr>
      <t xml:space="preserve">Нето-ефект върху  изменението на нетните активи в баланса </t>
    </r>
    <r>
      <rPr>
        <b/>
        <sz val="12"/>
        <color indexed="18"/>
        <rFont val="Times New Roman Cyr"/>
        <charset val="204"/>
      </rPr>
      <t xml:space="preserve">- </t>
    </r>
    <r>
      <rPr>
        <i/>
        <sz val="12"/>
        <rFont val="Times New Roman CYR"/>
        <charset val="204"/>
      </rPr>
      <t>(шифър 0403)</t>
    </r>
  </si>
  <si>
    <t xml:space="preserve">      автоматичните корективни консолидационни записвания в сборния баланс и ОПР</t>
  </si>
  <si>
    <t xml:space="preserve">      за цялата първостепенна система на общината е особено важно както общината-</t>
  </si>
  <si>
    <r>
      <t xml:space="preserve">      първостепенен разпоредител, така и </t>
    </r>
    <r>
      <rPr>
        <i/>
        <sz val="12"/>
        <rFont val="Times New Roman"/>
        <family val="1"/>
        <charset val="204"/>
      </rPr>
      <t xml:space="preserve">отделната </t>
    </r>
    <r>
      <rPr>
        <sz val="12"/>
        <rFont val="Times New Roman"/>
        <family val="1"/>
        <charset val="204"/>
      </rPr>
      <t>общинска единица</t>
    </r>
  </si>
  <si>
    <t>I.</t>
  </si>
  <si>
    <t>Общи указания</t>
  </si>
  <si>
    <t>Таблиците са защитени и информация може да се нанася само в определени полета.</t>
  </si>
  <si>
    <t>Не следва да се правят опити за изтриване или вмъкване на редове, колони и отделни таблици.</t>
  </si>
  <si>
    <t>Не следва да се правят опити за промяна на наименованието на отделните таблици.</t>
  </si>
  <si>
    <t>Не следва да се правят опити за промяна на формата на данните.</t>
  </si>
  <si>
    <t>В полетата за ръчно въвеждане на суми се попълват само числа. Не следва да се вписват буквени</t>
  </si>
  <si>
    <t>или други символни означения.</t>
  </si>
  <si>
    <t>II.</t>
  </si>
  <si>
    <t>съдържа само данни на отделна отчетна единица или това е файлът, който съдържа агрегираните данни</t>
  </si>
  <si>
    <t>за цялата система на първостепенния разпоредител, ДВУ и БАН (файлът, който се изпраща на МФ).</t>
  </si>
  <si>
    <t>Коректното попълване на тази таблица е от особена важност, тъй като от него зависи коректното прилагане</t>
  </si>
  <si>
    <t>единици в системата на първостепенния разпоредител, ДВУ и БАН (а за общините и произтичащите от</t>
  </si>
  <si>
    <t>разчети приходи и разходи).</t>
  </si>
  <si>
    <t>IІІ.</t>
  </si>
  <si>
    <t>В тази таблица се включват данните от оборотните ведомости по трите отчетни групи.</t>
  </si>
  <si>
    <t>В таблицата са заложени контроли за равнение на дебитнити и кредитните салда и обороти.</t>
  </si>
  <si>
    <t>области). Тези данни се получават автоматично и не следва да се правят опити за въвеждане на</t>
  </si>
  <si>
    <t>суми в тези полета. Възможно е при коректно попълване на данните в трите оборотни ведомости</t>
  </si>
  <si>
    <t>и тези полета не подлежат на ръчно въвеждане.</t>
  </si>
  <si>
    <t>IV.</t>
  </si>
  <si>
    <t xml:space="preserve">В тази таблица се попълват данните за бюджетното салдо за съответния отчетен период, което фигурира </t>
  </si>
  <si>
    <t>сметките за чужди средства.</t>
  </si>
  <si>
    <t xml:space="preserve">(сектор "Държавно управление" и неговите подсектори) на коригираното с ефекта от измененията на </t>
  </si>
  <si>
    <t>V.</t>
  </si>
  <si>
    <t>В тази таблица се разнася информация за провизиите на вземанията и някои корективи на активи и пасиви,</t>
  </si>
  <si>
    <t>съгласно съответните указания на МФ.</t>
  </si>
  <si>
    <t>с началните и крайните крайните салда на сметки 539 и 589, 4915-4918, 4960-4962, 1593 и 1594,</t>
  </si>
  <si>
    <t>VІ.</t>
  </si>
  <si>
    <t>В тази таблица се попълва информация за насрещните вземания и задължения между отчетните единици</t>
  </si>
  <si>
    <t>в рамките на системата на първостепенния разпоредител с бюджет, ДВУ и БАН. За целите на елиминиране</t>
  </si>
  <si>
    <t>ДВУ и БАН.</t>
  </si>
  <si>
    <t>По-подробни указания за попълване се съдържат в самата таблица.</t>
  </si>
  <si>
    <t>VІІ.</t>
  </si>
  <si>
    <t>В тази таблица се попълва информация за разшифровка на салда по някои сметки за разчети на общините,</t>
  </si>
  <si>
    <t>По-подробни указания за попълване на таблицата се съдържат в самата таблица.</t>
  </si>
  <si>
    <t>VІІІ.</t>
  </si>
  <si>
    <t>ІХ.</t>
  </si>
  <si>
    <t>Данните в тези таблици се получават автоматично и в тях не се въвеждат ръчно информация.</t>
  </si>
  <si>
    <t>и другите справки. При неравнение на данните, в съответните полета на  на червен фон ще се</t>
  </si>
  <si>
    <t xml:space="preserve">В раздел ІV. ВСИЧКО (колони 7 и 8) на баланса автоматично се отразяват корекции в съответните </t>
  </si>
  <si>
    <t>(При некоректно попълване се показват в колони "P" и "Q" съответните надписи за грешки и неравнения,</t>
  </si>
  <si>
    <t xml:space="preserve"> маркирани на червен фон).</t>
  </si>
  <si>
    <t>Х.</t>
  </si>
  <si>
    <t>В тези таблици се представя информация за Отчета за приходите и разходи (ОПР).</t>
  </si>
  <si>
    <t xml:space="preserve">В раздел ІV. ВСИЧКО (колони 7 и 8) на ОПР автоматично се отразяват корекции в съответните </t>
  </si>
  <si>
    <t>надписи за грешки и неравнения, маркирани на червен фон).</t>
  </si>
  <si>
    <t>ХІ.</t>
  </si>
  <si>
    <t>ХІІ.</t>
  </si>
  <si>
    <t>Разплащателната агенция към ДФ "Земеделие" средства, и произтичащите от тях приходи,</t>
  </si>
  <si>
    <t>Указания за отпечатване</t>
  </si>
  <si>
    <r>
      <t xml:space="preserve">В съответните таблици е заложен обхватът на </t>
    </r>
    <r>
      <rPr>
        <b/>
        <sz val="12"/>
        <rFont val="Times New Roman Cyr"/>
        <family val="1"/>
      </rPr>
      <t>Print area</t>
    </r>
    <r>
      <rPr>
        <sz val="12"/>
        <rFont val="Times New Roman CYR"/>
        <family val="1"/>
      </rPr>
      <t>, който може да се променя.</t>
    </r>
  </si>
  <si>
    <r>
      <t xml:space="preserve">При отпечатване, съответните полета може да се копират </t>
    </r>
    <r>
      <rPr>
        <b/>
        <i/>
        <sz val="12"/>
        <rFont val="Times New Roman Cyr"/>
        <family val="1"/>
      </rPr>
      <t>на отделен файл</t>
    </r>
    <r>
      <rPr>
        <sz val="12"/>
        <rFont val="Times New Roman CYR"/>
        <family val="1"/>
      </rPr>
      <t>, да им се зададат желания</t>
    </r>
  </si>
  <si>
    <t>цвят за текст и фон на клетката и така да се отпечатат. При отпечатване на таблиците,</t>
  </si>
  <si>
    <t>копирането на отделен файл е уместно да се съпроводи и с трансформирането на формулите в</t>
  </si>
  <si>
    <r>
      <t xml:space="preserve">стойности (маркира се текста, извиква се командата </t>
    </r>
    <r>
      <rPr>
        <b/>
        <sz val="12"/>
        <rFont val="Times New Roman Cyr"/>
        <family val="1"/>
      </rPr>
      <t>Copy</t>
    </r>
    <r>
      <rPr>
        <sz val="12"/>
        <rFont val="Times New Roman CYR"/>
        <family val="1"/>
      </rPr>
      <t xml:space="preserve"> , върху маркирания текст се активира</t>
    </r>
  </si>
  <si>
    <r>
      <t xml:space="preserve">командата </t>
    </r>
    <r>
      <rPr>
        <b/>
        <sz val="12"/>
        <rFont val="Times New Roman Cyr"/>
        <family val="1"/>
      </rPr>
      <t xml:space="preserve">Paste Special </t>
    </r>
    <r>
      <rPr>
        <sz val="12"/>
        <rFont val="Times New Roman CYR"/>
        <family val="1"/>
      </rPr>
      <t xml:space="preserve"> и от нейното меню се отбелязва</t>
    </r>
    <r>
      <rPr>
        <b/>
        <sz val="12"/>
        <rFont val="Times New Roman Cyr"/>
        <family val="1"/>
      </rPr>
      <t xml:space="preserve"> Values</t>
    </r>
    <r>
      <rPr>
        <sz val="12"/>
        <rFont val="Times New Roman CYR"/>
        <family val="1"/>
      </rPr>
      <t>). По този начин ще се позволи</t>
    </r>
  </si>
  <si>
    <t>безпроблемното редактиране на данните (изтриване на излишни редове и др.) за целите на</t>
  </si>
  <si>
    <t>отпечатването.</t>
  </si>
  <si>
    <r>
      <rPr>
        <b/>
        <sz val="12"/>
        <color indexed="13"/>
        <rFont val="Times New Roman"/>
        <family val="1"/>
        <charset val="204"/>
      </rPr>
      <t>1.</t>
    </r>
    <r>
      <rPr>
        <sz val="12"/>
        <color indexed="13"/>
        <rFont val="Times New Roman"/>
        <family val="1"/>
        <charset val="204"/>
      </rPr>
      <t xml:space="preserve"> Тази таблица се попълва </t>
    </r>
    <r>
      <rPr>
        <i/>
        <u/>
        <sz val="12"/>
        <color indexed="13"/>
        <rFont val="Times New Roman"/>
        <family val="1"/>
        <charset val="204"/>
      </rPr>
      <t>само</t>
    </r>
    <r>
      <rPr>
        <sz val="12"/>
        <color indexed="13"/>
        <rFont val="Times New Roman"/>
        <family val="1"/>
        <charset val="204"/>
      </rPr>
      <t xml:space="preserve"> при изготвяне на </t>
    </r>
    <r>
      <rPr>
        <i/>
        <u/>
        <sz val="12"/>
        <color indexed="13"/>
        <rFont val="Times New Roman"/>
        <family val="1"/>
        <charset val="204"/>
      </rPr>
      <t>годишната</t>
    </r>
    <r>
      <rPr>
        <sz val="12"/>
        <color indexed="13"/>
        <rFont val="Times New Roman"/>
        <family val="1"/>
        <charset val="204"/>
      </rPr>
      <t xml:space="preserve"> оборотна ведомост!</t>
    </r>
  </si>
  <si>
    <r>
      <rPr>
        <b/>
        <sz val="12"/>
        <color indexed="13"/>
        <rFont val="Times New Roman"/>
        <family val="1"/>
        <charset val="204"/>
      </rPr>
      <t>2.</t>
    </r>
    <r>
      <rPr>
        <sz val="12"/>
        <color indexed="13"/>
        <rFont val="Times New Roman"/>
        <family val="1"/>
        <charset val="204"/>
      </rPr>
      <t xml:space="preserve"> Тази таблица се попълва </t>
    </r>
    <r>
      <rPr>
        <i/>
        <u/>
        <sz val="12"/>
        <color indexed="13"/>
        <rFont val="Times New Roman"/>
        <family val="1"/>
        <charset val="204"/>
      </rPr>
      <t>само</t>
    </r>
    <r>
      <rPr>
        <sz val="12"/>
        <color indexed="13"/>
        <rFont val="Times New Roman"/>
        <family val="1"/>
        <charset val="204"/>
      </rPr>
      <t xml:space="preserve"> от </t>
    </r>
    <r>
      <rPr>
        <i/>
        <u/>
        <sz val="12"/>
        <color indexed="13"/>
        <rFont val="Times New Roman"/>
        <family val="1"/>
        <charset val="204"/>
      </rPr>
      <t>общините</t>
    </r>
    <r>
      <rPr>
        <sz val="12"/>
        <color indexed="13"/>
        <rFont val="Times New Roman"/>
        <family val="1"/>
        <charset val="204"/>
      </rPr>
      <t xml:space="preserve"> и подведомствените им разпоредители!</t>
    </r>
  </si>
  <si>
    <r>
      <t xml:space="preserve">                                                  </t>
    </r>
    <r>
      <rPr>
        <sz val="12"/>
        <color indexed="18"/>
        <rFont val="Times New Roman"/>
        <family val="1"/>
        <charset val="204"/>
      </rPr>
      <t>NA-BAL</t>
    </r>
    <r>
      <rPr>
        <sz val="12"/>
        <rFont val="Times New Roman"/>
        <family val="1"/>
        <charset val="204"/>
      </rPr>
      <t xml:space="preserve"> = </t>
    </r>
    <r>
      <rPr>
        <sz val="12"/>
        <color indexed="16"/>
        <rFont val="Times New Roman"/>
        <family val="1"/>
        <charset val="204"/>
      </rPr>
      <t>NA-OPR</t>
    </r>
  </si>
  <si>
    <r>
      <t xml:space="preserve">       </t>
    </r>
    <r>
      <rPr>
        <i/>
        <sz val="12"/>
        <color indexed="18"/>
        <rFont val="Times New Roman"/>
        <family val="1"/>
        <charset val="204"/>
      </rPr>
      <t>NA-BAL</t>
    </r>
    <r>
      <rPr>
        <i/>
        <sz val="12"/>
        <rFont val="Times New Roman"/>
        <family val="1"/>
        <charset val="204"/>
      </rPr>
      <t xml:space="preserve"> = </t>
    </r>
    <r>
      <rPr>
        <i/>
        <sz val="12"/>
        <color indexed="16"/>
        <rFont val="Times New Roman"/>
        <family val="1"/>
        <charset val="204"/>
      </rPr>
      <t>NA-OPR</t>
    </r>
  </si>
  <si>
    <r>
      <t xml:space="preserve">      </t>
    </r>
    <r>
      <rPr>
        <i/>
        <u/>
        <sz val="12"/>
        <color indexed="18"/>
        <rFont val="Times New Roman"/>
        <family val="1"/>
        <charset val="204"/>
      </rPr>
      <t>коректно</t>
    </r>
    <r>
      <rPr>
        <sz val="12"/>
        <rFont val="Times New Roman"/>
        <family val="1"/>
        <charset val="204"/>
      </rPr>
      <t xml:space="preserve"> да са попълнили таблица </t>
    </r>
    <r>
      <rPr>
        <sz val="12"/>
        <color indexed="18"/>
        <rFont val="Times New Roman"/>
        <family val="1"/>
        <charset val="204"/>
      </rPr>
      <t>'</t>
    </r>
    <r>
      <rPr>
        <i/>
        <u/>
        <sz val="12"/>
        <color indexed="18"/>
        <rFont val="Times New Roman"/>
        <family val="1"/>
        <charset val="204"/>
      </rPr>
      <t>Status</t>
    </r>
    <r>
      <rPr>
        <sz val="12"/>
        <color indexed="18"/>
        <rFont val="Times New Roman"/>
        <family val="1"/>
        <charset val="204"/>
      </rPr>
      <t>'</t>
    </r>
    <r>
      <rPr>
        <sz val="12"/>
        <rFont val="Times New Roman"/>
        <family val="1"/>
        <charset val="204"/>
      </rPr>
      <t>.</t>
    </r>
  </si>
  <si>
    <r>
      <t xml:space="preserve">       </t>
    </r>
    <r>
      <rPr>
        <b/>
        <i/>
        <sz val="12"/>
        <color indexed="13"/>
        <rFont val="Times New Roman"/>
        <family val="1"/>
        <charset val="204"/>
      </rPr>
      <t>ІV. ВСИЧКО</t>
    </r>
    <r>
      <rPr>
        <sz val="12"/>
        <color indexed="13"/>
        <rFont val="Times New Roman"/>
        <family val="1"/>
        <charset val="204"/>
      </rPr>
      <t xml:space="preserve"> (колони  7</t>
    </r>
    <r>
      <rPr>
        <sz val="12"/>
        <color indexed="13"/>
        <rFont val="Times New Roman"/>
        <family val="1"/>
        <charset val="204"/>
      </rPr>
      <t xml:space="preserve"> и </t>
    </r>
    <r>
      <rPr>
        <i/>
        <sz val="12"/>
        <color indexed="13"/>
        <rFont val="Times New Roman"/>
        <family val="1"/>
        <charset val="204"/>
      </rPr>
      <t>8</t>
    </r>
    <r>
      <rPr>
        <sz val="12"/>
        <color indexed="13"/>
        <rFont val="Times New Roman"/>
        <family val="1"/>
        <charset val="204"/>
      </rPr>
      <t xml:space="preserve">) на </t>
    </r>
    <r>
      <rPr>
        <b/>
        <i/>
        <sz val="12"/>
        <color indexed="13"/>
        <rFont val="Times New Roman Bold"/>
        <charset val="204"/>
      </rPr>
      <t>баланса</t>
    </r>
    <r>
      <rPr>
        <sz val="12"/>
        <color indexed="13"/>
        <rFont val="Times New Roman"/>
        <family val="1"/>
        <charset val="204"/>
      </rPr>
      <t xml:space="preserve"> (за позициите с </t>
    </r>
    <r>
      <rPr>
        <i/>
        <sz val="12"/>
        <color indexed="13"/>
        <rFont val="Times New Roman"/>
        <family val="1"/>
        <charset val="204"/>
      </rPr>
      <t>шифър 0071, 0076, 0529</t>
    </r>
    <r>
      <rPr>
        <sz val="12"/>
        <color indexed="13"/>
        <rFont val="Times New Roman"/>
        <family val="1"/>
        <charset val="204"/>
      </rPr>
      <t xml:space="preserve"> </t>
    </r>
  </si>
  <si>
    <r>
      <rPr>
        <b/>
        <sz val="12"/>
        <rFont val="Times New Roman"/>
        <family val="1"/>
        <charset val="204"/>
      </rPr>
      <t>8.</t>
    </r>
    <r>
      <rPr>
        <sz val="12"/>
        <rFont val="Times New Roman"/>
        <family val="1"/>
        <charset val="204"/>
      </rPr>
      <t xml:space="preserve"> В справката </t>
    </r>
    <r>
      <rPr>
        <i/>
        <u/>
        <sz val="12"/>
        <color indexed="10"/>
        <rFont val="Times New Roman"/>
        <family val="1"/>
        <charset val="204"/>
      </rPr>
      <t>не</t>
    </r>
    <r>
      <rPr>
        <sz val="12"/>
        <rFont val="Times New Roman"/>
        <family val="1"/>
        <charset val="204"/>
      </rPr>
      <t xml:space="preserve"> е предвидено да се попълват данни за разчетите по </t>
    </r>
    <r>
      <rPr>
        <sz val="12"/>
        <color indexed="18"/>
        <rFont val="Times New Roman"/>
        <family val="1"/>
        <charset val="204"/>
      </rPr>
      <t>сметка 4500</t>
    </r>
    <r>
      <rPr>
        <sz val="12"/>
        <rFont val="Times New Roman"/>
        <family val="1"/>
        <charset val="204"/>
      </rPr>
      <t>,</t>
    </r>
  </si>
  <si>
    <r>
      <t xml:space="preserve">    тъй като по дефиниция тази сметка следва да е с </t>
    </r>
    <r>
      <rPr>
        <i/>
        <u/>
        <sz val="12"/>
        <color indexed="10"/>
        <rFont val="Times New Roman"/>
        <family val="1"/>
        <charset val="204"/>
      </rPr>
      <t>нулево</t>
    </r>
    <r>
      <rPr>
        <sz val="12"/>
        <rFont val="Times New Roman"/>
        <family val="1"/>
        <charset val="204"/>
      </rPr>
      <t xml:space="preserve"> салдо на ниво система на</t>
    </r>
  </si>
  <si>
    <r>
      <t xml:space="preserve">      </t>
    </r>
    <r>
      <rPr>
        <i/>
        <sz val="12"/>
        <color indexed="13"/>
        <rFont val="Times New Roman"/>
        <family val="1"/>
        <charset val="204"/>
      </rPr>
      <t>автоматично</t>
    </r>
    <r>
      <rPr>
        <sz val="12"/>
        <color indexed="13"/>
        <rFont val="Times New Roman"/>
        <family val="1"/>
        <charset val="204"/>
      </rPr>
      <t xml:space="preserve"> се намаляват началните и крайните салда в</t>
    </r>
    <r>
      <rPr>
        <i/>
        <sz val="12"/>
        <color indexed="13"/>
        <rFont val="Times New Roman"/>
        <family val="1"/>
        <charset val="204"/>
      </rPr>
      <t xml:space="preserve"> </t>
    </r>
    <r>
      <rPr>
        <b/>
        <i/>
        <sz val="12"/>
        <color indexed="13"/>
        <rFont val="Times New Roman"/>
        <family val="1"/>
        <charset val="204"/>
      </rPr>
      <t>ІV. ВСИЧКО</t>
    </r>
    <r>
      <rPr>
        <sz val="12"/>
        <color indexed="13"/>
        <rFont val="Times New Roman"/>
        <family val="1"/>
        <charset val="204"/>
      </rPr>
      <t xml:space="preserve"> (</t>
    </r>
    <r>
      <rPr>
        <i/>
        <sz val="12"/>
        <color indexed="13"/>
        <rFont val="Times New Roman"/>
        <family val="1"/>
        <charset val="204"/>
      </rPr>
      <t xml:space="preserve">колони </t>
    </r>
  </si>
  <si>
    <r>
      <t xml:space="preserve">      </t>
    </r>
    <r>
      <rPr>
        <i/>
        <sz val="12"/>
        <color indexed="13"/>
        <rFont val="Times New Roman"/>
        <family val="1"/>
        <charset val="204"/>
      </rPr>
      <t>7</t>
    </r>
    <r>
      <rPr>
        <sz val="12"/>
        <color indexed="13"/>
        <rFont val="Times New Roman"/>
        <family val="1"/>
        <charset val="204"/>
      </rPr>
      <t xml:space="preserve"> и </t>
    </r>
    <r>
      <rPr>
        <i/>
        <sz val="12"/>
        <color indexed="13"/>
        <rFont val="Times New Roman"/>
        <family val="1"/>
        <charset val="204"/>
      </rPr>
      <t>8</t>
    </r>
    <r>
      <rPr>
        <sz val="12"/>
        <color indexed="13"/>
        <rFont val="Times New Roman"/>
        <family val="1"/>
        <charset val="204"/>
      </rPr>
      <t xml:space="preserve">) на </t>
    </r>
    <r>
      <rPr>
        <b/>
        <i/>
        <sz val="12"/>
        <color indexed="13"/>
        <rFont val="Times New Roman Bold"/>
        <charset val="204"/>
      </rPr>
      <t>баланса</t>
    </r>
    <r>
      <rPr>
        <sz val="12"/>
        <color indexed="13"/>
        <rFont val="Times New Roman"/>
        <family val="1"/>
        <charset val="204"/>
      </rPr>
      <t xml:space="preserve"> за  позициите с </t>
    </r>
    <r>
      <rPr>
        <i/>
        <sz val="12"/>
        <color indexed="13"/>
        <rFont val="Times New Roman"/>
        <family val="1"/>
        <charset val="204"/>
      </rPr>
      <t>шифър 0075, 0076, 0528</t>
    </r>
    <r>
      <rPr>
        <sz val="12"/>
        <color indexed="13"/>
        <rFont val="Times New Roman"/>
        <family val="1"/>
        <charset val="204"/>
      </rPr>
      <t xml:space="preserve"> и </t>
    </r>
    <r>
      <rPr>
        <i/>
        <sz val="12"/>
        <color indexed="13"/>
        <rFont val="Times New Roman"/>
        <family val="1"/>
        <charset val="204"/>
      </rPr>
      <t>0529,</t>
    </r>
  </si>
  <si>
    <r>
      <t xml:space="preserve">      </t>
    </r>
    <r>
      <rPr>
        <i/>
        <u/>
        <sz val="12"/>
        <color indexed="13"/>
        <rFont val="Times New Roman"/>
        <family val="1"/>
        <charset val="204"/>
      </rPr>
      <t>само</t>
    </r>
    <r>
      <rPr>
        <sz val="12"/>
        <color indexed="13"/>
        <rFont val="Times New Roman"/>
        <family val="1"/>
        <charset val="204"/>
      </rPr>
      <t xml:space="preserve"> когато в таблица </t>
    </r>
    <r>
      <rPr>
        <i/>
        <sz val="12"/>
        <color indexed="13"/>
        <rFont val="Times New Roman"/>
        <family val="1"/>
        <charset val="204"/>
      </rPr>
      <t>'Status'</t>
    </r>
    <r>
      <rPr>
        <sz val="12"/>
        <color indexed="13"/>
        <rFont val="Times New Roman"/>
        <family val="1"/>
        <charset val="204"/>
      </rPr>
      <t xml:space="preserve"> </t>
    </r>
    <r>
      <rPr>
        <sz val="12"/>
        <color indexed="13"/>
        <rFont val="Times New Roman"/>
        <family val="1"/>
        <charset val="204"/>
      </rPr>
      <t>е маркирано</t>
    </r>
    <r>
      <rPr>
        <i/>
        <sz val="12"/>
        <color indexed="13"/>
        <rFont val="Times New Roman"/>
        <family val="1"/>
        <charset val="204"/>
      </rPr>
      <t xml:space="preserve"> с </t>
    </r>
    <r>
      <rPr>
        <b/>
        <i/>
        <sz val="12"/>
        <color indexed="13"/>
        <rFont val="Times New Roman"/>
        <family val="1"/>
        <charset val="204"/>
      </rPr>
      <t>"ДА"</t>
    </r>
    <r>
      <rPr>
        <i/>
        <sz val="12"/>
        <color indexed="13"/>
        <rFont val="Times New Roman"/>
        <family val="1"/>
        <charset val="204"/>
      </rPr>
      <t xml:space="preserve">  </t>
    </r>
    <r>
      <rPr>
        <sz val="12"/>
        <color indexed="13"/>
        <rFont val="Times New Roman"/>
        <family val="1"/>
        <charset val="204"/>
      </rPr>
      <t xml:space="preserve">полето за файла, който се </t>
    </r>
  </si>
  <si>
    <r>
      <t xml:space="preserve">                               Преди да попълните тази таблица проверете дали </t>
    </r>
    <r>
      <rPr>
        <b/>
        <i/>
        <sz val="12"/>
        <color indexed="13"/>
        <rFont val="Times New Roman"/>
        <family val="1"/>
        <charset val="204"/>
      </rPr>
      <t>коректно</t>
    </r>
    <r>
      <rPr>
        <b/>
        <sz val="12"/>
        <color indexed="13"/>
        <rFont val="Times New Roman"/>
        <family val="1"/>
        <charset val="204"/>
      </rPr>
      <t xml:space="preserve"> сте попълнили таблица </t>
    </r>
    <r>
      <rPr>
        <b/>
        <i/>
        <sz val="12"/>
        <color indexed="13"/>
        <rFont val="Times New Roman"/>
        <family val="1"/>
        <charset val="204"/>
      </rPr>
      <t>'Status'</t>
    </r>
    <r>
      <rPr>
        <b/>
        <sz val="12"/>
        <color indexed="13"/>
        <rFont val="Times New Roman"/>
        <family val="1"/>
        <charset val="204"/>
      </rPr>
      <t>!</t>
    </r>
  </si>
  <si>
    <r>
      <rPr>
        <b/>
        <sz val="12"/>
        <rFont val="Times New Roman CYR"/>
        <charset val="204"/>
      </rPr>
      <t>а)</t>
    </r>
    <r>
      <rPr>
        <sz val="12"/>
        <rFont val="Times New Roman CYR"/>
        <family val="1"/>
        <charset val="204"/>
      </rPr>
      <t xml:space="preserve"> вземания по сметка 4301 срещу общината-първостепенен разпоредител и нейни звена</t>
    </r>
  </si>
  <si>
    <t>V.1. Вземания по сметки 430 срещу общината-първостепенен разпоредител и нейни звена</t>
  </si>
  <si>
    <r>
      <rPr>
        <b/>
        <sz val="12"/>
        <rFont val="Times New Roman CYR"/>
        <charset val="204"/>
      </rPr>
      <t>б)</t>
    </r>
    <r>
      <rPr>
        <sz val="12"/>
        <rFont val="Times New Roman CYR"/>
        <family val="1"/>
        <charset val="204"/>
      </rPr>
      <t xml:space="preserve"> вземания по сметка 4303 срещу общината-първостепенен разпоредител и нейни звена</t>
    </r>
  </si>
  <si>
    <r>
      <rPr>
        <b/>
        <sz val="12"/>
        <rFont val="Times New Roman CYR"/>
        <charset val="204"/>
      </rPr>
      <t>а)</t>
    </r>
    <r>
      <rPr>
        <sz val="12"/>
        <rFont val="Times New Roman CYR"/>
        <family val="1"/>
        <charset val="204"/>
      </rPr>
      <t xml:space="preserve"> вземания по сметка 4301 срещу други лица</t>
    </r>
  </si>
  <si>
    <r>
      <rPr>
        <b/>
        <sz val="12"/>
        <rFont val="Times New Roman CYR"/>
        <charset val="204"/>
      </rPr>
      <t>б)</t>
    </r>
    <r>
      <rPr>
        <sz val="12"/>
        <rFont val="Times New Roman CYR"/>
        <family val="1"/>
        <charset val="204"/>
      </rPr>
      <t xml:space="preserve"> вземания по сметка 4303 срещу други лица</t>
    </r>
  </si>
  <si>
    <r>
      <rPr>
        <b/>
        <sz val="12"/>
        <rFont val="Times New Roman CYR"/>
        <charset val="204"/>
      </rPr>
      <t xml:space="preserve">        а)</t>
    </r>
    <r>
      <rPr>
        <sz val="12"/>
        <rFont val="Times New Roman CYR"/>
        <family val="1"/>
        <charset val="204"/>
      </rPr>
      <t xml:space="preserve"> салдо на сметка 4301</t>
    </r>
  </si>
  <si>
    <r>
      <rPr>
        <b/>
        <sz val="12"/>
        <rFont val="Times New Roman CYR"/>
        <charset val="204"/>
      </rPr>
      <t xml:space="preserve">        б)</t>
    </r>
    <r>
      <rPr>
        <sz val="12"/>
        <rFont val="Times New Roman CYR"/>
        <family val="1"/>
        <charset val="204"/>
      </rPr>
      <t xml:space="preserve"> салдо на сметка 4303</t>
    </r>
  </si>
  <si>
    <t xml:space="preserve">КОНТРОЛА ЗА РАВНЕНИЕ С НАЧАЛНИ САЛДА НА ГР. 10, 11 И 12 </t>
  </si>
  <si>
    <t>"С Е С"</t>
  </si>
  <si>
    <t>"Д С Д"</t>
  </si>
  <si>
    <r>
      <t xml:space="preserve">БЮДЖЕТ - </t>
    </r>
    <r>
      <rPr>
        <b/>
        <sz val="10"/>
        <rFont val="Times New Roman CYR"/>
        <charset val="204"/>
      </rPr>
      <t>предх. година</t>
    </r>
  </si>
  <si>
    <r>
      <t xml:space="preserve">СЕС - </t>
    </r>
    <r>
      <rPr>
        <b/>
        <sz val="10"/>
        <rFont val="Times New Roman CYR"/>
        <charset val="204"/>
      </rPr>
      <t>предходна година</t>
    </r>
  </si>
  <si>
    <r>
      <t xml:space="preserve">ДСД - </t>
    </r>
    <r>
      <rPr>
        <b/>
        <sz val="10"/>
        <rFont val="Times New Roman CYR"/>
        <charset val="204"/>
      </rPr>
      <t>предходна година</t>
    </r>
  </si>
  <si>
    <t>ОБЩО - предходна година</t>
  </si>
  <si>
    <t xml:space="preserve">     Салда на сметки от гр. 10 и 11 и р-л 6 и 7 от предходна година</t>
  </si>
  <si>
    <t>СМЕТКИ ОТ ГР. 10 и 11 - крайни салда от предходната година преди приключвателните операции</t>
  </si>
  <si>
    <t xml:space="preserve">    организация попълва в съответната клетка само салдото по разчета (Дт или Кт),</t>
  </si>
  <si>
    <t xml:space="preserve">    което тя има срещу този контрагент. Например, ако общината-първостепенен</t>
  </si>
  <si>
    <t xml:space="preserve">    разпоредител предостави от бюджета си временен безлихвен заем по банкова</t>
  </si>
  <si>
    <t xml:space="preserve">    сметка 7443 (СЕС) на подведомствен общински разпоредител, общината ще отрази</t>
  </si>
  <si>
    <r>
      <t xml:space="preserve">    отчетеното по сметка 4624 вземане на </t>
    </r>
    <r>
      <rPr>
        <sz val="12"/>
        <color indexed="18"/>
        <rFont val="Times New Roman"/>
        <family val="1"/>
        <charset val="204"/>
      </rPr>
      <t>ред 17</t>
    </r>
    <r>
      <rPr>
        <sz val="12"/>
        <rFont val="Times New Roman"/>
        <family val="1"/>
        <charset val="204"/>
      </rPr>
      <t xml:space="preserve"> (в колона </t>
    </r>
    <r>
      <rPr>
        <sz val="12"/>
        <color indexed="18"/>
        <rFont val="Times New Roman"/>
        <family val="1"/>
        <charset val="204"/>
      </rPr>
      <t>"O"</t>
    </r>
    <r>
      <rPr>
        <sz val="12"/>
        <rFont val="Times New Roman"/>
        <family val="1"/>
        <charset val="204"/>
      </rPr>
      <t xml:space="preserve"> за начално Дт салдо, рес-</t>
    </r>
  </si>
  <si>
    <r>
      <t xml:space="preserve">    пективно - в колона</t>
    </r>
    <r>
      <rPr>
        <sz val="12"/>
        <color indexed="18"/>
        <rFont val="Times New Roman"/>
        <family val="1"/>
        <charset val="204"/>
      </rPr>
      <t xml:space="preserve"> "R"</t>
    </r>
    <r>
      <rPr>
        <sz val="12"/>
        <rFont val="Times New Roman"/>
        <family val="1"/>
        <charset val="204"/>
      </rPr>
      <t xml:space="preserve"> за крайно Дт салдо). Аналогично, насрещният контрагент</t>
    </r>
  </si>
  <si>
    <t xml:space="preserve">    (в случая - подведомствения общински разпоредител) ще отрази отчетеното в СЕС</t>
  </si>
  <si>
    <r>
      <t xml:space="preserve">    салдо на задължението си към общината по сметка 4614 на </t>
    </r>
    <r>
      <rPr>
        <sz val="12"/>
        <color indexed="16"/>
        <rFont val="Times New Roman"/>
        <family val="1"/>
        <charset val="204"/>
      </rPr>
      <t>ред 17</t>
    </r>
    <r>
      <rPr>
        <sz val="12"/>
        <rFont val="Times New Roman"/>
        <family val="1"/>
        <charset val="204"/>
      </rPr>
      <t xml:space="preserve"> (в колона</t>
    </r>
    <r>
      <rPr>
        <sz val="12"/>
        <color indexed="16"/>
        <rFont val="Times New Roman"/>
        <family val="1"/>
        <charset val="204"/>
      </rPr>
      <t xml:space="preserve"> "P"</t>
    </r>
    <r>
      <rPr>
        <sz val="12"/>
        <rFont val="Times New Roman"/>
        <family val="1"/>
        <charset val="204"/>
      </rPr>
      <t xml:space="preserve"> </t>
    </r>
  </si>
  <si>
    <r>
      <t xml:space="preserve">    за начално Кт салдо, респективно - в колона </t>
    </r>
    <r>
      <rPr>
        <sz val="12"/>
        <color indexed="16"/>
        <rFont val="Times New Roman"/>
        <family val="1"/>
        <charset val="204"/>
      </rPr>
      <t>"S"</t>
    </r>
    <r>
      <rPr>
        <sz val="12"/>
        <rFont val="Times New Roman"/>
        <family val="1"/>
        <charset val="204"/>
      </rPr>
      <t xml:space="preserve"> за крайно Кт салдо).</t>
    </r>
  </si>
  <si>
    <t xml:space="preserve">    първостепенен разпоредител, ДВУ и БАН.</t>
  </si>
  <si>
    <t xml:space="preserve">    в съответните клетки суми не могат да надвишават общия размер на салдата,</t>
  </si>
  <si>
    <t xml:space="preserve">    отчетени в оборотната ведомост за съответните сметки. При попълване на сума</t>
  </si>
  <si>
    <t xml:space="preserve">    в по-голям размер съответното поле за контрола се оцветява в червен цвят и</t>
  </si>
  <si>
    <t xml:space="preserve">    се показва съобщение за грешка.</t>
  </si>
  <si>
    <r>
      <rPr>
        <b/>
        <sz val="12"/>
        <rFont val="Times New Roman"/>
        <family val="1"/>
        <charset val="204"/>
      </rPr>
      <t>13.</t>
    </r>
    <r>
      <rPr>
        <sz val="12"/>
        <rFont val="Times New Roman"/>
        <family val="1"/>
        <charset val="204"/>
      </rPr>
      <t xml:space="preserve"> Следва да се има предвид, че за някои сметки за разчети от раздел 4 на СБО </t>
    </r>
  </si>
  <si>
    <t xml:space="preserve">      ците за оборотните ведомости във файла е заложена формула, която изчислява край-</t>
  </si>
  <si>
    <t xml:space="preserve">      ното салдо като нетна сума. Поради това, крайните салда на насрещни разчети по </t>
  </si>
  <si>
    <r>
      <t xml:space="preserve">      </t>
    </r>
    <r>
      <rPr>
        <i/>
        <u/>
        <sz val="12"/>
        <rFont val="Times New Roman"/>
        <family val="1"/>
        <charset val="204"/>
      </rPr>
      <t>такива сметки</t>
    </r>
    <r>
      <rPr>
        <sz val="12"/>
        <rFont val="Times New Roman"/>
        <family val="1"/>
        <charset val="204"/>
      </rPr>
      <t xml:space="preserve"> между отчетните единици в съответната първостепенна система</t>
    </r>
  </si>
  <si>
    <r>
      <t xml:space="preserve">      </t>
    </r>
    <r>
      <rPr>
        <i/>
        <u/>
        <sz val="12"/>
        <rFont val="Times New Roman"/>
        <family val="1"/>
        <charset val="204"/>
      </rPr>
      <t>(стопанска област)</t>
    </r>
    <r>
      <rPr>
        <sz val="12"/>
        <rFont val="Times New Roman"/>
        <family val="1"/>
        <charset val="204"/>
      </rPr>
      <t xml:space="preserve"> ще бъдат </t>
    </r>
    <r>
      <rPr>
        <i/>
        <u/>
        <sz val="12"/>
        <rFont val="Times New Roman"/>
        <family val="1"/>
        <charset val="204"/>
      </rPr>
      <t>вече</t>
    </r>
    <r>
      <rPr>
        <sz val="12"/>
        <rFont val="Times New Roman"/>
        <family val="1"/>
        <charset val="204"/>
      </rPr>
      <t xml:space="preserve"> нетирани (елиминирани) от крайното салдо на</t>
    </r>
  </si>
  <si>
    <r>
      <t xml:space="preserve">      (респективно в системата на ДВУ/БАН) </t>
    </r>
    <r>
      <rPr>
        <i/>
        <u/>
        <sz val="12"/>
        <rFont val="Times New Roman"/>
        <family val="1"/>
        <charset val="204"/>
      </rPr>
      <t>в рамките на една и съща отчетна група</t>
    </r>
  </si>
  <si>
    <r>
      <t xml:space="preserve">      съответната сметка в табицата за оборотната ведомост </t>
    </r>
    <r>
      <rPr>
        <i/>
        <u/>
        <sz val="12"/>
        <rFont val="Times New Roman"/>
        <family val="1"/>
        <charset val="204"/>
      </rPr>
      <t>във файла за цялата система</t>
    </r>
    <r>
      <rPr>
        <sz val="12"/>
        <rFont val="Times New Roman"/>
        <family val="1"/>
        <charset val="204"/>
      </rPr>
      <t>.</t>
    </r>
  </si>
  <si>
    <t xml:space="preserve">      ще бъдат агрегирани и посочени едновременно като Дт салдо и Кт салдо в таблица </t>
  </si>
  <si>
    <r>
      <t xml:space="preserve">          Тъй като от друга страна, във </t>
    </r>
    <r>
      <rPr>
        <i/>
        <u/>
        <sz val="12"/>
        <rFont val="Times New Roman"/>
        <family val="1"/>
        <charset val="204"/>
      </rPr>
      <t>файла за цялата система</t>
    </r>
    <r>
      <rPr>
        <sz val="12"/>
        <rFont val="Times New Roman"/>
        <family val="1"/>
        <charset val="204"/>
      </rPr>
      <t xml:space="preserve"> такива насрещни разчети</t>
    </r>
  </si>
  <si>
    <r>
      <t xml:space="preserve">      салдо в съответните клетки за въпросната сметка </t>
    </r>
    <r>
      <rPr>
        <i/>
        <u/>
        <sz val="12"/>
        <color indexed="10"/>
        <rFont val="Times New Roman"/>
        <family val="1"/>
        <charset val="204"/>
      </rPr>
      <t>с размера на превишението</t>
    </r>
    <r>
      <rPr>
        <sz val="12"/>
        <rFont val="Times New Roman"/>
        <family val="1"/>
        <charset val="204"/>
      </rPr>
      <t xml:space="preserve">! </t>
    </r>
  </si>
  <si>
    <r>
      <rPr>
        <b/>
        <sz val="12"/>
        <rFont val="Times New Roman"/>
        <family val="1"/>
        <charset val="204"/>
      </rPr>
      <t>14.</t>
    </r>
    <r>
      <rPr>
        <sz val="12"/>
        <rFont val="Times New Roman"/>
        <family val="1"/>
        <charset val="204"/>
      </rPr>
      <t xml:space="preserve"> Доколкото във файла за цялата система данните за разчетни сметки, за които</t>
    </r>
  </si>
  <si>
    <r>
      <t xml:space="preserve">      начално салдо, се процедира по реда на </t>
    </r>
    <r>
      <rPr>
        <b/>
        <sz val="12"/>
        <rFont val="Times New Roman"/>
        <family val="1"/>
        <charset val="204"/>
      </rPr>
      <t>т. 13</t>
    </r>
    <r>
      <rPr>
        <sz val="12"/>
        <rFont val="Times New Roman"/>
        <family val="1"/>
        <charset val="204"/>
      </rPr>
      <t>.</t>
    </r>
  </si>
  <si>
    <r>
      <rPr>
        <b/>
        <sz val="12"/>
        <rFont val="Times New Roman"/>
        <family val="1"/>
        <charset val="204"/>
      </rPr>
      <t>16.</t>
    </r>
    <r>
      <rPr>
        <sz val="12"/>
        <rFont val="Times New Roman"/>
        <family val="1"/>
        <charset val="204"/>
      </rPr>
      <t xml:space="preserve"> Тъй като подлежащите на елиминиране Дт и Кт насрещни вътрешни салда </t>
    </r>
    <r>
      <rPr>
        <i/>
        <u/>
        <sz val="12"/>
        <rFont val="Times New Roman"/>
        <family val="1"/>
        <charset val="204"/>
      </rPr>
      <t>в сис-</t>
    </r>
  </si>
  <si>
    <r>
      <t xml:space="preserve">      </t>
    </r>
    <r>
      <rPr>
        <i/>
        <u/>
        <sz val="12"/>
        <rFont val="Times New Roman"/>
        <family val="1"/>
        <charset val="204"/>
      </rPr>
      <t>темата на първостепенния разпоредител, ДВУ и БАН следва да са равни</t>
    </r>
    <r>
      <rPr>
        <i/>
        <sz val="12"/>
        <rFont val="Times New Roman"/>
        <family val="1"/>
        <charset val="204"/>
      </rPr>
      <t xml:space="preserve"> </t>
    </r>
  </si>
  <si>
    <r>
      <t xml:space="preserve">      са заложени </t>
    </r>
    <r>
      <rPr>
        <i/>
        <u/>
        <sz val="12"/>
        <rFont val="Times New Roman"/>
        <family val="1"/>
        <charset val="204"/>
      </rPr>
      <t>контроли за равнение, които се проявяват само във файла който</t>
    </r>
  </si>
  <si>
    <t xml:space="preserve">      данните в тази таблица и за точно извършване на автоматичните корективни</t>
  </si>
  <si>
    <t xml:space="preserve">      консолидационни записвания в баланса за елиминиране на насрещните вземания</t>
  </si>
  <si>
    <t xml:space="preserve">      и задължения е особено важно както първостепенния разпоредител, ДВУ и БАН,</t>
  </si>
  <si>
    <r>
      <t xml:space="preserve">      така и отделната отчетна едница </t>
    </r>
    <r>
      <rPr>
        <i/>
        <u/>
        <sz val="12"/>
        <color indexed="18"/>
        <rFont val="Times New Roman"/>
        <family val="1"/>
        <charset val="204"/>
      </rPr>
      <t>коректно</t>
    </r>
    <r>
      <rPr>
        <sz val="12"/>
        <rFont val="Times New Roman"/>
        <family val="1"/>
        <charset val="204"/>
      </rPr>
      <t xml:space="preserve"> да са попълнили таблица </t>
    </r>
    <r>
      <rPr>
        <sz val="12"/>
        <color indexed="18"/>
        <rFont val="Times New Roman"/>
        <family val="1"/>
        <charset val="204"/>
      </rPr>
      <t>'</t>
    </r>
    <r>
      <rPr>
        <i/>
        <u/>
        <sz val="12"/>
        <color indexed="18"/>
        <rFont val="Times New Roman"/>
        <family val="1"/>
        <charset val="204"/>
      </rPr>
      <t>Status</t>
    </r>
    <r>
      <rPr>
        <sz val="12"/>
        <color indexed="18"/>
        <rFont val="Times New Roman"/>
        <family val="1"/>
        <charset val="204"/>
      </rPr>
      <t>'</t>
    </r>
    <r>
      <rPr>
        <sz val="12"/>
        <rFont val="Times New Roman"/>
        <family val="1"/>
        <charset val="204"/>
      </rPr>
      <t>.</t>
    </r>
  </si>
  <si>
    <t xml:space="preserve">      са възможни както дебитни, така и кредитни салда, се агрегират като едно нетно</t>
  </si>
  <si>
    <r>
      <rPr>
        <b/>
        <sz val="12"/>
        <rFont val="Times New Roman"/>
        <family val="1"/>
        <charset val="204"/>
      </rPr>
      <t>15.</t>
    </r>
    <r>
      <rPr>
        <sz val="12"/>
        <rFont val="Times New Roman"/>
        <family val="1"/>
        <charset val="204"/>
      </rPr>
      <t xml:space="preserve"> Възможно е в агрегираните данни за тази таблица във </t>
    </r>
    <r>
      <rPr>
        <i/>
        <u/>
        <sz val="12"/>
        <rFont val="Times New Roman"/>
        <family val="1"/>
        <charset val="204"/>
      </rPr>
      <t>файла за цялата система</t>
    </r>
    <r>
      <rPr>
        <sz val="12"/>
        <rFont val="Times New Roman"/>
        <family val="1"/>
        <charset val="204"/>
      </rPr>
      <t xml:space="preserve"> </t>
    </r>
  </si>
  <si>
    <t xml:space="preserve">     да се получи друго неравнение - агрегираните в таблицата Дт салда да не са равни</t>
  </si>
  <si>
    <t xml:space="preserve">     на съответните Кт салда. В тези случаи се допуска първостепенния разпоредител,</t>
  </si>
  <si>
    <r>
      <rPr>
        <b/>
        <sz val="12"/>
        <color indexed="13"/>
        <rFont val="Times New Roman"/>
        <family val="1"/>
        <charset val="204"/>
      </rPr>
      <t>17.</t>
    </r>
    <r>
      <rPr>
        <sz val="12"/>
        <color indexed="13"/>
        <rFont val="Times New Roman"/>
        <family val="1"/>
        <charset val="204"/>
      </rPr>
      <t xml:space="preserve"> Попълнените в тази таблица суми </t>
    </r>
    <r>
      <rPr>
        <i/>
        <sz val="12"/>
        <color indexed="13"/>
        <rFont val="Times New Roman"/>
        <family val="1"/>
        <charset val="204"/>
      </rPr>
      <t>автоматично</t>
    </r>
    <r>
      <rPr>
        <sz val="12"/>
        <color indexed="13"/>
        <rFont val="Times New Roman"/>
        <family val="1"/>
        <charset val="204"/>
      </rPr>
      <t xml:space="preserve"> се отнасят в съответните полета</t>
    </r>
  </si>
  <si>
    <r>
      <t xml:space="preserve">      в маркираните в </t>
    </r>
    <r>
      <rPr>
        <i/>
        <sz val="12"/>
        <color indexed="18"/>
        <rFont val="Times New Roman"/>
        <family val="1"/>
        <charset val="204"/>
      </rPr>
      <t>тъмно синьо</t>
    </r>
    <r>
      <rPr>
        <sz val="12"/>
        <rFont val="Times New Roman"/>
        <family val="1"/>
        <charset val="204"/>
      </rPr>
      <t xml:space="preserve"> съответни клетки на редове </t>
    </r>
    <r>
      <rPr>
        <i/>
        <sz val="12"/>
        <color indexed="18"/>
        <rFont val="Times New Roman"/>
        <family val="1"/>
        <charset val="204"/>
      </rPr>
      <t>38</t>
    </r>
    <r>
      <rPr>
        <i/>
        <sz val="12"/>
        <rFont val="Times New Roman"/>
        <family val="1"/>
        <charset val="204"/>
      </rPr>
      <t xml:space="preserve">, </t>
    </r>
    <r>
      <rPr>
        <i/>
        <sz val="12"/>
        <color indexed="18"/>
        <rFont val="Times New Roman"/>
        <family val="1"/>
        <charset val="204"/>
      </rPr>
      <t>41</t>
    </r>
    <r>
      <rPr>
        <i/>
        <sz val="12"/>
        <rFont val="Times New Roman"/>
        <family val="1"/>
        <charset val="204"/>
      </rPr>
      <t xml:space="preserve">, </t>
    </r>
    <r>
      <rPr>
        <i/>
        <sz val="12"/>
        <color indexed="18"/>
        <rFont val="Times New Roman"/>
        <family val="1"/>
        <charset val="204"/>
      </rPr>
      <t>44</t>
    </r>
    <r>
      <rPr>
        <sz val="12"/>
        <rFont val="Times New Roman"/>
        <family val="1"/>
        <charset val="204"/>
      </rPr>
      <t xml:space="preserve"> и </t>
    </r>
    <r>
      <rPr>
        <i/>
        <sz val="12"/>
        <color indexed="18"/>
        <rFont val="Times New Roman"/>
        <family val="1"/>
        <charset val="204"/>
      </rPr>
      <t xml:space="preserve">47 </t>
    </r>
    <r>
      <rPr>
        <sz val="12"/>
        <rFont val="Times New Roman"/>
        <family val="1"/>
        <charset val="204"/>
      </rPr>
      <t xml:space="preserve">или </t>
    </r>
  </si>
  <si>
    <t xml:space="preserve">      в клетките за съответните разчетни сметки, за които е налице неравнение,</t>
  </si>
  <si>
    <t>който се изпраща на МФ.</t>
  </si>
  <si>
    <t xml:space="preserve">                           Единна бюджетна класификация</t>
  </si>
  <si>
    <r>
      <t xml:space="preserve">                      </t>
    </r>
    <r>
      <rPr>
        <b/>
        <i/>
        <sz val="14"/>
        <rFont val="Times New Roman Bold"/>
      </rPr>
      <t xml:space="preserve"> </t>
    </r>
    <r>
      <rPr>
        <b/>
        <i/>
        <sz val="14"/>
        <color indexed="20"/>
        <rFont val="Times New Roman Bold"/>
      </rPr>
      <t>Раздел VІІ.</t>
    </r>
    <r>
      <rPr>
        <b/>
        <i/>
        <sz val="14"/>
        <rFont val="Times New Roman Bold"/>
      </rPr>
      <t xml:space="preserve"> Кодове на бюджетните организации</t>
    </r>
  </si>
  <si>
    <r>
      <t>В )</t>
    </r>
    <r>
      <rPr>
        <b/>
        <sz val="12"/>
        <color indexed="20"/>
        <rFont val="Times New Roman CYR"/>
      </rPr>
      <t xml:space="preserve"> </t>
    </r>
    <r>
      <rPr>
        <b/>
        <sz val="12"/>
        <color indexed="18"/>
        <rFont val="Times New Roman CYR"/>
      </rPr>
      <t>Кодове на общини</t>
    </r>
  </si>
  <si>
    <t>О  Б  Щ  И  Н  И</t>
  </si>
  <si>
    <t xml:space="preserve">Код </t>
  </si>
  <si>
    <r>
      <t xml:space="preserve">Общини от област с администр. център - </t>
    </r>
    <r>
      <rPr>
        <b/>
        <i/>
        <sz val="12"/>
        <color indexed="18"/>
        <rFont val="Times New Roman CYR"/>
      </rPr>
      <t>Благоевград</t>
    </r>
    <r>
      <rPr>
        <b/>
        <sz val="12"/>
        <rFont val="Times New Roman CYR"/>
        <family val="1"/>
        <charset val="204"/>
      </rPr>
      <t xml:space="preserve">            </t>
    </r>
  </si>
  <si>
    <t>(51хх)</t>
  </si>
  <si>
    <t>Банско</t>
  </si>
  <si>
    <t>Белица</t>
  </si>
  <si>
    <t>Благоевград</t>
  </si>
  <si>
    <t>Гоце Делчев</t>
  </si>
  <si>
    <t>Гърмен</t>
  </si>
  <si>
    <t>Кресна</t>
  </si>
  <si>
    <t>Петрич</t>
  </si>
  <si>
    <t>Разлог</t>
  </si>
  <si>
    <t>Сандански</t>
  </si>
  <si>
    <t>Сатовча</t>
  </si>
  <si>
    <t>Симитли</t>
  </si>
  <si>
    <t>Струмяни</t>
  </si>
  <si>
    <t>Хаджидимово</t>
  </si>
  <si>
    <t>Якоруда</t>
  </si>
  <si>
    <r>
      <t xml:space="preserve">Общини от област с администр. център - </t>
    </r>
    <r>
      <rPr>
        <b/>
        <i/>
        <sz val="12"/>
        <color indexed="18"/>
        <rFont val="Times New Roman CYR"/>
      </rPr>
      <t>Бургас</t>
    </r>
  </si>
  <si>
    <t>(52хх)</t>
  </si>
  <si>
    <t>Айтос</t>
  </si>
  <si>
    <t xml:space="preserve">Бургас </t>
  </si>
  <si>
    <t>Камено</t>
  </si>
  <si>
    <t>Карнобат</t>
  </si>
  <si>
    <t>Малко Търново</t>
  </si>
  <si>
    <t>Несебър</t>
  </si>
  <si>
    <t>Поморие</t>
  </si>
  <si>
    <t>Приморско</t>
  </si>
  <si>
    <t>Руен</t>
  </si>
  <si>
    <t>Созопол</t>
  </si>
  <si>
    <t>Средец</t>
  </si>
  <si>
    <t>Сунгурларе</t>
  </si>
  <si>
    <t>Царево</t>
  </si>
  <si>
    <r>
      <t xml:space="preserve">Общини от област с администр. център - </t>
    </r>
    <r>
      <rPr>
        <b/>
        <i/>
        <sz val="12"/>
        <color indexed="18"/>
        <rFont val="Times New Roman CYR"/>
        <family val="1"/>
        <charset val="204"/>
      </rPr>
      <t>Варна</t>
    </r>
  </si>
  <si>
    <t>(53хх)</t>
  </si>
  <si>
    <t>Аврен</t>
  </si>
  <si>
    <t>Аксаково</t>
  </si>
  <si>
    <t>Белослав</t>
  </si>
  <si>
    <t>Бяла</t>
  </si>
  <si>
    <t>Варна</t>
  </si>
  <si>
    <t>Ветрино</t>
  </si>
  <si>
    <t>Девня</t>
  </si>
  <si>
    <t>Долни Чифлик</t>
  </si>
  <si>
    <t>Дългопол</t>
  </si>
  <si>
    <t>Провадия</t>
  </si>
  <si>
    <t>Суворово</t>
  </si>
  <si>
    <r>
      <t xml:space="preserve">Общини от област с адм. център - </t>
    </r>
    <r>
      <rPr>
        <b/>
        <i/>
        <sz val="12"/>
        <color indexed="18"/>
        <rFont val="Times New Roman CYR"/>
      </rPr>
      <t>Велико Търново</t>
    </r>
  </si>
  <si>
    <t>(54хх)</t>
  </si>
  <si>
    <t>Велико Търново</t>
  </si>
  <si>
    <t>Горна Оряховица</t>
  </si>
  <si>
    <t>Елена</t>
  </si>
  <si>
    <t>Златарица</t>
  </si>
  <si>
    <t>Лясковец</t>
  </si>
  <si>
    <t>Павликени</t>
  </si>
  <si>
    <t>Полски Тръмбеш</t>
  </si>
  <si>
    <t>Свищов</t>
  </si>
  <si>
    <t>Стражица</t>
  </si>
  <si>
    <t>Сухиндол</t>
  </si>
  <si>
    <r>
      <t xml:space="preserve">Общини от област с администр. център - </t>
    </r>
    <r>
      <rPr>
        <b/>
        <i/>
        <sz val="12"/>
        <color indexed="12"/>
        <rFont val="Times New Roman CYR"/>
        <family val="1"/>
        <charset val="204"/>
      </rPr>
      <t>Видин</t>
    </r>
  </si>
  <si>
    <t>(55хх)</t>
  </si>
  <si>
    <t>Белоградчик</t>
  </si>
  <si>
    <t>Бойница</t>
  </si>
  <si>
    <t>Брегово</t>
  </si>
  <si>
    <t>Видин</t>
  </si>
  <si>
    <t>Грамада</t>
  </si>
  <si>
    <t>Димово</t>
  </si>
  <si>
    <t>Кула</t>
  </si>
  <si>
    <t>Макреш</t>
  </si>
  <si>
    <t>Ново село</t>
  </si>
  <si>
    <t>Ружинци</t>
  </si>
  <si>
    <t>Чупрене</t>
  </si>
  <si>
    <r>
      <t xml:space="preserve">Общини от област с администр. център - </t>
    </r>
    <r>
      <rPr>
        <b/>
        <i/>
        <sz val="12"/>
        <color indexed="18"/>
        <rFont val="Times New Roman CYR"/>
      </rPr>
      <t>Враца</t>
    </r>
  </si>
  <si>
    <t>(56хх)</t>
  </si>
  <si>
    <t>Борован</t>
  </si>
  <si>
    <t>Бяла Слатина</t>
  </si>
  <si>
    <t>Враца</t>
  </si>
  <si>
    <t>Кнежа</t>
  </si>
  <si>
    <t>Козлодуй</t>
  </si>
  <si>
    <t>Криводол</t>
  </si>
  <si>
    <t>Мездра</t>
  </si>
  <si>
    <t>Мизия</t>
  </si>
  <si>
    <t>Оряхово</t>
  </si>
  <si>
    <t>Роман</t>
  </si>
  <si>
    <t>Хайредин</t>
  </si>
  <si>
    <r>
      <t xml:space="preserve">Общини от област с администр. център - </t>
    </r>
    <r>
      <rPr>
        <b/>
        <i/>
        <sz val="12"/>
        <color indexed="18"/>
        <rFont val="Times New Roman CYR"/>
      </rPr>
      <t>Габрово</t>
    </r>
  </si>
  <si>
    <t>(57хх)</t>
  </si>
  <si>
    <t>Габрово</t>
  </si>
  <si>
    <t>Дряново</t>
  </si>
  <si>
    <t>Севлиево</t>
  </si>
  <si>
    <t>Трявна</t>
  </si>
  <si>
    <r>
      <t xml:space="preserve">Общини от област с администр. център - </t>
    </r>
    <r>
      <rPr>
        <b/>
        <i/>
        <sz val="12"/>
        <color indexed="18"/>
        <rFont val="Times New Roman CYR"/>
      </rPr>
      <t>Добрич</t>
    </r>
  </si>
  <si>
    <t>(58хх)</t>
  </si>
  <si>
    <t>Балчик</t>
  </si>
  <si>
    <t>Генерал Тошево</t>
  </si>
  <si>
    <t>Добрич</t>
  </si>
  <si>
    <t>Добричка</t>
  </si>
  <si>
    <t>Каварна</t>
  </si>
  <si>
    <t>Крушари</t>
  </si>
  <si>
    <t>Тервел</t>
  </si>
  <si>
    <t>Шабла</t>
  </si>
  <si>
    <r>
      <t xml:space="preserve">Общини от област с администр. център - </t>
    </r>
    <r>
      <rPr>
        <b/>
        <i/>
        <sz val="12"/>
        <color indexed="18"/>
        <rFont val="Times New Roman CYR"/>
      </rPr>
      <t>Кърджали</t>
    </r>
  </si>
  <si>
    <t>(59хх)</t>
  </si>
  <si>
    <t>Ардино</t>
  </si>
  <si>
    <t>Джебел</t>
  </si>
  <si>
    <t>Кирково</t>
  </si>
  <si>
    <t>Крумовград</t>
  </si>
  <si>
    <t>Кърджали</t>
  </si>
  <si>
    <t>Момчилград</t>
  </si>
  <si>
    <t>Черноочене</t>
  </si>
  <si>
    <r>
      <t xml:space="preserve">Общини от област с администр. център - </t>
    </r>
    <r>
      <rPr>
        <b/>
        <i/>
        <sz val="12"/>
        <color indexed="18"/>
        <rFont val="Times New Roman CYR"/>
      </rPr>
      <t>Кюстендил</t>
    </r>
  </si>
  <si>
    <t>(60хх)</t>
  </si>
  <si>
    <t>Бобовдол</t>
  </si>
  <si>
    <t>Бобошево</t>
  </si>
  <si>
    <t>Дупница</t>
  </si>
  <si>
    <t>Кочериново</t>
  </si>
  <si>
    <t>Кюстендил</t>
  </si>
  <si>
    <t>Невестино</t>
  </si>
  <si>
    <t>Рила</t>
  </si>
  <si>
    <t>Сапарева баня</t>
  </si>
  <si>
    <t>Трекляно</t>
  </si>
  <si>
    <r>
      <t xml:space="preserve">Общини от област с администр. център - </t>
    </r>
    <r>
      <rPr>
        <b/>
        <i/>
        <sz val="12"/>
        <color indexed="18"/>
        <rFont val="Times New Roman CYR"/>
      </rPr>
      <t>Ловеч</t>
    </r>
  </si>
  <si>
    <t>(61хх)</t>
  </si>
  <si>
    <t>Априлци</t>
  </si>
  <si>
    <t>Летница</t>
  </si>
  <si>
    <t>Ловеч</t>
  </si>
  <si>
    <t>Луковит</t>
  </si>
  <si>
    <t>Тетевен</t>
  </si>
  <si>
    <t>Троян</t>
  </si>
  <si>
    <t>Угърчин</t>
  </si>
  <si>
    <t>Ябланица</t>
  </si>
  <si>
    <r>
      <t xml:space="preserve">Общини от област с администр. център - </t>
    </r>
    <r>
      <rPr>
        <b/>
        <i/>
        <sz val="12"/>
        <color indexed="18"/>
        <rFont val="Times New Roman CYR"/>
      </rPr>
      <t>Монтана</t>
    </r>
  </si>
  <si>
    <t>(62хх)</t>
  </si>
  <si>
    <t>Берковица</t>
  </si>
  <si>
    <t>Бойчиновци</t>
  </si>
  <si>
    <t>Брусарци</t>
  </si>
  <si>
    <t>Вълчедръм</t>
  </si>
  <si>
    <t>Вършец</t>
  </si>
  <si>
    <t>Георги Дамяново</t>
  </si>
  <si>
    <t>Лом</t>
  </si>
  <si>
    <t>Медковец</t>
  </si>
  <si>
    <t>Монтана</t>
  </si>
  <si>
    <t>Чипровци</t>
  </si>
  <si>
    <t>Якимово</t>
  </si>
  <si>
    <r>
      <t xml:space="preserve">Общини от област с администр. център - </t>
    </r>
    <r>
      <rPr>
        <b/>
        <i/>
        <sz val="12"/>
        <color indexed="18"/>
        <rFont val="Times New Roman CYR"/>
      </rPr>
      <t>Пазарджик</t>
    </r>
  </si>
  <si>
    <t>(63хх)</t>
  </si>
  <si>
    <t>Батак</t>
  </si>
  <si>
    <t>Белово</t>
  </si>
  <si>
    <t>Брацигово</t>
  </si>
  <si>
    <t>Велинград</t>
  </si>
  <si>
    <t>Лесичово</t>
  </si>
  <si>
    <t>Пазарджик</t>
  </si>
  <si>
    <t>Панагюрище</t>
  </si>
  <si>
    <t>Пещера</t>
  </si>
  <si>
    <t>Ракитово</t>
  </si>
  <si>
    <t>Септември</t>
  </si>
  <si>
    <t>Стрелча</t>
  </si>
  <si>
    <t>Сърница</t>
  </si>
  <si>
    <r>
      <t xml:space="preserve">Общини от област с администр. център - </t>
    </r>
    <r>
      <rPr>
        <b/>
        <i/>
        <sz val="12"/>
        <color indexed="18"/>
        <rFont val="Times New Roman CYR"/>
      </rPr>
      <t>Перник</t>
    </r>
  </si>
  <si>
    <t>(64хх)</t>
  </si>
  <si>
    <t>Брезник</t>
  </si>
  <si>
    <t>Земен</t>
  </si>
  <si>
    <t>Ковачевци</t>
  </si>
  <si>
    <t>Перник</t>
  </si>
  <si>
    <t>Радомир</t>
  </si>
  <si>
    <t>Трън</t>
  </si>
  <si>
    <r>
      <t xml:space="preserve">Общини от област с администр. център - </t>
    </r>
    <r>
      <rPr>
        <b/>
        <i/>
        <sz val="12"/>
        <color indexed="18"/>
        <rFont val="Times New Roman CYR"/>
      </rPr>
      <t>Плевен</t>
    </r>
  </si>
  <si>
    <t>(65хх)</t>
  </si>
  <si>
    <t>Белене</t>
  </si>
  <si>
    <t>Гулянци</t>
  </si>
  <si>
    <t>Долна Митрополия</t>
  </si>
  <si>
    <t>Долни Дъбник</t>
  </si>
  <si>
    <t>Искър</t>
  </si>
  <si>
    <t>Левски</t>
  </si>
  <si>
    <t>Никопол</t>
  </si>
  <si>
    <t>Плевен</t>
  </si>
  <si>
    <t>Пордим</t>
  </si>
  <si>
    <t>Червен бряг</t>
  </si>
  <si>
    <r>
      <t xml:space="preserve">Общини от област с администр. център - </t>
    </r>
    <r>
      <rPr>
        <b/>
        <i/>
        <sz val="12"/>
        <color indexed="18"/>
        <rFont val="Times New Roman CYR"/>
      </rPr>
      <t>Пловдив</t>
    </r>
  </si>
  <si>
    <t>(66хх)</t>
  </si>
  <si>
    <t>Асеновград</t>
  </si>
  <si>
    <t>Брезово</t>
  </si>
  <si>
    <t>Калояново</t>
  </si>
  <si>
    <t>Карлово</t>
  </si>
  <si>
    <t>Кричим</t>
  </si>
  <si>
    <t>Лъки</t>
  </si>
  <si>
    <t>Марица</t>
  </si>
  <si>
    <t>Перущица</t>
  </si>
  <si>
    <t>Пловдив</t>
  </si>
  <si>
    <t>Първомай</t>
  </si>
  <si>
    <t>Раковски</t>
  </si>
  <si>
    <t>Родопи</t>
  </si>
  <si>
    <t>Садово</t>
  </si>
  <si>
    <t>Стамболийски</t>
  </si>
  <si>
    <t>Съединение</t>
  </si>
  <si>
    <t>Хисаря</t>
  </si>
  <si>
    <t>Куклен</t>
  </si>
  <si>
    <t>Сопот</t>
  </si>
  <si>
    <r>
      <t>Общини от област с администр. център -</t>
    </r>
    <r>
      <rPr>
        <b/>
        <sz val="12"/>
        <color indexed="18"/>
        <rFont val="Times New Roman CYR"/>
      </rPr>
      <t xml:space="preserve"> </t>
    </r>
    <r>
      <rPr>
        <b/>
        <i/>
        <sz val="12"/>
        <color indexed="18"/>
        <rFont val="Times New Roman CYR"/>
      </rPr>
      <t>Разград</t>
    </r>
  </si>
  <si>
    <t>(67хх)</t>
  </si>
  <si>
    <t>Завет</t>
  </si>
  <si>
    <t>Исперих</t>
  </si>
  <si>
    <t>Кубрат</t>
  </si>
  <si>
    <t>Лозница</t>
  </si>
  <si>
    <t>Разград</t>
  </si>
  <si>
    <t>Самуил</t>
  </si>
  <si>
    <t>Цар Калоян</t>
  </si>
  <si>
    <r>
      <t xml:space="preserve">Общини от област с административен център - </t>
    </r>
    <r>
      <rPr>
        <b/>
        <i/>
        <sz val="12"/>
        <color indexed="18"/>
        <rFont val="Times New Roman CYR"/>
      </rPr>
      <t>Русе</t>
    </r>
  </si>
  <si>
    <t>(68хх)</t>
  </si>
  <si>
    <t>Борово</t>
  </si>
  <si>
    <t>Ветово</t>
  </si>
  <si>
    <t>Две могили</t>
  </si>
  <si>
    <t>Иваново</t>
  </si>
  <si>
    <t>Русе</t>
  </si>
  <si>
    <t>Сливо поле</t>
  </si>
  <si>
    <t>Ценово</t>
  </si>
  <si>
    <r>
      <t xml:space="preserve">Общини от област с администр. център - </t>
    </r>
    <r>
      <rPr>
        <b/>
        <i/>
        <sz val="12"/>
        <color indexed="18"/>
        <rFont val="Times New Roman CYR"/>
      </rPr>
      <t>Силистра</t>
    </r>
  </si>
  <si>
    <t>(69хх)</t>
  </si>
  <si>
    <t>Алфатар</t>
  </si>
  <si>
    <t>Главиница</t>
  </si>
  <si>
    <t>Дулово</t>
  </si>
  <si>
    <t>Кайнарджа</t>
  </si>
  <si>
    <t>Силистра</t>
  </si>
  <si>
    <t>Ситово</t>
  </si>
  <si>
    <t>Тутракан</t>
  </si>
  <si>
    <r>
      <t xml:space="preserve">Общини от област с администр. център - </t>
    </r>
    <r>
      <rPr>
        <b/>
        <i/>
        <sz val="12"/>
        <color indexed="18"/>
        <rFont val="Times New Roman CYR"/>
      </rPr>
      <t>Сливен</t>
    </r>
  </si>
  <si>
    <t>(70хх)</t>
  </si>
  <si>
    <t>Котел</t>
  </si>
  <si>
    <t>Нова Загора</t>
  </si>
  <si>
    <t>Сливен</t>
  </si>
  <si>
    <t>Твърдица</t>
  </si>
  <si>
    <r>
      <t xml:space="preserve">Общини от област с администр. център - </t>
    </r>
    <r>
      <rPr>
        <b/>
        <i/>
        <sz val="12"/>
        <color indexed="18"/>
        <rFont val="Times New Roman CYR"/>
      </rPr>
      <t>Смолян</t>
    </r>
  </si>
  <si>
    <t>(71хх)</t>
  </si>
  <si>
    <t>Баните</t>
  </si>
  <si>
    <t>Борино</t>
  </si>
  <si>
    <t>Девин</t>
  </si>
  <si>
    <t>Доспат</t>
  </si>
  <si>
    <t>Златоград</t>
  </si>
  <si>
    <t>Мадан</t>
  </si>
  <si>
    <t>Неделино</t>
  </si>
  <si>
    <t>Рудозем</t>
  </si>
  <si>
    <t>Смолян</t>
  </si>
  <si>
    <t>Чепеларе</t>
  </si>
  <si>
    <r>
      <t xml:space="preserve">Област София - град - </t>
    </r>
    <r>
      <rPr>
        <b/>
        <i/>
        <sz val="12"/>
        <color indexed="18"/>
        <rFont val="Times New Roman CYR"/>
      </rPr>
      <t>Столична община</t>
    </r>
    <r>
      <rPr>
        <b/>
        <sz val="12"/>
        <rFont val="Times New Roman CYR"/>
        <family val="1"/>
        <charset val="204"/>
      </rPr>
      <t xml:space="preserve"> и райони</t>
    </r>
  </si>
  <si>
    <t>(72хх)</t>
  </si>
  <si>
    <t>Район Банкя</t>
  </si>
  <si>
    <t>Район Витоша</t>
  </si>
  <si>
    <t xml:space="preserve">Район Възраждане </t>
  </si>
  <si>
    <t>Район Връбница</t>
  </si>
  <si>
    <t>Район Илинден</t>
  </si>
  <si>
    <t>Район Искър</t>
  </si>
  <si>
    <t>Район Изгрев</t>
  </si>
  <si>
    <t>Район Красна Поляна</t>
  </si>
  <si>
    <t>Район Красно село</t>
  </si>
  <si>
    <t>Район Кремиковци</t>
  </si>
  <si>
    <t>Район Лозенец</t>
  </si>
  <si>
    <t>Район Люлин</t>
  </si>
  <si>
    <t>Район Младост</t>
  </si>
  <si>
    <t>Район Надежда</t>
  </si>
  <si>
    <t>Район Нови Искър</t>
  </si>
  <si>
    <t>Район Оборище</t>
  </si>
  <si>
    <t>Район Овча Купел</t>
  </si>
  <si>
    <t>Район Панчарево</t>
  </si>
  <si>
    <t>Район Подуяне</t>
  </si>
  <si>
    <t>Район Сердика</t>
  </si>
  <si>
    <t>Район Слатина</t>
  </si>
  <si>
    <t>Район Средец</t>
  </si>
  <si>
    <t>Район Студентска</t>
  </si>
  <si>
    <t>Район Триадица</t>
  </si>
  <si>
    <t>Столична община</t>
  </si>
  <si>
    <r>
      <t xml:space="preserve">Общини от област с администр. център - </t>
    </r>
    <r>
      <rPr>
        <b/>
        <i/>
        <sz val="12"/>
        <color indexed="18"/>
        <rFont val="Times New Roman CYR"/>
      </rPr>
      <t>София</t>
    </r>
  </si>
  <si>
    <t>(73хх)</t>
  </si>
  <si>
    <t>Антон</t>
  </si>
  <si>
    <t>Божурище</t>
  </si>
  <si>
    <t>Ботевград</t>
  </si>
  <si>
    <t>Годеч</t>
  </si>
  <si>
    <t>Горна Малина</t>
  </si>
  <si>
    <t>Долна Баня</t>
  </si>
  <si>
    <t xml:space="preserve">Драгоман </t>
  </si>
  <si>
    <t>Елин Пелин</t>
  </si>
  <si>
    <t>Етрополе</t>
  </si>
  <si>
    <t>Златица</t>
  </si>
  <si>
    <t>Ихтиман</t>
  </si>
  <si>
    <t>Копривщица</t>
  </si>
  <si>
    <t>Костенец</t>
  </si>
  <si>
    <t>Костинброд</t>
  </si>
  <si>
    <t>Мирково</t>
  </si>
  <si>
    <t>Пирдоп</t>
  </si>
  <si>
    <t>Правец</t>
  </si>
  <si>
    <t>Самоков</t>
  </si>
  <si>
    <t>Своге</t>
  </si>
  <si>
    <t>Сливница</t>
  </si>
  <si>
    <t>Чавдар</t>
  </si>
  <si>
    <t>Челопеч</t>
  </si>
  <si>
    <r>
      <t xml:space="preserve">Общини от област с админ. център - </t>
    </r>
    <r>
      <rPr>
        <b/>
        <i/>
        <sz val="12"/>
        <color indexed="18"/>
        <rFont val="Times New Roman CYR"/>
      </rPr>
      <t>Стара Загора</t>
    </r>
  </si>
  <si>
    <t>(74хх)</t>
  </si>
  <si>
    <t>Братя Даскалови</t>
  </si>
  <si>
    <t>Гурково</t>
  </si>
  <si>
    <t>Гълъбово</t>
  </si>
  <si>
    <t>Казанлък</t>
  </si>
  <si>
    <t>Мъглиж</t>
  </si>
  <si>
    <t>Николаево</t>
  </si>
  <si>
    <t>Опан</t>
  </si>
  <si>
    <t>Павел баня</t>
  </si>
  <si>
    <t>Раднево</t>
  </si>
  <si>
    <t>Стара Загора</t>
  </si>
  <si>
    <t>Чирпан</t>
  </si>
  <si>
    <r>
      <t xml:space="preserve">Общини от област с администр. център - </t>
    </r>
    <r>
      <rPr>
        <b/>
        <i/>
        <sz val="12"/>
        <color indexed="18"/>
        <rFont val="Times New Roman CYR"/>
      </rPr>
      <t>Търговище</t>
    </r>
  </si>
  <si>
    <t>(75хх)</t>
  </si>
  <si>
    <t>Антоново</t>
  </si>
  <si>
    <t>Омуртаг</t>
  </si>
  <si>
    <t>Опака</t>
  </si>
  <si>
    <t>Попово</t>
  </si>
  <si>
    <t>Търговище</t>
  </si>
  <si>
    <r>
      <t xml:space="preserve">Общини от област с администр. център - </t>
    </r>
    <r>
      <rPr>
        <b/>
        <i/>
        <sz val="12"/>
        <color indexed="18"/>
        <rFont val="Times New Roman CYR"/>
      </rPr>
      <t>Хасково</t>
    </r>
  </si>
  <si>
    <t>(76хх)</t>
  </si>
  <si>
    <t>Димитровград</t>
  </si>
  <si>
    <t>Ивайловград</t>
  </si>
  <si>
    <t>Любимец</t>
  </si>
  <si>
    <t>Маджарово</t>
  </si>
  <si>
    <t>Минерални Бани</t>
  </si>
  <si>
    <t>Свиленград</t>
  </si>
  <si>
    <t>Симеоновград</t>
  </si>
  <si>
    <t>Стамболово</t>
  </si>
  <si>
    <t>Тополовград</t>
  </si>
  <si>
    <t>Харманли</t>
  </si>
  <si>
    <t>Хасково</t>
  </si>
  <si>
    <r>
      <t xml:space="preserve">Общини от област с администр. център - </t>
    </r>
    <r>
      <rPr>
        <b/>
        <i/>
        <sz val="12"/>
        <color indexed="18"/>
        <rFont val="Times New Roman CYR"/>
      </rPr>
      <t>Шумен</t>
    </r>
  </si>
  <si>
    <t>(77хх)</t>
  </si>
  <si>
    <t>Велики Преслав</t>
  </si>
  <si>
    <t>Венец</t>
  </si>
  <si>
    <t>Върбица</t>
  </si>
  <si>
    <t>Каолиново</t>
  </si>
  <si>
    <t>Каспичан</t>
  </si>
  <si>
    <t>Никола Козлево</t>
  </si>
  <si>
    <t>Нови пазар</t>
  </si>
  <si>
    <t>Смядово</t>
  </si>
  <si>
    <t>Хитрино</t>
  </si>
  <si>
    <t>Шумен</t>
  </si>
  <si>
    <r>
      <t xml:space="preserve">Общини от област с администр. център - </t>
    </r>
    <r>
      <rPr>
        <b/>
        <i/>
        <sz val="12"/>
        <color indexed="18"/>
        <rFont val="Times New Roman CYR"/>
      </rPr>
      <t>Ямбол</t>
    </r>
  </si>
  <si>
    <t>(78хх)</t>
  </si>
  <si>
    <t>Болярово</t>
  </si>
  <si>
    <t>Елхово</t>
  </si>
  <si>
    <t>Стралджа</t>
  </si>
  <si>
    <t>Тунджа</t>
  </si>
  <si>
    <t>Ямбол</t>
  </si>
  <si>
    <t>Общо за групи I, II, III, ІV и V :</t>
  </si>
  <si>
    <t>с/ка 4970 - контрола за равнение с оборотната ведомост</t>
  </si>
  <si>
    <t xml:space="preserve"> V. Други задължения - коректив по сметка 4970</t>
  </si>
  <si>
    <t xml:space="preserve"> 8. Задължения по заеми м/у бюджетни организации</t>
  </si>
  <si>
    <t xml:space="preserve"> Общо за V. - коректив по сметка 4970</t>
  </si>
  <si>
    <t xml:space="preserve">       в т.ч. Коректив за данък в/у приходите от стопанска дейност</t>
  </si>
  <si>
    <t xml:space="preserve">       в т.ч. Коректив за данък в/у приходите от стоп. дейност</t>
  </si>
  <si>
    <t xml:space="preserve">       в т.ч. Коректив за придобиване по стопански начин</t>
  </si>
  <si>
    <t>VІІ. Корективи за разходи и продобиване на активи</t>
  </si>
  <si>
    <t xml:space="preserve"> 9. Други нелихвени разходи</t>
  </si>
  <si>
    <t xml:space="preserve"> IІI. Коректив за приходи</t>
  </si>
  <si>
    <r>
      <t xml:space="preserve">           Данни от таблица</t>
    </r>
    <r>
      <rPr>
        <b/>
        <sz val="12"/>
        <color indexed="16"/>
        <rFont val="Times New Roman CYR"/>
        <charset val="204"/>
      </rPr>
      <t xml:space="preserve"> </t>
    </r>
  </si>
  <si>
    <t>За да бъдат точно приложени консолидационните за-</t>
  </si>
  <si>
    <r>
      <t xml:space="preserve">писвания за ОПР проверете дали </t>
    </r>
    <r>
      <rPr>
        <i/>
        <u/>
        <sz val="12"/>
        <color indexed="13"/>
        <rFont val="Times New Roman"/>
        <family val="1"/>
        <charset val="204"/>
      </rPr>
      <t>коректно</t>
    </r>
    <r>
      <rPr>
        <sz val="12"/>
        <color indexed="13"/>
        <rFont val="Times New Roman"/>
        <family val="1"/>
        <charset val="204"/>
      </rPr>
      <t xml:space="preserve"> са попъл-</t>
    </r>
  </si>
  <si>
    <r>
      <t xml:space="preserve">нени таблици </t>
    </r>
    <r>
      <rPr>
        <i/>
        <sz val="12"/>
        <color indexed="13"/>
        <rFont val="Times New Roman"/>
        <family val="1"/>
        <charset val="204"/>
      </rPr>
      <t xml:space="preserve">'Status'   </t>
    </r>
    <r>
      <rPr>
        <sz val="12"/>
        <color indexed="13"/>
        <rFont val="Times New Roman"/>
        <family val="1"/>
        <charset val="204"/>
      </rPr>
      <t xml:space="preserve">и </t>
    </r>
  </si>
  <si>
    <t>(в хил. лв.)</t>
  </si>
  <si>
    <t xml:space="preserve">          (в левове) </t>
  </si>
  <si>
    <t>(в левове)</t>
  </si>
  <si>
    <t xml:space="preserve">           Данни от таблица</t>
  </si>
  <si>
    <t xml:space="preserve">                           и таблица</t>
  </si>
  <si>
    <r>
      <t xml:space="preserve">нени таблици </t>
    </r>
    <r>
      <rPr>
        <i/>
        <sz val="12"/>
        <color indexed="13"/>
        <rFont val="Times New Roman"/>
        <family val="1"/>
        <charset val="204"/>
      </rPr>
      <t xml:space="preserve">'Status'   </t>
    </r>
    <r>
      <rPr>
        <sz val="12"/>
        <color indexed="13"/>
        <rFont val="Times New Roman"/>
        <family val="1"/>
        <charset val="204"/>
      </rPr>
      <t>и</t>
    </r>
  </si>
  <si>
    <r>
      <t xml:space="preserve"> (за общините - </t>
    </r>
    <r>
      <rPr>
        <i/>
        <u/>
        <sz val="12"/>
        <color indexed="13"/>
        <rFont val="Times New Roman"/>
        <family val="1"/>
        <charset val="204"/>
      </rPr>
      <t>и</t>
    </r>
    <r>
      <rPr>
        <sz val="12"/>
        <color indexed="13"/>
        <rFont val="Times New Roman"/>
        <family val="1"/>
        <charset val="204"/>
      </rPr>
      <t xml:space="preserve"> таблица </t>
    </r>
    <r>
      <rPr>
        <i/>
        <sz val="12"/>
        <color indexed="13"/>
        <rFont val="Times New Roman"/>
        <family val="1"/>
        <charset val="204"/>
      </rPr>
      <t/>
    </r>
  </si>
  <si>
    <t>(в хил. лв)</t>
  </si>
  <si>
    <t xml:space="preserve">      на таблица</t>
  </si>
  <si>
    <t>(колони "P" и "Q"), откъдето също</t>
  </si>
  <si>
    <r>
      <t xml:space="preserve">      представя  в  МФ  </t>
    </r>
    <r>
      <rPr>
        <i/>
        <u/>
        <sz val="12"/>
        <color indexed="13"/>
        <rFont val="Times New Roman"/>
        <family val="1"/>
        <charset val="204"/>
      </rPr>
      <t>и</t>
    </r>
    <r>
      <rPr>
        <sz val="12"/>
        <color indexed="13"/>
        <rFont val="Times New Roman"/>
        <family val="1"/>
        <charset val="204"/>
      </rPr>
      <t xml:space="preserve">  коректно  е  попълнена  таблица </t>
    </r>
    <r>
      <rPr>
        <i/>
        <sz val="12"/>
        <color indexed="13"/>
        <rFont val="Times New Roman"/>
        <family val="1"/>
        <charset val="204"/>
      </rPr>
      <t/>
    </r>
  </si>
  <si>
    <r>
      <rPr>
        <b/>
        <sz val="12"/>
        <color indexed="13"/>
        <rFont val="Times New Roman"/>
        <family val="1"/>
        <charset val="204"/>
      </rPr>
      <t>18.</t>
    </r>
    <r>
      <rPr>
        <sz val="12"/>
        <color indexed="13"/>
        <rFont val="Times New Roman"/>
        <family val="1"/>
        <charset val="204"/>
      </rPr>
      <t xml:space="preserve"> </t>
    </r>
    <r>
      <rPr>
        <i/>
        <u/>
        <sz val="12"/>
        <color indexed="13"/>
        <rFont val="Times New Roman"/>
        <family val="1"/>
        <charset val="204"/>
      </rPr>
      <t>Не  подлежат   на   попълване</t>
    </r>
    <r>
      <rPr>
        <sz val="12"/>
        <color indexed="13"/>
        <rFont val="Times New Roman"/>
        <family val="1"/>
        <charset val="204"/>
      </rPr>
      <t xml:space="preserve">   в   таблица </t>
    </r>
  </si>
  <si>
    <t xml:space="preserve">      на Дт или Кт крайно салдо в тази таблица.</t>
  </si>
  <si>
    <t>за съответната сметка ще се появи съобщение за превишение</t>
  </si>
  <si>
    <r>
      <t xml:space="preserve">           В тези случаи първостепенния разпоредител (ДВУ, БАН) следва </t>
    </r>
    <r>
      <rPr>
        <i/>
        <u/>
        <sz val="12"/>
        <color indexed="10"/>
        <rFont val="Times New Roman"/>
        <family val="1"/>
        <charset val="204"/>
      </rPr>
      <t>да намали</t>
    </r>
  </si>
  <si>
    <r>
      <rPr>
        <i/>
        <u/>
        <sz val="12"/>
        <rFont val="Times New Roman"/>
        <family val="1"/>
        <charset val="204"/>
      </rPr>
      <t>едновременно</t>
    </r>
    <r>
      <rPr>
        <sz val="12"/>
        <rFont val="Times New Roman"/>
        <family val="1"/>
        <charset val="204"/>
      </rPr>
      <t xml:space="preserve"> Дт и Кт крайно</t>
    </r>
  </si>
  <si>
    <r>
      <t xml:space="preserve">      </t>
    </r>
    <r>
      <rPr>
        <sz val="12"/>
        <rFont val="Times New Roman"/>
        <family val="1"/>
        <charset val="204"/>
      </rPr>
      <t>в таблица</t>
    </r>
  </si>
  <si>
    <t xml:space="preserve">     да се разграничат сумите по разчети между общински единици в системата</t>
  </si>
  <si>
    <t>с оглед</t>
  </si>
  <si>
    <r>
      <t xml:space="preserve">     сметки, които </t>
    </r>
    <r>
      <rPr>
        <i/>
        <u/>
        <sz val="12"/>
        <color indexed="10"/>
        <rFont val="Times New Roman"/>
        <family val="1"/>
        <charset val="204"/>
      </rPr>
      <t>не</t>
    </r>
    <r>
      <rPr>
        <sz val="12"/>
        <rFont val="Times New Roman"/>
        <family val="1"/>
        <charset val="204"/>
      </rPr>
      <t xml:space="preserve"> са посочени в таблица </t>
    </r>
    <r>
      <rPr>
        <i/>
        <u/>
        <sz val="12"/>
        <rFont val="Times New Roman"/>
        <family val="1"/>
        <charset val="204"/>
      </rPr>
      <t/>
    </r>
  </si>
  <si>
    <t xml:space="preserve"> и </t>
  </si>
  <si>
    <t xml:space="preserve">      таблици</t>
  </si>
  <si>
    <t xml:space="preserve"> (колони </t>
  </si>
  <si>
    <r>
      <t xml:space="preserve">      "P" и "Q"), откъдето също </t>
    </r>
    <r>
      <rPr>
        <i/>
        <sz val="12"/>
        <color indexed="13"/>
        <rFont val="Times New Roman"/>
        <family val="1"/>
        <charset val="204"/>
      </rPr>
      <t>автоматично</t>
    </r>
    <r>
      <rPr>
        <sz val="12"/>
        <color indexed="13"/>
        <rFont val="Times New Roman"/>
        <family val="1"/>
        <charset val="204"/>
      </rPr>
      <t xml:space="preserve"> се намаляват началните и крайните салда в</t>
    </r>
    <r>
      <rPr>
        <i/>
        <sz val="12"/>
        <color indexed="13"/>
        <rFont val="Times New Roman"/>
        <family val="1"/>
        <charset val="204"/>
      </rPr>
      <t/>
    </r>
  </si>
  <si>
    <r>
      <t xml:space="preserve">      в таблица </t>
    </r>
    <r>
      <rPr>
        <i/>
        <sz val="12"/>
        <color indexed="13"/>
        <rFont val="Times New Roman"/>
        <family val="1"/>
        <charset val="204"/>
      </rPr>
      <t>'Status'</t>
    </r>
    <r>
      <rPr>
        <sz val="12"/>
        <color indexed="13"/>
        <rFont val="Times New Roman"/>
        <family val="1"/>
        <charset val="204"/>
      </rPr>
      <t xml:space="preserve"> е маркирано</t>
    </r>
    <r>
      <rPr>
        <i/>
        <sz val="12"/>
        <color indexed="13"/>
        <rFont val="Times New Roman"/>
        <family val="1"/>
        <charset val="204"/>
      </rPr>
      <t xml:space="preserve"> с </t>
    </r>
    <r>
      <rPr>
        <b/>
        <i/>
        <sz val="12"/>
        <color indexed="13"/>
        <rFont val="Times New Roman"/>
        <family val="1"/>
        <charset val="204"/>
      </rPr>
      <t>"ДА"</t>
    </r>
    <r>
      <rPr>
        <i/>
        <sz val="12"/>
        <color indexed="13"/>
        <rFont val="Times New Roman"/>
        <family val="1"/>
        <charset val="204"/>
      </rPr>
      <t xml:space="preserve"> </t>
    </r>
    <r>
      <rPr>
        <sz val="12"/>
        <color indexed="13"/>
        <rFont val="Times New Roman"/>
        <family val="1"/>
        <charset val="204"/>
      </rPr>
      <t xml:space="preserve">полето за файла, който се представя в МФ </t>
    </r>
    <r>
      <rPr>
        <i/>
        <u/>
        <sz val="12"/>
        <color indexed="13"/>
        <rFont val="Times New Roman"/>
        <family val="1"/>
        <charset val="204"/>
      </rPr>
      <t>и</t>
    </r>
  </si>
  <si>
    <r>
      <t xml:space="preserve">      </t>
    </r>
    <r>
      <rPr>
        <sz val="12"/>
        <color indexed="13"/>
        <rFont val="Times New Roman"/>
        <family val="1"/>
        <charset val="204"/>
      </rPr>
      <t xml:space="preserve">коректно е попълнена от общината таблица </t>
    </r>
    <r>
      <rPr>
        <i/>
        <sz val="12"/>
        <color indexed="13"/>
        <rFont val="Times New Roman"/>
        <family val="1"/>
        <charset val="204"/>
      </rPr>
      <t/>
    </r>
  </si>
  <si>
    <t>да се получават като изходни данни суми (например, не може да има начално кредитно салдо по сметки</t>
  </si>
  <si>
    <t xml:space="preserve">   и </t>
  </si>
  <si>
    <t xml:space="preserve">тя е представена </t>
  </si>
  <si>
    <t>Информацията в тези две таблици е идентична    -   в</t>
  </si>
  <si>
    <t>- в хил. лв.</t>
  </si>
  <si>
    <t xml:space="preserve">     (за общините  -  и   таблица </t>
  </si>
  <si>
    <t>Указания за таблици</t>
  </si>
  <si>
    <t>Указания за таблица</t>
  </si>
  <si>
    <r>
      <t xml:space="preserve">Указания за таблица </t>
    </r>
    <r>
      <rPr>
        <b/>
        <sz val="12"/>
        <color indexed="18"/>
        <rFont val="Times New Roman CYR"/>
      </rPr>
      <t/>
    </r>
  </si>
  <si>
    <r>
      <t>Указания за таблица</t>
    </r>
    <r>
      <rPr>
        <b/>
        <sz val="12"/>
        <color indexed="18"/>
        <rFont val="Times New Roman CYR"/>
      </rPr>
      <t/>
    </r>
  </si>
  <si>
    <t>Указания за таблица 'TRIAL-BALANCE'</t>
  </si>
  <si>
    <t>Указания за таблица 'Status'</t>
  </si>
  <si>
    <r>
      <t xml:space="preserve">Указания за таблици </t>
    </r>
    <r>
      <rPr>
        <b/>
        <sz val="12"/>
        <color indexed="62"/>
        <rFont val="Times New Roman CYR"/>
        <family val="1"/>
        <charset val="204"/>
      </rPr>
      <t/>
    </r>
  </si>
  <si>
    <t xml:space="preserve"> - в хил. лв.</t>
  </si>
  <si>
    <t>Информацията  в  тези  две  таблици  е  идентична  -  в  таблица</t>
  </si>
  <si>
    <t xml:space="preserve">година </t>
  </si>
  <si>
    <t xml:space="preserve">При неравнение на данните, в съответните полета на  на червен </t>
  </si>
  <si>
    <t xml:space="preserve">и         баланса  (таблица </t>
  </si>
  <si>
    <t>).</t>
  </si>
  <si>
    <t>, за целите на елиминиране на вземания и</t>
  </si>
  <si>
    <t xml:space="preserve">извън тези, които са посочени в </t>
  </si>
  <si>
    <t>се попълват данните за операциите със средства на</t>
  </si>
  <si>
    <t>се попълват данните за операциите с администрираните от</t>
  </si>
  <si>
    <t>се попълва, както от структурите на Националния фонд, така</t>
  </si>
  <si>
    <t xml:space="preserve">Таблица </t>
  </si>
  <si>
    <t xml:space="preserve">В таблица </t>
  </si>
  <si>
    <t>се попълват данните за средствата по други международни</t>
  </si>
  <si>
    <t>Данните от таблици</t>
  </si>
  <si>
    <t xml:space="preserve">от данните, въведени в таблици </t>
  </si>
  <si>
    <t>агрегираните данни, който се изпраща на МФ от съответните първостепени разпоредители, ДВУ и БАН.</t>
  </si>
  <si>
    <t xml:space="preserve">във файла с </t>
  </si>
  <si>
    <t>тя е представена в ле-</t>
  </si>
  <si>
    <t>вове, а  в  таблица</t>
  </si>
  <si>
    <t xml:space="preserve"> във файла с агрегира-</t>
  </si>
  <si>
    <t>се попълват данните за всички други средства от Европейския</t>
  </si>
  <si>
    <t xml:space="preserve">се попълва, както от Разплащателната агенция към </t>
  </si>
  <si>
    <t>ДФ "Земеделие" така и от съответните бенефициенти само за тези средства на агенцията, обект</t>
  </si>
  <si>
    <t>Касови приходи от такси, лицензии и вноски с данъчен характер</t>
  </si>
  <si>
    <t>Начислени приходи от такси, лицензии и вноски с данъчен характер</t>
  </si>
  <si>
    <t>Начислени суми за възстановяване на такси, лицензии и вноски с данъчен характер</t>
  </si>
  <si>
    <t>Преотстъпени приходи от такси, лицензии и вноски с данъчен характер</t>
  </si>
  <si>
    <t xml:space="preserve">      респективно -  ДВУ и БАН, да коригира неравнението чрез въвеждането на корекция</t>
  </si>
  <si>
    <t xml:space="preserve">      е допустимо да имат както дебитно, така и кредитно салдо, поради което в табли-</t>
  </si>
  <si>
    <t>Cash-deficit'</t>
  </si>
  <si>
    <t xml:space="preserve">  "Непопълнен ред в таблица 'Cash-deficit'!"</t>
  </si>
  <si>
    <t>ще се появи съобщението</t>
  </si>
  <si>
    <t>в тази таблица и</t>
  </si>
  <si>
    <t>таблиците за баланса и ОПР във файла, който се представя в МФ.</t>
  </si>
  <si>
    <r>
      <t xml:space="preserve">Тази таблица </t>
    </r>
    <r>
      <rPr>
        <i/>
        <u/>
        <sz val="12"/>
        <color indexed="10"/>
        <rFont val="Times New Roman"/>
        <family val="1"/>
        <charset val="204"/>
      </rPr>
      <t>не</t>
    </r>
    <r>
      <rPr>
        <sz val="12"/>
        <rFont val="Times New Roman"/>
        <family val="1"/>
        <charset val="204"/>
      </rPr>
      <t xml:space="preserve"> е необходимо да се попълва от </t>
    </r>
    <r>
      <rPr>
        <i/>
        <u/>
        <sz val="12"/>
        <rFont val="Times New Roman"/>
        <family val="1"/>
        <charset val="204"/>
      </rPr>
      <t>подведомствените</t>
    </r>
    <r>
      <rPr>
        <sz val="12"/>
        <rFont val="Times New Roman"/>
        <family val="1"/>
        <charset val="204"/>
      </rPr>
      <t xml:space="preserve"> разпоредители с бюджет на го-</t>
    </r>
  </si>
  <si>
    <t>репосочените организации, тъй като информацията се съдържа в съответния сборен касов отчет,</t>
  </si>
  <si>
    <t xml:space="preserve">  АДРЕС</t>
  </si>
  <si>
    <t xml:space="preserve">    АДРЕС</t>
  </si>
  <si>
    <r>
      <t xml:space="preserve">В случай, че не се прилага някоя от финансово-правните форми или пък е отчетено </t>
    </r>
    <r>
      <rPr>
        <i/>
        <sz val="12"/>
        <color indexed="10"/>
        <rFont val="Times New Roman"/>
        <family val="1"/>
        <charset val="204"/>
      </rPr>
      <t>нулево</t>
    </r>
    <r>
      <rPr>
        <sz val="12"/>
        <rFont val="Times New Roman"/>
        <family val="1"/>
        <charset val="204"/>
      </rPr>
      <t xml:space="preserve"> бюджет-</t>
    </r>
  </si>
  <si>
    <r>
      <rPr>
        <i/>
        <u/>
        <sz val="12"/>
        <rFont val="Times New Roman"/>
        <family val="1"/>
        <charset val="204"/>
      </rPr>
      <t>и</t>
    </r>
    <r>
      <rPr>
        <sz val="12"/>
        <rFont val="Times New Roman"/>
        <family val="1"/>
        <charset val="204"/>
      </rPr>
      <t xml:space="preserve"> са въведени стойности в дебитния и кредитния оборот на таблица 'TRIAL-BALANCE', </t>
    </r>
  </si>
  <si>
    <r>
      <t xml:space="preserve">Ако някоя от клетките в тази таблица </t>
    </r>
    <r>
      <rPr>
        <i/>
        <u/>
        <sz val="12"/>
        <color indexed="10"/>
        <rFont val="Times New Roman"/>
        <family val="1"/>
        <charset val="204"/>
      </rPr>
      <t>не</t>
    </r>
    <r>
      <rPr>
        <sz val="12"/>
        <rFont val="Times New Roman"/>
        <family val="1"/>
        <charset val="204"/>
      </rPr>
      <t xml:space="preserve"> е попълнена (включително не е въведена  стойност </t>
    </r>
    <r>
      <rPr>
        <i/>
        <sz val="12"/>
        <color indexed="10"/>
        <rFont val="Times New Roman"/>
        <family val="1"/>
        <charset val="204"/>
      </rPr>
      <t>нула</t>
    </r>
    <r>
      <rPr>
        <sz val="12"/>
        <rFont val="Times New Roman"/>
        <family val="1"/>
        <charset val="204"/>
      </rPr>
      <t>)</t>
    </r>
  </si>
  <si>
    <t xml:space="preserve"> ЕИК/БУЛСТАТ</t>
  </si>
  <si>
    <t xml:space="preserve">'Intra-Balances' </t>
  </si>
  <si>
    <t>'Municipal-Bal'</t>
  </si>
  <si>
    <t>Intra-Balances'</t>
  </si>
  <si>
    <t>'Intra-Balances'</t>
  </si>
  <si>
    <r>
      <t xml:space="preserve">      'Intra-Balances'</t>
    </r>
    <r>
      <rPr>
        <i/>
        <sz val="12"/>
        <rFont val="Times New Roman"/>
        <family val="1"/>
        <charset val="204"/>
      </rPr>
      <t>,</t>
    </r>
  </si>
  <si>
    <t>Intra-Balances'!</t>
  </si>
  <si>
    <t>таблица 'Intra-Balances'</t>
  </si>
  <si>
    <r>
      <t xml:space="preserve">но салдо, </t>
    </r>
    <r>
      <rPr>
        <b/>
        <i/>
        <u/>
        <sz val="12"/>
        <color indexed="10"/>
        <rFont val="Times New Roman"/>
        <family val="1"/>
        <charset val="204"/>
      </rPr>
      <t>задължително</t>
    </r>
    <r>
      <rPr>
        <sz val="12"/>
        <rFont val="Times New Roman"/>
        <family val="1"/>
        <charset val="204"/>
      </rPr>
      <t xml:space="preserve"> </t>
    </r>
    <r>
      <rPr>
        <b/>
        <sz val="12"/>
        <rFont val="Times New Roman"/>
        <family val="1"/>
        <charset val="204"/>
      </rPr>
      <t>се попълва числото</t>
    </r>
    <r>
      <rPr>
        <sz val="12"/>
        <rFont val="Times New Roman"/>
        <family val="1"/>
        <charset val="204"/>
      </rPr>
      <t xml:space="preserve"> </t>
    </r>
    <r>
      <rPr>
        <b/>
        <i/>
        <u/>
        <sz val="12"/>
        <color indexed="10"/>
        <rFont val="Times New Roman"/>
        <family val="1"/>
        <charset val="204"/>
      </rPr>
      <t>нула</t>
    </r>
    <r>
      <rPr>
        <sz val="12"/>
        <rFont val="Times New Roman"/>
        <family val="1"/>
        <charset val="204"/>
      </rPr>
      <t xml:space="preserve"> в съответната клетка!</t>
    </r>
  </si>
  <si>
    <r>
      <rPr>
        <i/>
        <sz val="10"/>
        <color indexed="20"/>
        <rFont val="Times New Roman Cyr"/>
        <charset val="204"/>
      </rPr>
      <t>начални</t>
    </r>
    <r>
      <rPr>
        <sz val="10"/>
        <rFont val="Times New Roman CYR"/>
        <charset val="204"/>
      </rPr>
      <t xml:space="preserve"> </t>
    </r>
    <r>
      <rPr>
        <i/>
        <sz val="10"/>
        <rFont val="Times New Roman Cyr"/>
        <charset val="204"/>
      </rPr>
      <t>Дт</t>
    </r>
    <r>
      <rPr>
        <sz val="10"/>
        <rFont val="Times New Roman CYR"/>
        <charset val="204"/>
      </rPr>
      <t xml:space="preserve"> салда на кол. (8) </t>
    </r>
  </si>
  <si>
    <r>
      <rPr>
        <i/>
        <sz val="10"/>
        <color indexed="20"/>
        <rFont val="Times New Roman Cyr"/>
        <charset val="204"/>
      </rPr>
      <t>начални</t>
    </r>
    <r>
      <rPr>
        <sz val="10"/>
        <rFont val="Times New Roman CYR"/>
        <charset val="204"/>
      </rPr>
      <t xml:space="preserve"> </t>
    </r>
    <r>
      <rPr>
        <i/>
        <sz val="10"/>
        <rFont val="Times New Roman Cyr"/>
        <charset val="204"/>
      </rPr>
      <t>Кт</t>
    </r>
    <r>
      <rPr>
        <sz val="10"/>
        <rFont val="Times New Roman CYR"/>
        <charset val="204"/>
      </rPr>
      <t xml:space="preserve"> салда на кол. (8) </t>
    </r>
  </si>
  <si>
    <r>
      <rPr>
        <b/>
        <sz val="12"/>
        <rFont val="Times New Roman CYR"/>
        <charset val="204"/>
      </rPr>
      <t xml:space="preserve">Сума за коригиране на </t>
    </r>
    <r>
      <rPr>
        <b/>
        <i/>
        <sz val="12"/>
        <color indexed="18"/>
        <rFont val="Times New Roman CYR"/>
        <charset val="204"/>
      </rPr>
      <t>приходи</t>
    </r>
    <r>
      <rPr>
        <b/>
        <sz val="12"/>
        <rFont val="Times New Roman CYR"/>
        <charset val="204"/>
      </rPr>
      <t xml:space="preserve"> от ОПР - отразяване като коректив на приходи</t>
    </r>
    <r>
      <rPr>
        <i/>
        <sz val="12"/>
        <color indexed="18"/>
        <rFont val="Times New Roman CYR"/>
        <charset val="204"/>
      </rPr>
      <t xml:space="preserve"> (шифър 0730)</t>
    </r>
  </si>
  <si>
    <r>
      <rPr>
        <b/>
        <sz val="12"/>
        <rFont val="Times New Roman CYR"/>
        <charset val="204"/>
      </rPr>
      <t xml:space="preserve">Сума за коригиране на </t>
    </r>
    <r>
      <rPr>
        <b/>
        <i/>
        <sz val="12"/>
        <color indexed="10"/>
        <rFont val="Times New Roman CYR"/>
        <charset val="204"/>
      </rPr>
      <t>разходи</t>
    </r>
    <r>
      <rPr>
        <b/>
        <sz val="12"/>
        <rFont val="Times New Roman CYR"/>
        <charset val="204"/>
      </rPr>
      <t xml:space="preserve"> от ОПР - отразяване като коректив на разходи</t>
    </r>
    <r>
      <rPr>
        <i/>
        <sz val="12"/>
        <color indexed="18"/>
        <rFont val="Times New Roman CYR"/>
        <charset val="204"/>
      </rPr>
      <t xml:space="preserve"> </t>
    </r>
    <r>
      <rPr>
        <i/>
        <sz val="12"/>
        <color indexed="10"/>
        <rFont val="Times New Roman CYR"/>
        <charset val="204"/>
      </rPr>
      <t>(шифър 0670)</t>
    </r>
  </si>
  <si>
    <r>
      <t xml:space="preserve">      </t>
    </r>
    <r>
      <rPr>
        <i/>
        <sz val="12"/>
        <color indexed="13"/>
        <rFont val="Times New Roman"/>
        <family val="1"/>
        <charset val="204"/>
      </rPr>
      <t>и 0403)</t>
    </r>
    <r>
      <rPr>
        <sz val="12"/>
        <color indexed="13"/>
        <rFont val="Times New Roman"/>
        <family val="1"/>
        <charset val="204"/>
      </rPr>
      <t xml:space="preserve"> и </t>
    </r>
    <r>
      <rPr>
        <b/>
        <i/>
        <sz val="12"/>
        <color indexed="13"/>
        <rFont val="Times New Roman"/>
        <family val="1"/>
        <charset val="204"/>
      </rPr>
      <t xml:space="preserve">ОПР </t>
    </r>
    <r>
      <rPr>
        <sz val="12"/>
        <color indexed="13"/>
        <rFont val="Times New Roman"/>
        <family val="1"/>
        <charset val="204"/>
      </rPr>
      <t xml:space="preserve">(за позициите с </t>
    </r>
    <r>
      <rPr>
        <i/>
        <sz val="12"/>
        <color indexed="13"/>
        <rFont val="Times New Roman"/>
        <family val="1"/>
        <charset val="204"/>
      </rPr>
      <t>шифър</t>
    </r>
    <r>
      <rPr>
        <b/>
        <i/>
        <sz val="12"/>
        <color indexed="13"/>
        <rFont val="Times New Roman"/>
        <family val="1"/>
        <charset val="204"/>
      </rPr>
      <t xml:space="preserve"> </t>
    </r>
    <r>
      <rPr>
        <i/>
        <sz val="12"/>
        <color indexed="13"/>
        <rFont val="Times New Roman"/>
        <family val="1"/>
        <charset val="204"/>
      </rPr>
      <t>0730, 0606, 0670 и 1000)</t>
    </r>
    <r>
      <rPr>
        <b/>
        <i/>
        <sz val="12"/>
        <color indexed="13"/>
        <rFont val="Times New Roman"/>
        <family val="1"/>
        <charset val="204"/>
      </rPr>
      <t xml:space="preserve"> </t>
    </r>
    <r>
      <rPr>
        <i/>
        <u/>
        <sz val="12"/>
        <color indexed="13"/>
        <rFont val="Times New Roman"/>
        <family val="1"/>
        <charset val="204"/>
      </rPr>
      <t>само</t>
    </r>
    <r>
      <rPr>
        <b/>
        <i/>
        <sz val="12"/>
        <color indexed="13"/>
        <rFont val="Times New Roman"/>
        <family val="1"/>
        <charset val="204"/>
      </rPr>
      <t xml:space="preserve"> </t>
    </r>
    <r>
      <rPr>
        <sz val="12"/>
        <color indexed="13"/>
        <rFont val="Times New Roman"/>
        <family val="1"/>
        <charset val="204"/>
      </rPr>
      <t>когато</t>
    </r>
  </si>
  <si>
    <r>
      <t xml:space="preserve">Това е файл с </t>
    </r>
    <r>
      <rPr>
        <i/>
        <u/>
        <sz val="12"/>
        <color indexed="18"/>
        <rFont val="Times New Roman"/>
        <family val="1"/>
        <charset val="204"/>
      </rPr>
      <t>агрегираните</t>
    </r>
    <r>
      <rPr>
        <sz val="12"/>
        <rFont val="Times New Roman"/>
        <family val="1"/>
        <charset val="204"/>
      </rPr>
      <t xml:space="preserve"> данни за </t>
    </r>
    <r>
      <rPr>
        <i/>
        <u/>
        <sz val="12"/>
        <color indexed="18"/>
        <rFont val="Times New Roman"/>
        <family val="1"/>
        <charset val="204"/>
      </rPr>
      <t>цялата система</t>
    </r>
    <r>
      <rPr>
        <sz val="12"/>
        <rFont val="Times New Roman"/>
        <family val="1"/>
        <charset val="204"/>
      </rPr>
      <t xml:space="preserve"> на първо-степенния разпоредител, ДВУ или БАН, който се </t>
    </r>
    <r>
      <rPr>
        <i/>
        <u/>
        <sz val="12"/>
        <color indexed="18"/>
        <rFont val="Times New Roman"/>
        <family val="1"/>
        <charset val="204"/>
      </rPr>
      <t>представя в МФ</t>
    </r>
  </si>
  <si>
    <t>Пасиви</t>
  </si>
  <si>
    <t>Активи</t>
  </si>
  <si>
    <t xml:space="preserve">   Ръководител:</t>
  </si>
  <si>
    <t xml:space="preserve">           Ръководител:</t>
  </si>
  <si>
    <t xml:space="preserve">        Ръководител:</t>
  </si>
  <si>
    <t xml:space="preserve">                                 Главен счетоводител:</t>
  </si>
  <si>
    <t xml:space="preserve">                            Главен счетоводител:</t>
  </si>
  <si>
    <t xml:space="preserve">                                                 Ръководител:</t>
  </si>
  <si>
    <t xml:space="preserve">                                                                                                                      Д а т а :</t>
  </si>
  <si>
    <t>Дата:</t>
  </si>
  <si>
    <t xml:space="preserve">                   Главен счетоводител:</t>
  </si>
  <si>
    <t>ОПР</t>
  </si>
  <si>
    <r>
      <t>Вземания за лихви (</t>
    </r>
    <r>
      <rPr>
        <b/>
        <i/>
        <sz val="10"/>
        <color indexed="10"/>
        <rFont val="Times New Roman CYR"/>
      </rPr>
      <t>без</t>
    </r>
    <r>
      <rPr>
        <b/>
        <sz val="10"/>
        <rFont val="Times New Roman CYR"/>
        <family val="1"/>
        <charset val="204"/>
      </rPr>
      <t xml:space="preserve"> сметки </t>
    </r>
    <r>
      <rPr>
        <b/>
        <sz val="10"/>
        <color indexed="10"/>
        <rFont val="Times New Roman Cyr"/>
      </rPr>
      <t xml:space="preserve">4303 </t>
    </r>
    <r>
      <rPr>
        <b/>
        <sz val="10"/>
        <rFont val="Times New Roman CYR"/>
        <charset val="204"/>
      </rPr>
      <t>и</t>
    </r>
    <r>
      <rPr>
        <b/>
        <sz val="10"/>
        <color indexed="10"/>
        <rFont val="Times New Roman Cyr"/>
      </rPr>
      <t xml:space="preserve"> 4379</t>
    </r>
    <r>
      <rPr>
        <b/>
        <sz val="10"/>
        <rFont val="Times New Roman CYR"/>
      </rPr>
      <t xml:space="preserve"> </t>
    </r>
    <r>
      <rPr>
        <b/>
        <sz val="10"/>
        <rFont val="Times New Roman CYR"/>
        <family val="1"/>
        <charset val="204"/>
      </rPr>
      <t>)</t>
    </r>
  </si>
  <si>
    <t xml:space="preserve"> 1. Публични вземания - данъци, вноски, такси, санкции и лихви</t>
  </si>
  <si>
    <r>
      <t>Задължения за лихви (</t>
    </r>
    <r>
      <rPr>
        <b/>
        <i/>
        <sz val="10"/>
        <color indexed="10"/>
        <rFont val="Times New Roman CYR"/>
      </rPr>
      <t>без</t>
    </r>
    <r>
      <rPr>
        <b/>
        <sz val="10"/>
        <rFont val="Times New Roman CYR"/>
        <family val="1"/>
        <charset val="204"/>
      </rPr>
      <t xml:space="preserve"> разчетите по </t>
    </r>
    <r>
      <rPr>
        <b/>
        <sz val="10"/>
        <color indexed="10"/>
        <rFont val="Times New Roman Cyr"/>
      </rPr>
      <t>сметки 1927</t>
    </r>
    <r>
      <rPr>
        <b/>
        <sz val="10"/>
        <rFont val="Times New Roman CYR"/>
        <family val="1"/>
        <charset val="204"/>
      </rPr>
      <t xml:space="preserve"> и </t>
    </r>
    <r>
      <rPr>
        <b/>
        <sz val="10"/>
        <color indexed="10"/>
        <rFont val="Times New Roman Cyr"/>
      </rPr>
      <t>1928</t>
    </r>
    <r>
      <rPr>
        <b/>
        <sz val="10"/>
        <rFont val="Times New Roman CYR"/>
      </rPr>
      <t>)</t>
    </r>
  </si>
  <si>
    <t xml:space="preserve"> II. Други вземания - провизии по сметки 4911, 4915-4918</t>
  </si>
  <si>
    <t xml:space="preserve"> Общо за ІІ. - провизии по сметки 4911, 4915-4918</t>
  </si>
  <si>
    <r>
      <t xml:space="preserve">1) Отчетен касов дефицит/излишък по </t>
    </r>
    <r>
      <rPr>
        <b/>
        <i/>
        <sz val="12"/>
        <rFont val="Times New Roman CYR"/>
        <charset val="204"/>
      </rPr>
      <t>БЮДЖЕТА</t>
    </r>
    <r>
      <rPr>
        <b/>
        <sz val="12"/>
        <rFont val="Times New Roman CYR"/>
        <charset val="204"/>
      </rPr>
      <t xml:space="preserve"> (дефицит "-" / излишък "+")</t>
    </r>
  </si>
  <si>
    <r>
      <t xml:space="preserve">2) Отчетен касов дефицит/излишък по </t>
    </r>
    <r>
      <rPr>
        <b/>
        <i/>
        <sz val="10"/>
        <rFont val="Times New Roman Cyr"/>
        <charset val="204"/>
      </rPr>
      <t>СМЕТКИТЕ ЗА СРЕДСТВАТА ОТ ЕС</t>
    </r>
    <r>
      <rPr>
        <b/>
        <sz val="12"/>
        <rFont val="Times New Roman CYR"/>
        <charset val="204"/>
      </rPr>
      <t xml:space="preserve">  (дефицит "-" / излишък "+")</t>
    </r>
  </si>
  <si>
    <r>
      <t xml:space="preserve">3) Касов дефицит/излишък  по </t>
    </r>
    <r>
      <rPr>
        <b/>
        <i/>
        <sz val="10"/>
        <rFont val="Times New Roman Cyr"/>
        <charset val="204"/>
      </rPr>
      <t>СМЕТКИТЕ ЗА ЧУЖДИ СРЕДСТВА</t>
    </r>
    <r>
      <rPr>
        <b/>
        <sz val="12"/>
        <rFont val="Times New Roman CYR"/>
        <charset val="204"/>
      </rPr>
      <t xml:space="preserve"> (дефицит "-" / излишък "+")</t>
    </r>
  </si>
  <si>
    <t>Файлът следва да бъде наименован съобразно съответните указания на МФ.</t>
  </si>
  <si>
    <t>оборотните ведомости означават, че за тези сметки не може  да  има отчетни данни  за</t>
  </si>
  <si>
    <r>
      <rPr>
        <b/>
        <sz val="12"/>
        <rFont val="Times New Roman CYR"/>
        <charset val="204"/>
      </rPr>
      <t>Сума за елиминиране от пасива на баланса</t>
    </r>
    <r>
      <rPr>
        <b/>
        <sz val="12"/>
        <color indexed="16"/>
        <rFont val="Times New Roman CYR"/>
        <charset val="204"/>
      </rPr>
      <t xml:space="preserve"> - </t>
    </r>
    <r>
      <rPr>
        <b/>
        <sz val="12"/>
        <rFont val="Times New Roman CYR"/>
        <charset val="204"/>
      </rPr>
      <t xml:space="preserve">5. </t>
    </r>
    <r>
      <rPr>
        <b/>
        <sz val="11"/>
        <rFont val="Times New Roman CYR"/>
        <charset val="204"/>
      </rPr>
      <t>Задължения за данъци, мита и такси</t>
    </r>
    <r>
      <rPr>
        <i/>
        <sz val="12"/>
        <color indexed="16"/>
        <rFont val="Times New Roman CYR"/>
        <charset val="204"/>
      </rPr>
      <t xml:space="preserve"> (шифър 0525)</t>
    </r>
  </si>
  <si>
    <t>,</t>
  </si>
  <si>
    <r>
      <t xml:space="preserve">      разпоредител да направи съответните корекции в маркираните в </t>
    </r>
    <r>
      <rPr>
        <i/>
        <u/>
        <sz val="12"/>
        <color indexed="18"/>
        <rFont val="Times New Roman"/>
        <family val="1"/>
        <charset val="204"/>
      </rPr>
      <t>синьо</t>
    </r>
    <r>
      <rPr>
        <sz val="12"/>
        <rFont val="Times New Roman"/>
        <family val="1"/>
        <charset val="204"/>
      </rPr>
      <t xml:space="preserve"> клетки (коло-</t>
    </r>
  </si>
  <si>
    <t xml:space="preserve"> 1. Данъци, осигурителни вноски и приравнени на тях приходи</t>
  </si>
  <si>
    <t xml:space="preserve">                                                                                                           Дата:</t>
  </si>
  <si>
    <t xml:space="preserve">Националния фонд от структурните фондове и Кохезионния фонд, и произтичащите от тях приходи, </t>
  </si>
  <si>
    <t>за тази цел се използват</t>
  </si>
  <si>
    <t>цялата система на първостепенния разпоредител с бюджет, ДВУ или БАН нетното салдо на съответната сметка</t>
  </si>
  <si>
    <t>на данните от лева в хил. лв. В тези случаи неравнението се отстранява чрез попълване на съответната клетка</t>
  </si>
  <si>
    <t>за вътрешни разчети/касови трансфери или некасови трансфери не е равно на нула, ще се появят в тази таблица</t>
  </si>
  <si>
    <t>съобщения за неравнение. При наличието на такова неравнение ще се появи съобщение и в таблици</t>
  </si>
  <si>
    <t>'Rounding'</t>
  </si>
  <si>
    <t>и ОПР.</t>
  </si>
  <si>
    <t>Тази таблица е предназначена за отстраняване на неравнения от закръгления в хил. лв на данните за баланса</t>
  </si>
  <si>
    <t>съобщения за липса на неравнение в баланса (между балансови активи и пасиви), задбалансовите позиции и</t>
  </si>
  <si>
    <t>Изборът на конкретните кодове на позициите за разпределение на сумата на неравнението се извършва по</t>
  </si>
  <si>
    <t>в хил. лв на отчетената в баланса сума по тази позиция и сумата, отчетена по нея в ОПР)  ще се появи</t>
  </si>
  <si>
    <t xml:space="preserve">ако е налице неравнение от 1 хил. лв (превишение на актива над пасива) то може да се премахне чрез </t>
  </si>
  <si>
    <t>преценка на бюджетната организация в зависимост от конкретната ситуация на неравнението. Така например,</t>
  </si>
  <si>
    <t>че няма неравнение на съответните позиции (активи и пасиви, задбалансови позиции и изменение на нетните</t>
  </si>
  <si>
    <t>продължат да фигурират с нанесените корекции.</t>
  </si>
  <si>
    <t>При коректно попълване на таблицата неравнението се отстранява и се появява съобщение в тази таблица,</t>
  </si>
  <si>
    <t>В случай, че неравнението в абсолютна стойност е 2 хил. лв или повече, се препоръчва разпределението да</t>
  </si>
  <si>
    <t xml:space="preserve"> 2. Компютри,транспортни средства, оборудване</t>
  </si>
  <si>
    <r>
      <t xml:space="preserve">Това е файл, който съдържа само данни за </t>
    </r>
    <r>
      <rPr>
        <i/>
        <u/>
        <sz val="12"/>
        <color indexed="16"/>
        <rFont val="Times New Roman"/>
        <family val="1"/>
        <charset val="204"/>
      </rPr>
      <t>обособена отчетна единица</t>
    </r>
    <r>
      <rPr>
        <sz val="12"/>
        <rFont val="Times New Roman"/>
        <family val="1"/>
        <charset val="204"/>
      </rPr>
      <t xml:space="preserve"> в системата на първостепенния разпоредител, ДВУ и БАН</t>
    </r>
  </si>
  <si>
    <t>Наименование</t>
  </si>
  <si>
    <t>Код</t>
  </si>
  <si>
    <t>Национален осигурителен институт - Държавно обществено осигуряване</t>
  </si>
  <si>
    <t>Национален осигурителен институт - Учителски пенсионен фонд</t>
  </si>
  <si>
    <t>Национален осигрителен инститт - фонд "Гарантирани вземания на работници и служители"</t>
  </si>
  <si>
    <t>Национална здравноосигурителна каса</t>
  </si>
  <si>
    <r>
      <t>Б )</t>
    </r>
    <r>
      <rPr>
        <b/>
        <sz val="12"/>
        <color indexed="12"/>
        <rFont val="Times New Roman CYR"/>
        <family val="1"/>
        <charset val="204"/>
      </rPr>
      <t xml:space="preserve"> </t>
    </r>
    <r>
      <rPr>
        <b/>
        <sz val="12"/>
        <color indexed="18"/>
        <rFont val="Times New Roman CYR"/>
      </rPr>
      <t>Кодове на социалноосигурителни фондове</t>
    </r>
  </si>
  <si>
    <t>първостепенния разпоредител с бюджет, ДВУ, БАН, наличието на нетно салдо (т.е. началното или крайното</t>
  </si>
  <si>
    <t>следва да се отстрани. След като се отстрани грешката в оборотната ведомост (т.е. нетното салдо стане нулево)</t>
  </si>
  <si>
    <t>В тази таблица се посочват съответните индивидуални данни на бюджетната организация (наименование,</t>
  </si>
  <si>
    <t>автоматично ще се появят и в другите таблици.</t>
  </si>
  <si>
    <t>БУЛСТАТ, код по ЕБК и др.) чрез попълване на съответните клетки. Така разнесени, тези данни</t>
  </si>
  <si>
    <t>което ще се изчезне, когато се отстрани</t>
  </si>
  <si>
    <t>от трите отчетни групи. В тези случаи може да се приема, че е налице равнение в данните.</t>
  </si>
  <si>
    <t>с/ки 4911, 4915-4918 - контрола за равнение с оборотната в-ст</t>
  </si>
  <si>
    <t xml:space="preserve"> III. Коректив на номинална стойност на задължения по финансов лизинг(сметки 1917 и 1918)</t>
  </si>
  <si>
    <t xml:space="preserve">                     (име и фамилия)</t>
  </si>
  <si>
    <t xml:space="preserve">                       (име и фамилия)</t>
  </si>
  <si>
    <t>баланса и отчета за приходите и разходите.</t>
  </si>
  <si>
    <t xml:space="preserve">                                     К О Н Т Р О Л А</t>
  </si>
  <si>
    <t>началните салда. Ако са налице такива грешки съответните съобщения ще се появят в тази таблица</t>
  </si>
  <si>
    <t>и</t>
  </si>
  <si>
    <t>В таблицата са заложени и съответните съобщения и контроли за допустимост на крайни салда. В случай, че</t>
  </si>
  <si>
    <t>в съответната отчетна група (стопанска област). Съобщение за грешни крайни салда ще се появи на червен фон</t>
  </si>
  <si>
    <t>от четирите таблици за отделните оборотни ведомости на СЕС, ако има такива грешки).</t>
  </si>
  <si>
    <t>Във всяка една от тези четири таблици са заложени съответните контроли и съобщения за грешни крайни салда,</t>
  </si>
  <si>
    <t>, които ще изчезнат след отстраняване</t>
  </si>
  <si>
    <t xml:space="preserve"> на съответните неравнения и грешки.</t>
  </si>
  <si>
    <t>, както и в таблиците</t>
  </si>
  <si>
    <t>Крайно с/до - Начално с/до</t>
  </si>
  <si>
    <t>- показатели за коригиране в БАЛАНС и ОПР</t>
  </si>
  <si>
    <t>4301.1</t>
  </si>
  <si>
    <t>4303.1</t>
  </si>
  <si>
    <t>4301.2</t>
  </si>
  <si>
    <t>4303.2</t>
  </si>
  <si>
    <t>4311.1</t>
  </si>
  <si>
    <t>4313.1</t>
  </si>
  <si>
    <t>4311.2</t>
  </si>
  <si>
    <t>4313.2</t>
  </si>
  <si>
    <r>
      <rPr>
        <b/>
        <sz val="12"/>
        <rFont val="Times New Roman CYR"/>
        <charset val="204"/>
      </rPr>
      <t>а)</t>
    </r>
    <r>
      <rPr>
        <sz val="12"/>
        <rFont val="Times New Roman CYR"/>
        <family val="1"/>
        <charset val="204"/>
      </rPr>
      <t xml:space="preserve"> задължения по сметка 4311 към други лица</t>
    </r>
  </si>
  <si>
    <r>
      <rPr>
        <b/>
        <sz val="12"/>
        <rFont val="Times New Roman CYR"/>
        <charset val="204"/>
      </rPr>
      <t>б)</t>
    </r>
    <r>
      <rPr>
        <sz val="12"/>
        <rFont val="Times New Roman CYR"/>
        <family val="1"/>
        <charset val="204"/>
      </rPr>
      <t xml:space="preserve"> задължения по сметка 4313 към други лица</t>
    </r>
  </si>
  <si>
    <r>
      <rPr>
        <b/>
        <sz val="12"/>
        <rFont val="Times New Roman CYR"/>
        <charset val="204"/>
      </rPr>
      <t>а)</t>
    </r>
    <r>
      <rPr>
        <sz val="12"/>
        <rFont val="Times New Roman CYR"/>
        <family val="1"/>
        <charset val="204"/>
      </rPr>
      <t xml:space="preserve"> задължения по сметка 4311 към общината-първостепенен разпоредител и нейни звена</t>
    </r>
  </si>
  <si>
    <r>
      <rPr>
        <b/>
        <sz val="12"/>
        <rFont val="Times New Roman CYR"/>
        <charset val="204"/>
      </rPr>
      <t>б)</t>
    </r>
    <r>
      <rPr>
        <sz val="12"/>
        <rFont val="Times New Roman CYR"/>
        <family val="1"/>
        <charset val="204"/>
      </rPr>
      <t xml:space="preserve"> задължения по сметка 4313 към общината-първостепенен разпоредител и нейни звена</t>
    </r>
  </si>
  <si>
    <r>
      <rPr>
        <b/>
        <sz val="12"/>
        <rFont val="Times New Roman CYR"/>
        <charset val="204"/>
      </rPr>
      <t xml:space="preserve">        а)</t>
    </r>
    <r>
      <rPr>
        <sz val="12"/>
        <rFont val="Times New Roman CYR"/>
        <family val="1"/>
        <charset val="204"/>
      </rPr>
      <t xml:space="preserve"> салдо на сметка 4311</t>
    </r>
  </si>
  <si>
    <r>
      <rPr>
        <b/>
        <sz val="12"/>
        <rFont val="Times New Roman CYR"/>
        <charset val="204"/>
      </rPr>
      <t xml:space="preserve">        б)</t>
    </r>
    <r>
      <rPr>
        <sz val="12"/>
        <rFont val="Times New Roman CYR"/>
        <family val="1"/>
        <charset val="204"/>
      </rPr>
      <t xml:space="preserve"> салдо на сметка 4313</t>
    </r>
  </si>
  <si>
    <r>
      <rPr>
        <b/>
        <sz val="12"/>
        <rFont val="Times New Roman"/>
        <family val="1"/>
        <charset val="204"/>
      </rPr>
      <t>7.</t>
    </r>
    <r>
      <rPr>
        <sz val="12"/>
        <rFont val="Times New Roman"/>
        <family val="1"/>
        <charset val="204"/>
      </rPr>
      <t xml:space="preserve"> На редове </t>
    </r>
    <r>
      <rPr>
        <sz val="12"/>
        <color indexed="16"/>
        <rFont val="Times New Roman"/>
        <family val="1"/>
        <charset val="204"/>
      </rPr>
      <t>19</t>
    </r>
    <r>
      <rPr>
        <sz val="12"/>
        <rFont val="Times New Roman"/>
        <family val="1"/>
        <charset val="204"/>
      </rPr>
      <t xml:space="preserve">, </t>
    </r>
    <r>
      <rPr>
        <sz val="12"/>
        <color indexed="16"/>
        <rFont val="Times New Roman"/>
        <family val="1"/>
        <charset val="204"/>
      </rPr>
      <t>27</t>
    </r>
    <r>
      <rPr>
        <sz val="12"/>
        <rFont val="Times New Roman"/>
        <family val="1"/>
        <charset val="204"/>
      </rPr>
      <t xml:space="preserve">, </t>
    </r>
    <r>
      <rPr>
        <sz val="12"/>
        <color indexed="16"/>
        <rFont val="Times New Roman"/>
        <family val="1"/>
        <charset val="204"/>
      </rPr>
      <t>33</t>
    </r>
    <r>
      <rPr>
        <sz val="12"/>
        <rFont val="Times New Roman"/>
        <family val="1"/>
        <charset val="204"/>
      </rPr>
      <t xml:space="preserve">, </t>
    </r>
    <r>
      <rPr>
        <sz val="12"/>
        <color indexed="16"/>
        <rFont val="Times New Roman"/>
        <family val="1"/>
        <charset val="204"/>
      </rPr>
      <t>39</t>
    </r>
    <r>
      <rPr>
        <sz val="12"/>
        <rFont val="Times New Roman"/>
        <family val="1"/>
        <charset val="204"/>
      </rPr>
      <t xml:space="preserve">, </t>
    </r>
    <r>
      <rPr>
        <sz val="12"/>
        <color indexed="16"/>
        <rFont val="Times New Roman"/>
        <family val="1"/>
        <charset val="204"/>
      </rPr>
      <t>47</t>
    </r>
    <r>
      <rPr>
        <sz val="12"/>
        <rFont val="Times New Roman"/>
        <family val="1"/>
        <charset val="204"/>
      </rPr>
      <t xml:space="preserve">, </t>
    </r>
    <r>
      <rPr>
        <sz val="12"/>
        <color indexed="16"/>
        <rFont val="Times New Roman"/>
        <family val="1"/>
        <charset val="204"/>
      </rPr>
      <t>49</t>
    </r>
    <r>
      <rPr>
        <sz val="12"/>
        <rFont val="Times New Roman"/>
        <family val="1"/>
        <charset val="204"/>
      </rPr>
      <t xml:space="preserve">, </t>
    </r>
    <r>
      <rPr>
        <sz val="12"/>
        <color indexed="16"/>
        <rFont val="Times New Roman"/>
        <family val="1"/>
        <charset val="204"/>
      </rPr>
      <t>50</t>
    </r>
    <r>
      <rPr>
        <sz val="12"/>
        <rFont val="Times New Roman"/>
        <family val="1"/>
        <charset val="204"/>
      </rPr>
      <t xml:space="preserve">, </t>
    </r>
    <r>
      <rPr>
        <sz val="12"/>
        <color indexed="16"/>
        <rFont val="Times New Roman"/>
        <family val="1"/>
        <charset val="204"/>
      </rPr>
      <t>51</t>
    </r>
    <r>
      <rPr>
        <sz val="12"/>
        <rFont val="Times New Roman"/>
        <family val="1"/>
        <charset val="204"/>
      </rPr>
      <t xml:space="preserve">,  </t>
    </r>
    <r>
      <rPr>
        <sz val="12"/>
        <color indexed="16"/>
        <rFont val="Times New Roman"/>
        <family val="1"/>
        <charset val="204"/>
      </rPr>
      <t>62, 63</t>
    </r>
    <r>
      <rPr>
        <sz val="12"/>
        <rFont val="Times New Roman"/>
        <family val="1"/>
        <charset val="204"/>
      </rPr>
      <t xml:space="preserve"> и </t>
    </r>
    <r>
      <rPr>
        <sz val="12"/>
        <color indexed="16"/>
        <rFont val="Times New Roman"/>
        <family val="1"/>
        <charset val="204"/>
      </rPr>
      <t>66</t>
    </r>
    <r>
      <rPr>
        <sz val="12"/>
        <rFont val="Times New Roman"/>
        <family val="1"/>
        <charset val="204"/>
      </rPr>
      <t xml:space="preserve"> в клетките за начални и крайни</t>
    </r>
  </si>
  <si>
    <t xml:space="preserve">    салда автоматично са заложени съответните суми за салда на съответните сметки,</t>
  </si>
  <si>
    <t xml:space="preserve">     общия размер на салдата, отчетени в оборотната ведомост за съответните сметки.</t>
  </si>
  <si>
    <r>
      <t xml:space="preserve">      ни </t>
    </r>
    <r>
      <rPr>
        <i/>
        <sz val="12"/>
        <color indexed="18"/>
        <rFont val="Times New Roman"/>
        <family val="1"/>
        <charset val="204"/>
      </rPr>
      <t>"O"</t>
    </r>
    <r>
      <rPr>
        <sz val="12"/>
        <rFont val="Times New Roman"/>
        <family val="1"/>
        <charset val="204"/>
      </rPr>
      <t xml:space="preserve"> и </t>
    </r>
    <r>
      <rPr>
        <i/>
        <sz val="12"/>
        <color indexed="18"/>
        <rFont val="Times New Roman"/>
        <family val="1"/>
        <charset val="204"/>
      </rPr>
      <t>"R"</t>
    </r>
    <r>
      <rPr>
        <sz val="12"/>
        <rFont val="Times New Roman"/>
        <family val="1"/>
        <charset val="204"/>
      </rPr>
      <t xml:space="preserve">- редове </t>
    </r>
    <r>
      <rPr>
        <i/>
        <sz val="12"/>
        <color indexed="18"/>
        <rFont val="Times New Roman"/>
        <family val="1"/>
        <charset val="204"/>
      </rPr>
      <t>69, 72, 75, 78, 83, 86</t>
    </r>
    <r>
      <rPr>
        <sz val="12"/>
        <rFont val="Times New Roman"/>
        <family val="1"/>
        <charset val="204"/>
      </rPr>
      <t xml:space="preserve"> и </t>
    </r>
    <r>
      <rPr>
        <i/>
        <sz val="12"/>
        <color indexed="18"/>
        <rFont val="Times New Roman"/>
        <family val="1"/>
        <charset val="204"/>
      </rPr>
      <t>89</t>
    </r>
    <r>
      <rPr>
        <sz val="12"/>
        <rFont val="Times New Roman"/>
        <family val="1"/>
        <charset val="204"/>
      </rPr>
      <t xml:space="preserve">) във </t>
    </r>
    <r>
      <rPr>
        <i/>
        <u/>
        <sz val="12"/>
        <rFont val="Times New Roman"/>
        <family val="1"/>
        <charset val="204"/>
      </rPr>
      <t>файла със сборните данни</t>
    </r>
  </si>
  <si>
    <t xml:space="preserve">    Останалите първостепенни разпоредители с бюджет, ДВУ, БАН и бюджетните орга-</t>
  </si>
  <si>
    <r>
      <rPr>
        <b/>
        <sz val="12"/>
        <rFont val="Times New Roman"/>
        <family val="1"/>
        <charset val="204"/>
      </rPr>
      <t>8.</t>
    </r>
    <r>
      <rPr>
        <sz val="12"/>
        <rFont val="Times New Roman"/>
        <family val="1"/>
        <charset val="204"/>
      </rPr>
      <t xml:space="preserve"> Полетата за </t>
    </r>
    <r>
      <rPr>
        <i/>
        <u/>
        <sz val="12"/>
        <color indexed="16"/>
        <rFont val="Times New Roman"/>
        <family val="1"/>
        <charset val="204"/>
      </rPr>
      <t>редове 68-89</t>
    </r>
    <r>
      <rPr>
        <sz val="12"/>
        <rFont val="Times New Roman"/>
        <family val="1"/>
        <charset val="204"/>
      </rPr>
      <t xml:space="preserve"> генерират информация, с която да се елиминират взема-</t>
    </r>
  </si>
  <si>
    <t xml:space="preserve">      се показва съответния предупредителен текст на червен фон.</t>
  </si>
  <si>
    <r>
      <t xml:space="preserve">      (колони </t>
    </r>
    <r>
      <rPr>
        <i/>
        <sz val="12"/>
        <color indexed="16"/>
        <rFont val="Times New Roman"/>
        <family val="1"/>
        <charset val="204"/>
      </rPr>
      <t>"P"</t>
    </r>
    <r>
      <rPr>
        <sz val="12"/>
        <rFont val="Times New Roman"/>
        <family val="1"/>
        <charset val="204"/>
      </rPr>
      <t xml:space="preserve"> и, </t>
    </r>
    <r>
      <rPr>
        <i/>
        <sz val="12"/>
        <color indexed="16"/>
        <rFont val="Times New Roman"/>
        <family val="1"/>
        <charset val="204"/>
      </rPr>
      <t>"S"</t>
    </r>
    <r>
      <rPr>
        <sz val="12"/>
        <rFont val="Times New Roman"/>
        <family val="1"/>
        <charset val="204"/>
      </rPr>
      <t xml:space="preserve"> и </t>
    </r>
    <r>
      <rPr>
        <i/>
        <sz val="12"/>
        <color indexed="16"/>
        <rFont val="Times New Roman"/>
        <family val="1"/>
        <charset val="204"/>
      </rPr>
      <t>"V"</t>
    </r>
    <r>
      <rPr>
        <sz val="12"/>
        <rFont val="Times New Roman"/>
        <family val="1"/>
        <charset val="204"/>
      </rPr>
      <t xml:space="preserve"> - </t>
    </r>
    <r>
      <rPr>
        <sz val="12"/>
        <color indexed="16"/>
        <rFont val="Times New Roman"/>
        <family val="1"/>
        <charset val="204"/>
      </rPr>
      <t>редове 81-83</t>
    </r>
    <r>
      <rPr>
        <sz val="12"/>
        <rFont val="Times New Roman"/>
        <family val="1"/>
        <charset val="204"/>
      </rPr>
      <t xml:space="preserve">, </t>
    </r>
    <r>
      <rPr>
        <sz val="12"/>
        <color indexed="16"/>
        <rFont val="Times New Roman"/>
        <family val="1"/>
        <charset val="204"/>
      </rPr>
      <t xml:space="preserve">92-94 </t>
    </r>
    <r>
      <rPr>
        <sz val="12"/>
        <rFont val="Times New Roman"/>
        <family val="1"/>
        <charset val="204"/>
      </rPr>
      <t xml:space="preserve">и </t>
    </r>
    <r>
      <rPr>
        <sz val="12"/>
        <color indexed="16"/>
        <rFont val="Times New Roman"/>
        <family val="1"/>
        <charset val="204"/>
      </rPr>
      <t>122-124</t>
    </r>
    <r>
      <rPr>
        <sz val="12"/>
        <rFont val="Times New Roman"/>
        <family val="1"/>
        <charset val="204"/>
      </rPr>
      <t>), като при неравнение</t>
    </r>
  </si>
  <si>
    <r>
      <t xml:space="preserve">    изации по чл. 13, ал. 4 от ЗПФ </t>
    </r>
    <r>
      <rPr>
        <i/>
        <u/>
        <sz val="12"/>
        <color indexed="10"/>
        <rFont val="Times New Roman"/>
        <family val="1"/>
        <charset val="204"/>
      </rPr>
      <t>не</t>
    </r>
    <r>
      <rPr>
        <sz val="12"/>
        <color indexed="18"/>
        <rFont val="Times New Roman"/>
        <family val="1"/>
        <charset val="204"/>
      </rPr>
      <t xml:space="preserve"> попълват таблицата.</t>
    </r>
  </si>
  <si>
    <r>
      <rPr>
        <b/>
        <sz val="12"/>
        <rFont val="Times New Roman"/>
        <family val="1"/>
        <charset val="204"/>
      </rPr>
      <t>10.</t>
    </r>
    <r>
      <rPr>
        <sz val="12"/>
        <rFont val="Times New Roman"/>
        <family val="1"/>
        <charset val="204"/>
      </rPr>
      <t xml:space="preserve"> При коректно попълване на данните следва да е налице счетоводното тъждество:</t>
    </r>
  </si>
  <si>
    <t xml:space="preserve">      изменението в нетните активи от елиминиране на съответните вземания и</t>
  </si>
  <si>
    <t xml:space="preserve">      задължения (NA-BAL) следва да е равно на изменението в нетните активи от</t>
  </si>
  <si>
    <t xml:space="preserve">      от коригиране на приходните и разходните позиции (NA-OPR)</t>
  </si>
  <si>
    <t xml:space="preserve">    от таблицата </t>
  </si>
  <si>
    <t xml:space="preserve">на файла за оборотната </t>
  </si>
  <si>
    <t xml:space="preserve">    ведомост    за </t>
  </si>
  <si>
    <r>
      <rPr>
        <b/>
        <sz val="12"/>
        <rFont val="Times New Roman"/>
        <family val="1"/>
        <charset val="204"/>
      </rPr>
      <t>9.</t>
    </r>
    <r>
      <rPr>
        <sz val="12"/>
        <rFont val="Times New Roman"/>
        <family val="1"/>
        <charset val="204"/>
      </rPr>
      <t xml:space="preserve"> В таблицата следва да се въведе и информация от </t>
    </r>
    <r>
      <rPr>
        <b/>
        <i/>
        <u/>
        <sz val="12"/>
        <color indexed="10"/>
        <rFont val="Times New Roman"/>
        <family val="1"/>
        <charset val="204"/>
      </rPr>
      <t>предходната година</t>
    </r>
    <r>
      <rPr>
        <sz val="12"/>
        <rFont val="Times New Roman"/>
        <family val="1"/>
        <charset val="204"/>
      </rPr>
      <t>, като</t>
    </r>
  </si>
  <si>
    <t>се взема информацията, съдържаща се в съответните клетки</t>
  </si>
  <si>
    <r>
      <t xml:space="preserve">    които фигурират в таблица</t>
    </r>
    <r>
      <rPr>
        <sz val="12"/>
        <color indexed="18"/>
        <rFont val="Times New Roman"/>
        <family val="1"/>
        <charset val="204"/>
      </rPr>
      <t xml:space="preserve"> </t>
    </r>
    <r>
      <rPr>
        <i/>
        <sz val="12"/>
        <color indexed="18"/>
        <rFont val="Times New Roman"/>
        <family val="1"/>
        <charset val="204"/>
      </rPr>
      <t>'TRIAL-BALANCE'</t>
    </r>
    <r>
      <rPr>
        <i/>
        <sz val="12"/>
        <rFont val="Times New Roman"/>
        <family val="1"/>
        <charset val="204"/>
      </rPr>
      <t xml:space="preserve"> </t>
    </r>
    <r>
      <rPr>
        <sz val="12"/>
        <rFont val="Times New Roman"/>
        <family val="1"/>
        <charset val="204"/>
      </rPr>
      <t>и е заложена за съответното салдо</t>
    </r>
  </si>
  <si>
    <t>крайни салда</t>
  </si>
  <si>
    <t>начални салда</t>
  </si>
  <si>
    <t xml:space="preserve"> Общо за І. -салда на сметка 1593 /Дт (+); Кт (-)/</t>
  </si>
  <si>
    <t xml:space="preserve"> Общо ІІ. - салда на сметка 1527 /само Дт (+) /</t>
  </si>
  <si>
    <t>с/ка 1593 - контрола за равнение с оборотната ведомост</t>
  </si>
  <si>
    <t>с/ка 1527 - контрола за равнение с оборотната ведомост</t>
  </si>
  <si>
    <t>код на позицията (това е кодът от колона "Шифър" на баланса и ОПР). В съответните клетки на таблицата</t>
  </si>
  <si>
    <r>
      <t>Вземания от данъци, вноски, такси и административни глоби и санкции</t>
    </r>
    <r>
      <rPr>
        <sz val="12"/>
        <rFont val="Times New Roman CYR"/>
        <family val="1"/>
        <charset val="204"/>
      </rPr>
      <t/>
    </r>
  </si>
  <si>
    <t xml:space="preserve">Получени чрез небюджетни предприятия средства от КФП по международни и други програми </t>
  </si>
  <si>
    <t xml:space="preserve"> 3. Др. безвъзмездно получени средства по межд. и др. програми</t>
  </si>
  <si>
    <r>
      <t xml:space="preserve"> 3. </t>
    </r>
    <r>
      <rPr>
        <sz val="11"/>
        <rFont val="Times New Roman Cyr"/>
        <charset val="204"/>
      </rPr>
      <t>Други безвъзмездно получени средства по международни и др. програми</t>
    </r>
  </si>
  <si>
    <r>
      <rPr>
        <b/>
        <sz val="12"/>
        <color indexed="13"/>
        <rFont val="Times New Roman"/>
        <family val="1"/>
        <charset val="204"/>
      </rPr>
      <t>3.</t>
    </r>
    <r>
      <rPr>
        <sz val="12"/>
        <color indexed="13"/>
        <rFont val="Times New Roman"/>
        <family val="1"/>
        <charset val="204"/>
      </rPr>
      <t xml:space="preserve"> Попълването на справката не отменя попълването на таблица </t>
    </r>
    <r>
      <rPr>
        <i/>
        <sz val="12"/>
        <color indexed="13"/>
        <rFont val="Times New Roman"/>
        <family val="1"/>
        <charset val="204"/>
      </rPr>
      <t>'Intra-Balances</t>
    </r>
    <r>
      <rPr>
        <sz val="12"/>
        <color indexed="13"/>
        <rFont val="Times New Roman"/>
        <family val="1"/>
        <charset val="204"/>
      </rPr>
      <t>!</t>
    </r>
  </si>
  <si>
    <r>
      <rPr>
        <b/>
        <sz val="12"/>
        <rFont val="Times New Roman"/>
        <family val="1"/>
        <charset val="204"/>
      </rPr>
      <t>11.</t>
    </r>
    <r>
      <rPr>
        <sz val="12"/>
        <rFont val="Times New Roman"/>
        <family val="1"/>
        <charset val="204"/>
      </rPr>
      <t xml:space="preserve"> Подлежащите на елиминиране в сборния баланс и ОПР за цялата първостепенна</t>
    </r>
  </si>
  <si>
    <r>
      <rPr>
        <b/>
        <sz val="12"/>
        <rFont val="Times New Roman"/>
        <family val="1"/>
        <charset val="204"/>
      </rPr>
      <t>12.</t>
    </r>
    <r>
      <rPr>
        <sz val="12"/>
        <rFont val="Times New Roman"/>
        <family val="1"/>
        <charset val="204"/>
      </rPr>
      <t xml:space="preserve"> В случай, че общината прецени, че в резултат на такова автоматично изчисляване</t>
    </r>
  </si>
  <si>
    <r>
      <rPr>
        <b/>
        <sz val="12"/>
        <rFont val="Times New Roman"/>
        <family val="1"/>
        <charset val="204"/>
      </rPr>
      <t>13.</t>
    </r>
    <r>
      <rPr>
        <sz val="12"/>
        <rFont val="Times New Roman"/>
        <family val="1"/>
        <charset val="204"/>
      </rPr>
      <t xml:space="preserve"> За спазване на тъждеството </t>
    </r>
    <r>
      <rPr>
        <i/>
        <sz val="12"/>
        <rFont val="Times New Roman"/>
        <family val="1"/>
        <charset val="204"/>
      </rPr>
      <t>NA-BAL</t>
    </r>
    <r>
      <rPr>
        <sz val="12"/>
        <rFont val="Times New Roman"/>
        <family val="1"/>
        <charset val="204"/>
      </rPr>
      <t xml:space="preserve"> = </t>
    </r>
    <r>
      <rPr>
        <i/>
        <sz val="12"/>
        <rFont val="Times New Roman"/>
        <family val="1"/>
        <charset val="204"/>
      </rPr>
      <t>NA-OPR</t>
    </r>
    <r>
      <rPr>
        <sz val="12"/>
        <rFont val="Times New Roman"/>
        <family val="1"/>
        <charset val="204"/>
      </rPr>
      <t xml:space="preserve"> са заложени съответните контроли </t>
    </r>
  </si>
  <si>
    <r>
      <rPr>
        <b/>
        <sz val="12"/>
        <rFont val="Times New Roman"/>
        <family val="1"/>
        <charset val="204"/>
      </rPr>
      <t>14.</t>
    </r>
    <r>
      <rPr>
        <sz val="12"/>
        <rFont val="Times New Roman"/>
        <family val="1"/>
        <charset val="204"/>
      </rPr>
      <t xml:space="preserve"> За коректното попълване на данните в тази таблица и за точно извършване на</t>
    </r>
  </si>
  <si>
    <r>
      <rPr>
        <b/>
        <sz val="12"/>
        <color indexed="13"/>
        <rFont val="Times New Roman"/>
        <family val="1"/>
        <charset val="204"/>
      </rPr>
      <t>15.</t>
    </r>
    <r>
      <rPr>
        <sz val="12"/>
        <color indexed="13"/>
        <rFont val="Times New Roman"/>
        <family val="1"/>
        <charset val="204"/>
      </rPr>
      <t xml:space="preserve"> Попълнените в тази таблица суми </t>
    </r>
    <r>
      <rPr>
        <i/>
        <sz val="12"/>
        <color indexed="13"/>
        <rFont val="Times New Roman"/>
        <family val="1"/>
        <charset val="204"/>
      </rPr>
      <t>автоматично</t>
    </r>
    <r>
      <rPr>
        <sz val="12"/>
        <color indexed="13"/>
        <rFont val="Times New Roman"/>
        <family val="1"/>
        <charset val="204"/>
      </rPr>
      <t xml:space="preserve"> се отнасят в съответните полета на</t>
    </r>
  </si>
  <si>
    <t xml:space="preserve">     таблица Municipal-Bal</t>
  </si>
  <si>
    <r>
      <t>'Municipal-Bal'</t>
    </r>
    <r>
      <rPr>
        <sz val="12"/>
        <color indexed="13"/>
        <rFont val="Times New Roman"/>
        <family val="1"/>
        <charset val="204"/>
      </rPr>
      <t>!</t>
    </r>
  </si>
  <si>
    <r>
      <t xml:space="preserve">СЕС-контрол-к. </t>
    </r>
    <r>
      <rPr>
        <b/>
        <i/>
        <sz val="10"/>
        <color indexed="18"/>
        <rFont val="Times New Roman"/>
        <family val="1"/>
        <charset val="204"/>
      </rPr>
      <t>дт</t>
    </r>
    <r>
      <rPr>
        <b/>
        <sz val="10"/>
        <color indexed="18"/>
        <rFont val="Times New Roman"/>
        <family val="1"/>
        <charset val="204"/>
      </rPr>
      <t xml:space="preserve"> с/до</t>
    </r>
  </si>
  <si>
    <r>
      <t xml:space="preserve">СЕС-контрол-к. </t>
    </r>
    <r>
      <rPr>
        <b/>
        <i/>
        <sz val="10"/>
        <color indexed="18"/>
        <rFont val="Times New Roman"/>
        <family val="1"/>
        <charset val="204"/>
      </rPr>
      <t>кт</t>
    </r>
    <r>
      <rPr>
        <b/>
        <sz val="10"/>
        <color indexed="18"/>
        <rFont val="Times New Roman"/>
        <family val="1"/>
        <charset val="204"/>
      </rPr>
      <t xml:space="preserve"> с/до</t>
    </r>
  </si>
  <si>
    <r>
      <t xml:space="preserve">    </t>
    </r>
    <r>
      <rPr>
        <b/>
        <i/>
        <sz val="10"/>
        <rFont val="Times New Roman Cyr"/>
        <charset val="204"/>
      </rPr>
      <t xml:space="preserve"> "ДРУГИ СМЕТКИ И ДЕЙНОСТИ"</t>
    </r>
  </si>
  <si>
    <t xml:space="preserve">                   e-mail</t>
  </si>
  <si>
    <t xml:space="preserve">            Web-адрес</t>
  </si>
  <si>
    <t xml:space="preserve">                         e-mail</t>
  </si>
  <si>
    <t xml:space="preserve">                     e-mail</t>
  </si>
  <si>
    <t xml:space="preserve">                e-mail</t>
  </si>
  <si>
    <t xml:space="preserve">                        e-mail</t>
  </si>
  <si>
    <t>Прехвърлени финансови активи (финансиращи позиции) от/към други сектори на икономика</t>
  </si>
  <si>
    <t>задължения между общински единици в рамките на дадена община и произтичащите от това корекции</t>
  </si>
  <si>
    <t>в общия размер на отчетените приходи и разходи за цялата първостепенна система.</t>
  </si>
  <si>
    <t>Данните в тези таблици се получават автоматично и в тях не се въвежда ръчно информация.</t>
  </si>
  <si>
    <t xml:space="preserve">на консолидационните корективни записвания за елиминиране на вземания и задължения между отчетни </t>
  </si>
  <si>
    <t>Подлежат на ръчно въвеждане началните салда и дебитните и кредитните обороти по съответните сметки на</t>
  </si>
  <si>
    <t>В случай, че файлът се използва за попълване на данни за конкретна бюджетна единица, а не за изготвяне</t>
  </si>
  <si>
    <t>(този текст ще фигурира в процеса на въвеждане на данните, но при правилно приключване на</t>
  </si>
  <si>
    <t>между дебита и кредита в общите суми.</t>
  </si>
  <si>
    <t>и съобщения за грешни крайни салда на ниво индивидуална сметка са заложени в четирите отделни</t>
  </si>
  <si>
    <t>таблици).</t>
  </si>
  <si>
    <t>В случай на грешни крайни салда в някоя от трите отчетни области (БЮДЖЕТ, СЕС или ДСД), в клетките,</t>
  </si>
  <si>
    <t xml:space="preserve">в отчетите за касовото изпълнение на бюджета, сметките за средствата от Европейския съюз и </t>
  </si>
  <si>
    <t xml:space="preserve">Въведените в тази таблица данни се използват за целите на автоматично изчисляване на агрегирано ниво </t>
  </si>
  <si>
    <t>вземания и задължения (приходно-разходни позиции) бюджетно салдо и съпоставката на данните</t>
  </si>
  <si>
    <t>и на начислена основа.</t>
  </si>
  <si>
    <t xml:space="preserve">за този показател, изчислен по трите бази - касова основа, коригирана касова основа </t>
  </si>
  <si>
    <t>При неравнение на данните, в съответните полета на червен фон ще се изписва текстът</t>
  </si>
  <si>
    <t>на тези насрещни вземания и задължения в сборния баланс за системата на първостепенния разпоредител,</t>
  </si>
  <si>
    <t>Данните се въвеждат по отделни отчетни групи (стопански области) БЮДЖЕТ, СЕС и ДСД.</t>
  </si>
  <si>
    <t>Данните за имената на гл. счетоводител и ръководителя се получават автоматично в тези таблици.</t>
  </si>
  <si>
    <r>
      <rPr>
        <b/>
        <sz val="11"/>
        <color indexed="10"/>
        <rFont val="Times New Roman Cyr"/>
        <charset val="204"/>
      </rPr>
      <t>Колона</t>
    </r>
    <r>
      <rPr>
        <b/>
        <sz val="11"/>
        <color indexed="16"/>
        <rFont val="Times New Roman Cyr"/>
        <charset val="204"/>
      </rPr>
      <t xml:space="preserve"> "O", </t>
    </r>
    <r>
      <rPr>
        <b/>
        <sz val="11"/>
        <color indexed="10"/>
        <rFont val="Times New Roman Cyr"/>
        <charset val="204"/>
      </rPr>
      <t>редове</t>
    </r>
    <r>
      <rPr>
        <b/>
        <sz val="11"/>
        <color indexed="16"/>
        <rFont val="Times New Roman Cyr"/>
        <charset val="204"/>
      </rPr>
      <t xml:space="preserve"> 68-89 </t>
    </r>
    <r>
      <rPr>
        <b/>
        <sz val="11"/>
        <color indexed="10"/>
        <rFont val="Times New Roman Cyr"/>
        <charset val="204"/>
      </rPr>
      <t>от файла</t>
    </r>
  </si>
  <si>
    <t xml:space="preserve">    разнасят в настоящата таблица на предвиденото за това места, както следва:</t>
  </si>
  <si>
    <r>
      <t xml:space="preserve">      от </t>
    </r>
    <r>
      <rPr>
        <i/>
        <u/>
        <sz val="12"/>
        <color indexed="10"/>
        <rFont val="Times New Roman"/>
        <family val="1"/>
        <charset val="204"/>
      </rPr>
      <t>предходната година</t>
    </r>
    <r>
      <rPr>
        <sz val="12"/>
        <rFont val="Times New Roman"/>
        <family val="1"/>
        <charset val="204"/>
      </rPr>
      <t>)</t>
    </r>
  </si>
  <si>
    <t>Включени в СЕБРА</t>
  </si>
  <si>
    <r>
      <t xml:space="preserve">    - в </t>
    </r>
    <r>
      <rPr>
        <b/>
        <sz val="12"/>
        <rFont val="Times New Roman"/>
        <family val="1"/>
        <charset val="204"/>
      </rPr>
      <t xml:space="preserve">колона "O" </t>
    </r>
    <r>
      <rPr>
        <sz val="12"/>
        <rFont val="Times New Roman"/>
        <family val="1"/>
        <charset val="204"/>
      </rPr>
      <t xml:space="preserve">- съответните клетки на </t>
    </r>
    <r>
      <rPr>
        <b/>
        <sz val="12"/>
        <rFont val="Times New Roman"/>
        <family val="1"/>
        <charset val="204"/>
      </rPr>
      <t>редове 98-119</t>
    </r>
    <r>
      <rPr>
        <sz val="12"/>
        <rFont val="Times New Roman"/>
        <family val="1"/>
        <charset val="204"/>
      </rPr>
      <t>, включително</t>
    </r>
  </si>
  <si>
    <r>
      <t xml:space="preserve">      и </t>
    </r>
    <r>
      <rPr>
        <i/>
        <sz val="12"/>
        <rFont val="Times New Roman"/>
        <family val="1"/>
        <charset val="204"/>
      </rPr>
      <t>клетките</t>
    </r>
    <r>
      <rPr>
        <sz val="12"/>
        <rFont val="Times New Roman"/>
        <family val="1"/>
        <charset val="204"/>
      </rPr>
      <t xml:space="preserve"> </t>
    </r>
    <r>
      <rPr>
        <i/>
        <sz val="12"/>
        <rFont val="Times New Roman"/>
        <family val="1"/>
        <charset val="204"/>
      </rPr>
      <t>маркирани в син фон,</t>
    </r>
    <r>
      <rPr>
        <sz val="12"/>
        <rFont val="Times New Roman"/>
        <family val="1"/>
        <charset val="204"/>
      </rPr>
      <t xml:space="preserve">(за данните от </t>
    </r>
    <r>
      <rPr>
        <i/>
        <u/>
        <sz val="12"/>
        <color indexed="10"/>
        <rFont val="Times New Roman"/>
        <family val="1"/>
        <charset val="204"/>
      </rPr>
      <t>колона</t>
    </r>
    <r>
      <rPr>
        <sz val="12"/>
        <rFont val="Times New Roman"/>
        <family val="1"/>
        <charset val="204"/>
      </rPr>
      <t xml:space="preserve"> </t>
    </r>
    <r>
      <rPr>
        <i/>
        <u/>
        <sz val="12"/>
        <color indexed="10"/>
        <rFont val="Times New Roman"/>
        <family val="1"/>
        <charset val="204"/>
      </rPr>
      <t>"O"</t>
    </r>
    <r>
      <rPr>
        <sz val="12"/>
        <rFont val="Times New Roman"/>
        <family val="1"/>
        <charset val="204"/>
      </rPr>
      <t xml:space="preserve"> </t>
    </r>
    <r>
      <rPr>
        <sz val="12"/>
        <rFont val="Times New Roman"/>
        <family val="1"/>
        <charset val="204"/>
      </rPr>
      <t xml:space="preserve"> -</t>
    </r>
    <r>
      <rPr>
        <sz val="12"/>
        <color indexed="10"/>
        <rFont val="Times New Roman"/>
        <family val="1"/>
        <charset val="204"/>
      </rPr>
      <t xml:space="preserve"> </t>
    </r>
    <r>
      <rPr>
        <i/>
        <u/>
        <sz val="12"/>
        <color indexed="10"/>
        <rFont val="Times New Roman"/>
        <family val="1"/>
        <charset val="204"/>
      </rPr>
      <t>редове  68-89</t>
    </r>
    <r>
      <rPr>
        <sz val="12"/>
        <rFont val="Times New Roman"/>
        <family val="1"/>
        <charset val="204"/>
      </rPr>
      <t/>
    </r>
  </si>
  <si>
    <r>
      <t xml:space="preserve">    на </t>
    </r>
    <r>
      <rPr>
        <i/>
        <u/>
        <sz val="12"/>
        <color indexed="10"/>
        <rFont val="Times New Roman"/>
        <family val="1"/>
        <charset val="204"/>
      </rPr>
      <t>колона</t>
    </r>
    <r>
      <rPr>
        <sz val="12"/>
        <color indexed="10"/>
        <rFont val="Times New Roman"/>
        <family val="1"/>
        <charset val="204"/>
      </rPr>
      <t xml:space="preserve"> </t>
    </r>
    <r>
      <rPr>
        <i/>
        <u/>
        <sz val="12"/>
        <color indexed="10"/>
        <rFont val="Times New Roman"/>
        <family val="1"/>
        <charset val="204"/>
      </rPr>
      <t>"O"</t>
    </r>
    <r>
      <rPr>
        <sz val="12"/>
        <color indexed="10"/>
        <rFont val="Times New Roman"/>
        <family val="1"/>
        <charset val="204"/>
      </rPr>
      <t xml:space="preserve"> - </t>
    </r>
    <r>
      <rPr>
        <i/>
        <u/>
        <sz val="12"/>
        <color indexed="10"/>
        <rFont val="Times New Roman"/>
        <family val="1"/>
        <charset val="204"/>
      </rPr>
      <t>редове 68-89</t>
    </r>
    <r>
      <rPr>
        <sz val="12"/>
        <rFont val="Times New Roman"/>
        <family val="1"/>
        <charset val="204"/>
      </rPr>
      <t>, както и данните от</t>
    </r>
    <r>
      <rPr>
        <i/>
        <u/>
        <sz val="12"/>
        <color indexed="10"/>
        <rFont val="Times New Roman"/>
        <family val="1"/>
        <charset val="204"/>
      </rPr>
      <t xml:space="preserve"> клетки U82</t>
    </r>
    <r>
      <rPr>
        <sz val="12"/>
        <rFont val="Times New Roman"/>
        <family val="1"/>
        <charset val="204"/>
      </rPr>
      <t xml:space="preserve"> и </t>
    </r>
    <r>
      <rPr>
        <i/>
        <u/>
        <sz val="12"/>
        <color indexed="10"/>
        <rFont val="Times New Roman"/>
        <family val="1"/>
        <charset val="204"/>
      </rPr>
      <t>U85</t>
    </r>
    <r>
      <rPr>
        <sz val="12"/>
        <rFont val="Times New Roman"/>
        <family val="1"/>
        <charset val="204"/>
      </rPr>
      <t xml:space="preserve">, които се </t>
    </r>
  </si>
  <si>
    <r>
      <rPr>
        <b/>
        <sz val="11"/>
        <color indexed="10"/>
        <rFont val="Times New Roman Cyr"/>
        <charset val="204"/>
      </rPr>
      <t xml:space="preserve">Клетки </t>
    </r>
    <r>
      <rPr>
        <b/>
        <sz val="11"/>
        <color indexed="16"/>
        <rFont val="Times New Roman Cyr"/>
        <charset val="204"/>
      </rPr>
      <t xml:space="preserve">U82 и U85 </t>
    </r>
    <r>
      <rPr>
        <b/>
        <sz val="11"/>
        <color indexed="16"/>
        <rFont val="Times New Roman Cyr"/>
        <charset val="204"/>
      </rPr>
      <t xml:space="preserve"> </t>
    </r>
    <r>
      <rPr>
        <b/>
        <sz val="11"/>
        <color indexed="10"/>
        <rFont val="Times New Roman Cyr"/>
        <charset val="204"/>
      </rPr>
      <t>от файла</t>
    </r>
  </si>
  <si>
    <r>
      <t xml:space="preserve">    - в </t>
    </r>
    <r>
      <rPr>
        <b/>
        <sz val="12"/>
        <rFont val="Times New Roman"/>
        <family val="1"/>
        <charset val="204"/>
      </rPr>
      <t>клетки U126</t>
    </r>
    <r>
      <rPr>
        <sz val="12"/>
        <rFont val="Times New Roman"/>
        <family val="1"/>
        <charset val="204"/>
      </rPr>
      <t xml:space="preserve"> и </t>
    </r>
    <r>
      <rPr>
        <b/>
        <sz val="12"/>
        <rFont val="Times New Roman"/>
        <family val="1"/>
        <charset val="204"/>
      </rPr>
      <t xml:space="preserve">U128 </t>
    </r>
    <r>
      <rPr>
        <sz val="12"/>
        <rFont val="Times New Roman"/>
        <family val="1"/>
        <charset val="204"/>
      </rPr>
      <t xml:space="preserve">(за данните от </t>
    </r>
    <r>
      <rPr>
        <i/>
        <sz val="12"/>
        <color indexed="10"/>
        <rFont val="Times New Roman"/>
        <family val="1"/>
        <charset val="204"/>
      </rPr>
      <t xml:space="preserve">клетки </t>
    </r>
    <r>
      <rPr>
        <i/>
        <u/>
        <sz val="12"/>
        <color indexed="10"/>
        <rFont val="Times New Roman"/>
        <family val="1"/>
        <charset val="204"/>
      </rPr>
      <t>U82</t>
    </r>
    <r>
      <rPr>
        <sz val="12"/>
        <rFont val="Times New Roman"/>
        <family val="1"/>
        <charset val="204"/>
      </rPr>
      <t xml:space="preserve"> и </t>
    </r>
    <r>
      <rPr>
        <i/>
        <u/>
        <sz val="12"/>
        <color indexed="10"/>
        <rFont val="Times New Roman"/>
        <family val="1"/>
        <charset val="204"/>
      </rPr>
      <t>U85</t>
    </r>
    <r>
      <rPr>
        <sz val="12"/>
        <rFont val="Times New Roman"/>
        <family val="1"/>
        <charset val="204"/>
      </rPr>
      <t xml:space="preserve"> от </t>
    </r>
    <r>
      <rPr>
        <i/>
        <u/>
        <sz val="12"/>
        <color indexed="10"/>
        <rFont val="Times New Roman"/>
        <family val="1"/>
        <charset val="204"/>
      </rPr>
      <t>предходната година</t>
    </r>
    <r>
      <rPr>
        <sz val="12"/>
        <rFont val="Times New Roman"/>
        <family val="1"/>
        <charset val="204"/>
      </rPr>
      <t>).</t>
    </r>
  </si>
  <si>
    <r>
      <t>за</t>
    </r>
    <r>
      <rPr>
        <b/>
        <sz val="12"/>
        <color indexed="10"/>
        <rFont val="Times New Roman CYR"/>
        <charset val="204"/>
      </rPr>
      <t xml:space="preserve"> </t>
    </r>
    <r>
      <rPr>
        <b/>
        <i/>
        <u/>
        <sz val="12"/>
        <color indexed="10"/>
        <rFont val="Times New Roman CYR"/>
        <charset val="204"/>
      </rPr>
      <t>предходната година</t>
    </r>
  </si>
  <si>
    <r>
      <rPr>
        <b/>
        <sz val="12"/>
        <rFont val="Times New Roman CYR"/>
        <charset val="204"/>
      </rPr>
      <t xml:space="preserve">Нето-ефект върху изменението на нетните активи в баланса </t>
    </r>
    <r>
      <rPr>
        <b/>
        <sz val="12"/>
        <color indexed="18"/>
        <rFont val="Times New Roman Cyr"/>
        <charset val="204"/>
      </rPr>
      <t xml:space="preserve">- </t>
    </r>
    <r>
      <rPr>
        <i/>
        <sz val="12"/>
        <rFont val="Times New Roman CYR"/>
        <charset val="204"/>
      </rPr>
      <t>(шифър 0403)</t>
    </r>
  </si>
  <si>
    <r>
      <rPr>
        <b/>
        <sz val="11"/>
        <color indexed="16"/>
        <rFont val="Times New Roman Cyr"/>
        <charset val="204"/>
      </rPr>
      <t>данни от таблица</t>
    </r>
    <r>
      <rPr>
        <b/>
        <sz val="12"/>
        <color indexed="16"/>
        <rFont val="Times New Roman CYR"/>
        <charset val="204"/>
      </rPr>
      <t xml:space="preserve">  'Municipal-Bal'</t>
    </r>
  </si>
  <si>
    <r>
      <t xml:space="preserve">                                     Преди да попълните тази таблица проверете дали коректно сте попълнили таблица</t>
    </r>
    <r>
      <rPr>
        <b/>
        <sz val="12"/>
        <color indexed="20"/>
        <rFont val="Times New Roman"/>
        <family val="1"/>
        <charset val="204"/>
      </rPr>
      <t xml:space="preserve"> </t>
    </r>
    <r>
      <rPr>
        <b/>
        <i/>
        <sz val="12"/>
        <color indexed="16"/>
        <rFont val="Times New Roman"/>
        <family val="1"/>
        <charset val="204"/>
      </rPr>
      <t>'Status'</t>
    </r>
    <r>
      <rPr>
        <b/>
        <sz val="12"/>
        <rFont val="Times New Roman"/>
        <family val="1"/>
        <charset val="204"/>
      </rPr>
      <t>!</t>
    </r>
  </si>
  <si>
    <r>
      <t xml:space="preserve">от клетки </t>
    </r>
    <r>
      <rPr>
        <b/>
        <sz val="12"/>
        <color indexed="10"/>
        <rFont val="Times New Roman CYR"/>
        <charset val="204"/>
      </rPr>
      <t>U82</t>
    </r>
    <r>
      <rPr>
        <sz val="12"/>
        <rFont val="Times New Roman CYR"/>
        <family val="1"/>
        <charset val="204"/>
      </rPr>
      <t xml:space="preserve"> и </t>
    </r>
    <r>
      <rPr>
        <b/>
        <sz val="12"/>
        <color indexed="10"/>
        <rFont val="Times New Roman CYR"/>
        <charset val="204"/>
      </rPr>
      <t>U85</t>
    </r>
    <r>
      <rPr>
        <sz val="12"/>
        <rFont val="Times New Roman CYR"/>
        <family val="1"/>
        <charset val="204"/>
      </rPr>
      <t xml:space="preserve"> на таблица</t>
    </r>
    <r>
      <rPr>
        <sz val="12"/>
        <color indexed="10"/>
        <rFont val="Times New Roman CYR"/>
        <charset val="204"/>
      </rPr>
      <t xml:space="preserve"> </t>
    </r>
    <r>
      <rPr>
        <b/>
        <sz val="12"/>
        <color indexed="10"/>
        <rFont val="Times New Roman CYR"/>
        <charset val="204"/>
      </rPr>
      <t>'Municipal-Bal'</t>
    </r>
    <r>
      <rPr>
        <b/>
        <sz val="12"/>
        <rFont val="Times New Roman CYR"/>
        <charset val="204"/>
      </rPr>
      <t xml:space="preserve"> </t>
    </r>
    <r>
      <rPr>
        <sz val="12"/>
        <rFont val="Times New Roman CYR"/>
        <charset val="204"/>
      </rPr>
      <t xml:space="preserve">от </t>
    </r>
    <r>
      <rPr>
        <b/>
        <sz val="12"/>
        <rFont val="Times New Roman CYR"/>
        <charset val="204"/>
      </rPr>
      <t>файла на оборотната</t>
    </r>
  </si>
  <si>
    <r>
      <t xml:space="preserve">въведете в колона </t>
    </r>
    <r>
      <rPr>
        <b/>
        <sz val="12"/>
        <rFont val="Times New Roman CYR"/>
        <charset val="204"/>
      </rPr>
      <t>U</t>
    </r>
    <r>
      <rPr>
        <sz val="12"/>
        <rFont val="Times New Roman CYR"/>
        <family val="1"/>
        <charset val="204"/>
      </rPr>
      <t xml:space="preserve"> - редове </t>
    </r>
    <r>
      <rPr>
        <b/>
        <sz val="12"/>
        <rFont val="Times New Roman CYR"/>
        <charset val="204"/>
      </rPr>
      <t>126 и 128</t>
    </r>
    <r>
      <rPr>
        <sz val="12"/>
        <rFont val="Times New Roman CYR"/>
        <family val="1"/>
        <charset val="204"/>
      </rPr>
      <t xml:space="preserve"> на </t>
    </r>
    <r>
      <rPr>
        <b/>
        <sz val="12"/>
        <rFont val="Times New Roman CYR"/>
        <charset val="204"/>
      </rPr>
      <t>тази таблица</t>
    </r>
    <r>
      <rPr>
        <sz val="12"/>
        <rFont val="Times New Roman CYR"/>
        <family val="1"/>
        <charset val="204"/>
      </rPr>
      <t xml:space="preserve"> съответните суми</t>
    </r>
  </si>
  <si>
    <t>Конкретните балансови позиции и позиции на ОПР, по които да се разпредели сумата на неравнението се</t>
  </si>
  <si>
    <t xml:space="preserve"> 2. Приходи от такси, лицензии и вноски</t>
  </si>
  <si>
    <r>
      <t xml:space="preserve">писвания за баланса вижте дали </t>
    </r>
    <r>
      <rPr>
        <i/>
        <u/>
        <sz val="12"/>
        <color indexed="13"/>
        <rFont val="Times New Roman"/>
        <family val="1"/>
        <charset val="204"/>
      </rPr>
      <t>коректно</t>
    </r>
    <r>
      <rPr>
        <sz val="12"/>
        <color indexed="13"/>
        <rFont val="Times New Roman"/>
        <family val="1"/>
        <charset val="204"/>
      </rPr>
      <t xml:space="preserve"> са попъл-</t>
    </r>
  </si>
  <si>
    <t xml:space="preserve">                       УКАЗАНИЯ  ЗА  ПОПЪЛВАНЕ  НА  ФАЙЛА ЗА ОБОРОТНАТА ВЕДОМСТ</t>
  </si>
  <si>
    <t>Балансова стойност на продадени запаси от незавършено производство</t>
  </si>
  <si>
    <t>Балансова стойност на продадени материали</t>
  </si>
  <si>
    <t>Балансова стойност на продадена продукция</t>
  </si>
  <si>
    <t>Балансова стойност на продадени стоки</t>
  </si>
  <si>
    <t>Балансова стойност на продадени млади животни и животни за угояване</t>
  </si>
  <si>
    <t>Балансова стойност на продадени земи, гори и трайни насаждения</t>
  </si>
  <si>
    <t>Балансова стойност на продадени инфраструктурни обекти</t>
  </si>
  <si>
    <t>Балансова стойност на продадени  активи с художествена и историческа стойност и книги в библиотеките</t>
  </si>
  <si>
    <t>Балансова стойност на продадени нематериални дълготрайни активи</t>
  </si>
  <si>
    <t>Балансова стойност на продадени прилежащи към сгради и съоръжения земи</t>
  </si>
  <si>
    <t>Балансова стойност на продадени продуктивни и работни животни</t>
  </si>
  <si>
    <t>Балансова стойност на продадени сгради</t>
  </si>
  <si>
    <t>Балансова стойност на продадени на машини, съоръжения, оборудване</t>
  </si>
  <si>
    <t>Балансова стойност на продадени транспортни средства</t>
  </si>
  <si>
    <t>Балансова стойност на продаден стопански инвентар</t>
  </si>
  <si>
    <t>Балансова стойност на продадено незавършено строителство</t>
  </si>
  <si>
    <t>Балансова стойност на продадени други материални дълготрайни активи</t>
  </si>
  <si>
    <t>Балансова стойност на продадени запаси на държавния резерв</t>
  </si>
  <si>
    <t>Балансова стойност на продадени запаси на изкупена продукция</t>
  </si>
  <si>
    <t>Балансова стойност на продадени конфискувани и придобити от обезпечения дълготрайни активи</t>
  </si>
  <si>
    <t>Балансова стойност на продадени конфискувани и придобити от обезпечения материални запаси</t>
  </si>
  <si>
    <t>Балансова стойност на продадени конфискувани и придобити от обезпечения финансови активи</t>
  </si>
  <si>
    <t xml:space="preserve"> IІ. Балансова стойност на продадени нефин. активи</t>
  </si>
  <si>
    <t xml:space="preserve"> IІ. Балансова стойност на продадени нефинансови активи</t>
  </si>
  <si>
    <t xml:space="preserve">     к) МИ (ЕБК код 2000) и ДП „Управление и стопанисване на язовири“ (ЕБК код 2029);</t>
  </si>
  <si>
    <t xml:space="preserve">     л) предприятие по чл. 13, ал. 4 и съответния разпоредител с бюджет по държ. бюджет.</t>
  </si>
  <si>
    <t xml:space="preserve">     ж) ДА "ЕУ" (ЕБК код 3500) и ДП "ЕСО" (ЕБК код 3535);</t>
  </si>
  <si>
    <t xml:space="preserve">     з) МЕ (ЕБК код 2400) и фонд "СЕлС" (ЕБК код 2480);</t>
  </si>
  <si>
    <t xml:space="preserve">     и) МЗХГ (ЕБК код 2200), ССА (ЕБК код 2233) и ДП „НПЦ“ (ЕБК код 2234);</t>
  </si>
  <si>
    <t>Вълчи дол</t>
  </si>
  <si>
    <t>31 март 2020 г.</t>
  </si>
  <si>
    <t>30 юни 2020 г.</t>
  </si>
  <si>
    <t>30 септември 2020 г.</t>
  </si>
  <si>
    <t>31 декември 2020 г.</t>
  </si>
  <si>
    <t>31.01.2020 г.</t>
  </si>
  <si>
    <t>28.02.2020 г.</t>
  </si>
  <si>
    <t>30.04.2020 г.</t>
  </si>
  <si>
    <t>31.05.2020 г.</t>
  </si>
  <si>
    <t>31.07.2020 г.</t>
  </si>
  <si>
    <t>31.08.2020 г.</t>
  </si>
  <si>
    <t>31.10.2020 г.</t>
  </si>
  <si>
    <t>30.11.2020 г.</t>
  </si>
  <si>
    <t xml:space="preserve"> Б. ПАСИВИ И ОТСРОЧЕНИ ПОСТЪПЛЕНИЯ</t>
  </si>
  <si>
    <t>К о д</t>
  </si>
  <si>
    <r>
      <rPr>
        <sz val="12"/>
        <color indexed="18"/>
        <rFont val="Times New Roman Cyr"/>
        <charset val="204"/>
      </rPr>
      <t>Прехвърлени активи и пасиви</t>
    </r>
    <r>
      <rPr>
        <sz val="12"/>
        <rFont val="Times New Roman CYR"/>
        <family val="1"/>
        <charset val="204"/>
      </rPr>
      <t xml:space="preserve"> в отчетната група (стопанска област)</t>
    </r>
  </si>
  <si>
    <r>
      <rPr>
        <sz val="12"/>
        <color indexed="18"/>
        <rFont val="Times New Roman Cyr"/>
        <charset val="204"/>
      </rPr>
      <t>Прехвърлени активи и пасиви</t>
    </r>
    <r>
      <rPr>
        <sz val="12"/>
        <rFont val="Times New Roman CYR"/>
      </rPr>
      <t xml:space="preserve"> между отчетни групи "БЮДЖЕТ" и "Сметки за средства от Европейския съюз"</t>
    </r>
  </si>
  <si>
    <r>
      <rPr>
        <sz val="12"/>
        <color indexed="18"/>
        <rFont val="Times New Roman Cyr"/>
        <charset val="204"/>
      </rPr>
      <t>Прехвърлени активи и пасиви</t>
    </r>
    <r>
      <rPr>
        <sz val="12"/>
        <rFont val="Times New Roman CYR"/>
        <family val="1"/>
        <charset val="204"/>
      </rPr>
      <t xml:space="preserve"> между отчетни групи "БЮДЖЕТ" и "Други сметки и дейности"</t>
    </r>
  </si>
  <si>
    <r>
      <rPr>
        <sz val="12"/>
        <color indexed="18"/>
        <rFont val="Times New Roman Cyr"/>
        <charset val="204"/>
      </rPr>
      <t>Прехвърлени активи и пасиви</t>
    </r>
    <r>
      <rPr>
        <sz val="12"/>
        <rFont val="Times New Roman CYR"/>
        <family val="1"/>
        <charset val="204"/>
      </rPr>
      <t xml:space="preserve"> между отчетни групи "Сметки за средства от Европейския съюз" и "Други сметки и дейности"</t>
    </r>
  </si>
  <si>
    <t xml:space="preserve"> 3. Други дългоср. задължения - финансов лизинг и търг. кредит</t>
  </si>
  <si>
    <r>
      <t>Знакът</t>
    </r>
    <r>
      <rPr>
        <sz val="12"/>
        <rFont val="Times New Roman CYR"/>
        <family val="1"/>
        <charset val="204"/>
      </rPr>
      <t xml:space="preserve"> </t>
    </r>
    <r>
      <rPr>
        <sz val="12"/>
        <rFont val="Times New Roman CYR"/>
      </rPr>
      <t xml:space="preserve">"х" </t>
    </r>
    <r>
      <rPr>
        <sz val="12"/>
        <rFont val="Times New Roman CYR"/>
        <charset val="204"/>
      </rPr>
      <t>в някои полета от различните таблици означава, че в тях не следва да се въвеждат или</t>
    </r>
  </si>
  <si>
    <r>
      <t>за дълготрайни активи и материални запаси). Защрихованите в сиво полета със знак</t>
    </r>
    <r>
      <rPr>
        <sz val="12"/>
        <rFont val="Times New Roman CYR"/>
      </rPr>
      <t xml:space="preserve"> "х" </t>
    </r>
    <r>
      <rPr>
        <sz val="12"/>
        <rFont val="Times New Roman CYR"/>
        <charset val="204"/>
      </rPr>
      <t xml:space="preserve">в </t>
    </r>
  </si>
  <si>
    <r>
      <t xml:space="preserve">(например за сметка </t>
    </r>
    <r>
      <rPr>
        <sz val="12"/>
        <rFont val="Times New Roman CYR"/>
      </rPr>
      <t>7170</t>
    </r>
    <r>
      <rPr>
        <sz val="12"/>
        <rFont val="Times New Roman CYR"/>
        <charset val="204"/>
      </rPr>
      <t>) в отчетността на бюджетната организация.</t>
    </r>
  </si>
  <si>
    <r>
      <t>Полетата за ръчно въвеждане на суми във всички таблици се попълват</t>
    </r>
    <r>
      <rPr>
        <sz val="12"/>
        <rFont val="Times New Roman CYR"/>
        <family val="1"/>
        <charset val="204"/>
      </rPr>
      <t xml:space="preserve"> </t>
    </r>
    <r>
      <rPr>
        <i/>
        <sz val="12"/>
        <rFont val="Times New Roman CYR"/>
      </rPr>
      <t>в ЛЕВОВЕ със стотинки</t>
    </r>
    <r>
      <rPr>
        <sz val="12"/>
        <rFont val="Times New Roman CYR"/>
      </rPr>
      <t>.</t>
    </r>
  </si>
  <si>
    <r>
      <t xml:space="preserve">В тази таблица се маркира чрез избор от падащото меню в клетка </t>
    </r>
    <r>
      <rPr>
        <sz val="12"/>
        <rFont val="Times New Roman CYR"/>
        <charset val="204"/>
      </rPr>
      <t>K4</t>
    </r>
    <r>
      <rPr>
        <sz val="12"/>
        <rFont val="Times New Roman CYR"/>
        <family val="1"/>
        <charset val="204"/>
      </rPr>
      <t xml:space="preserve"> дали файлът, който се попълва,</t>
    </r>
  </si>
  <si>
    <r>
      <t xml:space="preserve">В таблица </t>
    </r>
    <r>
      <rPr>
        <i/>
        <sz val="12"/>
        <rFont val="Times New Roman CYR"/>
        <charset val="204"/>
      </rPr>
      <t>'Status'</t>
    </r>
    <r>
      <rPr>
        <sz val="12"/>
        <rFont val="Times New Roman CYR"/>
        <family val="1"/>
        <charset val="204"/>
      </rPr>
      <t xml:space="preserve"> са заложени контроли за равнения по сметките за вътрешни разчети, касови и</t>
    </r>
  </si>
  <si>
    <r>
      <t xml:space="preserve">и некасови трансфери (сметки от </t>
    </r>
    <r>
      <rPr>
        <i/>
        <sz val="12"/>
        <rFont val="Times New Roman CYR"/>
        <charset val="204"/>
      </rPr>
      <t>подгрупи 450</t>
    </r>
    <r>
      <rPr>
        <sz val="12"/>
        <rFont val="Times New Roman CYR"/>
        <family val="1"/>
        <charset val="204"/>
      </rPr>
      <t xml:space="preserve">, </t>
    </r>
    <r>
      <rPr>
        <i/>
        <sz val="12"/>
        <rFont val="Times New Roman CYR"/>
        <charset val="204"/>
      </rPr>
      <t>750</t>
    </r>
    <r>
      <rPr>
        <sz val="12"/>
        <rFont val="Times New Roman CYR"/>
        <family val="1"/>
        <charset val="204"/>
      </rPr>
      <t xml:space="preserve"> и </t>
    </r>
    <r>
      <rPr>
        <i/>
        <sz val="12"/>
        <rFont val="Times New Roman CYR"/>
        <charset val="204"/>
      </rPr>
      <t>760</t>
    </r>
    <r>
      <rPr>
        <sz val="12"/>
        <rFont val="Times New Roman CYR"/>
        <family val="1"/>
        <charset val="204"/>
      </rPr>
      <t>). В случай, че във файла с агрегираните данни за</t>
    </r>
  </si>
  <si>
    <r>
      <t xml:space="preserve">В таблица </t>
    </r>
    <r>
      <rPr>
        <i/>
        <sz val="12"/>
        <rFont val="Times New Roman CYR"/>
        <charset val="204"/>
      </rPr>
      <t>'Status'</t>
    </r>
    <r>
      <rPr>
        <sz val="12"/>
        <rFont val="Times New Roman CYR"/>
        <family val="1"/>
        <charset val="204"/>
      </rPr>
      <t xml:space="preserve"> са заложени и контроли за индикиране на случаите, когато нетното салдо на </t>
    </r>
    <r>
      <rPr>
        <i/>
        <sz val="12"/>
        <rFont val="Times New Roman CYR"/>
        <charset val="204"/>
      </rPr>
      <t>съответната</t>
    </r>
    <r>
      <rPr>
        <sz val="12"/>
        <rFont val="Times New Roman CYR"/>
        <charset val="204"/>
      </rPr>
      <t xml:space="preserve"> </t>
    </r>
  </si>
  <si>
    <r>
      <rPr>
        <i/>
        <sz val="12"/>
        <rFont val="Times New Roman CYR"/>
        <charset val="204"/>
      </rPr>
      <t>сметка от подгрупа 468</t>
    </r>
    <r>
      <rPr>
        <sz val="12"/>
        <rFont val="Times New Roman CYR"/>
        <family val="1"/>
        <charset val="204"/>
      </rPr>
      <t xml:space="preserve"> във файла, който ще се представя в МФ, </t>
    </r>
    <r>
      <rPr>
        <i/>
        <u/>
        <sz val="12"/>
        <rFont val="Times New Roman CYR"/>
        <charset val="204"/>
      </rPr>
      <t>не е равно на нула</t>
    </r>
    <r>
      <rPr>
        <sz val="12"/>
        <rFont val="Times New Roman CYR"/>
        <family val="1"/>
        <charset val="204"/>
      </rPr>
      <t>. Ако е налице такава</t>
    </r>
  </si>
  <si>
    <r>
      <t xml:space="preserve">ситуация, ще се появи съответното съобщение в клетки </t>
    </r>
    <r>
      <rPr>
        <sz val="12"/>
        <rFont val="Times New Roman CYR"/>
        <charset val="204"/>
      </rPr>
      <t>N2</t>
    </r>
    <r>
      <rPr>
        <sz val="12"/>
        <rFont val="Times New Roman CYR"/>
        <family val="1"/>
        <charset val="204"/>
      </rPr>
      <t xml:space="preserve"> и/или </t>
    </r>
    <r>
      <rPr>
        <sz val="12"/>
        <rFont val="Times New Roman CYR"/>
        <charset val="204"/>
      </rPr>
      <t>N6</t>
    </r>
    <r>
      <rPr>
        <sz val="12"/>
        <rFont val="Times New Roman CYR"/>
        <family val="1"/>
        <charset val="204"/>
      </rPr>
      <t xml:space="preserve">, съпроводено със съобщение в </t>
    </r>
  </si>
  <si>
    <r>
      <t xml:space="preserve">в клетка </t>
    </r>
    <r>
      <rPr>
        <sz val="12"/>
        <rFont val="Times New Roman CYR"/>
        <charset val="204"/>
      </rPr>
      <t>N4</t>
    </r>
    <r>
      <rPr>
        <sz val="12"/>
        <rFont val="Times New Roman CYR"/>
        <family val="1"/>
        <charset val="204"/>
      </rPr>
      <t>/</t>
    </r>
    <r>
      <rPr>
        <sz val="12"/>
        <rFont val="Times New Roman CYR"/>
        <charset val="204"/>
      </rPr>
      <t>N8</t>
    </r>
    <r>
      <rPr>
        <sz val="12"/>
        <rFont val="Times New Roman CYR"/>
        <family val="1"/>
        <charset val="204"/>
      </rPr>
      <t xml:space="preserve">, че салдото трябва да е равно на нула и следва да се отстрани грешката, и със съобщение </t>
    </r>
    <r>
      <rPr>
        <sz val="12"/>
        <rFont val="Times New Roman CYR"/>
        <charset val="204"/>
      </rPr>
      <t>"ДА"</t>
    </r>
  </si>
  <si>
    <r>
      <t xml:space="preserve">в клетка </t>
    </r>
    <r>
      <rPr>
        <sz val="12"/>
        <rFont val="Times New Roman CYR"/>
        <charset val="204"/>
      </rPr>
      <t>P4</t>
    </r>
    <r>
      <rPr>
        <sz val="12"/>
        <rFont val="Times New Roman CYR"/>
        <family val="1"/>
        <charset val="204"/>
      </rPr>
      <t>/</t>
    </r>
    <r>
      <rPr>
        <sz val="12"/>
        <rFont val="Times New Roman CYR"/>
        <charset val="204"/>
      </rPr>
      <t>P8</t>
    </r>
    <r>
      <rPr>
        <sz val="12"/>
        <rFont val="Times New Roman CYR"/>
        <family val="1"/>
        <charset val="204"/>
      </rPr>
      <t>.</t>
    </r>
  </si>
  <si>
    <r>
      <t xml:space="preserve">Тъй като в повечето случаи </t>
    </r>
    <r>
      <rPr>
        <i/>
        <sz val="12"/>
        <rFont val="Times New Roman CYR"/>
        <charset val="204"/>
      </rPr>
      <t>съответната сметка 468Х</t>
    </r>
    <r>
      <rPr>
        <sz val="12"/>
        <rFont val="Times New Roman CYR"/>
        <family val="1"/>
        <charset val="204"/>
      </rPr>
      <t xml:space="preserve"> отразява разчети само в рамките на системата на</t>
    </r>
  </si>
  <si>
    <r>
      <t xml:space="preserve">салдо на </t>
    </r>
    <r>
      <rPr>
        <i/>
        <sz val="12"/>
        <rFont val="Times New Roman CYR"/>
        <charset val="204"/>
      </rPr>
      <t>сметка 468X</t>
    </r>
    <r>
      <rPr>
        <sz val="12"/>
        <rFont val="Times New Roman CYR"/>
        <family val="1"/>
        <charset val="204"/>
      </rPr>
      <t xml:space="preserve"> общо за трите отчетни групи/стопански области, отразено в </t>
    </r>
    <r>
      <rPr>
        <sz val="12"/>
        <rFont val="Times New Roman CYR"/>
        <charset val="204"/>
      </rPr>
      <t>колони AK/AL</t>
    </r>
    <r>
      <rPr>
        <sz val="12"/>
        <rFont val="Times New Roman CYR"/>
        <family val="1"/>
        <charset val="204"/>
      </rPr>
      <t xml:space="preserve">, </t>
    </r>
  </si>
  <si>
    <r>
      <t xml:space="preserve">респективно в </t>
    </r>
    <r>
      <rPr>
        <sz val="12"/>
        <rFont val="Times New Roman CYR"/>
        <charset val="204"/>
      </rPr>
      <t>колони AO/AP,</t>
    </r>
    <r>
      <rPr>
        <sz val="12"/>
        <rFont val="Times New Roman CYR"/>
        <family val="1"/>
        <charset val="204"/>
      </rPr>
      <t xml:space="preserve"> на таблица </t>
    </r>
    <r>
      <rPr>
        <i/>
        <sz val="12"/>
        <rFont val="Times New Roman CYR"/>
        <charset val="204"/>
      </rPr>
      <t>'TRIAL-BALANCE'</t>
    </r>
    <r>
      <rPr>
        <sz val="12"/>
        <rFont val="Times New Roman CYR"/>
        <family val="1"/>
        <charset val="204"/>
      </rPr>
      <t xml:space="preserve"> не е равно на нула) е индикация за грешка, която</t>
    </r>
  </si>
  <si>
    <r>
      <t xml:space="preserve">съобщенията в клетки </t>
    </r>
    <r>
      <rPr>
        <sz val="12"/>
        <rFont val="Times New Roman CYR"/>
        <charset val="204"/>
      </rPr>
      <t>N2/N6</t>
    </r>
    <r>
      <rPr>
        <sz val="12"/>
        <rFont val="Times New Roman CYR"/>
        <family val="1"/>
        <charset val="204"/>
      </rPr>
      <t xml:space="preserve">, </t>
    </r>
    <r>
      <rPr>
        <sz val="12"/>
        <rFont val="Times New Roman CYR"/>
        <charset val="204"/>
      </rPr>
      <t xml:space="preserve">N4/N8 </t>
    </r>
    <r>
      <rPr>
        <sz val="12"/>
        <rFont val="Times New Roman CYR"/>
        <family val="1"/>
        <charset val="204"/>
      </rPr>
      <t xml:space="preserve">и </t>
    </r>
    <r>
      <rPr>
        <sz val="12"/>
        <rFont val="Times New Roman CYR"/>
        <charset val="204"/>
      </rPr>
      <t>P4/P8</t>
    </r>
    <r>
      <rPr>
        <sz val="12"/>
        <rFont val="Times New Roman CYR"/>
        <family val="1"/>
        <charset val="204"/>
      </rPr>
      <t xml:space="preserve"> ще изчезнат.</t>
    </r>
  </si>
  <si>
    <r>
      <t xml:space="preserve">В редките случаи (доколкото има такива), когато салдото по </t>
    </r>
    <r>
      <rPr>
        <i/>
        <sz val="12"/>
        <rFont val="Times New Roman CYR"/>
        <charset val="204"/>
      </rPr>
      <t>съответната сметка 468X</t>
    </r>
    <r>
      <rPr>
        <sz val="12"/>
        <rFont val="Times New Roman CYR"/>
        <family val="1"/>
        <charset val="204"/>
      </rPr>
      <t xml:space="preserve"> отразява разчет за СЕС</t>
    </r>
  </si>
  <si>
    <r>
      <t xml:space="preserve">на </t>
    </r>
    <r>
      <rPr>
        <i/>
        <u/>
        <sz val="12"/>
        <rFont val="Times New Roman CYR"/>
        <charset val="204"/>
      </rPr>
      <t>други</t>
    </r>
    <r>
      <rPr>
        <sz val="12"/>
        <rFont val="Times New Roman CYR"/>
        <family val="1"/>
        <charset val="204"/>
      </rPr>
      <t xml:space="preserve"> първостепенни разпоредители с бюджет, ДВУ, БАН, общини и социалноосигурителни фондове, </t>
    </r>
  </si>
  <si>
    <r>
      <t xml:space="preserve">(т.е. наличито на сума, различна от нула в нетното салдото не е грешка), тогава от клетка </t>
    </r>
    <r>
      <rPr>
        <sz val="12"/>
        <rFont val="Times New Roman CYR"/>
        <charset val="204"/>
      </rPr>
      <t>P4</t>
    </r>
    <r>
      <rPr>
        <sz val="12"/>
        <rFont val="Times New Roman CYR"/>
        <family val="1"/>
        <charset val="204"/>
      </rPr>
      <t>/</t>
    </r>
    <r>
      <rPr>
        <sz val="12"/>
        <rFont val="Times New Roman CYR"/>
        <charset val="204"/>
      </rPr>
      <t>P8</t>
    </r>
    <r>
      <rPr>
        <sz val="12"/>
        <rFont val="Times New Roman CYR"/>
        <family val="1"/>
        <charset val="204"/>
      </rPr>
      <t xml:space="preserve"> се избира "НE",</t>
    </r>
  </si>
  <si>
    <r>
      <t xml:space="preserve">в резултат на което ще се появи съответното съобщение в клетка </t>
    </r>
    <r>
      <rPr>
        <sz val="12"/>
        <rFont val="Times New Roman CYR"/>
        <charset val="204"/>
      </rPr>
      <t>R4/R8</t>
    </r>
    <r>
      <rPr>
        <sz val="12"/>
        <rFont val="Times New Roman CYR"/>
        <family val="1"/>
        <charset val="204"/>
      </rPr>
      <t xml:space="preserve"> и текстът </t>
    </r>
    <r>
      <rPr>
        <sz val="12"/>
        <rFont val="Times New Roman CYR"/>
        <charset val="204"/>
      </rPr>
      <t>"ДА"</t>
    </r>
    <r>
      <rPr>
        <sz val="12"/>
        <rFont val="Times New Roman CYR"/>
        <family val="1"/>
        <charset val="204"/>
      </rPr>
      <t xml:space="preserve"> в клетка </t>
    </r>
    <r>
      <rPr>
        <sz val="12"/>
        <rFont val="Times New Roman CYR"/>
        <charset val="204"/>
      </rPr>
      <t>T4/T8</t>
    </r>
    <r>
      <rPr>
        <sz val="12"/>
        <rFont val="Times New Roman CYR"/>
        <family val="1"/>
        <charset val="204"/>
      </rPr>
      <t>,</t>
    </r>
  </si>
  <si>
    <r>
      <t xml:space="preserve">а съобщенията в клетки </t>
    </r>
    <r>
      <rPr>
        <sz val="12"/>
        <rFont val="Times New Roman CYR"/>
        <charset val="204"/>
      </rPr>
      <t>N2/N6</t>
    </r>
    <r>
      <rPr>
        <sz val="12"/>
        <rFont val="Times New Roman CYR"/>
        <family val="1"/>
        <charset val="204"/>
      </rPr>
      <t xml:space="preserve">, </t>
    </r>
    <r>
      <rPr>
        <sz val="12"/>
        <rFont val="Times New Roman CYR"/>
        <charset val="204"/>
      </rPr>
      <t xml:space="preserve">N4/N8 </t>
    </r>
    <r>
      <rPr>
        <sz val="12"/>
        <rFont val="Times New Roman CYR"/>
        <family val="1"/>
        <charset val="204"/>
      </rPr>
      <t xml:space="preserve">и </t>
    </r>
    <r>
      <rPr>
        <sz val="12"/>
        <rFont val="Times New Roman CYR"/>
        <charset val="204"/>
      </rPr>
      <t>P4/P8</t>
    </r>
    <r>
      <rPr>
        <sz val="12"/>
        <rFont val="Times New Roman CYR"/>
        <family val="1"/>
        <charset val="204"/>
      </rPr>
      <t xml:space="preserve"> ще изчезнат.</t>
    </r>
  </si>
  <si>
    <r>
      <t xml:space="preserve">За визуализираните съобщения в клетки </t>
    </r>
    <r>
      <rPr>
        <sz val="12"/>
        <rFont val="Times New Roman CYR"/>
        <charset val="204"/>
      </rPr>
      <t>N2/N6</t>
    </r>
    <r>
      <rPr>
        <sz val="12"/>
        <rFont val="Times New Roman CYR"/>
        <family val="1"/>
        <charset val="204"/>
      </rPr>
      <t xml:space="preserve">, </t>
    </r>
    <r>
      <rPr>
        <sz val="12"/>
        <rFont val="Times New Roman CYR"/>
        <charset val="204"/>
      </rPr>
      <t xml:space="preserve">N4/N8 </t>
    </r>
    <r>
      <rPr>
        <sz val="12"/>
        <rFont val="Times New Roman CYR"/>
        <family val="1"/>
        <charset val="204"/>
      </rPr>
      <t xml:space="preserve">и </t>
    </r>
    <r>
      <rPr>
        <sz val="12"/>
        <rFont val="Times New Roman CYR"/>
        <charset val="204"/>
      </rPr>
      <t>P4/P8</t>
    </r>
    <r>
      <rPr>
        <sz val="12"/>
        <rFont val="Times New Roman CYR"/>
        <family val="1"/>
        <charset val="204"/>
      </rPr>
      <t xml:space="preserve"> ще фигурира  съответното съобщение в таблици</t>
    </r>
  </si>
  <si>
    <r>
      <t xml:space="preserve">грешката съгласно </t>
    </r>
    <r>
      <rPr>
        <b/>
        <sz val="12"/>
        <rFont val="Times New Roman CYR"/>
        <charset val="204"/>
      </rPr>
      <t>т. 13</t>
    </r>
    <r>
      <rPr>
        <sz val="12"/>
        <rFont val="Times New Roman CYR"/>
        <family val="1"/>
        <charset val="204"/>
      </rPr>
      <t xml:space="preserve"> или се потвърди наличието на салдо съгласно </t>
    </r>
    <r>
      <rPr>
        <b/>
        <sz val="12"/>
        <rFont val="Times New Roman CYR"/>
        <charset val="204"/>
      </rPr>
      <t>т. 14</t>
    </r>
    <r>
      <rPr>
        <sz val="12"/>
        <rFont val="Times New Roman CYR"/>
        <family val="1"/>
        <charset val="204"/>
      </rPr>
      <t xml:space="preserve">. </t>
    </r>
  </si>
  <si>
    <r>
      <t>В таблица</t>
    </r>
    <r>
      <rPr>
        <i/>
        <sz val="12"/>
        <rFont val="Times New Roman CYR"/>
        <charset val="204"/>
      </rPr>
      <t xml:space="preserve"> 'Status' </t>
    </r>
    <r>
      <rPr>
        <sz val="12"/>
        <rFont val="Times New Roman CYR"/>
        <family val="1"/>
        <charset val="204"/>
      </rPr>
      <t>е заложено и появяването на съобщения за грешни крайни салда и за неравнения в</t>
    </r>
  </si>
  <si>
    <r>
      <t>в интервала от клетки R21:R39, а за общините - и клетка</t>
    </r>
    <r>
      <rPr>
        <sz val="12"/>
        <rFont val="Times New Roman CYR"/>
        <family val="1"/>
        <charset val="204"/>
      </rPr>
      <t xml:space="preserve"> </t>
    </r>
    <r>
      <rPr>
        <sz val="12"/>
        <rFont val="Times New Roman CYR"/>
        <charset val="204"/>
      </rPr>
      <t>B2</t>
    </r>
    <r>
      <rPr>
        <sz val="12"/>
        <rFont val="Times New Roman CYR"/>
        <family val="1"/>
        <charset val="204"/>
      </rPr>
      <t>.</t>
    </r>
  </si>
  <si>
    <r>
      <t xml:space="preserve">За визуализираните съобщения в клетки </t>
    </r>
    <r>
      <rPr>
        <sz val="12"/>
        <rFont val="Times New Roman CYR"/>
        <charset val="204"/>
      </rPr>
      <t>R21:R29</t>
    </r>
    <r>
      <rPr>
        <sz val="12"/>
        <rFont val="Times New Roman CYR"/>
        <family val="1"/>
        <charset val="204"/>
      </rPr>
      <t xml:space="preserve"> ще фигурират съответните съобщения в таблици</t>
    </r>
  </si>
  <si>
    <r>
      <t>отчетна група</t>
    </r>
    <r>
      <rPr>
        <i/>
        <sz val="12"/>
        <rFont val="Times New Roman CYR"/>
        <charset val="204"/>
      </rPr>
      <t xml:space="preserve"> "БЮДЖЕТ"</t>
    </r>
    <r>
      <rPr>
        <sz val="12"/>
        <rFont val="Times New Roman CYR"/>
        <charset val="204"/>
      </rPr>
      <t xml:space="preserve"> и отчетна група </t>
    </r>
    <r>
      <rPr>
        <i/>
        <sz val="12"/>
        <rFont val="Times New Roman CYR"/>
        <charset val="204"/>
      </rPr>
      <t>"Други сметки и дейности" (ДСД)</t>
    </r>
    <r>
      <rPr>
        <sz val="12"/>
        <rFont val="Times New Roman CYR"/>
        <charset val="204"/>
      </rPr>
      <t>. Крайните салда</t>
    </r>
  </si>
  <si>
    <r>
      <t>се получават автоматично. В тази таблица данните за</t>
    </r>
    <r>
      <rPr>
        <b/>
        <sz val="12"/>
        <rFont val="Times New Roman CYR"/>
        <charset val="204"/>
      </rPr>
      <t xml:space="preserve"> отчетна група</t>
    </r>
  </si>
  <si>
    <r>
      <rPr>
        <i/>
        <sz val="12"/>
        <rFont val="Times New Roman CYR"/>
        <charset val="204"/>
      </rPr>
      <t>"Сметки за средства от Европейския съюз" (СЕС)</t>
    </r>
    <r>
      <rPr>
        <b/>
        <sz val="12"/>
        <rFont val="Times New Roman CYR"/>
      </rPr>
      <t xml:space="preserve"> </t>
    </r>
    <r>
      <rPr>
        <i/>
        <u/>
        <sz val="12"/>
        <rFont val="Times New Roman CYR"/>
        <charset val="204"/>
      </rPr>
      <t xml:space="preserve">не се въвеждат </t>
    </r>
    <r>
      <rPr>
        <sz val="12"/>
        <rFont val="Times New Roman CYR"/>
        <charset val="204"/>
      </rPr>
      <t>- те се получават автоматично</t>
    </r>
  </si>
  <si>
    <r>
      <t>на сборен баланс и оборотна ведомост, текстовете</t>
    </r>
    <r>
      <rPr>
        <sz val="12"/>
        <rFont val="Times New Roman CYR"/>
        <family val="1"/>
        <charset val="204"/>
      </rPr>
      <t xml:space="preserve"> </t>
    </r>
    <r>
      <rPr>
        <sz val="12"/>
        <rFont val="Times New Roman CYR"/>
      </rPr>
      <t xml:space="preserve">/с б о р е н/ </t>
    </r>
    <r>
      <rPr>
        <sz val="12"/>
        <rFont val="Times New Roman CYR"/>
        <family val="1"/>
        <charset val="204"/>
      </rPr>
      <t xml:space="preserve">и </t>
    </r>
    <r>
      <rPr>
        <sz val="12"/>
        <rFont val="Times New Roman CYR"/>
      </rPr>
      <t>/СБОРНА/</t>
    </r>
    <r>
      <rPr>
        <sz val="12"/>
        <rFont val="Times New Roman CYR"/>
        <family val="1"/>
        <charset val="204"/>
      </rPr>
      <t xml:space="preserve"> </t>
    </r>
    <r>
      <rPr>
        <sz val="12"/>
        <rFont val="Times New Roman CYR"/>
      </rPr>
      <t>може да се изтрият.</t>
    </r>
  </si>
  <si>
    <r>
      <t>Редове</t>
    </r>
    <r>
      <rPr>
        <sz val="12"/>
        <rFont val="Times New Roman CYR"/>
        <family val="1"/>
        <charset val="204"/>
      </rPr>
      <t xml:space="preserve"> </t>
    </r>
    <r>
      <rPr>
        <sz val="12"/>
        <rFont val="Times New Roman CYR"/>
      </rPr>
      <t>13</t>
    </r>
    <r>
      <rPr>
        <sz val="12"/>
        <rFont val="Times New Roman CYR"/>
        <family val="1"/>
        <charset val="204"/>
      </rPr>
      <t xml:space="preserve"> </t>
    </r>
    <r>
      <rPr>
        <sz val="12"/>
        <rFont val="Times New Roman CYR"/>
      </rPr>
      <t>и</t>
    </r>
    <r>
      <rPr>
        <sz val="12"/>
        <rFont val="Times New Roman CYR"/>
        <family val="1"/>
        <charset val="204"/>
      </rPr>
      <t xml:space="preserve"> </t>
    </r>
    <r>
      <rPr>
        <sz val="12"/>
        <rFont val="Times New Roman CYR"/>
      </rPr>
      <t>890</t>
    </r>
    <r>
      <rPr>
        <sz val="12"/>
        <rFont val="Times New Roman CYR"/>
        <family val="1"/>
        <charset val="204"/>
      </rPr>
      <t xml:space="preserve"> </t>
    </r>
    <r>
      <rPr>
        <sz val="12"/>
        <rFont val="Times New Roman CYR"/>
      </rPr>
      <t>за съответните колони показват сумата на дебитните и кредитните салда и обороти.</t>
    </r>
  </si>
  <si>
    <r>
      <t xml:space="preserve">Ред 829 </t>
    </r>
    <r>
      <rPr>
        <sz val="12"/>
        <rFont val="Times New Roman CYR"/>
      </rPr>
      <t>за съответните колони показва сумата на дебитните и кредитните салда и обороти</t>
    </r>
  </si>
  <si>
    <r>
      <t xml:space="preserve">на сметките от раздели 1 - 7, а </t>
    </r>
    <r>
      <rPr>
        <sz val="12"/>
        <rFont val="Times New Roman CYR"/>
        <charset val="204"/>
      </rPr>
      <t>ред 888</t>
    </r>
    <r>
      <rPr>
        <sz val="12"/>
        <rFont val="Times New Roman CYR"/>
        <family val="1"/>
        <charset val="204"/>
      </rPr>
      <t xml:space="preserve"> - </t>
    </r>
    <r>
      <rPr>
        <sz val="12"/>
        <rFont val="Times New Roman CYR"/>
      </rPr>
      <t>съответните суми от раздел 9.</t>
    </r>
  </si>
  <si>
    <r>
      <t xml:space="preserve">При постигнато равнение съответните полета на </t>
    </r>
    <r>
      <rPr>
        <sz val="12"/>
        <rFont val="Times New Roman CYR"/>
        <charset val="204"/>
      </rPr>
      <t>редове 2 и 4</t>
    </r>
    <r>
      <rPr>
        <sz val="12"/>
        <rFont val="Times New Roman CYR"/>
        <family val="1"/>
        <charset val="204"/>
      </rPr>
      <t xml:space="preserve"> </t>
    </r>
    <r>
      <rPr>
        <sz val="12"/>
        <rFont val="Times New Roman CYR"/>
      </rPr>
      <t>ще показват състояние</t>
    </r>
    <r>
      <rPr>
        <sz val="12"/>
        <rFont val="Times New Roman CYR"/>
        <charset val="204"/>
      </rPr>
      <t xml:space="preserve"> "О К"</t>
    </r>
    <r>
      <rPr>
        <sz val="12"/>
        <rFont val="Times New Roman CYR"/>
        <family val="1"/>
        <charset val="204"/>
      </rPr>
      <t>.</t>
    </r>
  </si>
  <si>
    <r>
      <t>При неравнение на данните, в тези полета на червен фон ще се изписва текстът</t>
    </r>
    <r>
      <rPr>
        <sz val="12"/>
        <rFont val="Times New Roman CYR"/>
        <family val="1"/>
        <charset val="204"/>
      </rPr>
      <t xml:space="preserve"> "НЕРАВНЕНИЕ !"</t>
    </r>
  </si>
  <si>
    <r>
      <t>въвеждането на данните ще се покаже текстът "О К"</t>
    </r>
    <r>
      <rPr>
        <sz val="12"/>
        <rFont val="Times New Roman CYR"/>
        <family val="1"/>
        <charset val="204"/>
      </rPr>
      <t>). Т</t>
    </r>
    <r>
      <rPr>
        <sz val="12"/>
        <rFont val="Times New Roman CYR"/>
      </rPr>
      <t>ези контроли идентифицират само неравнението</t>
    </r>
  </si>
  <si>
    <r>
      <t>В таблицата след</t>
    </r>
    <r>
      <rPr>
        <sz val="12"/>
        <rFont val="Times New Roman CYR"/>
        <family val="1"/>
        <charset val="204"/>
      </rPr>
      <t xml:space="preserve"> </t>
    </r>
    <r>
      <rPr>
        <sz val="12"/>
        <rFont val="Times New Roman CYR"/>
        <charset val="204"/>
      </rPr>
      <t>колона "AI"</t>
    </r>
    <r>
      <rPr>
        <sz val="12"/>
        <rFont val="Times New Roman CYR"/>
        <family val="1"/>
        <charset val="204"/>
      </rPr>
      <t xml:space="preserve"> </t>
    </r>
    <r>
      <rPr>
        <sz val="12"/>
        <rFont val="Times New Roman CYR"/>
      </rPr>
      <t>ще фигурират обобщените данни от трите отчетни групи (стопански</t>
    </r>
  </si>
  <si>
    <r>
      <t>в таблицата след</t>
    </r>
    <r>
      <rPr>
        <sz val="12"/>
        <rFont val="Times New Roman CYR"/>
        <family val="1"/>
        <charset val="204"/>
      </rPr>
      <t xml:space="preserve"> </t>
    </r>
    <r>
      <rPr>
        <sz val="12"/>
        <rFont val="Times New Roman CYR"/>
        <charset val="204"/>
      </rPr>
      <t>колона</t>
    </r>
    <r>
      <rPr>
        <sz val="12"/>
        <rFont val="Times New Roman CYR"/>
        <family val="1"/>
        <charset val="204"/>
      </rPr>
      <t xml:space="preserve"> </t>
    </r>
    <r>
      <rPr>
        <sz val="12"/>
        <rFont val="Times New Roman CYR"/>
        <family val="1"/>
      </rPr>
      <t>"AI"</t>
    </r>
    <r>
      <rPr>
        <sz val="12"/>
        <rFont val="Times New Roman CYR"/>
        <family val="1"/>
        <charset val="204"/>
      </rPr>
      <t xml:space="preserve"> </t>
    </r>
    <r>
      <rPr>
        <sz val="12"/>
        <rFont val="Times New Roman CYR"/>
      </rPr>
      <t xml:space="preserve">да се появи текстът </t>
    </r>
    <r>
      <rPr>
        <sz val="12"/>
        <rFont val="Times New Roman CYR"/>
        <charset val="204"/>
      </rPr>
      <t>"НЕРАВНЕНИЕ !"</t>
    </r>
    <r>
      <rPr>
        <sz val="12"/>
        <rFont val="Times New Roman CYR"/>
        <family val="1"/>
        <charset val="204"/>
      </rPr>
      <t xml:space="preserve"> </t>
    </r>
    <r>
      <rPr>
        <sz val="12"/>
        <rFont val="Times New Roman CYR"/>
      </rPr>
      <t>в резултат от сумирането на данните</t>
    </r>
  </si>
  <si>
    <r>
      <t>От</t>
    </r>
    <r>
      <rPr>
        <sz val="12"/>
        <rFont val="Times New Roman CYR"/>
        <charset val="204"/>
      </rPr>
      <t xml:space="preserve"> ред 898</t>
    </r>
    <r>
      <rPr>
        <sz val="12"/>
        <rFont val="Times New Roman CYR"/>
        <family val="1"/>
        <charset val="204"/>
      </rPr>
      <t xml:space="preserve"> до </t>
    </r>
    <r>
      <rPr>
        <sz val="12"/>
        <rFont val="Times New Roman CYR"/>
        <charset val="204"/>
      </rPr>
      <t>ред 911</t>
    </r>
    <r>
      <rPr>
        <sz val="12"/>
        <rFont val="Times New Roman CYR"/>
        <family val="1"/>
        <charset val="204"/>
      </rPr>
      <t xml:space="preserve"> </t>
    </r>
    <r>
      <rPr>
        <sz val="12"/>
        <rFont val="Times New Roman CYR"/>
      </rPr>
      <t>фигурират данни, необходими за баланса, които се получават автоматично</t>
    </r>
  </si>
  <si>
    <r>
      <t xml:space="preserve">в резултат на нанасяне на данни се окаже, че дадена сметка в </t>
    </r>
    <r>
      <rPr>
        <sz val="12"/>
        <rFont val="Times New Roman CYR"/>
        <charset val="204"/>
      </rPr>
      <t>БЮДЖЕТ</t>
    </r>
    <r>
      <rPr>
        <sz val="12"/>
        <rFont val="Times New Roman CYR"/>
      </rPr>
      <t xml:space="preserve"> и </t>
    </r>
    <r>
      <rPr>
        <sz val="12"/>
        <rFont val="Times New Roman CYR"/>
        <charset val="204"/>
      </rPr>
      <t>ДСД</t>
    </r>
    <r>
      <rPr>
        <sz val="12"/>
        <rFont val="Times New Roman CYR"/>
      </rPr>
      <t xml:space="preserve"> е с недопустимо  крайно салдо</t>
    </r>
  </si>
  <si>
    <r>
      <t xml:space="preserve">(например сметка за задължения да фигурира с крайно дебитно салдо), в колона </t>
    </r>
    <r>
      <rPr>
        <sz val="12"/>
        <rFont val="Times New Roman CYR"/>
        <charset val="204"/>
      </rPr>
      <t>AV</t>
    </r>
    <r>
      <rPr>
        <sz val="12"/>
        <rFont val="Times New Roman CYR"/>
      </rPr>
      <t xml:space="preserve"> (за </t>
    </r>
    <r>
      <rPr>
        <sz val="12"/>
        <rFont val="Times New Roman CYR"/>
        <charset val="204"/>
      </rPr>
      <t>БЮДЖЕТ</t>
    </r>
    <r>
      <rPr>
        <sz val="12"/>
        <rFont val="Times New Roman CYR"/>
      </rPr>
      <t>), респективно</t>
    </r>
  </si>
  <si>
    <r>
      <t xml:space="preserve">в колона </t>
    </r>
    <r>
      <rPr>
        <sz val="12"/>
        <rFont val="Times New Roman CYR"/>
        <charset val="204"/>
      </rPr>
      <t>AX</t>
    </r>
    <r>
      <rPr>
        <sz val="12"/>
        <rFont val="Times New Roman CYR"/>
      </rPr>
      <t xml:space="preserve"> (за </t>
    </r>
    <r>
      <rPr>
        <sz val="12"/>
        <rFont val="Times New Roman CYR"/>
        <charset val="204"/>
      </rPr>
      <t>ДСД)</t>
    </r>
    <r>
      <rPr>
        <sz val="12"/>
        <rFont val="Times New Roman CYR"/>
      </rPr>
      <t xml:space="preserve"> на реда за съответната сметка ще се маркира неравнението (За </t>
    </r>
    <r>
      <rPr>
        <sz val="12"/>
        <rFont val="Times New Roman CYR"/>
        <charset val="204"/>
      </rPr>
      <t>СЕС</t>
    </r>
    <r>
      <rPr>
        <sz val="12"/>
        <rFont val="Times New Roman CYR"/>
      </rPr>
      <t xml:space="preserve"> подобни контроли</t>
    </r>
  </si>
  <si>
    <r>
      <t xml:space="preserve">разположени в </t>
    </r>
    <r>
      <rPr>
        <sz val="12"/>
        <rFont val="Times New Roman CYR"/>
        <charset val="204"/>
      </rPr>
      <t xml:space="preserve">колони AV:AX, редове 8:13 </t>
    </r>
    <r>
      <rPr>
        <sz val="12"/>
        <rFont val="Times New Roman CYR"/>
      </rPr>
      <t>ще се визуализират събщения за брой грешни крайни салда</t>
    </r>
  </si>
  <si>
    <r>
      <t xml:space="preserve">и в клетка </t>
    </r>
    <r>
      <rPr>
        <sz val="12"/>
        <rFont val="Times New Roman CYR"/>
        <charset val="204"/>
      </rPr>
      <t>H13 (подобни съобщения ще се визуализират в клетки V10:V113 и клетка H13 и във всяка една</t>
    </r>
  </si>
  <si>
    <r>
      <t>В таблицата са заложени контроли (</t>
    </r>
    <r>
      <rPr>
        <sz val="12"/>
        <rFont val="Times New Roman CYR"/>
        <charset val="204"/>
      </rPr>
      <t>редове 78-92</t>
    </r>
    <r>
      <rPr>
        <sz val="12"/>
        <rFont val="Times New Roman CYR"/>
      </rPr>
      <t>) за равнение на сумите, попълнени в справката,</t>
    </r>
  </si>
  <si>
    <r>
      <t xml:space="preserve">1527 и 1528, 1917 и 1918, 1927 и 1928, и 4970, фигуриращи в таблица </t>
    </r>
    <r>
      <rPr>
        <i/>
        <sz val="12"/>
        <rFont val="Times New Roman CYR"/>
        <charset val="204"/>
      </rPr>
      <t>'TRIAL-BALANCE'</t>
    </r>
    <r>
      <rPr>
        <sz val="12"/>
        <rFont val="Times New Roman CYR"/>
      </rPr>
      <t>.</t>
    </r>
  </si>
  <si>
    <r>
      <t>"НЕРАВНЕНИЕ !"</t>
    </r>
    <r>
      <rPr>
        <sz val="12"/>
        <rFont val="Times New Roman CYR"/>
      </rPr>
      <t>, а на</t>
    </r>
    <r>
      <rPr>
        <sz val="12"/>
        <rFont val="Times New Roman CYR"/>
        <charset val="204"/>
      </rPr>
      <t xml:space="preserve"> редове 78-92</t>
    </r>
    <r>
      <rPr>
        <sz val="12"/>
        <rFont val="Times New Roman CYR"/>
        <family val="1"/>
        <charset val="204"/>
      </rPr>
      <t xml:space="preserve"> </t>
    </r>
    <r>
      <rPr>
        <sz val="12"/>
        <rFont val="Times New Roman CYR"/>
      </rPr>
      <t>ще фигурират суми, различни от нула.</t>
    </r>
  </si>
  <si>
    <r>
      <t xml:space="preserve">В тази таблица се въвеждат и </t>
    </r>
    <r>
      <rPr>
        <i/>
        <sz val="12"/>
        <rFont val="Times New Roman CYR"/>
        <charset val="204"/>
      </rPr>
      <t>имената на главния счетоводител и ръководителя</t>
    </r>
    <r>
      <rPr>
        <sz val="12"/>
        <rFont val="Times New Roman CYR"/>
        <family val="1"/>
        <charset val="204"/>
      </rPr>
      <t>, които ще подписват</t>
    </r>
  </si>
  <si>
    <r>
      <t xml:space="preserve">Таблицата се попълва </t>
    </r>
    <r>
      <rPr>
        <i/>
        <u/>
        <sz val="12"/>
        <rFont val="Times New Roman CYR"/>
        <charset val="204"/>
      </rPr>
      <t>само</t>
    </r>
    <r>
      <rPr>
        <sz val="12"/>
        <rFont val="Times New Roman CYR"/>
      </rPr>
      <t xml:space="preserve"> при изготвяне на </t>
    </r>
    <r>
      <rPr>
        <i/>
        <u/>
        <sz val="12"/>
        <rFont val="Times New Roman CYR"/>
        <charset val="204"/>
      </rPr>
      <t>годишната</t>
    </r>
    <r>
      <rPr>
        <sz val="12"/>
        <rFont val="Times New Roman CYR"/>
      </rPr>
      <t xml:space="preserve"> оборотна ведомст.</t>
    </r>
  </si>
  <si>
    <r>
      <t xml:space="preserve">Тази таблица се попълва </t>
    </r>
    <r>
      <rPr>
        <i/>
        <u/>
        <sz val="12"/>
        <rFont val="Times New Roman CYR"/>
        <charset val="204"/>
      </rPr>
      <t>само</t>
    </r>
    <r>
      <rPr>
        <sz val="12"/>
        <rFont val="Times New Roman CYR"/>
        <family val="1"/>
        <charset val="204"/>
      </rPr>
      <t xml:space="preserve"> от </t>
    </r>
    <r>
      <rPr>
        <i/>
        <u/>
        <sz val="12"/>
        <rFont val="Times New Roman CYR"/>
        <charset val="204"/>
      </rPr>
      <t>ОБЩИНИТЕ</t>
    </r>
    <r>
      <rPr>
        <sz val="12"/>
        <rFont val="Times New Roman CYR"/>
        <family val="1"/>
        <charset val="204"/>
      </rPr>
      <t xml:space="preserve"> и техните подведомствени разпоредители!</t>
    </r>
  </si>
  <si>
    <r>
      <t xml:space="preserve">В тази таблица се въвеждат данните за </t>
    </r>
    <r>
      <rPr>
        <b/>
        <sz val="12"/>
        <rFont val="Times New Roman CYR"/>
        <charset val="204"/>
      </rPr>
      <t>салдата на сметки 1001 и 1101  и на сметките от раздели 6 и 7</t>
    </r>
  </si>
  <si>
    <r>
      <rPr>
        <b/>
        <sz val="12"/>
        <rFont val="Times New Roman CYR"/>
        <charset val="204"/>
      </rPr>
      <t xml:space="preserve">от предходната година </t>
    </r>
    <r>
      <rPr>
        <sz val="12"/>
        <rFont val="Times New Roman CYR"/>
        <charset val="204"/>
      </rPr>
      <t xml:space="preserve"> </t>
    </r>
    <r>
      <rPr>
        <i/>
        <u/>
        <sz val="12"/>
        <rFont val="Times New Roman CYR"/>
        <charset val="204"/>
      </rPr>
      <t>преди</t>
    </r>
    <r>
      <rPr>
        <sz val="12"/>
        <rFont val="Times New Roman CYR"/>
        <charset val="204"/>
      </rPr>
      <t xml:space="preserve"> приключвателните операции по сметките от раздели 6 и 7.</t>
    </r>
  </si>
  <si>
    <r>
      <t xml:space="preserve">На </t>
    </r>
    <r>
      <rPr>
        <sz val="12"/>
        <rFont val="Times New Roman CYR"/>
        <charset val="204"/>
      </rPr>
      <t>редове 833</t>
    </r>
    <r>
      <rPr>
        <sz val="12"/>
        <rFont val="Times New Roman CYR"/>
        <family val="1"/>
        <charset val="204"/>
      </rPr>
      <t xml:space="preserve"> и </t>
    </r>
    <r>
      <rPr>
        <sz val="12"/>
        <rFont val="Times New Roman CYR"/>
        <charset val="204"/>
      </rPr>
      <t>835</t>
    </r>
    <r>
      <rPr>
        <sz val="12"/>
        <rFont val="Times New Roman CYR"/>
        <family val="1"/>
        <charset val="204"/>
      </rPr>
      <t xml:space="preserve"> са заложени контроли за равнение с отчета за приходите и разходите</t>
    </r>
  </si>
  <si>
    <r>
      <t xml:space="preserve"> в левове,     а    в </t>
    </r>
    <r>
      <rPr>
        <i/>
        <sz val="12"/>
        <color indexed="18"/>
        <rFont val="Times New Roman CYR"/>
        <charset val="204"/>
      </rPr>
      <t/>
    </r>
  </si>
  <si>
    <r>
      <t xml:space="preserve">В позициите </t>
    </r>
    <r>
      <rPr>
        <b/>
        <sz val="12"/>
        <rFont val="Times New Roman CYR"/>
        <family val="1"/>
        <charset val="204"/>
      </rPr>
      <t>"Задбалансови активи"</t>
    </r>
    <r>
      <rPr>
        <sz val="12"/>
        <rFont val="Times New Roman CYR"/>
        <family val="1"/>
        <charset val="204"/>
      </rPr>
      <t xml:space="preserve"> и </t>
    </r>
    <r>
      <rPr>
        <b/>
        <sz val="12"/>
        <rFont val="Times New Roman CYR"/>
        <family val="1"/>
        <charset val="204"/>
      </rPr>
      <t>"Задбалансовите пасиви"</t>
    </r>
    <r>
      <rPr>
        <sz val="12"/>
        <rFont val="Times New Roman CYR"/>
        <family val="1"/>
        <charset val="204"/>
      </rPr>
      <t xml:space="preserve">  се включват само условните</t>
    </r>
  </si>
  <si>
    <r>
      <t>активи и пасиви, а не салдата на всички задбалансови сметки. В тази връзка, в баланса</t>
    </r>
    <r>
      <rPr>
        <sz val="12"/>
        <rFont val="Times New Roman CYR"/>
        <family val="1"/>
        <charset val="204"/>
      </rPr>
      <t xml:space="preserve"> </t>
    </r>
    <r>
      <rPr>
        <i/>
        <u/>
        <sz val="12"/>
        <rFont val="Times New Roman CYR"/>
        <charset val="204"/>
      </rPr>
      <t>не фигури-</t>
    </r>
  </si>
  <si>
    <r>
      <rPr>
        <i/>
        <u/>
        <sz val="12"/>
        <rFont val="Times New Roman CYR"/>
        <charset val="204"/>
      </rPr>
      <t>рат</t>
    </r>
    <r>
      <rPr>
        <sz val="12"/>
        <rFont val="Times New Roman CYR"/>
        <family val="1"/>
        <charset val="204"/>
      </rPr>
      <t xml:space="preserve"> </t>
    </r>
    <r>
      <rPr>
        <sz val="12"/>
        <rFont val="Times New Roman CYR"/>
      </rPr>
      <t xml:space="preserve">данните за салдата на сметки от </t>
    </r>
    <r>
      <rPr>
        <b/>
        <sz val="12"/>
        <rFont val="Times New Roman CYR"/>
      </rPr>
      <t>подгрупи 980, 986 991, 992 и 994</t>
    </r>
    <r>
      <rPr>
        <sz val="12"/>
        <rFont val="Times New Roman CYR"/>
      </rPr>
      <t xml:space="preserve"> и </t>
    </r>
    <r>
      <rPr>
        <b/>
        <sz val="12"/>
        <rFont val="Times New Roman CYR"/>
      </rPr>
      <t>сметки 9981 и 9989</t>
    </r>
    <r>
      <rPr>
        <sz val="12"/>
        <rFont val="Times New Roman CYR"/>
      </rPr>
      <t>.</t>
    </r>
  </si>
  <si>
    <r>
      <t>В таблиците са заложени контроли (</t>
    </r>
    <r>
      <rPr>
        <sz val="12"/>
        <rFont val="Times New Roman CYR"/>
        <charset val="204"/>
      </rPr>
      <t>редове 101-105</t>
    </r>
    <r>
      <rPr>
        <sz val="12"/>
        <rFont val="Times New Roman CYR"/>
      </rPr>
      <t>) за равнение на сумите с оборотната ведомост</t>
    </r>
  </si>
  <si>
    <r>
      <t>изписва текстът</t>
    </r>
    <r>
      <rPr>
        <sz val="12"/>
        <rFont val="Times New Roman CYR"/>
        <family val="1"/>
        <charset val="204"/>
      </rPr>
      <t xml:space="preserve"> "НЕРАВНЕНИЕ !"</t>
    </r>
    <r>
      <rPr>
        <sz val="12"/>
        <rFont val="Times New Roman CYR"/>
      </rPr>
      <t>. При коректно попълване на данните ще се показва  "О К"</t>
    </r>
    <r>
      <rPr>
        <sz val="12"/>
        <rFont val="Times New Roman CYR"/>
        <family val="1"/>
        <charset val="204"/>
      </rPr>
      <t>.</t>
    </r>
  </si>
  <si>
    <r>
      <t xml:space="preserve">В случай на неравнение на данните за </t>
    </r>
    <r>
      <rPr>
        <sz val="12"/>
        <rFont val="Times New Roman CYR"/>
        <charset val="204"/>
      </rPr>
      <t xml:space="preserve"> </t>
    </r>
    <r>
      <rPr>
        <i/>
        <u/>
        <sz val="12"/>
        <rFont val="Times New Roman CYR"/>
      </rPr>
      <t>началните</t>
    </r>
    <r>
      <rPr>
        <sz val="12"/>
        <rFont val="Times New Roman CYR"/>
      </rPr>
      <t xml:space="preserve"> салда на сметките от</t>
    </r>
    <r>
      <rPr>
        <i/>
        <sz val="12"/>
        <rFont val="Times New Roman CYR"/>
        <charset val="204"/>
      </rPr>
      <t xml:space="preserve"> </t>
    </r>
    <r>
      <rPr>
        <sz val="12"/>
        <rFont val="Times New Roman CYR"/>
        <charset val="204"/>
      </rPr>
      <t>групи 10</t>
    </r>
    <r>
      <rPr>
        <sz val="12"/>
        <rFont val="Times New Roman CYR"/>
      </rPr>
      <t xml:space="preserve"> и </t>
    </r>
    <r>
      <rPr>
        <sz val="12"/>
        <rFont val="Times New Roman CYR"/>
        <charset val="204"/>
      </rPr>
      <t>11,</t>
    </r>
    <r>
      <rPr>
        <sz val="12"/>
        <rFont val="Times New Roman CYR"/>
      </rPr>
      <t xml:space="preserve"> въведени в</t>
    </r>
  </si>
  <si>
    <r>
      <t xml:space="preserve">таблица </t>
    </r>
    <r>
      <rPr>
        <i/>
        <sz val="12"/>
        <rFont val="Times New Roman CYR"/>
        <charset val="204"/>
      </rPr>
      <t>'TRIAL-BALANCE'</t>
    </r>
    <r>
      <rPr>
        <sz val="12"/>
        <rFont val="Times New Roman CYR"/>
        <charset val="204"/>
      </rPr>
      <t xml:space="preserve"> </t>
    </r>
    <r>
      <rPr>
        <sz val="12"/>
        <rFont val="Times New Roman CYR"/>
      </rPr>
      <t>и сумата на</t>
    </r>
    <r>
      <rPr>
        <b/>
        <i/>
        <sz val="12"/>
        <rFont val="Times New Roman CYR"/>
      </rPr>
      <t xml:space="preserve"> </t>
    </r>
    <r>
      <rPr>
        <i/>
        <u/>
        <sz val="12"/>
        <rFont val="Times New Roman CYR"/>
      </rPr>
      <t>началния</t>
    </r>
    <r>
      <rPr>
        <sz val="12"/>
        <rFont val="Times New Roman CYR"/>
      </rPr>
      <t xml:space="preserve"> баланс на </t>
    </r>
    <r>
      <rPr>
        <b/>
        <sz val="12"/>
        <rFont val="Times New Roman CYR"/>
      </rPr>
      <t>позиция 0400 "Общо за раздел А"</t>
    </r>
    <r>
      <rPr>
        <b/>
        <i/>
        <sz val="12"/>
        <rFont val="Times New Roman CYR"/>
      </rPr>
      <t xml:space="preserve"> </t>
    </r>
    <r>
      <rPr>
        <sz val="12"/>
        <rFont val="Times New Roman CYR"/>
      </rPr>
      <t>за</t>
    </r>
  </si>
  <si>
    <r>
      <t>съответните отчетни групи, на</t>
    </r>
    <r>
      <rPr>
        <sz val="12"/>
        <rFont val="Times New Roman CYR"/>
        <charset val="204"/>
      </rPr>
      <t xml:space="preserve"> </t>
    </r>
    <r>
      <rPr>
        <sz val="12"/>
        <rFont val="Times New Roman CYR"/>
      </rPr>
      <t>ред 64</t>
    </r>
    <r>
      <rPr>
        <sz val="12"/>
        <rFont val="Times New Roman CYR"/>
        <charset val="204"/>
      </rPr>
      <t xml:space="preserve"> </t>
    </r>
    <r>
      <rPr>
        <sz val="12"/>
        <rFont val="Times New Roman CYR"/>
      </rPr>
      <t xml:space="preserve">в колоните за начален баланс ще се появи текста </t>
    </r>
    <r>
      <rPr>
        <sz val="12"/>
        <rFont val="Times New Roman CYR"/>
        <charset val="204"/>
      </rPr>
      <t>"НЕРАВНЕНИЕ".</t>
    </r>
  </si>
  <si>
    <r>
      <t xml:space="preserve">балансови позиции (шифри 0071, 0075, 0076, 0528, 0529 и 0403) </t>
    </r>
    <r>
      <rPr>
        <i/>
        <u/>
        <sz val="12"/>
        <rFont val="Times New Roman CYR"/>
        <charset val="204"/>
      </rPr>
      <t>само</t>
    </r>
    <r>
      <rPr>
        <sz val="12"/>
        <rFont val="Times New Roman CYR"/>
      </rPr>
      <t xml:space="preserve"> при коректно попълване на таблици</t>
    </r>
  </si>
  <si>
    <r>
      <rPr>
        <i/>
        <sz val="12"/>
        <rFont val="Times New Roman CYR"/>
        <charset val="204"/>
      </rPr>
      <t xml:space="preserve"> 'Status' </t>
    </r>
    <r>
      <rPr>
        <sz val="12"/>
        <rFont val="Times New Roman CYR"/>
        <charset val="204"/>
      </rPr>
      <t>и</t>
    </r>
    <r>
      <rPr>
        <i/>
        <sz val="12"/>
        <rFont val="Times New Roman CYR"/>
        <charset val="204"/>
      </rPr>
      <t xml:space="preserve"> </t>
    </r>
  </si>
  <si>
    <r>
      <t>'Municipal-Bal'</t>
    </r>
    <r>
      <rPr>
        <sz val="12"/>
        <rFont val="Times New Roman CYR"/>
        <charset val="204"/>
      </rPr>
      <t>)</t>
    </r>
  </si>
  <si>
    <r>
      <t xml:space="preserve">Възможно е при коректно попълване на данните да се появи текстът </t>
    </r>
    <r>
      <rPr>
        <sz val="12"/>
        <rFont val="Times New Roman CYR"/>
        <family val="1"/>
        <charset val="204"/>
      </rPr>
      <t xml:space="preserve">"НЕРАВНЕНИЕ !" </t>
    </r>
    <r>
      <rPr>
        <sz val="12"/>
        <rFont val="Times New Roman CYR"/>
      </rPr>
      <t>в таблица</t>
    </r>
  </si>
  <si>
    <r>
      <t>,</t>
    </r>
    <r>
      <rPr>
        <i/>
        <sz val="12"/>
        <rFont val="Times New Roman Cyr"/>
        <family val="1"/>
        <charset val="204"/>
      </rPr>
      <t xml:space="preserve"> </t>
    </r>
    <r>
      <rPr>
        <i/>
        <u/>
        <sz val="12"/>
        <rFont val="Times New Roman CYR"/>
      </rPr>
      <t>което да е в резултат от закръгления на сумите</t>
    </r>
    <r>
      <rPr>
        <i/>
        <sz val="12"/>
        <rFont val="Times New Roman CYR"/>
      </rPr>
      <t xml:space="preserve"> </t>
    </r>
    <r>
      <rPr>
        <sz val="12"/>
        <rFont val="Times New Roman CYR"/>
        <family val="1"/>
      </rPr>
      <t>п</t>
    </r>
    <r>
      <rPr>
        <sz val="12"/>
        <rFont val="Times New Roman CYR"/>
      </rPr>
      <t>ри трансформирането</t>
    </r>
  </si>
  <si>
    <r>
      <t xml:space="preserve">в таблица </t>
    </r>
    <r>
      <rPr>
        <i/>
        <sz val="12"/>
        <rFont val="Times New Roman CYR"/>
        <charset val="204"/>
      </rPr>
      <t>'Rounding'</t>
    </r>
    <r>
      <rPr>
        <sz val="12"/>
        <rFont val="Times New Roman CYR"/>
        <family val="1"/>
        <charset val="204"/>
      </rPr>
      <t>.</t>
    </r>
  </si>
  <si>
    <r>
      <t>В таблиците са заложени контроли (</t>
    </r>
    <r>
      <rPr>
        <sz val="12"/>
        <rFont val="Times New Roman CYR"/>
        <charset val="204"/>
      </rPr>
      <t>редове 117-121</t>
    </r>
    <r>
      <rPr>
        <sz val="12"/>
        <rFont val="Times New Roman CYR"/>
      </rPr>
      <t>) за равнение на отразената в отчета за приходите  и раз-</t>
    </r>
  </si>
  <si>
    <r>
      <t>ходите сума на изменението на нетните активи за периода (</t>
    </r>
    <r>
      <rPr>
        <sz val="12"/>
        <rFont val="Times New Roman CYR"/>
        <charset val="204"/>
      </rPr>
      <t>шифър 1000</t>
    </r>
    <r>
      <rPr>
        <sz val="12"/>
        <rFont val="Times New Roman CYR"/>
        <family val="1"/>
        <charset val="204"/>
      </rPr>
      <t>) с отчетената в баланса сума на то-</t>
    </r>
  </si>
  <si>
    <r>
      <t>зи показател (</t>
    </r>
    <r>
      <rPr>
        <sz val="12"/>
        <rFont val="Times New Roman CYR"/>
        <charset val="204"/>
      </rPr>
      <t>шифър 0403</t>
    </r>
    <r>
      <rPr>
        <sz val="12"/>
        <rFont val="Times New Roman CYR"/>
        <family val="1"/>
        <charset val="204"/>
      </rPr>
      <t>) и общия размер на салдата от сметки от раздел 6 и 7, отразени в оборотната ве-</t>
    </r>
  </si>
  <si>
    <r>
      <t>домост за текущата година (таблица</t>
    </r>
    <r>
      <rPr>
        <i/>
        <sz val="12"/>
        <rFont val="Times New Roman CYR"/>
        <charset val="204"/>
      </rPr>
      <t xml:space="preserve"> 'TRIAL-BALANCE'</t>
    </r>
    <r>
      <rPr>
        <sz val="12"/>
        <rFont val="Times New Roman CYR"/>
      </rPr>
      <t>), съответно - в оборотната ведомост за предходната</t>
    </r>
  </si>
  <si>
    <r>
      <t>фон ще се изписва текстът</t>
    </r>
    <r>
      <rPr>
        <sz val="12"/>
        <rFont val="Times New Roman CYR"/>
        <family val="1"/>
        <charset val="204"/>
      </rPr>
      <t xml:space="preserve"> "НЕРАВНЕНИЕ !"</t>
    </r>
    <r>
      <rPr>
        <sz val="12"/>
        <rFont val="Times New Roman CYR"/>
      </rPr>
      <t>. При коректно попълване на данните ще се показва  "О К"</t>
    </r>
    <r>
      <rPr>
        <sz val="12"/>
        <rFont val="Times New Roman CYR"/>
        <family val="1"/>
        <charset val="204"/>
      </rPr>
      <t>.</t>
    </r>
  </si>
  <si>
    <r>
      <t xml:space="preserve">приходни и разходни позиции и общото изменение в нетните активи (шифри 0719, 0606, 0609 и 1000) </t>
    </r>
    <r>
      <rPr>
        <i/>
        <u/>
        <sz val="12"/>
        <rFont val="Times New Roman CYR"/>
        <charset val="204"/>
      </rPr>
      <t>само</t>
    </r>
  </si>
  <si>
    <r>
      <t xml:space="preserve">при коректно попълване от общината на таблици </t>
    </r>
    <r>
      <rPr>
        <i/>
        <sz val="12"/>
        <rFont val="Times New Roman CYR"/>
        <charset val="204"/>
      </rPr>
      <t>'Status'</t>
    </r>
    <r>
      <rPr>
        <sz val="12"/>
        <rFont val="Times New Roman CYR"/>
      </rPr>
      <t xml:space="preserve">    и</t>
    </r>
  </si>
  <si>
    <r>
      <t xml:space="preserve">ните данни, който се изпраща на МФ. (При некоректно попълване се показват в колони </t>
    </r>
    <r>
      <rPr>
        <sz val="12"/>
        <rFont val="Times New Roman CYR"/>
        <charset val="204"/>
      </rPr>
      <t>"P"</t>
    </r>
    <r>
      <rPr>
        <sz val="12"/>
        <rFont val="Times New Roman CYR"/>
      </rPr>
      <t xml:space="preserve"> и </t>
    </r>
    <r>
      <rPr>
        <sz val="12"/>
        <rFont val="Times New Roman CYR"/>
        <charset val="204"/>
      </rPr>
      <t>"Q"</t>
    </r>
    <r>
      <rPr>
        <sz val="12"/>
        <rFont val="Times New Roman CYR"/>
      </rPr>
      <t xml:space="preserve"> съответните</t>
    </r>
  </si>
  <si>
    <r>
      <rPr>
        <i/>
        <u/>
        <sz val="12"/>
        <rFont val="Times New Roman CYR"/>
      </rPr>
      <t>което да е в резултат от закръгления на сумите</t>
    </r>
    <r>
      <rPr>
        <i/>
        <sz val="12"/>
        <rFont val="Times New Roman CYR"/>
      </rPr>
      <t xml:space="preserve"> </t>
    </r>
    <r>
      <rPr>
        <sz val="12"/>
        <rFont val="Times New Roman CYR"/>
        <family val="1"/>
      </rPr>
      <t>п</t>
    </r>
    <r>
      <rPr>
        <sz val="12"/>
        <rFont val="Times New Roman CYR"/>
      </rPr>
      <t>ри трансформирането</t>
    </r>
  </si>
  <si>
    <r>
      <t xml:space="preserve">В случай, че </t>
    </r>
    <r>
      <rPr>
        <i/>
        <u/>
        <sz val="12"/>
        <rFont val="Times New Roman CYR"/>
        <charset val="204"/>
      </rPr>
      <t>няма</t>
    </r>
    <r>
      <rPr>
        <sz val="12"/>
        <rFont val="Times New Roman CYR"/>
        <family val="1"/>
        <charset val="204"/>
      </rPr>
      <t xml:space="preserve"> неравнения от закръгления в хил. лв в баланса и ОПР, в тази таблица ще фигурират три</t>
    </r>
  </si>
  <si>
    <r>
      <t xml:space="preserve">изменението на нетните активи за периода (клетки </t>
    </r>
    <r>
      <rPr>
        <sz val="12"/>
        <rFont val="Times New Roman CYR"/>
        <charset val="204"/>
      </rPr>
      <t>A3</t>
    </r>
    <r>
      <rPr>
        <sz val="12"/>
        <rFont val="Times New Roman CYR"/>
        <family val="1"/>
        <charset val="204"/>
      </rPr>
      <t xml:space="preserve">, </t>
    </r>
    <r>
      <rPr>
        <sz val="12"/>
        <rFont val="Times New Roman CYR"/>
        <charset val="204"/>
      </rPr>
      <t>А59</t>
    </r>
    <r>
      <rPr>
        <sz val="12"/>
        <rFont val="Times New Roman CYR"/>
        <family val="1"/>
        <charset val="204"/>
      </rPr>
      <t xml:space="preserve"> и </t>
    </r>
    <r>
      <rPr>
        <sz val="12"/>
        <rFont val="Times New Roman CYR"/>
        <charset val="204"/>
      </rPr>
      <t>A128</t>
    </r>
    <r>
      <rPr>
        <sz val="12"/>
        <rFont val="Times New Roman CYR"/>
        <family val="1"/>
        <charset val="204"/>
      </rPr>
      <t>).</t>
    </r>
  </si>
  <si>
    <r>
      <t xml:space="preserve">В случай, че </t>
    </r>
    <r>
      <rPr>
        <i/>
        <u/>
        <sz val="12"/>
        <rFont val="Times New Roman CYR"/>
        <charset val="204"/>
      </rPr>
      <t>има</t>
    </r>
    <r>
      <rPr>
        <sz val="12"/>
        <rFont val="Times New Roman CYR"/>
        <family val="1"/>
        <charset val="204"/>
      </rPr>
      <t xml:space="preserve"> неравнения от закръгления в хил. лв в </t>
    </r>
    <r>
      <rPr>
        <i/>
        <sz val="12"/>
        <rFont val="Times New Roman CYR"/>
        <charset val="204"/>
      </rPr>
      <t>балансовите позиции</t>
    </r>
    <r>
      <rPr>
        <sz val="12"/>
        <rFont val="Times New Roman CYR"/>
        <family val="1"/>
        <charset val="204"/>
      </rPr>
      <t xml:space="preserve"> (разлика между общата стойност</t>
    </r>
  </si>
  <si>
    <r>
      <t xml:space="preserve">на актива и общата стойност на пасива), </t>
    </r>
    <r>
      <rPr>
        <i/>
        <sz val="12"/>
        <rFont val="Times New Roman CYR"/>
        <charset val="204"/>
      </rPr>
      <t>задбалансовите позиции</t>
    </r>
    <r>
      <rPr>
        <sz val="12"/>
        <rFont val="Times New Roman CYR"/>
        <family val="1"/>
        <charset val="204"/>
      </rPr>
      <t xml:space="preserve"> (разлика от закръгления в хил. лв между </t>
    </r>
  </si>
  <si>
    <r>
      <t xml:space="preserve">задбалансови активи и задбалансови пасиви) или в </t>
    </r>
    <r>
      <rPr>
        <i/>
        <sz val="12"/>
        <rFont val="Times New Roman CYR"/>
        <charset val="204"/>
      </rPr>
      <t>изменението на нетните активи</t>
    </r>
    <r>
      <rPr>
        <sz val="12"/>
        <rFont val="Times New Roman CYR"/>
        <family val="1"/>
        <charset val="204"/>
      </rPr>
      <t xml:space="preserve"> (разлика от закръгления</t>
    </r>
  </si>
  <si>
    <r>
      <t xml:space="preserve">съобщение за неравнение в клетки </t>
    </r>
    <r>
      <rPr>
        <sz val="12"/>
        <rFont val="Times New Roman CYR"/>
        <charset val="204"/>
      </rPr>
      <t>A3</t>
    </r>
    <r>
      <rPr>
        <sz val="12"/>
        <rFont val="Times New Roman CYR"/>
        <family val="1"/>
        <charset val="204"/>
      </rPr>
      <t xml:space="preserve">, </t>
    </r>
    <r>
      <rPr>
        <sz val="12"/>
        <rFont val="Times New Roman CYR"/>
        <charset val="204"/>
      </rPr>
      <t>А59</t>
    </r>
    <r>
      <rPr>
        <sz val="12"/>
        <rFont val="Times New Roman CYR"/>
        <family val="1"/>
        <charset val="204"/>
      </rPr>
      <t xml:space="preserve"> и </t>
    </r>
    <r>
      <rPr>
        <sz val="12"/>
        <rFont val="Times New Roman CYR"/>
        <charset val="204"/>
      </rPr>
      <t>A128</t>
    </r>
    <r>
      <rPr>
        <sz val="12"/>
        <rFont val="Times New Roman CYR"/>
        <family val="1"/>
        <charset val="204"/>
      </rPr>
      <t>, заедно със съответните полета, в които да се въведе</t>
    </r>
  </si>
  <si>
    <r>
      <t>корекция за отстраняване на неравнението, разположени от колона "C"</t>
    </r>
    <r>
      <rPr>
        <sz val="12"/>
        <rFont val="Times New Roman CYR"/>
        <family val="1"/>
        <charset val="204"/>
      </rPr>
      <t xml:space="preserve"> </t>
    </r>
    <r>
      <rPr>
        <sz val="12"/>
        <rFont val="Times New Roman CYR"/>
        <charset val="204"/>
      </rPr>
      <t>до колона "Q".</t>
    </r>
  </si>
  <si>
    <r>
      <t xml:space="preserve">За отстраняване на неравнението от закръгления в хил. лв в </t>
    </r>
    <r>
      <rPr>
        <i/>
        <sz val="12"/>
        <rFont val="Times New Roman CYR"/>
        <charset val="204"/>
      </rPr>
      <t>балансовите позиции</t>
    </r>
    <r>
      <rPr>
        <sz val="12"/>
        <rFont val="Times New Roman CYR"/>
        <family val="1"/>
        <charset val="204"/>
      </rPr>
      <t xml:space="preserve"> са предвидени 4 позиции</t>
    </r>
  </si>
  <si>
    <r>
      <t xml:space="preserve">(по две за актива и пасива), в </t>
    </r>
    <r>
      <rPr>
        <i/>
        <sz val="12"/>
        <rFont val="Times New Roman CYR"/>
        <charset val="204"/>
      </rPr>
      <t>задбалансовите позиции</t>
    </r>
    <r>
      <rPr>
        <sz val="12"/>
        <rFont val="Times New Roman CYR"/>
        <family val="1"/>
        <charset val="204"/>
      </rPr>
      <t xml:space="preserve"> - 2 позиции (по една за задбалансови активи и задба-</t>
    </r>
  </si>
  <si>
    <r>
      <t xml:space="preserve">лансови пасиви) в </t>
    </r>
    <r>
      <rPr>
        <i/>
        <sz val="12"/>
        <rFont val="Times New Roman CYR"/>
        <charset val="204"/>
      </rPr>
      <t>изменението на нетните активи</t>
    </r>
    <r>
      <rPr>
        <sz val="12"/>
        <rFont val="Times New Roman CYR"/>
        <family val="1"/>
        <charset val="204"/>
      </rPr>
      <t xml:space="preserve"> - три позиции от ОПР.</t>
    </r>
  </si>
  <si>
    <r>
      <t>селектират от съответната колона</t>
    </r>
    <r>
      <rPr>
        <i/>
        <sz val="12"/>
        <rFont val="Times New Roman CYR"/>
        <charset val="204"/>
      </rPr>
      <t xml:space="preserve"> "Шифър"</t>
    </r>
    <r>
      <rPr>
        <sz val="12"/>
        <rFont val="Times New Roman CYR"/>
        <charset val="204"/>
      </rPr>
      <t xml:space="preserve"> (разположена в колони "C",</t>
    </r>
    <r>
      <rPr>
        <sz val="12"/>
        <rFont val="Times New Roman CYR"/>
        <family val="1"/>
        <charset val="204"/>
      </rPr>
      <t xml:space="preserve"> </t>
    </r>
    <r>
      <rPr>
        <sz val="12"/>
        <rFont val="Times New Roman CYR"/>
        <charset val="204"/>
      </rPr>
      <t>"G", "K", "O") чрез избор на съответния</t>
    </r>
  </si>
  <si>
    <r>
      <t xml:space="preserve">е заложена възможност за попълване само на </t>
    </r>
    <r>
      <rPr>
        <i/>
        <u/>
        <sz val="12"/>
        <rFont val="Times New Roman CYR"/>
        <charset val="204"/>
      </rPr>
      <t>цели</t>
    </r>
    <r>
      <rPr>
        <sz val="12"/>
        <rFont val="Times New Roman CYR"/>
        <family val="1"/>
        <charset val="204"/>
      </rPr>
      <t xml:space="preserve"> числа в интервала </t>
    </r>
    <r>
      <rPr>
        <i/>
        <sz val="12"/>
        <rFont val="Times New Roman CYR"/>
        <charset val="204"/>
      </rPr>
      <t>[- 2;+2]</t>
    </r>
    <r>
      <rPr>
        <sz val="12"/>
        <rFont val="Times New Roman CYR"/>
        <family val="1"/>
        <charset val="204"/>
      </rPr>
      <t>.</t>
    </r>
  </si>
  <si>
    <r>
      <t xml:space="preserve">въвеждане в съответната клетка на намаление на позиция на баланксови активи (въвежда се числото </t>
    </r>
    <r>
      <rPr>
        <i/>
        <sz val="12"/>
        <rFont val="Times New Roman CYR"/>
        <charset val="204"/>
      </rPr>
      <t>-1</t>
    </r>
    <r>
      <rPr>
        <sz val="12"/>
        <rFont val="Times New Roman CYR"/>
        <family val="1"/>
        <charset val="204"/>
      </rPr>
      <t>) или</t>
    </r>
  </si>
  <si>
    <r>
      <t xml:space="preserve">чрез увеличение на на позиция от балансовите пасиви (въвежда се числото </t>
    </r>
    <r>
      <rPr>
        <i/>
        <sz val="12"/>
        <rFont val="Times New Roman CYR"/>
        <charset val="204"/>
      </rPr>
      <t>+1</t>
    </r>
    <r>
      <rPr>
        <sz val="12"/>
        <rFont val="Times New Roman CYR"/>
        <family val="1"/>
        <charset val="204"/>
      </rPr>
      <t>).</t>
    </r>
  </si>
  <si>
    <r>
      <t xml:space="preserve">да се извършва по максимално възможен брой позиции (при неравнение от </t>
    </r>
    <r>
      <rPr>
        <i/>
        <sz val="12"/>
        <rFont val="Times New Roman CYR"/>
        <charset val="204"/>
      </rPr>
      <t>2 хил. лв</t>
    </r>
    <r>
      <rPr>
        <sz val="12"/>
        <rFont val="Times New Roman CYR"/>
        <family val="1"/>
        <charset val="204"/>
      </rPr>
      <t xml:space="preserve"> се въвежда корекция в</t>
    </r>
  </si>
  <si>
    <r>
      <t xml:space="preserve">в </t>
    </r>
    <r>
      <rPr>
        <i/>
        <sz val="12"/>
        <rFont val="Times New Roman CYR"/>
        <charset val="204"/>
      </rPr>
      <t>две</t>
    </r>
    <r>
      <rPr>
        <sz val="12"/>
        <rFont val="Times New Roman CYR"/>
        <family val="1"/>
        <charset val="204"/>
      </rPr>
      <t xml:space="preserve"> позиции, пре неравнение от </t>
    </r>
    <r>
      <rPr>
        <i/>
        <sz val="12"/>
        <rFont val="Times New Roman CYR"/>
        <charset val="204"/>
      </rPr>
      <t>3 хил. лв</t>
    </r>
    <r>
      <rPr>
        <sz val="12"/>
        <rFont val="Times New Roman CYR"/>
        <family val="1"/>
        <charset val="204"/>
      </rPr>
      <t xml:space="preserve"> - в </t>
    </r>
    <r>
      <rPr>
        <i/>
        <sz val="12"/>
        <rFont val="Times New Roman CYR"/>
        <charset val="204"/>
      </rPr>
      <t>три</t>
    </r>
    <r>
      <rPr>
        <sz val="12"/>
        <rFont val="Times New Roman CYR"/>
        <family val="1"/>
        <charset val="204"/>
      </rPr>
      <t xml:space="preserve"> позиции и т.н.).</t>
    </r>
  </si>
  <si>
    <r>
      <t xml:space="preserve">активи)  в клетки </t>
    </r>
    <r>
      <rPr>
        <sz val="12"/>
        <rFont val="Times New Roman CYR"/>
        <charset val="204"/>
      </rPr>
      <t>A3</t>
    </r>
    <r>
      <rPr>
        <sz val="12"/>
        <rFont val="Times New Roman CYR"/>
        <family val="1"/>
        <charset val="204"/>
      </rPr>
      <t xml:space="preserve">, </t>
    </r>
    <r>
      <rPr>
        <sz val="12"/>
        <rFont val="Times New Roman CYR"/>
        <charset val="204"/>
      </rPr>
      <t>А59</t>
    </r>
    <r>
      <rPr>
        <sz val="12"/>
        <rFont val="Times New Roman CYR"/>
        <family val="1"/>
        <charset val="204"/>
      </rPr>
      <t xml:space="preserve"> и </t>
    </r>
    <r>
      <rPr>
        <sz val="12"/>
        <rFont val="Times New Roman CYR"/>
        <charset val="204"/>
      </rPr>
      <t>A128</t>
    </r>
    <r>
      <rPr>
        <sz val="12"/>
        <rFont val="Times New Roman CYR"/>
        <family val="1"/>
        <charset val="204"/>
      </rPr>
      <t>, като клетките за попълване на числата за отстраняване на неравнението ще</t>
    </r>
  </si>
  <si>
    <r>
      <t>В таблица  '</t>
    </r>
    <r>
      <rPr>
        <i/>
        <sz val="12"/>
        <rFont val="Times New Roman CYR"/>
        <charset val="204"/>
      </rPr>
      <t>NF-KSF</t>
    </r>
    <r>
      <rPr>
        <sz val="12"/>
        <rFont val="Times New Roman CYR"/>
        <charset val="204"/>
      </rPr>
      <t>-TRIAL-BAL-2016' се попълват данните за операциите със средства на</t>
    </r>
  </si>
  <si>
    <r>
      <t xml:space="preserve">разходи, трансфери, активи, пасиви и задбалансови позиции </t>
    </r>
    <r>
      <rPr>
        <i/>
        <sz val="12"/>
        <rFont val="Times New Roman CYR"/>
        <charset val="204"/>
      </rPr>
      <t>(</t>
    </r>
    <r>
      <rPr>
        <sz val="12"/>
        <rFont val="Times New Roman CYR"/>
        <family val="1"/>
        <charset val="204"/>
      </rPr>
      <t xml:space="preserve">средствата по </t>
    </r>
    <r>
      <rPr>
        <i/>
        <sz val="12"/>
        <rFont val="Times New Roman CYR"/>
        <charset val="204"/>
      </rPr>
      <t>т. 2.1</t>
    </r>
    <r>
      <rPr>
        <sz val="12"/>
        <rFont val="Times New Roman CYR"/>
        <family val="1"/>
        <charset val="204"/>
      </rPr>
      <t xml:space="preserve">    от</t>
    </r>
  </si>
  <si>
    <r>
      <t>В таблица  '</t>
    </r>
    <r>
      <rPr>
        <i/>
        <sz val="12"/>
        <rFont val="Times New Roman CYR"/>
        <charset val="204"/>
      </rPr>
      <t>RA</t>
    </r>
    <r>
      <rPr>
        <sz val="12"/>
        <rFont val="Times New Roman CYR"/>
        <charset val="204"/>
      </rPr>
      <t>-TRIAL-BAL-2016' се попълват данните за операциите с администрираните от</t>
    </r>
  </si>
  <si>
    <r>
      <t>разходи, трансфери, активи, пасиви и задбалансови позиции</t>
    </r>
    <r>
      <rPr>
        <i/>
        <sz val="12"/>
        <rFont val="Times New Roman CYR"/>
        <charset val="204"/>
      </rPr>
      <t xml:space="preserve"> (</t>
    </r>
    <r>
      <rPr>
        <sz val="12"/>
        <rFont val="Times New Roman CYR"/>
        <family val="1"/>
        <charset val="204"/>
      </rPr>
      <t xml:space="preserve">средствата по </t>
    </r>
    <r>
      <rPr>
        <i/>
        <sz val="12"/>
        <rFont val="Times New Roman CYR"/>
        <charset val="204"/>
      </rPr>
      <t>т. 2.2</t>
    </r>
    <r>
      <rPr>
        <sz val="12"/>
        <rFont val="Times New Roman CYR"/>
        <family val="1"/>
        <charset val="204"/>
      </rPr>
      <t xml:space="preserve">    от</t>
    </r>
  </si>
  <si>
    <r>
      <t xml:space="preserve">и от съответните бенефициенти за тези средства. Тази таблица </t>
    </r>
    <r>
      <rPr>
        <i/>
        <u/>
        <sz val="12"/>
        <rFont val="Times New Roman CYR"/>
      </rPr>
      <t>не се попълва</t>
    </r>
    <r>
      <rPr>
        <sz val="12"/>
        <rFont val="Times New Roman CYR"/>
      </rPr>
      <t xml:space="preserve"> от НФ и бенефициентите</t>
    </r>
  </si>
  <si>
    <r>
      <t>за останалите средства на НФ</t>
    </r>
    <r>
      <rPr>
        <i/>
        <sz val="12"/>
        <rFont val="Times New Roman CYR"/>
        <charset val="204"/>
      </rPr>
      <t xml:space="preserve"> (</t>
    </r>
    <r>
      <rPr>
        <sz val="12"/>
        <rFont val="Times New Roman CYR"/>
        <family val="1"/>
        <charset val="204"/>
      </rPr>
      <t xml:space="preserve">средствата по </t>
    </r>
    <r>
      <rPr>
        <i/>
        <sz val="12"/>
        <rFont val="Times New Roman CYR"/>
        <charset val="204"/>
      </rPr>
      <t>т. 2.3</t>
    </r>
    <r>
      <rPr>
        <sz val="12"/>
        <rFont val="Times New Roman CYR"/>
        <family val="1"/>
        <charset val="204"/>
      </rPr>
      <t xml:space="preserve"> и</t>
    </r>
    <r>
      <rPr>
        <sz val="12"/>
        <rFont val="Times New Roman CYR"/>
        <charset val="204"/>
      </rPr>
      <t xml:space="preserve"> </t>
    </r>
    <r>
      <rPr>
        <i/>
        <sz val="12"/>
        <rFont val="Times New Roman CYR"/>
        <charset val="204"/>
      </rPr>
      <t>2.4</t>
    </r>
    <r>
      <rPr>
        <sz val="12"/>
        <rFont val="Times New Roman CYR"/>
        <family val="1"/>
        <charset val="204"/>
      </rPr>
      <t xml:space="preserve">    от</t>
    </r>
    <r>
      <rPr>
        <sz val="12"/>
        <color indexed="16"/>
        <rFont val="Times New Roman CYR"/>
        <charset val="204"/>
      </rPr>
      <t/>
    </r>
  </si>
  <si>
    <r>
      <t>таблици</t>
    </r>
    <r>
      <rPr>
        <i/>
        <sz val="12"/>
        <rFont val="Times New Roman Cyr"/>
        <family val="1"/>
        <charset val="204"/>
      </rPr>
      <t xml:space="preserve"> </t>
    </r>
  </si>
  <si>
    <r>
      <t xml:space="preserve">(виж </t>
    </r>
    <r>
      <rPr>
        <b/>
        <sz val="12"/>
        <rFont val="Times New Roman CYR"/>
        <charset val="204"/>
      </rPr>
      <t>т. 68</t>
    </r>
    <r>
      <rPr>
        <sz val="12"/>
        <rFont val="Times New Roman CYR"/>
        <family val="1"/>
        <charset val="204"/>
      </rPr>
      <t xml:space="preserve"> и </t>
    </r>
    <r>
      <rPr>
        <b/>
        <sz val="12"/>
        <rFont val="Times New Roman CYR"/>
        <charset val="204"/>
      </rPr>
      <t>69</t>
    </r>
    <r>
      <rPr>
        <sz val="12"/>
        <rFont val="Times New Roman CYR"/>
        <family val="1"/>
        <charset val="204"/>
      </rPr>
      <t xml:space="preserve"> по-долу)</t>
    </r>
  </si>
  <si>
    <r>
      <t xml:space="preserve">на разглеждане в писма на МФ </t>
    </r>
    <r>
      <rPr>
        <i/>
        <sz val="12"/>
        <rFont val="Times New Roman"/>
        <family val="1"/>
        <charset val="204"/>
      </rPr>
      <t xml:space="preserve">ДДС № 06/2008 г. </t>
    </r>
    <r>
      <rPr>
        <sz val="12"/>
        <rFont val="Times New Roman"/>
        <family val="1"/>
        <charset val="204"/>
      </rPr>
      <t>и</t>
    </r>
    <r>
      <rPr>
        <i/>
        <sz val="12"/>
        <rFont val="Times New Roman"/>
        <family val="1"/>
        <charset val="204"/>
      </rPr>
      <t xml:space="preserve"> ДДС № 07/2008 г.</t>
    </r>
  </si>
  <si>
    <r>
      <t>В таблица  '</t>
    </r>
    <r>
      <rPr>
        <i/>
        <sz val="12"/>
        <rFont val="Times New Roman CYR"/>
        <charset val="204"/>
      </rPr>
      <t>DES</t>
    </r>
    <r>
      <rPr>
        <sz val="12"/>
        <rFont val="Times New Roman CYR"/>
        <charset val="204"/>
      </rPr>
      <t xml:space="preserve">-TRIAL-BAL-2016' се попълват данните за всички други средства от Европейския съюз, </t>
    </r>
  </si>
  <si>
    <r>
      <t xml:space="preserve">съюз, посочени   в   </t>
    </r>
    <r>
      <rPr>
        <i/>
        <sz val="12"/>
        <rFont val="Times New Roman"/>
        <family val="1"/>
        <charset val="204"/>
      </rPr>
      <t>т. 2.3</t>
    </r>
    <r>
      <rPr>
        <sz val="12"/>
        <rFont val="Times New Roman CYR"/>
        <family val="1"/>
        <charset val="204"/>
      </rPr>
      <t xml:space="preserve">     от </t>
    </r>
  </si>
  <si>
    <r>
      <t xml:space="preserve">програми, посочени в  </t>
    </r>
    <r>
      <rPr>
        <i/>
        <sz val="12"/>
        <rFont val="Times New Roman"/>
        <family val="1"/>
        <charset val="204"/>
      </rPr>
      <t xml:space="preserve">т.  2.4 </t>
    </r>
    <r>
      <rPr>
        <sz val="12"/>
        <rFont val="Times New Roman"/>
        <family val="1"/>
        <charset val="204"/>
      </rPr>
      <t>и</t>
    </r>
    <r>
      <rPr>
        <i/>
        <sz val="12"/>
        <rFont val="Times New Roman"/>
        <family val="1"/>
        <charset val="204"/>
      </rPr>
      <t xml:space="preserve">  2.5</t>
    </r>
    <r>
      <rPr>
        <sz val="12"/>
        <rFont val="Times New Roman CYR"/>
        <family val="1"/>
        <charset val="204"/>
      </rPr>
      <t xml:space="preserve">    от  </t>
    </r>
  </si>
  <si>
    <r>
      <t>се включват автоматично в таблица</t>
    </r>
    <r>
      <rPr>
        <b/>
        <i/>
        <sz val="12"/>
        <rFont val="Times New Roman CYR"/>
        <charset val="204"/>
      </rPr>
      <t xml:space="preserve"> </t>
    </r>
    <r>
      <rPr>
        <i/>
        <sz val="12"/>
        <rFont val="Times New Roman CYR"/>
        <charset val="204"/>
      </rPr>
      <t>'TRIAL-BALANCE'</t>
    </r>
    <r>
      <rPr>
        <sz val="12"/>
        <rFont val="Times New Roman CYR"/>
        <family val="1"/>
        <charset val="204"/>
      </rPr>
      <t xml:space="preserve"> (виж </t>
    </r>
    <r>
      <rPr>
        <b/>
        <sz val="12"/>
        <rFont val="Times New Roman CYR"/>
        <family val="1"/>
        <charset val="204"/>
      </rPr>
      <t xml:space="preserve">т. 17 </t>
    </r>
    <r>
      <rPr>
        <sz val="12"/>
        <rFont val="Times New Roman CYR"/>
        <family val="1"/>
        <charset val="204"/>
      </rPr>
      <t>по-горе).</t>
    </r>
  </si>
  <si>
    <r>
      <t xml:space="preserve">така както е посочено по-горе в </t>
    </r>
    <r>
      <rPr>
        <b/>
        <sz val="12"/>
        <rFont val="Times New Roman CYR"/>
        <charset val="204"/>
      </rPr>
      <t>т. 27</t>
    </r>
    <r>
      <rPr>
        <sz val="12"/>
        <rFont val="Times New Roman CYR"/>
        <family val="1"/>
        <charset val="204"/>
      </rPr>
      <t xml:space="preserve"> и </t>
    </r>
    <r>
      <rPr>
        <b/>
        <sz val="12"/>
        <rFont val="Times New Roman CYR"/>
        <charset val="204"/>
      </rPr>
      <t>т. 28</t>
    </r>
    <r>
      <rPr>
        <sz val="12"/>
        <rFont val="Times New Roman CYR"/>
        <family val="1"/>
        <charset val="204"/>
      </rPr>
      <t>.</t>
    </r>
  </si>
  <si>
    <r>
      <t xml:space="preserve">Оборотните ведомости в тези четири таблици също се попълват </t>
    </r>
    <r>
      <rPr>
        <b/>
        <i/>
        <sz val="12"/>
        <rFont val="Times New Roman CYR"/>
      </rPr>
      <t>в лева (със стотинки)</t>
    </r>
    <r>
      <rPr>
        <sz val="12"/>
        <rFont val="Times New Roman CYR"/>
      </rPr>
      <t>.</t>
    </r>
  </si>
  <si>
    <t>ОУ "ПРОФЕСОР МАРИН ДРИНОВ"</t>
  </si>
  <si>
    <t xml:space="preserve">                              </t>
  </si>
  <si>
    <t xml:space="preserve">;                             </t>
  </si>
</sst>
</file>

<file path=xl/styles.xml><?xml version="1.0" encoding="utf-8"?>
<styleSheet xmlns="http://schemas.openxmlformats.org/spreadsheetml/2006/main">
  <numFmts count="70">
    <numFmt numFmtId="164" formatCode="#,##0;[Red]\(#,##0\)"/>
    <numFmt numFmtId="165" formatCode="0&quot; &quot;0&quot; &quot;0&quot; &quot;0"/>
    <numFmt numFmtId="166" formatCode="####"/>
    <numFmt numFmtId="167" formatCode="00##"/>
    <numFmt numFmtId="168" formatCode="#,##0.00;[Red]\(#,##0.00\)"/>
    <numFmt numFmtId="169" formatCode="&quot;x&quot;"/>
    <numFmt numFmtId="170" formatCode="&quot;Р-ел&quot;\ 0"/>
    <numFmt numFmtId="171" formatCode="#,##0.00;\(#,##0.00\)"/>
    <numFmt numFmtId="172" formatCode="0.000000000"/>
    <numFmt numFmtId="173" formatCode="0.0000000000"/>
    <numFmt numFmtId="174" formatCode="0&quot;.&quot;"/>
    <numFmt numFmtId="175" formatCode="0000&quot; г.&quot;"/>
    <numFmt numFmtId="176" formatCode="&quot;31.12.&quot;0000&quot; г.&quot;"/>
    <numFmt numFmtId="177" formatCode="000&quot; &quot;000&quot; &quot;000"/>
    <numFmt numFmtId="178" formatCode="&quot;към 31.12.&quot;0000&quot; г.&quot;"/>
    <numFmt numFmtId="179" formatCode="#,##0;\(#,##0\)"/>
    <numFmt numFmtId="180" formatCode="0000"/>
    <numFmt numFmtId="181" formatCode="0000&quot;)&quot;"/>
    <numFmt numFmtId="182" formatCode="00#"/>
    <numFmt numFmtId="183" formatCode="00"/>
    <numFmt numFmtId="184" formatCode="&quot;'Municipal-Bal-&quot;0000&quot;'&quot;"/>
    <numFmt numFmtId="185" formatCode="&quot;'Municipal-Bal-&quot;0000&quot;'!&quot;"/>
    <numFmt numFmtId="186" formatCode="&quot;'Intra-Balances-&quot;0000&quot;'&quot;"/>
    <numFmt numFmtId="187" formatCode="&quot;'Municipal-Bal-&quot;0000&quot;')!&quot;"/>
    <numFmt numFmtId="188" formatCode="&quot;'BALANCE-SHEET-&quot;0000&quot;-leva'&quot;"/>
    <numFmt numFmtId="189" formatCode="&quot;'Intra-Balances-&quot;0000&quot;'!&quot;"/>
    <numFmt numFmtId="190" formatCode="&quot;      'Intra-Balances-&quot;0000&quot;',&quot;"/>
    <numFmt numFmtId="191" formatCode="&quot; 'Intra-Balances-&quot;0000&quot;'&quot;"/>
    <numFmt numFmtId="192" formatCode="&quot;'Intra-Balances-&quot;0000&quot;',&quot;"/>
    <numFmt numFmtId="193" formatCode="&quot;''Income-&quot;0000&quot;-leva'&quot;"/>
    <numFmt numFmtId="194" formatCode="&quot;'Cash-deficit-&quot;0000&quot;'&quot;"/>
    <numFmt numFmtId="195" formatCode="&quot;'NF-KSF-TRIAL-BAL-&quot;0000&quot;'&quot;"/>
    <numFmt numFmtId="196" formatCode="&quot;'NF-KSF-TRIAL-BAL-&quot;0000&quot;',&quot;"/>
    <numFmt numFmtId="197" formatCode="&quot;'RA-TRIAL-BAL-&quot;0000&quot;',&quot;"/>
    <numFmt numFmtId="198" formatCode="&quot;'DES-TRIAL-BAL-&quot;0000&quot;'   и&quot;"/>
    <numFmt numFmtId="199" formatCode="&quot;'DMP-TRIAL-BAL-&quot;0000&quot;.&quot;"/>
    <numFmt numFmtId="200" formatCode="&quot;'Provisions-&quot;0000&quot;'&quot;"/>
    <numFmt numFmtId="201" formatCode="&quot;'R &amp; E data-&quot;0000&quot;'&quot;"/>
    <numFmt numFmtId="202" formatCode="&quot;'BALANCE-SHEET-&quot;0000&quot;'&quot;"/>
    <numFmt numFmtId="203" formatCode="&quot;'Municipal-Bal-&quot;0000&quot;')&quot;"/>
    <numFmt numFmtId="204" formatCode="&quot;'Income-&quot;0000&quot;'&quot;"/>
    <numFmt numFmtId="205" formatCode="&quot;'Income-&quot;0000&quot;-leva'    и&quot;"/>
    <numFmt numFmtId="206" formatCode="&quot;(таблица 'R &amp; E data-&quot;0000&quot;').&quot;"/>
    <numFmt numFmtId="207" formatCode="&quot;'Income-&quot;0000&quot;',&quot;"/>
    <numFmt numFmtId="208" formatCode="&quot;(таблица 'Income-&quot;0000&quot;-leva')&quot;"/>
    <numFmt numFmtId="209" formatCode="&quot;таблица  'Intra-Balances-&quot;0000&quot;'&quot;"/>
    <numFmt numFmtId="210" formatCode="&quot;'DMP-TRIAL-BAL-&quot;0000&quot;'&quot;"/>
    <numFmt numFmtId="211" formatCode="&quot;'RA-TRIAL-BAL-&quot;0000&quot;'&quot;"/>
    <numFmt numFmtId="212" formatCode="&quot;'DES-TRIAL-BAL-&quot;0000&quot;'       или&quot;"/>
    <numFmt numFmtId="213" formatCode="&quot;'DES-TRIAL-BAL-&quot;0000&quot;'&quot;"/>
    <numFmt numFmtId="214" formatCode="&quot;и 'DMP-TRIAL-BAL-&quot;0000&quot;'&quot;"/>
    <numFmt numFmtId="215" formatCode="dd\.mm\.yyyy\ &quot;г.&quot;;@"/>
    <numFmt numFmtId="216" formatCode="&quot;ДДС № 01/&quot;0000&quot; г.).&quot;"/>
    <numFmt numFmtId="217" formatCode="&quot;ДДС № 01/&quot;0000&quot; г.) - &quot;"/>
    <numFmt numFmtId="218" formatCode="&quot;ДДС № 01/&quot;0000&quot; г.&quot;"/>
    <numFmt numFmtId="219" formatCode="&quot;'BALANCE-SHEET-&quot;0000&quot;-leva',&quot;"/>
    <numFmt numFmtId="220" formatCode="&quot;'BALANCE-SHEET-&quot;0000&quot;',&quot;"/>
    <numFmt numFmtId="221" formatCode="&quot;'Income-&quot;0000&quot;'.&quot;"/>
    <numFmt numFmtId="222" formatCode="&quot;'Income-&quot;0000&quot;-leva'  и&quot;"/>
    <numFmt numFmtId="223" formatCode="&quot;и    'BALANCE-SHEET-&quot;0000&quot;',&quot;"/>
    <numFmt numFmtId="224" formatCode="&quot;и    'BALANCE-SHEET-&quot;0000&quot;'&quot;"/>
    <numFmt numFmtId="225" formatCode="&quot;'Income-&quot;0000&quot;-leva'&quot;"/>
    <numFmt numFmtId="226" formatCode="&quot;'Municipal-Bal-&quot;0000&quot;!&quot;"/>
    <numFmt numFmtId="227" formatCode="&quot;Данни от &quot;0000&quot; г.&quot;"/>
    <numFmt numFmtId="228" formatCode="&quot;за &quot;0000&quot; - ВЪВЕДИ ДАННИТЕ!&quot;"/>
    <numFmt numFmtId="229" formatCode="&quot;ИЗМЕНЕНИЕ ЗА &quot;0000&quot; г.&quot;"/>
    <numFmt numFmtId="230" formatCode="&quot;Начално салдо за &quot;0000&quot; г.&quot;"/>
    <numFmt numFmtId="231" formatCode="&quot;Крайно салдо за &quot;0000&quot; г. = &quot;"/>
    <numFmt numFmtId="232" formatCode="&quot;НАЧАЛНО САЛДО &quot;0000&quot; г.&quot;"/>
    <numFmt numFmtId="233" formatCode="&quot;МАКЕТ за &quot;0000&quot; г.&quot;"/>
  </numFmts>
  <fonts count="375">
    <font>
      <sz val="10"/>
      <name val="Arial"/>
      <charset val="204"/>
    </font>
    <font>
      <sz val="10"/>
      <name val="Arial"/>
      <family val="2"/>
      <charset val="204"/>
    </font>
    <font>
      <b/>
      <sz val="12"/>
      <name val="Times New Roman CYR"/>
      <family val="1"/>
      <charset val="204"/>
    </font>
    <font>
      <sz val="12"/>
      <name val="Times New Roman CYR"/>
      <family val="1"/>
      <charset val="204"/>
    </font>
    <font>
      <b/>
      <sz val="12"/>
      <color indexed="62"/>
      <name val="Times New Roman CYR"/>
      <family val="1"/>
      <charset val="204"/>
    </font>
    <font>
      <b/>
      <sz val="14"/>
      <color indexed="62"/>
      <name val="Times New Roman Cyr"/>
      <family val="1"/>
      <charset val="204"/>
    </font>
    <font>
      <b/>
      <i/>
      <sz val="12"/>
      <name val="Times New Roman CYR"/>
      <family val="1"/>
      <charset val="204"/>
    </font>
    <font>
      <sz val="10"/>
      <name val="Times New Roman Cyr"/>
      <family val="1"/>
      <charset val="204"/>
    </font>
    <font>
      <b/>
      <sz val="14"/>
      <name val="Times New Roman Cyr"/>
      <family val="1"/>
      <charset val="204"/>
    </font>
    <font>
      <b/>
      <sz val="11"/>
      <color indexed="62"/>
      <name val="Times New Roman CYR"/>
      <family val="1"/>
      <charset val="204"/>
    </font>
    <font>
      <sz val="14"/>
      <color indexed="20"/>
      <name val="Times New Roman CYR"/>
      <family val="1"/>
      <charset val="204"/>
    </font>
    <font>
      <sz val="10"/>
      <color indexed="62"/>
      <name val="Times New Roman CYR"/>
      <family val="1"/>
      <charset val="204"/>
    </font>
    <font>
      <b/>
      <sz val="10"/>
      <name val="Times New Roman CYR"/>
      <family val="1"/>
      <charset val="204"/>
    </font>
    <font>
      <b/>
      <i/>
      <sz val="10"/>
      <name val="Times New Roman CYR"/>
      <family val="1"/>
      <charset val="204"/>
    </font>
    <font>
      <b/>
      <i/>
      <sz val="14"/>
      <color indexed="20"/>
      <name val="Times New Roman CYR"/>
      <family val="1"/>
      <charset val="204"/>
    </font>
    <font>
      <sz val="14"/>
      <name val="Times New Roman CYR"/>
      <family val="1"/>
      <charset val="204"/>
    </font>
    <font>
      <b/>
      <sz val="12"/>
      <color indexed="20"/>
      <name val="Times New Roman CYR"/>
      <family val="1"/>
      <charset val="204"/>
    </font>
    <font>
      <sz val="12"/>
      <color indexed="20"/>
      <name val="Times New Roman CYR"/>
      <family val="1"/>
      <charset val="204"/>
    </font>
    <font>
      <b/>
      <i/>
      <sz val="12"/>
      <color indexed="10"/>
      <name val="Times New Roman CYR"/>
      <family val="1"/>
      <charset val="204"/>
    </font>
    <font>
      <b/>
      <i/>
      <sz val="12"/>
      <color indexed="18"/>
      <name val="Times New Roman CYR"/>
      <family val="1"/>
      <charset val="204"/>
    </font>
    <font>
      <b/>
      <i/>
      <sz val="12"/>
      <color indexed="20"/>
      <name val="Times New Roman CYR"/>
      <family val="1"/>
      <charset val="204"/>
    </font>
    <font>
      <sz val="10"/>
      <name val="Arial"/>
      <family val="2"/>
      <charset val="204"/>
    </font>
    <font>
      <b/>
      <sz val="11"/>
      <name val="Times New Roman CYR"/>
      <family val="1"/>
      <charset val="204"/>
    </font>
    <font>
      <b/>
      <i/>
      <sz val="14"/>
      <name val="Times New Roman CYR"/>
      <family val="1"/>
      <charset val="204"/>
    </font>
    <font>
      <b/>
      <sz val="16"/>
      <name val="Times New Roman CYR"/>
      <family val="1"/>
      <charset val="204"/>
    </font>
    <font>
      <b/>
      <sz val="9"/>
      <name val="Times New Roman CYR"/>
      <family val="1"/>
      <charset val="204"/>
    </font>
    <font>
      <b/>
      <i/>
      <sz val="10"/>
      <color indexed="12"/>
      <name val="Times New Roman CYR"/>
      <family val="1"/>
      <charset val="204"/>
    </font>
    <font>
      <b/>
      <sz val="10"/>
      <color indexed="20"/>
      <name val="Times New Roman Cyr"/>
      <family val="1"/>
      <charset val="204"/>
    </font>
    <font>
      <sz val="10"/>
      <color indexed="17"/>
      <name val="Times New Roman Cyr"/>
      <family val="1"/>
      <charset val="204"/>
    </font>
    <font>
      <b/>
      <i/>
      <sz val="11"/>
      <name val="Times New Roman CYR"/>
      <family val="1"/>
      <charset val="204"/>
    </font>
    <font>
      <sz val="12"/>
      <color indexed="9"/>
      <name val="Times New Roman CYR"/>
      <family val="1"/>
      <charset val="204"/>
    </font>
    <font>
      <sz val="12"/>
      <name val="Arial"/>
      <family val="2"/>
      <charset val="204"/>
    </font>
    <font>
      <b/>
      <sz val="14"/>
      <color indexed="20"/>
      <name val="Times New Roman CYR"/>
      <family val="1"/>
      <charset val="204"/>
    </font>
    <font>
      <b/>
      <sz val="10"/>
      <color indexed="81"/>
      <name val="Times New Roman Cyr"/>
      <family val="1"/>
      <charset val="204"/>
    </font>
    <font>
      <sz val="10"/>
      <color indexed="81"/>
      <name val="Times New Roman Cyr"/>
      <family val="1"/>
      <charset val="204"/>
    </font>
    <font>
      <b/>
      <sz val="10"/>
      <color indexed="10"/>
      <name val="Times New Roman Cyr"/>
      <family val="1"/>
      <charset val="204"/>
    </font>
    <font>
      <b/>
      <sz val="12"/>
      <color indexed="61"/>
      <name val="Times New Roman CYR"/>
      <family val="1"/>
      <charset val="204"/>
    </font>
    <font>
      <b/>
      <sz val="12"/>
      <color indexed="13"/>
      <name val="Times New Roman CYR"/>
      <family val="1"/>
      <charset val="204"/>
    </font>
    <font>
      <sz val="12"/>
      <color indexed="13"/>
      <name val="Times New Roman CYR"/>
      <family val="1"/>
      <charset val="204"/>
    </font>
    <font>
      <b/>
      <sz val="10"/>
      <color indexed="13"/>
      <name val="Times New Roman CYR"/>
      <family val="1"/>
      <charset val="204"/>
    </font>
    <font>
      <b/>
      <sz val="12"/>
      <color indexed="60"/>
      <name val="Times New Roman CYR"/>
      <family val="1"/>
      <charset val="204"/>
    </font>
    <font>
      <b/>
      <sz val="14"/>
      <color indexed="37"/>
      <name val="Times New Roman Cyr"/>
      <family val="1"/>
      <charset val="204"/>
    </font>
    <font>
      <b/>
      <i/>
      <sz val="14"/>
      <color indexed="37"/>
      <name val="Times New Roman Cyr"/>
      <family val="1"/>
      <charset val="204"/>
    </font>
    <font>
      <b/>
      <sz val="12"/>
      <color indexed="37"/>
      <name val="Times New Roman Cyr"/>
      <family val="1"/>
      <charset val="204"/>
    </font>
    <font>
      <sz val="12"/>
      <color indexed="37"/>
      <name val="Times New Roman Cyr"/>
      <family val="1"/>
      <charset val="204"/>
    </font>
    <font>
      <b/>
      <sz val="10"/>
      <color indexed="37"/>
      <name val="Times New Roman Cyr"/>
      <family val="1"/>
      <charset val="204"/>
    </font>
    <font>
      <b/>
      <i/>
      <sz val="12"/>
      <color indexed="13"/>
      <name val="Times New Roman CYR"/>
      <family val="1"/>
      <charset val="204"/>
    </font>
    <font>
      <sz val="12"/>
      <color indexed="62"/>
      <name val="Times New Roman CYR"/>
      <family val="1"/>
      <charset val="204"/>
    </font>
    <font>
      <b/>
      <sz val="12"/>
      <color indexed="18"/>
      <name val="Times New Roman CYR"/>
      <family val="1"/>
      <charset val="204"/>
    </font>
    <font>
      <b/>
      <sz val="14"/>
      <color indexed="18"/>
      <name val="Times New Roman CYR"/>
      <family val="1"/>
      <charset val="204"/>
    </font>
    <font>
      <b/>
      <sz val="10"/>
      <color indexed="12"/>
      <name val="Times New Roman Cyr"/>
      <family val="1"/>
      <charset val="204"/>
    </font>
    <font>
      <sz val="10"/>
      <color indexed="12"/>
      <name val="Times New Roman Cyr"/>
      <family val="1"/>
      <charset val="204"/>
    </font>
    <font>
      <sz val="9"/>
      <color indexed="81"/>
      <name val="Times New Roman Cyr"/>
      <family val="1"/>
      <charset val="204"/>
    </font>
    <font>
      <b/>
      <sz val="9"/>
      <color indexed="81"/>
      <name val="Times New Roman Cyr"/>
      <family val="1"/>
      <charset val="204"/>
    </font>
    <font>
      <b/>
      <i/>
      <sz val="10"/>
      <color indexed="60"/>
      <name val="Times New Roman CYR"/>
      <family val="1"/>
      <charset val="204"/>
    </font>
    <font>
      <sz val="10"/>
      <color indexed="37"/>
      <name val="Times New Roman Cyr"/>
      <family val="1"/>
      <charset val="204"/>
    </font>
    <font>
      <b/>
      <sz val="10"/>
      <color indexed="59"/>
      <name val="Times New Roman CYR"/>
      <family val="1"/>
      <charset val="204"/>
    </font>
    <font>
      <sz val="12"/>
      <color indexed="22"/>
      <name val="Times New Roman CYR"/>
      <family val="1"/>
      <charset val="204"/>
    </font>
    <font>
      <b/>
      <sz val="15"/>
      <name val="Times New Roman CYR"/>
      <family val="1"/>
      <charset val="204"/>
    </font>
    <font>
      <b/>
      <i/>
      <sz val="9"/>
      <color indexed="60"/>
      <name val="Times New Roman CYR"/>
      <family val="1"/>
      <charset val="204"/>
    </font>
    <font>
      <b/>
      <i/>
      <sz val="12"/>
      <name val="Times New Roman Cyr"/>
      <family val="1"/>
    </font>
    <font>
      <sz val="12"/>
      <name val="Times New Roman CYR"/>
      <family val="1"/>
    </font>
    <font>
      <b/>
      <sz val="12"/>
      <name val="Times New Roman Cyr"/>
      <family val="1"/>
    </font>
    <font>
      <b/>
      <i/>
      <sz val="12"/>
      <color indexed="10"/>
      <name val="Times New Roman CYR"/>
      <family val="1"/>
    </font>
    <font>
      <b/>
      <sz val="11"/>
      <name val="Times New Roman Cyr"/>
      <family val="1"/>
    </font>
    <font>
      <b/>
      <sz val="12"/>
      <color indexed="13"/>
      <name val="Times New Roman CYR"/>
      <family val="1"/>
    </font>
    <font>
      <sz val="10"/>
      <color indexed="13"/>
      <name val="Arial"/>
      <family val="2"/>
      <charset val="204"/>
    </font>
    <font>
      <b/>
      <sz val="12"/>
      <color indexed="10"/>
      <name val="Times New Roman CYR"/>
      <family val="1"/>
    </font>
    <font>
      <sz val="12"/>
      <color indexed="18"/>
      <name val="Times New Roman CYR"/>
      <family val="1"/>
    </font>
    <font>
      <b/>
      <i/>
      <sz val="14"/>
      <color indexed="10"/>
      <name val="Times New Roman CYR"/>
      <family val="1"/>
      <charset val="204"/>
    </font>
    <font>
      <b/>
      <sz val="12"/>
      <name val="Times New Roman CYR"/>
      <charset val="204"/>
    </font>
    <font>
      <b/>
      <i/>
      <sz val="10"/>
      <color indexed="12"/>
      <name val="Times New Roman CYR"/>
      <charset val="204"/>
    </font>
    <font>
      <b/>
      <i/>
      <sz val="12"/>
      <color indexed="10"/>
      <name val="Times New Roman"/>
      <family val="1"/>
      <charset val="204"/>
    </font>
    <font>
      <sz val="12"/>
      <name val="Times New Roman CYR"/>
      <charset val="204"/>
    </font>
    <font>
      <b/>
      <sz val="12"/>
      <color indexed="18"/>
      <name val="Times New Roman Cyr"/>
      <charset val="204"/>
    </font>
    <font>
      <i/>
      <sz val="12"/>
      <color indexed="20"/>
      <name val="Times New Roman CYR"/>
      <charset val="204"/>
    </font>
    <font>
      <b/>
      <i/>
      <sz val="12"/>
      <name val="Times New Roman CYR"/>
      <charset val="204"/>
    </font>
    <font>
      <i/>
      <sz val="12"/>
      <name val="Times New Roman CYR"/>
      <charset val="204"/>
    </font>
    <font>
      <sz val="9"/>
      <color indexed="81"/>
      <name val="Times New Roman"/>
      <family val="1"/>
      <charset val="204"/>
    </font>
    <font>
      <b/>
      <sz val="9"/>
      <color indexed="18"/>
      <name val="Times New Roman"/>
      <family val="1"/>
      <charset val="204"/>
    </font>
    <font>
      <sz val="9"/>
      <color indexed="18"/>
      <name val="Times New Roman"/>
      <family val="1"/>
      <charset val="204"/>
    </font>
    <font>
      <b/>
      <i/>
      <sz val="12"/>
      <name val="Times New Roman CYR"/>
    </font>
    <font>
      <sz val="10"/>
      <color indexed="10"/>
      <name val="Times New Roman Cyr"/>
    </font>
    <font>
      <b/>
      <sz val="10"/>
      <color indexed="10"/>
      <name val="Times New Roman Cyr"/>
    </font>
    <font>
      <b/>
      <i/>
      <sz val="14"/>
      <color indexed="18"/>
      <name val="Times New Roman Cyr"/>
    </font>
    <font>
      <sz val="12"/>
      <color indexed="18"/>
      <name val="Times New Roman CYR"/>
    </font>
    <font>
      <b/>
      <sz val="12"/>
      <color indexed="18"/>
      <name val="Times New Roman CYR"/>
    </font>
    <font>
      <i/>
      <sz val="12"/>
      <color indexed="18"/>
      <name val="Times New Roman CYR"/>
    </font>
    <font>
      <b/>
      <i/>
      <sz val="12"/>
      <color indexed="18"/>
      <name val="Times New Roman CYR"/>
    </font>
    <font>
      <b/>
      <sz val="11"/>
      <name val="Times New Roman CYR"/>
    </font>
    <font>
      <sz val="12"/>
      <name val="Times New Roman CYR"/>
    </font>
    <font>
      <sz val="12"/>
      <color indexed="18"/>
      <name val="Times New Roman CYR"/>
      <family val="1"/>
      <charset val="204"/>
    </font>
    <font>
      <b/>
      <sz val="11"/>
      <color indexed="18"/>
      <name val="Times New Roman CYR"/>
      <family val="1"/>
      <charset val="204"/>
    </font>
    <font>
      <b/>
      <sz val="12"/>
      <name val="Times New Roman CYR"/>
    </font>
    <font>
      <b/>
      <i/>
      <sz val="10"/>
      <color indexed="18"/>
      <name val="Times New Roman CYR"/>
    </font>
    <font>
      <b/>
      <i/>
      <sz val="10"/>
      <color indexed="58"/>
      <name val="Times New Roman CYR"/>
    </font>
    <font>
      <b/>
      <i/>
      <sz val="10"/>
      <color indexed="16"/>
      <name val="Times New Roman CYR"/>
    </font>
    <font>
      <b/>
      <sz val="10"/>
      <name val="Times New Roman CYR"/>
    </font>
    <font>
      <b/>
      <sz val="10"/>
      <color indexed="16"/>
      <name val="Times New Roman CYR"/>
    </font>
    <font>
      <b/>
      <sz val="10"/>
      <color indexed="18"/>
      <name val="Times New Roman CYR"/>
      <family val="1"/>
      <charset val="204"/>
    </font>
    <font>
      <b/>
      <i/>
      <sz val="14"/>
      <color indexed="18"/>
      <name val="Times New Roman CYR"/>
      <family val="1"/>
      <charset val="204"/>
    </font>
    <font>
      <sz val="10"/>
      <color indexed="18"/>
      <name val="Times New Roman Cyr"/>
      <family val="1"/>
      <charset val="204"/>
    </font>
    <font>
      <b/>
      <i/>
      <sz val="11"/>
      <color indexed="18"/>
      <name val="Times New Roman CYR"/>
    </font>
    <font>
      <sz val="10"/>
      <color indexed="58"/>
      <name val="Times New Roman Cyr"/>
    </font>
    <font>
      <sz val="10"/>
      <color indexed="16"/>
      <name val="Times New Roman Cyr"/>
    </font>
    <font>
      <b/>
      <sz val="10"/>
      <color indexed="18"/>
      <name val="Times New Roman Cyr"/>
    </font>
    <font>
      <sz val="10"/>
      <color indexed="18"/>
      <name val="Times New Roman Cyr"/>
    </font>
    <font>
      <b/>
      <sz val="9"/>
      <color indexed="18"/>
      <name val="Times New Roman Cyr"/>
    </font>
    <font>
      <b/>
      <sz val="9"/>
      <color indexed="10"/>
      <name val="Times New Roman Cyr"/>
    </font>
    <font>
      <b/>
      <i/>
      <sz val="12"/>
      <color indexed="16"/>
      <name val="Times New Roman CYR"/>
    </font>
    <font>
      <sz val="14"/>
      <color indexed="18"/>
      <name val="Times New Roman CYR"/>
      <family val="1"/>
      <charset val="204"/>
    </font>
    <font>
      <b/>
      <i/>
      <sz val="10"/>
      <color indexed="20"/>
      <name val="Times New Roman Cyr"/>
    </font>
    <font>
      <sz val="10"/>
      <name val="Times New Roman CYR"/>
    </font>
    <font>
      <i/>
      <u/>
      <sz val="10"/>
      <color indexed="10"/>
      <name val="Times New Roman Cyr"/>
    </font>
    <font>
      <i/>
      <u/>
      <sz val="10"/>
      <color indexed="18"/>
      <name val="Times New Roman Cyr"/>
    </font>
    <font>
      <sz val="10"/>
      <color indexed="81"/>
      <name val="Times New Roman Cyr"/>
    </font>
    <font>
      <b/>
      <i/>
      <sz val="10"/>
      <color indexed="10"/>
      <name val="Times New Roman CYR"/>
    </font>
    <font>
      <i/>
      <sz val="10"/>
      <color indexed="10"/>
      <name val="Times New Roman Cyr"/>
    </font>
    <font>
      <i/>
      <sz val="10"/>
      <color indexed="18"/>
      <name val="Times New Roman Cyr"/>
    </font>
    <font>
      <sz val="9"/>
      <color indexed="10"/>
      <name val="Times New Roman Cyr"/>
    </font>
    <font>
      <i/>
      <sz val="12"/>
      <color indexed="18"/>
      <name val="Times New Roman CYR"/>
      <charset val="204"/>
    </font>
    <font>
      <b/>
      <i/>
      <sz val="10"/>
      <color indexed="18"/>
      <name val="Times New Roman"/>
      <family val="1"/>
      <charset val="204"/>
    </font>
    <font>
      <b/>
      <i/>
      <sz val="14"/>
      <color indexed="16"/>
      <name val="Times New Roman Cyr"/>
      <family val="1"/>
      <charset val="204"/>
    </font>
    <font>
      <b/>
      <i/>
      <sz val="14"/>
      <color indexed="16"/>
      <name val="Times New Roman BOLD"/>
    </font>
    <font>
      <sz val="10"/>
      <color indexed="18"/>
      <name val="Arial"/>
      <family val="2"/>
      <charset val="204"/>
    </font>
    <font>
      <b/>
      <sz val="10"/>
      <color indexed="18"/>
      <name val="Times New Roman"/>
      <family val="1"/>
      <charset val="204"/>
    </font>
    <font>
      <b/>
      <i/>
      <sz val="12"/>
      <color indexed="10"/>
      <name val="Times New Roman CYR"/>
    </font>
    <font>
      <i/>
      <sz val="12"/>
      <name val="Times New Roman Cyr"/>
      <family val="1"/>
      <charset val="204"/>
    </font>
    <font>
      <i/>
      <sz val="10"/>
      <name val="Arial"/>
      <family val="2"/>
      <charset val="204"/>
    </font>
    <font>
      <sz val="10"/>
      <color indexed="81"/>
      <name val="Times New Roman"/>
      <family val="1"/>
      <charset val="204"/>
    </font>
    <font>
      <b/>
      <i/>
      <sz val="12"/>
      <color indexed="18"/>
      <name val="Times New Roman CYR"/>
      <charset val="204"/>
    </font>
    <font>
      <b/>
      <sz val="10"/>
      <color indexed="81"/>
      <name val="Times New Roman"/>
      <family val="1"/>
      <charset val="204"/>
    </font>
    <font>
      <b/>
      <sz val="12"/>
      <color indexed="81"/>
      <name val="Times New Roman"/>
      <family val="1"/>
      <charset val="204"/>
    </font>
    <font>
      <b/>
      <i/>
      <u/>
      <sz val="12"/>
      <color indexed="10"/>
      <name val="Times New Roman"/>
      <family val="1"/>
      <charset val="204"/>
    </font>
    <font>
      <b/>
      <i/>
      <sz val="12"/>
      <color indexed="18"/>
      <name val="Times New Roman"/>
      <family val="1"/>
      <charset val="204"/>
    </font>
    <font>
      <b/>
      <sz val="12"/>
      <color indexed="18"/>
      <name val="Times New Roman"/>
      <family val="1"/>
      <charset val="204"/>
    </font>
    <font>
      <b/>
      <sz val="12"/>
      <color indexed="10"/>
      <name val="Times New Roman"/>
      <family val="1"/>
      <charset val="204"/>
    </font>
    <font>
      <b/>
      <sz val="12"/>
      <name val="Times New Roman"/>
      <family val="1"/>
      <charset val="204"/>
    </font>
    <font>
      <b/>
      <i/>
      <sz val="10"/>
      <color indexed="18"/>
      <name val="Times New Roman CYR"/>
      <charset val="204"/>
    </font>
    <font>
      <b/>
      <i/>
      <sz val="10"/>
      <color indexed="16"/>
      <name val="Times New Roman CYR"/>
      <charset val="204"/>
    </font>
    <font>
      <b/>
      <sz val="12"/>
      <name val="Times New Roman Bold"/>
      <charset val="204"/>
    </font>
    <font>
      <b/>
      <sz val="12"/>
      <color indexed="16"/>
      <name val="Times New Roman CYR"/>
      <charset val="204"/>
    </font>
    <font>
      <i/>
      <sz val="12"/>
      <color indexed="16"/>
      <name val="Times New Roman CYR"/>
      <charset val="204"/>
    </font>
    <font>
      <b/>
      <i/>
      <sz val="10"/>
      <color indexed="10"/>
      <name val="Times New Roman"/>
      <family val="1"/>
      <charset val="204"/>
    </font>
    <font>
      <b/>
      <sz val="11"/>
      <name val="Times New Roman CYR"/>
      <charset val="204"/>
    </font>
    <font>
      <b/>
      <i/>
      <sz val="11"/>
      <color indexed="18"/>
      <name val="Times New Roman CYR"/>
      <charset val="204"/>
    </font>
    <font>
      <b/>
      <i/>
      <sz val="11"/>
      <color indexed="16"/>
      <name val="Times New Roman CYR"/>
      <charset val="204"/>
    </font>
    <font>
      <sz val="12"/>
      <name val="Times New Roman"/>
      <family val="1"/>
      <charset val="204"/>
    </font>
    <font>
      <b/>
      <i/>
      <sz val="12"/>
      <name val="Times New Roman"/>
      <family val="1"/>
      <charset val="204"/>
    </font>
    <font>
      <i/>
      <sz val="12"/>
      <color indexed="18"/>
      <name val="Times New Roman"/>
      <family val="1"/>
      <charset val="204"/>
    </font>
    <font>
      <sz val="12"/>
      <color indexed="18"/>
      <name val="Times New Roman"/>
      <family val="1"/>
      <charset val="204"/>
    </font>
    <font>
      <i/>
      <sz val="12"/>
      <color indexed="16"/>
      <name val="Times New Roman"/>
      <family val="1"/>
      <charset val="204"/>
    </font>
    <font>
      <b/>
      <i/>
      <sz val="10"/>
      <color indexed="81"/>
      <name val="Times New Roman"/>
      <family val="1"/>
      <charset val="204"/>
    </font>
    <font>
      <i/>
      <sz val="12"/>
      <name val="Times New Roman"/>
      <family val="1"/>
      <charset val="204"/>
    </font>
    <font>
      <b/>
      <i/>
      <sz val="12"/>
      <name val="Times New Roman Bold"/>
      <charset val="204"/>
    </font>
    <font>
      <b/>
      <i/>
      <sz val="12"/>
      <color indexed="20"/>
      <name val="Times New Roman CYR"/>
      <charset val="204"/>
    </font>
    <font>
      <b/>
      <sz val="12"/>
      <name val="Arial"/>
      <family val="2"/>
      <charset val="204"/>
    </font>
    <font>
      <b/>
      <sz val="10"/>
      <name val="Times New Roman"/>
      <family val="1"/>
      <charset val="204"/>
    </font>
    <font>
      <b/>
      <i/>
      <sz val="12"/>
      <color indexed="58"/>
      <name val="Times New Roman CYR"/>
      <charset val="204"/>
    </font>
    <font>
      <b/>
      <i/>
      <u/>
      <sz val="12"/>
      <name val="Times New Roman"/>
      <family val="1"/>
      <charset val="204"/>
    </font>
    <font>
      <b/>
      <sz val="10"/>
      <name val="Times New Roman CYR"/>
      <charset val="204"/>
    </font>
    <font>
      <b/>
      <i/>
      <sz val="12"/>
      <color indexed="16"/>
      <name val="Times New Roman CYR"/>
      <charset val="204"/>
    </font>
    <font>
      <b/>
      <i/>
      <sz val="12"/>
      <color indexed="10"/>
      <name val="Times New Roman CYR"/>
      <charset val="204"/>
    </font>
    <font>
      <i/>
      <u/>
      <sz val="12"/>
      <color indexed="10"/>
      <name val="Times New Roman"/>
      <family val="1"/>
      <charset val="204"/>
    </font>
    <font>
      <i/>
      <u/>
      <sz val="12"/>
      <name val="Times New Roman"/>
      <family val="1"/>
      <charset val="204"/>
    </font>
    <font>
      <b/>
      <sz val="11"/>
      <color indexed="13"/>
      <name val="Times New Roman CYR"/>
      <family val="1"/>
    </font>
    <font>
      <b/>
      <i/>
      <sz val="10"/>
      <name val="Times New Roman Cyr"/>
      <charset val="204"/>
    </font>
    <font>
      <sz val="10"/>
      <name val="Times New Roman CYR"/>
      <charset val="204"/>
    </font>
    <font>
      <i/>
      <sz val="10"/>
      <color indexed="20"/>
      <name val="Times New Roman Cyr"/>
      <charset val="204"/>
    </font>
    <font>
      <i/>
      <sz val="10"/>
      <name val="Times New Roman Cyr"/>
      <charset val="204"/>
    </font>
    <font>
      <b/>
      <i/>
      <sz val="10"/>
      <color indexed="10"/>
      <name val="Times New Roman Cyr"/>
      <charset val="204"/>
    </font>
    <font>
      <i/>
      <sz val="10"/>
      <color indexed="10"/>
      <name val="Times New Roman Cyr"/>
      <charset val="204"/>
    </font>
    <font>
      <b/>
      <sz val="10"/>
      <color indexed="18"/>
      <name val="Times New Roman CYR"/>
      <charset val="204"/>
    </font>
    <font>
      <b/>
      <i/>
      <sz val="12"/>
      <color indexed="16"/>
      <name val="Times New Roman"/>
      <family val="1"/>
      <charset val="204"/>
    </font>
    <font>
      <b/>
      <i/>
      <sz val="14"/>
      <color indexed="18"/>
      <name val="Times New Roman"/>
      <family val="1"/>
      <charset val="204"/>
    </font>
    <font>
      <sz val="12"/>
      <color indexed="13"/>
      <name val="Times New Roman"/>
      <family val="1"/>
      <charset val="204"/>
    </font>
    <font>
      <i/>
      <u/>
      <sz val="12"/>
      <color indexed="13"/>
      <name val="Times New Roman"/>
      <family val="1"/>
      <charset val="204"/>
    </font>
    <font>
      <i/>
      <sz val="12"/>
      <color indexed="13"/>
      <name val="Times New Roman"/>
      <family val="1"/>
      <charset val="204"/>
    </font>
    <font>
      <b/>
      <i/>
      <sz val="12"/>
      <color indexed="18"/>
      <name val="Times New Roman Bold"/>
      <charset val="204"/>
    </font>
    <font>
      <b/>
      <i/>
      <sz val="12"/>
      <color indexed="16"/>
      <name val="Times New Roman Bold"/>
      <charset val="204"/>
    </font>
    <font>
      <i/>
      <sz val="12"/>
      <color indexed="10"/>
      <name val="Times New Roman CYR"/>
      <charset val="204"/>
    </font>
    <font>
      <i/>
      <sz val="12"/>
      <name val="Arial"/>
      <family val="2"/>
      <charset val="204"/>
    </font>
    <font>
      <b/>
      <sz val="10"/>
      <name val="Arial"/>
      <family val="2"/>
      <charset val="204"/>
    </font>
    <font>
      <b/>
      <sz val="10"/>
      <color indexed="16"/>
      <name val="Times New Roman Cyr"/>
      <charset val="204"/>
    </font>
    <font>
      <b/>
      <sz val="9"/>
      <name val="Times New Roman Cyr"/>
      <charset val="204"/>
    </font>
    <font>
      <sz val="10"/>
      <name val="Times New Roman"/>
      <family val="1"/>
      <charset val="204"/>
    </font>
    <font>
      <i/>
      <u/>
      <sz val="12"/>
      <color indexed="18"/>
      <name val="Times New Roman"/>
      <family val="1"/>
      <charset val="204"/>
    </font>
    <font>
      <i/>
      <u/>
      <sz val="12"/>
      <color indexed="16"/>
      <name val="Times New Roman"/>
      <family val="1"/>
      <charset val="204"/>
    </font>
    <font>
      <b/>
      <i/>
      <sz val="11"/>
      <name val="Times New Roman"/>
      <family val="1"/>
      <charset val="204"/>
    </font>
    <font>
      <b/>
      <sz val="8"/>
      <name val="Times New Roman CYR"/>
      <family val="1"/>
      <charset val="204"/>
    </font>
    <font>
      <b/>
      <sz val="10"/>
      <name val="Times New Roman CYR"/>
      <family val="1"/>
    </font>
    <font>
      <b/>
      <i/>
      <sz val="14"/>
      <name val="Times New Roman Bold"/>
    </font>
    <font>
      <b/>
      <i/>
      <sz val="14"/>
      <name val="Times New Roman CYR"/>
      <charset val="204"/>
    </font>
    <font>
      <b/>
      <i/>
      <sz val="12"/>
      <name val="Times New Roman BOLD"/>
    </font>
    <font>
      <b/>
      <sz val="9"/>
      <name val="Times New Roman Cyr"/>
      <family val="1"/>
    </font>
    <font>
      <b/>
      <i/>
      <sz val="10"/>
      <color indexed="28"/>
      <name val="Times New Roman CYR"/>
      <charset val="204"/>
    </font>
    <font>
      <sz val="12"/>
      <color indexed="16"/>
      <name val="Times New Roman"/>
      <family val="1"/>
      <charset val="204"/>
    </font>
    <font>
      <b/>
      <sz val="12"/>
      <color indexed="10"/>
      <name val="Times New Roman CYR"/>
      <charset val="204"/>
    </font>
    <font>
      <i/>
      <sz val="11"/>
      <name val="Times New Roman CYR"/>
      <charset val="204"/>
    </font>
    <font>
      <sz val="10"/>
      <color indexed="18"/>
      <name val="Times New Roman Cyr"/>
      <charset val="204"/>
    </font>
    <font>
      <b/>
      <sz val="12"/>
      <color indexed="13"/>
      <name val="Times New Roman"/>
      <family val="1"/>
      <charset val="204"/>
    </font>
    <font>
      <sz val="12"/>
      <color indexed="16"/>
      <name val="Times New Roman CYR"/>
      <charset val="204"/>
    </font>
    <font>
      <sz val="12"/>
      <color indexed="20"/>
      <name val="Times New Roman CYR"/>
      <charset val="204"/>
    </font>
    <font>
      <sz val="12"/>
      <color indexed="10"/>
      <name val="Times New Roman CYR"/>
      <charset val="204"/>
    </font>
    <font>
      <i/>
      <u/>
      <sz val="12"/>
      <name val="Times New Roman CYR"/>
    </font>
    <font>
      <b/>
      <i/>
      <sz val="12"/>
      <color indexed="13"/>
      <name val="Times New Roman"/>
      <family val="1"/>
      <charset val="204"/>
    </font>
    <font>
      <b/>
      <i/>
      <sz val="12"/>
      <color indexed="13"/>
      <name val="Times New Roman Bold"/>
      <charset val="204"/>
    </font>
    <font>
      <sz val="10"/>
      <name val="Hebar"/>
      <charset val="204"/>
    </font>
    <font>
      <b/>
      <i/>
      <sz val="12"/>
      <color indexed="53"/>
      <name val="Times New Roman Bold"/>
    </font>
    <font>
      <b/>
      <i/>
      <sz val="12"/>
      <color indexed="53"/>
      <name val="Times New Roman CYR"/>
      <family val="1"/>
      <charset val="204"/>
    </font>
    <font>
      <sz val="10"/>
      <name val="Arial Cyr"/>
      <charset val="204"/>
    </font>
    <font>
      <b/>
      <i/>
      <sz val="14"/>
      <color indexed="10"/>
      <name val="Times New Roman Bold"/>
    </font>
    <font>
      <b/>
      <i/>
      <sz val="14"/>
      <color indexed="20"/>
      <name val="Times New Roman Bold"/>
    </font>
    <font>
      <b/>
      <i/>
      <sz val="14"/>
      <color indexed="20"/>
      <name val="Times New Roman CYR"/>
    </font>
    <font>
      <b/>
      <sz val="12"/>
      <color indexed="20"/>
      <name val="Times New Roman CYR"/>
    </font>
    <font>
      <b/>
      <i/>
      <sz val="13"/>
      <name val="Times New Roman CYR"/>
      <family val="1"/>
      <charset val="204"/>
    </font>
    <font>
      <b/>
      <i/>
      <sz val="12"/>
      <color indexed="12"/>
      <name val="Times New Roman CYR"/>
      <family val="1"/>
      <charset val="204"/>
    </font>
    <font>
      <strike/>
      <sz val="14"/>
      <color indexed="10"/>
      <name val="Times New Roman CYR"/>
      <family val="1"/>
      <charset val="204"/>
    </font>
    <font>
      <b/>
      <strike/>
      <sz val="14"/>
      <color indexed="18"/>
      <name val="Times New Roman Cyr"/>
      <family val="1"/>
      <charset val="204"/>
    </font>
    <font>
      <sz val="14"/>
      <name val="Times New Roman CYR"/>
      <charset val="204"/>
    </font>
    <font>
      <b/>
      <i/>
      <sz val="10"/>
      <color indexed="62"/>
      <name val="Times New Roman Cyr"/>
      <family val="1"/>
      <charset val="204"/>
    </font>
    <font>
      <b/>
      <i/>
      <sz val="10"/>
      <color indexed="81"/>
      <name val="Times New Roman Cyr"/>
      <family val="1"/>
      <charset val="204"/>
    </font>
    <font>
      <b/>
      <i/>
      <sz val="10"/>
      <color indexed="10"/>
      <name val="Times New Roman CYR"/>
      <family val="1"/>
      <charset val="204"/>
    </font>
    <font>
      <sz val="12"/>
      <color indexed="18"/>
      <name val="Times New Roman"/>
      <family val="1"/>
      <charset val="204"/>
    </font>
    <font>
      <sz val="11"/>
      <name val="Times New Roman CYR"/>
      <family val="1"/>
      <charset val="204"/>
    </font>
    <font>
      <i/>
      <sz val="12"/>
      <color indexed="18"/>
      <name val="Times New Roman"/>
      <family val="1"/>
      <charset val="204"/>
    </font>
    <font>
      <i/>
      <u/>
      <sz val="12"/>
      <color indexed="18"/>
      <name val="Times New Roman"/>
      <family val="1"/>
      <charset val="204"/>
    </font>
    <font>
      <i/>
      <u/>
      <sz val="12"/>
      <color indexed="10"/>
      <name val="Times New Roman"/>
      <family val="1"/>
      <charset val="204"/>
    </font>
    <font>
      <i/>
      <sz val="12"/>
      <color indexed="10"/>
      <name val="Times New Roman"/>
      <family val="1"/>
      <charset val="204"/>
    </font>
    <font>
      <i/>
      <u/>
      <sz val="10"/>
      <color indexed="10"/>
      <name val="Times New Roman"/>
      <family val="1"/>
      <charset val="204"/>
    </font>
    <font>
      <b/>
      <i/>
      <u/>
      <sz val="10"/>
      <color indexed="10"/>
      <name val="Times New Roman"/>
      <family val="1"/>
      <charset val="204"/>
    </font>
    <font>
      <b/>
      <sz val="11"/>
      <color indexed="18"/>
      <name val="Times New Roman CYR"/>
      <charset val="204"/>
    </font>
    <font>
      <i/>
      <sz val="12"/>
      <color indexed="16"/>
      <name val="Times New Roman"/>
      <family val="1"/>
      <charset val="204"/>
    </font>
    <font>
      <b/>
      <i/>
      <u/>
      <sz val="12"/>
      <color indexed="10"/>
      <name val="Times New Roman"/>
      <family val="1"/>
      <charset val="204"/>
    </font>
    <font>
      <b/>
      <sz val="12"/>
      <name val="Times New Roman Bold"/>
    </font>
    <font>
      <sz val="10"/>
      <color indexed="20"/>
      <name val="Times New Roman Cyr"/>
      <charset val="204"/>
    </font>
    <font>
      <b/>
      <sz val="9"/>
      <color indexed="18"/>
      <name val="Times New Roman CYR"/>
      <charset val="204"/>
    </font>
    <font>
      <b/>
      <sz val="11"/>
      <name val="Times New Roman"/>
      <family val="1"/>
      <charset val="204"/>
    </font>
    <font>
      <b/>
      <sz val="13"/>
      <name val="Times New Roman CYR"/>
      <family val="1"/>
      <charset val="204"/>
    </font>
    <font>
      <b/>
      <sz val="13"/>
      <color indexed="18"/>
      <name val="Times New Roman CYR"/>
      <family val="1"/>
      <charset val="204"/>
    </font>
    <font>
      <b/>
      <sz val="12"/>
      <color indexed="12"/>
      <name val="Times New Roman CYR"/>
      <family val="1"/>
      <charset val="204"/>
    </font>
    <font>
      <i/>
      <u/>
      <sz val="12"/>
      <name val="Times New Roman CYR"/>
      <charset val="204"/>
    </font>
    <font>
      <sz val="11"/>
      <name val="Times New Roman"/>
      <family val="1"/>
      <charset val="204"/>
    </font>
    <font>
      <b/>
      <sz val="11"/>
      <color indexed="16"/>
      <name val="Times New Roman Cyr"/>
      <charset val="204"/>
    </font>
    <font>
      <sz val="10"/>
      <color indexed="81"/>
      <name val="Times New Roman Cyr"/>
      <charset val="204"/>
    </font>
    <font>
      <b/>
      <sz val="10"/>
      <color indexed="81"/>
      <name val="Times New Roman Cyr"/>
      <charset val="204"/>
    </font>
    <font>
      <b/>
      <i/>
      <sz val="10"/>
      <color indexed="81"/>
      <name val="Times New Roman Cyr"/>
      <charset val="204"/>
    </font>
    <font>
      <b/>
      <i/>
      <u/>
      <sz val="10"/>
      <color indexed="10"/>
      <name val="Times New Roman Cyr"/>
      <charset val="204"/>
    </font>
    <font>
      <b/>
      <sz val="11"/>
      <color indexed="10"/>
      <name val="Times New Roman Cyr"/>
      <charset val="204"/>
    </font>
    <font>
      <sz val="12"/>
      <color indexed="16"/>
      <name val="Times New Roman"/>
      <family val="1"/>
      <charset val="204"/>
    </font>
    <font>
      <b/>
      <sz val="12"/>
      <color indexed="13"/>
      <name val="Times New Roman CYR"/>
      <charset val="204"/>
    </font>
    <font>
      <sz val="11"/>
      <name val="Times New Roman Cyr"/>
      <charset val="204"/>
    </font>
    <font>
      <sz val="9"/>
      <color indexed="18"/>
      <name val="Times New Roman CYR"/>
      <family val="1"/>
      <charset val="204"/>
    </font>
    <font>
      <sz val="9"/>
      <color indexed="37"/>
      <name val="Times New Roman Cyr"/>
      <family val="1"/>
      <charset val="204"/>
    </font>
    <font>
      <sz val="9"/>
      <name val="Times New Roman Cyr"/>
      <family val="1"/>
      <charset val="204"/>
    </font>
    <font>
      <sz val="12"/>
      <color indexed="13"/>
      <name val="Times New Roman"/>
      <family val="1"/>
      <charset val="204"/>
    </font>
    <font>
      <b/>
      <sz val="12"/>
      <color indexed="20"/>
      <name val="Times New Roman Cyr"/>
      <charset val="204"/>
    </font>
    <font>
      <sz val="11"/>
      <color indexed="18"/>
      <name val="Times New Roman Cyr"/>
      <charset val="204"/>
    </font>
    <font>
      <i/>
      <u/>
      <sz val="12"/>
      <color indexed="10"/>
      <name val="Times New Roman"/>
      <family val="1"/>
      <charset val="204"/>
    </font>
    <font>
      <i/>
      <sz val="12"/>
      <color indexed="10"/>
      <name val="Times New Roman"/>
      <family val="1"/>
      <charset val="204"/>
    </font>
    <font>
      <sz val="12"/>
      <color indexed="10"/>
      <name val="Times New Roman"/>
      <family val="1"/>
      <charset val="204"/>
    </font>
    <font>
      <sz val="12"/>
      <color indexed="10"/>
      <name val="Times New Roman"/>
      <family val="1"/>
      <charset val="204"/>
    </font>
    <font>
      <b/>
      <sz val="12"/>
      <color indexed="16"/>
      <name val="Times New Roman CYR"/>
      <charset val="204"/>
    </font>
    <font>
      <b/>
      <sz val="11"/>
      <color indexed="16"/>
      <name val="Times New Roman Cyr"/>
      <charset val="204"/>
    </font>
    <font>
      <b/>
      <sz val="12"/>
      <color indexed="20"/>
      <name val="Times New Roman"/>
      <family val="1"/>
      <charset val="204"/>
    </font>
    <font>
      <b/>
      <i/>
      <u/>
      <sz val="12"/>
      <color indexed="10"/>
      <name val="Times New Roman CYR"/>
      <charset val="204"/>
    </font>
    <font>
      <b/>
      <i/>
      <sz val="11"/>
      <name val="Times New Roman CYR"/>
    </font>
    <font>
      <b/>
      <i/>
      <sz val="11"/>
      <name val="Times New Roman CYR"/>
      <charset val="204"/>
    </font>
    <font>
      <b/>
      <i/>
      <sz val="12"/>
      <color indexed="16"/>
      <name val="Times New Roman"/>
      <family val="1"/>
      <charset val="204"/>
    </font>
    <font>
      <sz val="12"/>
      <color indexed="18"/>
      <name val="Times New Roman Cyr"/>
      <charset val="204"/>
    </font>
    <font>
      <i/>
      <sz val="12"/>
      <name val="Times New Roman CYR"/>
    </font>
    <font>
      <u/>
      <sz val="10"/>
      <color theme="10"/>
      <name val="Arial"/>
      <family val="2"/>
      <charset val="204"/>
    </font>
    <font>
      <sz val="12"/>
      <color rgb="FF660066"/>
      <name val="Times New Roman CYR"/>
      <family val="1"/>
      <charset val="204"/>
    </font>
    <font>
      <sz val="10"/>
      <color rgb="FF660066"/>
      <name val="Arial"/>
      <family val="2"/>
      <charset val="204"/>
    </font>
    <font>
      <b/>
      <sz val="14"/>
      <color rgb="FF800000"/>
      <name val="Times New Roman CYR"/>
      <family val="1"/>
      <charset val="204"/>
    </font>
    <font>
      <b/>
      <sz val="12"/>
      <color rgb="FF000099"/>
      <name val="Times New Roman Cyr"/>
      <family val="1"/>
      <charset val="204"/>
    </font>
    <font>
      <b/>
      <sz val="12"/>
      <color rgb="FF800080"/>
      <name val="Times New Roman Cyr"/>
      <family val="1"/>
      <charset val="204"/>
    </font>
    <font>
      <b/>
      <sz val="12"/>
      <color rgb="FFA50021"/>
      <name val="Times New Roman Cyr"/>
      <family val="1"/>
      <charset val="204"/>
    </font>
    <font>
      <b/>
      <sz val="12"/>
      <color rgb="FF800000"/>
      <name val="Times New Roman CYR"/>
      <family val="1"/>
      <charset val="204"/>
    </font>
    <font>
      <b/>
      <sz val="10"/>
      <color rgb="FF800080"/>
      <name val="Times New Roman CYR"/>
      <family val="1"/>
      <charset val="204"/>
    </font>
    <font>
      <b/>
      <sz val="12"/>
      <color rgb="FF800000"/>
      <name val="Times New Roman CYR"/>
      <charset val="204"/>
    </font>
    <font>
      <b/>
      <i/>
      <sz val="11"/>
      <color rgb="FF800000"/>
      <name val="Times New Roman CYR"/>
    </font>
    <font>
      <sz val="11"/>
      <color rgb="FF800000"/>
      <name val="Times New Roman CYR"/>
    </font>
    <font>
      <b/>
      <sz val="10"/>
      <color rgb="FF800000"/>
      <name val="Times New Roman Cyr"/>
      <family val="1"/>
      <charset val="204"/>
    </font>
    <font>
      <b/>
      <i/>
      <sz val="12"/>
      <color rgb="FF800000"/>
      <name val="Times New Roman Cyr"/>
      <family val="1"/>
      <charset val="204"/>
    </font>
    <font>
      <sz val="12"/>
      <color rgb="FF000099"/>
      <name val="Arial"/>
      <family val="2"/>
      <charset val="204"/>
    </font>
    <font>
      <b/>
      <i/>
      <sz val="10"/>
      <color rgb="FF800000"/>
      <name val="Times New Roman CYR"/>
    </font>
    <font>
      <b/>
      <i/>
      <sz val="14"/>
      <color rgb="FFA50021"/>
      <name val="Times New Roman Bold"/>
      <charset val="204"/>
    </font>
    <font>
      <b/>
      <sz val="14"/>
      <color rgb="FFA50021"/>
      <name val="Times New Roman CYR"/>
      <family val="1"/>
      <charset val="204"/>
    </font>
    <font>
      <b/>
      <i/>
      <sz val="11"/>
      <color rgb="FF800000"/>
      <name val="Times New Roman Cyr"/>
      <family val="1"/>
      <charset val="204"/>
    </font>
    <font>
      <b/>
      <i/>
      <sz val="12"/>
      <color rgb="FF800080"/>
      <name val="Times New Roman Cyr"/>
      <family val="1"/>
      <charset val="204"/>
    </font>
    <font>
      <b/>
      <sz val="12"/>
      <color rgb="FF000099"/>
      <name val="Times New Roman CYR"/>
      <charset val="204"/>
    </font>
    <font>
      <b/>
      <i/>
      <sz val="11"/>
      <color rgb="FF000099"/>
      <name val="Times New Roman CYR"/>
    </font>
    <font>
      <sz val="10"/>
      <color rgb="FF000099"/>
      <name val="Times New Roman Cyr"/>
      <family val="1"/>
      <charset val="204"/>
    </font>
    <font>
      <b/>
      <i/>
      <sz val="14"/>
      <color rgb="FF000099"/>
      <name val="Times New Roman Cyr"/>
      <family val="1"/>
      <charset val="204"/>
    </font>
    <font>
      <b/>
      <sz val="14"/>
      <color rgb="FF000099"/>
      <name val="Times New Roman Cyr"/>
      <family val="1"/>
      <charset val="204"/>
    </font>
    <font>
      <b/>
      <i/>
      <sz val="14"/>
      <color rgb="FF000099"/>
      <name val="Times New Roman"/>
      <family val="1"/>
      <charset val="204"/>
    </font>
    <font>
      <b/>
      <sz val="10"/>
      <color rgb="FF000099"/>
      <name val="Times New Roman CYR"/>
      <charset val="204"/>
    </font>
    <font>
      <b/>
      <sz val="11"/>
      <color rgb="FFFFFF00"/>
      <name val="Times New Roman CYR"/>
      <family val="1"/>
    </font>
    <font>
      <b/>
      <i/>
      <sz val="12"/>
      <color rgb="FF000099"/>
      <name val="Times New Roman CYR"/>
      <charset val="204"/>
    </font>
    <font>
      <b/>
      <sz val="12"/>
      <color theme="0"/>
      <name val="Times New Roman Cyr"/>
      <charset val="204"/>
    </font>
    <font>
      <b/>
      <sz val="10"/>
      <color rgb="FF800000"/>
      <name val="Times New Roman Cyr"/>
      <charset val="204"/>
    </font>
    <font>
      <b/>
      <sz val="12"/>
      <color theme="0" tint="-0.24994659260841701"/>
      <name val="Times New Roman Cyr"/>
      <charset val="204"/>
    </font>
    <font>
      <b/>
      <sz val="10"/>
      <color theme="0" tint="-0.24994659260841701"/>
      <name val="Times New Roman Cyr"/>
      <charset val="204"/>
    </font>
    <font>
      <b/>
      <sz val="9"/>
      <color theme="0" tint="-0.24994659260841701"/>
      <name val="Times New Roman Cyr"/>
      <charset val="204"/>
    </font>
    <font>
      <b/>
      <sz val="10"/>
      <color theme="0"/>
      <name val="Times New Roman Cyr"/>
      <charset val="204"/>
    </font>
    <font>
      <b/>
      <i/>
      <sz val="12"/>
      <color rgb="FFFFFF00"/>
      <name val="Times New Roman CYR"/>
      <charset val="204"/>
    </font>
    <font>
      <sz val="10"/>
      <color rgb="FFFF0000"/>
      <name val="Cambria"/>
      <family val="1"/>
      <charset val="204"/>
    </font>
    <font>
      <b/>
      <sz val="10"/>
      <color rgb="FFFF0000"/>
      <name val="Times New Roman"/>
      <family val="1"/>
      <charset val="204"/>
    </font>
    <font>
      <b/>
      <sz val="12"/>
      <color rgb="FF000099"/>
      <name val="Times New Roman"/>
      <family val="1"/>
      <charset val="204"/>
    </font>
    <font>
      <b/>
      <sz val="10"/>
      <color rgb="FF000099"/>
      <name val="Times New Roman"/>
      <family val="1"/>
      <charset val="204"/>
    </font>
    <font>
      <b/>
      <sz val="10"/>
      <color rgb="FFA50021"/>
      <name val="Times New Roman"/>
      <family val="1"/>
      <charset val="204"/>
    </font>
    <font>
      <b/>
      <i/>
      <sz val="12"/>
      <color rgb="FF000099"/>
      <name val="Times New Roman Bold"/>
      <charset val="204"/>
    </font>
    <font>
      <sz val="12"/>
      <color rgb="FF000099"/>
      <name val="Times New Roman CYR"/>
      <charset val="204"/>
    </font>
    <font>
      <b/>
      <sz val="12"/>
      <color theme="0" tint="-0.24994659260841701"/>
      <name val="Times New Roman"/>
      <family val="1"/>
      <charset val="204"/>
    </font>
    <font>
      <b/>
      <sz val="12"/>
      <color theme="0" tint="-0.249977111117893"/>
      <name val="Times New Roman"/>
      <family val="1"/>
      <charset val="204"/>
    </font>
    <font>
      <b/>
      <sz val="8"/>
      <color rgb="FF800000"/>
      <name val="Times New Roman CYR"/>
      <family val="1"/>
      <charset val="204"/>
    </font>
    <font>
      <b/>
      <sz val="11"/>
      <color rgb="FF800000"/>
      <name val="Times New Roman CYR"/>
      <family val="1"/>
      <charset val="204"/>
    </font>
    <font>
      <b/>
      <i/>
      <sz val="10"/>
      <color rgb="FF660066"/>
      <name val="Times New Roman CYR"/>
      <family val="1"/>
      <charset val="204"/>
    </font>
    <font>
      <b/>
      <i/>
      <sz val="10"/>
      <color rgb="FF003300"/>
      <name val="Times New Roman Cyr"/>
      <charset val="204"/>
    </font>
    <font>
      <sz val="12"/>
      <color rgb="FFFFFF00"/>
      <name val="Times New Roman"/>
      <family val="1"/>
      <charset val="204"/>
    </font>
    <font>
      <b/>
      <sz val="12"/>
      <color rgb="FFFFFF00"/>
      <name val="Times New Roman"/>
      <family val="1"/>
      <charset val="204"/>
    </font>
    <font>
      <sz val="10"/>
      <color rgb="FFFFFF00"/>
      <name val="Arial"/>
      <family val="2"/>
      <charset val="204"/>
    </font>
    <font>
      <sz val="12"/>
      <color theme="0"/>
      <name val="Times New Roman CYR"/>
    </font>
    <font>
      <b/>
      <sz val="12"/>
      <color theme="0"/>
      <name val="Times New Roman CYR"/>
    </font>
    <font>
      <b/>
      <sz val="10"/>
      <color theme="0" tint="-0.249977111117893"/>
      <name val="Times New Roman Cyr"/>
      <charset val="204"/>
    </font>
    <font>
      <b/>
      <sz val="12"/>
      <color theme="0" tint="-0.249977111117893"/>
      <name val="Times New Roman Cyr"/>
      <charset val="204"/>
    </font>
    <font>
      <b/>
      <sz val="12"/>
      <color theme="0"/>
      <name val="Times New Roman CYR"/>
      <family val="1"/>
      <charset val="204"/>
    </font>
    <font>
      <b/>
      <i/>
      <sz val="12"/>
      <color rgb="FF800000"/>
      <name val="Times New Roman CYR"/>
      <charset val="204"/>
    </font>
    <font>
      <i/>
      <sz val="12"/>
      <color rgb="FFFFFF00"/>
      <name val="Times New Roman"/>
      <family val="1"/>
      <charset val="204"/>
    </font>
    <font>
      <b/>
      <sz val="12"/>
      <color rgb="FFFFFF99"/>
      <name val="Times New Roman CYR"/>
      <charset val="204"/>
    </font>
    <font>
      <b/>
      <sz val="12"/>
      <color rgb="FFE6FFB3"/>
      <name val="Times New Roman CYR"/>
      <family val="1"/>
      <charset val="204"/>
    </font>
    <font>
      <b/>
      <sz val="12"/>
      <color rgb="FFFFFF99"/>
      <name val="Times New Roman CYR"/>
      <family val="1"/>
      <charset val="204"/>
    </font>
    <font>
      <b/>
      <sz val="12"/>
      <color rgb="FFFFFFCC"/>
      <name val="Times New Roman CYR"/>
      <family val="1"/>
      <charset val="204"/>
    </font>
    <font>
      <b/>
      <i/>
      <sz val="12"/>
      <color rgb="FFFF0000"/>
      <name val="Times New Roman"/>
      <family val="1"/>
      <charset val="204"/>
    </font>
    <font>
      <b/>
      <sz val="10"/>
      <color rgb="FFFFFF99"/>
      <name val="Arial"/>
      <family val="2"/>
      <charset val="204"/>
    </font>
    <font>
      <sz val="12"/>
      <color rgb="FF000099"/>
      <name val="Times New Roman"/>
      <family val="1"/>
      <charset val="204"/>
    </font>
    <font>
      <sz val="10"/>
      <color rgb="FF000099"/>
      <name val="Arial"/>
      <family val="2"/>
      <charset val="204"/>
    </font>
    <font>
      <b/>
      <sz val="12"/>
      <color theme="0" tint="-0.249977111117893"/>
      <name val="Times New Roman CYR"/>
      <family val="1"/>
      <charset val="204"/>
    </font>
    <font>
      <sz val="12"/>
      <color theme="0" tint="-0.249977111117893"/>
      <name val="Times New Roman"/>
      <family val="1"/>
      <charset val="204"/>
    </font>
    <font>
      <sz val="12"/>
      <color theme="0" tint="-0.14996795556505021"/>
      <name val="Times New Roman"/>
      <family val="1"/>
      <charset val="204"/>
    </font>
    <font>
      <sz val="12"/>
      <color theme="0" tint="-0.14999847407452621"/>
      <name val="Times New Roman"/>
      <family val="1"/>
      <charset val="204"/>
    </font>
    <font>
      <i/>
      <u/>
      <sz val="12"/>
      <color rgb="FFFFFF00"/>
      <name val="Times New Roman"/>
      <family val="1"/>
      <charset val="204"/>
    </font>
    <font>
      <i/>
      <u/>
      <sz val="12"/>
      <color rgb="FF000099"/>
      <name val="Times New Roman"/>
      <family val="1"/>
      <charset val="204"/>
    </font>
    <font>
      <b/>
      <sz val="11"/>
      <color rgb="FF800000"/>
      <name val="Times New Roman Cyr"/>
      <charset val="204"/>
    </font>
    <font>
      <b/>
      <sz val="11"/>
      <color rgb="FFFF0000"/>
      <name val="Times New Roman Cyr"/>
      <charset val="204"/>
    </font>
    <font>
      <i/>
      <u/>
      <sz val="12"/>
      <color rgb="FFFF0000"/>
      <name val="Times New Roman"/>
      <family val="1"/>
      <charset val="204"/>
    </font>
    <font>
      <b/>
      <sz val="11"/>
      <color rgb="FFA50021"/>
      <name val="Times New Roman Cyr"/>
      <charset val="204"/>
    </font>
    <font>
      <b/>
      <sz val="11"/>
      <color theme="0" tint="-0.249977111117893"/>
      <name val="Times New Roman"/>
      <family val="1"/>
      <charset val="204"/>
    </font>
    <font>
      <sz val="11"/>
      <color rgb="FF800000"/>
      <name val="Times New Roman"/>
      <family val="1"/>
      <charset val="204"/>
    </font>
    <font>
      <sz val="11"/>
      <color rgb="FF000099"/>
      <name val="Times New Roman"/>
      <family val="1"/>
      <charset val="204"/>
    </font>
    <font>
      <sz val="11"/>
      <color theme="0" tint="-0.249977111117893"/>
      <name val="Times New Roman"/>
      <family val="1"/>
      <charset val="204"/>
    </font>
    <font>
      <sz val="10"/>
      <color theme="0" tint="-0.249977111117893"/>
      <name val="Times New Roman"/>
      <family val="1"/>
      <charset val="204"/>
    </font>
    <font>
      <b/>
      <sz val="10"/>
      <color theme="0" tint="-0.249977111117893"/>
      <name val="Times New Roman"/>
      <family val="1"/>
      <charset val="204"/>
    </font>
    <font>
      <b/>
      <sz val="10"/>
      <color rgb="FFFFFF00"/>
      <name val="Times New Roman Cyr"/>
      <charset val="204"/>
    </font>
    <font>
      <u/>
      <sz val="11"/>
      <color theme="10"/>
      <name val="Arial"/>
      <family val="2"/>
      <charset val="204"/>
    </font>
    <font>
      <i/>
      <sz val="10"/>
      <color rgb="FF000099"/>
      <name val="Times New Roman CYR"/>
      <charset val="204"/>
    </font>
    <font>
      <i/>
      <sz val="12"/>
      <color rgb="FF000099"/>
      <name val="Times New Roman CYR"/>
      <charset val="204"/>
    </font>
    <font>
      <i/>
      <sz val="11"/>
      <color rgb="FF000099"/>
      <name val="Times New Roman CYR"/>
      <charset val="204"/>
    </font>
    <font>
      <b/>
      <sz val="10"/>
      <color theme="0" tint="-0.24994659260841701"/>
      <name val="Times New Roman"/>
      <family val="1"/>
      <charset val="204"/>
    </font>
    <font>
      <i/>
      <sz val="12"/>
      <color rgb="FF000099"/>
      <name val="Times New Roman"/>
      <family val="1"/>
      <charset val="204"/>
    </font>
    <font>
      <i/>
      <u/>
      <sz val="11"/>
      <color rgb="FFFFFF00"/>
      <name val="Times New Roman"/>
      <family val="1"/>
      <charset val="204"/>
    </font>
    <font>
      <sz val="11"/>
      <color rgb="FF000099"/>
      <name val="Times New Roman Cyr"/>
      <charset val="204"/>
    </font>
    <font>
      <b/>
      <sz val="10"/>
      <color rgb="FFFFFFCC"/>
      <name val="Times New Roman CYR"/>
      <family val="1"/>
      <charset val="204"/>
    </font>
    <font>
      <b/>
      <sz val="11"/>
      <color rgb="FFFFFFCC"/>
      <name val="Times New Roman CYR"/>
      <charset val="204"/>
    </font>
    <font>
      <b/>
      <sz val="8"/>
      <color theme="0"/>
      <name val="Times New Roman CYR"/>
      <family val="1"/>
      <charset val="204"/>
    </font>
    <font>
      <b/>
      <sz val="11"/>
      <color theme="0"/>
      <name val="Times New Roman CYR"/>
      <charset val="204"/>
    </font>
    <font>
      <b/>
      <sz val="11"/>
      <color rgb="FFEEFEC6"/>
      <name val="Times New Roman CYR"/>
      <charset val="204"/>
    </font>
    <font>
      <sz val="10"/>
      <color theme="0" tint="-0.249977111117893"/>
      <name val="Times New Roman Cyr"/>
      <family val="1"/>
      <charset val="204"/>
    </font>
    <font>
      <b/>
      <sz val="10"/>
      <color theme="0" tint="-0.14999847407452621"/>
      <name val="Times New Roman Cyr"/>
      <charset val="204"/>
    </font>
    <font>
      <b/>
      <i/>
      <sz val="12"/>
      <color rgb="FF660066"/>
      <name val="Times New Roman Cyr"/>
    </font>
    <font>
      <b/>
      <sz val="10"/>
      <color rgb="FFCCFFCC"/>
      <name val="Times New Roman CYR"/>
      <charset val="204"/>
    </font>
    <font>
      <b/>
      <i/>
      <sz val="12"/>
      <color rgb="FF336600"/>
      <name val="Times New Roman Cyr"/>
    </font>
    <font>
      <b/>
      <i/>
      <sz val="14"/>
      <color rgb="FF003300"/>
      <name val="Times New Roman CYR"/>
      <family val="1"/>
      <charset val="204"/>
    </font>
    <font>
      <b/>
      <i/>
      <sz val="12"/>
      <color rgb="FFFF0000"/>
      <name val="Times New Roman Cyr"/>
    </font>
  </fonts>
  <fills count="5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6"/>
        <bgColor indexed="33"/>
      </patternFill>
    </fill>
    <fill>
      <patternFill patternType="solid">
        <fgColor indexed="26"/>
        <bgColor indexed="26"/>
      </patternFill>
    </fill>
    <fill>
      <patternFill patternType="solid">
        <fgColor indexed="42"/>
        <bgColor indexed="64"/>
      </patternFill>
    </fill>
    <fill>
      <patternFill patternType="solid">
        <fgColor indexed="26"/>
        <bgColor indexed="22"/>
      </patternFill>
    </fill>
    <fill>
      <patternFill patternType="solid">
        <fgColor indexed="9"/>
        <bgColor indexed="26"/>
      </patternFill>
    </fill>
    <fill>
      <patternFill patternType="solid">
        <fgColor indexed="11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E7FFB7"/>
        <bgColor indexed="64"/>
      </patternFill>
    </fill>
    <fill>
      <patternFill patternType="solid">
        <fgColor rgb="FFDDDDDD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rgb="FFF0FDCF"/>
        <bgColor indexed="64"/>
      </patternFill>
    </fill>
    <fill>
      <patternFill patternType="solid">
        <fgColor rgb="FFD9D9FF"/>
        <bgColor indexed="64"/>
      </patternFill>
    </fill>
    <fill>
      <patternFill patternType="solid">
        <fgColor rgb="FFE1FEAC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EEFEC6"/>
        <bgColor indexed="26"/>
      </patternFill>
    </fill>
    <fill>
      <patternFill patternType="solid">
        <fgColor rgb="FFEEFEC6"/>
        <bgColor indexed="64"/>
      </patternFill>
    </fill>
    <fill>
      <patternFill patternType="solid">
        <fgColor theme="0"/>
        <bgColor indexed="26"/>
      </patternFill>
    </fill>
    <fill>
      <patternFill patternType="solid">
        <fgColor theme="0"/>
        <bgColor indexed="22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EBFCC0"/>
        <bgColor indexed="64"/>
      </patternFill>
    </fill>
    <fill>
      <patternFill patternType="solid">
        <fgColor rgb="FFDDDDFF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EEFEC6"/>
        <bgColor indexed="22"/>
      </patternFill>
    </fill>
    <fill>
      <patternFill patternType="solid">
        <fgColor rgb="FFFF0000"/>
        <bgColor indexed="64"/>
      </patternFill>
    </fill>
    <fill>
      <patternFill patternType="solid">
        <fgColor rgb="FFE1E1FF"/>
        <bgColor indexed="64"/>
      </patternFill>
    </fill>
    <fill>
      <patternFill patternType="solid">
        <fgColor rgb="FF000099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E6FFB3"/>
        <bgColor indexed="64"/>
      </patternFill>
    </fill>
    <fill>
      <patternFill patternType="solid">
        <fgColor rgb="FFEEFED2"/>
        <bgColor indexed="64"/>
      </patternFill>
    </fill>
    <fill>
      <patternFill patternType="solid">
        <fgColor rgb="FFCCFF66"/>
        <bgColor indexed="64"/>
      </patternFill>
    </fill>
    <fill>
      <patternFill patternType="solid">
        <fgColor rgb="FFEEFFDD"/>
        <bgColor indexed="64"/>
      </patternFill>
    </fill>
    <fill>
      <patternFill patternType="solid">
        <fgColor rgb="FFEBEBFF"/>
        <bgColor indexed="64"/>
      </patternFill>
    </fill>
    <fill>
      <patternFill patternType="solid">
        <fgColor rgb="FFA500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EAEBFC"/>
        <bgColor indexed="64"/>
      </patternFill>
    </fill>
    <fill>
      <patternFill patternType="solid">
        <fgColor rgb="FF660066"/>
        <bgColor indexed="64"/>
      </patternFill>
    </fill>
  </fills>
  <borders count="364">
    <border>
      <left/>
      <right/>
      <top/>
      <bottom/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25"/>
      </left>
      <right style="thin">
        <color indexed="25"/>
      </right>
      <top style="medium">
        <color indexed="25"/>
      </top>
      <bottom style="medium">
        <color indexed="25"/>
      </bottom>
      <diagonal/>
    </border>
    <border>
      <left style="thin">
        <color indexed="25"/>
      </left>
      <right/>
      <top style="medium">
        <color indexed="25"/>
      </top>
      <bottom style="medium">
        <color indexed="25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25"/>
      </left>
      <right style="thin">
        <color indexed="25"/>
      </right>
      <top style="medium">
        <color indexed="25"/>
      </top>
      <bottom style="medium">
        <color indexed="25"/>
      </bottom>
      <diagonal/>
    </border>
    <border>
      <left style="thin">
        <color indexed="25"/>
      </left>
      <right style="double">
        <color indexed="25"/>
      </right>
      <top style="medium">
        <color indexed="25"/>
      </top>
      <bottom style="medium">
        <color indexed="25"/>
      </bottom>
      <diagonal/>
    </border>
    <border>
      <left style="double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double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25"/>
      </left>
      <right style="medium">
        <color indexed="25"/>
      </right>
      <top style="medium">
        <color indexed="25"/>
      </top>
      <bottom style="medium">
        <color indexed="25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/>
      <diagonal/>
    </border>
    <border>
      <left style="double">
        <color indexed="25"/>
      </left>
      <right style="thin">
        <color indexed="25"/>
      </right>
      <top style="medium">
        <color indexed="25"/>
      </top>
      <bottom style="double">
        <color indexed="25"/>
      </bottom>
      <diagonal/>
    </border>
    <border>
      <left style="thin">
        <color indexed="25"/>
      </left>
      <right/>
      <top style="medium">
        <color indexed="25"/>
      </top>
      <bottom style="double">
        <color indexed="25"/>
      </bottom>
      <diagonal/>
    </border>
    <border>
      <left style="medium">
        <color indexed="25"/>
      </left>
      <right style="thin">
        <color indexed="25"/>
      </right>
      <top style="medium">
        <color indexed="25"/>
      </top>
      <bottom style="double">
        <color indexed="25"/>
      </bottom>
      <diagonal/>
    </border>
    <border>
      <left style="thin">
        <color indexed="25"/>
      </left>
      <right style="double">
        <color indexed="25"/>
      </right>
      <top style="medium">
        <color indexed="25"/>
      </top>
      <bottom style="double">
        <color indexed="25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/>
      <diagonal/>
    </border>
    <border>
      <left style="medium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double">
        <color indexed="64"/>
      </right>
      <top style="hair">
        <color indexed="64"/>
      </top>
      <bottom/>
      <diagonal/>
    </border>
    <border>
      <left style="double">
        <color indexed="62"/>
      </left>
      <right style="thin">
        <color indexed="62"/>
      </right>
      <top style="medium">
        <color indexed="62"/>
      </top>
      <bottom style="medium">
        <color indexed="62"/>
      </bottom>
      <diagonal/>
    </border>
    <border>
      <left style="thin">
        <color indexed="62"/>
      </left>
      <right style="double">
        <color indexed="62"/>
      </right>
      <top style="medium">
        <color indexed="62"/>
      </top>
      <bottom style="medium">
        <color indexed="62"/>
      </bottom>
      <diagonal/>
    </border>
    <border>
      <left style="thin">
        <color indexed="62"/>
      </left>
      <right style="medium">
        <color indexed="62"/>
      </right>
      <top style="medium">
        <color indexed="62"/>
      </top>
      <bottom style="medium">
        <color indexed="62"/>
      </bottom>
      <diagonal/>
    </border>
    <border>
      <left style="medium">
        <color indexed="62"/>
      </left>
      <right style="thin">
        <color indexed="62"/>
      </right>
      <top style="medium">
        <color indexed="62"/>
      </top>
      <bottom style="medium">
        <color indexed="62"/>
      </bottom>
      <diagonal/>
    </border>
    <border>
      <left/>
      <right style="thin">
        <color indexed="62"/>
      </right>
      <top style="medium">
        <color indexed="62"/>
      </top>
      <bottom style="medium">
        <color indexed="62"/>
      </bottom>
      <diagonal/>
    </border>
    <border>
      <left style="medium">
        <color indexed="62"/>
      </left>
      <right style="thin">
        <color indexed="62"/>
      </right>
      <top style="medium">
        <color indexed="62"/>
      </top>
      <bottom style="double">
        <color indexed="62"/>
      </bottom>
      <diagonal/>
    </border>
    <border>
      <left style="thin">
        <color indexed="62"/>
      </left>
      <right style="medium">
        <color indexed="62"/>
      </right>
      <top style="medium">
        <color indexed="62"/>
      </top>
      <bottom style="double">
        <color indexed="62"/>
      </bottom>
      <diagonal/>
    </border>
    <border>
      <left/>
      <right style="double">
        <color indexed="62"/>
      </right>
      <top style="medium">
        <color indexed="62"/>
      </top>
      <bottom style="double">
        <color indexed="62"/>
      </bottom>
      <diagonal/>
    </border>
    <border>
      <left style="double">
        <color indexed="62"/>
      </left>
      <right style="thin">
        <color indexed="62"/>
      </right>
      <top style="medium">
        <color indexed="62"/>
      </top>
      <bottom style="double">
        <color indexed="62"/>
      </bottom>
      <diagonal/>
    </border>
    <border>
      <left/>
      <right style="double">
        <color indexed="37"/>
      </right>
      <top style="medium">
        <color indexed="37"/>
      </top>
      <bottom style="medium">
        <color indexed="37"/>
      </bottom>
      <diagonal/>
    </border>
    <border>
      <left style="thin">
        <color indexed="37"/>
      </left>
      <right style="medium">
        <color indexed="37"/>
      </right>
      <top style="medium">
        <color indexed="37"/>
      </top>
      <bottom style="medium">
        <color indexed="37"/>
      </bottom>
      <diagonal/>
    </border>
    <border>
      <left style="medium">
        <color indexed="37"/>
      </left>
      <right style="thin">
        <color indexed="37"/>
      </right>
      <top style="medium">
        <color indexed="37"/>
      </top>
      <bottom style="medium">
        <color indexed="37"/>
      </bottom>
      <diagonal/>
    </border>
    <border>
      <left style="double">
        <color indexed="37"/>
      </left>
      <right/>
      <top style="medium">
        <color indexed="37"/>
      </top>
      <bottom style="medium">
        <color indexed="37"/>
      </bottom>
      <diagonal/>
    </border>
    <border>
      <left style="double">
        <color indexed="37"/>
      </left>
      <right style="thin">
        <color indexed="37"/>
      </right>
      <top style="medium">
        <color indexed="37"/>
      </top>
      <bottom style="medium">
        <color indexed="37"/>
      </bottom>
      <diagonal/>
    </border>
    <border>
      <left style="thin">
        <color indexed="37"/>
      </left>
      <right style="double">
        <color indexed="37"/>
      </right>
      <top style="medium">
        <color indexed="37"/>
      </top>
      <bottom style="medium">
        <color indexed="37"/>
      </bottom>
      <diagonal/>
    </border>
    <border>
      <left style="thin">
        <color indexed="37"/>
      </left>
      <right/>
      <top style="medium">
        <color indexed="37"/>
      </top>
      <bottom style="medium">
        <color indexed="37"/>
      </bottom>
      <diagonal/>
    </border>
    <border>
      <left/>
      <right style="thin">
        <color indexed="37"/>
      </right>
      <top style="medium">
        <color indexed="37"/>
      </top>
      <bottom style="medium">
        <color indexed="37"/>
      </bottom>
      <diagonal/>
    </border>
    <border>
      <left style="thin">
        <color indexed="62"/>
      </left>
      <right/>
      <top style="medium">
        <color indexed="62"/>
      </top>
      <bottom style="medium">
        <color indexed="62"/>
      </bottom>
      <diagonal/>
    </border>
    <border>
      <left style="double">
        <color indexed="37"/>
      </left>
      <right style="thin">
        <color indexed="37"/>
      </right>
      <top style="medium">
        <color indexed="37"/>
      </top>
      <bottom style="double">
        <color indexed="37"/>
      </bottom>
      <diagonal/>
    </border>
    <border>
      <left style="thin">
        <color indexed="37"/>
      </left>
      <right style="double">
        <color indexed="37"/>
      </right>
      <top style="medium">
        <color indexed="37"/>
      </top>
      <bottom style="double">
        <color indexed="37"/>
      </bottom>
      <diagonal/>
    </border>
    <border>
      <left style="thin">
        <color indexed="37"/>
      </left>
      <right/>
      <top style="medium">
        <color indexed="37"/>
      </top>
      <bottom style="double">
        <color indexed="37"/>
      </bottom>
      <diagonal/>
    </border>
    <border>
      <left/>
      <right style="thin">
        <color indexed="37"/>
      </right>
      <top style="medium">
        <color indexed="37"/>
      </top>
      <bottom style="double">
        <color indexed="37"/>
      </bottom>
      <diagonal/>
    </border>
    <border>
      <left style="medium">
        <color indexed="37"/>
      </left>
      <right style="thin">
        <color indexed="37"/>
      </right>
      <top style="medium">
        <color indexed="37"/>
      </top>
      <bottom style="double">
        <color indexed="37"/>
      </bottom>
      <diagonal/>
    </border>
    <border>
      <left style="thin">
        <color indexed="37"/>
      </left>
      <right style="medium">
        <color indexed="37"/>
      </right>
      <top style="medium">
        <color indexed="37"/>
      </top>
      <bottom style="double">
        <color indexed="37"/>
      </bottom>
      <diagonal/>
    </border>
    <border>
      <left style="double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double">
        <color indexed="64"/>
      </right>
      <top/>
      <bottom style="hair">
        <color indexed="64"/>
      </bottom>
      <diagonal/>
    </border>
    <border>
      <left style="double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/>
      <top style="medium">
        <color indexed="20"/>
      </top>
      <bottom style="medium">
        <color indexed="61"/>
      </bottom>
      <diagonal/>
    </border>
    <border>
      <left/>
      <right/>
      <top style="medium">
        <color indexed="20"/>
      </top>
      <bottom style="medium">
        <color indexed="61"/>
      </bottom>
      <diagonal/>
    </border>
    <border>
      <left/>
      <right style="double">
        <color indexed="64"/>
      </right>
      <top style="medium">
        <color indexed="20"/>
      </top>
      <bottom style="medium">
        <color indexed="61"/>
      </bottom>
      <diagonal/>
    </border>
    <border>
      <left style="double">
        <color indexed="64"/>
      </left>
      <right/>
      <top style="medium">
        <color indexed="20"/>
      </top>
      <bottom style="medium">
        <color indexed="64"/>
      </bottom>
      <diagonal/>
    </border>
    <border>
      <left/>
      <right/>
      <top style="medium">
        <color indexed="20"/>
      </top>
      <bottom style="medium">
        <color indexed="64"/>
      </bottom>
      <diagonal/>
    </border>
    <border>
      <left/>
      <right style="double">
        <color indexed="64"/>
      </right>
      <top style="medium">
        <color indexed="20"/>
      </top>
      <bottom style="medium">
        <color indexed="64"/>
      </bottom>
      <diagonal/>
    </border>
    <border>
      <left/>
      <right/>
      <top style="hair">
        <color indexed="64"/>
      </top>
      <bottom/>
      <diagonal/>
    </border>
    <border>
      <left/>
      <right style="double">
        <color indexed="64"/>
      </right>
      <top style="hair">
        <color indexed="64"/>
      </top>
      <bottom/>
      <diagonal/>
    </border>
    <border>
      <left style="double">
        <color indexed="64"/>
      </left>
      <right/>
      <top style="medium">
        <color indexed="64"/>
      </top>
      <bottom style="double">
        <color indexed="61"/>
      </bottom>
      <diagonal/>
    </border>
    <border>
      <left/>
      <right/>
      <top style="medium">
        <color indexed="64"/>
      </top>
      <bottom style="double">
        <color indexed="61"/>
      </bottom>
      <diagonal/>
    </border>
    <border>
      <left/>
      <right style="double">
        <color indexed="64"/>
      </right>
      <top style="medium">
        <color indexed="64"/>
      </top>
      <bottom style="double">
        <color indexed="61"/>
      </bottom>
      <diagonal/>
    </border>
    <border>
      <left style="double">
        <color indexed="64"/>
      </left>
      <right style="double">
        <color indexed="64"/>
      </right>
      <top/>
      <bottom style="hair">
        <color indexed="64"/>
      </bottom>
      <diagonal/>
    </border>
    <border>
      <left style="double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 style="double">
        <color indexed="64"/>
      </right>
      <top style="hair">
        <color indexed="64"/>
      </top>
      <bottom/>
      <diagonal/>
    </border>
    <border>
      <left style="double">
        <color indexed="64"/>
      </left>
      <right style="double">
        <color indexed="64"/>
      </right>
      <top style="medium">
        <color indexed="20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25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25"/>
      </bottom>
      <diagonal/>
    </border>
    <border>
      <left style="double">
        <color indexed="64"/>
      </left>
      <right style="double">
        <color indexed="64"/>
      </right>
      <top style="medium">
        <color indexed="20"/>
      </top>
      <bottom style="medium">
        <color indexed="61"/>
      </bottom>
      <diagonal/>
    </border>
    <border>
      <left style="double">
        <color indexed="64"/>
      </left>
      <right style="double">
        <color indexed="64"/>
      </right>
      <top style="medium">
        <color indexed="64"/>
      </top>
      <bottom style="double">
        <color indexed="61"/>
      </bottom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double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double">
        <color indexed="64"/>
      </right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/>
      <right style="double">
        <color indexed="64"/>
      </right>
      <top/>
      <bottom style="medium">
        <color indexed="64"/>
      </bottom>
      <diagonal/>
    </border>
    <border>
      <left style="double">
        <color indexed="64"/>
      </left>
      <right style="double">
        <color indexed="64"/>
      </right>
      <top/>
      <bottom/>
      <diagonal/>
    </border>
    <border>
      <left style="double">
        <color indexed="64"/>
      </left>
      <right style="medium">
        <color indexed="64"/>
      </right>
      <top/>
      <bottom/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/>
      <bottom style="double">
        <color indexed="64"/>
      </bottom>
      <diagonal/>
    </border>
    <border>
      <left style="double">
        <color indexed="64"/>
      </left>
      <right style="double">
        <color indexed="64"/>
      </right>
      <top/>
      <bottom style="double">
        <color indexed="64"/>
      </bottom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double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double">
        <color indexed="64"/>
      </right>
      <top/>
      <bottom/>
      <diagonal/>
    </border>
    <border>
      <left style="medium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double">
        <color indexed="64"/>
      </left>
      <right/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/>
      <right style="double">
        <color indexed="64"/>
      </right>
      <top style="medium">
        <color indexed="64"/>
      </top>
      <bottom style="hair">
        <color indexed="64"/>
      </bottom>
      <diagonal/>
    </border>
    <border>
      <left style="double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double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double">
        <color indexed="64"/>
      </left>
      <right/>
      <top style="medium">
        <color indexed="64"/>
      </top>
      <bottom style="double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  <border>
      <left/>
      <right style="double">
        <color indexed="64"/>
      </right>
      <top style="medium">
        <color indexed="64"/>
      </top>
      <bottom style="double">
        <color indexed="64"/>
      </bottom>
      <diagonal/>
    </border>
    <border>
      <left style="double">
        <color indexed="61"/>
      </left>
      <right style="double">
        <color indexed="64"/>
      </right>
      <top style="medium">
        <color indexed="61"/>
      </top>
      <bottom style="double">
        <color indexed="61"/>
      </bottom>
      <diagonal/>
    </border>
    <border>
      <left style="double">
        <color indexed="25"/>
      </left>
      <right style="thin">
        <color indexed="25"/>
      </right>
      <top style="medium">
        <color indexed="61"/>
      </top>
      <bottom style="double">
        <color indexed="61"/>
      </bottom>
      <diagonal/>
    </border>
    <border>
      <left style="thin">
        <color indexed="25"/>
      </left>
      <right/>
      <top style="medium">
        <color indexed="61"/>
      </top>
      <bottom style="double">
        <color indexed="61"/>
      </bottom>
      <diagonal/>
    </border>
    <border>
      <left style="medium">
        <color indexed="25"/>
      </left>
      <right style="thin">
        <color indexed="25"/>
      </right>
      <top style="medium">
        <color indexed="61"/>
      </top>
      <bottom style="double">
        <color indexed="61"/>
      </bottom>
      <diagonal/>
    </border>
    <border>
      <left style="thin">
        <color indexed="25"/>
      </left>
      <right style="medium">
        <color indexed="25"/>
      </right>
      <top style="medium">
        <color indexed="61"/>
      </top>
      <bottom style="double">
        <color indexed="61"/>
      </bottom>
      <diagonal/>
    </border>
    <border>
      <left style="thin">
        <color indexed="25"/>
      </left>
      <right style="double">
        <color indexed="25"/>
      </right>
      <top style="medium">
        <color indexed="61"/>
      </top>
      <bottom style="double">
        <color indexed="61"/>
      </bottom>
      <diagonal/>
    </border>
    <border>
      <left style="double">
        <color indexed="25"/>
      </left>
      <right style="medium">
        <color indexed="25"/>
      </right>
      <top style="medium">
        <color indexed="25"/>
      </top>
      <bottom style="medium">
        <color indexed="25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double">
        <color indexed="64"/>
      </right>
      <top/>
      <bottom style="hair">
        <color indexed="64"/>
      </bottom>
      <diagonal/>
    </border>
    <border>
      <left style="double">
        <color indexed="64"/>
      </left>
      <right/>
      <top style="hair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double">
        <color indexed="64"/>
      </right>
      <top style="thin">
        <color indexed="64"/>
      </top>
      <bottom/>
      <diagonal/>
    </border>
    <border>
      <left style="double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double">
        <color indexed="64"/>
      </right>
      <top/>
      <bottom style="hair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25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25"/>
      </top>
      <bottom style="double">
        <color indexed="64"/>
      </bottom>
      <diagonal/>
    </border>
    <border>
      <left style="medium">
        <color indexed="64"/>
      </left>
      <right style="double">
        <color indexed="64"/>
      </right>
      <top style="medium">
        <color indexed="25"/>
      </top>
      <bottom style="double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25"/>
      </top>
      <bottom style="medium">
        <color indexed="25"/>
      </bottom>
      <diagonal/>
    </border>
    <border>
      <left style="medium">
        <color indexed="64"/>
      </left>
      <right style="medium">
        <color indexed="64"/>
      </right>
      <top style="medium">
        <color indexed="25"/>
      </top>
      <bottom style="medium">
        <color indexed="25"/>
      </bottom>
      <diagonal/>
    </border>
    <border>
      <left style="medium">
        <color indexed="64"/>
      </left>
      <right style="double">
        <color indexed="64"/>
      </right>
      <top style="medium">
        <color indexed="25"/>
      </top>
      <bottom style="medium">
        <color indexed="25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double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double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double">
        <color indexed="64"/>
      </right>
      <top style="thin">
        <color indexed="64"/>
      </top>
      <bottom style="hair">
        <color indexed="64"/>
      </bottom>
      <diagonal/>
    </border>
    <border>
      <left style="double">
        <color indexed="64"/>
      </left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 style="medium">
        <color indexed="64"/>
      </right>
      <top style="double">
        <color indexed="64"/>
      </top>
      <bottom/>
      <diagonal/>
    </border>
    <border>
      <left style="medium">
        <color indexed="64"/>
      </left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double">
        <color indexed="64"/>
      </right>
      <top/>
      <bottom style="medium">
        <color indexed="64"/>
      </bottom>
      <diagonal/>
    </border>
    <border>
      <left style="double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/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/>
      <top style="thin">
        <color indexed="64"/>
      </top>
      <bottom style="double">
        <color indexed="64"/>
      </bottom>
      <diagonal/>
    </border>
    <border>
      <left style="double">
        <color indexed="64"/>
      </left>
      <right/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double">
        <color indexed="64"/>
      </right>
      <top/>
      <bottom style="medium">
        <color indexed="64"/>
      </bottom>
      <diagonal/>
    </border>
    <border>
      <left style="medium">
        <color indexed="64"/>
      </left>
      <right style="double">
        <color indexed="64"/>
      </right>
      <top style="medium">
        <color indexed="64"/>
      </top>
      <bottom style="medium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25"/>
      </left>
      <right style="thin">
        <color indexed="25"/>
      </right>
      <top style="thin">
        <color indexed="25"/>
      </top>
      <bottom style="double">
        <color indexed="25"/>
      </bottom>
      <diagonal/>
    </border>
    <border>
      <left style="thin">
        <color indexed="25"/>
      </left>
      <right style="thin">
        <color indexed="25"/>
      </right>
      <top style="thin">
        <color indexed="25"/>
      </top>
      <bottom style="double">
        <color indexed="61"/>
      </bottom>
      <diagonal/>
    </border>
    <border>
      <left style="double">
        <color indexed="25"/>
      </left>
      <right style="thin">
        <color indexed="64"/>
      </right>
      <top style="medium">
        <color indexed="25"/>
      </top>
      <bottom style="thin">
        <color indexed="64"/>
      </bottom>
      <diagonal/>
    </border>
    <border>
      <left style="double">
        <color indexed="25"/>
      </left>
      <right style="thin">
        <color indexed="64"/>
      </right>
      <top style="thin">
        <color indexed="64"/>
      </top>
      <bottom style="medium">
        <color indexed="25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25"/>
      </right>
      <top style="thin">
        <color indexed="64"/>
      </top>
      <bottom style="double">
        <color indexed="64"/>
      </bottom>
      <diagonal/>
    </border>
    <border>
      <left style="thin">
        <color indexed="25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2"/>
      </right>
      <top style="thin">
        <color indexed="64"/>
      </top>
      <bottom style="double">
        <color indexed="64"/>
      </bottom>
      <diagonal/>
    </border>
    <border>
      <left style="thin">
        <color indexed="62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/>
      <top style="hair">
        <color indexed="64"/>
      </top>
      <bottom/>
      <diagonal/>
    </border>
    <border>
      <left style="double">
        <color indexed="64"/>
      </left>
      <right/>
      <top style="hair">
        <color indexed="64"/>
      </top>
      <bottom style="medium">
        <color indexed="20"/>
      </bottom>
      <diagonal/>
    </border>
    <border>
      <left style="double">
        <color indexed="64"/>
      </left>
      <right/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double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medium">
        <color indexed="64"/>
      </right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double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thin">
        <color indexed="25"/>
      </right>
      <top style="thin">
        <color indexed="25"/>
      </top>
      <bottom style="double">
        <color indexed="61"/>
      </bottom>
      <diagonal/>
    </border>
    <border>
      <left style="thin">
        <color indexed="64"/>
      </left>
      <right style="double">
        <color indexed="62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double">
        <color indexed="64"/>
      </top>
      <bottom/>
      <diagonal/>
    </border>
    <border>
      <left style="thin">
        <color indexed="25"/>
      </left>
      <right style="thin">
        <color indexed="25"/>
      </right>
      <top style="thin">
        <color indexed="25"/>
      </top>
      <bottom style="thin">
        <color indexed="25"/>
      </bottom>
      <diagonal/>
    </border>
    <border>
      <left style="double">
        <color indexed="64"/>
      </left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double">
        <color indexed="64"/>
      </right>
      <top style="medium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25"/>
      </right>
      <top style="medium">
        <color indexed="64"/>
      </top>
      <bottom style="medium">
        <color indexed="64"/>
      </bottom>
      <diagonal/>
    </border>
    <border>
      <left style="thin">
        <color indexed="25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double">
        <color indexed="64"/>
      </left>
      <right style="double">
        <color indexed="64"/>
      </right>
      <top style="double">
        <color indexed="64"/>
      </top>
      <bottom/>
      <diagonal/>
    </border>
    <border>
      <left style="thin">
        <color indexed="25"/>
      </left>
      <right style="double">
        <color indexed="25"/>
      </right>
      <top style="thin">
        <color indexed="25"/>
      </top>
      <bottom style="thin">
        <color indexed="25"/>
      </bottom>
      <diagonal/>
    </border>
    <border>
      <left style="double">
        <color indexed="25"/>
      </left>
      <right style="thin">
        <color indexed="25"/>
      </right>
      <top style="thin">
        <color indexed="25"/>
      </top>
      <bottom style="thin">
        <color indexed="25"/>
      </bottom>
      <diagonal/>
    </border>
    <border>
      <left style="thin">
        <color indexed="62"/>
      </left>
      <right style="double">
        <color indexed="62"/>
      </right>
      <top style="thin">
        <color indexed="62"/>
      </top>
      <bottom style="thin">
        <color indexed="62"/>
      </bottom>
      <diagonal/>
    </border>
    <border>
      <left style="double">
        <color indexed="62"/>
      </left>
      <right style="thin">
        <color indexed="62"/>
      </right>
      <top style="thin">
        <color indexed="62"/>
      </top>
      <bottom style="thin">
        <color indexed="62"/>
      </bottom>
      <diagonal/>
    </border>
    <border>
      <left style="double">
        <color indexed="37"/>
      </left>
      <right style="thin">
        <color indexed="37"/>
      </right>
      <top style="thin">
        <color indexed="37"/>
      </top>
      <bottom style="thin">
        <color indexed="37"/>
      </bottom>
      <diagonal/>
    </border>
    <border>
      <left style="thin">
        <color indexed="62"/>
      </left>
      <right style="double">
        <color indexed="37"/>
      </right>
      <top style="thin">
        <color indexed="37"/>
      </top>
      <bottom style="thin">
        <color indexed="37"/>
      </bottom>
      <diagonal/>
    </border>
    <border>
      <left style="thin">
        <color indexed="62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25"/>
      </right>
      <top style="thin">
        <color indexed="64"/>
      </top>
      <bottom style="thin">
        <color indexed="64"/>
      </bottom>
      <diagonal/>
    </border>
    <border>
      <left style="thin">
        <color indexed="37"/>
      </left>
      <right style="thin">
        <color indexed="37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hair">
        <color indexed="64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hair">
        <color indexed="64"/>
      </bottom>
      <diagonal/>
    </border>
    <border>
      <left/>
      <right style="double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/>
      <top style="double">
        <color indexed="64"/>
      </top>
      <bottom style="hair">
        <color indexed="64"/>
      </bottom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double">
        <color indexed="64"/>
      </left>
      <right style="thin">
        <color indexed="37"/>
      </right>
      <top style="thin">
        <color indexed="64"/>
      </top>
      <bottom style="double">
        <color indexed="64"/>
      </bottom>
      <diagonal/>
    </border>
    <border>
      <left style="thin">
        <color indexed="37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25"/>
      </left>
      <right style="double">
        <color indexed="25"/>
      </right>
      <top style="medium">
        <color indexed="25"/>
      </top>
      <bottom style="medium">
        <color indexed="25"/>
      </bottom>
      <diagonal/>
    </border>
    <border>
      <left style="thin">
        <color indexed="64"/>
      </left>
      <right style="double">
        <color indexed="25"/>
      </right>
      <top style="medium">
        <color indexed="25"/>
      </top>
      <bottom style="thin">
        <color indexed="64"/>
      </bottom>
      <diagonal/>
    </border>
    <border>
      <left style="thin">
        <color indexed="64"/>
      </left>
      <right style="double">
        <color indexed="25"/>
      </right>
      <top style="thin">
        <color indexed="64"/>
      </top>
      <bottom style="medium">
        <color indexed="25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double">
        <color indexed="64"/>
      </right>
      <top style="hair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25"/>
      </left>
      <right style="thin">
        <color indexed="25"/>
      </right>
      <top style="thin">
        <color indexed="25"/>
      </top>
      <bottom style="medium">
        <color indexed="25"/>
      </bottom>
      <diagonal/>
    </border>
    <border>
      <left style="thin">
        <color indexed="25"/>
      </left>
      <right style="double">
        <color indexed="25"/>
      </right>
      <top style="thin">
        <color indexed="25"/>
      </top>
      <bottom style="hair">
        <color indexed="25"/>
      </bottom>
      <diagonal/>
    </border>
    <border>
      <left style="thin">
        <color indexed="25"/>
      </left>
      <right style="double">
        <color indexed="25"/>
      </right>
      <top style="hair">
        <color indexed="25"/>
      </top>
      <bottom style="double">
        <color indexed="25"/>
      </bottom>
      <diagonal/>
    </border>
    <border>
      <left style="double">
        <color indexed="25"/>
      </left>
      <right style="thin">
        <color indexed="25"/>
      </right>
      <top style="thin">
        <color indexed="25"/>
      </top>
      <bottom style="hair">
        <color indexed="25"/>
      </bottom>
      <diagonal/>
    </border>
    <border>
      <left style="double">
        <color indexed="25"/>
      </left>
      <right style="thin">
        <color indexed="25"/>
      </right>
      <top style="hair">
        <color indexed="25"/>
      </top>
      <bottom style="double">
        <color indexed="25"/>
      </bottom>
      <diagonal/>
    </border>
    <border>
      <left/>
      <right style="double">
        <color indexed="25"/>
      </right>
      <top/>
      <bottom style="thin">
        <color indexed="25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hair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medium">
        <color indexed="64"/>
      </left>
      <right style="medium">
        <color indexed="64"/>
      </right>
      <top/>
      <bottom style="double">
        <color indexed="64"/>
      </bottom>
      <diagonal/>
    </border>
    <border>
      <left style="double">
        <color indexed="25"/>
      </left>
      <right style="thin">
        <color indexed="25"/>
      </right>
      <top style="medium">
        <color indexed="25"/>
      </top>
      <bottom style="thin">
        <color indexed="25"/>
      </bottom>
      <diagonal/>
    </border>
    <border>
      <left style="thin">
        <color indexed="25"/>
      </left>
      <right style="double">
        <color indexed="25"/>
      </right>
      <top style="medium">
        <color indexed="25"/>
      </top>
      <bottom style="thin">
        <color indexed="25"/>
      </bottom>
      <diagonal/>
    </border>
    <border>
      <left style="double">
        <color indexed="25"/>
      </left>
      <right style="thin">
        <color indexed="25"/>
      </right>
      <top style="medium">
        <color indexed="25"/>
      </top>
      <bottom style="thin">
        <color indexed="64"/>
      </bottom>
      <diagonal/>
    </border>
    <border>
      <left style="thin">
        <color indexed="25"/>
      </left>
      <right style="double">
        <color indexed="25"/>
      </right>
      <top style="medium">
        <color indexed="25"/>
      </top>
      <bottom style="thin">
        <color indexed="64"/>
      </bottom>
      <diagonal/>
    </border>
    <border>
      <left style="medium">
        <color indexed="61"/>
      </left>
      <right/>
      <top/>
      <bottom/>
      <diagonal/>
    </border>
    <border>
      <left/>
      <right style="medium">
        <color indexed="61"/>
      </right>
      <top/>
      <bottom/>
      <diagonal/>
    </border>
    <border>
      <left style="medium">
        <color indexed="61"/>
      </left>
      <right/>
      <top/>
      <bottom style="double">
        <color indexed="61"/>
      </bottom>
      <diagonal/>
    </border>
    <border>
      <left/>
      <right/>
      <top/>
      <bottom style="double">
        <color indexed="61"/>
      </bottom>
      <diagonal/>
    </border>
    <border>
      <left/>
      <right style="medium">
        <color indexed="61"/>
      </right>
      <top/>
      <bottom style="double">
        <color indexed="61"/>
      </bottom>
      <diagonal/>
    </border>
    <border>
      <left style="medium">
        <color indexed="61"/>
      </left>
      <right/>
      <top style="medium">
        <color indexed="61"/>
      </top>
      <bottom style="double">
        <color indexed="61"/>
      </bottom>
      <diagonal/>
    </border>
    <border>
      <left/>
      <right/>
      <top style="medium">
        <color indexed="61"/>
      </top>
      <bottom style="double">
        <color indexed="61"/>
      </bottom>
      <diagonal/>
    </border>
    <border>
      <left/>
      <right style="medium">
        <color indexed="61"/>
      </right>
      <top style="medium">
        <color indexed="61"/>
      </top>
      <bottom style="double">
        <color indexed="61"/>
      </bottom>
      <diagonal/>
    </border>
    <border>
      <left/>
      <right style="double">
        <color indexed="64"/>
      </right>
      <top style="medium">
        <color indexed="64"/>
      </top>
      <bottom/>
      <diagonal/>
    </border>
    <border>
      <left style="double">
        <color indexed="64"/>
      </left>
      <right/>
      <top style="medium">
        <color indexed="64"/>
      </top>
      <bottom/>
      <diagonal/>
    </border>
    <border>
      <left/>
      <right/>
      <top style="hair">
        <color indexed="64"/>
      </top>
      <bottom style="double">
        <color indexed="64"/>
      </bottom>
      <diagonal/>
    </border>
    <border>
      <left/>
      <right/>
      <top style="medium">
        <color indexed="20"/>
      </top>
      <bottom style="medium">
        <color indexed="32"/>
      </bottom>
      <diagonal/>
    </border>
    <border>
      <left/>
      <right/>
      <top style="thin">
        <color rgb="FF000099"/>
      </top>
      <bottom style="double">
        <color rgb="FF000099"/>
      </bottom>
      <diagonal/>
    </border>
    <border>
      <left/>
      <right style="thin">
        <color rgb="FF000099"/>
      </right>
      <top style="thin">
        <color rgb="FF000099"/>
      </top>
      <bottom style="double">
        <color rgb="FF000099"/>
      </bottom>
      <diagonal/>
    </border>
    <border>
      <left style="thin">
        <color rgb="FF000099"/>
      </left>
      <right/>
      <top style="thin">
        <color rgb="FF000099"/>
      </top>
      <bottom style="double">
        <color rgb="FF000099"/>
      </bottom>
      <diagonal/>
    </border>
    <border>
      <left style="thin">
        <color rgb="FF000099"/>
      </left>
      <right style="thin">
        <color rgb="FF000099"/>
      </right>
      <top style="thin">
        <color rgb="FF000099"/>
      </top>
      <bottom style="double">
        <color rgb="FF000099"/>
      </bottom>
      <diagonal/>
    </border>
    <border>
      <left style="thin">
        <color rgb="FFFFFF00"/>
      </left>
      <right style="thin">
        <color rgb="FFFFFF00"/>
      </right>
      <top style="thin">
        <color rgb="FFFFFF00"/>
      </top>
      <bottom style="thin">
        <color rgb="FFFFFF00"/>
      </bottom>
      <diagonal/>
    </border>
    <border>
      <left style="thin">
        <color rgb="FFFFFF00"/>
      </left>
      <right/>
      <top style="thin">
        <color rgb="FFFFFF00"/>
      </top>
      <bottom/>
      <diagonal/>
    </border>
    <border>
      <left/>
      <right style="thin">
        <color rgb="FFFFFF00"/>
      </right>
      <top style="thin">
        <color rgb="FFFFFF00"/>
      </top>
      <bottom/>
      <diagonal/>
    </border>
    <border>
      <left style="thin">
        <color rgb="FFFFFF00"/>
      </left>
      <right/>
      <top/>
      <bottom/>
      <diagonal/>
    </border>
    <border>
      <left/>
      <right style="thin">
        <color rgb="FFFFFF00"/>
      </right>
      <top/>
      <bottom/>
      <diagonal/>
    </border>
    <border>
      <left style="thin">
        <color rgb="FFFFFF00"/>
      </left>
      <right/>
      <top/>
      <bottom style="thin">
        <color rgb="FFFFFF00"/>
      </bottom>
      <diagonal/>
    </border>
    <border>
      <left/>
      <right style="thin">
        <color rgb="FFFFFF00"/>
      </right>
      <top/>
      <bottom style="thin">
        <color rgb="FFFFFF00"/>
      </bottom>
      <diagonal/>
    </border>
    <border>
      <left/>
      <right/>
      <top style="thin">
        <color rgb="FFFFFF00"/>
      </top>
      <bottom/>
      <diagonal/>
    </border>
    <border>
      <left/>
      <right/>
      <top/>
      <bottom style="thin">
        <color rgb="FFFFFF00"/>
      </bottom>
      <diagonal/>
    </border>
    <border>
      <left style="thin">
        <color rgb="FFFFFF99"/>
      </left>
      <right/>
      <top style="thin">
        <color rgb="FFFFFF99"/>
      </top>
      <bottom/>
      <diagonal/>
    </border>
    <border>
      <left/>
      <right/>
      <top style="thin">
        <color rgb="FFFFFF99"/>
      </top>
      <bottom/>
      <diagonal/>
    </border>
    <border>
      <left/>
      <right style="thin">
        <color rgb="FFFFFF99"/>
      </right>
      <top style="thin">
        <color rgb="FFFFFF99"/>
      </top>
      <bottom/>
      <diagonal/>
    </border>
    <border>
      <left style="thin">
        <color rgb="FFFFFF99"/>
      </left>
      <right/>
      <top/>
      <bottom/>
      <diagonal/>
    </border>
    <border>
      <left/>
      <right style="thin">
        <color rgb="FFFFFF99"/>
      </right>
      <top/>
      <bottom/>
      <diagonal/>
    </border>
    <border>
      <left style="thin">
        <color indexed="64"/>
      </left>
      <right style="double">
        <color rgb="FF660066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rgb="FF660066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double">
        <color rgb="FF660066"/>
      </right>
      <top style="hair">
        <color indexed="64"/>
      </top>
      <bottom style="thin">
        <color indexed="64"/>
      </bottom>
      <diagonal/>
    </border>
    <border>
      <left style="double">
        <color rgb="FF660066"/>
      </left>
      <right style="thin">
        <color indexed="25"/>
      </right>
      <top style="thin">
        <color indexed="25"/>
      </top>
      <bottom style="hair">
        <color indexed="25"/>
      </bottom>
      <diagonal/>
    </border>
    <border>
      <left style="double">
        <color rgb="FF660066"/>
      </left>
      <right style="thin">
        <color indexed="25"/>
      </right>
      <top style="hair">
        <color indexed="25"/>
      </top>
      <bottom style="double">
        <color indexed="25"/>
      </bottom>
      <diagonal/>
    </border>
    <border>
      <left style="double">
        <color rgb="FF660066"/>
      </left>
      <right style="thin">
        <color indexed="25"/>
      </right>
      <top style="thin">
        <color indexed="25"/>
      </top>
      <bottom style="thin">
        <color indexed="25"/>
      </bottom>
      <diagonal/>
    </border>
    <border>
      <left style="thin">
        <color indexed="64"/>
      </left>
      <right style="double">
        <color rgb="FF660066"/>
      </right>
      <top style="hair">
        <color indexed="64"/>
      </top>
      <bottom style="hair">
        <color indexed="64"/>
      </bottom>
      <diagonal/>
    </border>
    <border>
      <left style="double">
        <color rgb="FF660066"/>
      </left>
      <right style="thin">
        <color indexed="25"/>
      </right>
      <top style="thin">
        <color indexed="25"/>
      </top>
      <bottom style="hair">
        <color rgb="FF660066"/>
      </bottom>
      <diagonal/>
    </border>
    <border>
      <left style="thin">
        <color indexed="25"/>
      </left>
      <right style="double">
        <color indexed="25"/>
      </right>
      <top style="thin">
        <color indexed="25"/>
      </top>
      <bottom style="hair">
        <color rgb="FF660066"/>
      </bottom>
      <diagonal/>
    </border>
    <border>
      <left style="double">
        <color rgb="FF660066"/>
      </left>
      <right style="thin">
        <color indexed="25"/>
      </right>
      <top style="hair">
        <color rgb="FF660066"/>
      </top>
      <bottom style="hair">
        <color rgb="FF660066"/>
      </bottom>
      <diagonal/>
    </border>
    <border>
      <left style="thin">
        <color indexed="25"/>
      </left>
      <right style="double">
        <color indexed="25"/>
      </right>
      <top style="hair">
        <color rgb="FF660066"/>
      </top>
      <bottom style="hair">
        <color rgb="FF660066"/>
      </bottom>
      <diagonal/>
    </border>
    <border>
      <left style="double">
        <color rgb="FF660066"/>
      </left>
      <right style="thin">
        <color indexed="25"/>
      </right>
      <top style="hair">
        <color rgb="FF660066"/>
      </top>
      <bottom style="double">
        <color indexed="25"/>
      </bottom>
      <diagonal/>
    </border>
    <border>
      <left style="thin">
        <color indexed="25"/>
      </left>
      <right style="double">
        <color indexed="25"/>
      </right>
      <top style="hair">
        <color rgb="FF660066"/>
      </top>
      <bottom style="double">
        <color indexed="25"/>
      </bottom>
      <diagonal/>
    </border>
  </borders>
  <cellStyleXfs count="12">
    <xf numFmtId="0" fontId="0" fillId="0" borderId="0"/>
    <xf numFmtId="0" fontId="271" fillId="0" borderId="0" applyNumberFormat="0" applyFill="0" applyBorder="0" applyAlignment="0" applyProtection="0"/>
    <xf numFmtId="0" fontId="21" fillId="0" borderId="0"/>
    <xf numFmtId="0" fontId="1" fillId="0" borderId="0"/>
    <xf numFmtId="0" fontId="210" fillId="0" borderId="0"/>
    <xf numFmtId="0" fontId="1" fillId="0" borderId="0"/>
    <xf numFmtId="0" fontId="21" fillId="0" borderId="0"/>
    <xf numFmtId="0" fontId="207" fillId="0" borderId="0"/>
    <xf numFmtId="0" fontId="210" fillId="0" borderId="0"/>
    <xf numFmtId="0" fontId="21" fillId="0" borderId="0"/>
    <xf numFmtId="0" fontId="1" fillId="0" borderId="0"/>
    <xf numFmtId="9" fontId="1" fillId="0" borderId="0" applyFont="0" applyFill="0" applyBorder="0" applyAlignment="0" applyProtection="0"/>
  </cellStyleXfs>
  <cellXfs count="2641">
    <xf numFmtId="0" fontId="0" fillId="0" borderId="0" xfId="0"/>
    <xf numFmtId="0" fontId="2" fillId="2" borderId="0" xfId="0" applyFont="1" applyFill="1" applyBorder="1" applyAlignment="1">
      <alignment vertical="center"/>
    </xf>
    <xf numFmtId="0" fontId="3" fillId="2" borderId="0" xfId="0" applyFont="1" applyFill="1" applyBorder="1" applyAlignment="1">
      <alignment vertical="center"/>
    </xf>
    <xf numFmtId="0" fontId="5" fillId="2" borderId="0" xfId="0" applyFont="1" applyFill="1" applyBorder="1" applyAlignment="1">
      <alignment horizontal="left" vertical="center"/>
    </xf>
    <xf numFmtId="164" fontId="5" fillId="2" borderId="0" xfId="10" applyNumberFormat="1" applyFont="1" applyFill="1" applyBorder="1" applyAlignment="1">
      <alignment vertical="center"/>
    </xf>
    <xf numFmtId="0" fontId="3" fillId="2" borderId="0" xfId="0" applyFont="1" applyFill="1"/>
    <xf numFmtId="0" fontId="11" fillId="2" borderId="0" xfId="0" applyFont="1" applyFill="1" applyAlignment="1">
      <alignment vertical="center"/>
    </xf>
    <xf numFmtId="0" fontId="4" fillId="2" borderId="0" xfId="0" applyFont="1" applyFill="1"/>
    <xf numFmtId="169" fontId="3" fillId="0" borderId="1" xfId="0" applyNumberFormat="1" applyFont="1" applyFill="1" applyBorder="1" applyAlignment="1" applyProtection="1">
      <alignment horizontal="center"/>
    </xf>
    <xf numFmtId="169" fontId="3" fillId="0" borderId="2" xfId="0" applyNumberFormat="1" applyFont="1" applyFill="1" applyBorder="1" applyAlignment="1" applyProtection="1">
      <alignment horizontal="center"/>
    </xf>
    <xf numFmtId="169" fontId="3" fillId="2" borderId="1" xfId="0" applyNumberFormat="1" applyFont="1" applyFill="1" applyBorder="1" applyAlignment="1" applyProtection="1">
      <alignment horizontal="center"/>
    </xf>
    <xf numFmtId="169" fontId="3" fillId="2" borderId="2" xfId="0" applyNumberFormat="1" applyFont="1" applyFill="1" applyBorder="1" applyAlignment="1" applyProtection="1">
      <alignment horizontal="center"/>
    </xf>
    <xf numFmtId="168" fontId="36" fillId="3" borderId="3" xfId="0" applyNumberFormat="1" applyFont="1" applyFill="1" applyBorder="1" applyProtection="1"/>
    <xf numFmtId="168" fontId="36" fillId="3" borderId="4" xfId="0" applyNumberFormat="1" applyFont="1" applyFill="1" applyBorder="1" applyProtection="1"/>
    <xf numFmtId="4" fontId="39" fillId="4" borderId="3" xfId="0" applyNumberFormat="1" applyFont="1" applyFill="1" applyBorder="1" applyProtection="1"/>
    <xf numFmtId="4" fontId="37" fillId="4" borderId="4" xfId="0" applyNumberFormat="1" applyFont="1" applyFill="1" applyBorder="1" applyAlignment="1" applyProtection="1">
      <alignment horizontal="center"/>
    </xf>
    <xf numFmtId="4" fontId="31" fillId="2" borderId="5" xfId="0" applyNumberFormat="1" applyFont="1" applyFill="1" applyBorder="1" applyProtection="1"/>
    <xf numFmtId="4" fontId="30" fillId="2" borderId="0" xfId="0" applyNumberFormat="1" applyFont="1" applyFill="1" applyAlignment="1" applyProtection="1">
      <alignment vertical="center"/>
    </xf>
    <xf numFmtId="4" fontId="27" fillId="3" borderId="3" xfId="0" applyNumberFormat="1" applyFont="1" applyFill="1" applyBorder="1" applyAlignment="1" applyProtection="1">
      <alignment horizontal="center"/>
    </xf>
    <xf numFmtId="4" fontId="16" fillId="4" borderId="4" xfId="0" applyNumberFormat="1" applyFont="1" applyFill="1" applyBorder="1" applyAlignment="1" applyProtection="1">
      <alignment horizontal="center"/>
    </xf>
    <xf numFmtId="4" fontId="27" fillId="3" borderId="6" xfId="0" applyNumberFormat="1" applyFont="1" applyFill="1" applyBorder="1" applyAlignment="1" applyProtection="1">
      <alignment horizontal="center"/>
    </xf>
    <xf numFmtId="4" fontId="16" fillId="4" borderId="7" xfId="0" applyNumberFormat="1" applyFont="1" applyFill="1" applyBorder="1" applyAlignment="1" applyProtection="1">
      <alignment horizontal="center"/>
    </xf>
    <xf numFmtId="4" fontId="30" fillId="5" borderId="8" xfId="0" applyNumberFormat="1" applyFont="1" applyFill="1" applyBorder="1" applyAlignment="1" applyProtection="1">
      <alignment vertical="center"/>
    </xf>
    <xf numFmtId="4" fontId="30" fillId="5" borderId="9" xfId="0" applyNumberFormat="1" applyFont="1" applyFill="1" applyBorder="1" applyAlignment="1" applyProtection="1">
      <alignment vertical="center"/>
    </xf>
    <xf numFmtId="4" fontId="30" fillId="5" borderId="0" xfId="0" applyNumberFormat="1" applyFont="1" applyFill="1" applyBorder="1" applyAlignment="1" applyProtection="1">
      <alignment vertical="center"/>
    </xf>
    <xf numFmtId="4" fontId="30" fillId="5" borderId="10" xfId="0" applyNumberFormat="1" applyFont="1" applyFill="1" applyBorder="1" applyAlignment="1" applyProtection="1">
      <alignment vertical="center"/>
    </xf>
    <xf numFmtId="4" fontId="2" fillId="5" borderId="11" xfId="0" applyNumberFormat="1" applyFont="1" applyFill="1" applyBorder="1" applyAlignment="1" applyProtection="1">
      <alignment vertical="top"/>
    </xf>
    <xf numFmtId="168" fontId="3" fillId="0" borderId="12" xfId="0" applyNumberFormat="1" applyFont="1" applyFill="1" applyBorder="1" applyProtection="1"/>
    <xf numFmtId="168" fontId="3" fillId="0" borderId="13" xfId="0" applyNumberFormat="1" applyFont="1" applyFill="1" applyBorder="1" applyProtection="1"/>
    <xf numFmtId="169" fontId="3" fillId="0" borderId="12" xfId="0" applyNumberFormat="1" applyFont="1" applyFill="1" applyBorder="1" applyAlignment="1" applyProtection="1">
      <alignment horizontal="center"/>
    </xf>
    <xf numFmtId="169" fontId="3" fillId="0" borderId="13" xfId="0" applyNumberFormat="1" applyFont="1" applyFill="1" applyBorder="1" applyAlignment="1" applyProtection="1">
      <alignment horizontal="center"/>
    </xf>
    <xf numFmtId="169" fontId="3" fillId="2" borderId="12" xfId="0" applyNumberFormat="1" applyFont="1" applyFill="1" applyBorder="1" applyAlignment="1" applyProtection="1">
      <alignment horizontal="center"/>
    </xf>
    <xf numFmtId="168" fontId="36" fillId="3" borderId="6" xfId="0" applyNumberFormat="1" applyFont="1" applyFill="1" applyBorder="1" applyProtection="1"/>
    <xf numFmtId="168" fontId="36" fillId="3" borderId="14" xfId="0" applyNumberFormat="1" applyFont="1" applyFill="1" applyBorder="1" applyProtection="1"/>
    <xf numFmtId="168" fontId="36" fillId="3" borderId="7" xfId="0" applyNumberFormat="1" applyFont="1" applyFill="1" applyBorder="1" applyProtection="1"/>
    <xf numFmtId="4" fontId="39" fillId="4" borderId="6" xfId="0" applyNumberFormat="1" applyFont="1" applyFill="1" applyBorder="1" applyAlignment="1" applyProtection="1">
      <alignment horizontal="center"/>
    </xf>
    <xf numFmtId="4" fontId="37" fillId="4" borderId="7" xfId="0" applyNumberFormat="1" applyFont="1" applyFill="1" applyBorder="1" applyAlignment="1" applyProtection="1">
      <alignment horizontal="center"/>
    </xf>
    <xf numFmtId="169" fontId="3" fillId="0" borderId="15" xfId="0" applyNumberFormat="1" applyFont="1" applyFill="1" applyBorder="1" applyAlignment="1" applyProtection="1">
      <alignment horizontal="center"/>
    </xf>
    <xf numFmtId="4" fontId="31" fillId="2" borderId="0" xfId="0" applyNumberFormat="1" applyFont="1" applyFill="1" applyProtection="1"/>
    <xf numFmtId="4" fontId="39" fillId="4" borderId="16" xfId="0" applyNumberFormat="1" applyFont="1" applyFill="1" applyBorder="1" applyProtection="1"/>
    <xf numFmtId="4" fontId="37" fillId="4" borderId="17" xfId="0" applyNumberFormat="1" applyFont="1" applyFill="1" applyBorder="1" applyAlignment="1" applyProtection="1">
      <alignment horizontal="center"/>
    </xf>
    <xf numFmtId="4" fontId="39" fillId="4" borderId="18" xfId="0" applyNumberFormat="1" applyFont="1" applyFill="1" applyBorder="1" applyAlignment="1" applyProtection="1">
      <alignment horizontal="center"/>
    </xf>
    <xf numFmtId="4" fontId="37" fillId="4" borderId="19" xfId="0" applyNumberFormat="1" applyFont="1" applyFill="1" applyBorder="1" applyAlignment="1" applyProtection="1">
      <alignment horizontal="center"/>
    </xf>
    <xf numFmtId="0" fontId="0" fillId="2" borderId="0" xfId="0" applyFill="1" applyProtection="1"/>
    <xf numFmtId="0" fontId="0" fillId="2" borderId="0" xfId="0" applyFill="1" applyBorder="1" applyProtection="1"/>
    <xf numFmtId="0" fontId="3" fillId="2" borderId="0" xfId="0" applyFont="1" applyFill="1" applyBorder="1" applyAlignment="1" applyProtection="1">
      <alignment vertical="center"/>
    </xf>
    <xf numFmtId="38" fontId="6" fillId="2" borderId="0" xfId="10" applyNumberFormat="1" applyFont="1" applyFill="1" applyAlignment="1" applyProtection="1">
      <alignment horizontal="left" vertical="center"/>
    </xf>
    <xf numFmtId="38" fontId="6" fillId="2" borderId="0" xfId="10" applyNumberFormat="1" applyFont="1" applyFill="1" applyBorder="1" applyAlignment="1" applyProtection="1">
      <alignment horizontal="left" vertical="center"/>
    </xf>
    <xf numFmtId="0" fontId="7" fillId="2" borderId="0" xfId="0" applyFont="1" applyFill="1" applyAlignment="1" applyProtection="1">
      <alignment vertical="center"/>
    </xf>
    <xf numFmtId="0" fontId="3" fillId="2" borderId="0" xfId="0" applyFont="1" applyFill="1" applyProtection="1"/>
    <xf numFmtId="0" fontId="15" fillId="2" borderId="0" xfId="0" applyFont="1" applyFill="1" applyProtection="1"/>
    <xf numFmtId="0" fontId="3" fillId="2" borderId="0" xfId="0" applyFont="1" applyFill="1" applyBorder="1" applyProtection="1"/>
    <xf numFmtId="0" fontId="2" fillId="2" borderId="0" xfId="0" applyFont="1" applyFill="1" applyBorder="1" applyProtection="1"/>
    <xf numFmtId="0" fontId="2" fillId="2" borderId="0" xfId="0" applyFont="1" applyFill="1" applyBorder="1" applyAlignment="1" applyProtection="1">
      <alignment vertical="center"/>
    </xf>
    <xf numFmtId="0" fontId="17" fillId="6" borderId="0" xfId="0" applyFont="1" applyFill="1" applyBorder="1" applyAlignment="1" applyProtection="1"/>
    <xf numFmtId="169" fontId="3" fillId="0" borderId="20" xfId="0" applyNumberFormat="1" applyFont="1" applyFill="1" applyBorder="1" applyAlignment="1" applyProtection="1">
      <alignment horizontal="center"/>
    </xf>
    <xf numFmtId="168" fontId="3" fillId="0" borderId="21" xfId="0" applyNumberFormat="1" applyFont="1" applyFill="1" applyBorder="1" applyProtection="1"/>
    <xf numFmtId="168" fontId="3" fillId="0" borderId="22" xfId="0" applyNumberFormat="1" applyFont="1" applyFill="1" applyBorder="1" applyProtection="1"/>
    <xf numFmtId="4" fontId="39" fillId="4" borderId="23" xfId="0" applyNumberFormat="1" applyFont="1" applyFill="1" applyBorder="1" applyProtection="1"/>
    <xf numFmtId="4" fontId="37" fillId="4" borderId="24" xfId="0" applyNumberFormat="1" applyFont="1" applyFill="1" applyBorder="1" applyAlignment="1" applyProtection="1">
      <alignment horizontal="center"/>
    </xf>
    <xf numFmtId="169" fontId="3" fillId="0" borderId="22" xfId="0" applyNumberFormat="1" applyFont="1" applyFill="1" applyBorder="1" applyAlignment="1" applyProtection="1">
      <alignment horizontal="center"/>
    </xf>
    <xf numFmtId="4" fontId="37" fillId="4" borderId="25" xfId="0" applyNumberFormat="1" applyFont="1" applyFill="1" applyBorder="1" applyAlignment="1" applyProtection="1">
      <alignment horizontal="center"/>
    </xf>
    <xf numFmtId="4" fontId="39" fillId="4" borderId="26" xfId="0" applyNumberFormat="1" applyFont="1" applyFill="1" applyBorder="1" applyAlignment="1" applyProtection="1">
      <alignment horizontal="center"/>
    </xf>
    <xf numFmtId="4" fontId="39" fillId="4" borderId="27" xfId="0" applyNumberFormat="1" applyFont="1" applyFill="1" applyBorder="1" applyAlignment="1" applyProtection="1">
      <alignment horizontal="center"/>
    </xf>
    <xf numFmtId="4" fontId="39" fillId="4" borderId="28" xfId="0" applyNumberFormat="1" applyFont="1" applyFill="1" applyBorder="1" applyAlignment="1" applyProtection="1">
      <alignment horizontal="center"/>
    </xf>
    <xf numFmtId="4" fontId="37" fillId="4" borderId="29" xfId="0" applyNumberFormat="1" applyFont="1" applyFill="1" applyBorder="1" applyAlignment="1" applyProtection="1">
      <alignment horizontal="center"/>
    </xf>
    <xf numFmtId="4" fontId="37" fillId="4" borderId="30" xfId="0" applyNumberFormat="1" applyFont="1" applyFill="1" applyBorder="1" applyAlignment="1" applyProtection="1">
      <alignment horizontal="center"/>
    </xf>
    <xf numFmtId="4" fontId="39" fillId="4" borderId="31" xfId="0" applyNumberFormat="1" applyFont="1" applyFill="1" applyBorder="1" applyProtection="1"/>
    <xf numFmtId="4" fontId="43" fillId="7" borderId="32" xfId="0" applyNumberFormat="1" applyFont="1" applyFill="1" applyBorder="1" applyAlignment="1" applyProtection="1">
      <alignment horizontal="center"/>
    </xf>
    <xf numFmtId="4" fontId="43" fillId="7" borderId="33" xfId="0" applyNumberFormat="1" applyFont="1" applyFill="1" applyBorder="1" applyAlignment="1" applyProtection="1">
      <alignment horizontal="center"/>
    </xf>
    <xf numFmtId="4" fontId="45" fillId="7" borderId="34" xfId="0" applyNumberFormat="1" applyFont="1" applyFill="1" applyBorder="1" applyAlignment="1" applyProtection="1">
      <alignment horizontal="center"/>
    </xf>
    <xf numFmtId="4" fontId="45" fillId="7" borderId="35" xfId="0" applyNumberFormat="1" applyFont="1" applyFill="1" applyBorder="1" applyAlignment="1" applyProtection="1">
      <alignment horizontal="center"/>
    </xf>
    <xf numFmtId="4" fontId="39" fillId="4" borderId="36" xfId="0" applyNumberFormat="1" applyFont="1" applyFill="1" applyBorder="1" applyProtection="1"/>
    <xf numFmtId="4" fontId="37" fillId="4" borderId="37" xfId="0" applyNumberFormat="1" applyFont="1" applyFill="1" applyBorder="1" applyAlignment="1" applyProtection="1">
      <alignment horizontal="center"/>
    </xf>
    <xf numFmtId="4" fontId="37" fillId="4" borderId="38" xfId="0" applyNumberFormat="1" applyFont="1" applyFill="1" applyBorder="1" applyAlignment="1" applyProtection="1">
      <alignment horizontal="center"/>
    </xf>
    <xf numFmtId="4" fontId="39" fillId="4" borderId="39" xfId="0" applyNumberFormat="1" applyFont="1" applyFill="1" applyBorder="1" applyAlignment="1" applyProtection="1">
      <alignment horizontal="center"/>
    </xf>
    <xf numFmtId="4" fontId="39" fillId="4" borderId="34" xfId="0" applyNumberFormat="1" applyFont="1" applyFill="1" applyBorder="1" applyAlignment="1" applyProtection="1">
      <alignment horizontal="center"/>
    </xf>
    <xf numFmtId="4" fontId="37" fillId="4" borderId="33" xfId="0" applyNumberFormat="1" applyFont="1" applyFill="1" applyBorder="1" applyAlignment="1" applyProtection="1">
      <alignment horizontal="center"/>
    </xf>
    <xf numFmtId="4" fontId="37" fillId="4" borderId="40" xfId="0" applyNumberFormat="1" applyFont="1" applyFill="1" applyBorder="1" applyAlignment="1" applyProtection="1">
      <alignment horizontal="center"/>
    </xf>
    <xf numFmtId="4" fontId="39" fillId="4" borderId="41" xfId="0" applyNumberFormat="1" applyFont="1" applyFill="1" applyBorder="1" applyProtection="1"/>
    <xf numFmtId="4" fontId="37" fillId="4" borderId="42" xfId="0" applyNumberFormat="1" applyFont="1" applyFill="1" applyBorder="1" applyAlignment="1" applyProtection="1">
      <alignment horizontal="center"/>
    </xf>
    <xf numFmtId="4" fontId="37" fillId="4" borderId="43" xfId="0" applyNumberFormat="1" applyFont="1" applyFill="1" applyBorder="1" applyAlignment="1" applyProtection="1">
      <alignment horizontal="center"/>
    </xf>
    <xf numFmtId="4" fontId="39" fillId="4" borderId="44" xfId="0" applyNumberFormat="1" applyFont="1" applyFill="1" applyBorder="1" applyAlignment="1" applyProtection="1">
      <alignment horizontal="center"/>
    </xf>
    <xf numFmtId="4" fontId="39" fillId="4" borderId="45" xfId="0" applyNumberFormat="1" applyFont="1" applyFill="1" applyBorder="1" applyAlignment="1" applyProtection="1">
      <alignment horizontal="center"/>
    </xf>
    <xf numFmtId="4" fontId="37" fillId="4" borderId="46" xfId="0" applyNumberFormat="1" applyFont="1" applyFill="1" applyBorder="1" applyAlignment="1" applyProtection="1">
      <alignment horizontal="center"/>
    </xf>
    <xf numFmtId="0" fontId="2" fillId="5" borderId="47" xfId="0" applyFont="1" applyFill="1" applyBorder="1" applyProtection="1"/>
    <xf numFmtId="0" fontId="3" fillId="5" borderId="48" xfId="0" applyFont="1" applyFill="1" applyBorder="1" applyProtection="1"/>
    <xf numFmtId="0" fontId="3" fillId="5" borderId="49" xfId="0" applyFont="1" applyFill="1" applyBorder="1" applyProtection="1"/>
    <xf numFmtId="0" fontId="2" fillId="5" borderId="50" xfId="0" applyFont="1" applyFill="1" applyBorder="1" applyProtection="1"/>
    <xf numFmtId="0" fontId="3" fillId="5" borderId="51" xfId="0" applyFont="1" applyFill="1" applyBorder="1" applyProtection="1"/>
    <xf numFmtId="0" fontId="3" fillId="5" borderId="52" xfId="0" applyFont="1" applyFill="1" applyBorder="1" applyProtection="1"/>
    <xf numFmtId="0" fontId="2" fillId="2" borderId="50" xfId="0" applyFont="1" applyFill="1" applyBorder="1" applyProtection="1"/>
    <xf numFmtId="0" fontId="3" fillId="2" borderId="51" xfId="0" applyFont="1" applyFill="1" applyBorder="1" applyProtection="1"/>
    <xf numFmtId="0" fontId="3" fillId="2" borderId="52" xfId="0" applyFont="1" applyFill="1" applyBorder="1" applyProtection="1"/>
    <xf numFmtId="0" fontId="20" fillId="6" borderId="53" xfId="0" applyFont="1" applyFill="1" applyBorder="1" applyAlignment="1" applyProtection="1">
      <alignment horizontal="left"/>
    </xf>
    <xf numFmtId="0" fontId="3" fillId="6" borderId="54" xfId="0" applyFont="1" applyFill="1" applyBorder="1" applyAlignment="1" applyProtection="1">
      <alignment horizontal="right"/>
    </xf>
    <xf numFmtId="0" fontId="3" fillId="6" borderId="55" xfId="0" applyFont="1" applyFill="1" applyBorder="1" applyAlignment="1" applyProtection="1">
      <alignment horizontal="right"/>
    </xf>
    <xf numFmtId="0" fontId="37" fillId="4" borderId="56" xfId="0" applyFont="1" applyFill="1" applyBorder="1" applyAlignment="1" applyProtection="1">
      <alignment horizontal="left"/>
    </xf>
    <xf numFmtId="0" fontId="38" fillId="4" borderId="57" xfId="0" applyFont="1" applyFill="1" applyBorder="1" applyAlignment="1" applyProtection="1">
      <alignment horizontal="right"/>
    </xf>
    <xf numFmtId="0" fontId="38" fillId="4" borderId="58" xfId="0" applyFont="1" applyFill="1" applyBorder="1" applyAlignment="1" applyProtection="1">
      <alignment horizontal="right"/>
    </xf>
    <xf numFmtId="0" fontId="0" fillId="2" borderId="5" xfId="0" applyFill="1" applyBorder="1" applyProtection="1"/>
    <xf numFmtId="0" fontId="3" fillId="5" borderId="59" xfId="0" applyFont="1" applyFill="1" applyBorder="1" applyProtection="1"/>
    <xf numFmtId="0" fontId="3" fillId="5" borderId="60" xfId="0" applyFont="1" applyFill="1" applyBorder="1" applyProtection="1"/>
    <xf numFmtId="0" fontId="20" fillId="6" borderId="56" xfId="0" applyFont="1" applyFill="1" applyBorder="1" applyAlignment="1" applyProtection="1">
      <alignment horizontal="left"/>
    </xf>
    <xf numFmtId="0" fontId="3" fillId="6" borderId="57" xfId="0" applyFont="1" applyFill="1" applyBorder="1" applyAlignment="1" applyProtection="1">
      <alignment horizontal="right"/>
    </xf>
    <xf numFmtId="0" fontId="3" fillId="6" borderId="58" xfId="0" applyFont="1" applyFill="1" applyBorder="1" applyAlignment="1" applyProtection="1">
      <alignment horizontal="right"/>
    </xf>
    <xf numFmtId="0" fontId="2" fillId="2" borderId="0" xfId="0" applyFont="1" applyFill="1" applyProtection="1"/>
    <xf numFmtId="0" fontId="37" fillId="4" borderId="61" xfId="0" applyFont="1" applyFill="1" applyBorder="1" applyAlignment="1" applyProtection="1">
      <alignment horizontal="left"/>
    </xf>
    <xf numFmtId="0" fontId="38" fillId="4" borderId="62" xfId="0" applyFont="1" applyFill="1" applyBorder="1" applyAlignment="1" applyProtection="1">
      <alignment horizontal="right"/>
    </xf>
    <xf numFmtId="0" fontId="38" fillId="4" borderId="63" xfId="0" applyFont="1" applyFill="1" applyBorder="1" applyAlignment="1" applyProtection="1">
      <alignment horizontal="right"/>
    </xf>
    <xf numFmtId="0" fontId="2" fillId="2" borderId="0" xfId="0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center" vertical="center"/>
    </xf>
    <xf numFmtId="0" fontId="2" fillId="5" borderId="64" xfId="0" applyFont="1" applyFill="1" applyBorder="1" applyAlignment="1" applyProtection="1">
      <alignment horizontal="center"/>
    </xf>
    <xf numFmtId="0" fontId="2" fillId="5" borderId="65" xfId="0" applyFont="1" applyFill="1" applyBorder="1" applyAlignment="1" applyProtection="1">
      <alignment horizontal="center"/>
    </xf>
    <xf numFmtId="0" fontId="2" fillId="2" borderId="65" xfId="0" applyFont="1" applyFill="1" applyBorder="1" applyAlignment="1" applyProtection="1">
      <alignment horizontal="center"/>
    </xf>
    <xf numFmtId="0" fontId="0" fillId="2" borderId="5" xfId="0" applyFill="1" applyBorder="1" applyAlignment="1" applyProtection="1">
      <alignment horizontal="center"/>
    </xf>
    <xf numFmtId="0" fontId="2" fillId="5" borderId="66" xfId="0" applyFont="1" applyFill="1" applyBorder="1" applyAlignment="1" applyProtection="1">
      <alignment horizontal="center"/>
    </xf>
    <xf numFmtId="0" fontId="20" fillId="6" borderId="67" xfId="0" applyFont="1" applyFill="1" applyBorder="1" applyAlignment="1" applyProtection="1">
      <alignment horizontal="center"/>
    </xf>
    <xf numFmtId="0" fontId="2" fillId="2" borderId="0" xfId="0" applyFont="1" applyFill="1" applyAlignment="1" applyProtection="1">
      <alignment horizontal="center"/>
    </xf>
    <xf numFmtId="0" fontId="0" fillId="2" borderId="0" xfId="0" applyFill="1" applyAlignment="1" applyProtection="1">
      <alignment horizontal="center"/>
    </xf>
    <xf numFmtId="168" fontId="3" fillId="0" borderId="1" xfId="0" applyNumberFormat="1" applyFont="1" applyFill="1" applyBorder="1" applyProtection="1">
      <protection locked="0"/>
    </xf>
    <xf numFmtId="168" fontId="3" fillId="0" borderId="2" xfId="0" applyNumberFormat="1" applyFont="1" applyFill="1" applyBorder="1" applyProtection="1">
      <protection locked="0"/>
    </xf>
    <xf numFmtId="168" fontId="3" fillId="0" borderId="12" xfId="0" applyNumberFormat="1" applyFont="1" applyFill="1" applyBorder="1" applyProtection="1">
      <protection locked="0"/>
    </xf>
    <xf numFmtId="168" fontId="3" fillId="0" borderId="20" xfId="0" applyNumberFormat="1" applyFont="1" applyFill="1" applyBorder="1" applyProtection="1">
      <protection locked="0"/>
    </xf>
    <xf numFmtId="168" fontId="3" fillId="0" borderId="68" xfId="0" applyNumberFormat="1" applyFont="1" applyFill="1" applyBorder="1" applyProtection="1">
      <protection locked="0"/>
    </xf>
    <xf numFmtId="168" fontId="3" fillId="0" borderId="69" xfId="0" applyNumberFormat="1" applyFont="1" applyFill="1" applyBorder="1" applyProtection="1">
      <protection locked="0"/>
    </xf>
    <xf numFmtId="168" fontId="3" fillId="0" borderId="21" xfId="0" applyNumberFormat="1" applyFont="1" applyFill="1" applyBorder="1" applyProtection="1">
      <protection locked="0"/>
    </xf>
    <xf numFmtId="168" fontId="3" fillId="0" borderId="15" xfId="0" applyNumberFormat="1" applyFont="1" applyFill="1" applyBorder="1" applyProtection="1">
      <protection locked="0"/>
    </xf>
    <xf numFmtId="16" fontId="20" fillId="6" borderId="70" xfId="0" applyNumberFormat="1" applyFont="1" applyFill="1" applyBorder="1" applyAlignment="1" applyProtection="1">
      <alignment horizontal="center"/>
    </xf>
    <xf numFmtId="16" fontId="46" fillId="4" borderId="67" xfId="0" applyNumberFormat="1" applyFont="1" applyFill="1" applyBorder="1" applyAlignment="1" applyProtection="1">
      <alignment horizontal="center"/>
    </xf>
    <xf numFmtId="0" fontId="46" fillId="4" borderId="67" xfId="0" applyFont="1" applyFill="1" applyBorder="1" applyAlignment="1" applyProtection="1">
      <alignment horizontal="center"/>
    </xf>
    <xf numFmtId="0" fontId="39" fillId="4" borderId="71" xfId="0" applyFont="1" applyFill="1" applyBorder="1" applyAlignment="1" applyProtection="1">
      <alignment horizontal="center"/>
    </xf>
    <xf numFmtId="4" fontId="30" fillId="5" borderId="72" xfId="0" applyNumberFormat="1" applyFont="1" applyFill="1" applyBorder="1" applyAlignment="1" applyProtection="1">
      <alignment vertical="center"/>
    </xf>
    <xf numFmtId="4" fontId="30" fillId="5" borderId="73" xfId="0" applyNumberFormat="1" applyFont="1" applyFill="1" applyBorder="1" applyAlignment="1" applyProtection="1">
      <alignment vertical="center"/>
    </xf>
    <xf numFmtId="4" fontId="30" fillId="5" borderId="74" xfId="0" applyNumberFormat="1" applyFont="1" applyFill="1" applyBorder="1" applyAlignment="1" applyProtection="1">
      <alignment vertical="center"/>
    </xf>
    <xf numFmtId="4" fontId="30" fillId="5" borderId="75" xfId="0" applyNumberFormat="1" applyFont="1" applyFill="1" applyBorder="1" applyAlignment="1" applyProtection="1">
      <alignment vertical="center"/>
    </xf>
    <xf numFmtId="4" fontId="30" fillId="5" borderId="76" xfId="0" applyNumberFormat="1" applyFont="1" applyFill="1" applyBorder="1" applyAlignment="1" applyProtection="1">
      <alignment vertical="center"/>
    </xf>
    <xf numFmtId="4" fontId="44" fillId="5" borderId="72" xfId="0" applyNumberFormat="1" applyFont="1" applyFill="1" applyBorder="1" applyAlignment="1" applyProtection="1">
      <alignment vertical="center"/>
    </xf>
    <xf numFmtId="4" fontId="44" fillId="5" borderId="73" xfId="0" applyNumberFormat="1" applyFont="1" applyFill="1" applyBorder="1" applyAlignment="1" applyProtection="1">
      <alignment vertical="center"/>
    </xf>
    <xf numFmtId="4" fontId="44" fillId="5" borderId="74" xfId="0" applyNumberFormat="1" applyFont="1" applyFill="1" applyBorder="1" applyAlignment="1" applyProtection="1">
      <alignment vertical="center"/>
    </xf>
    <xf numFmtId="4" fontId="44" fillId="5" borderId="75" xfId="0" applyNumberFormat="1" applyFont="1" applyFill="1" applyBorder="1" applyAlignment="1" applyProtection="1">
      <alignment vertical="center"/>
    </xf>
    <xf numFmtId="4" fontId="44" fillId="5" borderId="76" xfId="0" applyNumberFormat="1" applyFont="1" applyFill="1" applyBorder="1" applyAlignment="1" applyProtection="1">
      <alignment vertical="center"/>
    </xf>
    <xf numFmtId="4" fontId="2" fillId="5" borderId="77" xfId="0" applyNumberFormat="1" applyFont="1" applyFill="1" applyBorder="1" applyAlignment="1" applyProtection="1">
      <alignment vertical="top"/>
    </xf>
    <xf numFmtId="4" fontId="3" fillId="5" borderId="78" xfId="0" applyNumberFormat="1" applyFont="1" applyFill="1" applyBorder="1" applyAlignment="1" applyProtection="1">
      <alignment horizontal="left" vertical="top"/>
    </xf>
    <xf numFmtId="4" fontId="3" fillId="5" borderId="11" xfId="0" applyNumberFormat="1" applyFont="1" applyFill="1" applyBorder="1" applyAlignment="1" applyProtection="1">
      <alignment horizontal="left"/>
    </xf>
    <xf numFmtId="4" fontId="6" fillId="5" borderId="79" xfId="0" applyNumberFormat="1" applyFont="1" applyFill="1" applyBorder="1" applyAlignment="1" applyProtection="1"/>
    <xf numFmtId="4" fontId="3" fillId="5" borderId="80" xfId="0" applyNumberFormat="1" applyFont="1" applyFill="1" applyBorder="1" applyAlignment="1" applyProtection="1">
      <alignment horizontal="left"/>
    </xf>
    <xf numFmtId="0" fontId="47" fillId="2" borderId="0" xfId="0" applyFont="1" applyFill="1"/>
    <xf numFmtId="0" fontId="2" fillId="5" borderId="0" xfId="9" applyFont="1" applyFill="1" applyProtection="1"/>
    <xf numFmtId="0" fontId="7" fillId="5" borderId="0" xfId="9" applyFont="1" applyFill="1" applyBorder="1" applyAlignment="1" applyProtection="1">
      <alignment horizontal="center"/>
    </xf>
    <xf numFmtId="0" fontId="22" fillId="5" borderId="0" xfId="9" applyFont="1" applyFill="1" applyProtection="1"/>
    <xf numFmtId="0" fontId="7" fillId="5" borderId="0" xfId="9" applyFont="1" applyFill="1" applyProtection="1"/>
    <xf numFmtId="0" fontId="7" fillId="2" borderId="0" xfId="9" applyFont="1" applyFill="1" applyProtection="1"/>
    <xf numFmtId="0" fontId="2" fillId="5" borderId="0" xfId="9" applyFont="1" applyFill="1" applyBorder="1" applyAlignment="1" applyProtection="1">
      <alignment horizontal="center"/>
    </xf>
    <xf numFmtId="164" fontId="3" fillId="5" borderId="0" xfId="10" applyNumberFormat="1" applyFont="1" applyFill="1" applyAlignment="1" applyProtection="1"/>
    <xf numFmtId="38" fontId="3" fillId="5" borderId="0" xfId="10" applyNumberFormat="1" applyFont="1" applyFill="1" applyProtection="1"/>
    <xf numFmtId="0" fontId="8" fillId="5" borderId="0" xfId="9" applyFont="1" applyFill="1" applyBorder="1" applyAlignment="1" applyProtection="1">
      <alignment horizontal="left"/>
    </xf>
    <xf numFmtId="0" fontId="8" fillId="5" borderId="48" xfId="9" applyFont="1" applyFill="1" applyBorder="1" applyAlignment="1" applyProtection="1">
      <alignment horizontal="left"/>
    </xf>
    <xf numFmtId="164" fontId="8" fillId="5" borderId="48" xfId="10" applyNumberFormat="1" applyFont="1" applyFill="1" applyBorder="1" applyAlignment="1" applyProtection="1">
      <alignment horizontal="left"/>
    </xf>
    <xf numFmtId="0" fontId="7" fillId="5" borderId="48" xfId="9" applyFont="1" applyFill="1" applyBorder="1" applyAlignment="1" applyProtection="1">
      <alignment horizontal="center"/>
    </xf>
    <xf numFmtId="38" fontId="15" fillId="5" borderId="0" xfId="10" applyNumberFormat="1" applyFont="1" applyFill="1" applyAlignment="1" applyProtection="1"/>
    <xf numFmtId="38" fontId="24" fillId="5" borderId="81" xfId="10" applyNumberFormat="1" applyFont="1" applyFill="1" applyBorder="1" applyAlignment="1" applyProtection="1">
      <alignment horizontal="center"/>
    </xf>
    <xf numFmtId="38" fontId="2" fillId="5" borderId="0" xfId="10" applyNumberFormat="1" applyFont="1" applyFill="1" applyAlignment="1" applyProtection="1">
      <alignment horizontal="left"/>
    </xf>
    <xf numFmtId="38" fontId="24" fillId="5" borderId="0" xfId="10" applyNumberFormat="1" applyFont="1" applyFill="1" applyAlignment="1" applyProtection="1">
      <alignment horizontal="center"/>
    </xf>
    <xf numFmtId="164" fontId="3" fillId="5" borderId="0" xfId="10" applyNumberFormat="1" applyFont="1" applyFill="1" applyBorder="1" applyAlignment="1" applyProtection="1"/>
    <xf numFmtId="0" fontId="12" fillId="5" borderId="82" xfId="9" applyFont="1" applyFill="1" applyBorder="1" applyAlignment="1" applyProtection="1">
      <alignment vertical="center"/>
    </xf>
    <xf numFmtId="164" fontId="3" fillId="5" borderId="83" xfId="10" applyNumberFormat="1" applyFont="1" applyFill="1" applyBorder="1" applyAlignment="1" applyProtection="1">
      <alignment vertical="center"/>
    </xf>
    <xf numFmtId="0" fontId="25" fillId="5" borderId="82" xfId="9" applyFont="1" applyFill="1" applyBorder="1" applyAlignment="1" applyProtection="1">
      <alignment vertical="center"/>
    </xf>
    <xf numFmtId="0" fontId="7" fillId="5" borderId="83" xfId="9" applyFont="1" applyFill="1" applyBorder="1" applyProtection="1"/>
    <xf numFmtId="164" fontId="3" fillId="5" borderId="84" xfId="10" applyNumberFormat="1" applyFont="1" applyFill="1" applyBorder="1" applyAlignment="1" applyProtection="1">
      <alignment horizontal="center" vertical="center"/>
    </xf>
    <xf numFmtId="38" fontId="2" fillId="5" borderId="8" xfId="10" applyNumberFormat="1" applyFont="1" applyFill="1" applyBorder="1" applyAlignment="1" applyProtection="1"/>
    <xf numFmtId="167" fontId="2" fillId="5" borderId="85" xfId="10" applyNumberFormat="1" applyFont="1" applyFill="1" applyBorder="1" applyAlignment="1" applyProtection="1">
      <alignment horizontal="center"/>
    </xf>
    <xf numFmtId="38" fontId="2" fillId="0" borderId="8" xfId="10" applyNumberFormat="1" applyFont="1" applyBorder="1" applyAlignment="1" applyProtection="1"/>
    <xf numFmtId="167" fontId="2" fillId="0" borderId="85" xfId="10" applyNumberFormat="1" applyFont="1" applyBorder="1" applyAlignment="1" applyProtection="1">
      <alignment horizontal="center"/>
    </xf>
    <xf numFmtId="164" fontId="3" fillId="0" borderId="86" xfId="10" applyNumberFormat="1" applyFont="1" applyBorder="1" applyAlignment="1" applyProtection="1"/>
    <xf numFmtId="38" fontId="3" fillId="0" borderId="8" xfId="10" applyNumberFormat="1" applyFont="1" applyBorder="1" applyAlignment="1" applyProtection="1"/>
    <xf numFmtId="167" fontId="3" fillId="0" borderId="85" xfId="10" applyNumberFormat="1" applyFont="1" applyBorder="1" applyAlignment="1" applyProtection="1">
      <alignment horizontal="center"/>
    </xf>
    <xf numFmtId="38" fontId="2" fillId="8" borderId="87" xfId="10" applyNumberFormat="1" applyFont="1" applyFill="1" applyBorder="1" applyAlignment="1" applyProtection="1"/>
    <xf numFmtId="167" fontId="2" fillId="8" borderId="88" xfId="10" applyNumberFormat="1" applyFont="1" applyFill="1" applyBorder="1" applyAlignment="1" applyProtection="1">
      <alignment horizontal="center"/>
    </xf>
    <xf numFmtId="38" fontId="6" fillId="0" borderId="89" xfId="10" applyNumberFormat="1" applyFont="1" applyBorder="1" applyAlignment="1" applyProtection="1"/>
    <xf numFmtId="167" fontId="8" fillId="0" borderId="90" xfId="10" applyNumberFormat="1" applyFont="1" applyBorder="1" applyAlignment="1" applyProtection="1">
      <alignment horizontal="center"/>
    </xf>
    <xf numFmtId="167" fontId="8" fillId="5" borderId="0" xfId="10" applyNumberFormat="1" applyFont="1" applyFill="1" applyBorder="1" applyAlignment="1" applyProtection="1">
      <alignment horizontal="center"/>
    </xf>
    <xf numFmtId="164" fontId="2" fillId="5" borderId="0" xfId="10" applyNumberFormat="1" applyFont="1" applyFill="1" applyBorder="1" applyAlignment="1" applyProtection="1"/>
    <xf numFmtId="38" fontId="2" fillId="0" borderId="8" xfId="10" applyNumberFormat="1" applyFont="1" applyFill="1" applyBorder="1" applyAlignment="1" applyProtection="1"/>
    <xf numFmtId="167" fontId="2" fillId="0" borderId="85" xfId="10" applyNumberFormat="1" applyFont="1" applyFill="1" applyBorder="1" applyAlignment="1" applyProtection="1">
      <alignment horizontal="center" vertical="center"/>
    </xf>
    <xf numFmtId="167" fontId="2" fillId="5" borderId="85" xfId="10" applyNumberFormat="1" applyFont="1" applyFill="1" applyBorder="1" applyAlignment="1" applyProtection="1">
      <alignment horizontal="center" vertical="center"/>
    </xf>
    <xf numFmtId="167" fontId="2" fillId="8" borderId="88" xfId="10" applyNumberFormat="1" applyFont="1" applyFill="1" applyBorder="1" applyAlignment="1" applyProtection="1">
      <alignment horizontal="center" vertical="center"/>
    </xf>
    <xf numFmtId="167" fontId="2" fillId="0" borderId="85" xfId="10" applyNumberFormat="1" applyFont="1" applyBorder="1" applyAlignment="1" applyProtection="1">
      <alignment horizontal="center" vertical="center"/>
    </xf>
    <xf numFmtId="167" fontId="2" fillId="9" borderId="88" xfId="10" applyNumberFormat="1" applyFont="1" applyFill="1" applyBorder="1" applyAlignment="1" applyProtection="1">
      <alignment horizontal="center" vertical="center"/>
    </xf>
    <xf numFmtId="38" fontId="2" fillId="0" borderId="89" xfId="10" applyNumberFormat="1" applyFont="1" applyBorder="1" applyAlignment="1" applyProtection="1"/>
    <xf numFmtId="167" fontId="8" fillId="0" borderId="90" xfId="10" applyNumberFormat="1" applyFont="1" applyBorder="1" applyAlignment="1" applyProtection="1">
      <alignment horizontal="center" vertical="center"/>
    </xf>
    <xf numFmtId="38" fontId="2" fillId="5" borderId="0" xfId="10" applyNumberFormat="1" applyFont="1" applyFill="1" applyBorder="1" applyAlignment="1" applyProtection="1"/>
    <xf numFmtId="0" fontId="15" fillId="5" borderId="0" xfId="9" applyFont="1" applyFill="1" applyProtection="1"/>
    <xf numFmtId="164" fontId="3" fillId="5" borderId="0" xfId="10" applyNumberFormat="1" applyFont="1" applyFill="1" applyProtection="1"/>
    <xf numFmtId="166" fontId="30" fillId="5" borderId="0" xfId="10" applyNumberFormat="1" applyFont="1" applyFill="1" applyProtection="1"/>
    <xf numFmtId="164" fontId="2" fillId="5" borderId="0" xfId="10" applyNumberFormat="1" applyFont="1" applyFill="1" applyProtection="1"/>
    <xf numFmtId="38" fontId="2" fillId="5" borderId="0" xfId="10" applyNumberFormat="1" applyFont="1" applyFill="1" applyAlignment="1" applyProtection="1">
      <alignment horizontal="right"/>
    </xf>
    <xf numFmtId="0" fontId="7" fillId="5" borderId="48" xfId="9" applyFont="1" applyFill="1" applyBorder="1" applyProtection="1"/>
    <xf numFmtId="164" fontId="3" fillId="2" borderId="0" xfId="10" applyNumberFormat="1" applyFont="1" applyFill="1" applyAlignment="1" applyProtection="1"/>
    <xf numFmtId="0" fontId="48" fillId="2" borderId="0" xfId="0" applyFont="1" applyFill="1"/>
    <xf numFmtId="168" fontId="3" fillId="0" borderId="1" xfId="0" applyNumberFormat="1" applyFont="1" applyFill="1" applyBorder="1" applyAlignment="1" applyProtection="1">
      <alignment horizontal="right"/>
      <protection locked="0"/>
    </xf>
    <xf numFmtId="0" fontId="2" fillId="2" borderId="0" xfId="0" applyFont="1" applyFill="1" applyBorder="1" applyAlignment="1" applyProtection="1">
      <alignment horizontal="center" vertical="center"/>
    </xf>
    <xf numFmtId="0" fontId="5" fillId="2" borderId="0" xfId="0" applyFont="1" applyFill="1" applyBorder="1" applyAlignment="1" applyProtection="1">
      <alignment horizontal="left" vertical="center"/>
    </xf>
    <xf numFmtId="164" fontId="5" fillId="2" borderId="0" xfId="10" applyNumberFormat="1" applyFont="1" applyFill="1" applyBorder="1" applyAlignment="1" applyProtection="1">
      <alignment vertical="center"/>
    </xf>
    <xf numFmtId="0" fontId="4" fillId="2" borderId="0" xfId="0" applyFont="1" applyFill="1" applyBorder="1" applyAlignment="1" applyProtection="1">
      <alignment horizontal="center" vertical="center"/>
    </xf>
    <xf numFmtId="0" fontId="9" fillId="2" borderId="0" xfId="0" applyFont="1" applyFill="1" applyAlignment="1" applyProtection="1">
      <alignment horizontal="left" vertical="center"/>
    </xf>
    <xf numFmtId="0" fontId="11" fillId="2" borderId="0" xfId="0" applyFont="1" applyFill="1" applyAlignment="1" applyProtection="1">
      <alignment vertical="center"/>
    </xf>
    <xf numFmtId="0" fontId="48" fillId="2" borderId="0" xfId="0" applyFont="1" applyFill="1" applyProtection="1"/>
    <xf numFmtId="164" fontId="8" fillId="5" borderId="0" xfId="10" applyNumberFormat="1" applyFont="1" applyFill="1" applyBorder="1" applyAlignment="1" applyProtection="1"/>
    <xf numFmtId="0" fontId="7" fillId="5" borderId="0" xfId="9" applyFont="1" applyFill="1" applyBorder="1" applyProtection="1"/>
    <xf numFmtId="164" fontId="8" fillId="5" borderId="0" xfId="10" applyNumberFormat="1" applyFont="1" applyFill="1" applyBorder="1" applyAlignment="1" applyProtection="1">
      <alignment horizontal="left"/>
    </xf>
    <xf numFmtId="38" fontId="6" fillId="5" borderId="48" xfId="10" applyNumberFormat="1" applyFont="1" applyFill="1" applyBorder="1" applyAlignment="1" applyProtection="1">
      <alignment horizontal="left"/>
    </xf>
    <xf numFmtId="168" fontId="3" fillId="0" borderId="86" xfId="10" applyNumberFormat="1" applyFont="1" applyBorder="1" applyAlignment="1" applyProtection="1"/>
    <xf numFmtId="168" fontId="2" fillId="0" borderId="91" xfId="10" applyNumberFormat="1" applyFont="1" applyBorder="1" applyAlignment="1" applyProtection="1"/>
    <xf numFmtId="168" fontId="3" fillId="5" borderId="0" xfId="10" applyNumberFormat="1" applyFont="1" applyFill="1" applyAlignment="1" applyProtection="1"/>
    <xf numFmtId="168" fontId="3" fillId="8" borderId="92" xfId="10" applyNumberFormat="1" applyFont="1" applyFill="1" applyBorder="1" applyAlignment="1" applyProtection="1"/>
    <xf numFmtId="168" fontId="2" fillId="8" borderId="93" xfId="10" applyNumberFormat="1" applyFont="1" applyFill="1" applyBorder="1" applyAlignment="1" applyProtection="1"/>
    <xf numFmtId="168" fontId="2" fillId="5" borderId="0" xfId="10" applyNumberFormat="1" applyFont="1" applyFill="1" applyBorder="1" applyAlignment="1" applyProtection="1"/>
    <xf numFmtId="168" fontId="3" fillId="5" borderId="0" xfId="10" applyNumberFormat="1" applyFont="1" applyFill="1" applyBorder="1" applyAlignment="1" applyProtection="1"/>
    <xf numFmtId="168" fontId="2" fillId="0" borderId="94" xfId="10" applyNumberFormat="1" applyFont="1" applyBorder="1" applyAlignment="1" applyProtection="1"/>
    <xf numFmtId="168" fontId="2" fillId="8" borderId="95" xfId="10" applyNumberFormat="1" applyFont="1" applyFill="1" applyBorder="1" applyAlignment="1" applyProtection="1"/>
    <xf numFmtId="1" fontId="3" fillId="5" borderId="0" xfId="10" applyNumberFormat="1" applyFont="1" applyFill="1" applyAlignment="1" applyProtection="1"/>
    <xf numFmtId="168" fontId="3" fillId="2" borderId="96" xfId="10" applyNumberFormat="1" applyFont="1" applyFill="1" applyBorder="1" applyAlignment="1" applyProtection="1"/>
    <xf numFmtId="168" fontId="2" fillId="2" borderId="97" xfId="10" applyNumberFormat="1" applyFont="1" applyFill="1" applyBorder="1" applyAlignment="1" applyProtection="1"/>
    <xf numFmtId="0" fontId="2" fillId="10" borderId="0" xfId="9" applyFont="1" applyFill="1" applyProtection="1"/>
    <xf numFmtId="0" fontId="7" fillId="10" borderId="0" xfId="9" applyFont="1" applyFill="1" applyBorder="1" applyAlignment="1" applyProtection="1">
      <alignment horizontal="center"/>
    </xf>
    <xf numFmtId="0" fontId="22" fillId="10" borderId="0" xfId="9" applyFont="1" applyFill="1" applyProtection="1"/>
    <xf numFmtId="0" fontId="7" fillId="10" borderId="0" xfId="9" applyFont="1" applyFill="1" applyProtection="1"/>
    <xf numFmtId="164" fontId="3" fillId="10" borderId="0" xfId="10" applyNumberFormat="1" applyFont="1" applyFill="1" applyAlignment="1" applyProtection="1"/>
    <xf numFmtId="38" fontId="3" fillId="10" borderId="0" xfId="10" applyNumberFormat="1" applyFont="1" applyFill="1" applyProtection="1"/>
    <xf numFmtId="0" fontId="7" fillId="10" borderId="48" xfId="9" applyFont="1" applyFill="1" applyBorder="1" applyAlignment="1" applyProtection="1">
      <alignment horizontal="center"/>
    </xf>
    <xf numFmtId="38" fontId="23" fillId="10" borderId="48" xfId="10" applyNumberFormat="1" applyFont="1" applyFill="1" applyBorder="1" applyAlignment="1" applyProtection="1">
      <alignment horizontal="left"/>
    </xf>
    <xf numFmtId="38" fontId="24" fillId="8" borderId="81" xfId="10" applyNumberFormat="1" applyFont="1" applyFill="1" applyBorder="1" applyAlignment="1" applyProtection="1">
      <alignment horizontal="center"/>
    </xf>
    <xf numFmtId="164" fontId="3" fillId="8" borderId="0" xfId="10" applyNumberFormat="1" applyFont="1" applyFill="1" applyAlignment="1" applyProtection="1"/>
    <xf numFmtId="38" fontId="2" fillId="8" borderId="0" xfId="10" applyNumberFormat="1" applyFont="1" applyFill="1" applyAlignment="1" applyProtection="1">
      <alignment horizontal="left"/>
    </xf>
    <xf numFmtId="38" fontId="24" fillId="8" borderId="0" xfId="10" applyNumberFormat="1" applyFont="1" applyFill="1" applyAlignment="1" applyProtection="1">
      <alignment horizontal="center"/>
    </xf>
    <xf numFmtId="0" fontId="7" fillId="8" borderId="0" xfId="9" applyFont="1" applyFill="1" applyProtection="1"/>
    <xf numFmtId="164" fontId="3" fillId="8" borderId="0" xfId="10" applyNumberFormat="1" applyFont="1" applyFill="1" applyBorder="1" applyAlignment="1" applyProtection="1"/>
    <xf numFmtId="38" fontId="2" fillId="8" borderId="0" xfId="10" applyNumberFormat="1" applyFont="1" applyFill="1" applyBorder="1" applyAlignment="1" applyProtection="1"/>
    <xf numFmtId="0" fontId="8" fillId="8" borderId="0" xfId="9" applyFont="1" applyFill="1" applyProtection="1"/>
    <xf numFmtId="0" fontId="15" fillId="8" borderId="0" xfId="9" applyFont="1" applyFill="1" applyProtection="1"/>
    <xf numFmtId="164" fontId="3" fillId="8" borderId="0" xfId="10" applyNumberFormat="1" applyFont="1" applyFill="1" applyProtection="1"/>
    <xf numFmtId="38" fontId="3" fillId="8" borderId="0" xfId="10" applyNumberFormat="1" applyFont="1" applyFill="1" applyProtection="1"/>
    <xf numFmtId="166" fontId="30" fillId="8" borderId="0" xfId="10" applyNumberFormat="1" applyFont="1" applyFill="1" applyProtection="1"/>
    <xf numFmtId="38" fontId="2" fillId="8" borderId="0" xfId="10" applyNumberFormat="1" applyFont="1" applyFill="1" applyAlignment="1" applyProtection="1">
      <alignment horizontal="right"/>
    </xf>
    <xf numFmtId="0" fontId="7" fillId="8" borderId="48" xfId="9" applyFont="1" applyFill="1" applyBorder="1" applyProtection="1"/>
    <xf numFmtId="0" fontId="8" fillId="8" borderId="48" xfId="9" applyFont="1" applyFill="1" applyBorder="1" applyProtection="1"/>
    <xf numFmtId="167" fontId="8" fillId="8" borderId="0" xfId="10" applyNumberFormat="1" applyFont="1" applyFill="1" applyBorder="1" applyAlignment="1" applyProtection="1">
      <alignment horizontal="center"/>
    </xf>
    <xf numFmtId="168" fontId="3" fillId="8" borderId="0" xfId="10" applyNumberFormat="1" applyFont="1" applyFill="1" applyAlignment="1" applyProtection="1"/>
    <xf numFmtId="38" fontId="22" fillId="0" borderId="8" xfId="10" applyNumberFormat="1" applyFont="1" applyFill="1" applyBorder="1" applyAlignment="1" applyProtection="1"/>
    <xf numFmtId="38" fontId="22" fillId="5" borderId="8" xfId="10" applyNumberFormat="1" applyFont="1" applyFill="1" applyBorder="1" applyAlignment="1" applyProtection="1"/>
    <xf numFmtId="167" fontId="2" fillId="2" borderId="98" xfId="10" applyNumberFormat="1" applyFont="1" applyFill="1" applyBorder="1" applyAlignment="1" applyProtection="1">
      <alignment horizontal="center"/>
    </xf>
    <xf numFmtId="168" fontId="2" fillId="2" borderId="99" xfId="10" applyNumberFormat="1" applyFont="1" applyFill="1" applyBorder="1" applyAlignment="1" applyProtection="1"/>
    <xf numFmtId="171" fontId="3" fillId="2" borderId="0" xfId="10" applyNumberFormat="1" applyFont="1" applyFill="1" applyAlignment="1" applyProtection="1"/>
    <xf numFmtId="171" fontId="0" fillId="2" borderId="0" xfId="0" applyNumberFormat="1" applyFill="1" applyProtection="1"/>
    <xf numFmtId="168" fontId="12" fillId="0" borderId="86" xfId="10" applyNumberFormat="1" applyFont="1" applyBorder="1" applyAlignment="1" applyProtection="1">
      <alignment horizontal="center"/>
    </xf>
    <xf numFmtId="168" fontId="12" fillId="5" borderId="86" xfId="10" applyNumberFormat="1" applyFont="1" applyFill="1" applyBorder="1" applyAlignment="1" applyProtection="1">
      <alignment horizontal="center"/>
    </xf>
    <xf numFmtId="168" fontId="12" fillId="5" borderId="94" xfId="10" applyNumberFormat="1" applyFont="1" applyFill="1" applyBorder="1" applyAlignment="1" applyProtection="1">
      <alignment horizontal="center"/>
    </xf>
    <xf numFmtId="0" fontId="7" fillId="2" borderId="0" xfId="0" applyFont="1" applyFill="1" applyProtection="1"/>
    <xf numFmtId="0" fontId="7" fillId="2" borderId="0" xfId="0" applyFont="1" applyFill="1" applyBorder="1" applyProtection="1"/>
    <xf numFmtId="0" fontId="7" fillId="2" borderId="0" xfId="0" applyFont="1" applyFill="1" applyAlignment="1" applyProtection="1">
      <alignment horizontal="center"/>
    </xf>
    <xf numFmtId="4" fontId="3" fillId="2" borderId="0" xfId="0" applyNumberFormat="1" applyFont="1" applyFill="1" applyProtection="1"/>
    <xf numFmtId="0" fontId="12" fillId="2" borderId="0" xfId="0" applyFont="1" applyFill="1" applyProtection="1"/>
    <xf numFmtId="169" fontId="3" fillId="2" borderId="100" xfId="0" applyNumberFormat="1" applyFont="1" applyFill="1" applyBorder="1" applyAlignment="1" applyProtection="1">
      <alignment horizontal="center"/>
      <protection locked="0"/>
    </xf>
    <xf numFmtId="169" fontId="3" fillId="2" borderId="101" xfId="0" applyNumberFormat="1" applyFont="1" applyFill="1" applyBorder="1" applyAlignment="1" applyProtection="1">
      <alignment horizontal="center"/>
      <protection locked="0"/>
    </xf>
    <xf numFmtId="169" fontId="3" fillId="2" borderId="102" xfId="0" applyNumberFormat="1" applyFont="1" applyFill="1" applyBorder="1" applyAlignment="1" applyProtection="1">
      <alignment horizontal="center"/>
      <protection locked="0"/>
    </xf>
    <xf numFmtId="169" fontId="3" fillId="2" borderId="103" xfId="0" applyNumberFormat="1" applyFont="1" applyFill="1" applyBorder="1" applyAlignment="1" applyProtection="1">
      <alignment horizontal="center"/>
      <protection locked="0"/>
    </xf>
    <xf numFmtId="0" fontId="12" fillId="2" borderId="104" xfId="0" applyFont="1" applyFill="1" applyBorder="1" applyProtection="1"/>
    <xf numFmtId="0" fontId="7" fillId="2" borderId="105" xfId="0" applyFont="1" applyFill="1" applyBorder="1" applyProtection="1"/>
    <xf numFmtId="0" fontId="7" fillId="2" borderId="106" xfId="0" applyFont="1" applyFill="1" applyBorder="1" applyProtection="1"/>
    <xf numFmtId="0" fontId="12" fillId="2" borderId="107" xfId="0" applyFont="1" applyFill="1" applyBorder="1" applyProtection="1"/>
    <xf numFmtId="0" fontId="7" fillId="2" borderId="108" xfId="0" applyFont="1" applyFill="1" applyBorder="1" applyProtection="1"/>
    <xf numFmtId="0" fontId="7" fillId="2" borderId="109" xfId="0" applyFont="1" applyFill="1" applyBorder="1" applyProtection="1"/>
    <xf numFmtId="10" fontId="2" fillId="0" borderId="103" xfId="11" applyNumberFormat="1" applyFont="1" applyFill="1" applyBorder="1" applyAlignment="1" applyProtection="1">
      <alignment horizontal="center"/>
      <protection locked="0"/>
    </xf>
    <xf numFmtId="10" fontId="2" fillId="0" borderId="101" xfId="11" applyNumberFormat="1" applyFont="1" applyFill="1" applyBorder="1" applyAlignment="1" applyProtection="1">
      <alignment horizontal="center"/>
      <protection locked="0"/>
    </xf>
    <xf numFmtId="10" fontId="2" fillId="0" borderId="110" xfId="11" applyNumberFormat="1" applyFont="1" applyFill="1" applyBorder="1" applyAlignment="1" applyProtection="1">
      <alignment horizontal="center"/>
      <protection locked="0"/>
    </xf>
    <xf numFmtId="10" fontId="2" fillId="0" borderId="111" xfId="11" applyNumberFormat="1" applyFont="1" applyFill="1" applyBorder="1" applyAlignment="1" applyProtection="1">
      <alignment horizontal="center"/>
      <protection locked="0"/>
    </xf>
    <xf numFmtId="169" fontId="7" fillId="3" borderId="112" xfId="0" applyNumberFormat="1" applyFont="1" applyFill="1" applyBorder="1" applyAlignment="1" applyProtection="1">
      <alignment horizontal="center"/>
    </xf>
    <xf numFmtId="169" fontId="7" fillId="3" borderId="113" xfId="0" applyNumberFormat="1" applyFont="1" applyFill="1" applyBorder="1" applyAlignment="1" applyProtection="1">
      <alignment horizontal="center"/>
    </xf>
    <xf numFmtId="169" fontId="7" fillId="3" borderId="100" xfId="0" applyNumberFormat="1" applyFont="1" applyFill="1" applyBorder="1" applyAlignment="1" applyProtection="1">
      <alignment horizontal="center"/>
    </xf>
    <xf numFmtId="169" fontId="7" fillId="3" borderId="102" xfId="0" applyNumberFormat="1" applyFont="1" applyFill="1" applyBorder="1" applyAlignment="1" applyProtection="1">
      <alignment horizontal="center"/>
    </xf>
    <xf numFmtId="169" fontId="55" fillId="7" borderId="100" xfId="0" applyNumberFormat="1" applyFont="1" applyFill="1" applyBorder="1" applyAlignment="1" applyProtection="1">
      <alignment horizontal="center"/>
    </xf>
    <xf numFmtId="169" fontId="55" fillId="7" borderId="102" xfId="0" applyNumberFormat="1" applyFont="1" applyFill="1" applyBorder="1" applyAlignment="1" applyProtection="1">
      <alignment horizontal="center"/>
    </xf>
    <xf numFmtId="169" fontId="55" fillId="7" borderId="112" xfId="0" applyNumberFormat="1" applyFont="1" applyFill="1" applyBorder="1" applyAlignment="1" applyProtection="1">
      <alignment horizontal="center"/>
    </xf>
    <xf numFmtId="169" fontId="55" fillId="7" borderId="113" xfId="0" applyNumberFormat="1" applyFont="1" applyFill="1" applyBorder="1" applyAlignment="1" applyProtection="1">
      <alignment horizontal="center"/>
    </xf>
    <xf numFmtId="0" fontId="20" fillId="6" borderId="114" xfId="0" applyFont="1" applyFill="1" applyBorder="1" applyAlignment="1" applyProtection="1">
      <alignment horizontal="left"/>
    </xf>
    <xf numFmtId="0" fontId="3" fillId="6" borderId="115" xfId="0" applyFont="1" applyFill="1" applyBorder="1" applyAlignment="1" applyProtection="1">
      <alignment horizontal="right"/>
    </xf>
    <xf numFmtId="0" fontId="3" fillId="6" borderId="116" xfId="0" applyFont="1" applyFill="1" applyBorder="1" applyAlignment="1" applyProtection="1">
      <alignment horizontal="right"/>
    </xf>
    <xf numFmtId="0" fontId="27" fillId="6" borderId="117" xfId="0" applyFont="1" applyFill="1" applyBorder="1" applyAlignment="1" applyProtection="1">
      <alignment horizontal="center"/>
    </xf>
    <xf numFmtId="168" fontId="36" fillId="3" borderId="118" xfId="0" applyNumberFormat="1" applyFont="1" applyFill="1" applyBorder="1" applyProtection="1"/>
    <xf numFmtId="168" fontId="36" fillId="3" borderId="119" xfId="0" applyNumberFormat="1" applyFont="1" applyFill="1" applyBorder="1" applyProtection="1"/>
    <xf numFmtId="168" fontId="36" fillId="3" borderId="120" xfId="0" applyNumberFormat="1" applyFont="1" applyFill="1" applyBorder="1" applyProtection="1"/>
    <xf numFmtId="168" fontId="36" fillId="3" borderId="121" xfId="0" applyNumberFormat="1" applyFont="1" applyFill="1" applyBorder="1" applyProtection="1"/>
    <xf numFmtId="168" fontId="36" fillId="3" borderId="122" xfId="0" applyNumberFormat="1" applyFont="1" applyFill="1" applyBorder="1" applyProtection="1"/>
    <xf numFmtId="168" fontId="43" fillId="7" borderId="41" xfId="0" applyNumberFormat="1" applyFont="1" applyFill="1" applyBorder="1" applyProtection="1"/>
    <xf numFmtId="168" fontId="43" fillId="7" borderId="43" xfId="0" applyNumberFormat="1" applyFont="1" applyFill="1" applyBorder="1" applyProtection="1"/>
    <xf numFmtId="168" fontId="43" fillId="7" borderId="45" xfId="0" applyNumberFormat="1" applyFont="1" applyFill="1" applyBorder="1" applyProtection="1"/>
    <xf numFmtId="168" fontId="43" fillId="7" borderId="46" xfId="0" applyNumberFormat="1" applyFont="1" applyFill="1" applyBorder="1" applyProtection="1"/>
    <xf numFmtId="168" fontId="43" fillId="7" borderId="44" xfId="0" applyNumberFormat="1" applyFont="1" applyFill="1" applyBorder="1" applyProtection="1"/>
    <xf numFmtId="168" fontId="43" fillId="7" borderId="42" xfId="0" applyNumberFormat="1" applyFont="1" applyFill="1" applyBorder="1" applyProtection="1"/>
    <xf numFmtId="0" fontId="7" fillId="5" borderId="0" xfId="6" applyFont="1" applyFill="1" applyBorder="1" applyAlignment="1" applyProtection="1">
      <alignment horizontal="center"/>
    </xf>
    <xf numFmtId="0" fontId="22" fillId="5" borderId="0" xfId="6" applyFont="1" applyFill="1" applyProtection="1"/>
    <xf numFmtId="0" fontId="7" fillId="5" borderId="0" xfId="6" applyFont="1" applyFill="1" applyProtection="1"/>
    <xf numFmtId="0" fontId="7" fillId="2" borderId="0" xfId="6" applyFont="1" applyFill="1" applyProtection="1"/>
    <xf numFmtId="0" fontId="2" fillId="5" borderId="0" xfId="6" applyFont="1" applyFill="1" applyAlignment="1" applyProtection="1">
      <alignment horizontal="right"/>
    </xf>
    <xf numFmtId="0" fontId="8" fillId="5" borderId="0" xfId="6" applyFont="1" applyFill="1" applyBorder="1" applyAlignment="1" applyProtection="1">
      <alignment horizontal="left"/>
    </xf>
    <xf numFmtId="38" fontId="2" fillId="0" borderId="0" xfId="10" applyNumberFormat="1" applyFont="1" applyBorder="1" applyAlignment="1" applyProtection="1"/>
    <xf numFmtId="0" fontId="15" fillId="5" borderId="0" xfId="6" applyFont="1" applyFill="1" applyProtection="1"/>
    <xf numFmtId="0" fontId="7" fillId="5" borderId="48" xfId="6" applyFont="1" applyFill="1" applyBorder="1" applyProtection="1"/>
    <xf numFmtId="0" fontId="8" fillId="5" borderId="48" xfId="6" applyFont="1" applyFill="1" applyBorder="1" applyProtection="1"/>
    <xf numFmtId="168" fontId="2" fillId="0" borderId="86" xfId="10" applyNumberFormat="1" applyFont="1" applyBorder="1" applyAlignment="1" applyProtection="1">
      <alignment horizontal="center"/>
    </xf>
    <xf numFmtId="168" fontId="3" fillId="5" borderId="86" xfId="10" applyNumberFormat="1" applyFont="1" applyFill="1" applyBorder="1" applyAlignment="1" applyProtection="1"/>
    <xf numFmtId="164" fontId="2" fillId="8" borderId="0" xfId="10" applyNumberFormat="1" applyFont="1" applyFill="1" applyBorder="1" applyAlignment="1" applyProtection="1">
      <alignment horizontal="center"/>
    </xf>
    <xf numFmtId="4" fontId="27" fillId="3" borderId="123" xfId="0" applyNumberFormat="1" applyFont="1" applyFill="1" applyBorder="1" applyAlignment="1" applyProtection="1">
      <alignment horizontal="center"/>
    </xf>
    <xf numFmtId="4" fontId="16" fillId="3" borderId="123" xfId="0" applyNumberFormat="1" applyFont="1" applyFill="1" applyBorder="1" applyAlignment="1" applyProtection="1">
      <alignment horizontal="center"/>
    </xf>
    <xf numFmtId="4" fontId="27" fillId="11" borderId="123" xfId="0" applyNumberFormat="1" applyFont="1" applyFill="1" applyBorder="1" applyAlignment="1" applyProtection="1">
      <alignment horizontal="center"/>
    </xf>
    <xf numFmtId="164" fontId="7" fillId="2" borderId="0" xfId="10" applyNumberFormat="1" applyFont="1" applyFill="1" applyAlignment="1" applyProtection="1"/>
    <xf numFmtId="4" fontId="27" fillId="7" borderId="123" xfId="0" applyNumberFormat="1" applyFont="1" applyFill="1" applyBorder="1" applyAlignment="1" applyProtection="1">
      <alignment horizontal="center"/>
    </xf>
    <xf numFmtId="4" fontId="12" fillId="5" borderId="124" xfId="0" applyNumberFormat="1" applyFont="1" applyFill="1" applyBorder="1" applyAlignment="1" applyProtection="1">
      <alignment horizontal="center"/>
    </xf>
    <xf numFmtId="168" fontId="2" fillId="0" borderId="94" xfId="10" applyNumberFormat="1" applyFont="1" applyBorder="1" applyAlignment="1" applyProtection="1">
      <alignment horizontal="center"/>
    </xf>
    <xf numFmtId="3" fontId="3" fillId="2" borderId="0" xfId="10" applyNumberFormat="1" applyFont="1" applyFill="1" applyAlignment="1" applyProtection="1"/>
    <xf numFmtId="164" fontId="12" fillId="5" borderId="0" xfId="10" applyNumberFormat="1" applyFont="1" applyFill="1" applyBorder="1" applyAlignment="1" applyProtection="1">
      <alignment horizontal="center"/>
    </xf>
    <xf numFmtId="168" fontId="12" fillId="0" borderId="94" xfId="10" applyNumberFormat="1" applyFont="1" applyBorder="1" applyAlignment="1" applyProtection="1">
      <alignment horizontal="center"/>
    </xf>
    <xf numFmtId="168" fontId="3" fillId="0" borderId="125" xfId="0" applyNumberFormat="1" applyFont="1" applyFill="1" applyBorder="1" applyProtection="1">
      <protection locked="0"/>
    </xf>
    <xf numFmtId="168" fontId="3" fillId="0" borderId="126" xfId="0" applyNumberFormat="1" applyFont="1" applyFill="1" applyBorder="1" applyProtection="1">
      <protection locked="0"/>
    </xf>
    <xf numFmtId="168" fontId="3" fillId="0" borderId="127" xfId="0" applyNumberFormat="1" applyFont="1" applyFill="1" applyBorder="1" applyProtection="1">
      <protection locked="0"/>
    </xf>
    <xf numFmtId="168" fontId="3" fillId="0" borderId="127" xfId="0" applyNumberFormat="1" applyFont="1" applyFill="1" applyBorder="1" applyProtection="1"/>
    <xf numFmtId="168" fontId="3" fillId="0" borderId="128" xfId="0" applyNumberFormat="1" applyFont="1" applyFill="1" applyBorder="1" applyProtection="1"/>
    <xf numFmtId="169" fontId="3" fillId="0" borderId="125" xfId="0" applyNumberFormat="1" applyFont="1" applyFill="1" applyBorder="1" applyAlignment="1" applyProtection="1">
      <alignment horizontal="center"/>
    </xf>
    <xf numFmtId="169" fontId="3" fillId="0" borderId="126" xfId="0" applyNumberFormat="1" applyFont="1" applyFill="1" applyBorder="1" applyAlignment="1" applyProtection="1">
      <alignment horizontal="center"/>
    </xf>
    <xf numFmtId="169" fontId="3" fillId="0" borderId="127" xfId="0" applyNumberFormat="1" applyFont="1" applyFill="1" applyBorder="1" applyAlignment="1" applyProtection="1">
      <alignment horizontal="center"/>
    </xf>
    <xf numFmtId="169" fontId="3" fillId="0" borderId="128" xfId="0" applyNumberFormat="1" applyFont="1" applyFill="1" applyBorder="1" applyAlignment="1" applyProtection="1">
      <alignment horizontal="center"/>
    </xf>
    <xf numFmtId="0" fontId="20" fillId="6" borderId="8" xfId="0" applyFont="1" applyFill="1" applyBorder="1" applyAlignment="1" applyProtection="1"/>
    <xf numFmtId="0" fontId="16" fillId="6" borderId="0" xfId="0" applyFont="1" applyFill="1" applyBorder="1" applyAlignment="1" applyProtection="1"/>
    <xf numFmtId="38" fontId="3" fillId="0" borderId="50" xfId="10" applyNumberFormat="1" applyFont="1" applyBorder="1" applyAlignment="1" applyProtection="1"/>
    <xf numFmtId="167" fontId="3" fillId="0" borderId="65" xfId="10" applyNumberFormat="1" applyFont="1" applyBorder="1" applyAlignment="1" applyProtection="1">
      <alignment horizontal="center"/>
    </xf>
    <xf numFmtId="38" fontId="3" fillId="0" borderId="129" xfId="10" applyNumberFormat="1" applyFont="1" applyBorder="1" applyAlignment="1" applyProtection="1"/>
    <xf numFmtId="167" fontId="3" fillId="0" borderId="130" xfId="10" applyNumberFormat="1" applyFont="1" applyBorder="1" applyAlignment="1" applyProtection="1">
      <alignment horizontal="center"/>
    </xf>
    <xf numFmtId="38" fontId="3" fillId="0" borderId="50" xfId="10" applyNumberFormat="1" applyFont="1" applyFill="1" applyBorder="1" applyAlignment="1" applyProtection="1"/>
    <xf numFmtId="167" fontId="3" fillId="0" borderId="65" xfId="10" applyNumberFormat="1" applyFont="1" applyFill="1" applyBorder="1" applyAlignment="1" applyProtection="1">
      <alignment horizontal="center" vertical="center"/>
    </xf>
    <xf numFmtId="167" fontId="3" fillId="0" borderId="65" xfId="10" applyNumberFormat="1" applyFont="1" applyBorder="1" applyAlignment="1" applyProtection="1">
      <alignment horizontal="center" vertical="center"/>
    </xf>
    <xf numFmtId="167" fontId="3" fillId="0" borderId="130" xfId="10" applyNumberFormat="1" applyFont="1" applyBorder="1" applyAlignment="1" applyProtection="1">
      <alignment horizontal="center" vertical="center"/>
    </xf>
    <xf numFmtId="172" fontId="7" fillId="2" borderId="0" xfId="9" applyNumberFormat="1" applyFont="1" applyFill="1" applyProtection="1"/>
    <xf numFmtId="173" fontId="7" fillId="2" borderId="0" xfId="9" applyNumberFormat="1" applyFont="1" applyFill="1" applyProtection="1"/>
    <xf numFmtId="168" fontId="3" fillId="2" borderId="0" xfId="0" applyNumberFormat="1" applyFont="1" applyFill="1" applyProtection="1"/>
    <xf numFmtId="0" fontId="61" fillId="5" borderId="51" xfId="0" applyFont="1" applyFill="1" applyBorder="1" applyProtection="1"/>
    <xf numFmtId="0" fontId="62" fillId="5" borderId="50" xfId="0" applyFont="1" applyFill="1" applyBorder="1"/>
    <xf numFmtId="168" fontId="3" fillId="0" borderId="13" xfId="0" applyNumberFormat="1" applyFont="1" applyFill="1" applyBorder="1" applyAlignment="1" applyProtection="1">
      <alignment horizontal="right"/>
    </xf>
    <xf numFmtId="4" fontId="30" fillId="2" borderId="86" xfId="0" applyNumberFormat="1" applyFont="1" applyFill="1" applyBorder="1" applyAlignment="1" applyProtection="1">
      <alignment vertical="center"/>
    </xf>
    <xf numFmtId="4" fontId="30" fillId="2" borderId="131" xfId="0" applyNumberFormat="1" applyFont="1" applyFill="1" applyBorder="1" applyAlignment="1" applyProtection="1">
      <alignment vertical="center"/>
    </xf>
    <xf numFmtId="4" fontId="30" fillId="2" borderId="132" xfId="0" applyNumberFormat="1" applyFont="1" applyFill="1" applyBorder="1" applyAlignment="1" applyProtection="1">
      <alignment vertical="center"/>
    </xf>
    <xf numFmtId="168" fontId="3" fillId="11" borderId="125" xfId="0" applyNumberFormat="1" applyFont="1" applyFill="1" applyBorder="1" applyProtection="1"/>
    <xf numFmtId="4" fontId="30" fillId="2" borderId="133" xfId="0" applyNumberFormat="1" applyFont="1" applyFill="1" applyBorder="1" applyAlignment="1" applyProtection="1">
      <alignment vertical="center"/>
    </xf>
    <xf numFmtId="4" fontId="30" fillId="2" borderId="134" xfId="0" applyNumberFormat="1" applyFont="1" applyFill="1" applyBorder="1" applyAlignment="1" applyProtection="1">
      <alignment vertical="center"/>
    </xf>
    <xf numFmtId="4" fontId="30" fillId="2" borderId="94" xfId="0" applyNumberFormat="1" applyFont="1" applyFill="1" applyBorder="1" applyAlignment="1" applyProtection="1">
      <alignment vertical="center"/>
    </xf>
    <xf numFmtId="4" fontId="63" fillId="3" borderId="92" xfId="0" applyNumberFormat="1" applyFont="1" applyFill="1" applyBorder="1" applyAlignment="1" applyProtection="1">
      <alignment horizontal="center"/>
    </xf>
    <xf numFmtId="4" fontId="63" fillId="3" borderId="135" xfId="0" applyNumberFormat="1" applyFont="1" applyFill="1" applyBorder="1" applyAlignment="1" applyProtection="1">
      <alignment horizontal="center"/>
    </xf>
    <xf numFmtId="4" fontId="63" fillId="3" borderId="95" xfId="0" applyNumberFormat="1" applyFont="1" applyFill="1" applyBorder="1" applyAlignment="1" applyProtection="1">
      <alignment horizontal="center"/>
    </xf>
    <xf numFmtId="168" fontId="65" fillId="4" borderId="136" xfId="0" applyNumberFormat="1" applyFont="1" applyFill="1" applyBorder="1" applyAlignment="1" applyProtection="1">
      <alignment horizontal="center"/>
    </xf>
    <xf numFmtId="168" fontId="65" fillId="4" borderId="137" xfId="0" applyNumberFormat="1" applyFont="1" applyFill="1" applyBorder="1" applyAlignment="1" applyProtection="1">
      <alignment horizontal="center"/>
    </xf>
    <xf numFmtId="168" fontId="65" fillId="4" borderId="138" xfId="0" applyNumberFormat="1" applyFont="1" applyFill="1" applyBorder="1" applyAlignment="1" applyProtection="1">
      <alignment horizontal="center"/>
    </xf>
    <xf numFmtId="168" fontId="67" fillId="3" borderId="139" xfId="0" applyNumberFormat="1" applyFont="1" applyFill="1" applyBorder="1" applyProtection="1"/>
    <xf numFmtId="168" fontId="67" fillId="3" borderId="140" xfId="0" applyNumberFormat="1" applyFont="1" applyFill="1" applyBorder="1" applyProtection="1"/>
    <xf numFmtId="168" fontId="67" fillId="3" borderId="141" xfId="0" applyNumberFormat="1" applyFont="1" applyFill="1" applyBorder="1" applyProtection="1"/>
    <xf numFmtId="168" fontId="67" fillId="3" borderId="142" xfId="0" applyNumberFormat="1" applyFont="1" applyFill="1" applyBorder="1" applyProtection="1"/>
    <xf numFmtId="168" fontId="67" fillId="3" borderId="143" xfId="0" applyNumberFormat="1" applyFont="1" applyFill="1" applyBorder="1" applyProtection="1"/>
    <xf numFmtId="168" fontId="67" fillId="3" borderId="144" xfId="0" applyNumberFormat="1" applyFont="1" applyFill="1" applyBorder="1" applyProtection="1"/>
    <xf numFmtId="168" fontId="67" fillId="3" borderId="120" xfId="0" applyNumberFormat="1" applyFont="1" applyFill="1" applyBorder="1" applyProtection="1"/>
    <xf numFmtId="168" fontId="67" fillId="3" borderId="122" xfId="0" applyNumberFormat="1" applyFont="1" applyFill="1" applyBorder="1" applyProtection="1"/>
    <xf numFmtId="168" fontId="3" fillId="0" borderId="2" xfId="0" applyNumberFormat="1" applyFont="1" applyFill="1" applyBorder="1" applyAlignment="1" applyProtection="1">
      <alignment horizontal="right"/>
      <protection locked="0"/>
    </xf>
    <xf numFmtId="0" fontId="62" fillId="5" borderId="50" xfId="0" applyFont="1" applyFill="1" applyBorder="1" applyProtection="1"/>
    <xf numFmtId="4" fontId="30" fillId="5" borderId="145" xfId="0" applyNumberFormat="1" applyFont="1" applyFill="1" applyBorder="1" applyAlignment="1" applyProtection="1">
      <alignment vertical="center"/>
    </xf>
    <xf numFmtId="168" fontId="3" fillId="0" borderId="128" xfId="0" applyNumberFormat="1" applyFont="1" applyFill="1" applyBorder="1" applyProtection="1">
      <protection locked="0"/>
    </xf>
    <xf numFmtId="164" fontId="8" fillId="10" borderId="0" xfId="10" applyNumberFormat="1" applyFont="1" applyFill="1" applyBorder="1" applyAlignment="1" applyProtection="1">
      <alignment horizontal="left"/>
    </xf>
    <xf numFmtId="0" fontId="7" fillId="8" borderId="0" xfId="9" applyFont="1" applyFill="1" applyBorder="1" applyProtection="1"/>
    <xf numFmtId="0" fontId="5" fillId="12" borderId="0" xfId="9" applyFont="1" applyFill="1" applyBorder="1" applyAlignment="1" applyProtection="1">
      <alignment horizontal="right"/>
    </xf>
    <xf numFmtId="0" fontId="57" fillId="2" borderId="0" xfId="0" applyFont="1" applyFill="1" applyProtection="1">
      <protection hidden="1"/>
    </xf>
    <xf numFmtId="0" fontId="90" fillId="5" borderId="48" xfId="0" applyFont="1" applyFill="1" applyBorder="1" applyProtection="1"/>
    <xf numFmtId="0" fontId="90" fillId="5" borderId="51" xfId="0" applyFont="1" applyFill="1" applyBorder="1" applyProtection="1"/>
    <xf numFmtId="0" fontId="16" fillId="6" borderId="87" xfId="0" applyFont="1" applyFill="1" applyBorder="1" applyProtection="1"/>
    <xf numFmtId="0" fontId="17" fillId="6" borderId="146" xfId="0" applyFont="1" applyFill="1" applyBorder="1" applyProtection="1"/>
    <xf numFmtId="0" fontId="17" fillId="6" borderId="147" xfId="0" applyFont="1" applyFill="1" applyBorder="1" applyProtection="1"/>
    <xf numFmtId="169" fontId="3" fillId="0" borderId="21" xfId="0" applyNumberFormat="1" applyFont="1" applyFill="1" applyBorder="1" applyAlignment="1" applyProtection="1">
      <alignment horizontal="center"/>
    </xf>
    <xf numFmtId="170" fontId="27" fillId="6" borderId="88" xfId="0" applyNumberFormat="1" applyFont="1" applyFill="1" applyBorder="1" applyAlignment="1">
      <alignment horizontal="center"/>
    </xf>
    <xf numFmtId="4" fontId="3" fillId="6" borderId="148" xfId="0" applyNumberFormat="1" applyFont="1" applyFill="1" applyBorder="1" applyProtection="1"/>
    <xf numFmtId="4" fontId="3" fillId="6" borderId="149" xfId="0" applyNumberFormat="1" applyFont="1" applyFill="1" applyBorder="1" applyProtection="1"/>
    <xf numFmtId="4" fontId="3" fillId="6" borderId="150" xfId="0" applyNumberFormat="1" applyFont="1" applyFill="1" applyBorder="1" applyProtection="1"/>
    <xf numFmtId="4" fontId="3" fillId="6" borderId="93" xfId="0" applyNumberFormat="1" applyFont="1" applyFill="1" applyBorder="1" applyProtection="1"/>
    <xf numFmtId="170" fontId="27" fillId="6" borderId="88" xfId="0" applyNumberFormat="1" applyFont="1" applyFill="1" applyBorder="1" applyAlignment="1" applyProtection="1">
      <alignment horizontal="center"/>
    </xf>
    <xf numFmtId="168" fontId="65" fillId="4" borderId="86" xfId="0" applyNumberFormat="1" applyFont="1" applyFill="1" applyBorder="1" applyAlignment="1" applyProtection="1">
      <alignment horizontal="center"/>
    </xf>
    <xf numFmtId="168" fontId="65" fillId="4" borderId="131" xfId="0" applyNumberFormat="1" applyFont="1" applyFill="1" applyBorder="1" applyAlignment="1" applyProtection="1">
      <alignment horizontal="center"/>
    </xf>
    <xf numFmtId="168" fontId="65" fillId="4" borderId="94" xfId="0" applyNumberFormat="1" applyFont="1" applyFill="1" applyBorder="1" applyAlignment="1" applyProtection="1">
      <alignment horizontal="center"/>
    </xf>
    <xf numFmtId="4" fontId="3" fillId="6" borderId="92" xfId="0" applyNumberFormat="1" applyFont="1" applyFill="1" applyBorder="1" applyProtection="1"/>
    <xf numFmtId="4" fontId="3" fillId="6" borderId="135" xfId="0" applyNumberFormat="1" applyFont="1" applyFill="1" applyBorder="1" applyProtection="1"/>
    <xf numFmtId="4" fontId="3" fillId="6" borderId="95" xfId="0" applyNumberFormat="1" applyFont="1" applyFill="1" applyBorder="1" applyProtection="1"/>
    <xf numFmtId="0" fontId="2" fillId="2" borderId="47" xfId="0" applyFont="1" applyFill="1" applyBorder="1" applyProtection="1"/>
    <xf numFmtId="0" fontId="3" fillId="2" borderId="48" xfId="0" applyFont="1" applyFill="1" applyBorder="1" applyProtection="1"/>
    <xf numFmtId="0" fontId="3" fillId="2" borderId="49" xfId="0" applyFont="1" applyFill="1" applyBorder="1" applyProtection="1"/>
    <xf numFmtId="0" fontId="16" fillId="6" borderId="87" xfId="0" applyFont="1" applyFill="1" applyBorder="1" applyAlignment="1" applyProtection="1"/>
    <xf numFmtId="0" fontId="17" fillId="6" borderId="146" xfId="0" applyFont="1" applyFill="1" applyBorder="1" applyAlignment="1" applyProtection="1"/>
    <xf numFmtId="0" fontId="2" fillId="2" borderId="64" xfId="0" applyFont="1" applyFill="1" applyBorder="1" applyAlignment="1" applyProtection="1">
      <alignment horizontal="center"/>
    </xf>
    <xf numFmtId="169" fontId="3" fillId="2" borderId="125" xfId="0" applyNumberFormat="1" applyFont="1" applyFill="1" applyBorder="1" applyAlignment="1" applyProtection="1">
      <alignment horizontal="center"/>
    </xf>
    <xf numFmtId="169" fontId="3" fillId="2" borderId="126" xfId="0" applyNumberFormat="1" applyFont="1" applyFill="1" applyBorder="1" applyAlignment="1" applyProtection="1">
      <alignment horizontal="center"/>
    </xf>
    <xf numFmtId="169" fontId="3" fillId="2" borderId="127" xfId="0" applyNumberFormat="1" applyFont="1" applyFill="1" applyBorder="1" applyAlignment="1" applyProtection="1">
      <alignment horizontal="center"/>
    </xf>
    <xf numFmtId="0" fontId="61" fillId="5" borderId="48" xfId="0" applyFont="1" applyFill="1" applyBorder="1"/>
    <xf numFmtId="0" fontId="16" fillId="6" borderId="151" xfId="0" applyFont="1" applyFill="1" applyBorder="1" applyAlignment="1" applyProtection="1"/>
    <xf numFmtId="0" fontId="17" fillId="6" borderId="152" xfId="0" applyFont="1" applyFill="1" applyBorder="1" applyAlignment="1" applyProtection="1"/>
    <xf numFmtId="0" fontId="17" fillId="6" borderId="153" xfId="0" applyFont="1" applyFill="1" applyBorder="1" applyProtection="1"/>
    <xf numFmtId="170" fontId="27" fillId="6" borderId="154" xfId="0" applyNumberFormat="1" applyFont="1" applyFill="1" applyBorder="1" applyAlignment="1">
      <alignment horizontal="center"/>
    </xf>
    <xf numFmtId="4" fontId="3" fillId="6" borderId="155" xfId="0" applyNumberFormat="1" applyFont="1" applyFill="1" applyBorder="1" applyProtection="1"/>
    <xf numFmtId="4" fontId="3" fillId="6" borderId="156" xfId="0" applyNumberFormat="1" applyFont="1" applyFill="1" applyBorder="1" applyProtection="1"/>
    <xf numFmtId="4" fontId="3" fillId="6" borderId="157" xfId="0" applyNumberFormat="1" applyFont="1" applyFill="1" applyBorder="1" applyProtection="1"/>
    <xf numFmtId="4" fontId="3" fillId="6" borderId="158" xfId="0" applyNumberFormat="1" applyFont="1" applyFill="1" applyBorder="1" applyProtection="1"/>
    <xf numFmtId="170" fontId="27" fillId="6" borderId="154" xfId="0" applyNumberFormat="1" applyFont="1" applyFill="1" applyBorder="1" applyAlignment="1" applyProtection="1">
      <alignment horizontal="center"/>
    </xf>
    <xf numFmtId="4" fontId="3" fillId="6" borderId="159" xfId="0" applyNumberFormat="1" applyFont="1" applyFill="1" applyBorder="1" applyProtection="1"/>
    <xf numFmtId="4" fontId="3" fillId="6" borderId="160" xfId="0" applyNumberFormat="1" applyFont="1" applyFill="1" applyBorder="1" applyProtection="1"/>
    <xf numFmtId="4" fontId="3" fillId="6" borderId="161" xfId="0" applyNumberFormat="1" applyFont="1" applyFill="1" applyBorder="1" applyProtection="1"/>
    <xf numFmtId="0" fontId="93" fillId="5" borderId="50" xfId="0" applyFont="1" applyFill="1" applyBorder="1" applyProtection="1"/>
    <xf numFmtId="0" fontId="90" fillId="2" borderId="48" xfId="0" applyFont="1" applyFill="1" applyBorder="1" applyProtection="1"/>
    <xf numFmtId="0" fontId="90" fillId="5" borderId="48" xfId="0" applyFont="1" applyFill="1" applyBorder="1"/>
    <xf numFmtId="169" fontId="7" fillId="3" borderId="113" xfId="0" applyNumberFormat="1" applyFont="1" applyFill="1" applyBorder="1" applyAlignment="1" applyProtection="1">
      <alignment horizontal="left"/>
    </xf>
    <xf numFmtId="0" fontId="3" fillId="2" borderId="0" xfId="0" applyFont="1" applyFill="1" applyBorder="1" applyAlignment="1" applyProtection="1">
      <alignment horizontal="center" vertical="center"/>
    </xf>
    <xf numFmtId="4" fontId="99" fillId="11" borderId="23" xfId="0" applyNumberFormat="1" applyFont="1" applyFill="1" applyBorder="1" applyAlignment="1" applyProtection="1">
      <alignment horizontal="center"/>
    </xf>
    <xf numFmtId="4" fontId="48" fillId="4" borderId="40" xfId="0" applyNumberFormat="1" applyFont="1" applyFill="1" applyBorder="1" applyAlignment="1" applyProtection="1">
      <alignment horizontal="center"/>
    </xf>
    <xf numFmtId="4" fontId="99" fillId="11" borderId="26" xfId="0" applyNumberFormat="1" applyFont="1" applyFill="1" applyBorder="1" applyAlignment="1" applyProtection="1">
      <alignment horizontal="center"/>
    </xf>
    <xf numFmtId="4" fontId="48" fillId="4" borderId="25" xfId="0" applyNumberFormat="1" applyFont="1" applyFill="1" applyBorder="1" applyAlignment="1" applyProtection="1">
      <alignment horizontal="center"/>
    </xf>
    <xf numFmtId="4" fontId="99" fillId="11" borderId="27" xfId="0" applyNumberFormat="1" applyFont="1" applyFill="1" applyBorder="1" applyAlignment="1" applyProtection="1">
      <alignment horizontal="center"/>
    </xf>
    <xf numFmtId="4" fontId="48" fillId="11" borderId="24" xfId="0" applyNumberFormat="1" applyFont="1" applyFill="1" applyBorder="1" applyAlignment="1" applyProtection="1">
      <alignment horizontal="center"/>
    </xf>
    <xf numFmtId="4" fontId="91" fillId="2" borderId="0" xfId="0" applyNumberFormat="1" applyFont="1" applyFill="1" applyAlignment="1" applyProtection="1">
      <alignment vertical="center"/>
    </xf>
    <xf numFmtId="4" fontId="48" fillId="4" borderId="24" xfId="0" applyNumberFormat="1" applyFont="1" applyFill="1" applyBorder="1" applyAlignment="1" applyProtection="1">
      <alignment horizontal="center"/>
    </xf>
    <xf numFmtId="168" fontId="48" fillId="11" borderId="31" xfId="0" applyNumberFormat="1" applyFont="1" applyFill="1" applyBorder="1" applyProtection="1"/>
    <xf numFmtId="168" fontId="48" fillId="11" borderId="29" xfId="0" applyNumberFormat="1" applyFont="1" applyFill="1" applyBorder="1" applyProtection="1"/>
    <xf numFmtId="168" fontId="48" fillId="11" borderId="28" xfId="0" applyNumberFormat="1" applyFont="1" applyFill="1" applyBorder="1" applyProtection="1"/>
    <xf numFmtId="168" fontId="48" fillId="11" borderId="30" xfId="0" applyNumberFormat="1" applyFont="1" applyFill="1" applyBorder="1" applyProtection="1"/>
    <xf numFmtId="169" fontId="101" fillId="11" borderId="112" xfId="0" applyNumberFormat="1" applyFont="1" applyFill="1" applyBorder="1" applyAlignment="1" applyProtection="1">
      <alignment horizontal="center"/>
    </xf>
    <xf numFmtId="169" fontId="101" fillId="11" borderId="113" xfId="0" applyNumberFormat="1" applyFont="1" applyFill="1" applyBorder="1" applyAlignment="1" applyProtection="1">
      <alignment horizontal="center"/>
    </xf>
    <xf numFmtId="169" fontId="101" fillId="11" borderId="100" xfId="0" applyNumberFormat="1" applyFont="1" applyFill="1" applyBorder="1" applyAlignment="1" applyProtection="1">
      <alignment horizontal="center"/>
    </xf>
    <xf numFmtId="169" fontId="101" fillId="11" borderId="102" xfId="0" applyNumberFormat="1" applyFont="1" applyFill="1" applyBorder="1" applyAlignment="1" applyProtection="1">
      <alignment horizontal="center"/>
    </xf>
    <xf numFmtId="0" fontId="94" fillId="5" borderId="162" xfId="9" applyFont="1" applyFill="1" applyBorder="1" applyAlignment="1" applyProtection="1">
      <alignment vertical="center"/>
    </xf>
    <xf numFmtId="0" fontId="48" fillId="2" borderId="0" xfId="0" applyFont="1" applyFill="1" applyBorder="1" applyAlignment="1">
      <alignment horizontal="left" vertical="center"/>
    </xf>
    <xf numFmtId="0" fontId="48" fillId="2" borderId="0" xfId="0" applyFont="1" applyFill="1" applyBorder="1" applyAlignment="1">
      <alignment vertical="center"/>
    </xf>
    <xf numFmtId="0" fontId="92" fillId="2" borderId="0" xfId="0" applyFont="1" applyFill="1" applyAlignment="1">
      <alignment vertical="center"/>
    </xf>
    <xf numFmtId="0" fontId="92" fillId="2" borderId="0" xfId="0" applyFont="1" applyFill="1" applyAlignment="1">
      <alignment horizontal="left" vertical="center"/>
    </xf>
    <xf numFmtId="0" fontId="99" fillId="2" borderId="0" xfId="0" applyFont="1" applyFill="1" applyBorder="1" applyAlignment="1">
      <alignment horizontal="center" vertical="center"/>
    </xf>
    <xf numFmtId="0" fontId="91" fillId="2" borderId="0" xfId="0" applyFont="1" applyFill="1"/>
    <xf numFmtId="0" fontId="48" fillId="2" borderId="0" xfId="0" applyFont="1" applyFill="1" applyBorder="1" applyAlignment="1" applyProtection="1">
      <alignment horizontal="left" vertical="center"/>
    </xf>
    <xf numFmtId="0" fontId="48" fillId="2" borderId="0" xfId="0" applyFont="1" applyFill="1" applyBorder="1" applyAlignment="1" applyProtection="1">
      <alignment vertical="center"/>
    </xf>
    <xf numFmtId="0" fontId="92" fillId="2" borderId="0" xfId="0" applyFont="1" applyFill="1" applyAlignment="1" applyProtection="1">
      <alignment vertical="center"/>
    </xf>
    <xf numFmtId="0" fontId="92" fillId="2" borderId="0" xfId="0" applyFont="1" applyFill="1" applyAlignment="1" applyProtection="1">
      <alignment horizontal="left" vertical="center"/>
    </xf>
    <xf numFmtId="0" fontId="91" fillId="2" borderId="0" xfId="0" applyFont="1" applyFill="1" applyProtection="1"/>
    <xf numFmtId="0" fontId="99" fillId="2" borderId="0" xfId="0" applyFont="1" applyFill="1" applyBorder="1" applyAlignment="1" applyProtection="1">
      <alignment horizontal="left" vertical="center"/>
    </xf>
    <xf numFmtId="0" fontId="99" fillId="2" borderId="0" xfId="0" applyFont="1" applyFill="1" applyBorder="1" applyAlignment="1" applyProtection="1">
      <alignment vertical="center"/>
    </xf>
    <xf numFmtId="0" fontId="99" fillId="2" borderId="0" xfId="0" applyFont="1" applyFill="1" applyAlignment="1" applyProtection="1">
      <alignment vertical="center"/>
    </xf>
    <xf numFmtId="0" fontId="92" fillId="2" borderId="0" xfId="0" applyFont="1" applyFill="1" applyProtection="1"/>
    <xf numFmtId="0" fontId="99" fillId="2" borderId="0" xfId="0" applyFont="1" applyFill="1" applyProtection="1"/>
    <xf numFmtId="0" fontId="49" fillId="12" borderId="0" xfId="9" applyFont="1" applyFill="1" applyBorder="1" applyAlignment="1" applyProtection="1">
      <alignment horizontal="left"/>
    </xf>
    <xf numFmtId="38" fontId="110" fillId="8" borderId="0" xfId="10" applyNumberFormat="1" applyFont="1" applyFill="1" applyAlignment="1" applyProtection="1"/>
    <xf numFmtId="38" fontId="3" fillId="5" borderId="48" xfId="10" applyNumberFormat="1" applyFont="1" applyFill="1" applyBorder="1" applyProtection="1"/>
    <xf numFmtId="0" fontId="2" fillId="5" borderId="0" xfId="9" applyFont="1" applyFill="1" applyBorder="1" applyProtection="1"/>
    <xf numFmtId="0" fontId="15" fillId="5" borderId="0" xfId="9" applyFont="1" applyFill="1" applyBorder="1" applyProtection="1"/>
    <xf numFmtId="164" fontId="3" fillId="5" borderId="0" xfId="10" applyNumberFormat="1" applyFont="1" applyFill="1" applyBorder="1" applyProtection="1"/>
    <xf numFmtId="169" fontId="112" fillId="3" borderId="112" xfId="0" applyNumberFormat="1" applyFont="1" applyFill="1" applyBorder="1" applyAlignment="1" applyProtection="1">
      <alignment horizontal="left"/>
    </xf>
    <xf numFmtId="169" fontId="112" fillId="3" borderId="113" xfId="0" applyNumberFormat="1" applyFont="1" applyFill="1" applyBorder="1" applyAlignment="1" applyProtection="1">
      <alignment horizontal="left"/>
    </xf>
    <xf numFmtId="168" fontId="2" fillId="0" borderId="101" xfId="11" applyNumberFormat="1" applyFont="1" applyFill="1" applyBorder="1" applyAlignment="1" applyProtection="1">
      <alignment horizontal="right"/>
      <protection locked="0"/>
    </xf>
    <xf numFmtId="168" fontId="2" fillId="0" borderId="103" xfId="11" applyNumberFormat="1" applyFont="1" applyFill="1" applyBorder="1" applyAlignment="1" applyProtection="1">
      <alignment horizontal="right"/>
      <protection locked="0"/>
    </xf>
    <xf numFmtId="168" fontId="2" fillId="0" borderId="110" xfId="11" applyNumberFormat="1" applyFont="1" applyFill="1" applyBorder="1" applyAlignment="1" applyProtection="1">
      <alignment horizontal="right"/>
      <protection locked="0"/>
    </xf>
    <xf numFmtId="168" fontId="2" fillId="0" borderId="111" xfId="11" applyNumberFormat="1" applyFont="1" applyFill="1" applyBorder="1" applyAlignment="1" applyProtection="1">
      <alignment horizontal="right"/>
      <protection locked="0"/>
    </xf>
    <xf numFmtId="38" fontId="93" fillId="5" borderId="8" xfId="10" applyNumberFormat="1" applyFont="1" applyFill="1" applyBorder="1" applyAlignment="1" applyProtection="1"/>
    <xf numFmtId="168" fontId="12" fillId="5" borderId="91" xfId="10" applyNumberFormat="1" applyFont="1" applyFill="1" applyBorder="1" applyAlignment="1" applyProtection="1">
      <alignment horizontal="center"/>
    </xf>
    <xf numFmtId="38" fontId="3" fillId="5" borderId="47" xfId="10" applyNumberFormat="1" applyFont="1" applyFill="1" applyBorder="1" applyAlignment="1" applyProtection="1"/>
    <xf numFmtId="167" fontId="3" fillId="5" borderId="64" xfId="10" applyNumberFormat="1" applyFont="1" applyFill="1" applyBorder="1" applyAlignment="1" applyProtection="1">
      <alignment horizontal="center"/>
    </xf>
    <xf numFmtId="168" fontId="2" fillId="5" borderId="128" xfId="10" applyNumberFormat="1" applyFont="1" applyFill="1" applyBorder="1" applyAlignment="1" applyProtection="1">
      <protection locked="0"/>
    </xf>
    <xf numFmtId="168" fontId="3" fillId="5" borderId="136" xfId="10" applyNumberFormat="1" applyFont="1" applyFill="1" applyBorder="1" applyAlignment="1" applyProtection="1"/>
    <xf numFmtId="168" fontId="2" fillId="5" borderId="128" xfId="10" applyNumberFormat="1" applyFont="1" applyFill="1" applyBorder="1" applyAlignment="1" applyProtection="1"/>
    <xf numFmtId="38" fontId="3" fillId="5" borderId="129" xfId="10" applyNumberFormat="1" applyFont="1" applyFill="1" applyBorder="1" applyAlignment="1" applyProtection="1"/>
    <xf numFmtId="167" fontId="3" fillId="5" borderId="130" xfId="10" applyNumberFormat="1" applyFont="1" applyFill="1" applyBorder="1" applyAlignment="1" applyProtection="1">
      <alignment horizontal="center"/>
    </xf>
    <xf numFmtId="168" fontId="2" fillId="5" borderId="163" xfId="10" applyNumberFormat="1" applyFont="1" applyFill="1" applyBorder="1" applyAlignment="1" applyProtection="1">
      <protection locked="0"/>
    </xf>
    <xf numFmtId="168" fontId="3" fillId="5" borderId="164" xfId="10" applyNumberFormat="1" applyFont="1" applyFill="1" applyBorder="1" applyAlignment="1" applyProtection="1">
      <protection locked="0"/>
    </xf>
    <xf numFmtId="168" fontId="3" fillId="5" borderId="164" xfId="10" applyNumberFormat="1" applyFont="1" applyFill="1" applyBorder="1" applyAlignment="1" applyProtection="1"/>
    <xf numFmtId="168" fontId="2" fillId="5" borderId="163" xfId="10" applyNumberFormat="1" applyFont="1" applyFill="1" applyBorder="1" applyAlignment="1" applyProtection="1"/>
    <xf numFmtId="169" fontId="3" fillId="5" borderId="136" xfId="10" applyNumberFormat="1" applyFont="1" applyFill="1" applyBorder="1" applyAlignment="1" applyProtection="1">
      <alignment horizontal="center"/>
    </xf>
    <xf numFmtId="169" fontId="2" fillId="5" borderId="128" xfId="10" applyNumberFormat="1" applyFont="1" applyFill="1" applyBorder="1" applyAlignment="1" applyProtection="1">
      <alignment horizontal="center"/>
    </xf>
    <xf numFmtId="38" fontId="3" fillId="5" borderId="50" xfId="10" applyNumberFormat="1" applyFont="1" applyFill="1" applyBorder="1" applyAlignment="1" applyProtection="1"/>
    <xf numFmtId="167" fontId="3" fillId="5" borderId="65" xfId="10" applyNumberFormat="1" applyFont="1" applyFill="1" applyBorder="1" applyAlignment="1" applyProtection="1">
      <alignment horizontal="center"/>
    </xf>
    <xf numFmtId="168" fontId="3" fillId="5" borderId="165" xfId="10" applyNumberFormat="1" applyFont="1" applyFill="1" applyBorder="1" applyAlignment="1" applyProtection="1">
      <protection locked="0"/>
    </xf>
    <xf numFmtId="168" fontId="2" fillId="5" borderId="13" xfId="10" applyNumberFormat="1" applyFont="1" applyFill="1" applyBorder="1" applyAlignment="1" applyProtection="1">
      <protection locked="0"/>
    </xf>
    <xf numFmtId="168" fontId="3" fillId="5" borderId="165" xfId="10" applyNumberFormat="1" applyFont="1" applyFill="1" applyBorder="1" applyAlignment="1" applyProtection="1"/>
    <xf numFmtId="168" fontId="2" fillId="5" borderId="13" xfId="10" applyNumberFormat="1" applyFont="1" applyFill="1" applyBorder="1" applyAlignment="1" applyProtection="1"/>
    <xf numFmtId="169" fontId="3" fillId="5" borderId="165" xfId="10" applyNumberFormat="1" applyFont="1" applyFill="1" applyBorder="1" applyAlignment="1" applyProtection="1">
      <alignment horizontal="center"/>
    </xf>
    <xf numFmtId="169" fontId="2" fillId="5" borderId="13" xfId="10" applyNumberFormat="1" applyFont="1" applyFill="1" applyBorder="1" applyAlignment="1" applyProtection="1">
      <alignment horizontal="center"/>
    </xf>
    <xf numFmtId="38" fontId="2" fillId="5" borderId="8" xfId="10" applyNumberFormat="1" applyFont="1" applyFill="1" applyBorder="1" applyAlignment="1" applyProtection="1">
      <alignment horizontal="left" vertical="center" wrapText="1"/>
    </xf>
    <xf numFmtId="167" fontId="3" fillId="5" borderId="64" xfId="10" applyNumberFormat="1" applyFont="1" applyFill="1" applyBorder="1" applyAlignment="1" applyProtection="1">
      <alignment horizontal="center" vertical="center"/>
    </xf>
    <xf numFmtId="167" fontId="3" fillId="5" borderId="130" xfId="10" applyNumberFormat="1" applyFont="1" applyFill="1" applyBorder="1" applyAlignment="1" applyProtection="1">
      <alignment horizontal="center" vertical="center"/>
    </xf>
    <xf numFmtId="168" fontId="2" fillId="5" borderId="94" xfId="10" applyNumberFormat="1" applyFont="1" applyFill="1" applyBorder="1" applyAlignment="1" applyProtection="1"/>
    <xf numFmtId="168" fontId="2" fillId="5" borderId="138" xfId="10" applyNumberFormat="1" applyFont="1" applyFill="1" applyBorder="1" applyAlignment="1" applyProtection="1"/>
    <xf numFmtId="168" fontId="2" fillId="5" borderId="166" xfId="10" applyNumberFormat="1" applyFont="1" applyFill="1" applyBorder="1" applyAlignment="1" applyProtection="1"/>
    <xf numFmtId="168" fontId="3" fillId="5" borderId="136" xfId="10" applyNumberFormat="1" applyFont="1" applyFill="1" applyBorder="1" applyAlignment="1" applyProtection="1">
      <protection locked="0"/>
    </xf>
    <xf numFmtId="168" fontId="2" fillId="5" borderId="138" xfId="10" applyNumberFormat="1" applyFont="1" applyFill="1" applyBorder="1" applyAlignment="1" applyProtection="1">
      <protection locked="0"/>
    </xf>
    <xf numFmtId="169" fontId="2" fillId="5" borderId="138" xfId="10" applyNumberFormat="1" applyFont="1" applyFill="1" applyBorder="1" applyAlignment="1" applyProtection="1">
      <alignment horizontal="center"/>
    </xf>
    <xf numFmtId="168" fontId="2" fillId="5" borderId="166" xfId="10" applyNumberFormat="1" applyFont="1" applyFill="1" applyBorder="1" applyAlignment="1" applyProtection="1">
      <protection locked="0"/>
    </xf>
    <xf numFmtId="169" fontId="3" fillId="5" borderId="164" xfId="10" applyNumberFormat="1" applyFont="1" applyFill="1" applyBorder="1" applyAlignment="1" applyProtection="1">
      <alignment horizontal="center"/>
    </xf>
    <xf numFmtId="169" fontId="2" fillId="5" borderId="166" xfId="10" applyNumberFormat="1" applyFont="1" applyFill="1" applyBorder="1" applyAlignment="1" applyProtection="1">
      <alignment horizontal="center"/>
    </xf>
    <xf numFmtId="38" fontId="2" fillId="5" borderId="8" xfId="10" applyNumberFormat="1" applyFont="1" applyFill="1" applyBorder="1" applyAlignment="1" applyProtection="1">
      <alignment wrapText="1"/>
    </xf>
    <xf numFmtId="168" fontId="12" fillId="5" borderId="86" xfId="10" applyNumberFormat="1" applyFont="1" applyFill="1" applyBorder="1" applyAlignment="1" applyProtection="1">
      <alignment horizontal="center" vertical="top"/>
    </xf>
    <xf numFmtId="168" fontId="12" fillId="5" borderId="94" xfId="10" applyNumberFormat="1" applyFont="1" applyFill="1" applyBorder="1" applyAlignment="1" applyProtection="1">
      <alignment horizontal="center" vertical="top"/>
    </xf>
    <xf numFmtId="168" fontId="12" fillId="5" borderId="86" xfId="10" applyNumberFormat="1" applyFont="1" applyFill="1" applyBorder="1" applyAlignment="1" applyProtection="1">
      <alignment horizontal="center" vertical="center"/>
    </xf>
    <xf numFmtId="168" fontId="12" fillId="5" borderId="94" xfId="10" applyNumberFormat="1" applyFont="1" applyFill="1" applyBorder="1" applyAlignment="1" applyProtection="1">
      <alignment horizontal="center" vertical="center"/>
    </xf>
    <xf numFmtId="167" fontId="3" fillId="5" borderId="65" xfId="10" applyNumberFormat="1" applyFont="1" applyFill="1" applyBorder="1" applyAlignment="1" applyProtection="1">
      <alignment horizontal="center" vertical="center"/>
    </xf>
    <xf numFmtId="168" fontId="2" fillId="5" borderId="167" xfId="10" applyNumberFormat="1" applyFont="1" applyFill="1" applyBorder="1" applyAlignment="1" applyProtection="1">
      <protection locked="0"/>
    </xf>
    <xf numFmtId="168" fontId="2" fillId="5" borderId="167" xfId="10" applyNumberFormat="1" applyFont="1" applyFill="1" applyBorder="1" applyAlignment="1" applyProtection="1"/>
    <xf numFmtId="168" fontId="93" fillId="5" borderId="166" xfId="10" applyNumberFormat="1" applyFont="1" applyFill="1" applyBorder="1" applyAlignment="1" applyProtection="1">
      <protection locked="0"/>
    </xf>
    <xf numFmtId="168" fontId="93" fillId="5" borderId="13" xfId="10" applyNumberFormat="1" applyFont="1" applyFill="1" applyBorder="1" applyAlignment="1" applyProtection="1">
      <protection locked="0"/>
    </xf>
    <xf numFmtId="168" fontId="93" fillId="5" borderId="163" xfId="10" applyNumberFormat="1" applyFont="1" applyFill="1" applyBorder="1" applyAlignment="1" applyProtection="1">
      <protection locked="0"/>
    </xf>
    <xf numFmtId="168" fontId="90" fillId="5" borderId="136" xfId="10" applyNumberFormat="1" applyFont="1" applyFill="1" applyBorder="1" applyAlignment="1" applyProtection="1">
      <protection locked="0"/>
    </xf>
    <xf numFmtId="168" fontId="90" fillId="5" borderId="164" xfId="10" applyNumberFormat="1" applyFont="1" applyFill="1" applyBorder="1" applyAlignment="1" applyProtection="1">
      <protection locked="0"/>
    </xf>
    <xf numFmtId="0" fontId="19" fillId="11" borderId="8" xfId="0" applyFont="1" applyFill="1" applyBorder="1" applyAlignment="1" applyProtection="1"/>
    <xf numFmtId="0" fontId="48" fillId="11" borderId="0" xfId="0" applyFont="1" applyFill="1" applyBorder="1" applyAlignment="1" applyProtection="1"/>
    <xf numFmtId="0" fontId="91" fillId="11" borderId="0" xfId="0" applyFont="1" applyFill="1" applyBorder="1" applyAlignment="1" applyProtection="1"/>
    <xf numFmtId="0" fontId="99" fillId="2" borderId="0" xfId="0" applyFont="1" applyFill="1" applyAlignment="1">
      <alignment vertical="center"/>
    </xf>
    <xf numFmtId="0" fontId="49" fillId="5" borderId="48" xfId="6" applyFont="1" applyFill="1" applyBorder="1" applyAlignment="1" applyProtection="1">
      <alignment horizontal="left"/>
    </xf>
    <xf numFmtId="38" fontId="100" fillId="10" borderId="48" xfId="10" applyNumberFormat="1" applyFont="1" applyFill="1" applyBorder="1" applyAlignment="1" applyProtection="1">
      <alignment horizontal="left"/>
    </xf>
    <xf numFmtId="38" fontId="19" fillId="2" borderId="0" xfId="10" applyNumberFormat="1" applyFont="1" applyFill="1" applyAlignment="1" applyProtection="1">
      <alignment horizontal="left" vertical="center"/>
    </xf>
    <xf numFmtId="0" fontId="124" fillId="2" borderId="0" xfId="0" applyFont="1" applyFill="1" applyProtection="1"/>
    <xf numFmtId="0" fontId="91" fillId="2" borderId="0" xfId="0" applyFont="1" applyFill="1" applyBorder="1" applyAlignment="1" applyProtection="1">
      <alignment vertical="center"/>
    </xf>
    <xf numFmtId="38" fontId="19" fillId="2" borderId="0" xfId="10" applyNumberFormat="1" applyFont="1" applyFill="1" applyBorder="1" applyAlignment="1" applyProtection="1">
      <alignment horizontal="left" vertical="center"/>
    </xf>
    <xf numFmtId="168" fontId="3" fillId="0" borderId="127" xfId="0" applyNumberFormat="1" applyFont="1" applyFill="1" applyBorder="1" applyAlignment="1" applyProtection="1">
      <alignment horizontal="right"/>
    </xf>
    <xf numFmtId="168" fontId="3" fillId="0" borderId="126" xfId="0" applyNumberFormat="1" applyFont="1" applyFill="1" applyBorder="1" applyAlignment="1" applyProtection="1">
      <alignment horizontal="right"/>
    </xf>
    <xf numFmtId="168" fontId="3" fillId="0" borderId="128" xfId="0" applyNumberFormat="1" applyFont="1" applyFill="1" applyBorder="1" applyAlignment="1" applyProtection="1">
      <alignment horizontal="right"/>
    </xf>
    <xf numFmtId="168" fontId="3" fillId="0" borderId="12" xfId="0" applyNumberFormat="1" applyFont="1" applyFill="1" applyBorder="1" applyAlignment="1" applyProtection="1">
      <alignment horizontal="right"/>
    </xf>
    <xf numFmtId="168" fontId="3" fillId="0" borderId="2" xfId="0" applyNumberFormat="1" applyFont="1" applyFill="1" applyBorder="1" applyAlignment="1" applyProtection="1">
      <alignment horizontal="right"/>
    </xf>
    <xf numFmtId="168" fontId="3" fillId="0" borderId="21" xfId="0" applyNumberFormat="1" applyFont="1" applyFill="1" applyBorder="1" applyAlignment="1" applyProtection="1">
      <alignment horizontal="right"/>
    </xf>
    <xf numFmtId="168" fontId="3" fillId="0" borderId="22" xfId="0" applyNumberFormat="1" applyFont="1" applyFill="1" applyBorder="1" applyAlignment="1" applyProtection="1">
      <alignment horizontal="right"/>
    </xf>
    <xf numFmtId="168" fontId="3" fillId="6" borderId="150" xfId="0" applyNumberFormat="1" applyFont="1" applyFill="1" applyBorder="1" applyAlignment="1" applyProtection="1">
      <alignment horizontal="right"/>
    </xf>
    <xf numFmtId="168" fontId="3" fillId="6" borderId="149" xfId="0" applyNumberFormat="1" applyFont="1" applyFill="1" applyBorder="1" applyAlignment="1" applyProtection="1">
      <alignment horizontal="right"/>
    </xf>
    <xf numFmtId="168" fontId="3" fillId="6" borderId="93" xfId="0" applyNumberFormat="1" applyFont="1" applyFill="1" applyBorder="1" applyAlignment="1" applyProtection="1">
      <alignment horizontal="right"/>
    </xf>
    <xf numFmtId="168" fontId="3" fillId="2" borderId="12" xfId="0" applyNumberFormat="1" applyFont="1" applyFill="1" applyBorder="1" applyAlignment="1" applyProtection="1">
      <alignment horizontal="right"/>
    </xf>
    <xf numFmtId="168" fontId="3" fillId="2" borderId="2" xfId="0" applyNumberFormat="1" applyFont="1" applyFill="1" applyBorder="1" applyAlignment="1" applyProtection="1">
      <alignment horizontal="right"/>
    </xf>
    <xf numFmtId="168" fontId="3" fillId="2" borderId="13" xfId="0" applyNumberFormat="1" applyFont="1" applyFill="1" applyBorder="1" applyAlignment="1" applyProtection="1">
      <alignment horizontal="right"/>
    </xf>
    <xf numFmtId="168" fontId="3" fillId="2" borderId="127" xfId="0" applyNumberFormat="1" applyFont="1" applyFill="1" applyBorder="1" applyAlignment="1" applyProtection="1">
      <alignment horizontal="right"/>
    </xf>
    <xf numFmtId="168" fontId="3" fillId="2" borderId="126" xfId="0" applyNumberFormat="1" applyFont="1" applyFill="1" applyBorder="1" applyAlignment="1" applyProtection="1">
      <alignment horizontal="right"/>
    </xf>
    <xf numFmtId="168" fontId="3" fillId="2" borderId="128" xfId="0" applyNumberFormat="1" applyFont="1" applyFill="1" applyBorder="1" applyAlignment="1" applyProtection="1">
      <alignment horizontal="right"/>
    </xf>
    <xf numFmtId="168" fontId="3" fillId="0" borderId="1" xfId="0" applyNumberFormat="1" applyFont="1" applyFill="1" applyBorder="1" applyAlignment="1" applyProtection="1">
      <alignment horizontal="right"/>
    </xf>
    <xf numFmtId="168" fontId="3" fillId="0" borderId="15" xfId="0" applyNumberFormat="1" applyFont="1" applyFill="1" applyBorder="1" applyAlignment="1" applyProtection="1">
      <alignment horizontal="right"/>
    </xf>
    <xf numFmtId="168" fontId="3" fillId="0" borderId="125" xfId="0" applyNumberFormat="1" applyFont="1" applyFill="1" applyBorder="1" applyAlignment="1" applyProtection="1">
      <alignment horizontal="right"/>
    </xf>
    <xf numFmtId="168" fontId="3" fillId="0" borderId="20" xfId="0" applyNumberFormat="1" applyFont="1" applyFill="1" applyBorder="1" applyAlignment="1" applyProtection="1">
      <alignment horizontal="right"/>
    </xf>
    <xf numFmtId="168" fontId="3" fillId="6" borderId="148" xfId="0" applyNumberFormat="1" applyFont="1" applyFill="1" applyBorder="1" applyAlignment="1" applyProtection="1">
      <alignment horizontal="right"/>
    </xf>
    <xf numFmtId="168" fontId="3" fillId="2" borderId="1" xfId="0" applyNumberFormat="1" applyFont="1" applyFill="1" applyBorder="1" applyAlignment="1" applyProtection="1">
      <alignment horizontal="right"/>
    </xf>
    <xf numFmtId="168" fontId="3" fillId="2" borderId="125" xfId="0" applyNumberFormat="1" applyFont="1" applyFill="1" applyBorder="1" applyAlignment="1" applyProtection="1">
      <alignment horizontal="right"/>
    </xf>
    <xf numFmtId="10" fontId="2" fillId="0" borderId="101" xfId="11" applyNumberFormat="1" applyFont="1" applyFill="1" applyBorder="1" applyAlignment="1" applyProtection="1">
      <alignment horizontal="center"/>
    </xf>
    <xf numFmtId="169" fontId="3" fillId="2" borderId="100" xfId="0" applyNumberFormat="1" applyFont="1" applyFill="1" applyBorder="1" applyAlignment="1" applyProtection="1">
      <alignment horizontal="center"/>
    </xf>
    <xf numFmtId="169" fontId="3" fillId="2" borderId="101" xfId="0" applyNumberFormat="1" applyFont="1" applyFill="1" applyBorder="1" applyAlignment="1" applyProtection="1">
      <alignment horizontal="center"/>
    </xf>
    <xf numFmtId="10" fontId="2" fillId="0" borderId="110" xfId="11" applyNumberFormat="1" applyFont="1" applyFill="1" applyBorder="1" applyAlignment="1" applyProtection="1">
      <alignment horizontal="center"/>
    </xf>
    <xf numFmtId="10" fontId="2" fillId="0" borderId="103" xfId="11" applyNumberFormat="1" applyFont="1" applyFill="1" applyBorder="1" applyAlignment="1" applyProtection="1">
      <alignment horizontal="center"/>
    </xf>
    <xf numFmtId="169" fontId="3" fillId="2" borderId="102" xfId="0" applyNumberFormat="1" applyFont="1" applyFill="1" applyBorder="1" applyAlignment="1" applyProtection="1">
      <alignment horizontal="center"/>
    </xf>
    <xf numFmtId="169" fontId="3" fillId="2" borderId="103" xfId="0" applyNumberFormat="1" applyFont="1" applyFill="1" applyBorder="1" applyAlignment="1" applyProtection="1">
      <alignment horizontal="center"/>
    </xf>
    <xf numFmtId="10" fontId="2" fillId="0" borderId="111" xfId="11" applyNumberFormat="1" applyFont="1" applyFill="1" applyBorder="1" applyAlignment="1" applyProtection="1">
      <alignment horizontal="center"/>
    </xf>
    <xf numFmtId="168" fontId="2" fillId="0" borderId="101" xfId="11" applyNumberFormat="1" applyFont="1" applyFill="1" applyBorder="1" applyAlignment="1" applyProtection="1">
      <alignment horizontal="right"/>
    </xf>
    <xf numFmtId="168" fontId="2" fillId="0" borderId="110" xfId="11" applyNumberFormat="1" applyFont="1" applyFill="1" applyBorder="1" applyAlignment="1" applyProtection="1">
      <alignment horizontal="right"/>
    </xf>
    <xf numFmtId="168" fontId="2" fillId="0" borderId="103" xfId="11" applyNumberFormat="1" applyFont="1" applyFill="1" applyBorder="1" applyAlignment="1" applyProtection="1">
      <alignment horizontal="right"/>
    </xf>
    <xf numFmtId="168" fontId="2" fillId="0" borderId="111" xfId="11" applyNumberFormat="1" applyFont="1" applyFill="1" applyBorder="1" applyAlignment="1" applyProtection="1">
      <alignment horizontal="right"/>
    </xf>
    <xf numFmtId="0" fontId="3" fillId="2" borderId="168" xfId="0" applyFont="1" applyFill="1" applyBorder="1" applyProtection="1"/>
    <xf numFmtId="4" fontId="91" fillId="2" borderId="0" xfId="0" applyNumberFormat="1" applyFont="1" applyFill="1" applyProtection="1"/>
    <xf numFmtId="169" fontId="101" fillId="11" borderId="113" xfId="0" applyNumberFormat="1" applyFont="1" applyFill="1" applyBorder="1" applyAlignment="1" applyProtection="1">
      <alignment horizontal="left"/>
    </xf>
    <xf numFmtId="169" fontId="101" fillId="11" borderId="112" xfId="0" applyNumberFormat="1" applyFont="1" applyFill="1" applyBorder="1" applyAlignment="1" applyProtection="1">
      <alignment horizontal="left"/>
    </xf>
    <xf numFmtId="0" fontId="272" fillId="16" borderId="169" xfId="0" applyFont="1" applyFill="1" applyBorder="1" applyProtection="1">
      <protection hidden="1"/>
    </xf>
    <xf numFmtId="0" fontId="273" fillId="16" borderId="170" xfId="0" applyFont="1" applyFill="1" applyBorder="1" applyProtection="1"/>
    <xf numFmtId="0" fontId="273" fillId="16" borderId="171" xfId="0" applyFont="1" applyFill="1" applyBorder="1" applyProtection="1"/>
    <xf numFmtId="0" fontId="272" fillId="16" borderId="172" xfId="0" applyFont="1" applyFill="1" applyBorder="1" applyProtection="1">
      <protection hidden="1"/>
    </xf>
    <xf numFmtId="0" fontId="273" fillId="16" borderId="0" xfId="0" applyFont="1" applyFill="1" applyBorder="1" applyProtection="1"/>
    <xf numFmtId="0" fontId="273" fillId="16" borderId="173" xfId="0" applyFont="1" applyFill="1" applyBorder="1" applyProtection="1"/>
    <xf numFmtId="0" fontId="272" fillId="16" borderId="174" xfId="0" applyFont="1" applyFill="1" applyBorder="1" applyProtection="1">
      <protection hidden="1"/>
    </xf>
    <xf numFmtId="0" fontId="273" fillId="16" borderId="11" xfId="0" applyFont="1" applyFill="1" applyBorder="1" applyProtection="1"/>
    <xf numFmtId="0" fontId="273" fillId="16" borderId="175" xfId="0" applyFont="1" applyFill="1" applyBorder="1" applyProtection="1"/>
    <xf numFmtId="0" fontId="3" fillId="17" borderId="51" xfId="0" applyFont="1" applyFill="1" applyBorder="1" applyProtection="1"/>
    <xf numFmtId="0" fontId="3" fillId="17" borderId="52" xfId="0" applyFont="1" applyFill="1" applyBorder="1" applyProtection="1"/>
    <xf numFmtId="169" fontId="3" fillId="17" borderId="1" xfId="0" applyNumberFormat="1" applyFont="1" applyFill="1" applyBorder="1" applyAlignment="1" applyProtection="1">
      <alignment horizontal="center"/>
    </xf>
    <xf numFmtId="168" fontId="3" fillId="17" borderId="2" xfId="0" applyNumberFormat="1" applyFont="1" applyFill="1" applyBorder="1" applyProtection="1">
      <protection locked="0"/>
    </xf>
    <xf numFmtId="168" fontId="3" fillId="17" borderId="127" xfId="0" applyNumberFormat="1" applyFont="1" applyFill="1" applyBorder="1" applyProtection="1">
      <protection locked="0"/>
    </xf>
    <xf numFmtId="168" fontId="3" fillId="17" borderId="126" xfId="0" applyNumberFormat="1" applyFont="1" applyFill="1" applyBorder="1" applyProtection="1">
      <protection locked="0"/>
    </xf>
    <xf numFmtId="169" fontId="3" fillId="17" borderId="12" xfId="0" applyNumberFormat="1" applyFont="1" applyFill="1" applyBorder="1" applyAlignment="1" applyProtection="1">
      <alignment horizontal="center"/>
    </xf>
    <xf numFmtId="168" fontId="3" fillId="17" borderId="13" xfId="0" applyNumberFormat="1" applyFont="1" applyFill="1" applyBorder="1" applyProtection="1"/>
    <xf numFmtId="168" fontId="3" fillId="17" borderId="1" xfId="0" applyNumberFormat="1" applyFont="1" applyFill="1" applyBorder="1" applyProtection="1">
      <protection locked="0"/>
    </xf>
    <xf numFmtId="169" fontId="3" fillId="17" borderId="2" xfId="0" applyNumberFormat="1" applyFont="1" applyFill="1" applyBorder="1" applyAlignment="1" applyProtection="1">
      <alignment horizontal="center"/>
    </xf>
    <xf numFmtId="168" fontId="3" fillId="17" borderId="12" xfId="0" applyNumberFormat="1" applyFont="1" applyFill="1" applyBorder="1" applyProtection="1"/>
    <xf numFmtId="169" fontId="3" fillId="17" borderId="13" xfId="0" applyNumberFormat="1" applyFont="1" applyFill="1" applyBorder="1" applyAlignment="1" applyProtection="1">
      <alignment horizontal="center"/>
    </xf>
    <xf numFmtId="168" fontId="3" fillId="17" borderId="1" xfId="0" applyNumberFormat="1" applyFont="1" applyFill="1" applyBorder="1" applyAlignment="1" applyProtection="1">
      <alignment horizontal="right"/>
    </xf>
    <xf numFmtId="168" fontId="3" fillId="17" borderId="2" xfId="0" applyNumberFormat="1" applyFont="1" applyFill="1" applyBorder="1" applyAlignment="1" applyProtection="1">
      <alignment horizontal="right"/>
    </xf>
    <xf numFmtId="168" fontId="3" fillId="17" borderId="12" xfId="0" applyNumberFormat="1" applyFont="1" applyFill="1" applyBorder="1" applyAlignment="1" applyProtection="1">
      <alignment horizontal="right"/>
    </xf>
    <xf numFmtId="168" fontId="3" fillId="17" borderId="13" xfId="0" applyNumberFormat="1" applyFont="1" applyFill="1" applyBorder="1" applyAlignment="1" applyProtection="1">
      <alignment horizontal="right"/>
    </xf>
    <xf numFmtId="168" fontId="3" fillId="17" borderId="12" xfId="0" applyNumberFormat="1" applyFont="1" applyFill="1" applyBorder="1" applyProtection="1">
      <protection locked="0"/>
    </xf>
    <xf numFmtId="0" fontId="85" fillId="17" borderId="52" xfId="0" applyFont="1" applyFill="1" applyBorder="1" applyProtection="1"/>
    <xf numFmtId="0" fontId="2" fillId="17" borderId="50" xfId="0" applyFont="1" applyFill="1" applyBorder="1" applyProtection="1"/>
    <xf numFmtId="0" fontId="2" fillId="17" borderId="52" xfId="0" applyFont="1" applyFill="1" applyBorder="1" applyProtection="1"/>
    <xf numFmtId="168" fontId="3" fillId="17" borderId="1" xfId="0" applyNumberFormat="1" applyFont="1" applyFill="1" applyBorder="1" applyAlignment="1" applyProtection="1">
      <alignment horizontal="right"/>
      <protection locked="0"/>
    </xf>
    <xf numFmtId="168" fontId="3" fillId="17" borderId="2" xfId="0" applyNumberFormat="1" applyFont="1" applyFill="1" applyBorder="1" applyAlignment="1" applyProtection="1">
      <alignment horizontal="right"/>
      <protection locked="0"/>
    </xf>
    <xf numFmtId="0" fontId="93" fillId="17" borderId="50" xfId="0" applyFont="1" applyFill="1" applyBorder="1"/>
    <xf numFmtId="169" fontId="3" fillId="17" borderId="1" xfId="0" applyNumberFormat="1" applyFont="1" applyFill="1" applyBorder="1" applyAlignment="1" applyProtection="1">
      <alignment horizontal="center"/>
      <protection locked="0"/>
    </xf>
    <xf numFmtId="168" fontId="3" fillId="17" borderId="15" xfId="0" applyNumberFormat="1" applyFont="1" applyFill="1" applyBorder="1" applyProtection="1">
      <protection locked="0"/>
    </xf>
    <xf numFmtId="168" fontId="3" fillId="17" borderId="21" xfId="0" applyNumberFormat="1" applyFont="1" applyFill="1" applyBorder="1" applyProtection="1">
      <protection locked="0"/>
    </xf>
    <xf numFmtId="168" fontId="3" fillId="17" borderId="22" xfId="0" applyNumberFormat="1" applyFont="1" applyFill="1" applyBorder="1" applyProtection="1"/>
    <xf numFmtId="168" fontId="3" fillId="17" borderId="20" xfId="0" applyNumberFormat="1" applyFont="1" applyFill="1" applyBorder="1" applyAlignment="1" applyProtection="1">
      <alignment horizontal="right"/>
    </xf>
    <xf numFmtId="168" fontId="3" fillId="17" borderId="15" xfId="0" applyNumberFormat="1" applyFont="1" applyFill="1" applyBorder="1" applyAlignment="1" applyProtection="1">
      <alignment horizontal="right"/>
    </xf>
    <xf numFmtId="168" fontId="3" fillId="17" borderId="21" xfId="0" applyNumberFormat="1" applyFont="1" applyFill="1" applyBorder="1" applyAlignment="1" applyProtection="1">
      <alignment horizontal="right"/>
    </xf>
    <xf numFmtId="168" fontId="3" fillId="17" borderId="22" xfId="0" applyNumberFormat="1" applyFont="1" applyFill="1" applyBorder="1" applyAlignment="1" applyProtection="1">
      <alignment horizontal="right"/>
    </xf>
    <xf numFmtId="169" fontId="3" fillId="18" borderId="1" xfId="0" applyNumberFormat="1" applyFont="1" applyFill="1" applyBorder="1" applyAlignment="1" applyProtection="1">
      <alignment horizontal="center"/>
    </xf>
    <xf numFmtId="169" fontId="3" fillId="18" borderId="13" xfId="0" applyNumberFormat="1" applyFont="1" applyFill="1" applyBorder="1" applyAlignment="1" applyProtection="1">
      <alignment horizontal="center"/>
    </xf>
    <xf numFmtId="0" fontId="70" fillId="5" borderId="50" xfId="0" applyFont="1" applyFill="1" applyBorder="1" applyProtection="1"/>
    <xf numFmtId="0" fontId="21" fillId="2" borderId="0" xfId="0" applyFont="1" applyFill="1" applyProtection="1"/>
    <xf numFmtId="0" fontId="128" fillId="2" borderId="0" xfId="0" applyFont="1" applyFill="1" applyProtection="1"/>
    <xf numFmtId="0" fontId="3" fillId="19" borderId="146" xfId="0" applyFont="1" applyFill="1" applyBorder="1" applyProtection="1"/>
    <xf numFmtId="0" fontId="3" fillId="5" borderId="0" xfId="0" applyFont="1" applyFill="1" applyBorder="1" applyProtection="1"/>
    <xf numFmtId="0" fontId="2" fillId="16" borderId="65" xfId="0" applyFont="1" applyFill="1" applyBorder="1" applyAlignment="1" applyProtection="1">
      <alignment horizontal="center"/>
    </xf>
    <xf numFmtId="0" fontId="2" fillId="5" borderId="129" xfId="0" applyFont="1" applyFill="1" applyBorder="1" applyProtection="1"/>
    <xf numFmtId="0" fontId="3" fillId="5" borderId="176" xfId="0" applyFont="1" applyFill="1" applyBorder="1" applyProtection="1"/>
    <xf numFmtId="0" fontId="3" fillId="5" borderId="177" xfId="0" applyFont="1" applyFill="1" applyBorder="1" applyProtection="1"/>
    <xf numFmtId="0" fontId="3" fillId="5" borderId="178" xfId="0" applyFont="1" applyFill="1" applyBorder="1" applyProtection="1"/>
    <xf numFmtId="164" fontId="2" fillId="5" borderId="86" xfId="10" applyNumberFormat="1" applyFont="1" applyFill="1" applyBorder="1" applyAlignment="1" applyProtection="1"/>
    <xf numFmtId="164" fontId="3" fillId="5" borderId="94" xfId="10" applyNumberFormat="1" applyFont="1" applyFill="1" applyBorder="1" applyAlignment="1" applyProtection="1"/>
    <xf numFmtId="168" fontId="2" fillId="0" borderId="165" xfId="10" applyNumberFormat="1" applyFont="1" applyBorder="1" applyAlignment="1" applyProtection="1"/>
    <xf numFmtId="168" fontId="3" fillId="0" borderId="167" xfId="10" applyNumberFormat="1" applyFont="1" applyBorder="1" applyAlignment="1" applyProtection="1"/>
    <xf numFmtId="168" fontId="2" fillId="0" borderId="165" xfId="10" applyNumberFormat="1" applyFont="1" applyBorder="1" applyAlignment="1" applyProtection="1">
      <alignment horizontal="center"/>
    </xf>
    <xf numFmtId="168" fontId="3" fillId="0" borderId="167" xfId="10" applyNumberFormat="1" applyFont="1" applyBorder="1" applyAlignment="1" applyProtection="1">
      <alignment horizontal="center"/>
    </xf>
    <xf numFmtId="168" fontId="2" fillId="0" borderId="164" xfId="10" applyNumberFormat="1" applyFont="1" applyBorder="1" applyAlignment="1" applyProtection="1">
      <alignment horizontal="right"/>
    </xf>
    <xf numFmtId="168" fontId="3" fillId="0" borderId="166" xfId="10" applyNumberFormat="1" applyFont="1" applyBorder="1" applyAlignment="1" applyProtection="1">
      <alignment horizontal="right"/>
    </xf>
    <xf numFmtId="168" fontId="2" fillId="8" borderId="92" xfId="10" applyNumberFormat="1" applyFont="1" applyFill="1" applyBorder="1" applyAlignment="1" applyProtection="1"/>
    <xf numFmtId="168" fontId="3" fillId="8" borderId="95" xfId="10" applyNumberFormat="1" applyFont="1" applyFill="1" applyBorder="1" applyAlignment="1" applyProtection="1"/>
    <xf numFmtId="168" fontId="2" fillId="0" borderId="86" xfId="10" applyNumberFormat="1" applyFont="1" applyBorder="1" applyAlignment="1" applyProtection="1"/>
    <xf numFmtId="168" fontId="3" fillId="0" borderId="94" xfId="10" applyNumberFormat="1" applyFont="1" applyBorder="1" applyAlignment="1" applyProtection="1"/>
    <xf numFmtId="168" fontId="2" fillId="0" borderId="164" xfId="10" applyNumberFormat="1" applyFont="1" applyBorder="1" applyAlignment="1" applyProtection="1"/>
    <xf numFmtId="168" fontId="3" fillId="0" borderId="166" xfId="10" applyNumberFormat="1" applyFont="1" applyBorder="1" applyAlignment="1" applyProtection="1"/>
    <xf numFmtId="168" fontId="2" fillId="5" borderId="86" xfId="10" applyNumberFormat="1" applyFont="1" applyFill="1" applyBorder="1" applyAlignment="1" applyProtection="1"/>
    <xf numFmtId="168" fontId="3" fillId="5" borderId="94" xfId="10" applyNumberFormat="1" applyFont="1" applyFill="1" applyBorder="1" applyAlignment="1" applyProtection="1"/>
    <xf numFmtId="168" fontId="2" fillId="0" borderId="179" xfId="10" applyNumberFormat="1" applyFont="1" applyBorder="1" applyAlignment="1" applyProtection="1"/>
    <xf numFmtId="168" fontId="3" fillId="0" borderId="180" xfId="10" applyNumberFormat="1" applyFont="1" applyBorder="1" applyAlignment="1" applyProtection="1"/>
    <xf numFmtId="0" fontId="25" fillId="5" borderId="181" xfId="9" applyFont="1" applyFill="1" applyBorder="1" applyAlignment="1" applyProtection="1">
      <alignment horizontal="left" vertical="center"/>
    </xf>
    <xf numFmtId="164" fontId="3" fillId="5" borderId="182" xfId="10" applyNumberFormat="1" applyFont="1" applyFill="1" applyBorder="1" applyAlignment="1" applyProtection="1">
      <alignment horizontal="left" vertical="center"/>
    </xf>
    <xf numFmtId="0" fontId="111" fillId="5" borderId="183" xfId="9" applyFont="1" applyFill="1" applyBorder="1" applyAlignment="1" applyProtection="1">
      <alignment horizontal="left" vertical="center"/>
    </xf>
    <xf numFmtId="164" fontId="3" fillId="5" borderId="184" xfId="10" applyNumberFormat="1" applyFont="1" applyFill="1" applyBorder="1" applyAlignment="1" applyProtection="1">
      <alignment horizontal="left" vertical="center"/>
    </xf>
    <xf numFmtId="0" fontId="12" fillId="5" borderId="181" xfId="9" applyFont="1" applyFill="1" applyBorder="1" applyAlignment="1" applyProtection="1">
      <alignment vertical="center"/>
    </xf>
    <xf numFmtId="0" fontId="7" fillId="5" borderId="182" xfId="9" applyFont="1" applyFill="1" applyBorder="1" applyProtection="1"/>
    <xf numFmtId="0" fontId="95" fillId="5" borderId="183" xfId="9" applyFont="1" applyFill="1" applyBorder="1" applyAlignment="1" applyProtection="1">
      <alignment horizontal="left" vertical="center"/>
    </xf>
    <xf numFmtId="0" fontId="28" fillId="5" borderId="184" xfId="9" applyFont="1" applyFill="1" applyBorder="1" applyProtection="1"/>
    <xf numFmtId="168" fontId="2" fillId="0" borderId="165" xfId="10" applyNumberFormat="1" applyFont="1" applyBorder="1" applyAlignment="1" applyProtection="1">
      <alignment horizontal="right"/>
    </xf>
    <xf numFmtId="168" fontId="3" fillId="0" borderId="167" xfId="10" applyNumberFormat="1" applyFont="1" applyBorder="1" applyAlignment="1" applyProtection="1">
      <alignment horizontal="right"/>
    </xf>
    <xf numFmtId="164" fontId="3" fillId="5" borderId="182" xfId="10" applyNumberFormat="1" applyFont="1" applyFill="1" applyBorder="1" applyAlignment="1" applyProtection="1">
      <alignment vertical="center"/>
    </xf>
    <xf numFmtId="0" fontId="94" fillId="5" borderId="183" xfId="9" applyFont="1" applyFill="1" applyBorder="1" applyAlignment="1" applyProtection="1">
      <alignment vertical="center"/>
    </xf>
    <xf numFmtId="164" fontId="3" fillId="5" borderId="184" xfId="10" applyNumberFormat="1" applyFont="1" applyFill="1" applyBorder="1" applyAlignment="1" applyProtection="1">
      <alignment horizontal="center" vertical="center"/>
    </xf>
    <xf numFmtId="164" fontId="2" fillId="0" borderId="86" xfId="10" applyNumberFormat="1" applyFont="1" applyFill="1" applyBorder="1" applyAlignment="1" applyProtection="1"/>
    <xf numFmtId="168" fontId="2" fillId="0" borderId="165" xfId="10" applyNumberFormat="1" applyFont="1" applyFill="1" applyBorder="1" applyAlignment="1" applyProtection="1">
      <alignment horizontal="right"/>
    </xf>
    <xf numFmtId="168" fontId="3" fillId="0" borderId="167" xfId="10" applyNumberFormat="1" applyFont="1" applyFill="1" applyBorder="1" applyAlignment="1" applyProtection="1">
      <alignment horizontal="right"/>
    </xf>
    <xf numFmtId="168" fontId="2" fillId="9" borderId="92" xfId="10" applyNumberFormat="1" applyFont="1" applyFill="1" applyBorder="1" applyAlignment="1" applyProtection="1"/>
    <xf numFmtId="168" fontId="3" fillId="9" borderId="95" xfId="10" applyNumberFormat="1" applyFont="1" applyFill="1" applyBorder="1" applyAlignment="1" applyProtection="1"/>
    <xf numFmtId="168" fontId="3" fillId="8" borderId="95" xfId="10" applyNumberFormat="1" applyFont="1" applyFill="1" applyBorder="1" applyAlignment="1" applyProtection="1">
      <alignment horizontal="right"/>
    </xf>
    <xf numFmtId="168" fontId="2" fillId="20" borderId="185" xfId="10" applyNumberFormat="1" applyFont="1" applyFill="1" applyBorder="1" applyAlignment="1" applyProtection="1"/>
    <xf numFmtId="168" fontId="3" fillId="20" borderId="186" xfId="10" applyNumberFormat="1" applyFont="1" applyFill="1" applyBorder="1" applyAlignment="1" applyProtection="1"/>
    <xf numFmtId="168" fontId="2" fillId="20" borderId="185" xfId="10" applyNumberFormat="1" applyFont="1" applyFill="1" applyBorder="1" applyAlignment="1" applyProtection="1">
      <alignment horizontal="right"/>
    </xf>
    <xf numFmtId="168" fontId="3" fillId="20" borderId="186" xfId="10" applyNumberFormat="1" applyFont="1" applyFill="1" applyBorder="1" applyAlignment="1" applyProtection="1">
      <alignment horizontal="right"/>
    </xf>
    <xf numFmtId="0" fontId="7" fillId="17" borderId="0" xfId="6" applyFont="1" applyFill="1" applyProtection="1"/>
    <xf numFmtId="164" fontId="3" fillId="17" borderId="0" xfId="10" applyNumberFormat="1" applyFont="1" applyFill="1" applyAlignment="1" applyProtection="1"/>
    <xf numFmtId="164" fontId="2" fillId="0" borderId="165" xfId="10" applyNumberFormat="1" applyFont="1" applyBorder="1" applyAlignment="1" applyProtection="1"/>
    <xf numFmtId="164" fontId="3" fillId="0" borderId="167" xfId="10" applyNumberFormat="1" applyFont="1" applyBorder="1" applyAlignment="1" applyProtection="1"/>
    <xf numFmtId="164" fontId="2" fillId="0" borderId="164" xfId="10" applyNumberFormat="1" applyFont="1" applyBorder="1" applyAlignment="1" applyProtection="1"/>
    <xf numFmtId="164" fontId="3" fillId="0" borderId="166" xfId="10" applyNumberFormat="1" applyFont="1" applyBorder="1" applyAlignment="1" applyProtection="1"/>
    <xf numFmtId="164" fontId="2" fillId="8" borderId="92" xfId="10" applyNumberFormat="1" applyFont="1" applyFill="1" applyBorder="1" applyAlignment="1" applyProtection="1"/>
    <xf numFmtId="164" fontId="3" fillId="8" borderId="95" xfId="10" applyNumberFormat="1" applyFont="1" applyFill="1" applyBorder="1" applyAlignment="1" applyProtection="1"/>
    <xf numFmtId="164" fontId="2" fillId="0" borderId="86" xfId="10" applyNumberFormat="1" applyFont="1" applyBorder="1" applyAlignment="1" applyProtection="1"/>
    <xf numFmtId="164" fontId="3" fillId="0" borderId="94" xfId="10" applyNumberFormat="1" applyFont="1" applyBorder="1" applyAlignment="1" applyProtection="1"/>
    <xf numFmtId="164" fontId="2" fillId="0" borderId="179" xfId="10" applyNumberFormat="1" applyFont="1" applyBorder="1" applyAlignment="1" applyProtection="1"/>
    <xf numFmtId="164" fontId="3" fillId="0" borderId="180" xfId="10" applyNumberFormat="1" applyFont="1" applyBorder="1" applyAlignment="1" applyProtection="1"/>
    <xf numFmtId="0" fontId="12" fillId="5" borderId="181" xfId="6" applyFont="1" applyFill="1" applyBorder="1" applyAlignment="1" applyProtection="1">
      <alignment vertical="center"/>
    </xf>
    <xf numFmtId="0" fontId="7" fillId="5" borderId="182" xfId="6" applyFont="1" applyFill="1" applyBorder="1" applyProtection="1"/>
    <xf numFmtId="164" fontId="2" fillId="0" borderId="165" xfId="10" applyNumberFormat="1" applyFont="1" applyFill="1" applyBorder="1" applyAlignment="1" applyProtection="1"/>
    <xf numFmtId="164" fontId="3" fillId="0" borderId="167" xfId="10" applyNumberFormat="1" applyFont="1" applyFill="1" applyBorder="1" applyAlignment="1" applyProtection="1"/>
    <xf numFmtId="164" fontId="2" fillId="0" borderId="165" xfId="10" applyNumberFormat="1" applyFont="1" applyBorder="1" applyAlignment="1" applyProtection="1">
      <alignment horizontal="right"/>
    </xf>
    <xf numFmtId="164" fontId="3" fillId="0" borderId="167" xfId="10" applyNumberFormat="1" applyFont="1" applyBorder="1" applyAlignment="1" applyProtection="1">
      <alignment horizontal="right"/>
    </xf>
    <xf numFmtId="164" fontId="2" fillId="9" borderId="92" xfId="10" applyNumberFormat="1" applyFont="1" applyFill="1" applyBorder="1" applyAlignment="1" applyProtection="1"/>
    <xf numFmtId="164" fontId="3" fillId="9" borderId="95" xfId="10" applyNumberFormat="1" applyFont="1" applyFill="1" applyBorder="1" applyAlignment="1" applyProtection="1"/>
    <xf numFmtId="164" fontId="8" fillId="20" borderId="185" xfId="10" applyNumberFormat="1" applyFont="1" applyFill="1" applyBorder="1" applyAlignment="1" applyProtection="1"/>
    <xf numFmtId="164" fontId="15" fillId="20" borderId="186" xfId="10" applyNumberFormat="1" applyFont="1" applyFill="1" applyBorder="1" applyAlignment="1" applyProtection="1"/>
    <xf numFmtId="38" fontId="8" fillId="21" borderId="187" xfId="10" applyNumberFormat="1" applyFont="1" applyFill="1" applyBorder="1" applyAlignment="1" applyProtection="1"/>
    <xf numFmtId="167" fontId="8" fillId="21" borderId="188" xfId="10" applyNumberFormat="1" applyFont="1" applyFill="1" applyBorder="1" applyAlignment="1" applyProtection="1">
      <alignment horizontal="center"/>
    </xf>
    <xf numFmtId="167" fontId="2" fillId="21" borderId="188" xfId="10" applyNumberFormat="1" applyFont="1" applyFill="1" applyBorder="1" applyAlignment="1" applyProtection="1">
      <alignment horizontal="center"/>
    </xf>
    <xf numFmtId="38" fontId="24" fillId="22" borderId="189" xfId="10" applyNumberFormat="1" applyFont="1" applyFill="1" applyBorder="1" applyAlignment="1" applyProtection="1"/>
    <xf numFmtId="167" fontId="8" fillId="22" borderId="98" xfId="10" applyNumberFormat="1" applyFont="1" applyFill="1" applyBorder="1" applyAlignment="1" applyProtection="1">
      <alignment horizontal="center"/>
    </xf>
    <xf numFmtId="168" fontId="2" fillId="22" borderId="96" xfId="10" applyNumberFormat="1" applyFont="1" applyFill="1" applyBorder="1" applyAlignment="1" applyProtection="1"/>
    <xf numFmtId="168" fontId="3" fillId="22" borderId="99" xfId="10" applyNumberFormat="1" applyFont="1" applyFill="1" applyBorder="1" applyAlignment="1" applyProtection="1"/>
    <xf numFmtId="38" fontId="2" fillId="17" borderId="8" xfId="10" applyNumberFormat="1" applyFont="1" applyFill="1" applyBorder="1" applyAlignment="1" applyProtection="1"/>
    <xf numFmtId="38" fontId="3" fillId="17" borderId="50" xfId="10" applyNumberFormat="1" applyFont="1" applyFill="1" applyBorder="1" applyAlignment="1" applyProtection="1"/>
    <xf numFmtId="38" fontId="3" fillId="17" borderId="129" xfId="10" applyNumberFormat="1" applyFont="1" applyFill="1" applyBorder="1" applyAlignment="1" applyProtection="1"/>
    <xf numFmtId="38" fontId="91" fillId="8" borderId="0" xfId="10" applyNumberFormat="1" applyFont="1" applyFill="1" applyAlignment="1" applyProtection="1"/>
    <xf numFmtId="38" fontId="91" fillId="8" borderId="0" xfId="9" applyNumberFormat="1" applyFont="1" applyFill="1" applyAlignment="1" applyProtection="1">
      <alignment horizontal="right"/>
    </xf>
    <xf numFmtId="38" fontId="2" fillId="23" borderId="87" xfId="10" applyNumberFormat="1" applyFont="1" applyFill="1" applyBorder="1" applyAlignment="1" applyProtection="1"/>
    <xf numFmtId="167" fontId="2" fillId="23" borderId="88" xfId="10" applyNumberFormat="1" applyFont="1" applyFill="1" applyBorder="1" applyAlignment="1" applyProtection="1">
      <alignment horizontal="center"/>
    </xf>
    <xf numFmtId="168" fontId="73" fillId="8" borderId="95" xfId="10" applyNumberFormat="1" applyFont="1" applyFill="1" applyBorder="1" applyAlignment="1" applyProtection="1">
      <alignment horizontal="right"/>
    </xf>
    <xf numFmtId="168" fontId="73" fillId="0" borderId="167" xfId="10" applyNumberFormat="1" applyFont="1" applyBorder="1" applyAlignment="1" applyProtection="1">
      <alignment horizontal="right"/>
    </xf>
    <xf numFmtId="168" fontId="73" fillId="0" borderId="166" xfId="10" applyNumberFormat="1" applyFont="1" applyBorder="1" applyAlignment="1" applyProtection="1">
      <alignment horizontal="right"/>
    </xf>
    <xf numFmtId="168" fontId="73" fillId="0" borderId="94" xfId="10" applyNumberFormat="1" applyFont="1" applyBorder="1" applyAlignment="1" applyProtection="1">
      <alignment horizontal="right"/>
    </xf>
    <xf numFmtId="168" fontId="73" fillId="5" borderId="94" xfId="10" applyNumberFormat="1" applyFont="1" applyFill="1" applyBorder="1" applyAlignment="1" applyProtection="1">
      <alignment horizontal="right"/>
    </xf>
    <xf numFmtId="168" fontId="73" fillId="23" borderId="95" xfId="10" applyNumberFormat="1" applyFont="1" applyFill="1" applyBorder="1" applyAlignment="1" applyProtection="1">
      <alignment horizontal="right"/>
    </xf>
    <xf numFmtId="168" fontId="73" fillId="22" borderId="99" xfId="10" applyNumberFormat="1" applyFont="1" applyFill="1" applyBorder="1" applyAlignment="1" applyProtection="1">
      <alignment horizontal="right"/>
    </xf>
    <xf numFmtId="168" fontId="70" fillId="0" borderId="165" xfId="10" applyNumberFormat="1" applyFont="1" applyBorder="1" applyAlignment="1" applyProtection="1">
      <alignment horizontal="right"/>
    </xf>
    <xf numFmtId="168" fontId="70" fillId="0" borderId="164" xfId="10" applyNumberFormat="1" applyFont="1" applyBorder="1" applyAlignment="1" applyProtection="1">
      <alignment horizontal="right"/>
    </xf>
    <xf numFmtId="168" fontId="70" fillId="8" borderId="92" xfId="10" applyNumberFormat="1" applyFont="1" applyFill="1" applyBorder="1" applyAlignment="1" applyProtection="1">
      <alignment horizontal="right"/>
    </xf>
    <xf numFmtId="168" fontId="70" fillId="0" borderId="86" xfId="10" applyNumberFormat="1" applyFont="1" applyBorder="1" applyAlignment="1" applyProtection="1">
      <alignment horizontal="right"/>
    </xf>
    <xf numFmtId="168" fontId="70" fillId="5" borderId="86" xfId="10" applyNumberFormat="1" applyFont="1" applyFill="1" applyBorder="1" applyAlignment="1" applyProtection="1">
      <alignment horizontal="right"/>
    </xf>
    <xf numFmtId="168" fontId="70" fillId="23" borderId="92" xfId="10" applyNumberFormat="1" applyFont="1" applyFill="1" applyBorder="1" applyAlignment="1" applyProtection="1">
      <alignment horizontal="right"/>
    </xf>
    <xf numFmtId="168" fontId="70" fillId="22" borderId="96" xfId="10" applyNumberFormat="1" applyFont="1" applyFill="1" applyBorder="1" applyAlignment="1" applyProtection="1">
      <alignment horizontal="right"/>
    </xf>
    <xf numFmtId="164" fontId="73" fillId="5" borderId="94" xfId="10" applyNumberFormat="1" applyFont="1" applyFill="1" applyBorder="1" applyAlignment="1" applyProtection="1"/>
    <xf numFmtId="168" fontId="73" fillId="0" borderId="94" xfId="10" applyNumberFormat="1" applyFont="1" applyBorder="1" applyAlignment="1" applyProtection="1">
      <alignment horizontal="center"/>
    </xf>
    <xf numFmtId="164" fontId="70" fillId="5" borderId="86" xfId="10" applyNumberFormat="1" applyFont="1" applyFill="1" applyBorder="1" applyAlignment="1" applyProtection="1"/>
    <xf numFmtId="168" fontId="70" fillId="0" borderId="86" xfId="10" applyNumberFormat="1" applyFont="1" applyBorder="1" applyAlignment="1" applyProtection="1">
      <alignment horizontal="center"/>
    </xf>
    <xf numFmtId="168" fontId="70" fillId="21" borderId="185" xfId="10" applyNumberFormat="1" applyFont="1" applyFill="1" applyBorder="1" applyAlignment="1" applyProtection="1">
      <alignment horizontal="right"/>
    </xf>
    <xf numFmtId="168" fontId="73" fillId="21" borderId="186" xfId="10" applyNumberFormat="1" applyFont="1" applyFill="1" applyBorder="1" applyAlignment="1" applyProtection="1">
      <alignment horizontal="right"/>
    </xf>
    <xf numFmtId="38" fontId="8" fillId="24" borderId="187" xfId="10" applyNumberFormat="1" applyFont="1" applyFill="1" applyBorder="1" applyAlignment="1" applyProtection="1"/>
    <xf numFmtId="167" fontId="8" fillId="24" borderId="188" xfId="10" applyNumberFormat="1" applyFont="1" applyFill="1" applyBorder="1" applyAlignment="1" applyProtection="1">
      <alignment horizontal="center"/>
    </xf>
    <xf numFmtId="168" fontId="70" fillId="24" borderId="185" xfId="10" applyNumberFormat="1" applyFont="1" applyFill="1" applyBorder="1" applyAlignment="1" applyProtection="1">
      <alignment horizontal="right"/>
    </xf>
    <xf numFmtId="168" fontId="73" fillId="24" borderId="186" xfId="10" applyNumberFormat="1" applyFont="1" applyFill="1" applyBorder="1" applyAlignment="1" applyProtection="1">
      <alignment horizontal="right"/>
    </xf>
    <xf numFmtId="38" fontId="8" fillId="25" borderId="187" xfId="10" applyNumberFormat="1" applyFont="1" applyFill="1" applyBorder="1" applyAlignment="1" applyProtection="1"/>
    <xf numFmtId="168" fontId="70" fillId="25" borderId="185" xfId="10" applyNumberFormat="1" applyFont="1" applyFill="1" applyBorder="1" applyAlignment="1" applyProtection="1">
      <alignment horizontal="right"/>
    </xf>
    <xf numFmtId="168" fontId="73" fillId="25" borderId="186" xfId="10" applyNumberFormat="1" applyFont="1" applyFill="1" applyBorder="1" applyAlignment="1" applyProtection="1">
      <alignment horizontal="right"/>
    </xf>
    <xf numFmtId="167" fontId="8" fillId="25" borderId="188" xfId="10" applyNumberFormat="1" applyFont="1" applyFill="1" applyBorder="1" applyAlignment="1" applyProtection="1">
      <alignment horizontal="center"/>
    </xf>
    <xf numFmtId="38" fontId="8" fillId="16" borderId="82" xfId="10" applyNumberFormat="1" applyFont="1" applyFill="1" applyBorder="1" applyAlignment="1" applyProtection="1">
      <alignment horizontal="center" vertical="center"/>
    </xf>
    <xf numFmtId="38" fontId="8" fillId="16" borderId="8" xfId="10" applyNumberFormat="1" applyFont="1" applyFill="1" applyBorder="1" applyAlignment="1" applyProtection="1">
      <alignment horizontal="center" vertical="center"/>
    </xf>
    <xf numFmtId="38" fontId="2" fillId="16" borderId="190" xfId="10" applyNumberFormat="1" applyFont="1" applyFill="1" applyBorder="1" applyAlignment="1" applyProtection="1">
      <alignment horizontal="center" vertical="center"/>
    </xf>
    <xf numFmtId="167" fontId="2" fillId="16" borderId="191" xfId="10" applyNumberFormat="1" applyFont="1" applyFill="1" applyBorder="1" applyAlignment="1" applyProtection="1">
      <alignment horizontal="center" vertical="center"/>
    </xf>
    <xf numFmtId="164" fontId="22" fillId="16" borderId="124" xfId="10" applyNumberFormat="1" applyFont="1" applyFill="1" applyBorder="1" applyAlignment="1" applyProtection="1">
      <alignment horizontal="center" vertical="center" wrapText="1"/>
    </xf>
    <xf numFmtId="164" fontId="29" fillId="16" borderId="192" xfId="10" applyNumberFormat="1" applyFont="1" applyFill="1" applyBorder="1" applyAlignment="1" applyProtection="1">
      <alignment horizontal="center" vertical="center" wrapText="1"/>
    </xf>
    <xf numFmtId="164" fontId="2" fillId="16" borderId="124" xfId="10" applyNumberFormat="1" applyFont="1" applyFill="1" applyBorder="1" applyAlignment="1" applyProtection="1">
      <alignment horizontal="center" vertical="center"/>
    </xf>
    <xf numFmtId="164" fontId="2" fillId="16" borderId="184" xfId="10" applyNumberFormat="1" applyFont="1" applyFill="1" applyBorder="1" applyAlignment="1" applyProtection="1">
      <alignment horizontal="center" vertical="center"/>
    </xf>
    <xf numFmtId="164" fontId="29" fillId="16" borderId="184" xfId="10" applyNumberFormat="1" applyFont="1" applyFill="1" applyBorder="1" applyAlignment="1" applyProtection="1">
      <alignment horizontal="center" vertical="center" wrapText="1"/>
    </xf>
    <xf numFmtId="38" fontId="8" fillId="26" borderId="187" xfId="10" applyNumberFormat="1" applyFont="1" applyFill="1" applyBorder="1" applyAlignment="1" applyProtection="1"/>
    <xf numFmtId="167" fontId="8" fillId="26" borderId="188" xfId="10" applyNumberFormat="1" applyFont="1" applyFill="1" applyBorder="1" applyAlignment="1" applyProtection="1">
      <alignment horizontal="center"/>
    </xf>
    <xf numFmtId="168" fontId="70" fillId="26" borderId="185" xfId="10" applyNumberFormat="1" applyFont="1" applyFill="1" applyBorder="1" applyAlignment="1" applyProtection="1">
      <alignment horizontal="right"/>
    </xf>
    <xf numFmtId="168" fontId="73" fillId="26" borderId="186" xfId="10" applyNumberFormat="1" applyFont="1" applyFill="1" applyBorder="1" applyAlignment="1" applyProtection="1">
      <alignment horizontal="right"/>
    </xf>
    <xf numFmtId="38" fontId="2" fillId="27" borderId="87" xfId="10" applyNumberFormat="1" applyFont="1" applyFill="1" applyBorder="1" applyAlignment="1" applyProtection="1"/>
    <xf numFmtId="167" fontId="2" fillId="27" borderId="88" xfId="10" applyNumberFormat="1" applyFont="1" applyFill="1" applyBorder="1" applyAlignment="1" applyProtection="1">
      <alignment horizontal="center"/>
    </xf>
    <xf numFmtId="168" fontId="70" fillId="27" borderId="92" xfId="10" applyNumberFormat="1" applyFont="1" applyFill="1" applyBorder="1" applyAlignment="1" applyProtection="1">
      <alignment horizontal="right"/>
    </xf>
    <xf numFmtId="168" fontId="73" fillId="27" borderId="95" xfId="10" applyNumberFormat="1" applyFont="1" applyFill="1" applyBorder="1" applyAlignment="1" applyProtection="1">
      <alignment horizontal="right"/>
    </xf>
    <xf numFmtId="38" fontId="8" fillId="27" borderId="187" xfId="10" applyNumberFormat="1" applyFont="1" applyFill="1" applyBorder="1" applyAlignment="1" applyProtection="1"/>
    <xf numFmtId="167" fontId="8" fillId="27" borderId="188" xfId="10" applyNumberFormat="1" applyFont="1" applyFill="1" applyBorder="1" applyAlignment="1" applyProtection="1">
      <alignment horizontal="center"/>
    </xf>
    <xf numFmtId="168" fontId="70" fillId="27" borderId="185" xfId="10" applyNumberFormat="1" applyFont="1" applyFill="1" applyBorder="1" applyAlignment="1" applyProtection="1">
      <alignment horizontal="right"/>
    </xf>
    <xf numFmtId="168" fontId="73" fillId="27" borderId="186" xfId="10" applyNumberFormat="1" applyFont="1" applyFill="1" applyBorder="1" applyAlignment="1" applyProtection="1">
      <alignment horizontal="right"/>
    </xf>
    <xf numFmtId="38" fontId="8" fillId="22" borderId="189" xfId="10" applyNumberFormat="1" applyFont="1" applyFill="1" applyBorder="1" applyAlignment="1" applyProtection="1"/>
    <xf numFmtId="0" fontId="7" fillId="28" borderId="0" xfId="9" applyFont="1" applyFill="1" applyBorder="1" applyAlignment="1" applyProtection="1">
      <alignment horizontal="center"/>
    </xf>
    <xf numFmtId="164" fontId="3" fillId="28" borderId="0" xfId="10" applyNumberFormat="1" applyFont="1" applyFill="1" applyAlignment="1" applyProtection="1"/>
    <xf numFmtId="38" fontId="3" fillId="28" borderId="0" xfId="10" applyNumberFormat="1" applyFont="1" applyFill="1" applyProtection="1"/>
    <xf numFmtId="0" fontId="7" fillId="28" borderId="0" xfId="9" applyFont="1" applyFill="1" applyProtection="1"/>
    <xf numFmtId="38" fontId="110" fillId="29" borderId="0" xfId="10" applyNumberFormat="1" applyFont="1" applyFill="1" applyAlignment="1" applyProtection="1"/>
    <xf numFmtId="38" fontId="24" fillId="29" borderId="81" xfId="10" applyNumberFormat="1" applyFont="1" applyFill="1" applyBorder="1" applyAlignment="1" applyProtection="1">
      <alignment horizontal="center"/>
    </xf>
    <xf numFmtId="164" fontId="3" fillId="29" borderId="0" xfId="10" applyNumberFormat="1" applyFont="1" applyFill="1" applyAlignment="1" applyProtection="1"/>
    <xf numFmtId="38" fontId="2" fillId="29" borderId="0" xfId="10" applyNumberFormat="1" applyFont="1" applyFill="1" applyAlignment="1" applyProtection="1">
      <alignment horizontal="left"/>
    </xf>
    <xf numFmtId="38" fontId="24" fillId="29" borderId="0" xfId="10" applyNumberFormat="1" applyFont="1" applyFill="1" applyAlignment="1" applyProtection="1">
      <alignment horizontal="center"/>
    </xf>
    <xf numFmtId="0" fontId="7" fillId="29" borderId="0" xfId="9" applyFont="1" applyFill="1" applyBorder="1" applyProtection="1"/>
    <xf numFmtId="164" fontId="3" fillId="29" borderId="0" xfId="10" applyNumberFormat="1" applyFont="1" applyFill="1" applyBorder="1" applyAlignment="1" applyProtection="1"/>
    <xf numFmtId="0" fontId="101" fillId="29" borderId="0" xfId="9" applyFont="1" applyFill="1" applyProtection="1"/>
    <xf numFmtId="0" fontId="22" fillId="28" borderId="0" xfId="9" applyFont="1" applyFill="1" applyProtection="1"/>
    <xf numFmtId="0" fontId="2" fillId="28" borderId="0" xfId="9" applyFont="1" applyFill="1" applyProtection="1"/>
    <xf numFmtId="0" fontId="2" fillId="28" borderId="0" xfId="9" applyFont="1" applyFill="1" applyAlignment="1" applyProtection="1">
      <alignment horizontal="right"/>
    </xf>
    <xf numFmtId="164" fontId="274" fillId="28" borderId="0" xfId="10" applyNumberFormat="1" applyFont="1" applyFill="1" applyBorder="1" applyAlignment="1" applyProtection="1">
      <alignment horizontal="left"/>
    </xf>
    <xf numFmtId="38" fontId="2" fillId="29" borderId="0" xfId="10" applyNumberFormat="1" applyFont="1" applyFill="1" applyBorder="1" applyAlignment="1" applyProtection="1"/>
    <xf numFmtId="164" fontId="2" fillId="29" borderId="0" xfId="10" applyNumberFormat="1" applyFont="1" applyFill="1" applyBorder="1" applyAlignment="1" applyProtection="1">
      <alignment horizontal="center"/>
    </xf>
    <xf numFmtId="0" fontId="8" fillId="29" borderId="0" xfId="9" applyFont="1" applyFill="1" applyProtection="1"/>
    <xf numFmtId="0" fontId="15" fillId="29" borderId="0" xfId="9" applyFont="1" applyFill="1" applyProtection="1"/>
    <xf numFmtId="38" fontId="3" fillId="29" borderId="0" xfId="10" applyNumberFormat="1" applyFont="1" applyFill="1" applyProtection="1"/>
    <xf numFmtId="0" fontId="7" fillId="29" borderId="0" xfId="9" applyFont="1" applyFill="1" applyProtection="1"/>
    <xf numFmtId="166" fontId="30" fillId="29" borderId="0" xfId="10" applyNumberFormat="1" applyFont="1" applyFill="1" applyProtection="1"/>
    <xf numFmtId="38" fontId="2" fillId="29" borderId="0" xfId="10" applyNumberFormat="1" applyFont="1" applyFill="1" applyAlignment="1" applyProtection="1">
      <alignment horizontal="right"/>
    </xf>
    <xf numFmtId="164" fontId="3" fillId="29" borderId="48" xfId="10" applyNumberFormat="1" applyFont="1" applyFill="1" applyBorder="1" applyProtection="1"/>
    <xf numFmtId="0" fontId="7" fillId="29" borderId="48" xfId="9" applyFont="1" applyFill="1" applyBorder="1" applyProtection="1"/>
    <xf numFmtId="0" fontId="8" fillId="29" borderId="48" xfId="9" applyFont="1" applyFill="1" applyBorder="1" applyProtection="1"/>
    <xf numFmtId="164" fontId="13" fillId="16" borderId="192" xfId="10" applyNumberFormat="1" applyFont="1" applyFill="1" applyBorder="1" applyAlignment="1" applyProtection="1">
      <alignment horizontal="center" vertical="center" wrapText="1"/>
    </xf>
    <xf numFmtId="164" fontId="13" fillId="16" borderId="184" xfId="10" applyNumberFormat="1" applyFont="1" applyFill="1" applyBorder="1" applyAlignment="1" applyProtection="1">
      <alignment horizontal="center" vertical="center" wrapText="1"/>
    </xf>
    <xf numFmtId="164" fontId="70" fillId="0" borderId="86" xfId="10" applyNumberFormat="1" applyFont="1" applyBorder="1" applyAlignment="1" applyProtection="1">
      <alignment horizontal="center"/>
    </xf>
    <xf numFmtId="164" fontId="73" fillId="0" borderId="94" xfId="10" applyNumberFormat="1" applyFont="1" applyBorder="1" applyAlignment="1" applyProtection="1">
      <alignment horizontal="center"/>
    </xf>
    <xf numFmtId="164" fontId="70" fillId="0" borderId="165" xfId="10" applyNumberFormat="1" applyFont="1" applyBorder="1" applyAlignment="1" applyProtection="1">
      <alignment horizontal="right"/>
    </xf>
    <xf numFmtId="164" fontId="73" fillId="0" borderId="167" xfId="10" applyNumberFormat="1" applyFont="1" applyBorder="1" applyAlignment="1" applyProtection="1">
      <alignment horizontal="right"/>
    </xf>
    <xf numFmtId="164" fontId="70" fillId="0" borderId="164" xfId="10" applyNumberFormat="1" applyFont="1" applyBorder="1" applyAlignment="1" applyProtection="1">
      <alignment horizontal="right"/>
    </xf>
    <xf numFmtId="164" fontId="73" fillId="0" borderId="166" xfId="10" applyNumberFormat="1" applyFont="1" applyBorder="1" applyAlignment="1" applyProtection="1">
      <alignment horizontal="right"/>
    </xf>
    <xf numFmtId="164" fontId="70" fillId="8" borderId="92" xfId="10" applyNumberFormat="1" applyFont="1" applyFill="1" applyBorder="1" applyAlignment="1" applyProtection="1">
      <alignment horizontal="right"/>
    </xf>
    <xf numFmtId="164" fontId="73" fillId="8" borderId="95" xfId="10" applyNumberFormat="1" applyFont="1" applyFill="1" applyBorder="1" applyAlignment="1" applyProtection="1">
      <alignment horizontal="right"/>
    </xf>
    <xf numFmtId="164" fontId="70" fillId="0" borderId="86" xfId="10" applyNumberFormat="1" applyFont="1" applyBorder="1" applyAlignment="1" applyProtection="1">
      <alignment horizontal="right"/>
    </xf>
    <xf numFmtId="164" fontId="73" fillId="0" borderId="94" xfId="10" applyNumberFormat="1" applyFont="1" applyBorder="1" applyAlignment="1" applyProtection="1">
      <alignment horizontal="right"/>
    </xf>
    <xf numFmtId="164" fontId="70" fillId="21" borderId="185" xfId="10" applyNumberFormat="1" applyFont="1" applyFill="1" applyBorder="1" applyAlignment="1" applyProtection="1">
      <alignment horizontal="right"/>
    </xf>
    <xf numFmtId="164" fontId="73" fillId="21" borderId="186" xfId="10" applyNumberFormat="1" applyFont="1" applyFill="1" applyBorder="1" applyAlignment="1" applyProtection="1">
      <alignment horizontal="right"/>
    </xf>
    <xf numFmtId="164" fontId="70" fillId="5" borderId="86" xfId="10" applyNumberFormat="1" applyFont="1" applyFill="1" applyBorder="1" applyAlignment="1" applyProtection="1">
      <alignment horizontal="right"/>
    </xf>
    <xf numFmtId="164" fontId="73" fillId="5" borderId="94" xfId="10" applyNumberFormat="1" applyFont="1" applyFill="1" applyBorder="1" applyAlignment="1" applyProtection="1">
      <alignment horizontal="right"/>
    </xf>
    <xf numFmtId="164" fontId="70" fillId="23" borderId="92" xfId="10" applyNumberFormat="1" applyFont="1" applyFill="1" applyBorder="1" applyAlignment="1" applyProtection="1">
      <alignment horizontal="right"/>
    </xf>
    <xf numFmtId="164" fontId="73" fillId="23" borderId="95" xfId="10" applyNumberFormat="1" applyFont="1" applyFill="1" applyBorder="1" applyAlignment="1" applyProtection="1">
      <alignment horizontal="right"/>
    </xf>
    <xf numFmtId="164" fontId="70" fillId="25" borderId="185" xfId="10" applyNumberFormat="1" applyFont="1" applyFill="1" applyBorder="1" applyAlignment="1" applyProtection="1">
      <alignment horizontal="right"/>
    </xf>
    <xf numFmtId="164" fontId="73" fillId="25" borderId="186" xfId="10" applyNumberFormat="1" applyFont="1" applyFill="1" applyBorder="1" applyAlignment="1" applyProtection="1">
      <alignment horizontal="right"/>
    </xf>
    <xf numFmtId="164" fontId="70" fillId="24" borderId="185" xfId="10" applyNumberFormat="1" applyFont="1" applyFill="1" applyBorder="1" applyAlignment="1" applyProtection="1">
      <alignment horizontal="right"/>
    </xf>
    <xf numFmtId="164" fontId="73" fillId="24" borderId="186" xfId="10" applyNumberFormat="1" applyFont="1" applyFill="1" applyBorder="1" applyAlignment="1" applyProtection="1">
      <alignment horizontal="right"/>
    </xf>
    <xf numFmtId="164" fontId="70" fillId="26" borderId="185" xfId="10" applyNumberFormat="1" applyFont="1" applyFill="1" applyBorder="1" applyAlignment="1" applyProtection="1">
      <alignment horizontal="right"/>
    </xf>
    <xf numFmtId="164" fontId="73" fillId="26" borderId="186" xfId="10" applyNumberFormat="1" applyFont="1" applyFill="1" applyBorder="1" applyAlignment="1" applyProtection="1">
      <alignment horizontal="right"/>
    </xf>
    <xf numFmtId="164" fontId="70" fillId="27" borderId="92" xfId="10" applyNumberFormat="1" applyFont="1" applyFill="1" applyBorder="1" applyAlignment="1" applyProtection="1">
      <alignment horizontal="right"/>
    </xf>
    <xf numFmtId="164" fontId="73" fillId="27" borderId="95" xfId="10" applyNumberFormat="1" applyFont="1" applyFill="1" applyBorder="1" applyAlignment="1" applyProtection="1">
      <alignment horizontal="right"/>
    </xf>
    <xf numFmtId="164" fontId="70" fillId="27" borderId="185" xfId="10" applyNumberFormat="1" applyFont="1" applyFill="1" applyBorder="1" applyAlignment="1" applyProtection="1">
      <alignment horizontal="right"/>
    </xf>
    <xf numFmtId="164" fontId="73" fillId="27" borderId="186" xfId="10" applyNumberFormat="1" applyFont="1" applyFill="1" applyBorder="1" applyAlignment="1" applyProtection="1">
      <alignment horizontal="right"/>
    </xf>
    <xf numFmtId="164" fontId="70" fillId="22" borderId="96" xfId="10" applyNumberFormat="1" applyFont="1" applyFill="1" applyBorder="1" applyAlignment="1" applyProtection="1">
      <alignment horizontal="right"/>
    </xf>
    <xf numFmtId="164" fontId="73" fillId="22" borderId="99" xfId="10" applyNumberFormat="1" applyFont="1" applyFill="1" applyBorder="1" applyAlignment="1" applyProtection="1">
      <alignment horizontal="right"/>
    </xf>
    <xf numFmtId="0" fontId="2" fillId="30" borderId="0" xfId="9" applyFont="1" applyFill="1" applyProtection="1"/>
    <xf numFmtId="0" fontId="7" fillId="30" borderId="0" xfId="9" applyFont="1" applyFill="1" applyBorder="1" applyAlignment="1" applyProtection="1">
      <alignment horizontal="center"/>
    </xf>
    <xf numFmtId="0" fontId="22" fillId="30" borderId="0" xfId="9" applyFont="1" applyFill="1" applyProtection="1"/>
    <xf numFmtId="0" fontId="7" fillId="30" borderId="0" xfId="9" applyFont="1" applyFill="1" applyProtection="1"/>
    <xf numFmtId="0" fontId="2" fillId="30" borderId="0" xfId="9" applyFont="1" applyFill="1" applyAlignment="1" applyProtection="1">
      <alignment horizontal="right"/>
    </xf>
    <xf numFmtId="164" fontId="3" fillId="30" borderId="0" xfId="10" applyNumberFormat="1" applyFont="1" applyFill="1" applyAlignment="1" applyProtection="1"/>
    <xf numFmtId="38" fontId="3" fillId="30" borderId="0" xfId="10" applyNumberFormat="1" applyFont="1" applyFill="1" applyProtection="1"/>
    <xf numFmtId="0" fontId="8" fillId="31" borderId="0" xfId="9" applyFont="1" applyFill="1" applyBorder="1" applyAlignment="1" applyProtection="1">
      <alignment horizontal="left"/>
    </xf>
    <xf numFmtId="0" fontId="8" fillId="31" borderId="0" xfId="9" applyFont="1" applyFill="1" applyBorder="1" applyAlignment="1" applyProtection="1">
      <alignment horizontal="right"/>
    </xf>
    <xf numFmtId="164" fontId="8" fillId="30" borderId="0" xfId="10" applyNumberFormat="1" applyFont="1" applyFill="1" applyBorder="1" applyAlignment="1" applyProtection="1">
      <alignment horizontal="left"/>
    </xf>
    <xf numFmtId="0" fontId="7" fillId="30" borderId="48" xfId="9" applyFont="1" applyFill="1" applyBorder="1" applyAlignment="1" applyProtection="1">
      <alignment horizontal="center"/>
    </xf>
    <xf numFmtId="38" fontId="23" fillId="30" borderId="48" xfId="10" applyNumberFormat="1" applyFont="1" applyFill="1" applyBorder="1" applyAlignment="1" applyProtection="1">
      <alignment horizontal="left"/>
    </xf>
    <xf numFmtId="38" fontId="15" fillId="17" borderId="0" xfId="10" applyNumberFormat="1" applyFont="1" applyFill="1" applyAlignment="1" applyProtection="1"/>
    <xf numFmtId="38" fontId="24" fillId="17" borderId="81" xfId="10" applyNumberFormat="1" applyFont="1" applyFill="1" applyBorder="1" applyAlignment="1" applyProtection="1">
      <alignment horizontal="center"/>
    </xf>
    <xf numFmtId="38" fontId="2" fillId="17" borderId="0" xfId="10" applyNumberFormat="1" applyFont="1" applyFill="1" applyAlignment="1" applyProtection="1">
      <alignment horizontal="left"/>
    </xf>
    <xf numFmtId="38" fontId="24" fillId="17" borderId="0" xfId="10" applyNumberFormat="1" applyFont="1" applyFill="1" applyAlignment="1" applyProtection="1">
      <alignment horizontal="center"/>
    </xf>
    <xf numFmtId="0" fontId="7" fillId="17" borderId="0" xfId="9" applyFont="1" applyFill="1" applyBorder="1" applyProtection="1"/>
    <xf numFmtId="164" fontId="3" fillId="17" borderId="0" xfId="10" applyNumberFormat="1" applyFont="1" applyFill="1" applyBorder="1" applyAlignment="1" applyProtection="1"/>
    <xf numFmtId="0" fontId="7" fillId="17" borderId="0" xfId="9" applyFont="1" applyFill="1" applyProtection="1"/>
    <xf numFmtId="38" fontId="2" fillId="17" borderId="0" xfId="10" applyNumberFormat="1" applyFont="1" applyFill="1" applyBorder="1" applyAlignment="1" applyProtection="1"/>
    <xf numFmtId="164" fontId="2" fillId="17" borderId="0" xfId="10" applyNumberFormat="1" applyFont="1" applyFill="1" applyBorder="1" applyAlignment="1" applyProtection="1">
      <alignment horizontal="center"/>
    </xf>
    <xf numFmtId="0" fontId="15" fillId="17" borderId="0" xfId="9" applyFont="1" applyFill="1" applyProtection="1"/>
    <xf numFmtId="164" fontId="3" fillId="17" borderId="48" xfId="10" applyNumberFormat="1" applyFont="1" applyFill="1" applyBorder="1" applyProtection="1"/>
    <xf numFmtId="38" fontId="3" fillId="17" borderId="0" xfId="10" applyNumberFormat="1" applyFont="1" applyFill="1" applyProtection="1"/>
    <xf numFmtId="166" fontId="30" fillId="17" borderId="0" xfId="10" applyNumberFormat="1" applyFont="1" applyFill="1" applyProtection="1"/>
    <xf numFmtId="38" fontId="2" fillId="17" borderId="0" xfId="10" applyNumberFormat="1" applyFont="1" applyFill="1" applyAlignment="1" applyProtection="1">
      <alignment horizontal="right"/>
    </xf>
    <xf numFmtId="0" fontId="7" fillId="17" borderId="48" xfId="9" applyFont="1" applyFill="1" applyBorder="1" applyProtection="1"/>
    <xf numFmtId="0" fontId="8" fillId="17" borderId="48" xfId="9" applyFont="1" applyFill="1" applyBorder="1" applyProtection="1"/>
    <xf numFmtId="168" fontId="3" fillId="32" borderId="13" xfId="0" applyNumberFormat="1" applyFont="1" applyFill="1" applyBorder="1" applyProtection="1"/>
    <xf numFmtId="168" fontId="3" fillId="32" borderId="12" xfId="0" applyNumberFormat="1" applyFont="1" applyFill="1" applyBorder="1" applyProtection="1"/>
    <xf numFmtId="169" fontId="3" fillId="32" borderId="13" xfId="0" applyNumberFormat="1" applyFont="1" applyFill="1" applyBorder="1" applyAlignment="1" applyProtection="1">
      <alignment horizontal="center"/>
    </xf>
    <xf numFmtId="168" fontId="3" fillId="32" borderId="127" xfId="0" applyNumberFormat="1" applyFont="1" applyFill="1" applyBorder="1" applyProtection="1"/>
    <xf numFmtId="168" fontId="3" fillId="32" borderId="126" xfId="0" applyNumberFormat="1" applyFont="1" applyFill="1" applyBorder="1" applyProtection="1"/>
    <xf numFmtId="168" fontId="3" fillId="32" borderId="125" xfId="0" applyNumberFormat="1" applyFont="1" applyFill="1" applyBorder="1" applyProtection="1"/>
    <xf numFmtId="169" fontId="3" fillId="32" borderId="2" xfId="0" applyNumberFormat="1" applyFont="1" applyFill="1" applyBorder="1" applyAlignment="1" applyProtection="1">
      <alignment horizontal="center"/>
    </xf>
    <xf numFmtId="168" fontId="3" fillId="17" borderId="125" xfId="0" applyNumberFormat="1" applyFont="1" applyFill="1" applyBorder="1" applyProtection="1">
      <protection locked="0"/>
    </xf>
    <xf numFmtId="169" fontId="3" fillId="17" borderId="126" xfId="0" applyNumberFormat="1" applyFont="1" applyFill="1" applyBorder="1" applyAlignment="1" applyProtection="1">
      <alignment horizontal="center"/>
    </xf>
    <xf numFmtId="168" fontId="3" fillId="17" borderId="127" xfId="0" applyNumberFormat="1" applyFont="1" applyFill="1" applyBorder="1" applyProtection="1"/>
    <xf numFmtId="168" fontId="3" fillId="17" borderId="20" xfId="0" applyNumberFormat="1" applyFont="1" applyFill="1" applyBorder="1" applyProtection="1">
      <protection locked="0"/>
    </xf>
    <xf numFmtId="169" fontId="3" fillId="17" borderId="15" xfId="0" applyNumberFormat="1" applyFont="1" applyFill="1" applyBorder="1" applyAlignment="1" applyProtection="1">
      <alignment horizontal="center"/>
    </xf>
    <xf numFmtId="168" fontId="275" fillId="18" borderId="23" xfId="0" applyNumberFormat="1" applyFont="1" applyFill="1" applyBorder="1" applyProtection="1"/>
    <xf numFmtId="168" fontId="275" fillId="18" borderId="40" xfId="0" applyNumberFormat="1" applyFont="1" applyFill="1" applyBorder="1" applyProtection="1"/>
    <xf numFmtId="168" fontId="275" fillId="18" borderId="26" xfId="0" applyNumberFormat="1" applyFont="1" applyFill="1" applyBorder="1" applyProtection="1"/>
    <xf numFmtId="168" fontId="275" fillId="18" borderId="25" xfId="0" applyNumberFormat="1" applyFont="1" applyFill="1" applyBorder="1" applyProtection="1"/>
    <xf numFmtId="168" fontId="275" fillId="18" borderId="27" xfId="0" applyNumberFormat="1" applyFont="1" applyFill="1" applyBorder="1" applyProtection="1"/>
    <xf numFmtId="168" fontId="275" fillId="18" borderId="24" xfId="0" applyNumberFormat="1" applyFont="1" applyFill="1" applyBorder="1" applyProtection="1"/>
    <xf numFmtId="168" fontId="276" fillId="18" borderId="23" xfId="0" applyNumberFormat="1" applyFont="1" applyFill="1" applyBorder="1" applyProtection="1"/>
    <xf numFmtId="168" fontId="276" fillId="18" borderId="40" xfId="0" applyNumberFormat="1" applyFont="1" applyFill="1" applyBorder="1" applyProtection="1"/>
    <xf numFmtId="168" fontId="276" fillId="18" borderId="26" xfId="0" applyNumberFormat="1" applyFont="1" applyFill="1" applyBorder="1" applyProtection="1"/>
    <xf numFmtId="168" fontId="276" fillId="18" borderId="25" xfId="0" applyNumberFormat="1" applyFont="1" applyFill="1" applyBorder="1" applyProtection="1"/>
    <xf numFmtId="168" fontId="276" fillId="18" borderId="27" xfId="0" applyNumberFormat="1" applyFont="1" applyFill="1" applyBorder="1" applyProtection="1"/>
    <xf numFmtId="168" fontId="276" fillId="18" borderId="24" xfId="0" applyNumberFormat="1" applyFont="1" applyFill="1" applyBorder="1" applyProtection="1"/>
    <xf numFmtId="168" fontId="276" fillId="11" borderId="31" xfId="0" applyNumberFormat="1" applyFont="1" applyFill="1" applyBorder="1" applyProtection="1"/>
    <xf numFmtId="168" fontId="276" fillId="11" borderId="29" xfId="0" applyNumberFormat="1" applyFont="1" applyFill="1" applyBorder="1" applyProtection="1"/>
    <xf numFmtId="168" fontId="276" fillId="11" borderId="28" xfId="0" applyNumberFormat="1" applyFont="1" applyFill="1" applyBorder="1" applyProtection="1"/>
    <xf numFmtId="168" fontId="276" fillId="11" borderId="30" xfId="0" applyNumberFormat="1" applyFont="1" applyFill="1" applyBorder="1" applyProtection="1"/>
    <xf numFmtId="169" fontId="3" fillId="17" borderId="20" xfId="0" applyNumberFormat="1" applyFont="1" applyFill="1" applyBorder="1" applyAlignment="1" applyProtection="1">
      <alignment horizontal="center"/>
    </xf>
    <xf numFmtId="169" fontId="3" fillId="17" borderId="21" xfId="0" applyNumberFormat="1" applyFont="1" applyFill="1" applyBorder="1" applyAlignment="1" applyProtection="1">
      <alignment horizontal="center"/>
    </xf>
    <xf numFmtId="168" fontId="2" fillId="18" borderId="23" xfId="0" applyNumberFormat="1" applyFont="1" applyFill="1" applyBorder="1" applyProtection="1"/>
    <xf numFmtId="168" fontId="2" fillId="18" borderId="26" xfId="0" applyNumberFormat="1" applyFont="1" applyFill="1" applyBorder="1" applyProtection="1"/>
    <xf numFmtId="168" fontId="2" fillId="18" borderId="25" xfId="0" applyNumberFormat="1" applyFont="1" applyFill="1" applyBorder="1" applyProtection="1"/>
    <xf numFmtId="168" fontId="2" fillId="18" borderId="27" xfId="0" applyNumberFormat="1" applyFont="1" applyFill="1" applyBorder="1" applyProtection="1"/>
    <xf numFmtId="168" fontId="2" fillId="18" borderId="24" xfId="0" applyNumberFormat="1" applyFont="1" applyFill="1" applyBorder="1" applyProtection="1"/>
    <xf numFmtId="168" fontId="2" fillId="11" borderId="31" xfId="0" applyNumberFormat="1" applyFont="1" applyFill="1" applyBorder="1" applyProtection="1"/>
    <xf numFmtId="168" fontId="2" fillId="11" borderId="29" xfId="0" applyNumberFormat="1" applyFont="1" applyFill="1" applyBorder="1" applyProtection="1"/>
    <xf numFmtId="168" fontId="2" fillId="11" borderId="28" xfId="0" applyNumberFormat="1" applyFont="1" applyFill="1" applyBorder="1" applyProtection="1"/>
    <xf numFmtId="168" fontId="2" fillId="11" borderId="30" xfId="0" applyNumberFormat="1" applyFont="1" applyFill="1" applyBorder="1" applyProtection="1"/>
    <xf numFmtId="168" fontId="277" fillId="18" borderId="23" xfId="0" applyNumberFormat="1" applyFont="1" applyFill="1" applyBorder="1" applyProtection="1"/>
    <xf numFmtId="168" fontId="277" fillId="18" borderId="40" xfId="0" applyNumberFormat="1" applyFont="1" applyFill="1" applyBorder="1" applyProtection="1"/>
    <xf numFmtId="168" fontId="277" fillId="18" borderId="26" xfId="0" applyNumberFormat="1" applyFont="1" applyFill="1" applyBorder="1" applyProtection="1"/>
    <xf numFmtId="168" fontId="277" fillId="18" borderId="25" xfId="0" applyNumberFormat="1" applyFont="1" applyFill="1" applyBorder="1" applyProtection="1"/>
    <xf numFmtId="168" fontId="277" fillId="18" borderId="27" xfId="0" applyNumberFormat="1" applyFont="1" applyFill="1" applyBorder="1" applyProtection="1"/>
    <xf numFmtId="168" fontId="277" fillId="18" borderId="24" xfId="0" applyNumberFormat="1" applyFont="1" applyFill="1" applyBorder="1" applyProtection="1"/>
    <xf numFmtId="168" fontId="278" fillId="18" borderId="23" xfId="0" applyNumberFormat="1" applyFont="1" applyFill="1" applyBorder="1" applyProtection="1"/>
    <xf numFmtId="168" fontId="278" fillId="18" borderId="25" xfId="0" applyNumberFormat="1" applyFont="1" applyFill="1" applyBorder="1" applyProtection="1"/>
    <xf numFmtId="168" fontId="278" fillId="18" borderId="26" xfId="0" applyNumberFormat="1" applyFont="1" applyFill="1" applyBorder="1" applyProtection="1"/>
    <xf numFmtId="168" fontId="278" fillId="18" borderId="27" xfId="0" applyNumberFormat="1" applyFont="1" applyFill="1" applyBorder="1" applyProtection="1"/>
    <xf numFmtId="168" fontId="278" fillId="18" borderId="24" xfId="0" applyNumberFormat="1" applyFont="1" applyFill="1" applyBorder="1" applyProtection="1"/>
    <xf numFmtId="168" fontId="278" fillId="11" borderId="31" xfId="0" applyNumberFormat="1" applyFont="1" applyFill="1" applyBorder="1" applyProtection="1"/>
    <xf numFmtId="168" fontId="278" fillId="11" borderId="29" xfId="0" applyNumberFormat="1" applyFont="1" applyFill="1" applyBorder="1" applyProtection="1"/>
    <xf numFmtId="168" fontId="278" fillId="11" borderId="28" xfId="0" applyNumberFormat="1" applyFont="1" applyFill="1" applyBorder="1" applyProtection="1"/>
    <xf numFmtId="168" fontId="278" fillId="11" borderId="30" xfId="0" applyNumberFormat="1" applyFont="1" applyFill="1" applyBorder="1" applyProtection="1"/>
    <xf numFmtId="168" fontId="36" fillId="33" borderId="36" xfId="0" applyNumberFormat="1" applyFont="1" applyFill="1" applyBorder="1" applyProtection="1"/>
    <xf numFmtId="168" fontId="36" fillId="33" borderId="38" xfId="0" applyNumberFormat="1" applyFont="1" applyFill="1" applyBorder="1" applyProtection="1"/>
    <xf numFmtId="168" fontId="36" fillId="33" borderId="34" xfId="0" applyNumberFormat="1" applyFont="1" applyFill="1" applyBorder="1" applyProtection="1"/>
    <xf numFmtId="168" fontId="36" fillId="33" borderId="33" xfId="0" applyNumberFormat="1" applyFont="1" applyFill="1" applyBorder="1" applyProtection="1"/>
    <xf numFmtId="168" fontId="36" fillId="33" borderId="39" xfId="0" applyNumberFormat="1" applyFont="1" applyFill="1" applyBorder="1" applyProtection="1"/>
    <xf numFmtId="168" fontId="36" fillId="33" borderId="37" xfId="0" applyNumberFormat="1" applyFont="1" applyFill="1" applyBorder="1" applyProtection="1"/>
    <xf numFmtId="168" fontId="3" fillId="0" borderId="13" xfId="0" applyNumberFormat="1" applyFont="1" applyFill="1" applyBorder="1" applyProtection="1">
      <protection locked="0"/>
    </xf>
    <xf numFmtId="169" fontId="3" fillId="2" borderId="13" xfId="0" applyNumberFormat="1" applyFont="1" applyFill="1" applyBorder="1" applyAlignment="1" applyProtection="1">
      <alignment horizontal="center"/>
    </xf>
    <xf numFmtId="169" fontId="3" fillId="16" borderId="13" xfId="0" applyNumberFormat="1" applyFont="1" applyFill="1" applyBorder="1" applyAlignment="1" applyProtection="1">
      <alignment horizontal="center"/>
    </xf>
    <xf numFmtId="168" fontId="3" fillId="17" borderId="13" xfId="0" applyNumberFormat="1" applyFont="1" applyFill="1" applyBorder="1" applyProtection="1">
      <protection locked="0"/>
    </xf>
    <xf numFmtId="169" fontId="3" fillId="33" borderId="13" xfId="0" applyNumberFormat="1" applyFont="1" applyFill="1" applyBorder="1" applyAlignment="1" applyProtection="1">
      <alignment horizontal="center"/>
    </xf>
    <xf numFmtId="4" fontId="27" fillId="3" borderId="89" xfId="0" applyNumberFormat="1" applyFont="1" applyFill="1" applyBorder="1" applyAlignment="1" applyProtection="1">
      <alignment horizontal="center"/>
    </xf>
    <xf numFmtId="4" fontId="279" fillId="33" borderId="89" xfId="0" applyNumberFormat="1" applyFont="1" applyFill="1" applyBorder="1" applyAlignment="1" applyProtection="1">
      <alignment horizontal="center"/>
    </xf>
    <xf numFmtId="4" fontId="279" fillId="33" borderId="193" xfId="0" applyNumberFormat="1" applyFont="1" applyFill="1" applyBorder="1" applyAlignment="1" applyProtection="1">
      <alignment horizontal="center"/>
    </xf>
    <xf numFmtId="4" fontId="27" fillId="3" borderId="193" xfId="0" applyNumberFormat="1" applyFont="1" applyFill="1" applyBorder="1" applyAlignment="1" applyProtection="1">
      <alignment horizontal="center"/>
    </xf>
    <xf numFmtId="0" fontId="17" fillId="34" borderId="0" xfId="0" applyFont="1" applyFill="1" applyBorder="1" applyAlignment="1" applyProtection="1"/>
    <xf numFmtId="0" fontId="17" fillId="34" borderId="10" xfId="0" applyFont="1" applyFill="1" applyBorder="1" applyProtection="1"/>
    <xf numFmtId="0" fontId="17" fillId="34" borderId="146" xfId="0" applyFont="1" applyFill="1" applyBorder="1" applyAlignment="1" applyProtection="1"/>
    <xf numFmtId="0" fontId="17" fillId="34" borderId="147" xfId="0" applyFont="1" applyFill="1" applyBorder="1" applyProtection="1"/>
    <xf numFmtId="0" fontId="278" fillId="34" borderId="146" xfId="0" applyFont="1" applyFill="1" applyBorder="1" applyAlignment="1" applyProtection="1"/>
    <xf numFmtId="0" fontId="280" fillId="34" borderId="0" xfId="0" applyFont="1" applyFill="1" applyBorder="1" applyAlignment="1" applyProtection="1"/>
    <xf numFmtId="0" fontId="280" fillId="34" borderId="8" xfId="0" applyFont="1" applyFill="1" applyBorder="1" applyAlignment="1" applyProtection="1"/>
    <xf numFmtId="0" fontId="280" fillId="34" borderId="87" xfId="0" applyFont="1" applyFill="1" applyBorder="1" applyAlignment="1" applyProtection="1"/>
    <xf numFmtId="0" fontId="280" fillId="34" borderId="146" xfId="0" applyFont="1" applyFill="1" applyBorder="1" applyAlignment="1" applyProtection="1"/>
    <xf numFmtId="168" fontId="3" fillId="0" borderId="22" xfId="0" applyNumberFormat="1" applyFont="1" applyFill="1" applyBorder="1" applyProtection="1">
      <protection locked="0"/>
    </xf>
    <xf numFmtId="168" fontId="3" fillId="17" borderId="22" xfId="0" applyNumberFormat="1" applyFont="1" applyFill="1" applyBorder="1" applyProtection="1">
      <protection locked="0"/>
    </xf>
    <xf numFmtId="0" fontId="280" fillId="34" borderId="189" xfId="0" applyFont="1" applyFill="1" applyBorder="1" applyAlignment="1" applyProtection="1"/>
    <xf numFmtId="0" fontId="280" fillId="34" borderId="194" xfId="0" applyFont="1" applyFill="1" applyBorder="1" applyAlignment="1" applyProtection="1"/>
    <xf numFmtId="0" fontId="17" fillId="34" borderId="194" xfId="0" applyFont="1" applyFill="1" applyBorder="1" applyAlignment="1" applyProtection="1"/>
    <xf numFmtId="0" fontId="17" fillId="34" borderId="195" xfId="0" applyFont="1" applyFill="1" applyBorder="1" applyProtection="1"/>
    <xf numFmtId="0" fontId="0" fillId="17" borderId="11" xfId="0" applyFill="1" applyBorder="1" applyProtection="1"/>
    <xf numFmtId="0" fontId="2" fillId="5" borderId="85" xfId="0" applyFont="1" applyFill="1" applyBorder="1" applyAlignment="1" applyProtection="1">
      <alignment horizontal="center" vertical="center"/>
    </xf>
    <xf numFmtId="0" fontId="281" fillId="34" borderId="194" xfId="0" applyFont="1" applyFill="1" applyBorder="1" applyAlignment="1" applyProtection="1">
      <alignment horizontal="left"/>
    </xf>
    <xf numFmtId="0" fontId="282" fillId="34" borderId="194" xfId="0" applyFont="1" applyFill="1" applyBorder="1" applyAlignment="1" applyProtection="1">
      <alignment horizontal="right"/>
    </xf>
    <xf numFmtId="0" fontId="31" fillId="2" borderId="0" xfId="0" applyFont="1" applyFill="1" applyBorder="1" applyProtection="1"/>
    <xf numFmtId="170" fontId="283" fillId="34" borderId="88" xfId="0" applyNumberFormat="1" applyFont="1" applyFill="1" applyBorder="1" applyAlignment="1">
      <alignment horizontal="center"/>
    </xf>
    <xf numFmtId="16" fontId="284" fillId="34" borderId="70" xfId="0" applyNumberFormat="1" applyFont="1" applyFill="1" applyBorder="1" applyAlignment="1" applyProtection="1">
      <alignment horizontal="center"/>
    </xf>
    <xf numFmtId="4" fontId="285" fillId="2" borderId="0" xfId="0" applyNumberFormat="1" applyFont="1" applyFill="1" applyProtection="1"/>
    <xf numFmtId="171" fontId="275" fillId="18" borderId="196" xfId="0" applyNumberFormat="1" applyFont="1" applyFill="1" applyBorder="1" applyAlignment="1" applyProtection="1">
      <alignment horizontal="center"/>
    </xf>
    <xf numFmtId="171" fontId="16" fillId="3" borderId="196" xfId="0" applyNumberFormat="1" applyFont="1" applyFill="1" applyBorder="1" applyAlignment="1" applyProtection="1">
      <alignment horizontal="center"/>
    </xf>
    <xf numFmtId="0" fontId="39" fillId="4" borderId="197" xfId="0" applyFont="1" applyFill="1" applyBorder="1" applyAlignment="1" applyProtection="1">
      <alignment horizontal="left"/>
    </xf>
    <xf numFmtId="0" fontId="39" fillId="4" borderId="146" xfId="0" applyFont="1" applyFill="1" applyBorder="1" applyAlignment="1" applyProtection="1">
      <alignment horizontal="left"/>
    </xf>
    <xf numFmtId="0" fontId="38" fillId="4" borderId="146" xfId="0" applyFont="1" applyFill="1" applyBorder="1" applyAlignment="1" applyProtection="1">
      <alignment horizontal="right"/>
    </xf>
    <xf numFmtId="0" fontId="38" fillId="4" borderId="198" xfId="0" applyFont="1" applyFill="1" applyBorder="1" applyAlignment="1" applyProtection="1">
      <alignment horizontal="right"/>
    </xf>
    <xf numFmtId="0" fontId="286" fillId="34" borderId="199" xfId="0" applyFont="1" applyFill="1" applyBorder="1" applyAlignment="1" applyProtection="1">
      <alignment horizontal="left"/>
    </xf>
    <xf numFmtId="168" fontId="275" fillId="11" borderId="200" xfId="0" applyNumberFormat="1" applyFont="1" applyFill="1" applyBorder="1" applyProtection="1"/>
    <xf numFmtId="168" fontId="16" fillId="3" borderId="201" xfId="0" applyNumberFormat="1" applyFont="1" applyFill="1" applyBorder="1" applyProtection="1"/>
    <xf numFmtId="4" fontId="16" fillId="3" borderId="202" xfId="0" applyNumberFormat="1" applyFont="1" applyFill="1" applyBorder="1" applyAlignment="1" applyProtection="1">
      <alignment horizontal="center"/>
    </xf>
    <xf numFmtId="4" fontId="16" fillId="3" borderId="203" xfId="0" applyNumberFormat="1" applyFont="1" applyFill="1" applyBorder="1" applyAlignment="1" applyProtection="1">
      <alignment horizontal="center"/>
    </xf>
    <xf numFmtId="4" fontId="16" fillId="11" borderId="202" xfId="0" applyNumberFormat="1" applyFont="1" applyFill="1" applyBorder="1" applyAlignment="1" applyProtection="1">
      <alignment horizontal="center"/>
    </xf>
    <xf numFmtId="4" fontId="16" fillId="11" borderId="203" xfId="0" applyNumberFormat="1" applyFont="1" applyFill="1" applyBorder="1" applyAlignment="1" applyProtection="1">
      <alignment horizontal="center"/>
    </xf>
    <xf numFmtId="4" fontId="16" fillId="7" borderId="202" xfId="0" applyNumberFormat="1" applyFont="1" applyFill="1" applyBorder="1" applyAlignment="1" applyProtection="1">
      <alignment horizontal="center"/>
    </xf>
    <xf numFmtId="4" fontId="16" fillId="7" borderId="203" xfId="0" applyNumberFormat="1" applyFont="1" applyFill="1" applyBorder="1" applyAlignment="1" applyProtection="1">
      <alignment horizontal="center"/>
    </xf>
    <xf numFmtId="4" fontId="2" fillId="5" borderId="155" xfId="0" applyNumberFormat="1" applyFont="1" applyFill="1" applyBorder="1" applyAlignment="1" applyProtection="1">
      <alignment horizontal="center"/>
    </xf>
    <xf numFmtId="4" fontId="62" fillId="5" borderId="204" xfId="0" applyNumberFormat="1" applyFont="1" applyFill="1" applyBorder="1" applyAlignment="1" applyProtection="1">
      <alignment horizontal="center"/>
    </xf>
    <xf numFmtId="0" fontId="71" fillId="17" borderId="151" xfId="9" applyFont="1" applyFill="1" applyBorder="1" applyProtection="1"/>
    <xf numFmtId="0" fontId="7" fillId="17" borderId="153" xfId="9" applyFont="1" applyFill="1" applyBorder="1" applyProtection="1"/>
    <xf numFmtId="0" fontId="71" fillId="17" borderId="187" xfId="9" applyFont="1" applyFill="1" applyBorder="1" applyProtection="1"/>
    <xf numFmtId="0" fontId="7" fillId="17" borderId="205" xfId="9" applyFont="1" applyFill="1" applyBorder="1" applyProtection="1"/>
    <xf numFmtId="3" fontId="16" fillId="3" borderId="202" xfId="0" applyNumberFormat="1" applyFont="1" applyFill="1" applyBorder="1" applyAlignment="1" applyProtection="1">
      <alignment horizontal="center"/>
    </xf>
    <xf numFmtId="3" fontId="16" fillId="11" borderId="202" xfId="0" applyNumberFormat="1" applyFont="1" applyFill="1" applyBorder="1" applyAlignment="1" applyProtection="1">
      <alignment horizontal="center"/>
    </xf>
    <xf numFmtId="3" fontId="7" fillId="2" borderId="0" xfId="9" applyNumberFormat="1" applyFont="1" applyFill="1" applyProtection="1"/>
    <xf numFmtId="3" fontId="16" fillId="7" borderId="202" xfId="0" applyNumberFormat="1" applyFont="1" applyFill="1" applyBorder="1" applyAlignment="1" applyProtection="1">
      <alignment horizontal="center"/>
    </xf>
    <xf numFmtId="3" fontId="16" fillId="3" borderId="203" xfId="0" applyNumberFormat="1" applyFont="1" applyFill="1" applyBorder="1" applyAlignment="1" applyProtection="1">
      <alignment horizontal="center"/>
    </xf>
    <xf numFmtId="3" fontId="16" fillId="11" borderId="203" xfId="0" applyNumberFormat="1" applyFont="1" applyFill="1" applyBorder="1" applyAlignment="1" applyProtection="1">
      <alignment horizontal="center"/>
    </xf>
    <xf numFmtId="3" fontId="16" fillId="7" borderId="203" xfId="0" applyNumberFormat="1" applyFont="1" applyFill="1" applyBorder="1" applyAlignment="1" applyProtection="1">
      <alignment horizontal="center"/>
    </xf>
    <xf numFmtId="3" fontId="16" fillId="17" borderId="155" xfId="0" applyNumberFormat="1" applyFont="1" applyFill="1" applyBorder="1" applyAlignment="1" applyProtection="1">
      <alignment horizontal="center"/>
    </xf>
    <xf numFmtId="3" fontId="16" fillId="17" borderId="204" xfId="0" applyNumberFormat="1" applyFont="1" applyFill="1" applyBorder="1" applyAlignment="1" applyProtection="1">
      <alignment horizontal="center"/>
    </xf>
    <xf numFmtId="4" fontId="6" fillId="5" borderId="77" xfId="0" applyNumberFormat="1" applyFont="1" applyFill="1" applyBorder="1" applyAlignment="1" applyProtection="1"/>
    <xf numFmtId="168" fontId="3" fillId="0" borderId="125" xfId="0" applyNumberFormat="1" applyFont="1" applyFill="1" applyBorder="1" applyProtection="1"/>
    <xf numFmtId="0" fontId="17" fillId="34" borderId="148" xfId="0" applyFont="1" applyFill="1" applyBorder="1" applyAlignment="1" applyProtection="1"/>
    <xf numFmtId="0" fontId="17" fillId="34" borderId="93" xfId="0" applyFont="1" applyFill="1" applyBorder="1" applyAlignment="1" applyProtection="1"/>
    <xf numFmtId="169" fontId="3" fillId="16" borderId="1" xfId="0" applyNumberFormat="1" applyFont="1" applyFill="1" applyBorder="1" applyAlignment="1" applyProtection="1">
      <alignment horizontal="center"/>
    </xf>
    <xf numFmtId="168" fontId="36" fillId="3" borderId="206" xfId="0" applyNumberFormat="1" applyFont="1" applyFill="1" applyBorder="1" applyProtection="1"/>
    <xf numFmtId="168" fontId="36" fillId="3" borderId="207" xfId="0" applyNumberFormat="1" applyFont="1" applyFill="1" applyBorder="1" applyProtection="1"/>
    <xf numFmtId="168" fontId="275" fillId="18" borderId="208" xfId="0" applyNumberFormat="1" applyFont="1" applyFill="1" applyBorder="1" applyProtection="1"/>
    <xf numFmtId="168" fontId="275" fillId="18" borderId="209" xfId="0" applyNumberFormat="1" applyFont="1" applyFill="1" applyBorder="1" applyProtection="1"/>
    <xf numFmtId="4" fontId="44" fillId="5" borderId="145" xfId="0" applyNumberFormat="1" applyFont="1" applyFill="1" applyBorder="1" applyAlignment="1" applyProtection="1">
      <alignment vertical="center"/>
    </xf>
    <xf numFmtId="169" fontId="3" fillId="33" borderId="1" xfId="0" applyNumberFormat="1" applyFont="1" applyFill="1" applyBorder="1" applyAlignment="1" applyProtection="1">
      <alignment horizontal="center"/>
    </xf>
    <xf numFmtId="4" fontId="99" fillId="18" borderId="193" xfId="0" applyNumberFormat="1" applyFont="1" applyFill="1" applyBorder="1" applyAlignment="1" applyProtection="1">
      <alignment horizontal="center"/>
    </xf>
    <xf numFmtId="165" fontId="12" fillId="5" borderId="196" xfId="0" applyNumberFormat="1" applyFont="1" applyFill="1" applyBorder="1" applyAlignment="1" applyProtection="1">
      <alignment horizontal="center" vertical="center"/>
      <protection locked="0"/>
    </xf>
    <xf numFmtId="0" fontId="13" fillId="5" borderId="196" xfId="0" applyFont="1" applyFill="1" applyBorder="1" applyAlignment="1" applyProtection="1">
      <alignment horizontal="center"/>
      <protection locked="0"/>
    </xf>
    <xf numFmtId="1" fontId="287" fillId="16" borderId="196" xfId="0" applyNumberFormat="1" applyFont="1" applyFill="1" applyBorder="1" applyAlignment="1" applyProtection="1">
      <alignment horizontal="center" vertical="center"/>
    </xf>
    <xf numFmtId="165" fontId="12" fillId="5" borderId="196" xfId="0" applyNumberFormat="1" applyFont="1" applyFill="1" applyBorder="1" applyAlignment="1" applyProtection="1">
      <alignment horizontal="center" vertical="center"/>
    </xf>
    <xf numFmtId="0" fontId="13" fillId="5" borderId="196" xfId="0" applyFont="1" applyFill="1" applyBorder="1" applyAlignment="1" applyProtection="1">
      <alignment horizontal="center"/>
    </xf>
    <xf numFmtId="4" fontId="16" fillId="17" borderId="155" xfId="0" applyNumberFormat="1" applyFont="1" applyFill="1" applyBorder="1" applyAlignment="1" applyProtection="1">
      <alignment horizontal="center"/>
    </xf>
    <xf numFmtId="4" fontId="16" fillId="17" borderId="204" xfId="0" applyNumberFormat="1" applyFont="1" applyFill="1" applyBorder="1" applyAlignment="1" applyProtection="1">
      <alignment horizontal="center"/>
    </xf>
    <xf numFmtId="0" fontId="48" fillId="5" borderId="85" xfId="0" applyFont="1" applyFill="1" applyBorder="1" applyAlignment="1" applyProtection="1">
      <alignment horizontal="center"/>
    </xf>
    <xf numFmtId="168" fontId="3" fillId="0" borderId="126" xfId="0" applyNumberFormat="1" applyFont="1" applyFill="1" applyBorder="1" applyProtection="1"/>
    <xf numFmtId="0" fontId="70" fillId="5" borderId="0" xfId="0" applyFont="1" applyFill="1" applyBorder="1" applyProtection="1"/>
    <xf numFmtId="0" fontId="70" fillId="5" borderId="48" xfId="0" applyFont="1" applyFill="1" applyBorder="1" applyProtection="1"/>
    <xf numFmtId="0" fontId="70" fillId="19" borderId="146" xfId="0" applyFont="1" applyFill="1" applyBorder="1" applyProtection="1"/>
    <xf numFmtId="0" fontId="73" fillId="17" borderId="48" xfId="0" applyFont="1" applyFill="1" applyBorder="1" applyProtection="1"/>
    <xf numFmtId="0" fontId="73" fillId="17" borderId="51" xfId="0" applyFont="1" applyFill="1" applyBorder="1" applyProtection="1"/>
    <xf numFmtId="0" fontId="3" fillId="17" borderId="48" xfId="0" applyFont="1" applyFill="1" applyBorder="1" applyProtection="1"/>
    <xf numFmtId="4" fontId="99" fillId="18" borderId="89" xfId="0" applyNumberFormat="1" applyFont="1" applyFill="1" applyBorder="1" applyAlignment="1" applyProtection="1">
      <alignment horizontal="center"/>
    </xf>
    <xf numFmtId="165" fontId="49" fillId="13" borderId="196" xfId="9" applyNumberFormat="1" applyFont="1" applyFill="1" applyBorder="1" applyAlignment="1" applyProtection="1">
      <alignment horizontal="center" vertical="center"/>
    </xf>
    <xf numFmtId="0" fontId="73" fillId="17" borderId="177" xfId="0" applyFont="1" applyFill="1" applyBorder="1" applyProtection="1"/>
    <xf numFmtId="168" fontId="3" fillId="17" borderId="11" xfId="0" applyNumberFormat="1" applyFont="1" applyFill="1" applyBorder="1" applyAlignment="1" applyProtection="1">
      <alignment horizontal="right"/>
    </xf>
    <xf numFmtId="0" fontId="73" fillId="17" borderId="11" xfId="0" applyFont="1" applyFill="1" applyBorder="1" applyProtection="1"/>
    <xf numFmtId="0" fontId="3" fillId="17" borderId="11" xfId="0" applyFont="1" applyFill="1" applyBorder="1" applyProtection="1"/>
    <xf numFmtId="0" fontId="73" fillId="17" borderId="210" xfId="0" applyFont="1" applyFill="1" applyBorder="1" applyProtection="1"/>
    <xf numFmtId="0" fontId="70" fillId="21" borderId="146" xfId="0" applyFont="1" applyFill="1" applyBorder="1" applyProtection="1"/>
    <xf numFmtId="0" fontId="3" fillId="21" borderId="146" xfId="0" applyFont="1" applyFill="1" applyBorder="1" applyProtection="1"/>
    <xf numFmtId="4" fontId="156" fillId="2" borderId="0" xfId="0" applyNumberFormat="1" applyFont="1" applyFill="1" applyProtection="1"/>
    <xf numFmtId="0" fontId="3" fillId="17" borderId="146" xfId="0" applyFont="1" applyFill="1" applyBorder="1" applyProtection="1"/>
    <xf numFmtId="0" fontId="62" fillId="17" borderId="174" xfId="0" applyFont="1" applyFill="1" applyBorder="1" applyProtection="1"/>
    <xf numFmtId="0" fontId="3" fillId="17" borderId="175" xfId="0" applyFont="1" applyFill="1" applyBorder="1" applyProtection="1"/>
    <xf numFmtId="0" fontId="3" fillId="21" borderId="198" xfId="0" applyFont="1" applyFill="1" applyBorder="1" applyProtection="1"/>
    <xf numFmtId="0" fontId="62" fillId="5" borderId="172" xfId="0" applyFont="1" applyFill="1" applyBorder="1" applyProtection="1"/>
    <xf numFmtId="0" fontId="3" fillId="5" borderId="173" xfId="0" applyFont="1" applyFill="1" applyBorder="1" applyProtection="1"/>
    <xf numFmtId="0" fontId="3" fillId="19" borderId="198" xfId="0" applyFont="1" applyFill="1" applyBorder="1" applyProtection="1"/>
    <xf numFmtId="0" fontId="0" fillId="17" borderId="196" xfId="0" applyFill="1" applyBorder="1" applyProtection="1"/>
    <xf numFmtId="0" fontId="70" fillId="35" borderId="146" xfId="0" applyFont="1" applyFill="1" applyBorder="1" applyProtection="1"/>
    <xf numFmtId="0" fontId="3" fillId="35" borderId="146" xfId="0" applyFont="1" applyFill="1" applyBorder="1" applyProtection="1"/>
    <xf numFmtId="0" fontId="3" fillId="35" borderId="198" xfId="0" applyFont="1" applyFill="1" applyBorder="1" applyProtection="1"/>
    <xf numFmtId="0" fontId="70" fillId="35" borderId="197" xfId="0" applyFont="1" applyFill="1" applyBorder="1" applyProtection="1"/>
    <xf numFmtId="0" fontId="70" fillId="19" borderId="197" xfId="0" applyFont="1" applyFill="1" applyBorder="1" applyProtection="1"/>
    <xf numFmtId="0" fontId="70" fillId="21" borderId="197" xfId="0" applyFont="1" applyFill="1" applyBorder="1" applyProtection="1"/>
    <xf numFmtId="0" fontId="62" fillId="17" borderId="172" xfId="0" applyFont="1" applyFill="1" applyBorder="1" applyProtection="1"/>
    <xf numFmtId="0" fontId="70" fillId="17" borderId="0" xfId="0" applyFont="1" applyFill="1" applyBorder="1" applyProtection="1"/>
    <xf numFmtId="0" fontId="62" fillId="17" borderId="169" xfId="0" applyFont="1" applyFill="1" applyBorder="1" applyProtection="1"/>
    <xf numFmtId="0" fontId="70" fillId="17" borderId="170" xfId="0" applyFont="1" applyFill="1" applyBorder="1" applyProtection="1"/>
    <xf numFmtId="0" fontId="70" fillId="17" borderId="11" xfId="0" applyFont="1" applyFill="1" applyBorder="1" applyProtection="1"/>
    <xf numFmtId="0" fontId="62" fillId="17" borderId="211" xfId="0" applyFont="1" applyFill="1" applyBorder="1" applyProtection="1"/>
    <xf numFmtId="0" fontId="3" fillId="17" borderId="177" xfId="0" applyFont="1" applyFill="1" applyBorder="1" applyProtection="1"/>
    <xf numFmtId="0" fontId="3" fillId="17" borderId="212" xfId="0" applyFont="1" applyFill="1" applyBorder="1" applyProtection="1"/>
    <xf numFmtId="0" fontId="62" fillId="17" borderId="213" xfId="0" applyFont="1" applyFill="1" applyBorder="1" applyProtection="1"/>
    <xf numFmtId="0" fontId="3" fillId="17" borderId="214" xfId="0" applyFont="1" applyFill="1" applyBorder="1" applyProtection="1"/>
    <xf numFmtId="0" fontId="62" fillId="17" borderId="215" xfId="0" applyFont="1" applyFill="1" applyBorder="1" applyProtection="1"/>
    <xf numFmtId="0" fontId="3" fillId="17" borderId="210" xfId="0" applyFont="1" applyFill="1" applyBorder="1" applyProtection="1"/>
    <xf numFmtId="0" fontId="3" fillId="17" borderId="216" xfId="0" applyFont="1" applyFill="1" applyBorder="1" applyProtection="1"/>
    <xf numFmtId="0" fontId="62" fillId="17" borderId="171" xfId="0" applyFont="1" applyFill="1" applyBorder="1" applyProtection="1"/>
    <xf numFmtId="0" fontId="62" fillId="17" borderId="173" xfId="0" applyFont="1" applyFill="1" applyBorder="1" applyProtection="1"/>
    <xf numFmtId="0" fontId="62" fillId="17" borderId="175" xfId="0" applyFont="1" applyFill="1" applyBorder="1" applyProtection="1"/>
    <xf numFmtId="0" fontId="70" fillId="36" borderId="199" xfId="0" applyFont="1" applyFill="1" applyBorder="1" applyProtection="1"/>
    <xf numFmtId="0" fontId="73" fillId="36" borderId="194" xfId="0" applyFont="1" applyFill="1" applyBorder="1" applyProtection="1"/>
    <xf numFmtId="0" fontId="3" fillId="36" borderId="194" xfId="0" applyFont="1" applyFill="1" applyBorder="1" applyProtection="1"/>
    <xf numFmtId="0" fontId="3" fillId="36" borderId="217" xfId="0" applyFont="1" applyFill="1" applyBorder="1" applyProtection="1"/>
    <xf numFmtId="168" fontId="70" fillId="21" borderId="196" xfId="0" applyNumberFormat="1" applyFont="1" applyFill="1" applyBorder="1" applyAlignment="1" applyProtection="1">
      <protection locked="0"/>
    </xf>
    <xf numFmtId="168" fontId="77" fillId="0" borderId="218" xfId="0" quotePrefix="1" applyNumberFormat="1" applyFont="1" applyFill="1" applyBorder="1" applyAlignment="1" applyProtection="1"/>
    <xf numFmtId="168" fontId="70" fillId="19" borderId="196" xfId="0" applyNumberFormat="1" applyFont="1" applyFill="1" applyBorder="1" applyAlignment="1" applyProtection="1"/>
    <xf numFmtId="168" fontId="77" fillId="17" borderId="219" xfId="0" quotePrefix="1" applyNumberFormat="1" applyFont="1" applyFill="1" applyBorder="1" applyAlignment="1" applyProtection="1">
      <protection locked="0"/>
    </xf>
    <xf numFmtId="168" fontId="77" fillId="17" borderId="220" xfId="0" quotePrefix="1" applyNumberFormat="1" applyFont="1" applyFill="1" applyBorder="1" applyAlignment="1" applyProtection="1">
      <protection locked="0"/>
    </xf>
    <xf numFmtId="168" fontId="77" fillId="17" borderId="221" xfId="0" quotePrefix="1" applyNumberFormat="1" applyFont="1" applyFill="1" applyBorder="1" applyAlignment="1" applyProtection="1">
      <protection locked="0"/>
    </xf>
    <xf numFmtId="168" fontId="70" fillId="35" borderId="196" xfId="0" applyNumberFormat="1" applyFont="1" applyFill="1" applyBorder="1" applyAlignment="1" applyProtection="1">
      <protection locked="0"/>
    </xf>
    <xf numFmtId="168" fontId="3" fillId="17" borderId="222" xfId="0" applyNumberFormat="1" applyFont="1" applyFill="1" applyBorder="1" applyAlignment="1" applyProtection="1"/>
    <xf numFmtId="168" fontId="70" fillId="36" borderId="223" xfId="0" applyNumberFormat="1" applyFont="1" applyFill="1" applyBorder="1" applyAlignment="1" applyProtection="1"/>
    <xf numFmtId="0" fontId="16" fillId="6" borderId="87" xfId="0" applyFont="1" applyFill="1" applyBorder="1" applyAlignment="1"/>
    <xf numFmtId="0" fontId="90" fillId="5" borderId="59" xfId="0" applyFont="1" applyFill="1" applyBorder="1"/>
    <xf numFmtId="0" fontId="90" fillId="5" borderId="51" xfId="0" applyFont="1" applyFill="1" applyBorder="1"/>
    <xf numFmtId="0" fontId="3" fillId="17" borderId="51" xfId="0" applyFont="1" applyFill="1" applyBorder="1" applyProtection="1"/>
    <xf numFmtId="0" fontId="90" fillId="17" borderId="51" xfId="0" applyFont="1" applyFill="1" applyBorder="1" applyProtection="1"/>
    <xf numFmtId="0" fontId="3" fillId="5" borderId="51" xfId="0" applyFont="1" applyFill="1" applyBorder="1"/>
    <xf numFmtId="0" fontId="90" fillId="2" borderId="51" xfId="0" applyFont="1" applyFill="1" applyBorder="1" applyProtection="1"/>
    <xf numFmtId="0" fontId="85" fillId="17" borderId="51" xfId="0" applyFont="1" applyFill="1" applyBorder="1"/>
    <xf numFmtId="0" fontId="86" fillId="17" borderId="51" xfId="0" applyFont="1" applyFill="1" applyBorder="1"/>
    <xf numFmtId="0" fontId="91" fillId="17" borderId="51" xfId="0" applyFont="1" applyFill="1" applyBorder="1"/>
    <xf numFmtId="0" fontId="2" fillId="5" borderId="224" xfId="0" applyFont="1" applyFill="1" applyBorder="1" applyProtection="1"/>
    <xf numFmtId="0" fontId="48" fillId="17" borderId="51" xfId="0" applyFont="1" applyFill="1" applyBorder="1"/>
    <xf numFmtId="0" fontId="61" fillId="5" borderId="51" xfId="0" applyFont="1" applyFill="1" applyBorder="1"/>
    <xf numFmtId="0" fontId="61" fillId="17" borderId="51" xfId="0" applyFont="1" applyFill="1" applyBorder="1" applyProtection="1"/>
    <xf numFmtId="0" fontId="2" fillId="17" borderId="51" xfId="0" applyFont="1" applyFill="1" applyBorder="1" applyProtection="1"/>
    <xf numFmtId="0" fontId="73" fillId="17" borderId="51" xfId="0" applyFont="1" applyFill="1" applyBorder="1"/>
    <xf numFmtId="0" fontId="3" fillId="17" borderId="51" xfId="0" applyFont="1" applyFill="1" applyBorder="1"/>
    <xf numFmtId="0" fontId="2" fillId="17" borderId="224" xfId="0" applyFont="1" applyFill="1" applyBorder="1" applyProtection="1"/>
    <xf numFmtId="0" fontId="3" fillId="17" borderId="59" xfId="0" applyFont="1" applyFill="1" applyBorder="1"/>
    <xf numFmtId="0" fontId="3" fillId="17" borderId="59" xfId="0" applyFont="1" applyFill="1" applyBorder="1" applyProtection="1"/>
    <xf numFmtId="0" fontId="3" fillId="17" borderId="60" xfId="0" applyFont="1" applyFill="1" applyBorder="1" applyProtection="1"/>
    <xf numFmtId="0" fontId="68" fillId="5" borderId="51" xfId="0" applyFont="1" applyFill="1" applyBorder="1"/>
    <xf numFmtId="0" fontId="2" fillId="5" borderId="225" xfId="0" applyFont="1" applyFill="1" applyBorder="1" applyProtection="1"/>
    <xf numFmtId="0" fontId="2" fillId="5" borderId="226" xfId="0" applyFont="1" applyFill="1" applyBorder="1" applyProtection="1"/>
    <xf numFmtId="0" fontId="90" fillId="5" borderId="177" xfId="0" applyFont="1" applyFill="1" applyBorder="1"/>
    <xf numFmtId="165" fontId="288" fillId="16" borderId="196" xfId="0" applyNumberFormat="1" applyFont="1" applyFill="1" applyBorder="1" applyAlignment="1" applyProtection="1">
      <alignment horizontal="center" vertical="center"/>
      <protection locked="0"/>
    </xf>
    <xf numFmtId="165" fontId="288" fillId="16" borderId="196" xfId="0" applyNumberFormat="1" applyFont="1" applyFill="1" applyBorder="1" applyAlignment="1" applyProtection="1">
      <alignment horizontal="center" vertical="center"/>
    </xf>
    <xf numFmtId="168" fontId="3" fillId="0" borderId="227" xfId="0" applyNumberFormat="1" applyFont="1" applyFill="1" applyBorder="1" applyProtection="1"/>
    <xf numFmtId="168" fontId="3" fillId="0" borderId="91" xfId="0" applyNumberFormat="1" applyFont="1" applyFill="1" applyBorder="1" applyProtection="1"/>
    <xf numFmtId="4" fontId="6" fillId="5" borderId="228" xfId="0" applyNumberFormat="1" applyFont="1" applyFill="1" applyBorder="1" applyAlignment="1" applyProtection="1">
      <alignment horizontal="center" vertical="top"/>
    </xf>
    <xf numFmtId="4" fontId="6" fillId="5" borderId="229" xfId="0" applyNumberFormat="1" applyFont="1" applyFill="1" applyBorder="1" applyAlignment="1" applyProtection="1">
      <alignment horizontal="center" vertical="top"/>
    </xf>
    <xf numFmtId="38" fontId="8" fillId="21" borderId="82" xfId="10" applyNumberFormat="1" applyFont="1" applyFill="1" applyBorder="1" applyAlignment="1" applyProtection="1">
      <alignment horizontal="center" vertical="center"/>
    </xf>
    <xf numFmtId="38" fontId="2" fillId="21" borderId="190" xfId="10" applyNumberFormat="1" applyFont="1" applyFill="1" applyBorder="1" applyAlignment="1" applyProtection="1">
      <alignment horizontal="center" vertical="center"/>
    </xf>
    <xf numFmtId="167" fontId="2" fillId="21" borderId="191" xfId="10" applyNumberFormat="1" applyFont="1" applyFill="1" applyBorder="1" applyAlignment="1" applyProtection="1">
      <alignment horizontal="center" vertical="center"/>
    </xf>
    <xf numFmtId="164" fontId="29" fillId="21" borderId="183" xfId="10" applyNumberFormat="1" applyFont="1" applyFill="1" applyBorder="1" applyAlignment="1" applyProtection="1">
      <alignment horizontal="center" vertical="center" wrapText="1"/>
    </xf>
    <xf numFmtId="164" fontId="22" fillId="21" borderId="230" xfId="10" applyNumberFormat="1" applyFont="1" applyFill="1" applyBorder="1" applyAlignment="1" applyProtection="1">
      <alignment horizontal="center" vertical="center" wrapText="1"/>
    </xf>
    <xf numFmtId="164" fontId="2" fillId="21" borderId="183" xfId="10" applyNumberFormat="1" applyFont="1" applyFill="1" applyBorder="1" applyAlignment="1" applyProtection="1">
      <alignment horizontal="center" vertical="center"/>
    </xf>
    <xf numFmtId="164" fontId="2" fillId="21" borderId="230" xfId="10" applyNumberFormat="1" applyFont="1" applyFill="1" applyBorder="1" applyAlignment="1" applyProtection="1">
      <alignment horizontal="center" vertical="center"/>
    </xf>
    <xf numFmtId="38" fontId="2" fillId="21" borderId="189" xfId="10" applyNumberFormat="1" applyFont="1" applyFill="1" applyBorder="1" applyAlignment="1" applyProtection="1"/>
    <xf numFmtId="0" fontId="3" fillId="16" borderId="146" xfId="0" applyFont="1" applyFill="1" applyBorder="1" applyAlignment="1" applyProtection="1"/>
    <xf numFmtId="0" fontId="23" fillId="16" borderId="146" xfId="0" applyFont="1" applyFill="1" applyBorder="1" applyAlignment="1" applyProtection="1"/>
    <xf numFmtId="0" fontId="15" fillId="16" borderId="146" xfId="0" applyFont="1" applyFill="1" applyBorder="1" applyAlignment="1" applyProtection="1"/>
    <xf numFmtId="0" fontId="17" fillId="16" borderId="146" xfId="0" applyFont="1" applyFill="1" applyBorder="1" applyAlignment="1" applyProtection="1"/>
    <xf numFmtId="0" fontId="14" fillId="16" borderId="146" xfId="0" applyFont="1" applyFill="1" applyBorder="1" applyAlignment="1" applyProtection="1"/>
    <xf numFmtId="0" fontId="10" fillId="16" borderId="146" xfId="0" applyFont="1" applyFill="1" applyBorder="1" applyAlignment="1" applyProtection="1"/>
    <xf numFmtId="170" fontId="20" fillId="6" borderId="231" xfId="0" applyNumberFormat="1" applyFont="1" applyFill="1" applyBorder="1" applyAlignment="1">
      <alignment horizontal="center"/>
    </xf>
    <xf numFmtId="168" fontId="16" fillId="3" borderId="228" xfId="0" applyNumberFormat="1" applyFont="1" applyFill="1" applyBorder="1" applyAlignment="1" applyProtection="1"/>
    <xf numFmtId="168" fontId="16" fillId="3" borderId="232" xfId="0" applyNumberFormat="1" applyFont="1" applyFill="1" applyBorder="1" applyAlignment="1" applyProtection="1"/>
    <xf numFmtId="168" fontId="16" fillId="3" borderId="233" xfId="0" applyNumberFormat="1" applyFont="1" applyFill="1" applyBorder="1" applyAlignment="1" applyProtection="1"/>
    <xf numFmtId="168" fontId="16" fillId="3" borderId="229" xfId="0" applyNumberFormat="1" applyFont="1" applyFill="1" applyBorder="1" applyAlignment="1" applyProtection="1"/>
    <xf numFmtId="168" fontId="48" fillId="11" borderId="228" xfId="0" applyNumberFormat="1" applyFont="1" applyFill="1" applyBorder="1" applyAlignment="1" applyProtection="1"/>
    <xf numFmtId="168" fontId="48" fillId="11" borderId="232" xfId="0" applyNumberFormat="1" applyFont="1" applyFill="1" applyBorder="1" applyAlignment="1" applyProtection="1"/>
    <xf numFmtId="168" fontId="48" fillId="11" borderId="233" xfId="0" applyNumberFormat="1" applyFont="1" applyFill="1" applyBorder="1" applyAlignment="1" applyProtection="1"/>
    <xf numFmtId="168" fontId="48" fillId="11" borderId="229" xfId="0" applyNumberFormat="1" applyFont="1" applyFill="1" applyBorder="1" applyAlignment="1" applyProtection="1"/>
    <xf numFmtId="168" fontId="43" fillId="7" borderId="228" xfId="0" applyNumberFormat="1" applyFont="1" applyFill="1" applyBorder="1" applyAlignment="1" applyProtection="1"/>
    <xf numFmtId="168" fontId="43" fillId="7" borderId="232" xfId="0" applyNumberFormat="1" applyFont="1" applyFill="1" applyBorder="1" applyAlignment="1" applyProtection="1"/>
    <xf numFmtId="168" fontId="43" fillId="7" borderId="233" xfId="0" applyNumberFormat="1" applyFont="1" applyFill="1" applyBorder="1" applyAlignment="1" applyProtection="1"/>
    <xf numFmtId="168" fontId="43" fillId="7" borderId="229" xfId="0" applyNumberFormat="1" applyFont="1" applyFill="1" applyBorder="1" applyAlignment="1" applyProtection="1"/>
    <xf numFmtId="4" fontId="6" fillId="5" borderId="232" xfId="0" applyNumberFormat="1" applyFont="1" applyFill="1" applyBorder="1" applyAlignment="1" applyProtection="1">
      <alignment horizontal="center" vertical="top"/>
    </xf>
    <xf numFmtId="4" fontId="6" fillId="5" borderId="233" xfId="0" applyNumberFormat="1" applyFont="1" applyFill="1" applyBorder="1" applyAlignment="1" applyProtection="1">
      <alignment horizontal="center"/>
    </xf>
    <xf numFmtId="4" fontId="6" fillId="5" borderId="232" xfId="0" applyNumberFormat="1" applyFont="1" applyFill="1" applyBorder="1" applyAlignment="1" applyProtection="1">
      <alignment horizontal="center"/>
    </xf>
    <xf numFmtId="4" fontId="6" fillId="5" borderId="233" xfId="0" applyNumberFormat="1" applyFont="1" applyFill="1" applyBorder="1" applyAlignment="1" applyProtection="1">
      <alignment horizontal="center" vertical="top"/>
    </xf>
    <xf numFmtId="168" fontId="67" fillId="3" borderId="234" xfId="0" applyNumberFormat="1" applyFont="1" applyFill="1" applyBorder="1" applyAlignment="1" applyProtection="1">
      <alignment horizontal="center"/>
    </xf>
    <xf numFmtId="168" fontId="67" fillId="3" borderId="235" xfId="0" applyNumberFormat="1" applyFont="1" applyFill="1" applyBorder="1" applyAlignment="1" applyProtection="1">
      <alignment horizontal="center"/>
    </xf>
    <xf numFmtId="168" fontId="67" fillId="3" borderId="236" xfId="0" applyNumberFormat="1" applyFont="1" applyFill="1" applyBorder="1" applyAlignment="1" applyProtection="1">
      <alignment horizontal="center"/>
    </xf>
    <xf numFmtId="4" fontId="16" fillId="5" borderId="237" xfId="0" applyNumberFormat="1" applyFont="1" applyFill="1" applyBorder="1" applyAlignment="1" applyProtection="1"/>
    <xf numFmtId="4" fontId="16" fillId="5" borderId="238" xfId="0" applyNumberFormat="1" applyFont="1" applyFill="1" applyBorder="1" applyAlignment="1" applyProtection="1"/>
    <xf numFmtId="4" fontId="16" fillId="5" borderId="239" xfId="0" applyNumberFormat="1" applyFont="1" applyFill="1" applyBorder="1" applyAlignment="1" applyProtection="1"/>
    <xf numFmtId="4" fontId="16" fillId="5" borderId="240" xfId="0" applyNumberFormat="1" applyFont="1" applyFill="1" applyBorder="1" applyAlignment="1" applyProtection="1"/>
    <xf numFmtId="4" fontId="30" fillId="5" borderId="241" xfId="0" applyNumberFormat="1" applyFont="1" applyFill="1" applyBorder="1" applyAlignment="1" applyProtection="1">
      <alignment vertical="center"/>
    </xf>
    <xf numFmtId="4" fontId="16" fillId="5" borderId="242" xfId="0" applyNumberFormat="1" applyFont="1" applyFill="1" applyBorder="1" applyAlignment="1" applyProtection="1"/>
    <xf numFmtId="4" fontId="48" fillId="5" borderId="237" xfId="0" applyNumberFormat="1" applyFont="1" applyFill="1" applyBorder="1" applyAlignment="1" applyProtection="1"/>
    <xf numFmtId="4" fontId="48" fillId="5" borderId="238" xfId="0" applyNumberFormat="1" applyFont="1" applyFill="1" applyBorder="1" applyAlignment="1" applyProtection="1"/>
    <xf numFmtId="4" fontId="48" fillId="5" borderId="239" xfId="0" applyNumberFormat="1" applyFont="1" applyFill="1" applyBorder="1" applyAlignment="1" applyProtection="1"/>
    <xf numFmtId="4" fontId="48" fillId="5" borderId="242" xfId="0" applyNumberFormat="1" applyFont="1" applyFill="1" applyBorder="1" applyAlignment="1" applyProtection="1"/>
    <xf numFmtId="4" fontId="48" fillId="5" borderId="240" xfId="0" applyNumberFormat="1" applyFont="1" applyFill="1" applyBorder="1" applyAlignment="1" applyProtection="1"/>
    <xf numFmtId="4" fontId="43" fillId="5" borderId="237" xfId="0" applyNumberFormat="1" applyFont="1" applyFill="1" applyBorder="1" applyAlignment="1" applyProtection="1"/>
    <xf numFmtId="4" fontId="43" fillId="5" borderId="239" xfId="0" applyNumberFormat="1" applyFont="1" applyFill="1" applyBorder="1" applyAlignment="1" applyProtection="1"/>
    <xf numFmtId="4" fontId="43" fillId="5" borderId="242" xfId="0" applyNumberFormat="1" applyFont="1" applyFill="1" applyBorder="1" applyAlignment="1" applyProtection="1"/>
    <xf numFmtId="4" fontId="40" fillId="5" borderId="240" xfId="0" applyNumberFormat="1" applyFont="1" applyFill="1" applyBorder="1" applyAlignment="1" applyProtection="1"/>
    <xf numFmtId="4" fontId="65" fillId="4" borderId="242" xfId="0" applyNumberFormat="1" applyFont="1" applyFill="1" applyBorder="1" applyAlignment="1" applyProtection="1">
      <alignment horizontal="left"/>
    </xf>
    <xf numFmtId="0" fontId="66" fillId="4" borderId="239" xfId="0" applyFont="1" applyFill="1" applyBorder="1" applyProtection="1"/>
    <xf numFmtId="4" fontId="37" fillId="4" borderId="240" xfId="0" applyNumberFormat="1" applyFont="1" applyFill="1" applyBorder="1" applyAlignment="1" applyProtection="1"/>
    <xf numFmtId="178" fontId="16" fillId="5" borderId="240" xfId="0" applyNumberFormat="1" applyFont="1" applyFill="1" applyBorder="1" applyAlignment="1" applyProtection="1">
      <alignment horizontal="center"/>
    </xf>
    <xf numFmtId="4" fontId="275" fillId="5" borderId="237" xfId="0" applyNumberFormat="1" applyFont="1" applyFill="1" applyBorder="1" applyAlignment="1" applyProtection="1">
      <alignment horizontal="center"/>
    </xf>
    <xf numFmtId="178" fontId="275" fillId="5" borderId="240" xfId="0" applyNumberFormat="1" applyFont="1" applyFill="1" applyBorder="1" applyAlignment="1" applyProtection="1">
      <alignment horizontal="center"/>
    </xf>
    <xf numFmtId="0" fontId="17" fillId="34" borderId="228" xfId="0" applyFont="1" applyFill="1" applyBorder="1" applyAlignment="1" applyProtection="1"/>
    <xf numFmtId="0" fontId="17" fillId="34" borderId="229" xfId="0" applyFont="1" applyFill="1" applyBorder="1" applyAlignment="1" applyProtection="1"/>
    <xf numFmtId="170" fontId="289" fillId="34" borderId="231" xfId="0" applyNumberFormat="1" applyFont="1" applyFill="1" applyBorder="1" applyAlignment="1">
      <alignment horizontal="center"/>
    </xf>
    <xf numFmtId="0" fontId="4" fillId="2" borderId="80" xfId="0" applyFont="1" applyFill="1" applyBorder="1" applyAlignment="1">
      <alignment horizontal="center" vertical="center"/>
    </xf>
    <xf numFmtId="4" fontId="48" fillId="5" borderId="87" xfId="0" applyNumberFormat="1" applyFont="1" applyFill="1" applyBorder="1" applyAlignment="1" applyProtection="1"/>
    <xf numFmtId="4" fontId="48" fillId="5" borderId="243" xfId="0" applyNumberFormat="1" applyFont="1" applyFill="1" applyBorder="1" applyAlignment="1" applyProtection="1"/>
    <xf numFmtId="4" fontId="48" fillId="5" borderId="11" xfId="0" applyNumberFormat="1" applyFont="1" applyFill="1" applyBorder="1" applyAlignment="1" applyProtection="1"/>
    <xf numFmtId="4" fontId="48" fillId="5" borderId="78" xfId="0" applyNumberFormat="1" applyFont="1" applyFill="1" applyBorder="1" applyAlignment="1" applyProtection="1"/>
    <xf numFmtId="4" fontId="48" fillId="5" borderId="79" xfId="0" applyNumberFormat="1" applyFont="1" applyFill="1" applyBorder="1" applyAlignment="1" applyProtection="1"/>
    <xf numFmtId="4" fontId="48" fillId="5" borderId="80" xfId="0" applyNumberFormat="1" applyFont="1" applyFill="1" applyBorder="1" applyAlignment="1" applyProtection="1"/>
    <xf numFmtId="0" fontId="100" fillId="11" borderId="87" xfId="0" applyFont="1" applyFill="1" applyBorder="1" applyAlignment="1" applyProtection="1"/>
    <xf numFmtId="0" fontId="17" fillId="11" borderId="146" xfId="0" applyFont="1" applyFill="1" applyBorder="1" applyAlignment="1" applyProtection="1"/>
    <xf numFmtId="0" fontId="14" fillId="11" borderId="146" xfId="0" applyFont="1" applyFill="1" applyBorder="1" applyAlignment="1" applyProtection="1"/>
    <xf numFmtId="0" fontId="10" fillId="11" borderId="146" xfId="0" applyFont="1" applyFill="1" applyBorder="1" applyAlignment="1" applyProtection="1"/>
    <xf numFmtId="0" fontId="100" fillId="11" borderId="146" xfId="0" applyFont="1" applyFill="1" applyBorder="1" applyAlignment="1" applyProtection="1"/>
    <xf numFmtId="0" fontId="19" fillId="11" borderId="147" xfId="0" applyFont="1" applyFill="1" applyBorder="1" applyAlignment="1" applyProtection="1"/>
    <xf numFmtId="170" fontId="290" fillId="11" borderId="231" xfId="0" applyNumberFormat="1" applyFont="1" applyFill="1" applyBorder="1" applyAlignment="1">
      <alignment horizontal="center"/>
    </xf>
    <xf numFmtId="168" fontId="276" fillId="11" borderId="228" xfId="0" applyNumberFormat="1" applyFont="1" applyFill="1" applyBorder="1" applyAlignment="1" applyProtection="1"/>
    <xf numFmtId="168" fontId="276" fillId="11" borderId="232" xfId="0" applyNumberFormat="1" applyFont="1" applyFill="1" applyBorder="1" applyAlignment="1" applyProtection="1"/>
    <xf numFmtId="168" fontId="276" fillId="11" borderId="233" xfId="0" applyNumberFormat="1" applyFont="1" applyFill="1" applyBorder="1" applyAlignment="1" applyProtection="1"/>
    <xf numFmtId="168" fontId="276" fillId="11" borderId="229" xfId="0" applyNumberFormat="1" applyFont="1" applyFill="1" applyBorder="1" applyAlignment="1" applyProtection="1"/>
    <xf numFmtId="4" fontId="48" fillId="5" borderId="146" xfId="0" applyNumberFormat="1" applyFont="1" applyFill="1" applyBorder="1" applyAlignment="1" applyProtection="1"/>
    <xf numFmtId="4" fontId="48" fillId="5" borderId="244" xfId="0" applyNumberFormat="1" applyFont="1" applyFill="1" applyBorder="1" applyAlignment="1" applyProtection="1"/>
    <xf numFmtId="4" fontId="48" fillId="5" borderId="147" xfId="0" applyNumberFormat="1" applyFont="1" applyFill="1" applyBorder="1" applyAlignment="1" applyProtection="1"/>
    <xf numFmtId="4" fontId="6" fillId="5" borderId="72" xfId="0" applyNumberFormat="1" applyFont="1" applyFill="1" applyBorder="1" applyAlignment="1" applyProtection="1">
      <alignment horizontal="center" vertical="top"/>
    </xf>
    <xf numFmtId="4" fontId="6" fillId="5" borderId="73" xfId="0" applyNumberFormat="1" applyFont="1" applyFill="1" applyBorder="1" applyAlignment="1" applyProtection="1">
      <alignment horizontal="center" vertical="top"/>
    </xf>
    <xf numFmtId="4" fontId="6" fillId="5" borderId="227" xfId="0" applyNumberFormat="1" applyFont="1" applyFill="1" applyBorder="1" applyAlignment="1" applyProtection="1">
      <alignment horizontal="center"/>
    </xf>
    <xf numFmtId="4" fontId="6" fillId="5" borderId="73" xfId="0" applyNumberFormat="1" applyFont="1" applyFill="1" applyBorder="1" applyAlignment="1" applyProtection="1">
      <alignment horizontal="center"/>
    </xf>
    <xf numFmtId="4" fontId="6" fillId="5" borderId="227" xfId="0" applyNumberFormat="1" applyFont="1" applyFill="1" applyBorder="1" applyAlignment="1" applyProtection="1">
      <alignment horizontal="center" vertical="top"/>
    </xf>
    <xf numFmtId="4" fontId="6" fillId="5" borderId="91" xfId="0" applyNumberFormat="1" applyFont="1" applyFill="1" applyBorder="1" applyAlignment="1" applyProtection="1">
      <alignment horizontal="center" vertical="top"/>
    </xf>
    <xf numFmtId="170" fontId="19" fillId="11" borderId="88" xfId="0" applyNumberFormat="1" applyFont="1" applyFill="1" applyBorder="1" applyAlignment="1">
      <alignment horizontal="center"/>
    </xf>
    <xf numFmtId="168" fontId="48" fillId="11" borderId="148" xfId="0" applyNumberFormat="1" applyFont="1" applyFill="1" applyBorder="1" applyAlignment="1" applyProtection="1"/>
    <xf numFmtId="168" fontId="48" fillId="11" borderId="149" xfId="0" applyNumberFormat="1" applyFont="1" applyFill="1" applyBorder="1" applyAlignment="1" applyProtection="1"/>
    <xf numFmtId="168" fontId="48" fillId="11" borderId="150" xfId="0" applyNumberFormat="1" applyFont="1" applyFill="1" applyBorder="1" applyAlignment="1" applyProtection="1"/>
    <xf numFmtId="168" fontId="48" fillId="11" borderId="93" xfId="0" applyNumberFormat="1" applyFont="1" applyFill="1" applyBorder="1" applyAlignment="1" applyProtection="1"/>
    <xf numFmtId="170" fontId="6" fillId="11" borderId="88" xfId="0" applyNumberFormat="1" applyFont="1" applyFill="1" applyBorder="1" applyAlignment="1">
      <alignment horizontal="center"/>
    </xf>
    <xf numFmtId="168" fontId="2" fillId="11" borderId="148" xfId="0" applyNumberFormat="1" applyFont="1" applyFill="1" applyBorder="1" applyAlignment="1" applyProtection="1"/>
    <xf numFmtId="168" fontId="2" fillId="11" borderId="149" xfId="0" applyNumberFormat="1" applyFont="1" applyFill="1" applyBorder="1" applyAlignment="1" applyProtection="1"/>
    <xf numFmtId="168" fontId="2" fillId="11" borderId="150" xfId="0" applyNumberFormat="1" applyFont="1" applyFill="1" applyBorder="1" applyAlignment="1" applyProtection="1"/>
    <xf numFmtId="168" fontId="2" fillId="11" borderId="93" xfId="0" applyNumberFormat="1" applyFont="1" applyFill="1" applyBorder="1" applyAlignment="1" applyProtection="1"/>
    <xf numFmtId="4" fontId="30" fillId="5" borderId="245" xfId="0" applyNumberFormat="1" applyFont="1" applyFill="1" applyBorder="1" applyAlignment="1" applyProtection="1">
      <alignment vertical="center"/>
    </xf>
    <xf numFmtId="4" fontId="30" fillId="5" borderId="246" xfId="0" applyNumberFormat="1" applyFont="1" applyFill="1" applyBorder="1" applyAlignment="1" applyProtection="1">
      <alignment vertical="center"/>
    </xf>
    <xf numFmtId="4" fontId="30" fillId="5" borderId="170" xfId="0" applyNumberFormat="1" applyFont="1" applyFill="1" applyBorder="1" applyAlignment="1" applyProtection="1">
      <alignment vertical="center"/>
    </xf>
    <xf numFmtId="4" fontId="30" fillId="5" borderId="247" xfId="0" applyNumberFormat="1" applyFont="1" applyFill="1" applyBorder="1" applyAlignment="1" applyProtection="1">
      <alignment vertical="center"/>
    </xf>
    <xf numFmtId="4" fontId="30" fillId="5" borderId="248" xfId="0" applyNumberFormat="1" applyFont="1" applyFill="1" applyBorder="1" applyAlignment="1" applyProtection="1">
      <alignment vertical="center"/>
    </xf>
    <xf numFmtId="4" fontId="48" fillId="5" borderId="8" xfId="0" applyNumberFormat="1" applyFont="1" applyFill="1" applyBorder="1" applyAlignment="1" applyProtection="1"/>
    <xf numFmtId="4" fontId="48" fillId="5" borderId="9" xfId="0" applyNumberFormat="1" applyFont="1" applyFill="1" applyBorder="1" applyAlignment="1" applyProtection="1"/>
    <xf numFmtId="4" fontId="48" fillId="5" borderId="0" xfId="0" applyNumberFormat="1" applyFont="1" applyFill="1" applyBorder="1" applyAlignment="1" applyProtection="1"/>
    <xf numFmtId="4" fontId="48" fillId="5" borderId="241" xfId="0" applyNumberFormat="1" applyFont="1" applyFill="1" applyBorder="1" applyAlignment="1" applyProtection="1"/>
    <xf numFmtId="4" fontId="48" fillId="5" borderId="10" xfId="0" applyNumberFormat="1" applyFont="1" applyFill="1" applyBorder="1" applyAlignment="1" applyProtection="1"/>
    <xf numFmtId="170" fontId="284" fillId="11" borderId="88" xfId="0" applyNumberFormat="1" applyFont="1" applyFill="1" applyBorder="1" applyAlignment="1">
      <alignment horizontal="center"/>
    </xf>
    <xf numFmtId="168" fontId="278" fillId="11" borderId="148" xfId="0" applyNumberFormat="1" applyFont="1" applyFill="1" applyBorder="1" applyAlignment="1" applyProtection="1"/>
    <xf numFmtId="168" fontId="278" fillId="11" borderId="149" xfId="0" applyNumberFormat="1" applyFont="1" applyFill="1" applyBorder="1" applyAlignment="1" applyProtection="1"/>
    <xf numFmtId="168" fontId="278" fillId="11" borderId="150" xfId="0" applyNumberFormat="1" applyFont="1" applyFill="1" applyBorder="1" applyAlignment="1" applyProtection="1"/>
    <xf numFmtId="168" fontId="278" fillId="11" borderId="93" xfId="0" applyNumberFormat="1" applyFont="1" applyFill="1" applyBorder="1" applyAlignment="1" applyProtection="1"/>
    <xf numFmtId="0" fontId="147" fillId="17" borderId="169" xfId="0" applyFont="1" applyFill="1" applyBorder="1" applyProtection="1"/>
    <xf numFmtId="0" fontId="0" fillId="17" borderId="170" xfId="0" applyFill="1" applyBorder="1" applyProtection="1"/>
    <xf numFmtId="0" fontId="0" fillId="17" borderId="171" xfId="0" applyFill="1" applyBorder="1" applyProtection="1"/>
    <xf numFmtId="0" fontId="147" fillId="17" borderId="172" xfId="0" applyFont="1" applyFill="1" applyBorder="1" applyProtection="1"/>
    <xf numFmtId="0" fontId="0" fillId="17" borderId="0" xfId="0" applyFill="1" applyBorder="1" applyProtection="1"/>
    <xf numFmtId="0" fontId="0" fillId="17" borderId="173" xfId="0" applyFill="1" applyBorder="1" applyProtection="1"/>
    <xf numFmtId="0" fontId="147" fillId="17" borderId="174" xfId="0" applyFont="1" applyFill="1" applyBorder="1" applyProtection="1"/>
    <xf numFmtId="0" fontId="0" fillId="17" borderId="175" xfId="0" applyFill="1" applyBorder="1" applyProtection="1"/>
    <xf numFmtId="4" fontId="2" fillId="5" borderId="237" xfId="0" applyNumberFormat="1" applyFont="1" applyFill="1" applyBorder="1" applyAlignment="1" applyProtection="1"/>
    <xf numFmtId="0" fontId="140" fillId="16" borderId="237" xfId="0" applyFont="1" applyFill="1" applyBorder="1" applyAlignment="1" applyProtection="1"/>
    <xf numFmtId="0" fontId="17" fillId="16" borderId="239" xfId="0" applyFont="1" applyFill="1" applyBorder="1" applyAlignment="1" applyProtection="1"/>
    <xf numFmtId="0" fontId="32" fillId="16" borderId="239" xfId="0" applyFont="1" applyFill="1" applyBorder="1" applyAlignment="1" applyProtection="1"/>
    <xf numFmtId="0" fontId="10" fillId="16" borderId="239" xfId="0" applyFont="1" applyFill="1" applyBorder="1" applyAlignment="1" applyProtection="1"/>
    <xf numFmtId="0" fontId="32" fillId="16" borderId="239" xfId="0" applyFont="1" applyFill="1" applyBorder="1" applyAlignment="1" applyProtection="1">
      <alignment horizontal="center"/>
    </xf>
    <xf numFmtId="0" fontId="2" fillId="16" borderId="50" xfId="0" applyFont="1" applyFill="1" applyBorder="1" applyProtection="1"/>
    <xf numFmtId="0" fontId="85" fillId="16" borderId="52" xfId="0" applyFont="1" applyFill="1" applyBorder="1" applyProtection="1"/>
    <xf numFmtId="0" fontId="90" fillId="16" borderId="51" xfId="0" applyFont="1" applyFill="1" applyBorder="1" applyProtection="1"/>
    <xf numFmtId="168" fontId="3" fillId="16" borderId="1" xfId="0" applyNumberFormat="1" applyFont="1" applyFill="1" applyBorder="1" applyAlignment="1" applyProtection="1">
      <alignment horizontal="right"/>
      <protection locked="0"/>
    </xf>
    <xf numFmtId="168" fontId="165" fillId="4" borderId="219" xfId="0" applyNumberFormat="1" applyFont="1" applyFill="1" applyBorder="1" applyAlignment="1" applyProtection="1">
      <alignment horizontal="center"/>
    </xf>
    <xf numFmtId="168" fontId="165" fillId="4" borderId="249" xfId="0" applyNumberFormat="1" applyFont="1" applyFill="1" applyBorder="1" applyAlignment="1" applyProtection="1">
      <alignment horizontal="center"/>
    </xf>
    <xf numFmtId="168" fontId="165" fillId="4" borderId="222" xfId="0" applyNumberFormat="1" applyFont="1" applyFill="1" applyBorder="1" applyAlignment="1" applyProtection="1">
      <alignment horizontal="center"/>
    </xf>
    <xf numFmtId="168" fontId="275" fillId="16" borderId="206" xfId="0" applyNumberFormat="1" applyFont="1" applyFill="1" applyBorder="1" applyProtection="1"/>
    <xf numFmtId="0" fontId="0" fillId="2" borderId="11" xfId="0" applyFill="1" applyBorder="1" applyAlignment="1" applyProtection="1">
      <alignment horizontal="center"/>
    </xf>
    <xf numFmtId="168" fontId="278" fillId="16" borderId="207" xfId="0" applyNumberFormat="1" applyFont="1" applyFill="1" applyBorder="1" applyProtection="1"/>
    <xf numFmtId="0" fontId="48" fillId="17" borderId="51" xfId="0" applyFont="1" applyFill="1" applyBorder="1" applyProtection="1"/>
    <xf numFmtId="0" fontId="86" fillId="16" borderId="51" xfId="0" applyFont="1" applyFill="1" applyBorder="1" applyProtection="1"/>
    <xf numFmtId="0" fontId="86" fillId="17" borderId="51" xfId="0" applyFont="1" applyFill="1" applyBorder="1" applyProtection="1"/>
    <xf numFmtId="0" fontId="2" fillId="5" borderId="219" xfId="0" applyFont="1" applyFill="1" applyBorder="1" applyAlignment="1" applyProtection="1">
      <alignment horizontal="center"/>
    </xf>
    <xf numFmtId="0" fontId="2" fillId="5" borderId="220" xfId="0" applyFont="1" applyFill="1" applyBorder="1" applyAlignment="1" applyProtection="1">
      <alignment horizontal="center"/>
    </xf>
    <xf numFmtId="0" fontId="2" fillId="16" borderId="220" xfId="0" applyFont="1" applyFill="1" applyBorder="1" applyAlignment="1" applyProtection="1">
      <alignment horizontal="center"/>
    </xf>
    <xf numFmtId="0" fontId="2" fillId="5" borderId="221" xfId="0" applyFont="1" applyFill="1" applyBorder="1" applyAlignment="1" applyProtection="1">
      <alignment horizontal="center"/>
    </xf>
    <xf numFmtId="169" fontId="70" fillId="37" borderId="249" xfId="0" applyNumberFormat="1" applyFont="1" applyFill="1" applyBorder="1" applyAlignment="1" applyProtection="1">
      <alignment horizontal="center"/>
    </xf>
    <xf numFmtId="169" fontId="70" fillId="37" borderId="222" xfId="0" applyNumberFormat="1" applyFont="1" applyFill="1" applyBorder="1" applyAlignment="1" applyProtection="1">
      <alignment horizontal="center"/>
    </xf>
    <xf numFmtId="169" fontId="3" fillId="38" borderId="1" xfId="0" applyNumberFormat="1" applyFont="1" applyFill="1" applyBorder="1" applyAlignment="1" applyProtection="1">
      <alignment horizontal="center"/>
    </xf>
    <xf numFmtId="169" fontId="3" fillId="38" borderId="13" xfId="0" applyNumberFormat="1" applyFont="1" applyFill="1" applyBorder="1" applyAlignment="1" applyProtection="1">
      <alignment horizontal="center"/>
    </xf>
    <xf numFmtId="168" fontId="275" fillId="16" borderId="250" xfId="0" applyNumberFormat="1" applyFont="1" applyFill="1" applyBorder="1" applyProtection="1"/>
    <xf numFmtId="4" fontId="22" fillId="17" borderId="148" xfId="0" applyNumberFormat="1" applyFont="1" applyFill="1" applyBorder="1" applyAlignment="1" applyProtection="1">
      <alignment horizontal="center"/>
    </xf>
    <xf numFmtId="4" fontId="22" fillId="17" borderId="251" xfId="0" applyNumberFormat="1" applyFont="1" applyFill="1" applyBorder="1" applyAlignment="1" applyProtection="1">
      <alignment horizontal="center"/>
    </xf>
    <xf numFmtId="168" fontId="2" fillId="0" borderId="219" xfId="10" applyNumberFormat="1" applyFont="1" applyBorder="1" applyAlignment="1" applyProtection="1"/>
    <xf numFmtId="168" fontId="2" fillId="0" borderId="221" xfId="10" applyNumberFormat="1" applyFont="1" applyBorder="1" applyAlignment="1" applyProtection="1"/>
    <xf numFmtId="168" fontId="73" fillId="0" borderId="221" xfId="10" applyNumberFormat="1" applyFont="1" applyBorder="1" applyAlignment="1" applyProtection="1"/>
    <xf numFmtId="168" fontId="73" fillId="0" borderId="249" xfId="10" applyNumberFormat="1" applyFont="1" applyBorder="1" applyAlignment="1" applyProtection="1"/>
    <xf numFmtId="167" fontId="167" fillId="25" borderId="252" xfId="10" applyNumberFormat="1" applyFont="1" applyFill="1" applyBorder="1" applyAlignment="1" applyProtection="1">
      <alignment horizontal="center"/>
    </xf>
    <xf numFmtId="167" fontId="160" fillId="25" borderId="222" xfId="10" applyNumberFormat="1" applyFont="1" applyFill="1" applyBorder="1" applyAlignment="1" applyProtection="1">
      <alignment horizontal="center"/>
    </xf>
    <xf numFmtId="167" fontId="167" fillId="25" borderId="222" xfId="10" applyNumberFormat="1" applyFont="1" applyFill="1" applyBorder="1" applyAlignment="1" applyProtection="1">
      <alignment horizontal="center"/>
    </xf>
    <xf numFmtId="168" fontId="2" fillId="25" borderId="196" xfId="10" applyNumberFormat="1" applyFont="1" applyFill="1" applyBorder="1" applyAlignment="1" applyProtection="1"/>
    <xf numFmtId="168" fontId="73" fillId="25" borderId="196" xfId="10" applyNumberFormat="1" applyFont="1" applyFill="1" applyBorder="1" applyAlignment="1" applyProtection="1"/>
    <xf numFmtId="168" fontId="2" fillId="16" borderId="196" xfId="10" applyNumberFormat="1" applyFont="1" applyFill="1" applyBorder="1" applyAlignment="1" applyProtection="1"/>
    <xf numFmtId="168" fontId="73" fillId="16" borderId="196" xfId="10" applyNumberFormat="1" applyFont="1" applyFill="1" applyBorder="1" applyAlignment="1" applyProtection="1"/>
    <xf numFmtId="164" fontId="2" fillId="0" borderId="219" xfId="10" applyNumberFormat="1" applyFont="1" applyBorder="1" applyAlignment="1" applyProtection="1"/>
    <xf numFmtId="164" fontId="2" fillId="0" borderId="221" xfId="10" applyNumberFormat="1" applyFont="1" applyBorder="1" applyAlignment="1" applyProtection="1"/>
    <xf numFmtId="164" fontId="73" fillId="0" borderId="221" xfId="10" applyNumberFormat="1" applyFont="1" applyBorder="1" applyAlignment="1" applyProtection="1"/>
    <xf numFmtId="164" fontId="2" fillId="16" borderId="196" xfId="10" applyNumberFormat="1" applyFont="1" applyFill="1" applyBorder="1" applyAlignment="1" applyProtection="1"/>
    <xf numFmtId="164" fontId="73" fillId="16" borderId="196" xfId="10" applyNumberFormat="1" applyFont="1" applyFill="1" applyBorder="1" applyAlignment="1" applyProtection="1"/>
    <xf numFmtId="164" fontId="73" fillId="0" borderId="249" xfId="10" applyNumberFormat="1" applyFont="1" applyBorder="1" applyAlignment="1" applyProtection="1"/>
    <xf numFmtId="164" fontId="2" fillId="25" borderId="196" xfId="10" applyNumberFormat="1" applyFont="1" applyFill="1" applyBorder="1" applyAlignment="1" applyProtection="1"/>
    <xf numFmtId="164" fontId="73" fillId="25" borderId="196" xfId="10" applyNumberFormat="1" applyFont="1" applyFill="1" applyBorder="1" applyAlignment="1" applyProtection="1"/>
    <xf numFmtId="179" fontId="16" fillId="3" borderId="123" xfId="0" applyNumberFormat="1" applyFont="1" applyFill="1" applyBorder="1" applyAlignment="1" applyProtection="1">
      <alignment horizontal="center"/>
    </xf>
    <xf numFmtId="179" fontId="7" fillId="2" borderId="0" xfId="9" applyNumberFormat="1" applyFont="1" applyFill="1" applyProtection="1"/>
    <xf numFmtId="179" fontId="16" fillId="11" borderId="123" xfId="0" applyNumberFormat="1" applyFont="1" applyFill="1" applyBorder="1" applyAlignment="1" applyProtection="1">
      <alignment horizontal="center"/>
    </xf>
    <xf numFmtId="179" fontId="16" fillId="7" borderId="123" xfId="0" applyNumberFormat="1" applyFont="1" applyFill="1" applyBorder="1" applyAlignment="1" applyProtection="1">
      <alignment horizontal="center"/>
    </xf>
    <xf numFmtId="179" fontId="2" fillId="5" borderId="124" xfId="0" applyNumberFormat="1" applyFont="1" applyFill="1" applyBorder="1" applyAlignment="1" applyProtection="1">
      <alignment horizontal="center"/>
    </xf>
    <xf numFmtId="171" fontId="16" fillId="11" borderId="123" xfId="0" applyNumberFormat="1" applyFont="1" applyFill="1" applyBorder="1" applyAlignment="1" applyProtection="1">
      <alignment horizontal="center"/>
    </xf>
    <xf numFmtId="171" fontId="7" fillId="2" borderId="0" xfId="9" applyNumberFormat="1" applyFont="1" applyFill="1" applyProtection="1"/>
    <xf numFmtId="171" fontId="16" fillId="7" borderId="123" xfId="0" applyNumberFormat="1" applyFont="1" applyFill="1" applyBorder="1" applyAlignment="1" applyProtection="1">
      <alignment horizontal="center"/>
    </xf>
    <xf numFmtId="171" fontId="2" fillId="5" borderId="124" xfId="0" applyNumberFormat="1" applyFont="1" applyFill="1" applyBorder="1" applyAlignment="1" applyProtection="1">
      <alignment horizontal="center"/>
    </xf>
    <xf numFmtId="171" fontId="2" fillId="5" borderId="196" xfId="0" applyNumberFormat="1" applyFont="1" applyFill="1" applyBorder="1" applyAlignment="1" applyProtection="1">
      <alignment horizontal="center"/>
    </xf>
    <xf numFmtId="171" fontId="62" fillId="5" borderId="124" xfId="0" applyNumberFormat="1" applyFont="1" applyFill="1" applyBorder="1" applyAlignment="1" applyProtection="1">
      <alignment horizontal="center"/>
    </xf>
    <xf numFmtId="4" fontId="12" fillId="17" borderId="196" xfId="0" applyNumberFormat="1" applyFont="1" applyFill="1" applyBorder="1" applyAlignment="1" applyProtection="1">
      <alignment horizontal="center"/>
    </xf>
    <xf numFmtId="0" fontId="160" fillId="16" borderId="252" xfId="9" applyFont="1" applyFill="1" applyBorder="1" applyAlignment="1" applyProtection="1">
      <alignment horizontal="center"/>
    </xf>
    <xf numFmtId="0" fontId="167" fillId="16" borderId="252" xfId="9" applyFont="1" applyFill="1" applyBorder="1" applyAlignment="1" applyProtection="1">
      <alignment horizontal="center"/>
    </xf>
    <xf numFmtId="0" fontId="160" fillId="16" borderId="222" xfId="9" applyFont="1" applyFill="1" applyBorder="1" applyAlignment="1" applyProtection="1">
      <alignment horizontal="center"/>
    </xf>
    <xf numFmtId="0" fontId="167" fillId="16" borderId="222" xfId="9" applyFont="1" applyFill="1" applyBorder="1" applyAlignment="1" applyProtection="1">
      <alignment horizontal="center"/>
    </xf>
    <xf numFmtId="4" fontId="160" fillId="17" borderId="196" xfId="0" applyNumberFormat="1" applyFont="1" applyFill="1" applyBorder="1" applyAlignment="1" applyProtection="1">
      <alignment horizontal="center"/>
    </xf>
    <xf numFmtId="167" fontId="160" fillId="25" borderId="252" xfId="10" applyNumberFormat="1" applyFont="1" applyFill="1" applyBorder="1" applyAlignment="1" applyProtection="1">
      <alignment horizontal="center"/>
    </xf>
    <xf numFmtId="0" fontId="7" fillId="17" borderId="198" xfId="9" applyFont="1" applyFill="1" applyBorder="1" applyProtection="1"/>
    <xf numFmtId="0" fontId="160" fillId="17" borderId="197" xfId="9" applyFont="1" applyFill="1" applyBorder="1" applyProtection="1"/>
    <xf numFmtId="179" fontId="12" fillId="5" borderId="196" xfId="0" applyNumberFormat="1" applyFont="1" applyFill="1" applyBorder="1" applyAlignment="1" applyProtection="1">
      <alignment horizontal="center"/>
    </xf>
    <xf numFmtId="0" fontId="160" fillId="16" borderId="197" xfId="9" applyFont="1" applyFill="1" applyBorder="1" applyProtection="1"/>
    <xf numFmtId="0" fontId="7" fillId="16" borderId="198" xfId="9" applyFont="1" applyFill="1" applyBorder="1" applyProtection="1"/>
    <xf numFmtId="0" fontId="291" fillId="17" borderId="197" xfId="0" applyFont="1" applyFill="1" applyBorder="1" applyAlignment="1" applyProtection="1">
      <alignment horizontal="left"/>
    </xf>
    <xf numFmtId="0" fontId="281" fillId="17" borderId="146" xfId="0" applyFont="1" applyFill="1" applyBorder="1" applyAlignment="1" applyProtection="1">
      <alignment horizontal="left"/>
    </xf>
    <xf numFmtId="0" fontId="282" fillId="17" borderId="146" xfId="0" applyFont="1" applyFill="1" applyBorder="1" applyAlignment="1" applyProtection="1">
      <alignment horizontal="right"/>
    </xf>
    <xf numFmtId="176" fontId="292" fillId="17" borderId="146" xfId="0" applyNumberFormat="1" applyFont="1" applyFill="1" applyBorder="1" applyAlignment="1" applyProtection="1">
      <alignment horizontal="center"/>
    </xf>
    <xf numFmtId="176" fontId="292" fillId="17" borderId="198" xfId="0" applyNumberFormat="1" applyFont="1" applyFill="1" applyBorder="1" applyAlignment="1" applyProtection="1">
      <alignment horizontal="center"/>
    </xf>
    <xf numFmtId="0" fontId="141" fillId="17" borderId="197" xfId="0" applyFont="1" applyFill="1" applyBorder="1" applyAlignment="1" applyProtection="1">
      <alignment horizontal="left"/>
    </xf>
    <xf numFmtId="0" fontId="8" fillId="39" borderId="0" xfId="9" applyFont="1" applyFill="1" applyBorder="1" applyAlignment="1" applyProtection="1">
      <alignment horizontal="left"/>
    </xf>
    <xf numFmtId="0" fontId="293" fillId="28" borderId="48" xfId="9" applyFont="1" applyFill="1" applyBorder="1" applyAlignment="1" applyProtection="1">
      <alignment horizontal="center"/>
    </xf>
    <xf numFmtId="38" fontId="294" fillId="28" borderId="48" xfId="10" applyNumberFormat="1" applyFont="1" applyFill="1" applyBorder="1" applyAlignment="1" applyProtection="1">
      <alignment horizontal="left"/>
    </xf>
    <xf numFmtId="0" fontId="8" fillId="39" borderId="0" xfId="9" applyFont="1" applyFill="1" applyBorder="1" applyAlignment="1" applyProtection="1">
      <alignment horizontal="right"/>
    </xf>
    <xf numFmtId="0" fontId="8" fillId="5" borderId="0" xfId="6" applyFont="1" applyFill="1" applyBorder="1" applyAlignment="1" applyProtection="1">
      <alignment horizontal="right"/>
    </xf>
    <xf numFmtId="0" fontId="8" fillId="5" borderId="48" xfId="6" applyFont="1" applyFill="1" applyBorder="1" applyAlignment="1" applyProtection="1">
      <alignment horizontal="left"/>
    </xf>
    <xf numFmtId="38" fontId="23" fillId="5" borderId="0" xfId="10" applyNumberFormat="1" applyFont="1" applyFill="1" applyAlignment="1" applyProtection="1">
      <alignment horizontal="left"/>
    </xf>
    <xf numFmtId="165" fontId="295" fillId="30" borderId="196" xfId="9" applyNumberFormat="1" applyFont="1" applyFill="1" applyBorder="1" applyAlignment="1" applyProtection="1">
      <alignment horizontal="center" vertical="center"/>
    </xf>
    <xf numFmtId="0" fontId="174" fillId="5" borderId="48" xfId="6" applyFont="1" applyFill="1" applyBorder="1" applyAlignment="1" applyProtection="1">
      <alignment horizontal="left"/>
    </xf>
    <xf numFmtId="0" fontId="296" fillId="5" borderId="48" xfId="6" applyFont="1" applyFill="1" applyBorder="1" applyAlignment="1" applyProtection="1">
      <alignment horizontal="left"/>
    </xf>
    <xf numFmtId="0" fontId="22" fillId="5" borderId="196" xfId="9" applyNumberFormat="1" applyFont="1" applyFill="1" applyBorder="1" applyAlignment="1" applyProtection="1">
      <alignment horizontal="center" vertical="center"/>
    </xf>
    <xf numFmtId="0" fontId="144" fillId="5" borderId="0" xfId="9" applyFont="1" applyFill="1" applyBorder="1" applyAlignment="1" applyProtection="1">
      <alignment horizontal="left"/>
    </xf>
    <xf numFmtId="0" fontId="297" fillId="2" borderId="0" xfId="0" applyFont="1" applyFill="1" applyBorder="1" applyAlignment="1">
      <alignment horizontal="center" vertical="center"/>
    </xf>
    <xf numFmtId="0" fontId="22" fillId="5" borderId="0" xfId="9" applyFont="1" applyFill="1" applyBorder="1" applyAlignment="1" applyProtection="1">
      <alignment horizontal="center"/>
    </xf>
    <xf numFmtId="0" fontId="147" fillId="17" borderId="170" xfId="0" applyFont="1" applyFill="1" applyBorder="1" applyProtection="1"/>
    <xf numFmtId="0" fontId="137" fillId="17" borderId="170" xfId="0" applyFont="1" applyFill="1" applyBorder="1" applyProtection="1"/>
    <xf numFmtId="0" fontId="21" fillId="17" borderId="171" xfId="0" applyFont="1" applyFill="1" applyBorder="1" applyProtection="1"/>
    <xf numFmtId="0" fontId="147" fillId="17" borderId="0" xfId="0" applyFont="1" applyFill="1" applyBorder="1" applyProtection="1"/>
    <xf numFmtId="0" fontId="21" fillId="17" borderId="173" xfId="0" applyFont="1" applyFill="1" applyBorder="1" applyProtection="1"/>
    <xf numFmtId="0" fontId="147" fillId="17" borderId="11" xfId="0" applyFont="1" applyFill="1" applyBorder="1" applyProtection="1"/>
    <xf numFmtId="0" fontId="21" fillId="17" borderId="175" xfId="0" applyFont="1" applyFill="1" applyBorder="1" applyProtection="1"/>
    <xf numFmtId="0" fontId="137" fillId="17" borderId="0" xfId="0" applyFont="1" applyFill="1" applyBorder="1" applyProtection="1"/>
    <xf numFmtId="0" fontId="147" fillId="17" borderId="172" xfId="0" quotePrefix="1" applyFont="1" applyFill="1" applyBorder="1" applyProtection="1"/>
    <xf numFmtId="0" fontId="137" fillId="17" borderId="169" xfId="0" applyFont="1" applyFill="1" applyBorder="1" applyProtection="1"/>
    <xf numFmtId="0" fontId="147" fillId="17" borderId="171" xfId="0" applyFont="1" applyFill="1" applyBorder="1" applyProtection="1"/>
    <xf numFmtId="168" fontId="298" fillId="40" borderId="219" xfId="0" applyNumberFormat="1" applyFont="1" applyFill="1" applyBorder="1" applyAlignment="1" applyProtection="1">
      <alignment horizontal="center"/>
    </xf>
    <xf numFmtId="168" fontId="298" fillId="40" borderId="249" xfId="0" applyNumberFormat="1" applyFont="1" applyFill="1" applyBorder="1" applyAlignment="1" applyProtection="1">
      <alignment horizontal="center"/>
    </xf>
    <xf numFmtId="168" fontId="165" fillId="40" borderId="249" xfId="0" applyNumberFormat="1" applyFont="1" applyFill="1" applyBorder="1" applyAlignment="1" applyProtection="1">
      <alignment horizontal="center"/>
    </xf>
    <xf numFmtId="168" fontId="165" fillId="40" borderId="222" xfId="0" applyNumberFormat="1" applyFont="1" applyFill="1" applyBorder="1" applyAlignment="1" applyProtection="1">
      <alignment horizontal="center"/>
    </xf>
    <xf numFmtId="0" fontId="2" fillId="5" borderId="245" xfId="0" applyFont="1" applyFill="1" applyBorder="1" applyProtection="1"/>
    <xf numFmtId="0" fontId="3" fillId="17" borderId="170" xfId="0" applyFont="1" applyFill="1" applyBorder="1" applyProtection="1"/>
    <xf numFmtId="0" fontId="2" fillId="5" borderId="170" xfId="0" applyFont="1" applyFill="1" applyBorder="1" applyProtection="1"/>
    <xf numFmtId="0" fontId="48" fillId="17" borderId="59" xfId="0" applyFont="1" applyFill="1" applyBorder="1" applyProtection="1"/>
    <xf numFmtId="0" fontId="85" fillId="17" borderId="60" xfId="0" applyFont="1" applyFill="1" applyBorder="1" applyProtection="1"/>
    <xf numFmtId="0" fontId="48" fillId="17" borderId="48" xfId="0" applyFont="1" applyFill="1" applyBorder="1" applyProtection="1"/>
    <xf numFmtId="0" fontId="85" fillId="17" borderId="49" xfId="0" applyFont="1" applyFill="1" applyBorder="1" applyProtection="1"/>
    <xf numFmtId="0" fontId="2" fillId="5" borderId="88" xfId="0" applyFont="1" applyFill="1" applyBorder="1" applyAlignment="1" applyProtection="1">
      <alignment horizontal="center"/>
    </xf>
    <xf numFmtId="0" fontId="2" fillId="5" borderId="48" xfId="0" applyFont="1" applyFill="1" applyBorder="1" applyProtection="1"/>
    <xf numFmtId="0" fontId="2" fillId="41" borderId="88" xfId="0" applyFont="1" applyFill="1" applyBorder="1" applyAlignment="1" applyProtection="1">
      <alignment horizontal="center"/>
    </xf>
    <xf numFmtId="0" fontId="99" fillId="2" borderId="0" xfId="0" applyFont="1" applyFill="1" applyBorder="1" applyAlignment="1" applyProtection="1">
      <alignment horizontal="center" vertical="center"/>
    </xf>
    <xf numFmtId="0" fontId="297" fillId="2" borderId="0" xfId="0" applyFont="1" applyFill="1" applyBorder="1" applyAlignment="1" applyProtection="1">
      <alignment horizontal="center" vertical="center"/>
    </xf>
    <xf numFmtId="168" fontId="3" fillId="17" borderId="128" xfId="0" applyNumberFormat="1" applyFont="1" applyFill="1" applyBorder="1" applyProtection="1">
      <protection locked="0"/>
    </xf>
    <xf numFmtId="0" fontId="70" fillId="5" borderId="8" xfId="0" applyFont="1" applyFill="1" applyBorder="1" applyProtection="1"/>
    <xf numFmtId="0" fontId="3" fillId="17" borderId="0" xfId="0" applyFont="1" applyFill="1" applyBorder="1" applyProtection="1"/>
    <xf numFmtId="0" fontId="2" fillId="5" borderId="0" xfId="0" applyFont="1" applyFill="1" applyBorder="1" applyProtection="1"/>
    <xf numFmtId="0" fontId="48" fillId="17" borderId="0" xfId="0" applyFont="1" applyFill="1" applyBorder="1" applyProtection="1"/>
    <xf numFmtId="0" fontId="85" fillId="17" borderId="10" xfId="0" applyFont="1" applyFill="1" applyBorder="1" applyProtection="1"/>
    <xf numFmtId="169" fontId="70" fillId="16" borderId="253" xfId="0" applyNumberFormat="1" applyFont="1" applyFill="1" applyBorder="1" applyAlignment="1" applyProtection="1">
      <alignment horizontal="center"/>
    </xf>
    <xf numFmtId="0" fontId="299" fillId="16" borderId="146" xfId="0" applyFont="1" applyFill="1" applyBorder="1" applyAlignment="1" applyProtection="1"/>
    <xf numFmtId="168" fontId="70" fillId="16" borderId="97" xfId="0" applyNumberFormat="1" applyFont="1" applyFill="1" applyBorder="1" applyAlignment="1" applyProtection="1"/>
    <xf numFmtId="0" fontId="70" fillId="16" borderId="189" xfId="0" applyFont="1" applyFill="1" applyBorder="1" applyAlignment="1" applyProtection="1"/>
    <xf numFmtId="0" fontId="70" fillId="16" borderId="194" xfId="0" applyFont="1" applyFill="1" applyBorder="1" applyAlignment="1" applyProtection="1"/>
    <xf numFmtId="0" fontId="73" fillId="16" borderId="194" xfId="0" applyFont="1" applyFill="1" applyBorder="1" applyAlignment="1" applyProtection="1"/>
    <xf numFmtId="0" fontId="73" fillId="16" borderId="195" xfId="0" applyFont="1" applyFill="1" applyBorder="1" applyProtection="1"/>
    <xf numFmtId="0" fontId="73" fillId="17" borderId="51" xfId="0" quotePrefix="1" applyFont="1" applyFill="1" applyBorder="1" applyProtection="1"/>
    <xf numFmtId="0" fontId="2" fillId="5" borderId="82" xfId="0" applyFont="1" applyFill="1" applyBorder="1" applyAlignment="1" applyProtection="1">
      <alignment horizontal="center"/>
    </xf>
    <xf numFmtId="0" fontId="2" fillId="5" borderId="8" xfId="0" applyFont="1" applyFill="1" applyBorder="1" applyAlignment="1" applyProtection="1">
      <alignment horizontal="center"/>
    </xf>
    <xf numFmtId="168" fontId="3" fillId="17" borderId="0" xfId="0" applyNumberFormat="1" applyFont="1" applyFill="1" applyBorder="1" applyAlignment="1" applyProtection="1">
      <alignment horizontal="right"/>
    </xf>
    <xf numFmtId="168" fontId="3" fillId="17" borderId="10" xfId="0" applyNumberFormat="1" applyFont="1" applyFill="1" applyBorder="1" applyProtection="1"/>
    <xf numFmtId="0" fontId="2" fillId="5" borderId="77" xfId="0" applyFont="1" applyFill="1" applyBorder="1" applyAlignment="1" applyProtection="1">
      <alignment horizontal="center"/>
    </xf>
    <xf numFmtId="0" fontId="2" fillId="5" borderId="82" xfId="0" applyFont="1" applyFill="1" applyBorder="1" applyProtection="1"/>
    <xf numFmtId="0" fontId="3" fillId="17" borderId="254" xfId="0" applyFont="1" applyFill="1" applyBorder="1" applyProtection="1"/>
    <xf numFmtId="0" fontId="2" fillId="5" borderId="254" xfId="0" applyFont="1" applyFill="1" applyBorder="1" applyProtection="1"/>
    <xf numFmtId="0" fontId="48" fillId="17" borderId="254" xfId="0" applyFont="1" applyFill="1" applyBorder="1" applyProtection="1"/>
    <xf numFmtId="0" fontId="85" fillId="17" borderId="83" xfId="0" applyFont="1" applyFill="1" applyBorder="1" applyProtection="1"/>
    <xf numFmtId="168" fontId="3" fillId="17" borderId="77" xfId="0" applyNumberFormat="1" applyFont="1" applyFill="1" applyBorder="1" applyAlignment="1" applyProtection="1">
      <alignment horizontal="right"/>
    </xf>
    <xf numFmtId="168" fontId="3" fillId="17" borderId="80" xfId="0" applyNumberFormat="1" applyFont="1" applyFill="1" applyBorder="1" applyProtection="1"/>
    <xf numFmtId="168" fontId="3" fillId="17" borderId="87" xfId="0" applyNumberFormat="1" applyFont="1" applyFill="1" applyBorder="1" applyAlignment="1" applyProtection="1">
      <alignment horizontal="right"/>
    </xf>
    <xf numFmtId="168" fontId="3" fillId="17" borderId="147" xfId="0" applyNumberFormat="1" applyFont="1" applyFill="1" applyBorder="1" applyProtection="1"/>
    <xf numFmtId="168" fontId="70" fillId="16" borderId="253" xfId="0" applyNumberFormat="1" applyFont="1" applyFill="1" applyBorder="1" applyAlignment="1" applyProtection="1"/>
    <xf numFmtId="169" fontId="70" fillId="16" borderId="97" xfId="0" applyNumberFormat="1" applyFont="1" applyFill="1" applyBorder="1" applyAlignment="1" applyProtection="1">
      <alignment horizontal="center"/>
    </xf>
    <xf numFmtId="180" fontId="70" fillId="16" borderId="98" xfId="0" applyNumberFormat="1" applyFont="1" applyFill="1" applyBorder="1" applyAlignment="1" applyProtection="1">
      <alignment horizontal="center"/>
    </xf>
    <xf numFmtId="180" fontId="280" fillId="16" borderId="98" xfId="0" applyNumberFormat="1" applyFont="1" applyFill="1" applyBorder="1" applyAlignment="1" applyProtection="1">
      <alignment horizontal="center"/>
    </xf>
    <xf numFmtId="180" fontId="291" fillId="16" borderId="98" xfId="0" applyNumberFormat="1" applyFont="1" applyFill="1" applyBorder="1" applyAlignment="1" applyProtection="1">
      <alignment horizontal="center"/>
    </xf>
    <xf numFmtId="171" fontId="300" fillId="17" borderId="83" xfId="0" applyNumberFormat="1" applyFont="1" applyFill="1" applyBorder="1" applyAlignment="1" applyProtection="1">
      <alignment horizontal="center"/>
    </xf>
    <xf numFmtId="171" fontId="300" fillId="17" borderId="254" xfId="0" applyNumberFormat="1" applyFont="1" applyFill="1" applyBorder="1" applyAlignment="1" applyProtection="1">
      <alignment horizontal="center"/>
    </xf>
    <xf numFmtId="171" fontId="300" fillId="17" borderId="82" xfId="0" applyNumberFormat="1" applyFont="1" applyFill="1" applyBorder="1" applyAlignment="1" applyProtection="1">
      <alignment horizontal="center"/>
    </xf>
    <xf numFmtId="0" fontId="2" fillId="5" borderId="77" xfId="0" applyFont="1" applyFill="1" applyBorder="1" applyProtection="1"/>
    <xf numFmtId="0" fontId="2" fillId="5" borderId="11" xfId="0" applyFont="1" applyFill="1" applyBorder="1" applyProtection="1"/>
    <xf numFmtId="0" fontId="48" fillId="17" borderId="11" xfId="0" applyFont="1" applyFill="1" applyBorder="1" applyProtection="1"/>
    <xf numFmtId="0" fontId="85" fillId="17" borderId="80" xfId="0" applyFont="1" applyFill="1" applyBorder="1" applyProtection="1"/>
    <xf numFmtId="0" fontId="2" fillId="32" borderId="0" xfId="0" applyFont="1" applyFill="1" applyBorder="1" applyProtection="1"/>
    <xf numFmtId="0" fontId="3" fillId="32" borderId="0" xfId="0" applyFont="1" applyFill="1" applyBorder="1" applyProtection="1"/>
    <xf numFmtId="0" fontId="48" fillId="32" borderId="0" xfId="0" applyFont="1" applyFill="1" applyBorder="1" applyProtection="1"/>
    <xf numFmtId="0" fontId="85" fillId="32" borderId="0" xfId="0" applyFont="1" applyFill="1" applyBorder="1" applyProtection="1"/>
    <xf numFmtId="0" fontId="2" fillId="32" borderId="0" xfId="0" applyFont="1" applyFill="1" applyBorder="1" applyAlignment="1" applyProtection="1">
      <alignment horizontal="center"/>
    </xf>
    <xf numFmtId="168" fontId="3" fillId="32" borderId="0" xfId="0" applyNumberFormat="1" applyFont="1" applyFill="1" applyBorder="1" applyAlignment="1" applyProtection="1">
      <alignment horizontal="right"/>
    </xf>
    <xf numFmtId="168" fontId="3" fillId="32" borderId="0" xfId="0" applyNumberFormat="1" applyFont="1" applyFill="1" applyBorder="1" applyProtection="1"/>
    <xf numFmtId="0" fontId="0" fillId="32" borderId="0" xfId="0" applyFill="1" applyProtection="1"/>
    <xf numFmtId="168" fontId="2" fillId="17" borderId="196" xfId="0" applyNumberFormat="1" applyFont="1" applyFill="1" applyBorder="1" applyProtection="1"/>
    <xf numFmtId="0" fontId="281" fillId="16" borderId="333" xfId="0" applyFont="1" applyFill="1" applyBorder="1" applyAlignment="1" applyProtection="1">
      <alignment horizontal="left"/>
    </xf>
    <xf numFmtId="0" fontId="282" fillId="16" borderId="333" xfId="0" applyFont="1" applyFill="1" applyBorder="1" applyAlignment="1" applyProtection="1">
      <alignment horizontal="right"/>
    </xf>
    <xf numFmtId="176" fontId="292" fillId="16" borderId="333" xfId="0" applyNumberFormat="1" applyFont="1" applyFill="1" applyBorder="1" applyAlignment="1" applyProtection="1">
      <alignment horizontal="center"/>
    </xf>
    <xf numFmtId="176" fontId="292" fillId="16" borderId="334" xfId="0" applyNumberFormat="1" applyFont="1" applyFill="1" applyBorder="1" applyAlignment="1" applyProtection="1">
      <alignment horizontal="center"/>
    </xf>
    <xf numFmtId="0" fontId="291" fillId="16" borderId="335" xfId="0" applyFont="1" applyFill="1" applyBorder="1" applyAlignment="1" applyProtection="1">
      <alignment horizontal="left"/>
    </xf>
    <xf numFmtId="0" fontId="70" fillId="16" borderId="335" xfId="0" applyFont="1" applyFill="1" applyBorder="1" applyAlignment="1" applyProtection="1">
      <alignment horizontal="left"/>
    </xf>
    <xf numFmtId="0" fontId="6" fillId="32" borderId="0" xfId="0" applyFont="1" applyFill="1" applyBorder="1" applyProtection="1"/>
    <xf numFmtId="0" fontId="127" fillId="32" borderId="0" xfId="0" applyFont="1" applyFill="1" applyBorder="1" applyProtection="1"/>
    <xf numFmtId="0" fontId="19" fillId="32" borderId="0" xfId="0" applyFont="1" applyFill="1" applyBorder="1" applyProtection="1"/>
    <xf numFmtId="0" fontId="87" fillId="32" borderId="0" xfId="0" applyFont="1" applyFill="1" applyBorder="1" applyProtection="1"/>
    <xf numFmtId="0" fontId="6" fillId="32" borderId="0" xfId="0" applyFont="1" applyFill="1" applyBorder="1" applyAlignment="1" applyProtection="1">
      <alignment horizontal="center"/>
    </xf>
    <xf numFmtId="168" fontId="127" fillId="32" borderId="0" xfId="0" applyNumberFormat="1" applyFont="1" applyFill="1" applyBorder="1" applyAlignment="1" applyProtection="1">
      <alignment horizontal="right"/>
    </xf>
    <xf numFmtId="168" fontId="127" fillId="32" borderId="0" xfId="0" applyNumberFormat="1" applyFont="1" applyFill="1" applyBorder="1" applyProtection="1"/>
    <xf numFmtId="0" fontId="128" fillId="32" borderId="0" xfId="0" applyFont="1" applyFill="1" applyProtection="1"/>
    <xf numFmtId="4" fontId="181" fillId="2" borderId="0" xfId="0" applyNumberFormat="1" applyFont="1" applyFill="1" applyProtection="1"/>
    <xf numFmtId="168" fontId="2" fillId="17" borderId="252" xfId="0" applyNumberFormat="1" applyFont="1" applyFill="1" applyBorder="1" applyProtection="1"/>
    <xf numFmtId="180" fontId="297" fillId="16" borderId="336" xfId="0" applyNumberFormat="1" applyFont="1" applyFill="1" applyBorder="1" applyAlignment="1" applyProtection="1">
      <alignment horizontal="center"/>
    </xf>
    <xf numFmtId="0" fontId="182" fillId="2" borderId="0" xfId="0" applyFont="1" applyFill="1" applyBorder="1" applyProtection="1"/>
    <xf numFmtId="168" fontId="12" fillId="32" borderId="0" xfId="0" applyNumberFormat="1" applyFont="1" applyFill="1" applyBorder="1" applyAlignment="1" applyProtection="1">
      <alignment horizontal="right"/>
    </xf>
    <xf numFmtId="180" fontId="301" fillId="16" borderId="336" xfId="0" applyNumberFormat="1" applyFont="1" applyFill="1" applyBorder="1" applyAlignment="1" applyProtection="1">
      <alignment horizontal="center"/>
    </xf>
    <xf numFmtId="168" fontId="160" fillId="32" borderId="0" xfId="0" applyNumberFormat="1" applyFont="1" applyFill="1" applyBorder="1" applyAlignment="1" applyProtection="1">
      <alignment horizontal="right"/>
    </xf>
    <xf numFmtId="168" fontId="302" fillId="32" borderId="0" xfId="0" applyNumberFormat="1" applyFont="1" applyFill="1" applyBorder="1" applyAlignment="1" applyProtection="1">
      <alignment horizontal="center"/>
    </xf>
    <xf numFmtId="168" fontId="303" fillId="32" borderId="0" xfId="0" applyNumberFormat="1" applyFont="1" applyFill="1" applyBorder="1" applyAlignment="1" applyProtection="1">
      <alignment horizontal="center"/>
    </xf>
    <xf numFmtId="168" fontId="184" fillId="32" borderId="0" xfId="0" applyNumberFormat="1" applyFont="1" applyFill="1" applyBorder="1" applyProtection="1"/>
    <xf numFmtId="168" fontId="304" fillId="32" borderId="0" xfId="0" applyNumberFormat="1" applyFont="1" applyFill="1" applyBorder="1" applyAlignment="1" applyProtection="1">
      <alignment horizontal="center"/>
    </xf>
    <xf numFmtId="171" fontId="305" fillId="17" borderId="254" xfId="0" applyNumberFormat="1" applyFont="1" applyFill="1" applyBorder="1" applyAlignment="1" applyProtection="1">
      <alignment horizontal="center"/>
    </xf>
    <xf numFmtId="171" fontId="305" fillId="17" borderId="83" xfId="0" applyNumberFormat="1" applyFont="1" applyFill="1" applyBorder="1" applyAlignment="1" applyProtection="1">
      <alignment horizontal="center"/>
    </xf>
    <xf numFmtId="171" fontId="305" fillId="17" borderId="82" xfId="0" applyNumberFormat="1" applyFont="1" applyFill="1" applyBorder="1" applyAlignment="1" applyProtection="1">
      <alignment horizontal="center"/>
    </xf>
    <xf numFmtId="171" fontId="306" fillId="42" borderId="337" xfId="0" applyNumberFormat="1" applyFont="1" applyFill="1" applyBorder="1" applyProtection="1">
      <protection locked="0"/>
    </xf>
    <xf numFmtId="4" fontId="16" fillId="5" borderId="237" xfId="0" applyNumberFormat="1" applyFont="1" applyFill="1" applyBorder="1" applyAlignment="1" applyProtection="1">
      <alignment horizontal="center"/>
    </xf>
    <xf numFmtId="0" fontId="144" fillId="17" borderId="169" xfId="9" applyFont="1" applyFill="1" applyBorder="1" applyProtection="1"/>
    <xf numFmtId="0" fontId="144" fillId="17" borderId="174" xfId="9" applyFont="1" applyFill="1" applyBorder="1" applyProtection="1"/>
    <xf numFmtId="0" fontId="185" fillId="2" borderId="0" xfId="0" applyFont="1" applyFill="1" applyProtection="1"/>
    <xf numFmtId="0" fontId="307" fillId="43" borderId="0" xfId="0" applyFont="1" applyFill="1" applyProtection="1"/>
    <xf numFmtId="0" fontId="308" fillId="43" borderId="0" xfId="0" applyFont="1" applyFill="1" applyProtection="1"/>
    <xf numFmtId="168" fontId="275" fillId="16" borderId="255" xfId="0" applyNumberFormat="1" applyFont="1" applyFill="1" applyBorder="1" applyProtection="1"/>
    <xf numFmtId="168" fontId="278" fillId="16" borderId="255" xfId="0" applyNumberFormat="1" applyFont="1" applyFill="1" applyBorder="1" applyProtection="1"/>
    <xf numFmtId="0" fontId="309" fillId="16" borderId="196" xfId="0" applyFont="1" applyFill="1" applyBorder="1" applyAlignment="1" applyProtection="1">
      <alignment horizontal="center" vertical="center"/>
    </xf>
    <xf numFmtId="0" fontId="310" fillId="16" borderId="0" xfId="0" applyFont="1" applyFill="1" applyAlignment="1" applyProtection="1">
      <alignment horizontal="center"/>
    </xf>
    <xf numFmtId="0" fontId="311" fillId="16" borderId="0" xfId="0" applyFont="1" applyFill="1" applyAlignment="1" applyProtection="1">
      <alignment horizontal="center"/>
    </xf>
    <xf numFmtId="0" fontId="309" fillId="16" borderId="196" xfId="0" applyFont="1" applyFill="1" applyBorder="1" applyAlignment="1" applyProtection="1">
      <alignment horizontal="center" vertical="center"/>
      <protection locked="0"/>
    </xf>
    <xf numFmtId="38" fontId="90" fillId="5" borderId="47" xfId="10" applyNumberFormat="1" applyFont="1" applyFill="1" applyBorder="1" applyAlignment="1" applyProtection="1"/>
    <xf numFmtId="38" fontId="90" fillId="5" borderId="129" xfId="10" applyNumberFormat="1" applyFont="1" applyFill="1" applyBorder="1" applyAlignment="1" applyProtection="1"/>
    <xf numFmtId="38" fontId="93" fillId="8" borderId="87" xfId="10" applyNumberFormat="1" applyFont="1" applyFill="1" applyBorder="1" applyAlignment="1" applyProtection="1"/>
    <xf numFmtId="38" fontId="90" fillId="5" borderId="50" xfId="10" applyNumberFormat="1" applyFont="1" applyFill="1" applyBorder="1" applyAlignment="1" applyProtection="1"/>
    <xf numFmtId="0" fontId="0" fillId="0" borderId="0" xfId="0" applyFill="1" applyProtection="1"/>
    <xf numFmtId="4" fontId="31" fillId="0" borderId="0" xfId="0" applyNumberFormat="1" applyFont="1" applyFill="1" applyProtection="1"/>
    <xf numFmtId="0" fontId="128" fillId="0" borderId="0" xfId="0" applyFont="1" applyFill="1" applyProtection="1"/>
    <xf numFmtId="0" fontId="0" fillId="0" borderId="0" xfId="0" applyFill="1" applyBorder="1" applyProtection="1"/>
    <xf numFmtId="0" fontId="0" fillId="0" borderId="0" xfId="0" applyFill="1" applyAlignment="1" applyProtection="1">
      <alignment horizontal="center"/>
    </xf>
    <xf numFmtId="0" fontId="7" fillId="0" borderId="0" xfId="9" applyFont="1" applyFill="1" applyProtection="1"/>
    <xf numFmtId="0" fontId="7" fillId="0" borderId="0" xfId="6" applyFont="1" applyFill="1" applyProtection="1"/>
    <xf numFmtId="0" fontId="7" fillId="0" borderId="0" xfId="0" applyFont="1" applyFill="1" applyProtection="1"/>
    <xf numFmtId="0" fontId="185" fillId="0" borderId="0" xfId="0" applyFont="1" applyFill="1" applyProtection="1"/>
    <xf numFmtId="0" fontId="2" fillId="5" borderId="85" xfId="0" applyFont="1" applyFill="1" applyBorder="1" applyAlignment="1">
      <alignment horizontal="center"/>
    </xf>
    <xf numFmtId="0" fontId="2" fillId="5" borderId="85" xfId="0" applyFont="1" applyFill="1" applyBorder="1" applyAlignment="1">
      <alignment horizontal="center" vertical="top"/>
    </xf>
    <xf numFmtId="0" fontId="13" fillId="5" borderId="183" xfId="9" applyFont="1" applyFill="1" applyBorder="1" applyAlignment="1" applyProtection="1">
      <alignment vertical="center"/>
    </xf>
    <xf numFmtId="0" fontId="13" fillId="5" borderId="183" xfId="9" applyFont="1" applyFill="1" applyBorder="1" applyAlignment="1" applyProtection="1">
      <alignment horizontal="left" vertical="center"/>
    </xf>
    <xf numFmtId="0" fontId="12" fillId="5" borderId="183" xfId="6" applyFont="1" applyFill="1" applyBorder="1" applyAlignment="1" applyProtection="1">
      <alignment horizontal="left" vertical="center"/>
    </xf>
    <xf numFmtId="0" fontId="7" fillId="5" borderId="184" xfId="6" applyFont="1" applyFill="1" applyBorder="1" applyProtection="1"/>
    <xf numFmtId="0" fontId="2" fillId="17" borderId="197" xfId="0" applyFont="1" applyFill="1" applyBorder="1" applyAlignment="1" applyProtection="1"/>
    <xf numFmtId="0" fontId="3" fillId="17" borderId="146" xfId="0" applyFont="1" applyFill="1" applyBorder="1" applyAlignment="1" applyProtection="1"/>
    <xf numFmtId="0" fontId="154" fillId="17" borderId="146" xfId="0" applyFont="1" applyFill="1" applyBorder="1" applyAlignment="1" applyProtection="1"/>
    <xf numFmtId="0" fontId="312" fillId="17" borderId="146" xfId="0" applyFont="1" applyFill="1" applyBorder="1" applyAlignment="1" applyProtection="1"/>
    <xf numFmtId="0" fontId="70" fillId="17" borderId="146" xfId="0" applyFont="1" applyFill="1" applyBorder="1" applyAlignment="1" applyProtection="1"/>
    <xf numFmtId="0" fontId="313" fillId="17" borderId="146" xfId="0" applyFont="1" applyFill="1" applyBorder="1" applyAlignment="1" applyProtection="1"/>
    <xf numFmtId="0" fontId="17" fillId="17" borderId="146" xfId="0" applyFont="1" applyFill="1" applyBorder="1" applyAlignment="1" applyProtection="1"/>
    <xf numFmtId="0" fontId="75" fillId="17" borderId="198" xfId="0" applyFont="1" applyFill="1" applyBorder="1" applyProtection="1"/>
    <xf numFmtId="0" fontId="157" fillId="17" borderId="196" xfId="0" applyFont="1" applyFill="1" applyBorder="1" applyAlignment="1" applyProtection="1">
      <alignment horizontal="center"/>
    </xf>
    <xf numFmtId="0" fontId="13" fillId="5" borderId="162" xfId="9" applyFont="1" applyFill="1" applyBorder="1" applyAlignment="1" applyProtection="1">
      <alignment vertical="center"/>
    </xf>
    <xf numFmtId="0" fontId="13" fillId="5" borderId="162" xfId="9" applyFont="1" applyFill="1" applyBorder="1" applyAlignment="1" applyProtection="1">
      <alignment horizontal="left" vertical="center"/>
    </xf>
    <xf numFmtId="0" fontId="7" fillId="5" borderId="84" xfId="9" applyFont="1" applyFill="1" applyBorder="1" applyProtection="1"/>
    <xf numFmtId="168" fontId="3" fillId="17" borderId="13" xfId="0" applyNumberFormat="1" applyFont="1" applyFill="1" applyBorder="1" applyAlignment="1" applyProtection="1">
      <alignment horizontal="right"/>
      <protection locked="0"/>
    </xf>
    <xf numFmtId="168" fontId="3" fillId="16" borderId="13" xfId="0" applyNumberFormat="1" applyFont="1" applyFill="1" applyBorder="1" applyAlignment="1" applyProtection="1">
      <alignment horizontal="right"/>
      <protection locked="0"/>
    </xf>
    <xf numFmtId="171" fontId="314" fillId="2" borderId="0" xfId="0" applyNumberFormat="1" applyFont="1" applyFill="1" applyBorder="1" applyAlignment="1" applyProtection="1">
      <alignment horizontal="center"/>
    </xf>
    <xf numFmtId="4" fontId="2" fillId="17" borderId="148" xfId="0" applyNumberFormat="1" applyFont="1" applyFill="1" applyBorder="1" applyAlignment="1" applyProtection="1">
      <alignment horizontal="center"/>
    </xf>
    <xf numFmtId="4" fontId="62" fillId="21" borderId="223" xfId="0" applyNumberFormat="1" applyFont="1" applyFill="1" applyBorder="1" applyAlignment="1" applyProtection="1">
      <alignment horizontal="center" vertical="top"/>
    </xf>
    <xf numFmtId="4" fontId="62" fillId="21" borderId="196" xfId="0" applyNumberFormat="1" applyFont="1" applyFill="1" applyBorder="1" applyAlignment="1" applyProtection="1">
      <alignment horizontal="center" vertical="top"/>
    </xf>
    <xf numFmtId="171" fontId="2" fillId="17" borderId="251" xfId="0" applyNumberFormat="1" applyFont="1" applyFill="1" applyBorder="1" applyAlignment="1" applyProtection="1">
      <alignment horizontal="center"/>
    </xf>
    <xf numFmtId="4" fontId="22" fillId="17" borderId="148" xfId="0" applyNumberFormat="1" applyFont="1" applyFill="1" applyBorder="1" applyAlignment="1" applyProtection="1">
      <alignment horizontal="center" vertical="center"/>
    </xf>
    <xf numFmtId="4" fontId="22" fillId="17" borderId="251" xfId="0" applyNumberFormat="1" applyFont="1" applyFill="1" applyBorder="1" applyAlignment="1" applyProtection="1">
      <alignment horizontal="center" vertical="center"/>
    </xf>
    <xf numFmtId="4" fontId="315" fillId="2" borderId="0" xfId="0" applyNumberFormat="1" applyFont="1" applyFill="1" applyAlignment="1" applyProtection="1">
      <alignment horizontal="right"/>
    </xf>
    <xf numFmtId="4" fontId="315" fillId="2" borderId="0" xfId="0" applyNumberFormat="1" applyFont="1" applyFill="1" applyAlignment="1" applyProtection="1">
      <alignment horizontal="left"/>
    </xf>
    <xf numFmtId="4" fontId="314" fillId="2" borderId="0" xfId="0" applyNumberFormat="1" applyFont="1" applyFill="1" applyBorder="1" applyAlignment="1" applyProtection="1">
      <alignment horizontal="right"/>
    </xf>
    <xf numFmtId="0" fontId="140" fillId="16" borderId="87" xfId="0" applyFont="1" applyFill="1" applyBorder="1" applyAlignment="1" applyProtection="1"/>
    <xf numFmtId="168" fontId="278" fillId="16" borderId="250" xfId="0" applyNumberFormat="1" applyFont="1" applyFill="1" applyBorder="1" applyProtection="1"/>
    <xf numFmtId="0" fontId="8" fillId="16" borderId="146" xfId="0" applyFont="1" applyFill="1" applyBorder="1" applyAlignment="1" applyProtection="1"/>
    <xf numFmtId="0" fontId="8" fillId="16" borderId="146" xfId="0" applyFont="1" applyFill="1" applyBorder="1" applyAlignment="1" applyProtection="1">
      <alignment horizontal="center"/>
    </xf>
    <xf numFmtId="0" fontId="192" fillId="16" borderId="146" xfId="0" applyFont="1" applyFill="1" applyBorder="1" applyAlignment="1" applyProtection="1"/>
    <xf numFmtId="0" fontId="6" fillId="16" borderId="147" xfId="0" applyFont="1" applyFill="1" applyBorder="1" applyAlignment="1" applyProtection="1"/>
    <xf numFmtId="16" fontId="6" fillId="16" borderId="98" xfId="0" applyNumberFormat="1" applyFont="1" applyFill="1" applyBorder="1" applyAlignment="1" applyProtection="1">
      <alignment horizontal="center"/>
    </xf>
    <xf numFmtId="0" fontId="7" fillId="2" borderId="220" xfId="9" applyFont="1" applyFill="1" applyBorder="1" applyProtection="1"/>
    <xf numFmtId="168" fontId="2" fillId="0" borderId="220" xfId="10" applyNumberFormat="1" applyFont="1" applyBorder="1" applyAlignment="1" applyProtection="1"/>
    <xf numFmtId="168" fontId="73" fillId="0" borderId="220" xfId="10" applyNumberFormat="1" applyFont="1" applyBorder="1" applyAlignment="1" applyProtection="1"/>
    <xf numFmtId="0" fontId="7" fillId="2" borderId="219" xfId="9" applyFont="1" applyFill="1" applyBorder="1" applyProtection="1"/>
    <xf numFmtId="168" fontId="2" fillId="25" borderId="197" xfId="10" applyNumberFormat="1" applyFont="1" applyFill="1" applyBorder="1" applyAlignment="1" applyProtection="1"/>
    <xf numFmtId="168" fontId="73" fillId="25" borderId="198" xfId="10" applyNumberFormat="1" applyFont="1" applyFill="1" applyBorder="1" applyAlignment="1" applyProtection="1"/>
    <xf numFmtId="168" fontId="73" fillId="0" borderId="221" xfId="10" applyNumberFormat="1" applyFont="1" applyBorder="1" applyAlignment="1" applyProtection="1">
      <alignment horizontal="center"/>
    </xf>
    <xf numFmtId="165" fontId="12" fillId="44" borderId="196" xfId="0" applyNumberFormat="1" applyFont="1" applyFill="1" applyBorder="1" applyAlignment="1" applyProtection="1">
      <alignment horizontal="center" vertical="center"/>
    </xf>
    <xf numFmtId="164" fontId="2" fillId="0" borderId="220" xfId="10" applyNumberFormat="1" applyFont="1" applyBorder="1" applyAlignment="1" applyProtection="1"/>
    <xf numFmtId="164" fontId="73" fillId="0" borderId="220" xfId="10" applyNumberFormat="1" applyFont="1" applyBorder="1" applyAlignment="1" applyProtection="1"/>
    <xf numFmtId="38" fontId="8" fillId="21" borderId="8" xfId="10" applyNumberFormat="1" applyFont="1" applyFill="1" applyBorder="1" applyAlignment="1" applyProtection="1">
      <alignment horizontal="center" vertical="center"/>
    </xf>
    <xf numFmtId="164" fontId="22" fillId="21" borderId="124" xfId="10" applyNumberFormat="1" applyFont="1" applyFill="1" applyBorder="1" applyAlignment="1" applyProtection="1">
      <alignment horizontal="center" vertical="center" wrapText="1"/>
    </xf>
    <xf numFmtId="164" fontId="29" fillId="21" borderId="192" xfId="10" applyNumberFormat="1" applyFont="1" applyFill="1" applyBorder="1" applyAlignment="1" applyProtection="1">
      <alignment horizontal="center" vertical="center" wrapText="1"/>
    </xf>
    <xf numFmtId="164" fontId="2" fillId="21" borderId="124" xfId="10" applyNumberFormat="1" applyFont="1" applyFill="1" applyBorder="1" applyAlignment="1" applyProtection="1">
      <alignment horizontal="center" vertical="center"/>
    </xf>
    <xf numFmtId="164" fontId="2" fillId="21" borderId="184" xfId="10" applyNumberFormat="1" applyFont="1" applyFill="1" applyBorder="1" applyAlignment="1" applyProtection="1">
      <alignment horizontal="center" vertical="center"/>
    </xf>
    <xf numFmtId="164" fontId="29" fillId="21" borderId="184" xfId="10" applyNumberFormat="1" applyFont="1" applyFill="1" applyBorder="1" applyAlignment="1" applyProtection="1">
      <alignment horizontal="center" vertical="center" wrapText="1"/>
    </xf>
    <xf numFmtId="38" fontId="8" fillId="45" borderId="82" xfId="10" applyNumberFormat="1" applyFont="1" applyFill="1" applyBorder="1" applyAlignment="1" applyProtection="1">
      <alignment horizontal="center" vertical="center"/>
    </xf>
    <xf numFmtId="38" fontId="8" fillId="45" borderId="8" xfId="10" applyNumberFormat="1" applyFont="1" applyFill="1" applyBorder="1" applyAlignment="1" applyProtection="1">
      <alignment horizontal="center" vertical="center"/>
    </xf>
    <xf numFmtId="38" fontId="2" fillId="45" borderId="190" xfId="10" applyNumberFormat="1" applyFont="1" applyFill="1" applyBorder="1" applyAlignment="1" applyProtection="1">
      <alignment horizontal="center" vertical="center"/>
    </xf>
    <xf numFmtId="166" fontId="2" fillId="45" borderId="256" xfId="10" applyNumberFormat="1" applyFont="1" applyFill="1" applyBorder="1" applyAlignment="1" applyProtection="1">
      <alignment horizontal="center" vertical="center"/>
    </xf>
    <xf numFmtId="164" fontId="22" fillId="45" borderId="124" xfId="10" applyNumberFormat="1" applyFont="1" applyFill="1" applyBorder="1" applyAlignment="1" applyProtection="1">
      <alignment horizontal="center" vertical="center" wrapText="1"/>
    </xf>
    <xf numFmtId="164" fontId="29" fillId="45" borderId="184" xfId="10" applyNumberFormat="1" applyFont="1" applyFill="1" applyBorder="1" applyAlignment="1" applyProtection="1">
      <alignment horizontal="center" vertical="center" wrapText="1"/>
    </xf>
    <xf numFmtId="164" fontId="2" fillId="45" borderId="124" xfId="10" applyNumberFormat="1" applyFont="1" applyFill="1" applyBorder="1" applyAlignment="1" applyProtection="1">
      <alignment horizontal="center" vertical="center"/>
    </xf>
    <xf numFmtId="164" fontId="2" fillId="45" borderId="184" xfId="10" applyNumberFormat="1" applyFont="1" applyFill="1" applyBorder="1" applyAlignment="1" applyProtection="1">
      <alignment horizontal="center" vertical="center"/>
    </xf>
    <xf numFmtId="164" fontId="2" fillId="45" borderId="124" xfId="10" applyNumberFormat="1" applyFont="1" applyFill="1" applyBorder="1" applyAlignment="1" applyProtection="1">
      <alignment horizontal="center" vertical="center" wrapText="1"/>
    </xf>
    <xf numFmtId="164" fontId="6" fillId="45" borderId="184" xfId="10" applyNumberFormat="1" applyFont="1" applyFill="1" applyBorder="1" applyAlignment="1" applyProtection="1">
      <alignment horizontal="center" vertical="center" wrapText="1"/>
    </xf>
    <xf numFmtId="38" fontId="24" fillId="45" borderId="189" xfId="10" applyNumberFormat="1" applyFont="1" applyFill="1" applyBorder="1" applyAlignment="1" applyProtection="1"/>
    <xf numFmtId="167" fontId="8" fillId="45" borderId="98" xfId="10" applyNumberFormat="1" applyFont="1" applyFill="1" applyBorder="1" applyAlignment="1" applyProtection="1">
      <alignment horizontal="center" vertical="center"/>
    </xf>
    <xf numFmtId="168" fontId="2" fillId="45" borderId="96" xfId="10" applyNumberFormat="1" applyFont="1" applyFill="1" applyBorder="1" applyAlignment="1" applyProtection="1">
      <alignment horizontal="right"/>
    </xf>
    <xf numFmtId="168" fontId="3" fillId="45" borderId="99" xfId="10" applyNumberFormat="1" applyFont="1" applyFill="1" applyBorder="1" applyAlignment="1" applyProtection="1">
      <alignment horizontal="right"/>
    </xf>
    <xf numFmtId="164" fontId="13" fillId="21" borderId="184" xfId="10" applyNumberFormat="1" applyFont="1" applyFill="1" applyBorder="1" applyAlignment="1" applyProtection="1">
      <alignment horizontal="center" vertical="center" wrapText="1"/>
    </xf>
    <xf numFmtId="38" fontId="24" fillId="21" borderId="189" xfId="10" applyNumberFormat="1" applyFont="1" applyFill="1" applyBorder="1" applyAlignment="1" applyProtection="1"/>
    <xf numFmtId="167" fontId="24" fillId="21" borderId="98" xfId="10" applyNumberFormat="1" applyFont="1" applyFill="1" applyBorder="1" applyAlignment="1" applyProtection="1">
      <alignment horizontal="center"/>
    </xf>
    <xf numFmtId="164" fontId="13" fillId="45" borderId="184" xfId="10" applyNumberFormat="1" applyFont="1" applyFill="1" applyBorder="1" applyAlignment="1" applyProtection="1">
      <alignment horizontal="center" vertical="center" wrapText="1"/>
    </xf>
    <xf numFmtId="167" fontId="58" fillId="45" borderId="98" xfId="10" applyNumberFormat="1" applyFont="1" applyFill="1" applyBorder="1" applyAlignment="1" applyProtection="1">
      <alignment horizontal="center" vertical="center"/>
    </xf>
    <xf numFmtId="0" fontId="26" fillId="16" borderId="151" xfId="9" applyFont="1" applyFill="1" applyBorder="1" applyProtection="1"/>
    <xf numFmtId="0" fontId="7" fillId="16" borderId="153" xfId="9" applyFont="1" applyFill="1" applyBorder="1" applyProtection="1"/>
    <xf numFmtId="0" fontId="54" fillId="16" borderId="187" xfId="9" applyFont="1" applyFill="1" applyBorder="1" applyProtection="1"/>
    <xf numFmtId="0" fontId="7" fillId="16" borderId="205" xfId="9" applyFont="1" applyFill="1" applyBorder="1" applyProtection="1"/>
    <xf numFmtId="0" fontId="59" fillId="16" borderId="187" xfId="9" applyFont="1" applyFill="1" applyBorder="1" applyProtection="1"/>
    <xf numFmtId="0" fontId="71" fillId="16" borderId="151" xfId="9" applyFont="1" applyFill="1" applyBorder="1" applyProtection="1"/>
    <xf numFmtId="0" fontId="2" fillId="46" borderId="87" xfId="0" applyFont="1" applyFill="1" applyBorder="1" applyProtection="1"/>
    <xf numFmtId="0" fontId="70" fillId="46" borderId="146" xfId="0" applyFont="1" applyFill="1" applyBorder="1" applyProtection="1"/>
    <xf numFmtId="0" fontId="48" fillId="46" borderId="146" xfId="0" applyFont="1" applyFill="1" applyBorder="1" applyProtection="1"/>
    <xf numFmtId="181" fontId="74" fillId="46" borderId="147" xfId="0" applyNumberFormat="1" applyFont="1" applyFill="1" applyBorder="1" applyAlignment="1" applyProtection="1">
      <alignment horizontal="left"/>
    </xf>
    <xf numFmtId="0" fontId="2" fillId="46" borderId="88" xfId="0" applyFont="1" applyFill="1" applyBorder="1" applyAlignment="1" applyProtection="1">
      <alignment horizontal="center"/>
    </xf>
    <xf numFmtId="169" fontId="70" fillId="46" borderId="148" xfId="0" applyNumberFormat="1" applyFont="1" applyFill="1" applyBorder="1" applyAlignment="1" applyProtection="1">
      <alignment horizontal="center"/>
    </xf>
    <xf numFmtId="168" fontId="70" fillId="46" borderId="93" xfId="0" applyNumberFormat="1" applyFont="1" applyFill="1" applyBorder="1" applyProtection="1"/>
    <xf numFmtId="168" fontId="70" fillId="46" borderId="148" xfId="0" applyNumberFormat="1" applyFont="1" applyFill="1" applyBorder="1" applyProtection="1"/>
    <xf numFmtId="169" fontId="70" fillId="46" borderId="93" xfId="0" applyNumberFormat="1" applyFont="1" applyFill="1" applyBorder="1" applyAlignment="1" applyProtection="1">
      <alignment horizontal="center"/>
    </xf>
    <xf numFmtId="168" fontId="70" fillId="46" borderId="148" xfId="0" applyNumberFormat="1" applyFont="1" applyFill="1" applyBorder="1" applyProtection="1">
      <protection locked="0"/>
    </xf>
    <xf numFmtId="168" fontId="70" fillId="46" borderId="93" xfId="0" applyNumberFormat="1" applyFont="1" applyFill="1" applyBorder="1" applyProtection="1">
      <protection locked="0"/>
    </xf>
    <xf numFmtId="4" fontId="3" fillId="17" borderId="172" xfId="0" applyNumberFormat="1" applyFont="1" applyFill="1" applyBorder="1" applyAlignment="1" applyProtection="1">
      <alignment vertical="center"/>
    </xf>
    <xf numFmtId="4" fontId="3" fillId="17" borderId="173" xfId="0" applyNumberFormat="1" applyFont="1" applyFill="1" applyBorder="1" applyAlignment="1" applyProtection="1">
      <alignment vertical="center"/>
    </xf>
    <xf numFmtId="0" fontId="137" fillId="17" borderId="174" xfId="0" applyFont="1" applyFill="1" applyBorder="1" applyAlignment="1" applyProtection="1">
      <alignment vertical="top"/>
    </xf>
    <xf numFmtId="0" fontId="147" fillId="17" borderId="175" xfId="0" applyFont="1" applyFill="1" applyBorder="1" applyAlignment="1" applyProtection="1">
      <alignment vertical="top"/>
    </xf>
    <xf numFmtId="4" fontId="2" fillId="16" borderId="237" xfId="0" applyNumberFormat="1" applyFont="1" applyFill="1" applyBorder="1" applyAlignment="1" applyProtection="1"/>
    <xf numFmtId="178" fontId="16" fillId="16" borderId="240" xfId="0" applyNumberFormat="1" applyFont="1" applyFill="1" applyBorder="1" applyAlignment="1" applyProtection="1">
      <alignment horizontal="center"/>
    </xf>
    <xf numFmtId="0" fontId="2" fillId="0" borderId="64" xfId="0" applyFont="1" applyFill="1" applyBorder="1" applyAlignment="1" applyProtection="1">
      <alignment horizontal="center"/>
    </xf>
    <xf numFmtId="0" fontId="2" fillId="0" borderId="65" xfId="0" applyFont="1" applyFill="1" applyBorder="1" applyAlignment="1" applyProtection="1">
      <alignment horizontal="center"/>
    </xf>
    <xf numFmtId="0" fontId="2" fillId="0" borderId="66" xfId="0" applyFont="1" applyFill="1" applyBorder="1" applyAlignment="1" applyProtection="1">
      <alignment horizontal="center"/>
    </xf>
    <xf numFmtId="168" fontId="3" fillId="0" borderId="73" xfId="0" applyNumberFormat="1" applyFont="1" applyFill="1" applyBorder="1" applyProtection="1"/>
    <xf numFmtId="168" fontId="3" fillId="0" borderId="72" xfId="0" applyNumberFormat="1" applyFont="1" applyFill="1" applyBorder="1" applyProtection="1"/>
    <xf numFmtId="4" fontId="190" fillId="17" borderId="81" xfId="0" applyNumberFormat="1" applyFont="1" applyFill="1" applyBorder="1" applyAlignment="1" applyProtection="1">
      <alignment horizontal="center"/>
    </xf>
    <xf numFmtId="4" fontId="190" fillId="17" borderId="242" xfId="0" applyNumberFormat="1" applyFont="1" applyFill="1" applyBorder="1" applyAlignment="1" applyProtection="1"/>
    <xf numFmtId="4" fontId="62" fillId="17" borderId="240" xfId="0" applyNumberFormat="1" applyFont="1" applyFill="1" applyBorder="1" applyAlignment="1" applyProtection="1"/>
    <xf numFmtId="4" fontId="190" fillId="17" borderId="237" xfId="0" applyNumberFormat="1" applyFont="1" applyFill="1" applyBorder="1" applyAlignment="1" applyProtection="1"/>
    <xf numFmtId="4" fontId="62" fillId="17" borderId="238" xfId="0" applyNumberFormat="1" applyFont="1" applyFill="1" applyBorder="1" applyAlignment="1" applyProtection="1"/>
    <xf numFmtId="4" fontId="190" fillId="17" borderId="239" xfId="0" applyNumberFormat="1" applyFont="1" applyFill="1" applyBorder="1" applyAlignment="1" applyProtection="1"/>
    <xf numFmtId="0" fontId="48" fillId="17" borderId="85" xfId="0" applyFont="1" applyFill="1" applyBorder="1" applyAlignment="1" applyProtection="1">
      <alignment horizontal="center"/>
    </xf>
    <xf numFmtId="4" fontId="30" fillId="17" borderId="72" xfId="0" applyNumberFormat="1" applyFont="1" applyFill="1" applyBorder="1" applyAlignment="1" applyProtection="1">
      <alignment vertical="center"/>
    </xf>
    <xf numFmtId="4" fontId="30" fillId="17" borderId="73" xfId="0" applyNumberFormat="1" applyFont="1" applyFill="1" applyBorder="1" applyAlignment="1" applyProtection="1">
      <alignment vertical="center"/>
    </xf>
    <xf numFmtId="4" fontId="30" fillId="17" borderId="74" xfId="0" applyNumberFormat="1" applyFont="1" applyFill="1" applyBorder="1" applyAlignment="1" applyProtection="1">
      <alignment vertical="center"/>
    </xf>
    <xf numFmtId="4" fontId="30" fillId="17" borderId="75" xfId="0" applyNumberFormat="1" applyFont="1" applyFill="1" applyBorder="1" applyAlignment="1" applyProtection="1">
      <alignment vertical="center"/>
    </xf>
    <xf numFmtId="4" fontId="30" fillId="17" borderId="76" xfId="0" applyNumberFormat="1" applyFont="1" applyFill="1" applyBorder="1" applyAlignment="1" applyProtection="1">
      <alignment vertical="center"/>
    </xf>
    <xf numFmtId="0" fontId="48" fillId="17" borderId="231" xfId="0" applyFont="1" applyFill="1" applyBorder="1" applyAlignment="1" applyProtection="1">
      <alignment horizontal="center" vertical="top"/>
    </xf>
    <xf numFmtId="4" fontId="6" fillId="17" borderId="228" xfId="0" applyNumberFormat="1" applyFont="1" applyFill="1" applyBorder="1" applyAlignment="1" applyProtection="1">
      <alignment horizontal="center" vertical="top"/>
    </xf>
    <xf numFmtId="4" fontId="6" fillId="17" borderId="232" xfId="0" applyNumberFormat="1" applyFont="1" applyFill="1" applyBorder="1" applyAlignment="1" applyProtection="1">
      <alignment horizontal="center" vertical="top"/>
    </xf>
    <xf numFmtId="4" fontId="6" fillId="17" borderId="233" xfId="0" applyNumberFormat="1" applyFont="1" applyFill="1" applyBorder="1" applyAlignment="1" applyProtection="1">
      <alignment horizontal="center"/>
    </xf>
    <xf numFmtId="4" fontId="6" fillId="17" borderId="232" xfId="0" applyNumberFormat="1" applyFont="1" applyFill="1" applyBorder="1" applyAlignment="1" applyProtection="1">
      <alignment horizontal="center"/>
    </xf>
    <xf numFmtId="4" fontId="6" fillId="17" borderId="233" xfId="0" applyNumberFormat="1" applyFont="1" applyFill="1" applyBorder="1" applyAlignment="1" applyProtection="1">
      <alignment horizontal="center" vertical="top"/>
    </xf>
    <xf numFmtId="4" fontId="6" fillId="17" borderId="229" xfId="0" applyNumberFormat="1" applyFont="1" applyFill="1" applyBorder="1" applyAlignment="1" applyProtection="1">
      <alignment horizontal="center" vertical="top"/>
    </xf>
    <xf numFmtId="170" fontId="6" fillId="38" borderId="88" xfId="0" applyNumberFormat="1" applyFont="1" applyFill="1" applyBorder="1" applyAlignment="1" applyProtection="1">
      <alignment horizontal="center"/>
    </xf>
    <xf numFmtId="168" fontId="2" fillId="38" borderId="148" xfId="0" applyNumberFormat="1" applyFont="1" applyFill="1" applyBorder="1" applyAlignment="1" applyProtection="1"/>
    <xf numFmtId="168" fontId="2" fillId="38" borderId="149" xfId="0" applyNumberFormat="1" applyFont="1" applyFill="1" applyBorder="1" applyAlignment="1" applyProtection="1"/>
    <xf numFmtId="168" fontId="2" fillId="38" borderId="150" xfId="0" applyNumberFormat="1" applyFont="1" applyFill="1" applyBorder="1" applyAlignment="1" applyProtection="1"/>
    <xf numFmtId="168" fontId="2" fillId="38" borderId="93" xfId="0" applyNumberFormat="1" applyFont="1" applyFill="1" applyBorder="1" applyAlignment="1" applyProtection="1"/>
    <xf numFmtId="4" fontId="30" fillId="38" borderId="8" xfId="0" applyNumberFormat="1" applyFont="1" applyFill="1" applyBorder="1" applyAlignment="1" applyProtection="1">
      <alignment vertical="center"/>
    </xf>
    <xf numFmtId="4" fontId="30" fillId="38" borderId="9" xfId="0" applyNumberFormat="1" applyFont="1" applyFill="1" applyBorder="1" applyAlignment="1" applyProtection="1">
      <alignment vertical="center"/>
    </xf>
    <xf numFmtId="4" fontId="30" fillId="38" borderId="0" xfId="0" applyNumberFormat="1" applyFont="1" applyFill="1" applyBorder="1" applyAlignment="1" applyProtection="1">
      <alignment vertical="center"/>
    </xf>
    <xf numFmtId="4" fontId="30" fillId="38" borderId="241" xfId="0" applyNumberFormat="1" applyFont="1" applyFill="1" applyBorder="1" applyAlignment="1" applyProtection="1">
      <alignment vertical="center"/>
    </xf>
    <xf numFmtId="4" fontId="30" fillId="38" borderId="10" xfId="0" applyNumberFormat="1" applyFont="1" applyFill="1" applyBorder="1" applyAlignment="1" applyProtection="1">
      <alignment vertical="center"/>
    </xf>
    <xf numFmtId="4" fontId="2" fillId="38" borderId="77" xfId="0" applyNumberFormat="1" applyFont="1" applyFill="1" applyBorder="1" applyAlignment="1" applyProtection="1">
      <alignment vertical="top"/>
    </xf>
    <xf numFmtId="4" fontId="3" fillId="38" borderId="78" xfId="0" applyNumberFormat="1" applyFont="1" applyFill="1" applyBorder="1" applyAlignment="1" applyProtection="1">
      <alignment horizontal="left" vertical="top"/>
    </xf>
    <xf numFmtId="4" fontId="2" fillId="38" borderId="11" xfId="0" applyNumberFormat="1" applyFont="1" applyFill="1" applyBorder="1" applyAlignment="1" applyProtection="1">
      <alignment vertical="top"/>
    </xf>
    <xf numFmtId="4" fontId="3" fillId="38" borderId="11" xfId="0" applyNumberFormat="1" applyFont="1" applyFill="1" applyBorder="1" applyAlignment="1" applyProtection="1">
      <alignment horizontal="left"/>
    </xf>
    <xf numFmtId="4" fontId="6" fillId="38" borderId="79" xfId="0" applyNumberFormat="1" applyFont="1" applyFill="1" applyBorder="1" applyAlignment="1" applyProtection="1"/>
    <xf numFmtId="4" fontId="3" fillId="38" borderId="80" xfId="0" applyNumberFormat="1" applyFont="1" applyFill="1" applyBorder="1" applyAlignment="1" applyProtection="1">
      <alignment horizontal="left"/>
    </xf>
    <xf numFmtId="16" fontId="6" fillId="38" borderId="70" xfId="0" applyNumberFormat="1" applyFont="1" applyFill="1" applyBorder="1" applyAlignment="1" applyProtection="1">
      <alignment horizontal="center"/>
    </xf>
    <xf numFmtId="168" fontId="2" fillId="38" borderId="3" xfId="0" applyNumberFormat="1" applyFont="1" applyFill="1" applyBorder="1" applyProtection="1"/>
    <xf numFmtId="168" fontId="2" fillId="38" borderId="4" xfId="0" applyNumberFormat="1" applyFont="1" applyFill="1" applyBorder="1" applyProtection="1"/>
    <xf numFmtId="168" fontId="2" fillId="38" borderId="6" xfId="0" applyNumberFormat="1" applyFont="1" applyFill="1" applyBorder="1" applyProtection="1"/>
    <xf numFmtId="168" fontId="2" fillId="38" borderId="14" xfId="0" applyNumberFormat="1" applyFont="1" applyFill="1" applyBorder="1" applyProtection="1"/>
    <xf numFmtId="168" fontId="2" fillId="38" borderId="7" xfId="0" applyNumberFormat="1" applyFont="1" applyFill="1" applyBorder="1" applyProtection="1"/>
    <xf numFmtId="169" fontId="3" fillId="0" borderId="91" xfId="0" applyNumberFormat="1" applyFont="1" applyFill="1" applyBorder="1" applyAlignment="1" applyProtection="1">
      <alignment horizontal="center"/>
    </xf>
    <xf numFmtId="0" fontId="6" fillId="38" borderId="256" xfId="0" applyFont="1" applyFill="1" applyBorder="1" applyAlignment="1" applyProtection="1">
      <alignment horizontal="center"/>
    </xf>
    <xf numFmtId="168" fontId="2" fillId="38" borderId="257" xfId="0" applyNumberFormat="1" applyFont="1" applyFill="1" applyBorder="1" applyProtection="1"/>
    <xf numFmtId="168" fontId="2" fillId="38" borderId="230" xfId="0" applyNumberFormat="1" applyFont="1" applyFill="1" applyBorder="1" applyProtection="1"/>
    <xf numFmtId="168" fontId="2" fillId="38" borderId="258" xfId="0" applyNumberFormat="1" applyFont="1" applyFill="1" applyBorder="1" applyProtection="1"/>
    <xf numFmtId="168" fontId="2" fillId="38" borderId="259" xfId="0" applyNumberFormat="1" applyFont="1" applyFill="1" applyBorder="1" applyProtection="1"/>
    <xf numFmtId="168" fontId="2" fillId="38" borderId="258" xfId="0" applyNumberFormat="1" applyFont="1" applyFill="1" applyBorder="1" applyProtection="1"/>
    <xf numFmtId="0" fontId="6" fillId="0" borderId="260" xfId="0" applyFont="1" applyFill="1" applyBorder="1" applyAlignment="1" applyProtection="1">
      <alignment horizontal="center"/>
    </xf>
    <xf numFmtId="168" fontId="2" fillId="0" borderId="261" xfId="0" applyNumberFormat="1" applyFont="1" applyFill="1" applyBorder="1" applyProtection="1"/>
    <xf numFmtId="168" fontId="2" fillId="0" borderId="262" xfId="0" applyNumberFormat="1" applyFont="1" applyFill="1" applyBorder="1" applyProtection="1"/>
    <xf numFmtId="168" fontId="2" fillId="0" borderId="263" xfId="0" applyNumberFormat="1" applyFont="1" applyFill="1" applyBorder="1" applyProtection="1"/>
    <xf numFmtId="168" fontId="2" fillId="0" borderId="264" xfId="0" applyNumberFormat="1" applyFont="1" applyFill="1" applyBorder="1" applyProtection="1"/>
    <xf numFmtId="4" fontId="12" fillId="0" borderId="265" xfId="0" applyNumberFormat="1" applyFont="1" applyFill="1" applyBorder="1" applyAlignment="1" applyProtection="1">
      <alignment horizontal="center"/>
    </xf>
    <xf numFmtId="4" fontId="16" fillId="14" borderId="266" xfId="0" applyNumberFormat="1" applyFont="1" applyFill="1" applyBorder="1" applyAlignment="1" applyProtection="1">
      <alignment horizontal="center"/>
    </xf>
    <xf numFmtId="4" fontId="12" fillId="0" borderId="259" xfId="0" applyNumberFormat="1" applyFont="1" applyFill="1" applyBorder="1" applyAlignment="1" applyProtection="1">
      <alignment horizontal="center"/>
    </xf>
    <xf numFmtId="4" fontId="194" fillId="17" borderId="267" xfId="0" applyNumberFormat="1" applyFont="1" applyFill="1" applyBorder="1" applyAlignment="1" applyProtection="1">
      <alignment horizontal="left"/>
    </xf>
    <xf numFmtId="4" fontId="190" fillId="17" borderId="89" xfId="0" applyNumberFormat="1" applyFont="1" applyFill="1" applyBorder="1" applyAlignment="1" applyProtection="1">
      <alignment horizontal="center"/>
    </xf>
    <xf numFmtId="4" fontId="190" fillId="17" borderId="193" xfId="0" applyNumberFormat="1" applyFont="1" applyFill="1" applyBorder="1" applyAlignment="1" applyProtection="1">
      <alignment horizontal="center"/>
    </xf>
    <xf numFmtId="0" fontId="316" fillId="16" borderId="268" xfId="0" applyFont="1" applyFill="1" applyBorder="1" applyAlignment="1" applyProtection="1">
      <alignment horizontal="center"/>
    </xf>
    <xf numFmtId="0" fontId="278" fillId="16" borderId="85" xfId="0" applyFont="1" applyFill="1" applyBorder="1" applyAlignment="1" applyProtection="1">
      <alignment horizontal="center" vertical="center"/>
    </xf>
    <xf numFmtId="180" fontId="317" fillId="16" borderId="231" xfId="0" applyNumberFormat="1" applyFont="1" applyFill="1" applyBorder="1" applyAlignment="1" applyProtection="1">
      <alignment horizontal="center" vertical="top"/>
    </xf>
    <xf numFmtId="0" fontId="189" fillId="5" borderId="268" xfId="0" applyFont="1" applyFill="1" applyBorder="1" applyAlignment="1" applyProtection="1">
      <alignment horizontal="center"/>
    </xf>
    <xf numFmtId="180" fontId="2" fillId="5" borderId="231" xfId="0" applyNumberFormat="1" applyFont="1" applyFill="1" applyBorder="1" applyAlignment="1" applyProtection="1">
      <alignment horizontal="center" vertical="top"/>
    </xf>
    <xf numFmtId="0" fontId="189" fillId="5" borderId="268" xfId="0" applyFont="1" applyFill="1" applyBorder="1" applyAlignment="1">
      <alignment horizontal="center"/>
    </xf>
    <xf numFmtId="0" fontId="2" fillId="5" borderId="85" xfId="0" applyFont="1" applyFill="1" applyBorder="1" applyAlignment="1">
      <alignment horizontal="center" vertical="center"/>
    </xf>
    <xf numFmtId="180" fontId="22" fillId="5" borderId="231" xfId="0" applyNumberFormat="1" applyFont="1" applyFill="1" applyBorder="1" applyAlignment="1">
      <alignment horizontal="center" vertical="top"/>
    </xf>
    <xf numFmtId="0" fontId="2" fillId="5" borderId="231" xfId="0" applyFont="1" applyFill="1" applyBorder="1" applyAlignment="1">
      <alignment horizontal="center" vertical="top"/>
    </xf>
    <xf numFmtId="0" fontId="189" fillId="17" borderId="268" xfId="0" applyFont="1" applyFill="1" applyBorder="1" applyAlignment="1">
      <alignment horizontal="center"/>
    </xf>
    <xf numFmtId="0" fontId="2" fillId="17" borderId="85" xfId="0" applyFont="1" applyFill="1" applyBorder="1" applyAlignment="1">
      <alignment horizontal="center" vertical="center"/>
    </xf>
    <xf numFmtId="180" fontId="22" fillId="17" borderId="231" xfId="0" applyNumberFormat="1" applyFont="1" applyFill="1" applyBorder="1" applyAlignment="1">
      <alignment horizontal="center" vertical="top"/>
    </xf>
    <xf numFmtId="0" fontId="2" fillId="17" borderId="85" xfId="0" applyFont="1" applyFill="1" applyBorder="1" applyAlignment="1">
      <alignment horizontal="center"/>
    </xf>
    <xf numFmtId="0" fontId="2" fillId="17" borderId="231" xfId="0" applyFont="1" applyFill="1" applyBorder="1" applyAlignment="1">
      <alignment horizontal="center" vertical="top"/>
    </xf>
    <xf numFmtId="0" fontId="93" fillId="5" borderId="0" xfId="9" applyFont="1" applyFill="1" applyBorder="1" applyAlignment="1" applyProtection="1">
      <alignment horizontal="left"/>
    </xf>
    <xf numFmtId="0" fontId="2" fillId="5" borderId="231" xfId="0" applyFont="1" applyFill="1" applyBorder="1" applyAlignment="1" applyProtection="1">
      <alignment horizontal="center" vertical="top"/>
    </xf>
    <xf numFmtId="0" fontId="2" fillId="5" borderId="85" xfId="0" applyFont="1" applyFill="1" applyBorder="1" applyAlignment="1" applyProtection="1">
      <alignment horizontal="center"/>
    </xf>
    <xf numFmtId="180" fontId="2" fillId="5" borderId="231" xfId="0" applyNumberFormat="1" applyFont="1" applyFill="1" applyBorder="1" applyAlignment="1">
      <alignment horizontal="center" vertical="top"/>
    </xf>
    <xf numFmtId="180" fontId="22" fillId="5" borderId="231" xfId="0" applyNumberFormat="1" applyFont="1" applyFill="1" applyBorder="1" applyAlignment="1" applyProtection="1">
      <alignment horizontal="center" vertical="top"/>
    </xf>
    <xf numFmtId="0" fontId="189" fillId="5" borderId="85" xfId="0" applyFont="1" applyFill="1" applyBorder="1" applyAlignment="1">
      <alignment horizontal="center"/>
    </xf>
    <xf numFmtId="0" fontId="318" fillId="5" borderId="183" xfId="9" applyFont="1" applyFill="1" applyBorder="1" applyAlignment="1" applyProtection="1">
      <alignment horizontal="left" vertical="center"/>
    </xf>
    <xf numFmtId="0" fontId="319" fillId="5" borderId="183" xfId="6" applyFont="1" applyFill="1" applyBorder="1" applyAlignment="1" applyProtection="1">
      <alignment horizontal="left" vertical="center"/>
    </xf>
    <xf numFmtId="0" fontId="70" fillId="16" borderId="87" xfId="0" applyFont="1" applyFill="1" applyBorder="1" applyAlignment="1" applyProtection="1"/>
    <xf numFmtId="0" fontId="70" fillId="16" borderId="146" xfId="0" applyFont="1" applyFill="1" applyBorder="1" applyAlignment="1" applyProtection="1"/>
    <xf numFmtId="0" fontId="73" fillId="16" borderId="146" xfId="0" applyFont="1" applyFill="1" applyBorder="1" applyAlignment="1" applyProtection="1"/>
    <xf numFmtId="0" fontId="73" fillId="16" borderId="147" xfId="0" applyFont="1" applyFill="1" applyBorder="1" applyProtection="1"/>
    <xf numFmtId="171" fontId="2" fillId="17" borderId="196" xfId="0" applyNumberFormat="1" applyFont="1" applyFill="1" applyBorder="1" applyAlignment="1" applyProtection="1">
      <alignment horizontal="center"/>
    </xf>
    <xf numFmtId="4" fontId="91" fillId="2" borderId="0" xfId="0" applyNumberFormat="1" applyFont="1" applyFill="1" applyAlignment="1" applyProtection="1">
      <alignment horizontal="center" vertical="center"/>
    </xf>
    <xf numFmtId="0" fontId="140" fillId="17" borderId="87" xfId="0" applyFont="1" applyFill="1" applyBorder="1" applyAlignment="1" applyProtection="1"/>
    <xf numFmtId="0" fontId="32" fillId="17" borderId="146" xfId="0" applyFont="1" applyFill="1" applyBorder="1" applyAlignment="1" applyProtection="1"/>
    <xf numFmtId="0" fontId="10" fillId="17" borderId="146" xfId="0" applyFont="1" applyFill="1" applyBorder="1" applyAlignment="1" applyProtection="1"/>
    <xf numFmtId="0" fontId="32" fillId="17" borderId="146" xfId="0" applyFont="1" applyFill="1" applyBorder="1" applyAlignment="1" applyProtection="1">
      <alignment horizontal="center"/>
    </xf>
    <xf numFmtId="0" fontId="49" fillId="17" borderId="146" xfId="0" applyFont="1" applyFill="1" applyBorder="1" applyAlignment="1" applyProtection="1"/>
    <xf numFmtId="175" fontId="48" fillId="16" borderId="196" xfId="0" applyNumberFormat="1" applyFont="1" applyFill="1" applyBorder="1" applyAlignment="1" applyProtection="1">
      <alignment horizontal="center"/>
    </xf>
    <xf numFmtId="0" fontId="130" fillId="17" borderId="147" xfId="0" applyFont="1" applyFill="1" applyBorder="1" applyAlignment="1" applyProtection="1">
      <alignment horizontal="left"/>
    </xf>
    <xf numFmtId="4" fontId="12" fillId="17" borderId="89" xfId="0" applyNumberFormat="1" applyFont="1" applyFill="1" applyBorder="1" applyAlignment="1" applyProtection="1">
      <alignment horizontal="center"/>
    </xf>
    <xf numFmtId="4" fontId="12" fillId="17" borderId="193" xfId="0" applyNumberFormat="1" applyFont="1" applyFill="1" applyBorder="1" applyAlignment="1" applyProtection="1">
      <alignment horizontal="center"/>
    </xf>
    <xf numFmtId="4" fontId="190" fillId="17" borderId="237" xfId="0" applyNumberFormat="1" applyFont="1" applyFill="1" applyBorder="1" applyAlignment="1" applyProtection="1"/>
    <xf numFmtId="4" fontId="62" fillId="17" borderId="240" xfId="0" applyNumberFormat="1" applyFont="1" applyFill="1" applyBorder="1" applyAlignment="1" applyProtection="1"/>
    <xf numFmtId="4" fontId="30" fillId="16" borderId="8" xfId="0" applyNumberFormat="1" applyFont="1" applyFill="1" applyBorder="1" applyAlignment="1" applyProtection="1">
      <alignment vertical="center"/>
    </xf>
    <xf numFmtId="4" fontId="30" fillId="16" borderId="10" xfId="0" applyNumberFormat="1" applyFont="1" applyFill="1" applyBorder="1" applyAlignment="1" applyProtection="1">
      <alignment vertical="center"/>
    </xf>
    <xf numFmtId="4" fontId="6" fillId="16" borderId="77" xfId="0" applyNumberFormat="1" applyFont="1" applyFill="1" applyBorder="1" applyAlignment="1" applyProtection="1"/>
    <xf numFmtId="4" fontId="3" fillId="16" borderId="80" xfId="0" applyNumberFormat="1" applyFont="1" applyFill="1" applyBorder="1" applyAlignment="1" applyProtection="1">
      <alignment horizontal="left"/>
    </xf>
    <xf numFmtId="4" fontId="30" fillId="37" borderId="145" xfId="0" applyNumberFormat="1" applyFont="1" applyFill="1" applyBorder="1" applyAlignment="1" applyProtection="1">
      <alignment vertical="center"/>
    </xf>
    <xf numFmtId="4" fontId="30" fillId="37" borderId="76" xfId="0" applyNumberFormat="1" applyFont="1" applyFill="1" applyBorder="1" applyAlignment="1" applyProtection="1">
      <alignment vertical="center"/>
    </xf>
    <xf numFmtId="4" fontId="6" fillId="37" borderId="72" xfId="0" applyNumberFormat="1" applyFont="1" applyFill="1" applyBorder="1" applyAlignment="1" applyProtection="1">
      <alignment horizontal="center" vertical="top"/>
    </xf>
    <xf numFmtId="4" fontId="6" fillId="37" borderId="91" xfId="0" applyNumberFormat="1" applyFont="1" applyFill="1" applyBorder="1" applyAlignment="1" applyProtection="1">
      <alignment horizontal="center" vertical="top"/>
    </xf>
    <xf numFmtId="168" fontId="16" fillId="17" borderId="148" xfId="0" applyNumberFormat="1" applyFont="1" applyFill="1" applyBorder="1" applyAlignment="1" applyProtection="1"/>
    <xf numFmtId="168" fontId="16" fillId="17" borderId="93" xfId="0" applyNumberFormat="1" applyFont="1" applyFill="1" applyBorder="1" applyAlignment="1" applyProtection="1"/>
    <xf numFmtId="168" fontId="3" fillId="11" borderId="128" xfId="0" applyNumberFormat="1" applyFont="1" applyFill="1" applyBorder="1" applyProtection="1"/>
    <xf numFmtId="168" fontId="3" fillId="32" borderId="1" xfId="0" applyNumberFormat="1" applyFont="1" applyFill="1" applyBorder="1" applyProtection="1"/>
    <xf numFmtId="169" fontId="3" fillId="47" borderId="13" xfId="0" applyNumberFormat="1" applyFont="1" applyFill="1" applyBorder="1" applyAlignment="1" applyProtection="1">
      <alignment horizontal="center"/>
    </xf>
    <xf numFmtId="169" fontId="3" fillId="47" borderId="1" xfId="0" applyNumberFormat="1" applyFont="1" applyFill="1" applyBorder="1" applyAlignment="1" applyProtection="1">
      <alignment horizontal="center"/>
    </xf>
    <xf numFmtId="168" fontId="3" fillId="11" borderId="1" xfId="0" applyNumberFormat="1" applyFont="1" applyFill="1" applyBorder="1" applyProtection="1"/>
    <xf numFmtId="168" fontId="3" fillId="11" borderId="13" xfId="0" applyNumberFormat="1" applyFont="1" applyFill="1" applyBorder="1" applyProtection="1"/>
    <xf numFmtId="168" fontId="3" fillId="11" borderId="20" xfId="0" applyNumberFormat="1" applyFont="1" applyFill="1" applyBorder="1" applyProtection="1"/>
    <xf numFmtId="168" fontId="3" fillId="11" borderId="22" xfId="0" applyNumberFormat="1" applyFont="1" applyFill="1" applyBorder="1" applyProtection="1"/>
    <xf numFmtId="168" fontId="2" fillId="17" borderId="206" xfId="0" applyNumberFormat="1" applyFont="1" applyFill="1" applyBorder="1" applyProtection="1"/>
    <xf numFmtId="168" fontId="2" fillId="17" borderId="207" xfId="0" applyNumberFormat="1" applyFont="1" applyFill="1" applyBorder="1" applyProtection="1"/>
    <xf numFmtId="4" fontId="30" fillId="2" borderId="218" xfId="0" applyNumberFormat="1" applyFont="1" applyFill="1" applyBorder="1" applyAlignment="1" applyProtection="1">
      <alignment vertical="center"/>
    </xf>
    <xf numFmtId="4" fontId="30" fillId="2" borderId="252" xfId="0" applyNumberFormat="1" applyFont="1" applyFill="1" applyBorder="1" applyAlignment="1" applyProtection="1">
      <alignment vertical="center"/>
    </xf>
    <xf numFmtId="168" fontId="65" fillId="4" borderId="249" xfId="0" applyNumberFormat="1" applyFont="1" applyFill="1" applyBorder="1" applyAlignment="1" applyProtection="1">
      <alignment horizontal="center"/>
    </xf>
    <xf numFmtId="168" fontId="65" fillId="4" borderId="218" xfId="0" applyNumberFormat="1" applyFont="1" applyFill="1" applyBorder="1" applyAlignment="1" applyProtection="1">
      <alignment horizontal="center"/>
    </xf>
    <xf numFmtId="4" fontId="3" fillId="6" borderId="196" xfId="0" applyNumberFormat="1" applyFont="1" applyFill="1" applyBorder="1" applyProtection="1"/>
    <xf numFmtId="168" fontId="67" fillId="3" borderId="223" xfId="0" applyNumberFormat="1" applyFont="1" applyFill="1" applyBorder="1" applyAlignment="1" applyProtection="1">
      <alignment horizontal="center"/>
    </xf>
    <xf numFmtId="4" fontId="12" fillId="0" borderId="269" xfId="0" applyNumberFormat="1" applyFont="1" applyFill="1" applyBorder="1" applyAlignment="1" applyProtection="1">
      <alignment horizontal="center"/>
    </xf>
    <xf numFmtId="4" fontId="16" fillId="3" borderId="269" xfId="0" applyNumberFormat="1" applyFont="1" applyFill="1" applyBorder="1" applyAlignment="1" applyProtection="1">
      <alignment horizontal="center"/>
    </xf>
    <xf numFmtId="4" fontId="16" fillId="4" borderId="270" xfId="0" applyNumberFormat="1" applyFont="1" applyFill="1" applyBorder="1" applyAlignment="1" applyProtection="1">
      <alignment horizontal="center"/>
    </xf>
    <xf numFmtId="4" fontId="12" fillId="0" borderId="271" xfId="0" applyNumberFormat="1" applyFont="1" applyFill="1" applyBorder="1" applyAlignment="1" applyProtection="1">
      <alignment horizontal="center"/>
    </xf>
    <xf numFmtId="4" fontId="48" fillId="4" borderId="272" xfId="0" applyNumberFormat="1" applyFont="1" applyFill="1" applyBorder="1" applyAlignment="1" applyProtection="1">
      <alignment horizontal="center"/>
    </xf>
    <xf numFmtId="4" fontId="48" fillId="4" borderId="271" xfId="0" applyNumberFormat="1" applyFont="1" applyFill="1" applyBorder="1" applyAlignment="1" applyProtection="1">
      <alignment horizontal="center"/>
    </xf>
    <xf numFmtId="4" fontId="43" fillId="7" borderId="273" xfId="0" applyNumberFormat="1" applyFont="1" applyFill="1" applyBorder="1" applyAlignment="1" applyProtection="1">
      <alignment horizontal="center"/>
    </xf>
    <xf numFmtId="4" fontId="43" fillId="7" borderId="274" xfId="0" applyNumberFormat="1" applyFont="1" applyFill="1" applyBorder="1" applyAlignment="1" applyProtection="1">
      <alignment horizontal="center"/>
    </xf>
    <xf numFmtId="4" fontId="12" fillId="16" borderId="275" xfId="0" applyNumberFormat="1" applyFont="1" applyFill="1" applyBorder="1" applyAlignment="1" applyProtection="1">
      <alignment horizontal="center"/>
    </xf>
    <xf numFmtId="4" fontId="2" fillId="0" borderId="276" xfId="0" applyNumberFormat="1" applyFont="1" applyFill="1" applyBorder="1" applyAlignment="1" applyProtection="1">
      <alignment horizontal="center"/>
    </xf>
    <xf numFmtId="4" fontId="2" fillId="0" borderId="275" xfId="0" applyNumberFormat="1" applyFont="1" applyFill="1" applyBorder="1" applyAlignment="1" applyProtection="1">
      <alignment horizontal="center"/>
    </xf>
    <xf numFmtId="4" fontId="12" fillId="17" borderId="245" xfId="0" applyNumberFormat="1" applyFont="1" applyFill="1" applyBorder="1" applyAlignment="1" applyProtection="1">
      <alignment horizontal="left"/>
    </xf>
    <xf numFmtId="4" fontId="12" fillId="17" borderId="248" xfId="0" applyNumberFormat="1" applyFont="1" applyFill="1" applyBorder="1" applyAlignment="1" applyProtection="1">
      <alignment horizontal="center"/>
    </xf>
    <xf numFmtId="4" fontId="317" fillId="33" borderId="245" xfId="0" applyNumberFormat="1" applyFont="1" applyFill="1" applyBorder="1" applyAlignment="1" applyProtection="1">
      <alignment horizontal="left"/>
    </xf>
    <xf numFmtId="4" fontId="283" fillId="33" borderId="248" xfId="0" applyNumberFormat="1" applyFont="1" applyFill="1" applyBorder="1" applyAlignment="1" applyProtection="1">
      <alignment horizontal="center"/>
    </xf>
    <xf numFmtId="4" fontId="22" fillId="18" borderId="245" xfId="0" applyNumberFormat="1" applyFont="1" applyFill="1" applyBorder="1" applyAlignment="1" applyProtection="1">
      <alignment horizontal="left"/>
    </xf>
    <xf numFmtId="4" fontId="99" fillId="18" borderId="248" xfId="0" applyNumberFormat="1" applyFont="1" applyFill="1" applyBorder="1" applyAlignment="1" applyProtection="1">
      <alignment horizontal="center"/>
    </xf>
    <xf numFmtId="4" fontId="144" fillId="3" borderId="245" xfId="0" applyNumberFormat="1" applyFont="1" applyFill="1" applyBorder="1" applyAlignment="1" applyProtection="1">
      <alignment horizontal="left"/>
    </xf>
    <xf numFmtId="4" fontId="27" fillId="3" borderId="248" xfId="0" applyNumberFormat="1" applyFont="1" applyFill="1" applyBorder="1" applyAlignment="1" applyProtection="1">
      <alignment horizontal="center"/>
    </xf>
    <xf numFmtId="178" fontId="278" fillId="5" borderId="240" xfId="0" applyNumberFormat="1" applyFont="1" applyFill="1" applyBorder="1" applyAlignment="1" applyProtection="1">
      <alignment horizontal="center"/>
    </xf>
    <xf numFmtId="171" fontId="278" fillId="33" borderId="196" xfId="0" applyNumberFormat="1" applyFont="1" applyFill="1" applyBorder="1" applyAlignment="1" applyProtection="1">
      <alignment horizontal="center"/>
    </xf>
    <xf numFmtId="168" fontId="278" fillId="33" borderId="277" xfId="0" applyNumberFormat="1" applyFont="1" applyFill="1" applyBorder="1" applyProtection="1"/>
    <xf numFmtId="38" fontId="81" fillId="5" borderId="48" xfId="10" applyNumberFormat="1" applyFont="1" applyFill="1" applyBorder="1" applyAlignment="1" applyProtection="1">
      <alignment horizontal="right"/>
    </xf>
    <xf numFmtId="0" fontId="160" fillId="5" borderId="162" xfId="9" applyFont="1" applyFill="1" applyBorder="1" applyAlignment="1" applyProtection="1">
      <alignment horizontal="left" vertical="center"/>
    </xf>
    <xf numFmtId="38" fontId="8" fillId="48" borderId="82" xfId="10" applyNumberFormat="1" applyFont="1" applyFill="1" applyBorder="1" applyAlignment="1" applyProtection="1">
      <alignment horizontal="center" vertical="center"/>
    </xf>
    <xf numFmtId="38" fontId="2" fillId="48" borderId="8" xfId="10" applyNumberFormat="1" applyFont="1" applyFill="1" applyBorder="1" applyAlignment="1" applyProtection="1">
      <alignment horizontal="center" vertical="center"/>
    </xf>
    <xf numFmtId="38" fontId="2" fillId="48" borderId="162" xfId="10" applyNumberFormat="1" applyFont="1" applyFill="1" applyBorder="1" applyAlignment="1" applyProtection="1">
      <alignment horizontal="center" vertical="center"/>
    </xf>
    <xf numFmtId="38" fontId="2" fillId="48" borderId="190" xfId="10" applyNumberFormat="1" applyFont="1" applyFill="1" applyBorder="1" applyAlignment="1" applyProtection="1">
      <alignment horizontal="center" vertical="center"/>
    </xf>
    <xf numFmtId="166" fontId="2" fillId="48" borderId="256" xfId="10" applyNumberFormat="1" applyFont="1" applyFill="1" applyBorder="1" applyAlignment="1" applyProtection="1">
      <alignment horizontal="center" vertical="center"/>
    </xf>
    <xf numFmtId="168" fontId="29" fillId="48" borderId="183" xfId="10" applyNumberFormat="1" applyFont="1" applyFill="1" applyBorder="1" applyAlignment="1" applyProtection="1">
      <alignment horizontal="center" vertical="center" wrapText="1"/>
    </xf>
    <xf numFmtId="1" fontId="2" fillId="48" borderId="183" xfId="10" applyNumberFormat="1" applyFont="1" applyFill="1" applyBorder="1" applyAlignment="1" applyProtection="1">
      <alignment horizontal="center" vertical="center"/>
    </xf>
    <xf numFmtId="168" fontId="22" fillId="48" borderId="230" xfId="10" applyNumberFormat="1" applyFont="1" applyFill="1" applyBorder="1" applyAlignment="1" applyProtection="1">
      <alignment horizontal="center" vertical="center" wrapText="1"/>
    </xf>
    <xf numFmtId="1" fontId="2" fillId="48" borderId="230" xfId="10" applyNumberFormat="1" applyFont="1" applyFill="1" applyBorder="1" applyAlignment="1" applyProtection="1">
      <alignment horizontal="center" vertical="center"/>
    </xf>
    <xf numFmtId="38" fontId="2" fillId="48" borderId="189" xfId="10" applyNumberFormat="1" applyFont="1" applyFill="1" applyBorder="1" applyAlignment="1" applyProtection="1"/>
    <xf numFmtId="167" fontId="2" fillId="48" borderId="98" xfId="10" applyNumberFormat="1" applyFont="1" applyFill="1" applyBorder="1" applyAlignment="1" applyProtection="1">
      <alignment horizontal="center" vertical="center"/>
    </xf>
    <xf numFmtId="0" fontId="2" fillId="17" borderId="87" xfId="0" applyFont="1" applyFill="1" applyBorder="1" applyAlignment="1" applyProtection="1">
      <alignment horizontal="left"/>
    </xf>
    <xf numFmtId="0" fontId="3" fillId="17" borderId="147" xfId="0" applyFont="1" applyFill="1" applyBorder="1" applyAlignment="1" applyProtection="1">
      <alignment horizontal="right"/>
    </xf>
    <xf numFmtId="171" fontId="38" fillId="4" borderId="148" xfId="10" applyNumberFormat="1" applyFont="1" applyFill="1" applyBorder="1" applyAlignment="1" applyProtection="1"/>
    <xf numFmtId="171" fontId="37" fillId="4" borderId="93" xfId="10" applyNumberFormat="1" applyFont="1" applyFill="1" applyBorder="1" applyAlignment="1" applyProtection="1"/>
    <xf numFmtId="168" fontId="2" fillId="16" borderId="197" xfId="10" applyNumberFormat="1" applyFont="1" applyFill="1" applyBorder="1" applyAlignment="1" applyProtection="1"/>
    <xf numFmtId="168" fontId="73" fillId="16" borderId="198" xfId="10" applyNumberFormat="1" applyFont="1" applyFill="1" applyBorder="1" applyAlignment="1" applyProtection="1"/>
    <xf numFmtId="168" fontId="2" fillId="0" borderId="221" xfId="10" applyNumberFormat="1" applyFont="1" applyBorder="1" applyAlignment="1" applyProtection="1">
      <alignment horizontal="center"/>
    </xf>
    <xf numFmtId="0" fontId="70" fillId="17" borderId="169" xfId="9" applyFont="1" applyFill="1" applyBorder="1" applyProtection="1"/>
    <xf numFmtId="38" fontId="2" fillId="23" borderId="197" xfId="10" applyNumberFormat="1" applyFont="1" applyFill="1" applyBorder="1" applyAlignment="1" applyProtection="1"/>
    <xf numFmtId="38" fontId="2" fillId="23" borderId="148" xfId="10" applyNumberFormat="1" applyFont="1" applyFill="1" applyBorder="1" applyAlignment="1" applyProtection="1"/>
    <xf numFmtId="168" fontId="73" fillId="0" borderId="219" xfId="10" applyNumberFormat="1" applyFont="1" applyBorder="1" applyAlignment="1" applyProtection="1"/>
    <xf numFmtId="168" fontId="2" fillId="43" borderId="220" xfId="10" applyNumberFormat="1" applyFont="1" applyFill="1" applyBorder="1" applyAlignment="1" applyProtection="1"/>
    <xf numFmtId="168" fontId="73" fillId="43" borderId="220" xfId="10" applyNumberFormat="1" applyFont="1" applyFill="1" applyBorder="1" applyAlignment="1" applyProtection="1"/>
    <xf numFmtId="38" fontId="12" fillId="29" borderId="197" xfId="10" applyNumberFormat="1" applyFont="1" applyFill="1" applyBorder="1" applyAlignment="1" applyProtection="1">
      <alignment horizontal="left"/>
    </xf>
    <xf numFmtId="38" fontId="12" fillId="29" borderId="198" xfId="10" applyNumberFormat="1" applyFont="1" applyFill="1" applyBorder="1" applyAlignment="1" applyProtection="1">
      <alignment horizontal="left"/>
    </xf>
    <xf numFmtId="168" fontId="2" fillId="17" borderId="252" xfId="10" applyNumberFormat="1" applyFont="1" applyFill="1" applyBorder="1" applyAlignment="1" applyProtection="1">
      <alignment horizontal="center"/>
    </xf>
    <xf numFmtId="168" fontId="73" fillId="17" borderId="252" xfId="10" applyNumberFormat="1" applyFont="1" applyFill="1" applyBorder="1" applyAlignment="1" applyProtection="1">
      <alignment horizontal="center"/>
    </xf>
    <xf numFmtId="0" fontId="7" fillId="17" borderId="222" xfId="9" applyFont="1" applyFill="1" applyBorder="1" applyProtection="1"/>
    <xf numFmtId="168" fontId="2" fillId="21" borderId="223" xfId="10" applyNumberFormat="1" applyFont="1" applyFill="1" applyBorder="1" applyAlignment="1" applyProtection="1"/>
    <xf numFmtId="168" fontId="73" fillId="21" borderId="223" xfId="10" applyNumberFormat="1" applyFont="1" applyFill="1" applyBorder="1" applyAlignment="1" applyProtection="1"/>
    <xf numFmtId="168" fontId="70" fillId="23" borderId="196" xfId="10" applyNumberFormat="1" applyFont="1" applyFill="1" applyBorder="1" applyAlignment="1" applyProtection="1">
      <alignment horizontal="right"/>
    </xf>
    <xf numFmtId="164" fontId="70" fillId="23" borderId="196" xfId="10" applyNumberFormat="1" applyFont="1" applyFill="1" applyBorder="1" applyAlignment="1" applyProtection="1">
      <alignment horizontal="right"/>
    </xf>
    <xf numFmtId="164" fontId="73" fillId="0" borderId="219" xfId="10" applyNumberFormat="1" applyFont="1" applyBorder="1" applyAlignment="1" applyProtection="1"/>
    <xf numFmtId="164" fontId="2" fillId="43" borderId="220" xfId="10" applyNumberFormat="1" applyFont="1" applyFill="1" applyBorder="1" applyAlignment="1" applyProtection="1"/>
    <xf numFmtId="164" fontId="73" fillId="43" borderId="220" xfId="10" applyNumberFormat="1" applyFont="1" applyFill="1" applyBorder="1" applyAlignment="1" applyProtection="1"/>
    <xf numFmtId="164" fontId="2" fillId="21" borderId="223" xfId="10" applyNumberFormat="1" applyFont="1" applyFill="1" applyBorder="1" applyAlignment="1" applyProtection="1"/>
    <xf numFmtId="164" fontId="73" fillId="21" borderId="223" xfId="10" applyNumberFormat="1" applyFont="1" applyFill="1" applyBorder="1" applyAlignment="1" applyProtection="1"/>
    <xf numFmtId="179" fontId="2" fillId="5" borderId="196" xfId="0" applyNumberFormat="1" applyFont="1" applyFill="1" applyBorder="1" applyAlignment="1" applyProtection="1">
      <alignment horizontal="center"/>
    </xf>
    <xf numFmtId="0" fontId="2" fillId="49" borderId="87" xfId="0" applyFont="1" applyFill="1" applyBorder="1" applyProtection="1"/>
    <xf numFmtId="0" fontId="70" fillId="49" borderId="146" xfId="0" applyFont="1" applyFill="1" applyBorder="1" applyProtection="1"/>
    <xf numFmtId="0" fontId="48" fillId="49" borderId="146" xfId="0" applyFont="1" applyFill="1" applyBorder="1" applyProtection="1"/>
    <xf numFmtId="0" fontId="85" fillId="49" borderId="147" xfId="0" applyFont="1" applyFill="1" applyBorder="1" applyProtection="1"/>
    <xf numFmtId="0" fontId="2" fillId="49" borderId="88" xfId="0" applyFont="1" applyFill="1" applyBorder="1" applyAlignment="1" applyProtection="1">
      <alignment horizontal="center"/>
    </xf>
    <xf numFmtId="169" fontId="70" fillId="49" borderId="148" xfId="0" applyNumberFormat="1" applyFont="1" applyFill="1" applyBorder="1" applyAlignment="1" applyProtection="1">
      <alignment horizontal="center"/>
    </xf>
    <xf numFmtId="168" fontId="70" fillId="49" borderId="93" xfId="0" applyNumberFormat="1" applyFont="1" applyFill="1" applyBorder="1" applyProtection="1">
      <protection locked="0"/>
    </xf>
    <xf numFmtId="168" fontId="70" fillId="49" borderId="148" xfId="0" applyNumberFormat="1" applyFont="1" applyFill="1" applyBorder="1" applyProtection="1">
      <protection locked="0"/>
    </xf>
    <xf numFmtId="169" fontId="70" fillId="49" borderId="93" xfId="0" applyNumberFormat="1" applyFont="1" applyFill="1" applyBorder="1" applyAlignment="1" applyProtection="1">
      <alignment horizontal="center"/>
    </xf>
    <xf numFmtId="0" fontId="137" fillId="21" borderId="169" xfId="0" applyFont="1" applyFill="1" applyBorder="1" applyProtection="1"/>
    <xf numFmtId="0" fontId="137" fillId="21" borderId="170" xfId="0" applyFont="1" applyFill="1" applyBorder="1" applyProtection="1"/>
    <xf numFmtId="0" fontId="157" fillId="21" borderId="170" xfId="0" applyFont="1" applyFill="1" applyBorder="1" applyProtection="1"/>
    <xf numFmtId="0" fontId="21" fillId="21" borderId="171" xfId="0" applyFont="1" applyFill="1" applyBorder="1" applyProtection="1"/>
    <xf numFmtId="0" fontId="137" fillId="21" borderId="174" xfId="0" applyFont="1" applyFill="1" applyBorder="1" applyAlignment="1" applyProtection="1">
      <alignment vertical="center"/>
    </xf>
    <xf numFmtId="0" fontId="137" fillId="21" borderId="11" xfId="0" applyFont="1" applyFill="1" applyBorder="1" applyAlignment="1" applyProtection="1">
      <alignment vertical="center"/>
    </xf>
    <xf numFmtId="0" fontId="157" fillId="21" borderId="175" xfId="0" applyFont="1" applyFill="1" applyBorder="1" applyAlignment="1" applyProtection="1">
      <alignment vertical="center"/>
    </xf>
    <xf numFmtId="171" fontId="2" fillId="5" borderId="252" xfId="0" applyNumberFormat="1" applyFont="1" applyFill="1" applyBorder="1" applyAlignment="1" applyProtection="1">
      <alignment horizontal="center"/>
    </xf>
    <xf numFmtId="0" fontId="320" fillId="42" borderId="338" xfId="0" applyFont="1" applyFill="1" applyBorder="1" applyProtection="1"/>
    <xf numFmtId="0" fontId="321" fillId="42" borderId="339" xfId="0" applyFont="1" applyFill="1" applyBorder="1" applyProtection="1"/>
    <xf numFmtId="0" fontId="320" fillId="42" borderId="340" xfId="0" applyFont="1" applyFill="1" applyBorder="1" applyProtection="1"/>
    <xf numFmtId="0" fontId="321" fillId="42" borderId="341" xfId="0" applyFont="1" applyFill="1" applyBorder="1" applyProtection="1"/>
    <xf numFmtId="0" fontId="175" fillId="42" borderId="340" xfId="0" applyFont="1" applyFill="1" applyBorder="1" applyAlignment="1" applyProtection="1">
      <alignment vertical="center"/>
    </xf>
    <xf numFmtId="0" fontId="175" fillId="42" borderId="342" xfId="0" applyFont="1" applyFill="1" applyBorder="1" applyAlignment="1" applyProtection="1">
      <alignment vertical="center"/>
    </xf>
    <xf numFmtId="0" fontId="321" fillId="42" borderId="343" xfId="0" applyFont="1" applyFill="1" applyBorder="1" applyAlignment="1" applyProtection="1">
      <alignment vertical="center"/>
    </xf>
    <xf numFmtId="179" fontId="12" fillId="5" borderId="252" xfId="0" applyNumberFormat="1" applyFont="1" applyFill="1" applyBorder="1" applyAlignment="1" applyProtection="1">
      <alignment horizontal="center"/>
    </xf>
    <xf numFmtId="0" fontId="70" fillId="46" borderId="87" xfId="0" applyFont="1" applyFill="1" applyBorder="1" applyProtection="1"/>
    <xf numFmtId="181" fontId="70" fillId="46" borderId="147" xfId="0" applyNumberFormat="1" applyFont="1" applyFill="1" applyBorder="1" applyAlignment="1" applyProtection="1">
      <alignment horizontal="left"/>
    </xf>
    <xf numFmtId="0" fontId="70" fillId="17" borderId="48" xfId="0" applyFont="1" applyFill="1" applyBorder="1" applyProtection="1"/>
    <xf numFmtId="0" fontId="73" fillId="17" borderId="49" xfId="0" applyFont="1" applyFill="1" applyBorder="1" applyProtection="1"/>
    <xf numFmtId="0" fontId="70" fillId="17" borderId="51" xfId="0" applyFont="1" applyFill="1" applyBorder="1" applyProtection="1"/>
    <xf numFmtId="0" fontId="73" fillId="17" borderId="52" xfId="0" applyFont="1" applyFill="1" applyBorder="1" applyProtection="1"/>
    <xf numFmtId="0" fontId="70" fillId="49" borderId="87" xfId="0" applyFont="1" applyFill="1" applyBorder="1" applyProtection="1"/>
    <xf numFmtId="0" fontId="73" fillId="49" borderId="147" xfId="0" applyFont="1" applyFill="1" applyBorder="1" applyProtection="1"/>
    <xf numFmtId="0" fontId="2" fillId="46" borderId="146" xfId="0" applyFont="1" applyFill="1" applyBorder="1" applyProtection="1"/>
    <xf numFmtId="181" fontId="2" fillId="46" borderId="147" xfId="0" applyNumberFormat="1" applyFont="1" applyFill="1" applyBorder="1" applyAlignment="1" applyProtection="1">
      <alignment horizontal="left"/>
    </xf>
    <xf numFmtId="0" fontId="2" fillId="49" borderId="146" xfId="0" applyFont="1" applyFill="1" applyBorder="1" applyProtection="1"/>
    <xf numFmtId="0" fontId="3" fillId="49" borderId="147" xfId="0" applyFont="1" applyFill="1" applyBorder="1" applyProtection="1"/>
    <xf numFmtId="168" fontId="2" fillId="16" borderId="336" xfId="0" applyNumberFormat="1" applyFont="1" applyFill="1" applyBorder="1" applyProtection="1"/>
    <xf numFmtId="4" fontId="31" fillId="32" borderId="0" xfId="0" applyNumberFormat="1" applyFont="1" applyFill="1" applyProtection="1"/>
    <xf numFmtId="0" fontId="198" fillId="17" borderId="197" xfId="0" applyFont="1" applyFill="1" applyBorder="1" applyAlignment="1" applyProtection="1">
      <alignment horizontal="left"/>
    </xf>
    <xf numFmtId="0" fontId="2" fillId="42" borderId="0" xfId="0" applyFont="1" applyFill="1" applyBorder="1" applyProtection="1"/>
    <xf numFmtId="0" fontId="147" fillId="16" borderId="146" xfId="0" applyFont="1" applyFill="1" applyBorder="1" applyProtection="1"/>
    <xf numFmtId="0" fontId="147" fillId="16" borderId="198" xfId="0" applyFont="1" applyFill="1" applyBorder="1" applyProtection="1"/>
    <xf numFmtId="0" fontId="153" fillId="16" borderId="197" xfId="0" applyFont="1" applyFill="1" applyBorder="1" applyProtection="1"/>
    <xf numFmtId="0" fontId="23" fillId="16" borderId="87" xfId="0" applyFont="1" applyFill="1" applyBorder="1" applyAlignment="1" applyProtection="1"/>
    <xf numFmtId="0" fontId="2" fillId="17" borderId="65" xfId="0" applyFont="1" applyFill="1" applyBorder="1" applyAlignment="1" applyProtection="1">
      <alignment horizontal="center"/>
    </xf>
    <xf numFmtId="0" fontId="2" fillId="17" borderId="278" xfId="0" applyFont="1" applyFill="1" applyBorder="1" applyAlignment="1" applyProtection="1">
      <alignment horizontal="center"/>
    </xf>
    <xf numFmtId="0" fontId="2" fillId="17" borderId="130" xfId="0" applyFont="1" applyFill="1" applyBorder="1" applyAlignment="1" applyProtection="1">
      <alignment horizontal="center"/>
    </xf>
    <xf numFmtId="0" fontId="2" fillId="17" borderId="231" xfId="0" applyFont="1" applyFill="1" applyBorder="1" applyAlignment="1" applyProtection="1">
      <alignment horizontal="center"/>
    </xf>
    <xf numFmtId="4" fontId="12" fillId="0" borderId="257" xfId="0" applyNumberFormat="1" applyFont="1" applyFill="1" applyBorder="1" applyAlignment="1" applyProtection="1">
      <alignment horizontal="center"/>
    </xf>
    <xf numFmtId="4" fontId="2" fillId="0" borderId="258" xfId="0" applyNumberFormat="1" applyFont="1" applyFill="1" applyBorder="1" applyAlignment="1" applyProtection="1">
      <alignment horizontal="center"/>
    </xf>
    <xf numFmtId="4" fontId="2" fillId="0" borderId="279" xfId="0" applyNumberFormat="1" applyFont="1" applyFill="1" applyBorder="1" applyAlignment="1" applyProtection="1">
      <alignment horizontal="center"/>
    </xf>
    <xf numFmtId="4" fontId="2" fillId="0" borderId="230" xfId="0" applyNumberFormat="1" applyFont="1" applyFill="1" applyBorder="1" applyAlignment="1" applyProtection="1">
      <alignment horizontal="center"/>
    </xf>
    <xf numFmtId="0" fontId="2" fillId="5" borderId="48" xfId="9" applyFont="1" applyFill="1" applyBorder="1" applyAlignment="1" applyProtection="1">
      <alignment horizontal="left"/>
    </xf>
    <xf numFmtId="165" fontId="8" fillId="5" borderId="196" xfId="9" applyNumberFormat="1" applyFont="1" applyFill="1" applyBorder="1" applyAlignment="1" applyProtection="1">
      <alignment horizontal="center" vertical="center"/>
    </xf>
    <xf numFmtId="0" fontId="320" fillId="42" borderId="338" xfId="0" applyFont="1" applyFill="1" applyBorder="1" applyAlignment="1" applyProtection="1">
      <alignment horizontal="left" vertical="top"/>
    </xf>
    <xf numFmtId="0" fontId="320" fillId="42" borderId="344" xfId="0" applyFont="1" applyFill="1" applyBorder="1" applyAlignment="1" applyProtection="1">
      <alignment horizontal="center" vertical="top"/>
    </xf>
    <xf numFmtId="0" fontId="321" fillId="42" borderId="344" xfId="0" applyFont="1" applyFill="1" applyBorder="1" applyAlignment="1" applyProtection="1">
      <alignment horizontal="center" vertical="top"/>
    </xf>
    <xf numFmtId="0" fontId="322" fillId="42" borderId="339" xfId="0" applyFont="1" applyFill="1" applyBorder="1" applyAlignment="1" applyProtection="1">
      <alignment horizontal="center" vertical="top"/>
    </xf>
    <xf numFmtId="0" fontId="175" fillId="50" borderId="340" xfId="0" applyFont="1" applyFill="1" applyBorder="1" applyProtection="1"/>
    <xf numFmtId="0" fontId="320" fillId="50" borderId="0" xfId="0" applyFont="1" applyFill="1" applyBorder="1" applyProtection="1"/>
    <xf numFmtId="0" fontId="321" fillId="50" borderId="0" xfId="0" applyFont="1" applyFill="1" applyBorder="1" applyProtection="1"/>
    <xf numFmtId="0" fontId="322" fillId="50" borderId="341" xfId="0" applyFont="1" applyFill="1" applyBorder="1" applyProtection="1"/>
    <xf numFmtId="0" fontId="175" fillId="42" borderId="342" xfId="0" applyFont="1" applyFill="1" applyBorder="1" applyProtection="1"/>
    <xf numFmtId="0" fontId="320" fillId="42" borderId="345" xfId="0" applyFont="1" applyFill="1" applyBorder="1" applyProtection="1"/>
    <xf numFmtId="0" fontId="321" fillId="42" borderId="345" xfId="0" applyFont="1" applyFill="1" applyBorder="1" applyProtection="1"/>
    <xf numFmtId="0" fontId="322" fillId="42" borderId="343" xfId="0" applyFont="1" applyFill="1" applyBorder="1" applyProtection="1"/>
    <xf numFmtId="0" fontId="175" fillId="42" borderId="346" xfId="0" applyFont="1" applyFill="1" applyBorder="1" applyProtection="1"/>
    <xf numFmtId="0" fontId="320" fillId="42" borderId="347" xfId="0" applyFont="1" applyFill="1" applyBorder="1" applyProtection="1"/>
    <xf numFmtId="0" fontId="321" fillId="42" borderId="347" xfId="0" applyFont="1" applyFill="1" applyBorder="1" applyProtection="1"/>
    <xf numFmtId="0" fontId="322" fillId="42" borderId="348" xfId="0" applyFont="1" applyFill="1" applyBorder="1" applyProtection="1"/>
    <xf numFmtId="0" fontId="320" fillId="42" borderId="349" xfId="0" applyFont="1" applyFill="1" applyBorder="1" applyProtection="1"/>
    <xf numFmtId="0" fontId="320" fillId="42" borderId="0" xfId="0" applyFont="1" applyFill="1" applyBorder="1" applyProtection="1"/>
    <xf numFmtId="0" fontId="322" fillId="42" borderId="350" xfId="0" applyFont="1" applyFill="1" applyBorder="1" applyProtection="1"/>
    <xf numFmtId="0" fontId="175" fillId="50" borderId="338" xfId="0" applyFont="1" applyFill="1" applyBorder="1" applyProtection="1"/>
    <xf numFmtId="0" fontId="320" fillId="50" borderId="344" xfId="0" applyFont="1" applyFill="1" applyBorder="1" applyProtection="1"/>
    <xf numFmtId="0" fontId="321" fillId="50" borderId="344" xfId="0" applyFont="1" applyFill="1" applyBorder="1" applyProtection="1"/>
    <xf numFmtId="0" fontId="322" fillId="50" borderId="339" xfId="0" applyFont="1" applyFill="1" applyBorder="1" applyProtection="1"/>
    <xf numFmtId="0" fontId="320" fillId="50" borderId="340" xfId="0" applyFont="1" applyFill="1" applyBorder="1" applyProtection="1"/>
    <xf numFmtId="0" fontId="320" fillId="50" borderId="342" xfId="0" applyFont="1" applyFill="1" applyBorder="1" applyProtection="1"/>
    <xf numFmtId="0" fontId="320" fillId="50" borderId="345" xfId="0" applyFont="1" applyFill="1" applyBorder="1" applyProtection="1"/>
    <xf numFmtId="0" fontId="322" fillId="50" borderId="343" xfId="0" applyFont="1" applyFill="1" applyBorder="1" applyProtection="1"/>
    <xf numFmtId="0" fontId="320" fillId="42" borderId="146" xfId="0" applyFont="1" applyFill="1" applyBorder="1" applyAlignment="1" applyProtection="1">
      <alignment vertical="center"/>
    </xf>
    <xf numFmtId="170" fontId="289" fillId="42" borderId="231" xfId="0" applyNumberFormat="1" applyFont="1" applyFill="1" applyBorder="1" applyAlignment="1" applyProtection="1">
      <alignment horizontal="center"/>
    </xf>
    <xf numFmtId="0" fontId="321" fillId="42" borderId="87" xfId="0" applyFont="1" applyFill="1" applyBorder="1" applyAlignment="1" applyProtection="1">
      <alignment vertical="center"/>
    </xf>
    <xf numFmtId="0" fontId="320" fillId="42" borderId="147" xfId="0" applyFont="1" applyFill="1" applyBorder="1" applyAlignment="1" applyProtection="1">
      <alignment vertical="center"/>
    </xf>
    <xf numFmtId="0" fontId="2" fillId="17" borderId="8" xfId="0" applyFont="1" applyFill="1" applyBorder="1" applyProtection="1"/>
    <xf numFmtId="0" fontId="2" fillId="17" borderId="0" xfId="0" applyFont="1" applyFill="1" applyBorder="1" applyProtection="1"/>
    <xf numFmtId="4" fontId="278" fillId="5" borderId="237" xfId="0" applyNumberFormat="1" applyFont="1" applyFill="1" applyBorder="1" applyAlignment="1" applyProtection="1">
      <alignment horizontal="center"/>
    </xf>
    <xf numFmtId="168" fontId="3" fillId="17" borderId="72" xfId="0" applyNumberFormat="1" applyFont="1" applyFill="1" applyBorder="1" applyAlignment="1" applyProtection="1">
      <alignment horizontal="right"/>
    </xf>
    <xf numFmtId="168" fontId="3" fillId="17" borderId="91" xfId="0" applyNumberFormat="1" applyFont="1" applyFill="1" applyBorder="1" applyProtection="1"/>
    <xf numFmtId="0" fontId="2" fillId="5" borderId="177" xfId="0" applyFont="1" applyFill="1" applyBorder="1" applyProtection="1"/>
    <xf numFmtId="0" fontId="48" fillId="17" borderId="177" xfId="0" applyFont="1" applyFill="1" applyBorder="1" applyProtection="1"/>
    <xf numFmtId="0" fontId="85" fillId="17" borderId="178" xfId="0" applyFont="1" applyFill="1" applyBorder="1" applyProtection="1"/>
    <xf numFmtId="0" fontId="2" fillId="17" borderId="210" xfId="0" applyFont="1" applyFill="1" applyBorder="1" applyProtection="1"/>
    <xf numFmtId="0" fontId="48" fillId="17" borderId="210" xfId="0" applyFont="1" applyFill="1" applyBorder="1" applyProtection="1"/>
    <xf numFmtId="0" fontId="85" fillId="17" borderId="176" xfId="0" applyFont="1" applyFill="1" applyBorder="1" applyProtection="1"/>
    <xf numFmtId="168" fontId="3" fillId="17" borderId="280" xfId="0" applyNumberFormat="1" applyFont="1" applyFill="1" applyBorder="1" applyProtection="1">
      <protection locked="0"/>
    </xf>
    <xf numFmtId="169" fontId="3" fillId="0" borderId="281" xfId="0" applyNumberFormat="1" applyFont="1" applyFill="1" applyBorder="1" applyAlignment="1" applyProtection="1">
      <alignment horizontal="center"/>
    </xf>
    <xf numFmtId="168" fontId="3" fillId="17" borderId="282" xfId="0" applyNumberFormat="1" applyFont="1" applyFill="1" applyBorder="1" applyProtection="1">
      <protection locked="0"/>
    </xf>
    <xf numFmtId="169" fontId="3" fillId="0" borderId="163" xfId="0" applyNumberFormat="1" applyFont="1" applyFill="1" applyBorder="1" applyAlignment="1" applyProtection="1">
      <alignment horizontal="center"/>
    </xf>
    <xf numFmtId="169" fontId="160" fillId="17" borderId="128" xfId="0" applyNumberFormat="1" applyFont="1" applyFill="1" applyBorder="1" applyAlignment="1" applyProtection="1">
      <alignment horizontal="center"/>
    </xf>
    <xf numFmtId="171" fontId="300" fillId="17" borderId="8" xfId="0" applyNumberFormat="1" applyFont="1" applyFill="1" applyBorder="1" applyAlignment="1" applyProtection="1">
      <alignment horizontal="center"/>
    </xf>
    <xf numFmtId="171" fontId="305" fillId="17" borderId="10" xfId="0" applyNumberFormat="1" applyFont="1" applyFill="1" applyBorder="1" applyAlignment="1" applyProtection="1">
      <alignment horizontal="center"/>
    </xf>
    <xf numFmtId="171" fontId="300" fillId="17" borderId="0" xfId="0" applyNumberFormat="1" applyFont="1" applyFill="1" applyBorder="1" applyAlignment="1" applyProtection="1">
      <alignment horizontal="center"/>
    </xf>
    <xf numFmtId="169" fontId="160" fillId="17" borderId="163" xfId="0" applyNumberFormat="1" applyFont="1" applyFill="1" applyBorder="1" applyAlignment="1" applyProtection="1">
      <alignment horizontal="center"/>
    </xf>
    <xf numFmtId="0" fontId="48" fillId="17" borderId="283" xfId="0" applyFont="1" applyFill="1" applyBorder="1" applyProtection="1"/>
    <xf numFmtId="0" fontId="85" fillId="17" borderId="284" xfId="0" applyFont="1" applyFill="1" applyBorder="1" applyProtection="1"/>
    <xf numFmtId="0" fontId="73" fillId="17" borderId="285" xfId="0" applyFont="1" applyFill="1" applyBorder="1" applyProtection="1"/>
    <xf numFmtId="0" fontId="73" fillId="17" borderId="215" xfId="0" applyFont="1" applyFill="1" applyBorder="1" applyProtection="1"/>
    <xf numFmtId="0" fontId="73" fillId="17" borderId="254" xfId="0" applyFont="1" applyFill="1" applyBorder="1" applyProtection="1"/>
    <xf numFmtId="0" fontId="48" fillId="17" borderId="286" xfId="0" applyFont="1" applyFill="1" applyBorder="1" applyProtection="1"/>
    <xf numFmtId="0" fontId="73" fillId="17" borderId="0" xfId="0" applyFont="1" applyFill="1" applyBorder="1" applyProtection="1"/>
    <xf numFmtId="0" fontId="48" fillId="17" borderId="173" xfId="0" applyFont="1" applyFill="1" applyBorder="1" applyProtection="1"/>
    <xf numFmtId="168" fontId="278" fillId="33" borderId="287" xfId="0" applyNumberFormat="1" applyFont="1" applyFill="1" applyBorder="1" applyProtection="1"/>
    <xf numFmtId="168" fontId="278" fillId="33" borderId="288" xfId="0" applyNumberFormat="1" applyFont="1" applyFill="1" applyBorder="1" applyProtection="1"/>
    <xf numFmtId="168" fontId="2" fillId="17" borderId="223" xfId="0" applyNumberFormat="1" applyFont="1" applyFill="1" applyBorder="1" applyProtection="1"/>
    <xf numFmtId="4" fontId="12" fillId="0" borderId="274" xfId="0" applyNumberFormat="1" applyFont="1" applyFill="1" applyBorder="1" applyAlignment="1" applyProtection="1">
      <alignment horizontal="center"/>
    </xf>
    <xf numFmtId="0" fontId="137" fillId="17" borderId="11" xfId="0" applyFont="1" applyFill="1" applyBorder="1" applyProtection="1"/>
    <xf numFmtId="169" fontId="2" fillId="5" borderId="167" xfId="10" applyNumberFormat="1" applyFont="1" applyFill="1" applyBorder="1" applyAlignment="1" applyProtection="1">
      <alignment horizontal="center"/>
    </xf>
    <xf numFmtId="0" fontId="323" fillId="17" borderId="83" xfId="0" applyFont="1" applyFill="1" applyBorder="1" applyProtection="1"/>
    <xf numFmtId="0" fontId="324" fillId="5" borderId="82" xfId="0" applyFont="1" applyFill="1" applyBorder="1" applyAlignment="1" applyProtection="1">
      <alignment horizontal="center"/>
    </xf>
    <xf numFmtId="171" fontId="325" fillId="32" borderId="0" xfId="0" applyNumberFormat="1" applyFont="1" applyFill="1" applyBorder="1" applyAlignment="1" applyProtection="1">
      <alignment horizontal="center"/>
    </xf>
    <xf numFmtId="171" fontId="326" fillId="32" borderId="0" xfId="0" applyNumberFormat="1" applyFont="1" applyFill="1" applyBorder="1" applyAlignment="1" applyProtection="1">
      <alignment horizontal="center"/>
    </xf>
    <xf numFmtId="0" fontId="191" fillId="15" borderId="289" xfId="7" applyFont="1" applyFill="1" applyBorder="1" applyAlignment="1"/>
    <xf numFmtId="0" fontId="208" fillId="15" borderId="289" xfId="7" applyFont="1" applyFill="1" applyBorder="1"/>
    <xf numFmtId="0" fontId="209" fillId="15" borderId="289" xfId="7" applyFont="1" applyFill="1" applyBorder="1"/>
    <xf numFmtId="0" fontId="210" fillId="2" borderId="0" xfId="4" applyFill="1" applyBorder="1"/>
    <xf numFmtId="0" fontId="137" fillId="2" borderId="0" xfId="4" applyFont="1" applyFill="1" applyAlignment="1">
      <alignment horizontal="center"/>
    </xf>
    <xf numFmtId="0" fontId="210" fillId="2" borderId="0" xfId="4" applyFill="1"/>
    <xf numFmtId="0" fontId="210" fillId="0" borderId="0" xfId="4" applyFill="1"/>
    <xf numFmtId="0" fontId="211" fillId="15" borderId="115" xfId="7" applyFont="1" applyFill="1" applyBorder="1" applyAlignment="1"/>
    <xf numFmtId="0" fontId="208" fillId="15" borderId="115" xfId="7" applyFont="1" applyFill="1" applyBorder="1"/>
    <xf numFmtId="0" fontId="209" fillId="15" borderId="115" xfId="7" applyFont="1" applyFill="1" applyBorder="1"/>
    <xf numFmtId="0" fontId="3" fillId="5" borderId="0" xfId="4" applyFont="1" applyFill="1" applyBorder="1"/>
    <xf numFmtId="0" fontId="6" fillId="5" borderId="0" xfId="4" quotePrefix="1" applyFont="1" applyFill="1" applyBorder="1" applyAlignment="1">
      <alignment horizontal="left"/>
    </xf>
    <xf numFmtId="0" fontId="213" fillId="5" borderId="0" xfId="4" applyFont="1" applyFill="1"/>
    <xf numFmtId="0" fontId="93" fillId="0" borderId="0" xfId="4" applyFont="1" applyFill="1" applyBorder="1"/>
    <xf numFmtId="0" fontId="3" fillId="5" borderId="9" xfId="4" applyFont="1" applyFill="1" applyBorder="1" applyAlignment="1">
      <alignment horizontal="center"/>
    </xf>
    <xf numFmtId="0" fontId="215" fillId="15" borderId="290" xfId="4" applyFont="1" applyFill="1" applyBorder="1" applyAlignment="1">
      <alignment horizontal="center" vertical="center"/>
    </xf>
    <xf numFmtId="0" fontId="64" fillId="15" borderId="290" xfId="4" applyFont="1" applyFill="1" applyBorder="1" applyAlignment="1">
      <alignment horizontal="center" vertical="center" wrapText="1"/>
    </xf>
    <xf numFmtId="182" fontId="2" fillId="15" borderId="291" xfId="4" quotePrefix="1" applyNumberFormat="1" applyFont="1" applyFill="1" applyBorder="1" applyAlignment="1">
      <alignment horizontal="center" vertical="center"/>
    </xf>
    <xf numFmtId="0" fontId="309" fillId="21" borderId="196" xfId="4" applyFont="1" applyFill="1" applyBorder="1" applyAlignment="1">
      <alignment horizontal="center" vertical="center"/>
    </xf>
    <xf numFmtId="0" fontId="3" fillId="5" borderId="0" xfId="4" applyFont="1" applyFill="1" applyBorder="1" applyAlignment="1">
      <alignment horizontal="center"/>
    </xf>
    <xf numFmtId="0" fontId="215" fillId="5" borderId="292" xfId="4" applyFont="1" applyFill="1" applyBorder="1" applyAlignment="1">
      <alignment horizontal="center" vertical="center"/>
    </xf>
    <xf numFmtId="0" fontId="2" fillId="5" borderId="292" xfId="4" applyFont="1" applyFill="1" applyBorder="1" applyAlignment="1">
      <alignment horizontal="center" vertical="center" wrapText="1"/>
    </xf>
    <xf numFmtId="0" fontId="3" fillId="5" borderId="9" xfId="4" quotePrefix="1" applyFont="1" applyFill="1" applyBorder="1" applyAlignment="1">
      <alignment horizontal="center"/>
    </xf>
    <xf numFmtId="0" fontId="2" fillId="15" borderId="293" xfId="4" applyFont="1" applyFill="1" applyBorder="1" applyAlignment="1">
      <alignment horizontal="center"/>
    </xf>
    <xf numFmtId="183" fontId="49" fillId="15" borderId="160" xfId="4" quotePrefix="1" applyNumberFormat="1" applyFont="1" applyFill="1" applyBorder="1" applyAlignment="1">
      <alignment horizontal="center"/>
    </xf>
    <xf numFmtId="0" fontId="15" fillId="0" borderId="294" xfId="4" applyFont="1" applyBorder="1" applyAlignment="1">
      <alignment horizontal="center"/>
    </xf>
    <xf numFmtId="0" fontId="49" fillId="0" borderId="294" xfId="4" quotePrefix="1" applyNumberFormat="1" applyFont="1" applyBorder="1" applyAlignment="1">
      <alignment horizontal="center"/>
    </xf>
    <xf numFmtId="0" fontId="137" fillId="17" borderId="219" xfId="4" applyFont="1" applyFill="1" applyBorder="1" applyAlignment="1">
      <alignment horizontal="center"/>
    </xf>
    <xf numFmtId="0" fontId="15" fillId="0" borderId="295" xfId="4" applyFont="1" applyBorder="1" applyAlignment="1">
      <alignment horizontal="center"/>
    </xf>
    <xf numFmtId="0" fontId="49" fillId="0" borderId="295" xfId="4" quotePrefix="1" applyNumberFormat="1" applyFont="1" applyBorder="1" applyAlignment="1">
      <alignment horizontal="center"/>
    </xf>
    <xf numFmtId="0" fontId="137" fillId="17" borderId="220" xfId="4" applyFont="1" applyFill="1" applyBorder="1" applyAlignment="1">
      <alignment horizontal="center"/>
    </xf>
    <xf numFmtId="0" fontId="100" fillId="0" borderId="295" xfId="4" applyFont="1" applyBorder="1" applyAlignment="1">
      <alignment horizontal="center"/>
    </xf>
    <xf numFmtId="0" fontId="15" fillId="0" borderId="295" xfId="4" quotePrefix="1" applyFont="1" applyBorder="1" applyAlignment="1">
      <alignment horizontal="center"/>
    </xf>
    <xf numFmtId="0" fontId="15" fillId="0" borderId="295" xfId="4" quotePrefix="1" applyFont="1" applyFill="1" applyBorder="1" applyAlignment="1">
      <alignment horizontal="center"/>
    </xf>
    <xf numFmtId="0" fontId="49" fillId="0" borderId="295" xfId="4" quotePrefix="1" applyNumberFormat="1" applyFont="1" applyFill="1" applyBorder="1" applyAlignment="1">
      <alignment horizontal="center"/>
    </xf>
    <xf numFmtId="0" fontId="15" fillId="0" borderId="295" xfId="4" applyFont="1" applyFill="1" applyBorder="1" applyAlignment="1">
      <alignment horizontal="center"/>
    </xf>
    <xf numFmtId="0" fontId="15" fillId="0" borderId="296" xfId="4" applyFont="1" applyFill="1" applyBorder="1" applyAlignment="1">
      <alignment horizontal="center"/>
    </xf>
    <xf numFmtId="0" fontId="49" fillId="0" borderId="296" xfId="4" quotePrefix="1" applyNumberFormat="1" applyFont="1" applyFill="1" applyBorder="1" applyAlignment="1">
      <alignment horizontal="center"/>
    </xf>
    <xf numFmtId="0" fontId="137" fillId="17" borderId="221" xfId="4" applyFont="1" applyFill="1" applyBorder="1" applyAlignment="1">
      <alignment horizontal="center"/>
    </xf>
    <xf numFmtId="0" fontId="3" fillId="5" borderId="0" xfId="4" quotePrefix="1" applyFont="1" applyFill="1" applyBorder="1" applyAlignment="1">
      <alignment horizontal="center"/>
    </xf>
    <xf numFmtId="183" fontId="49" fillId="5" borderId="0" xfId="4" quotePrefix="1" applyNumberFormat="1" applyFont="1" applyFill="1" applyBorder="1" applyAlignment="1">
      <alignment horizontal="center"/>
    </xf>
    <xf numFmtId="0" fontId="100" fillId="0" borderId="295" xfId="4" applyFont="1" applyFill="1" applyBorder="1" applyAlignment="1">
      <alignment horizontal="center"/>
    </xf>
    <xf numFmtId="0" fontId="48" fillId="15" borderId="293" xfId="4" applyFont="1" applyFill="1" applyBorder="1" applyAlignment="1">
      <alignment horizontal="center"/>
    </xf>
    <xf numFmtId="0" fontId="15" fillId="0" borderId="294" xfId="4" applyFont="1" applyFill="1" applyBorder="1" applyAlignment="1">
      <alignment horizontal="center"/>
    </xf>
    <xf numFmtId="0" fontId="49" fillId="0" borderId="294" xfId="4" quotePrefix="1" applyNumberFormat="1" applyFont="1" applyFill="1" applyBorder="1" applyAlignment="1">
      <alignment horizontal="center"/>
    </xf>
    <xf numFmtId="0" fontId="100" fillId="0" borderId="294" xfId="4" applyFont="1" applyFill="1" applyBorder="1" applyAlignment="1">
      <alignment horizontal="center"/>
    </xf>
    <xf numFmtId="0" fontId="217" fillId="2" borderId="297" xfId="4" applyFont="1" applyFill="1" applyBorder="1" applyAlignment="1">
      <alignment horizontal="center"/>
    </xf>
    <xf numFmtId="0" fontId="218" fillId="2" borderId="295" xfId="4" quotePrefix="1" applyNumberFormat="1" applyFont="1" applyFill="1" applyBorder="1" applyAlignment="1">
      <alignment horizontal="center"/>
    </xf>
    <xf numFmtId="0" fontId="15" fillId="5" borderId="295" xfId="4" applyFont="1" applyFill="1" applyBorder="1" applyAlignment="1">
      <alignment horizontal="center"/>
    </xf>
    <xf numFmtId="0" fontId="3" fillId="5" borderId="292" xfId="4" applyFont="1" applyFill="1" applyBorder="1" applyAlignment="1">
      <alignment horizontal="center"/>
    </xf>
    <xf numFmtId="0" fontId="15" fillId="0" borderId="137" xfId="4" applyFont="1" applyFill="1" applyBorder="1" applyAlignment="1">
      <alignment horizontal="center"/>
    </xf>
    <xf numFmtId="0" fontId="49" fillId="0" borderId="137" xfId="4" quotePrefix="1" applyNumberFormat="1" applyFont="1" applyFill="1" applyBorder="1" applyAlignment="1">
      <alignment horizontal="center"/>
    </xf>
    <xf numFmtId="183" fontId="49" fillId="0" borderId="296" xfId="4" quotePrefix="1" applyNumberFormat="1" applyFont="1" applyFill="1" applyBorder="1" applyAlignment="1">
      <alignment horizontal="center"/>
    </xf>
    <xf numFmtId="0" fontId="219" fillId="5" borderId="296" xfId="4" applyFont="1" applyFill="1" applyBorder="1" applyAlignment="1">
      <alignment horizontal="center"/>
    </xf>
    <xf numFmtId="0" fontId="49" fillId="5" borderId="296" xfId="4" quotePrefix="1" applyNumberFormat="1" applyFont="1" applyFill="1" applyBorder="1" applyAlignment="1">
      <alignment horizontal="center"/>
    </xf>
    <xf numFmtId="0" fontId="100" fillId="0" borderId="296" xfId="4" applyFont="1" applyFill="1" applyBorder="1" applyAlignment="1">
      <alignment horizontal="center"/>
    </xf>
    <xf numFmtId="0" fontId="137" fillId="17" borderId="196" xfId="4" applyFont="1" applyFill="1" applyBorder="1" applyAlignment="1">
      <alignment horizontal="center"/>
    </xf>
    <xf numFmtId="0" fontId="3" fillId="5" borderId="5" xfId="4" applyFont="1" applyFill="1" applyBorder="1" applyAlignment="1">
      <alignment horizontal="center"/>
    </xf>
    <xf numFmtId="0" fontId="2" fillId="5" borderId="0" xfId="4" applyFont="1" applyFill="1" applyBorder="1"/>
    <xf numFmtId="0" fontId="2" fillId="5" borderId="0" xfId="4" applyFont="1" applyFill="1"/>
    <xf numFmtId="0" fontId="7" fillId="2" borderId="0" xfId="4" applyFont="1" applyFill="1"/>
    <xf numFmtId="0" fontId="7" fillId="0" borderId="0" xfId="4" applyFont="1" applyFill="1"/>
    <xf numFmtId="0" fontId="7" fillId="2" borderId="0" xfId="4" applyFont="1" applyFill="1" applyBorder="1"/>
    <xf numFmtId="0" fontId="137" fillId="0" borderId="0" xfId="4" applyFont="1" applyFill="1" applyAlignment="1">
      <alignment horizontal="center"/>
    </xf>
    <xf numFmtId="0" fontId="327" fillId="17" borderId="254" xfId="0" applyFont="1" applyFill="1" applyBorder="1" applyAlignment="1" applyProtection="1">
      <alignment horizontal="center"/>
    </xf>
    <xf numFmtId="168" fontId="70" fillId="49" borderId="148" xfId="0" applyNumberFormat="1" applyFont="1" applyFill="1" applyBorder="1" applyProtection="1"/>
    <xf numFmtId="168" fontId="3" fillId="17" borderId="125" xfId="0" applyNumberFormat="1" applyFont="1" applyFill="1" applyBorder="1" applyProtection="1"/>
    <xf numFmtId="168" fontId="3" fillId="17" borderId="282" xfId="0" applyNumberFormat="1" applyFont="1" applyFill="1" applyBorder="1" applyProtection="1"/>
    <xf numFmtId="168" fontId="70" fillId="5" borderId="163" xfId="10" applyNumberFormat="1" applyFont="1" applyFill="1" applyBorder="1" applyAlignment="1" applyProtection="1"/>
    <xf numFmtId="0" fontId="8" fillId="32" borderId="0" xfId="9" applyFont="1" applyFill="1" applyProtection="1"/>
    <xf numFmtId="38" fontId="3" fillId="32" borderId="0" xfId="10" applyNumberFormat="1" applyFont="1" applyFill="1" applyProtection="1"/>
    <xf numFmtId="0" fontId="7" fillId="32" borderId="0" xfId="9" applyFont="1" applyFill="1" applyProtection="1"/>
    <xf numFmtId="164" fontId="3" fillId="32" borderId="0" xfId="10" applyNumberFormat="1" applyFont="1" applyFill="1" applyAlignment="1" applyProtection="1"/>
    <xf numFmtId="164" fontId="3" fillId="32" borderId="0" xfId="10" applyNumberFormat="1" applyFont="1" applyFill="1" applyProtection="1"/>
    <xf numFmtId="0" fontId="15" fillId="32" borderId="0" xfId="9" applyFont="1" applyFill="1" applyProtection="1"/>
    <xf numFmtId="166" fontId="30" fillId="32" borderId="0" xfId="10" applyNumberFormat="1" applyFont="1" applyFill="1" applyProtection="1"/>
    <xf numFmtId="38" fontId="3" fillId="36" borderId="87" xfId="10" applyNumberFormat="1" applyFont="1" applyFill="1" applyBorder="1" applyAlignment="1" applyProtection="1"/>
    <xf numFmtId="167" fontId="3" fillId="36" borderId="88" xfId="10" applyNumberFormat="1" applyFont="1" applyFill="1" applyBorder="1" applyAlignment="1" applyProtection="1">
      <alignment horizontal="center"/>
    </xf>
    <xf numFmtId="168" fontId="70" fillId="36" borderId="92" xfId="10" applyNumberFormat="1" applyFont="1" applyFill="1" applyBorder="1" applyAlignment="1" applyProtection="1">
      <alignment horizontal="right"/>
    </xf>
    <xf numFmtId="168" fontId="73" fillId="36" borderId="95" xfId="10" applyNumberFormat="1" applyFont="1" applyFill="1" applyBorder="1" applyAlignment="1" applyProtection="1">
      <alignment horizontal="right"/>
    </xf>
    <xf numFmtId="164" fontId="70" fillId="36" borderId="92" xfId="10" applyNumberFormat="1" applyFont="1" applyFill="1" applyBorder="1" applyAlignment="1" applyProtection="1">
      <alignment horizontal="right"/>
    </xf>
    <xf numFmtId="164" fontId="73" fillId="36" borderId="95" xfId="10" applyNumberFormat="1" applyFont="1" applyFill="1" applyBorder="1" applyAlignment="1" applyProtection="1">
      <alignment horizontal="right"/>
    </xf>
    <xf numFmtId="38" fontId="224" fillId="36" borderId="87" xfId="10" applyNumberFormat="1" applyFont="1" applyFill="1" applyBorder="1" applyAlignment="1" applyProtection="1"/>
    <xf numFmtId="184" fontId="328" fillId="17" borderId="171" xfId="9" applyNumberFormat="1" applyFont="1" applyFill="1" applyBorder="1" applyAlignment="1" applyProtection="1">
      <alignment horizontal="left"/>
    </xf>
    <xf numFmtId="185" fontId="329" fillId="42" borderId="341" xfId="0" applyNumberFormat="1" applyFont="1" applyFill="1" applyBorder="1" applyAlignment="1" applyProtection="1">
      <alignment horizontal="left"/>
    </xf>
    <xf numFmtId="0" fontId="70" fillId="2" borderId="0" xfId="9" applyFont="1" applyFill="1" applyAlignment="1" applyProtection="1">
      <alignment horizontal="right"/>
    </xf>
    <xf numFmtId="168" fontId="2" fillId="0" borderId="196" xfId="10" applyNumberFormat="1" applyFont="1" applyBorder="1" applyAlignment="1" applyProtection="1">
      <alignment horizontal="center"/>
    </xf>
    <xf numFmtId="168" fontId="73" fillId="0" borderId="196" xfId="10" applyNumberFormat="1" applyFont="1" applyBorder="1" applyAlignment="1" applyProtection="1">
      <alignment horizontal="center"/>
    </xf>
    <xf numFmtId="0" fontId="7" fillId="2" borderId="173" xfId="9" applyFont="1" applyFill="1" applyBorder="1" applyProtection="1"/>
    <xf numFmtId="0" fontId="7" fillId="2" borderId="196" xfId="9" applyFont="1" applyFill="1" applyBorder="1" applyProtection="1"/>
    <xf numFmtId="0" fontId="7" fillId="2" borderId="196" xfId="6" applyFont="1" applyFill="1" applyBorder="1" applyProtection="1"/>
    <xf numFmtId="0" fontId="70" fillId="32" borderId="0" xfId="9" applyFont="1" applyFill="1" applyAlignment="1" applyProtection="1">
      <alignment horizontal="right"/>
    </xf>
    <xf numFmtId="186" fontId="299" fillId="17" borderId="171" xfId="9" applyNumberFormat="1" applyFont="1" applyFill="1" applyBorder="1" applyAlignment="1" applyProtection="1">
      <alignment horizontal="left"/>
    </xf>
    <xf numFmtId="184" fontId="299" fillId="17" borderId="175" xfId="9" applyNumberFormat="1" applyFont="1" applyFill="1" applyBorder="1" applyAlignment="1" applyProtection="1">
      <alignment horizontal="center"/>
    </xf>
    <xf numFmtId="184" fontId="299" fillId="17" borderId="171" xfId="9" applyNumberFormat="1" applyFont="1" applyFill="1" applyBorder="1" applyAlignment="1" applyProtection="1">
      <alignment horizontal="left"/>
    </xf>
    <xf numFmtId="186" fontId="329" fillId="42" borderId="341" xfId="0" applyNumberFormat="1" applyFont="1" applyFill="1" applyBorder="1" applyAlignment="1" applyProtection="1">
      <alignment horizontal="left"/>
    </xf>
    <xf numFmtId="0" fontId="175" fillId="42" borderId="340" xfId="0" applyFont="1" applyFill="1" applyBorder="1" applyAlignment="1" applyProtection="1">
      <alignment horizontal="left" vertical="center"/>
    </xf>
    <xf numFmtId="187" fontId="329" fillId="42" borderId="343" xfId="0" applyNumberFormat="1" applyFont="1" applyFill="1" applyBorder="1" applyAlignment="1" applyProtection="1">
      <alignment horizontal="left" vertical="center"/>
    </xf>
    <xf numFmtId="0" fontId="320" fillId="42" borderId="0" xfId="0" applyFont="1" applyFill="1" applyBorder="1" applyAlignment="1" applyProtection="1">
      <alignment horizontal="center"/>
    </xf>
    <xf numFmtId="0" fontId="320" fillId="42" borderId="350" xfId="0" applyFont="1" applyFill="1" applyBorder="1" applyProtection="1"/>
    <xf numFmtId="38" fontId="330" fillId="21" borderId="162" xfId="10" applyNumberFormat="1" applyFont="1" applyFill="1" applyBorder="1" applyAlignment="1" applyProtection="1">
      <alignment horizontal="center" vertical="center"/>
    </xf>
    <xf numFmtId="38" fontId="331" fillId="45" borderId="162" xfId="10" applyNumberFormat="1" applyFont="1" applyFill="1" applyBorder="1" applyAlignment="1" applyProtection="1">
      <alignment horizontal="center" vertical="center"/>
    </xf>
    <xf numFmtId="38" fontId="332" fillId="16" borderId="162" xfId="10" applyNumberFormat="1" applyFont="1" applyFill="1" applyBorder="1" applyAlignment="1" applyProtection="1">
      <alignment horizontal="center" vertical="center"/>
    </xf>
    <xf numFmtId="38" fontId="333" fillId="16" borderId="162" xfId="10" applyNumberFormat="1" applyFont="1" applyFill="1" applyBorder="1" applyAlignment="1" applyProtection="1">
      <alignment horizontal="center" vertical="center"/>
    </xf>
    <xf numFmtId="0" fontId="77" fillId="2" borderId="0" xfId="0" applyFont="1" applyFill="1" applyBorder="1" applyAlignment="1">
      <alignment vertical="center"/>
    </xf>
    <xf numFmtId="0" fontId="231" fillId="2" borderId="0" xfId="0" applyFont="1" applyFill="1" applyBorder="1" applyAlignment="1">
      <alignment horizontal="left" vertical="center"/>
    </xf>
    <xf numFmtId="0" fontId="77" fillId="2" borderId="0" xfId="0" applyFont="1" applyFill="1" applyBorder="1" applyAlignment="1" applyProtection="1">
      <alignment vertical="center"/>
    </xf>
    <xf numFmtId="0" fontId="231" fillId="2" borderId="0" xfId="0" applyFont="1" applyFill="1" applyBorder="1" applyAlignment="1" applyProtection="1">
      <alignment horizontal="left" vertical="center"/>
    </xf>
    <xf numFmtId="0" fontId="147" fillId="16" borderId="169" xfId="0" applyFont="1" applyFill="1" applyBorder="1" applyProtection="1"/>
    <xf numFmtId="0" fontId="0" fillId="16" borderId="170" xfId="0" applyFill="1" applyBorder="1" applyProtection="1"/>
    <xf numFmtId="0" fontId="0" fillId="16" borderId="171" xfId="0" applyFill="1" applyBorder="1" applyProtection="1"/>
    <xf numFmtId="0" fontId="147" fillId="16" borderId="172" xfId="0" applyFont="1" applyFill="1" applyBorder="1" applyProtection="1"/>
    <xf numFmtId="0" fontId="0" fillId="16" borderId="0" xfId="0" applyFill="1" applyBorder="1" applyProtection="1"/>
    <xf numFmtId="0" fontId="0" fillId="16" borderId="173" xfId="0" applyFill="1" applyBorder="1" applyProtection="1"/>
    <xf numFmtId="0" fontId="334" fillId="16" borderId="0" xfId="0" applyFont="1" applyFill="1" applyBorder="1" applyProtection="1"/>
    <xf numFmtId="0" fontId="147" fillId="16" borderId="0" xfId="0" applyFont="1" applyFill="1" applyBorder="1" applyProtection="1"/>
    <xf numFmtId="0" fontId="147" fillId="16" borderId="174" xfId="0" applyFont="1" applyFill="1" applyBorder="1" applyProtection="1"/>
    <xf numFmtId="0" fontId="335" fillId="16" borderId="11" xfId="0" applyFont="1" applyFill="1" applyBorder="1" applyProtection="1"/>
    <xf numFmtId="0" fontId="147" fillId="16" borderId="11" xfId="0" applyFont="1" applyFill="1" applyBorder="1" applyProtection="1"/>
    <xf numFmtId="0" fontId="0" fillId="16" borderId="11" xfId="0" applyFill="1" applyBorder="1" applyProtection="1"/>
    <xf numFmtId="0" fontId="0" fillId="16" borderId="175" xfId="0" applyFill="1" applyBorder="1" applyProtection="1"/>
    <xf numFmtId="186" fontId="299" fillId="17" borderId="171" xfId="9" quotePrefix="1" applyNumberFormat="1" applyFont="1" applyFill="1" applyBorder="1" applyAlignment="1" applyProtection="1">
      <alignment horizontal="left"/>
    </xf>
    <xf numFmtId="184" fontId="299" fillId="17" borderId="175" xfId="9" quotePrefix="1" applyNumberFormat="1" applyFont="1" applyFill="1" applyBorder="1" applyAlignment="1" applyProtection="1">
      <alignment horizontal="center"/>
    </xf>
    <xf numFmtId="168" fontId="2" fillId="17" borderId="196" xfId="10" applyNumberFormat="1" applyFont="1" applyFill="1" applyBorder="1" applyAlignment="1" applyProtection="1"/>
    <xf numFmtId="168" fontId="73" fillId="17" borderId="196" xfId="10" applyNumberFormat="1" applyFont="1" applyFill="1" applyBorder="1" applyAlignment="1" applyProtection="1"/>
    <xf numFmtId="165" fontId="8" fillId="5" borderId="196" xfId="6" applyNumberFormat="1" applyFont="1" applyFill="1" applyBorder="1" applyAlignment="1" applyProtection="1">
      <alignment horizontal="center" vertical="center"/>
    </xf>
    <xf numFmtId="168" fontId="73" fillId="0" borderId="196" xfId="10" applyNumberFormat="1" applyFont="1" applyBorder="1" applyAlignment="1" applyProtection="1"/>
    <xf numFmtId="168" fontId="2" fillId="32" borderId="221" xfId="10" applyNumberFormat="1" applyFont="1" applyFill="1" applyBorder="1" applyAlignment="1" applyProtection="1"/>
    <xf numFmtId="168" fontId="73" fillId="32" borderId="221" xfId="10" applyNumberFormat="1" applyFont="1" applyFill="1" applyBorder="1" applyAlignment="1" applyProtection="1"/>
    <xf numFmtId="168" fontId="73" fillId="17" borderId="166" xfId="10" applyNumberFormat="1" applyFont="1" applyFill="1" applyBorder="1" applyAlignment="1" applyProtection="1">
      <alignment horizontal="right"/>
    </xf>
    <xf numFmtId="168" fontId="70" fillId="17" borderId="164" xfId="10" applyNumberFormat="1" applyFont="1" applyFill="1" applyBorder="1" applyAlignment="1" applyProtection="1">
      <alignment horizontal="right"/>
    </xf>
    <xf numFmtId="168" fontId="70" fillId="17" borderId="165" xfId="10" applyNumberFormat="1" applyFont="1" applyFill="1" applyBorder="1" applyAlignment="1" applyProtection="1">
      <alignment horizontal="right"/>
    </xf>
    <xf numFmtId="168" fontId="73" fillId="17" borderId="167" xfId="10" applyNumberFormat="1" applyFont="1" applyFill="1" applyBorder="1" applyAlignment="1" applyProtection="1">
      <alignment horizontal="right"/>
    </xf>
    <xf numFmtId="164" fontId="73" fillId="0" borderId="196" xfId="10" applyNumberFormat="1" applyFont="1" applyBorder="1" applyAlignment="1" applyProtection="1"/>
    <xf numFmtId="0" fontId="336" fillId="21" borderId="342" xfId="0" applyFont="1" applyFill="1" applyBorder="1" applyProtection="1"/>
    <xf numFmtId="0" fontId="336" fillId="21" borderId="345" xfId="0" applyFont="1" applyFill="1" applyBorder="1" applyProtection="1"/>
    <xf numFmtId="0" fontId="309" fillId="21" borderId="345" xfId="0" applyFont="1" applyFill="1" applyBorder="1" applyProtection="1"/>
    <xf numFmtId="0" fontId="337" fillId="21" borderId="343" xfId="0" applyFont="1" applyFill="1" applyBorder="1" applyProtection="1"/>
    <xf numFmtId="0" fontId="338" fillId="2" borderId="0" xfId="0" applyFont="1" applyFill="1" applyBorder="1" applyAlignment="1">
      <alignment horizontal="center" vertical="center"/>
    </xf>
    <xf numFmtId="168" fontId="3" fillId="23" borderId="13" xfId="0" applyNumberFormat="1" applyFont="1" applyFill="1" applyBorder="1" applyAlignment="1" applyProtection="1">
      <alignment horizontal="right"/>
    </xf>
    <xf numFmtId="168" fontId="3" fillId="36" borderId="128" xfId="0" applyNumberFormat="1" applyFont="1" applyFill="1" applyBorder="1" applyProtection="1"/>
    <xf numFmtId="0" fontId="137" fillId="2" borderId="0" xfId="0" applyFont="1" applyFill="1" applyProtection="1"/>
    <xf numFmtId="179" fontId="202" fillId="3" borderId="298" xfId="0" applyNumberFormat="1" applyFont="1" applyFill="1" applyBorder="1" applyAlignment="1" applyProtection="1">
      <alignment horizontal="center"/>
    </xf>
    <xf numFmtId="4" fontId="235" fillId="3" borderId="298" xfId="0" applyNumberFormat="1" applyFont="1" applyFill="1" applyBorder="1" applyAlignment="1" applyProtection="1">
      <alignment horizontal="center"/>
    </xf>
    <xf numFmtId="4" fontId="235" fillId="11" borderId="298" xfId="0" applyNumberFormat="1" applyFont="1" applyFill="1" applyBorder="1" applyAlignment="1" applyProtection="1">
      <alignment horizontal="center"/>
    </xf>
    <xf numFmtId="4" fontId="235" fillId="7" borderId="298" xfId="0" applyNumberFormat="1" applyFont="1" applyFill="1" applyBorder="1" applyAlignment="1" applyProtection="1">
      <alignment horizontal="center"/>
    </xf>
    <xf numFmtId="4" fontId="167" fillId="5" borderId="192" xfId="0" applyNumberFormat="1" applyFont="1" applyFill="1" applyBorder="1" applyAlignment="1" applyProtection="1">
      <alignment horizontal="center"/>
    </xf>
    <xf numFmtId="179" fontId="73" fillId="5" borderId="192" xfId="0" applyNumberFormat="1" applyFont="1" applyFill="1" applyBorder="1" applyAlignment="1" applyProtection="1">
      <alignment horizontal="center"/>
    </xf>
    <xf numFmtId="179" fontId="202" fillId="7" borderId="298" xfId="0" applyNumberFormat="1" applyFont="1" applyFill="1" applyBorder="1" applyAlignment="1" applyProtection="1">
      <alignment horizontal="center"/>
    </xf>
    <xf numFmtId="179" fontId="202" fillId="11" borderId="298" xfId="0" applyNumberFormat="1" applyFont="1" applyFill="1" applyBorder="1" applyAlignment="1" applyProtection="1">
      <alignment horizontal="center"/>
    </xf>
    <xf numFmtId="4" fontId="202" fillId="3" borderId="298" xfId="0" applyNumberFormat="1" applyFont="1" applyFill="1" applyBorder="1" applyAlignment="1" applyProtection="1">
      <alignment horizontal="center"/>
    </xf>
    <xf numFmtId="171" fontId="202" fillId="11" borderId="298" xfId="0" applyNumberFormat="1" applyFont="1" applyFill="1" applyBorder="1" applyAlignment="1" applyProtection="1">
      <alignment horizontal="center"/>
    </xf>
    <xf numFmtId="171" fontId="202" fillId="7" borderId="298" xfId="0" applyNumberFormat="1" applyFont="1" applyFill="1" applyBorder="1" applyAlignment="1" applyProtection="1">
      <alignment horizontal="center"/>
    </xf>
    <xf numFmtId="171" fontId="73" fillId="5" borderId="192" xfId="0" applyNumberFormat="1" applyFont="1" applyFill="1" applyBorder="1" applyAlignment="1" applyProtection="1">
      <alignment horizontal="center"/>
    </xf>
    <xf numFmtId="4" fontId="202" fillId="3" borderId="299" xfId="0" applyNumberFormat="1" applyFont="1" applyFill="1" applyBorder="1" applyAlignment="1" applyProtection="1">
      <alignment horizontal="center"/>
    </xf>
    <xf numFmtId="4" fontId="202" fillId="3" borderId="300" xfId="0" applyNumberFormat="1" applyFont="1" applyFill="1" applyBorder="1" applyAlignment="1" applyProtection="1">
      <alignment horizontal="center"/>
    </xf>
    <xf numFmtId="4" fontId="202" fillId="11" borderId="299" xfId="0" applyNumberFormat="1" applyFont="1" applyFill="1" applyBorder="1" applyAlignment="1" applyProtection="1">
      <alignment horizontal="center"/>
    </xf>
    <xf numFmtId="4" fontId="202" fillId="11" borderId="300" xfId="0" applyNumberFormat="1" applyFont="1" applyFill="1" applyBorder="1" applyAlignment="1" applyProtection="1">
      <alignment horizontal="center"/>
    </xf>
    <xf numFmtId="4" fontId="202" fillId="7" borderId="299" xfId="0" applyNumberFormat="1" applyFont="1" applyFill="1" applyBorder="1" applyAlignment="1" applyProtection="1">
      <alignment horizontal="center"/>
    </xf>
    <xf numFmtId="4" fontId="202" fillId="7" borderId="300" xfId="0" applyNumberFormat="1" applyFont="1" applyFill="1" applyBorder="1" applyAlignment="1" applyProtection="1">
      <alignment horizontal="center"/>
    </xf>
    <xf numFmtId="4" fontId="73" fillId="5" borderId="158" xfId="0" applyNumberFormat="1" applyFont="1" applyFill="1" applyBorder="1" applyAlignment="1" applyProtection="1">
      <alignment horizontal="center"/>
    </xf>
    <xf numFmtId="4" fontId="73" fillId="5" borderId="301" xfId="0" applyNumberFormat="1" applyFont="1" applyFill="1" applyBorder="1" applyAlignment="1" applyProtection="1">
      <alignment horizontal="center"/>
    </xf>
    <xf numFmtId="4" fontId="202" fillId="17" borderId="158" xfId="0" applyNumberFormat="1" applyFont="1" applyFill="1" applyBorder="1" applyAlignment="1" applyProtection="1">
      <alignment horizontal="center"/>
    </xf>
    <xf numFmtId="4" fontId="202" fillId="17" borderId="301" xfId="0" applyNumberFormat="1" applyFont="1" applyFill="1" applyBorder="1" applyAlignment="1" applyProtection="1">
      <alignment horizontal="center"/>
    </xf>
    <xf numFmtId="3" fontId="202" fillId="3" borderId="299" xfId="0" applyNumberFormat="1" applyFont="1" applyFill="1" applyBorder="1" applyAlignment="1" applyProtection="1">
      <alignment horizontal="center"/>
    </xf>
    <xf numFmtId="3" fontId="202" fillId="3" borderId="300" xfId="0" applyNumberFormat="1" applyFont="1" applyFill="1" applyBorder="1" applyAlignment="1" applyProtection="1">
      <alignment horizontal="center"/>
    </xf>
    <xf numFmtId="3" fontId="202" fillId="11" borderId="299" xfId="0" applyNumberFormat="1" applyFont="1" applyFill="1" applyBorder="1" applyAlignment="1" applyProtection="1">
      <alignment horizontal="center"/>
    </xf>
    <xf numFmtId="3" fontId="202" fillId="11" borderId="300" xfId="0" applyNumberFormat="1" applyFont="1" applyFill="1" applyBorder="1" applyAlignment="1" applyProtection="1">
      <alignment horizontal="center"/>
    </xf>
    <xf numFmtId="3" fontId="202" fillId="7" borderId="299" xfId="0" applyNumberFormat="1" applyFont="1" applyFill="1" applyBorder="1" applyAlignment="1" applyProtection="1">
      <alignment horizontal="center"/>
    </xf>
    <xf numFmtId="3" fontId="202" fillId="7" borderId="300" xfId="0" applyNumberFormat="1" applyFont="1" applyFill="1" applyBorder="1" applyAlignment="1" applyProtection="1">
      <alignment horizontal="center"/>
    </xf>
    <xf numFmtId="3" fontId="202" fillId="17" borderId="158" xfId="0" applyNumberFormat="1" applyFont="1" applyFill="1" applyBorder="1" applyAlignment="1" applyProtection="1">
      <alignment horizontal="center"/>
    </xf>
    <xf numFmtId="3" fontId="202" fillId="17" borderId="301" xfId="0" applyNumberFormat="1" applyFont="1" applyFill="1" applyBorder="1" applyAlignment="1" applyProtection="1">
      <alignment horizontal="center"/>
    </xf>
    <xf numFmtId="167" fontId="3" fillId="16" borderId="65" xfId="10" applyNumberFormat="1" applyFont="1" applyFill="1" applyBorder="1" applyAlignment="1" applyProtection="1">
      <alignment horizontal="center"/>
    </xf>
    <xf numFmtId="167" fontId="3" fillId="16" borderId="130" xfId="10" applyNumberFormat="1" applyFont="1" applyFill="1" applyBorder="1" applyAlignment="1" applyProtection="1">
      <alignment horizontal="center"/>
    </xf>
    <xf numFmtId="167" fontId="2" fillId="16" borderId="88" xfId="10" applyNumberFormat="1" applyFont="1" applyFill="1" applyBorder="1" applyAlignment="1" applyProtection="1">
      <alignment horizontal="center"/>
    </xf>
    <xf numFmtId="167" fontId="3" fillId="23" borderId="65" xfId="10" applyNumberFormat="1" applyFont="1" applyFill="1" applyBorder="1" applyAlignment="1" applyProtection="1">
      <alignment horizontal="center" vertical="center"/>
    </xf>
    <xf numFmtId="167" fontId="3" fillId="16" borderId="64" xfId="10" applyNumberFormat="1" applyFont="1" applyFill="1" applyBorder="1" applyAlignment="1" applyProtection="1">
      <alignment horizontal="center"/>
    </xf>
    <xf numFmtId="167" fontId="3" fillId="16" borderId="302" xfId="10" applyNumberFormat="1" applyFont="1" applyFill="1" applyBorder="1" applyAlignment="1" applyProtection="1">
      <alignment horizontal="center"/>
    </xf>
    <xf numFmtId="167" fontId="3" fillId="16" borderId="278" xfId="10" applyNumberFormat="1" applyFont="1" applyFill="1" applyBorder="1" applyAlignment="1" applyProtection="1">
      <alignment horizontal="center"/>
    </xf>
    <xf numFmtId="167" fontId="3" fillId="23" borderId="302" xfId="10" applyNumberFormat="1" applyFont="1" applyFill="1" applyBorder="1" applyAlignment="1" applyProtection="1">
      <alignment horizontal="center" vertical="center"/>
    </xf>
    <xf numFmtId="0" fontId="160" fillId="21" borderId="303" xfId="6" applyFont="1" applyFill="1" applyBorder="1" applyProtection="1"/>
    <xf numFmtId="167" fontId="3" fillId="23" borderId="64" xfId="10" applyNumberFormat="1" applyFont="1" applyFill="1" applyBorder="1" applyAlignment="1" applyProtection="1">
      <alignment horizontal="center" vertical="center"/>
    </xf>
    <xf numFmtId="166" fontId="12" fillId="45" borderId="303" xfId="10" applyNumberFormat="1" applyFont="1" applyFill="1" applyBorder="1" applyAlignment="1" applyProtection="1">
      <alignment horizontal="center" vertical="center"/>
    </xf>
    <xf numFmtId="0" fontId="7" fillId="32" borderId="0" xfId="6" applyFont="1" applyFill="1" applyProtection="1"/>
    <xf numFmtId="0" fontId="160" fillId="16" borderId="93" xfId="6" applyFont="1" applyFill="1" applyBorder="1" applyProtection="1"/>
    <xf numFmtId="0" fontId="224" fillId="17" borderId="280" xfId="6" applyFont="1" applyFill="1" applyBorder="1" applyAlignment="1" applyProtection="1">
      <alignment horizontal="right"/>
    </xf>
    <xf numFmtId="167" fontId="224" fillId="0" borderId="281" xfId="10" applyNumberFormat="1" applyFont="1" applyBorder="1" applyAlignment="1" applyProtection="1">
      <alignment horizontal="center" vertical="center"/>
      <protection locked="0"/>
    </xf>
    <xf numFmtId="0" fontId="224" fillId="17" borderId="304" xfId="6" applyFont="1" applyFill="1" applyBorder="1" applyAlignment="1" applyProtection="1">
      <alignment horizontal="right"/>
    </xf>
    <xf numFmtId="0" fontId="160" fillId="45" borderId="148" xfId="6" applyFont="1" applyFill="1" applyBorder="1" applyAlignment="1" applyProtection="1">
      <alignment horizontal="right"/>
    </xf>
    <xf numFmtId="0" fontId="160" fillId="45" borderId="93" xfId="6" applyFont="1" applyFill="1" applyBorder="1" applyProtection="1"/>
    <xf numFmtId="0" fontId="224" fillId="17" borderId="280" xfId="6" applyFont="1" applyFill="1" applyBorder="1" applyAlignment="1" applyProtection="1">
      <alignment horizontal="left"/>
    </xf>
    <xf numFmtId="0" fontId="224" fillId="17" borderId="304" xfId="6" applyFont="1" applyFill="1" applyBorder="1" applyAlignment="1" applyProtection="1">
      <alignment horizontal="left"/>
    </xf>
    <xf numFmtId="0" fontId="160" fillId="16" borderId="148" xfId="6" applyFont="1" applyFill="1" applyBorder="1" applyAlignment="1" applyProtection="1">
      <alignment horizontal="left"/>
    </xf>
    <xf numFmtId="164" fontId="16" fillId="21" borderId="3" xfId="0" applyNumberFormat="1" applyFont="1" applyFill="1" applyBorder="1" applyAlignment="1" applyProtection="1">
      <alignment horizontal="center"/>
    </xf>
    <xf numFmtId="164" fontId="16" fillId="17" borderId="3" xfId="0" applyNumberFormat="1" applyFont="1" applyFill="1" applyBorder="1" applyAlignment="1" applyProtection="1">
      <alignment horizontal="center"/>
    </xf>
    <xf numFmtId="164" fontId="202" fillId="17" borderId="7" xfId="0" applyNumberFormat="1" applyFont="1" applyFill="1" applyBorder="1" applyAlignment="1" applyProtection="1">
      <alignment horizontal="center"/>
    </xf>
    <xf numFmtId="164" fontId="16" fillId="33" borderId="3" xfId="0" applyNumberFormat="1" applyFont="1" applyFill="1" applyBorder="1" applyAlignment="1" applyProtection="1">
      <alignment horizontal="center"/>
    </xf>
    <xf numFmtId="164" fontId="202" fillId="33" borderId="7" xfId="0" applyNumberFormat="1" applyFont="1" applyFill="1" applyBorder="1" applyAlignment="1" applyProtection="1">
      <alignment horizontal="center"/>
    </xf>
    <xf numFmtId="164" fontId="16" fillId="18" borderId="3" xfId="0" applyNumberFormat="1" applyFont="1" applyFill="1" applyBorder="1" applyAlignment="1" applyProtection="1">
      <alignment horizontal="center"/>
    </xf>
    <xf numFmtId="164" fontId="202" fillId="18" borderId="7" xfId="0" applyNumberFormat="1" applyFont="1" applyFill="1" applyBorder="1" applyAlignment="1" applyProtection="1">
      <alignment horizontal="center"/>
    </xf>
    <xf numFmtId="0" fontId="160" fillId="2" borderId="0" xfId="6" applyFont="1" applyFill="1" applyAlignment="1" applyProtection="1">
      <alignment horizontal="center"/>
    </xf>
    <xf numFmtId="0" fontId="167" fillId="2" borderId="0" xfId="6" applyFont="1" applyFill="1" applyAlignment="1" applyProtection="1">
      <alignment horizontal="center"/>
    </xf>
    <xf numFmtId="0" fontId="169" fillId="8" borderId="0" xfId="9" applyFont="1" applyFill="1" applyProtection="1"/>
    <xf numFmtId="0" fontId="7" fillId="5" borderId="0" xfId="6" applyFont="1" applyFill="1" applyBorder="1" applyProtection="1"/>
    <xf numFmtId="0" fontId="2" fillId="29" borderId="0" xfId="9" applyFont="1" applyFill="1" applyProtection="1"/>
    <xf numFmtId="0" fontId="70" fillId="29" borderId="0" xfId="9" applyFont="1" applyFill="1" applyProtection="1"/>
    <xf numFmtId="0" fontId="2" fillId="17" borderId="0" xfId="9" applyFont="1" applyFill="1" applyProtection="1"/>
    <xf numFmtId="0" fontId="2" fillId="5" borderId="0" xfId="6" applyFont="1" applyFill="1" applyProtection="1"/>
    <xf numFmtId="0" fontId="2" fillId="17" borderId="0" xfId="6" applyFont="1" applyFill="1" applyProtection="1"/>
    <xf numFmtId="0" fontId="160" fillId="16" borderId="351" xfId="6" applyFont="1" applyFill="1" applyBorder="1" applyProtection="1"/>
    <xf numFmtId="167" fontId="224" fillId="0" borderId="352" xfId="10" applyNumberFormat="1" applyFont="1" applyBorder="1" applyAlignment="1" applyProtection="1">
      <alignment horizontal="center" vertical="center"/>
      <protection locked="0"/>
    </xf>
    <xf numFmtId="167" fontId="224" fillId="0" borderId="353" xfId="10" applyNumberFormat="1" applyFont="1" applyBorder="1" applyAlignment="1" applyProtection="1">
      <alignment horizontal="center" vertical="center"/>
      <protection locked="0"/>
    </xf>
    <xf numFmtId="167" fontId="224" fillId="0" borderId="163" xfId="10" applyNumberFormat="1" applyFont="1" applyBorder="1" applyAlignment="1" applyProtection="1">
      <alignment horizontal="center" vertical="center"/>
      <protection locked="0"/>
    </xf>
    <xf numFmtId="0" fontId="160" fillId="17" borderId="269" xfId="6" applyFont="1" applyFill="1" applyBorder="1" applyAlignment="1" applyProtection="1">
      <alignment horizontal="center"/>
    </xf>
    <xf numFmtId="0" fontId="137" fillId="32" borderId="0" xfId="0" applyFont="1" applyFill="1" applyProtection="1"/>
    <xf numFmtId="0" fontId="315" fillId="32" borderId="0" xfId="0" applyFont="1" applyFill="1" applyProtection="1"/>
    <xf numFmtId="168" fontId="315" fillId="32" borderId="0" xfId="0" applyNumberFormat="1" applyFont="1" applyFill="1" applyAlignment="1" applyProtection="1">
      <alignment horizontal="right"/>
    </xf>
    <xf numFmtId="0" fontId="185" fillId="32" borderId="0" xfId="0" applyFont="1" applyFill="1" applyProtection="1"/>
    <xf numFmtId="0" fontId="185" fillId="32" borderId="0" xfId="0" applyFont="1" applyFill="1" applyAlignment="1" applyProtection="1">
      <alignment horizontal="right"/>
    </xf>
    <xf numFmtId="0" fontId="160" fillId="17" borderId="305" xfId="6" applyFont="1" applyFill="1" applyBorder="1" applyAlignment="1" applyProtection="1">
      <alignment horizontal="center"/>
    </xf>
    <xf numFmtId="0" fontId="7" fillId="17" borderId="305" xfId="6" applyFont="1" applyFill="1" applyBorder="1" applyAlignment="1" applyProtection="1">
      <alignment horizontal="center"/>
    </xf>
    <xf numFmtId="215" fontId="299" fillId="29" borderId="48" xfId="9" applyNumberFormat="1" applyFont="1" applyFill="1" applyBorder="1" applyAlignment="1" applyProtection="1">
      <alignment horizontal="center"/>
    </xf>
    <xf numFmtId="215" fontId="76" fillId="17" borderId="48" xfId="9" applyNumberFormat="1" applyFont="1" applyFill="1" applyBorder="1" applyAlignment="1" applyProtection="1">
      <alignment horizontal="center"/>
    </xf>
    <xf numFmtId="215" fontId="299" fillId="8" borderId="48" xfId="9" applyNumberFormat="1" applyFont="1" applyFill="1" applyBorder="1" applyAlignment="1" applyProtection="1">
      <alignment horizontal="center"/>
    </xf>
    <xf numFmtId="164" fontId="8" fillId="45" borderId="96" xfId="10" applyNumberFormat="1" applyFont="1" applyFill="1" applyBorder="1" applyAlignment="1" applyProtection="1">
      <alignment horizontal="right"/>
    </xf>
    <xf numFmtId="164" fontId="15" fillId="45" borderId="99" xfId="10" applyNumberFormat="1" applyFont="1" applyFill="1" applyBorder="1" applyAlignment="1" applyProtection="1">
      <alignment horizontal="right"/>
    </xf>
    <xf numFmtId="164" fontId="8" fillId="21" borderId="96" xfId="10" applyNumberFormat="1" applyFont="1" applyFill="1" applyBorder="1" applyAlignment="1" applyProtection="1"/>
    <xf numFmtId="164" fontId="15" fillId="21" borderId="99" xfId="10" applyNumberFormat="1" applyFont="1" applyFill="1" applyBorder="1" applyAlignment="1" applyProtection="1"/>
    <xf numFmtId="0" fontId="2" fillId="8" borderId="0" xfId="9" applyFont="1" applyFill="1" applyAlignment="1" applyProtection="1">
      <alignment horizontal="right"/>
    </xf>
    <xf numFmtId="0" fontId="2" fillId="17" borderId="0" xfId="9" applyFont="1" applyFill="1" applyAlignment="1" applyProtection="1">
      <alignment horizontal="right"/>
    </xf>
    <xf numFmtId="0" fontId="297" fillId="2" borderId="0" xfId="6" applyFont="1" applyFill="1" applyAlignment="1" applyProtection="1">
      <alignment horizontal="center"/>
    </xf>
    <xf numFmtId="0" fontId="160" fillId="21" borderId="303" xfId="6" applyFont="1" applyFill="1" applyBorder="1" applyAlignment="1" applyProtection="1">
      <alignment horizontal="center"/>
    </xf>
    <xf numFmtId="167" fontId="3" fillId="0" borderId="302" xfId="10" applyNumberFormat="1" applyFont="1" applyBorder="1" applyAlignment="1" applyProtection="1">
      <alignment horizontal="center"/>
    </xf>
    <xf numFmtId="167" fontId="3" fillId="0" borderId="278" xfId="10" applyNumberFormat="1" applyFont="1" applyBorder="1" applyAlignment="1" applyProtection="1">
      <alignment horizontal="center"/>
    </xf>
    <xf numFmtId="0" fontId="160" fillId="51" borderId="148" xfId="6" applyFont="1" applyFill="1" applyBorder="1" applyAlignment="1" applyProtection="1">
      <alignment horizontal="left"/>
    </xf>
    <xf numFmtId="0" fontId="160" fillId="51" borderId="351" xfId="6" applyFont="1" applyFill="1" applyBorder="1" applyProtection="1"/>
    <xf numFmtId="164" fontId="2" fillId="17" borderId="354" xfId="0" applyNumberFormat="1" applyFont="1" applyFill="1" applyBorder="1" applyAlignment="1" applyProtection="1">
      <alignment horizontal="center"/>
      <protection locked="0"/>
    </xf>
    <xf numFmtId="164" fontId="3" fillId="17" borderId="306" xfId="0" applyNumberFormat="1" applyFont="1" applyFill="1" applyBorder="1" applyAlignment="1" applyProtection="1">
      <alignment horizontal="center"/>
      <protection locked="0"/>
    </xf>
    <xf numFmtId="164" fontId="2" fillId="17" borderId="355" xfId="0" applyNumberFormat="1" applyFont="1" applyFill="1" applyBorder="1" applyAlignment="1" applyProtection="1">
      <alignment horizontal="center"/>
      <protection locked="0"/>
    </xf>
    <xf numFmtId="164" fontId="3" fillId="17" borderId="307" xfId="0" applyNumberFormat="1" applyFont="1" applyFill="1" applyBorder="1" applyAlignment="1" applyProtection="1">
      <alignment horizontal="center"/>
      <protection locked="0"/>
    </xf>
    <xf numFmtId="164" fontId="2" fillId="16" borderId="356" xfId="0" applyNumberFormat="1" applyFont="1" applyFill="1" applyBorder="1" applyAlignment="1" applyProtection="1">
      <alignment horizontal="center"/>
    </xf>
    <xf numFmtId="164" fontId="3" fillId="16" borderId="269" xfId="0" applyNumberFormat="1" applyFont="1" applyFill="1" applyBorder="1" applyAlignment="1" applyProtection="1">
      <alignment horizontal="center"/>
    </xf>
    <xf numFmtId="164" fontId="2" fillId="51" borderId="356" xfId="0" applyNumberFormat="1" applyFont="1" applyFill="1" applyBorder="1" applyAlignment="1" applyProtection="1">
      <alignment horizontal="center"/>
    </xf>
    <xf numFmtId="164" fontId="3" fillId="51" borderId="269" xfId="0" applyNumberFormat="1" applyFont="1" applyFill="1" applyBorder="1" applyAlignment="1" applyProtection="1">
      <alignment horizontal="center"/>
    </xf>
    <xf numFmtId="164" fontId="2" fillId="45" borderId="270" xfId="0" applyNumberFormat="1" applyFont="1" applyFill="1" applyBorder="1" applyAlignment="1" applyProtection="1">
      <alignment horizontal="center"/>
    </xf>
    <xf numFmtId="164" fontId="3" fillId="45" borderId="269" xfId="0" applyNumberFormat="1" applyFont="1" applyFill="1" applyBorder="1" applyAlignment="1" applyProtection="1">
      <alignment horizontal="center"/>
    </xf>
    <xf numFmtId="164" fontId="2" fillId="17" borderId="308" xfId="0" applyNumberFormat="1" applyFont="1" applyFill="1" applyBorder="1" applyAlignment="1" applyProtection="1">
      <alignment horizontal="center"/>
      <protection locked="0"/>
    </xf>
    <xf numFmtId="164" fontId="2" fillId="17" borderId="309" xfId="0" applyNumberFormat="1" applyFont="1" applyFill="1" applyBorder="1" applyAlignment="1" applyProtection="1">
      <alignment horizontal="center"/>
      <protection locked="0"/>
    </xf>
    <xf numFmtId="38" fontId="3" fillId="0" borderId="47" xfId="10" applyNumberFormat="1" applyFont="1" applyBorder="1" applyAlignment="1" applyProtection="1"/>
    <xf numFmtId="168" fontId="93" fillId="5" borderId="128" xfId="10" applyNumberFormat="1" applyFont="1" applyFill="1" applyBorder="1" applyAlignment="1" applyProtection="1">
      <protection locked="0"/>
    </xf>
    <xf numFmtId="167" fontId="224" fillId="0" borderId="357" xfId="10" applyNumberFormat="1" applyFont="1" applyBorder="1" applyAlignment="1" applyProtection="1">
      <alignment horizontal="center" vertical="center"/>
      <protection locked="0"/>
    </xf>
    <xf numFmtId="164" fontId="2" fillId="17" borderId="358" xfId="0" applyNumberFormat="1" applyFont="1" applyFill="1" applyBorder="1" applyAlignment="1" applyProtection="1">
      <alignment horizontal="center"/>
      <protection locked="0"/>
    </xf>
    <xf numFmtId="164" fontId="3" fillId="17" borderId="359" xfId="0" applyNumberFormat="1" applyFont="1" applyFill="1" applyBorder="1" applyAlignment="1" applyProtection="1">
      <alignment horizontal="center"/>
      <protection locked="0"/>
    </xf>
    <xf numFmtId="164" fontId="2" fillId="17" borderId="360" xfId="0" applyNumberFormat="1" applyFont="1" applyFill="1" applyBorder="1" applyAlignment="1" applyProtection="1">
      <alignment horizontal="center"/>
      <protection locked="0"/>
    </xf>
    <xf numFmtId="164" fontId="3" fillId="17" borderId="361" xfId="0" applyNumberFormat="1" applyFont="1" applyFill="1" applyBorder="1" applyAlignment="1" applyProtection="1">
      <alignment horizontal="center"/>
      <protection locked="0"/>
    </xf>
    <xf numFmtId="164" fontId="2" fillId="17" borderId="362" xfId="0" applyNumberFormat="1" applyFont="1" applyFill="1" applyBorder="1" applyAlignment="1" applyProtection="1">
      <alignment horizontal="center"/>
      <protection locked="0"/>
    </xf>
    <xf numFmtId="164" fontId="3" fillId="17" borderId="363" xfId="0" applyNumberFormat="1" applyFont="1" applyFill="1" applyBorder="1" applyAlignment="1" applyProtection="1">
      <alignment horizontal="center"/>
      <protection locked="0"/>
    </xf>
    <xf numFmtId="0" fontId="7" fillId="2" borderId="218" xfId="6" applyFont="1" applyFill="1" applyBorder="1" applyProtection="1"/>
    <xf numFmtId="164" fontId="202" fillId="21" borderId="7" xfId="0" applyNumberFormat="1" applyFont="1" applyFill="1" applyBorder="1" applyAlignment="1" applyProtection="1">
      <alignment horizontal="center"/>
    </xf>
    <xf numFmtId="0" fontId="70" fillId="2" borderId="0" xfId="6" applyFont="1" applyFill="1" applyAlignment="1" applyProtection="1">
      <alignment horizontal="center"/>
    </xf>
    <xf numFmtId="0" fontId="297" fillId="17" borderId="196" xfId="6" applyFont="1" applyFill="1" applyBorder="1" applyAlignment="1" applyProtection="1">
      <alignment horizontal="center"/>
    </xf>
    <xf numFmtId="0" fontId="7" fillId="32" borderId="0" xfId="6" applyFont="1" applyFill="1" applyBorder="1" applyProtection="1"/>
    <xf numFmtId="0" fontId="297" fillId="32" borderId="310" xfId="6" applyFont="1" applyFill="1" applyBorder="1" applyAlignment="1" applyProtection="1">
      <alignment horizontal="center"/>
    </xf>
    <xf numFmtId="0" fontId="160" fillId="17" borderId="93" xfId="6" applyFont="1" applyFill="1" applyBorder="1" applyProtection="1"/>
    <xf numFmtId="164" fontId="2" fillId="17" borderId="270" xfId="0" applyNumberFormat="1" applyFont="1" applyFill="1" applyBorder="1" applyAlignment="1" applyProtection="1">
      <alignment horizontal="center"/>
    </xf>
    <xf numFmtId="164" fontId="3" fillId="17" borderId="269" xfId="0" applyNumberFormat="1" applyFont="1" applyFill="1" applyBorder="1" applyAlignment="1" applyProtection="1">
      <alignment horizontal="center"/>
    </xf>
    <xf numFmtId="0" fontId="198" fillId="17" borderId="304" xfId="6" applyFont="1" applyFill="1" applyBorder="1" applyAlignment="1" applyProtection="1">
      <alignment horizontal="right"/>
    </xf>
    <xf numFmtId="0" fontId="198" fillId="17" borderId="280" xfId="6" applyFont="1" applyFill="1" applyBorder="1" applyAlignment="1" applyProtection="1">
      <alignment horizontal="left"/>
    </xf>
    <xf numFmtId="0" fontId="160" fillId="17" borderId="148" xfId="6" applyFont="1" applyFill="1" applyBorder="1" applyAlignment="1" applyProtection="1">
      <alignment horizontal="center"/>
    </xf>
    <xf numFmtId="167" fontId="77" fillId="0" borderId="281" xfId="10" applyNumberFormat="1" applyFont="1" applyBorder="1" applyAlignment="1" applyProtection="1">
      <alignment horizontal="center" vertical="center"/>
    </xf>
    <xf numFmtId="167" fontId="77" fillId="0" borderId="163" xfId="10" applyNumberFormat="1" applyFont="1" applyBorder="1" applyAlignment="1" applyProtection="1">
      <alignment horizontal="center" vertical="center"/>
    </xf>
    <xf numFmtId="0" fontId="224" fillId="17" borderId="280" xfId="6" applyFont="1" applyFill="1" applyBorder="1" applyAlignment="1" applyProtection="1">
      <alignment horizontal="center"/>
    </xf>
    <xf numFmtId="0" fontId="224" fillId="17" borderId="1" xfId="6" applyFont="1" applyFill="1" applyBorder="1" applyAlignment="1" applyProtection="1">
      <alignment horizontal="center"/>
    </xf>
    <xf numFmtId="0" fontId="224" fillId="17" borderId="304" xfId="6" applyFont="1" applyFill="1" applyBorder="1" applyAlignment="1" applyProtection="1">
      <alignment horizontal="center"/>
    </xf>
    <xf numFmtId="168" fontId="2" fillId="0" borderId="252" xfId="10" applyNumberFormat="1" applyFont="1" applyBorder="1" applyAlignment="1" applyProtection="1"/>
    <xf numFmtId="168" fontId="73" fillId="0" borderId="218" xfId="10" applyNumberFormat="1" applyFont="1" applyBorder="1" applyAlignment="1" applyProtection="1"/>
    <xf numFmtId="168" fontId="2" fillId="0" borderId="249" xfId="10" applyNumberFormat="1" applyFont="1" applyBorder="1" applyAlignment="1" applyProtection="1"/>
    <xf numFmtId="168" fontId="2" fillId="32" borderId="220" xfId="10" applyNumberFormat="1" applyFont="1" applyFill="1" applyBorder="1" applyAlignment="1" applyProtection="1"/>
    <xf numFmtId="168" fontId="73" fillId="32" borderId="220" xfId="10" applyNumberFormat="1" applyFont="1" applyFill="1" applyBorder="1" applyAlignment="1" applyProtection="1"/>
    <xf numFmtId="164" fontId="2" fillId="0" borderId="252" xfId="10" applyNumberFormat="1" applyFont="1" applyBorder="1" applyAlignment="1" applyProtection="1"/>
    <xf numFmtId="164" fontId="73" fillId="0" borderId="218" xfId="10" applyNumberFormat="1" applyFont="1" applyBorder="1" applyAlignment="1" applyProtection="1"/>
    <xf numFmtId="164" fontId="2" fillId="0" borderId="249" xfId="10" applyNumberFormat="1" applyFont="1" applyBorder="1" applyAlignment="1" applyProtection="1"/>
    <xf numFmtId="164" fontId="73" fillId="0" borderId="222" xfId="10" applyNumberFormat="1" applyFont="1" applyBorder="1" applyAlignment="1" applyProtection="1"/>
    <xf numFmtId="215" fontId="48" fillId="5" borderId="48" xfId="9" applyNumberFormat="1" applyFont="1" applyFill="1" applyBorder="1" applyAlignment="1" applyProtection="1">
      <alignment horizontal="center"/>
    </xf>
    <xf numFmtId="0" fontId="237" fillId="2" borderId="0" xfId="0" applyFont="1" applyFill="1" applyProtection="1"/>
    <xf numFmtId="0" fontId="3" fillId="5" borderId="9" xfId="8" applyFont="1" applyFill="1" applyBorder="1" applyAlignment="1">
      <alignment horizontal="center"/>
    </xf>
    <xf numFmtId="0" fontId="238" fillId="11" borderId="290" xfId="0" applyFont="1" applyFill="1" applyBorder="1" applyAlignment="1">
      <alignment horizontal="center" vertical="center"/>
    </xf>
    <xf numFmtId="0" fontId="64" fillId="11" borderId="290" xfId="0" applyFont="1" applyFill="1" applyBorder="1" applyAlignment="1">
      <alignment horizontal="center" vertical="center" wrapText="1"/>
    </xf>
    <xf numFmtId="182" fontId="2" fillId="11" borderId="290" xfId="0" quotePrefix="1" applyNumberFormat="1" applyFont="1" applyFill="1" applyBorder="1" applyAlignment="1">
      <alignment horizontal="center" vertical="center"/>
    </xf>
    <xf numFmtId="0" fontId="3" fillId="5" borderId="9" xfId="8" quotePrefix="1" applyFont="1" applyFill="1" applyBorder="1" applyAlignment="1">
      <alignment horizontal="center"/>
    </xf>
    <xf numFmtId="0" fontId="3" fillId="5" borderId="137" xfId="0" applyFont="1" applyFill="1" applyBorder="1"/>
    <xf numFmtId="180" fontId="239" fillId="5" borderId="137" xfId="0" applyNumberFormat="1" applyFont="1" applyFill="1" applyBorder="1" applyAlignment="1">
      <alignment horizontal="center"/>
    </xf>
    <xf numFmtId="0" fontId="3" fillId="5" borderId="295" xfId="0" applyFont="1" applyFill="1" applyBorder="1"/>
    <xf numFmtId="180" fontId="239" fillId="5" borderId="295" xfId="0" applyNumberFormat="1" applyFont="1" applyFill="1" applyBorder="1" applyAlignment="1">
      <alignment horizontal="center"/>
    </xf>
    <xf numFmtId="0" fontId="3" fillId="5" borderId="296" xfId="0" applyFont="1" applyFill="1" applyBorder="1" applyAlignment="1">
      <alignment horizontal="left" wrapText="1"/>
    </xf>
    <xf numFmtId="180" fontId="239" fillId="5" borderId="296" xfId="0" applyNumberFormat="1" applyFont="1" applyFill="1" applyBorder="1" applyAlignment="1">
      <alignment horizontal="center"/>
    </xf>
    <xf numFmtId="0" fontId="213" fillId="5" borderId="0" xfId="8" applyFont="1" applyFill="1"/>
    <xf numFmtId="0" fontId="6" fillId="5" borderId="0" xfId="8" quotePrefix="1" applyFont="1" applyFill="1" applyBorder="1" applyAlignment="1">
      <alignment horizontal="left"/>
    </xf>
    <xf numFmtId="0" fontId="210" fillId="17" borderId="0" xfId="4" applyFill="1"/>
    <xf numFmtId="174" fontId="147" fillId="2" borderId="0" xfId="0" applyNumberFormat="1" applyFont="1" applyFill="1" applyBorder="1" applyAlignment="1" applyProtection="1">
      <alignment horizontal="right" vertical="top"/>
    </xf>
    <xf numFmtId="174" fontId="147" fillId="2" borderId="0" xfId="0" applyNumberFormat="1" applyFont="1" applyFill="1" applyAlignment="1" applyProtection="1">
      <alignment horizontal="right" vertical="top"/>
    </xf>
    <xf numFmtId="0" fontId="237" fillId="32" borderId="0" xfId="0" applyFont="1" applyFill="1" applyAlignment="1" applyProtection="1">
      <alignment horizontal="left"/>
    </xf>
    <xf numFmtId="169" fontId="73" fillId="17" borderId="12" xfId="0" applyNumberFormat="1" applyFont="1" applyFill="1" applyBorder="1" applyAlignment="1" applyProtection="1">
      <alignment horizontal="center"/>
    </xf>
    <xf numFmtId="169" fontId="73" fillId="17" borderId="128" xfId="0" applyNumberFormat="1" applyFont="1" applyFill="1" applyBorder="1" applyAlignment="1" applyProtection="1">
      <alignment horizontal="center"/>
    </xf>
    <xf numFmtId="0" fontId="147" fillId="2" borderId="0" xfId="0" applyFont="1" applyFill="1" applyProtection="1"/>
    <xf numFmtId="0" fontId="150" fillId="2" borderId="0" xfId="0" applyFont="1" applyFill="1" applyProtection="1"/>
    <xf numFmtId="0" fontId="147" fillId="0" borderId="0" xfId="0" applyFont="1" applyFill="1" applyProtection="1"/>
    <xf numFmtId="0" fontId="339" fillId="32" borderId="0" xfId="0" applyFont="1" applyFill="1" applyAlignment="1" applyProtection="1">
      <alignment horizontal="left"/>
    </xf>
    <xf numFmtId="0" fontId="339" fillId="32" borderId="0" xfId="0" applyFont="1" applyFill="1" applyAlignment="1" applyProtection="1">
      <alignment horizontal="right"/>
    </xf>
    <xf numFmtId="0" fontId="339" fillId="2" borderId="0" xfId="0" applyFont="1" applyFill="1" applyProtection="1"/>
    <xf numFmtId="0" fontId="339" fillId="2" borderId="0" xfId="0" applyFont="1" applyFill="1" applyAlignment="1" applyProtection="1">
      <alignment horizontal="center"/>
    </xf>
    <xf numFmtId="168" fontId="73" fillId="29" borderId="13" xfId="0" applyNumberFormat="1" applyFont="1" applyFill="1" applyBorder="1" applyAlignment="1" applyProtection="1">
      <alignment horizontal="right"/>
    </xf>
    <xf numFmtId="0" fontId="340" fillId="38" borderId="0" xfId="0" applyFont="1" applyFill="1" applyAlignment="1" applyProtection="1">
      <alignment horizontal="right"/>
    </xf>
    <xf numFmtId="0" fontId="341" fillId="38" borderId="0" xfId="0" applyFont="1" applyFill="1" applyAlignment="1" applyProtection="1">
      <alignment horizontal="center"/>
    </xf>
    <xf numFmtId="0" fontId="242" fillId="32" borderId="0" xfId="0" applyFont="1" applyFill="1" applyProtection="1"/>
    <xf numFmtId="0" fontId="237" fillId="32" borderId="0" xfId="0" applyFont="1" applyFill="1" applyProtection="1"/>
    <xf numFmtId="0" fontId="169" fillId="17" borderId="0" xfId="9" applyFont="1" applyFill="1" applyProtection="1"/>
    <xf numFmtId="166" fontId="30" fillId="8" borderId="48" xfId="10" applyNumberFormat="1" applyFont="1" applyFill="1" applyBorder="1" applyProtection="1"/>
    <xf numFmtId="164" fontId="3" fillId="8" borderId="48" xfId="10" applyNumberFormat="1" applyFont="1" applyFill="1" applyBorder="1" applyAlignment="1" applyProtection="1"/>
    <xf numFmtId="0" fontId="70" fillId="8" borderId="48" xfId="9" applyFont="1" applyFill="1" applyBorder="1" applyProtection="1"/>
    <xf numFmtId="168" fontId="73" fillId="16" borderId="13" xfId="0" applyNumberFormat="1" applyFont="1" applyFill="1" applyBorder="1" applyAlignment="1" applyProtection="1">
      <alignment horizontal="right"/>
    </xf>
    <xf numFmtId="168" fontId="73" fillId="52" borderId="13" xfId="0" applyNumberFormat="1" applyFont="1" applyFill="1" applyBorder="1" applyAlignment="1" applyProtection="1">
      <alignment horizontal="right"/>
    </xf>
    <xf numFmtId="0" fontId="2" fillId="17" borderId="66" xfId="0" applyFont="1" applyFill="1" applyBorder="1" applyAlignment="1" applyProtection="1">
      <alignment horizontal="center"/>
    </xf>
    <xf numFmtId="168" fontId="3" fillId="17" borderId="126" xfId="0" applyNumberFormat="1" applyFont="1" applyFill="1" applyBorder="1" applyProtection="1"/>
    <xf numFmtId="0" fontId="93" fillId="17" borderId="65" xfId="0" applyFont="1" applyFill="1" applyBorder="1" applyAlignment="1" applyProtection="1">
      <alignment horizontal="center"/>
    </xf>
    <xf numFmtId="184" fontId="342" fillId="42" borderId="0" xfId="0" applyNumberFormat="1" applyFont="1" applyFill="1" applyBorder="1" applyAlignment="1" applyProtection="1">
      <alignment horizontal="center"/>
    </xf>
    <xf numFmtId="192" fontId="343" fillId="17" borderId="0" xfId="0" quotePrefix="1" applyNumberFormat="1" applyFont="1" applyFill="1" applyBorder="1" applyAlignment="1" applyProtection="1">
      <alignment horizontal="left"/>
    </xf>
    <xf numFmtId="192" fontId="343" fillId="17" borderId="0" xfId="0" applyNumberFormat="1" applyFont="1" applyFill="1" applyBorder="1" applyAlignment="1" applyProtection="1">
      <alignment horizontal="left"/>
    </xf>
    <xf numFmtId="193" fontId="342" fillId="42" borderId="0" xfId="0" applyNumberFormat="1" applyFont="1" applyFill="1" applyBorder="1" applyAlignment="1" applyProtection="1">
      <alignment horizontal="center"/>
    </xf>
    <xf numFmtId="0" fontId="1" fillId="2" borderId="0" xfId="0" applyFont="1" applyFill="1" applyProtection="1"/>
    <xf numFmtId="0" fontId="137" fillId="16" borderId="198" xfId="0" applyFont="1" applyFill="1" applyBorder="1" applyAlignment="1" applyProtection="1">
      <alignment horizontal="center"/>
    </xf>
    <xf numFmtId="0" fontId="280" fillId="34" borderId="198" xfId="0" applyFont="1" applyFill="1" applyBorder="1" applyAlignment="1" applyProtection="1">
      <alignment horizontal="center"/>
    </xf>
    <xf numFmtId="168" fontId="2" fillId="29" borderId="336" xfId="0" applyNumberFormat="1" applyFont="1" applyFill="1" applyBorder="1" applyProtection="1"/>
    <xf numFmtId="171" fontId="306" fillId="53" borderId="337" xfId="0" applyNumberFormat="1" applyFont="1" applyFill="1" applyBorder="1" applyProtection="1"/>
    <xf numFmtId="168" fontId="2" fillId="29" borderId="196" xfId="0" applyNumberFormat="1" applyFont="1" applyFill="1" applyBorder="1" applyProtection="1"/>
    <xf numFmtId="0" fontId="344" fillId="34" borderId="198" xfId="0" applyFont="1" applyFill="1" applyBorder="1" applyAlignment="1" applyProtection="1">
      <alignment horizontal="left"/>
    </xf>
    <xf numFmtId="0" fontId="198" fillId="17" borderId="196" xfId="0" applyFont="1" applyFill="1" applyBorder="1" applyAlignment="1" applyProtection="1">
      <alignment horizontal="left"/>
    </xf>
    <xf numFmtId="226" fontId="344" fillId="34" borderId="146" xfId="0" applyNumberFormat="1" applyFont="1" applyFill="1" applyBorder="1" applyAlignment="1" applyProtection="1"/>
    <xf numFmtId="168" fontId="2" fillId="17" borderId="252" xfId="0" applyNumberFormat="1" applyFont="1" applyFill="1" applyBorder="1" applyProtection="1">
      <protection locked="0"/>
    </xf>
    <xf numFmtId="168" fontId="2" fillId="17" borderId="196" xfId="0" applyNumberFormat="1" applyFont="1" applyFill="1" applyBorder="1" applyProtection="1">
      <protection locked="0"/>
    </xf>
    <xf numFmtId="226" fontId="344" fillId="34" borderId="146" xfId="0" quotePrefix="1" applyNumberFormat="1" applyFont="1" applyFill="1" applyBorder="1" applyAlignment="1" applyProtection="1"/>
    <xf numFmtId="228" fontId="345" fillId="17" borderId="198" xfId="0" applyNumberFormat="1" applyFont="1" applyFill="1" applyBorder="1" applyAlignment="1" applyProtection="1">
      <alignment horizontal="left"/>
    </xf>
    <xf numFmtId="171" fontId="305" fillId="17" borderId="0" xfId="0" applyNumberFormat="1" applyFont="1" applyFill="1" applyBorder="1" applyAlignment="1" applyProtection="1">
      <alignment horizontal="center"/>
    </xf>
    <xf numFmtId="171" fontId="300" fillId="17" borderId="10" xfId="0" applyNumberFormat="1" applyFont="1" applyFill="1" applyBorder="1" applyAlignment="1" applyProtection="1">
      <alignment horizontal="center"/>
    </xf>
    <xf numFmtId="171" fontId="305" fillId="17" borderId="8" xfId="0" applyNumberFormat="1" applyFont="1" applyFill="1" applyBorder="1" applyAlignment="1" applyProtection="1">
      <alignment horizontal="center"/>
    </xf>
    <xf numFmtId="168" fontId="3" fillId="17" borderId="163" xfId="0" applyNumberFormat="1" applyFont="1" applyFill="1" applyBorder="1" applyProtection="1"/>
    <xf numFmtId="169" fontId="3" fillId="0" borderId="311" xfId="0" applyNumberFormat="1" applyFont="1" applyFill="1" applyBorder="1" applyAlignment="1" applyProtection="1">
      <alignment horizontal="center"/>
    </xf>
    <xf numFmtId="168" fontId="3" fillId="17" borderId="312" xfId="0" applyNumberFormat="1" applyFont="1" applyFill="1" applyBorder="1" applyProtection="1"/>
    <xf numFmtId="169" fontId="3" fillId="0" borderId="282" xfId="0" applyNumberFormat="1" applyFont="1" applyFill="1" applyBorder="1" applyAlignment="1" applyProtection="1">
      <alignment horizontal="center"/>
    </xf>
    <xf numFmtId="168" fontId="70" fillId="49" borderId="93" xfId="0" applyNumberFormat="1" applyFont="1" applyFill="1" applyBorder="1" applyProtection="1"/>
    <xf numFmtId="168" fontId="3" fillId="17" borderId="163" xfId="0" applyNumberFormat="1" applyFont="1" applyFill="1" applyBorder="1" applyProtection="1">
      <protection locked="0"/>
    </xf>
    <xf numFmtId="0" fontId="70" fillId="17" borderId="210" xfId="0" applyFont="1" applyFill="1" applyBorder="1" applyProtection="1"/>
    <xf numFmtId="0" fontId="73" fillId="17" borderId="176" xfId="0" applyFont="1" applyFill="1" applyBorder="1" applyProtection="1"/>
    <xf numFmtId="0" fontId="21" fillId="16" borderId="173" xfId="0" applyFont="1" applyFill="1" applyBorder="1" applyProtection="1"/>
    <xf numFmtId="175" fontId="346" fillId="16" borderId="0" xfId="0" applyNumberFormat="1" applyFont="1" applyFill="1" applyBorder="1" applyAlignment="1" applyProtection="1">
      <alignment horizontal="left"/>
    </xf>
    <xf numFmtId="169" fontId="3" fillId="17" borderId="12" xfId="0" applyNumberFormat="1" applyFont="1" applyFill="1" applyBorder="1" applyAlignment="1" applyProtection="1">
      <alignment horizontal="center"/>
      <protection locked="0"/>
    </xf>
    <xf numFmtId="169" fontId="3" fillId="17" borderId="128" xfId="0" applyNumberFormat="1" applyFont="1" applyFill="1" applyBorder="1" applyAlignment="1" applyProtection="1">
      <alignment horizontal="center"/>
    </xf>
    <xf numFmtId="38" fontId="93" fillId="5" borderId="313" xfId="10" applyNumberFormat="1" applyFont="1" applyFill="1" applyBorder="1" applyAlignment="1" applyProtection="1"/>
    <xf numFmtId="4" fontId="250" fillId="4" borderId="314" xfId="0" applyNumberFormat="1" applyFont="1" applyFill="1" applyBorder="1" applyAlignment="1" applyProtection="1">
      <alignment horizontal="center"/>
    </xf>
    <xf numFmtId="4" fontId="197" fillId="3" borderId="196" xfId="0" applyNumberFormat="1" applyFont="1" applyFill="1" applyBorder="1" applyAlignment="1" applyProtection="1">
      <alignment horizontal="center"/>
    </xf>
    <xf numFmtId="4" fontId="62" fillId="2" borderId="315" xfId="0" applyNumberFormat="1" applyFont="1" applyFill="1" applyBorder="1" applyAlignment="1" applyProtection="1">
      <alignment horizontal="center" vertical="top"/>
    </xf>
    <xf numFmtId="168" fontId="67" fillId="3" borderId="314" xfId="0" applyNumberFormat="1" applyFont="1" applyFill="1" applyBorder="1" applyAlignment="1" applyProtection="1">
      <alignment horizontal="center"/>
    </xf>
    <xf numFmtId="4" fontId="62" fillId="2" borderId="179" xfId="0" applyNumberFormat="1" applyFont="1" applyFill="1" applyBorder="1" applyAlignment="1" applyProtection="1">
      <alignment horizontal="center" vertical="top"/>
    </xf>
    <xf numFmtId="4" fontId="62" fillId="2" borderId="316" xfId="0" applyNumberFormat="1" applyFont="1" applyFill="1" applyBorder="1" applyAlignment="1" applyProtection="1">
      <alignment horizontal="center" vertical="top"/>
    </xf>
    <xf numFmtId="4" fontId="62" fillId="2" borderId="180" xfId="0" applyNumberFormat="1" applyFont="1" applyFill="1" applyBorder="1" applyAlignment="1" applyProtection="1">
      <alignment horizontal="center" vertical="top"/>
    </xf>
    <xf numFmtId="229" fontId="344" fillId="34" borderId="197" xfId="0" applyNumberFormat="1" applyFont="1" applyFill="1" applyBorder="1" applyAlignment="1" applyProtection="1">
      <alignment horizontal="center"/>
    </xf>
    <xf numFmtId="229" fontId="237" fillId="16" borderId="197" xfId="0" applyNumberFormat="1" applyFont="1" applyFill="1" applyBorder="1" applyAlignment="1" applyProtection="1">
      <alignment horizontal="center"/>
    </xf>
    <xf numFmtId="0" fontId="2" fillId="16" borderId="0" xfId="9" applyNumberFormat="1" applyFont="1" applyFill="1" applyProtection="1"/>
    <xf numFmtId="0" fontId="2" fillId="16" borderId="0" xfId="9" applyFont="1" applyFill="1" applyProtection="1"/>
    <xf numFmtId="0" fontId="90" fillId="5" borderId="0" xfId="0" applyFont="1" applyFill="1"/>
    <xf numFmtId="168" fontId="3" fillId="18" borderId="1" xfId="0" applyNumberFormat="1" applyFont="1" applyFill="1" applyBorder="1" applyProtection="1"/>
    <xf numFmtId="168" fontId="3" fillId="18" borderId="13" xfId="0" applyNumberFormat="1" applyFont="1" applyFill="1" applyBorder="1" applyProtection="1"/>
    <xf numFmtId="169" fontId="252" fillId="11" borderId="113" xfId="0" applyNumberFormat="1" applyFont="1" applyFill="1" applyBorder="1" applyAlignment="1" applyProtection="1">
      <alignment horizontal="center"/>
    </xf>
    <xf numFmtId="169" fontId="253" fillId="7" borderId="113" xfId="0" applyNumberFormat="1" applyFont="1" applyFill="1" applyBorder="1" applyAlignment="1" applyProtection="1">
      <alignment horizontal="center"/>
    </xf>
    <xf numFmtId="169" fontId="254" fillId="3" borderId="113" xfId="0" applyNumberFormat="1" applyFont="1" applyFill="1" applyBorder="1" applyAlignment="1" applyProtection="1">
      <alignment horizontal="center"/>
    </xf>
    <xf numFmtId="175" fontId="347" fillId="21" borderId="146" xfId="0" applyNumberFormat="1" applyFont="1" applyFill="1" applyBorder="1" applyAlignment="1" applyProtection="1">
      <alignment horizontal="center"/>
    </xf>
    <xf numFmtId="184" fontId="342" fillId="42" borderId="0" xfId="0" quotePrefix="1" applyNumberFormat="1" applyFont="1" applyFill="1" applyBorder="1" applyAlignment="1" applyProtection="1">
      <alignment horizontal="left"/>
    </xf>
    <xf numFmtId="4" fontId="37" fillId="4" borderId="243" xfId="0" applyNumberFormat="1" applyFont="1" applyFill="1" applyBorder="1" applyAlignment="1" applyProtection="1">
      <alignment horizontal="center"/>
    </xf>
    <xf numFmtId="4" fontId="37" fillId="4" borderId="150" xfId="0" applyNumberFormat="1" applyFont="1" applyFill="1" applyBorder="1" applyAlignment="1" applyProtection="1">
      <alignment horizontal="center"/>
    </xf>
    <xf numFmtId="4" fontId="37" fillId="4" borderId="148" xfId="0" applyNumberFormat="1" applyFont="1" applyFill="1" applyBorder="1" applyAlignment="1" applyProtection="1">
      <alignment horizontal="center"/>
    </xf>
    <xf numFmtId="4" fontId="37" fillId="4" borderId="147" xfId="0" applyNumberFormat="1" applyFont="1" applyFill="1" applyBorder="1" applyAlignment="1" applyProtection="1">
      <alignment horizontal="center"/>
    </xf>
    <xf numFmtId="0" fontId="125" fillId="18" borderId="145" xfId="0" applyFont="1" applyFill="1" applyBorder="1" applyProtection="1"/>
    <xf numFmtId="0" fontId="125" fillId="18" borderId="246" xfId="0" applyFont="1" applyFill="1" applyBorder="1" applyProtection="1"/>
    <xf numFmtId="0" fontId="125" fillId="18" borderId="74" xfId="0" applyFont="1" applyFill="1" applyBorder="1" applyProtection="1"/>
    <xf numFmtId="0" fontId="125" fillId="18" borderId="248" xfId="0" applyFont="1" applyFill="1" applyBorder="1" applyProtection="1"/>
    <xf numFmtId="4" fontId="48" fillId="18" borderId="228" xfId="0" applyNumberFormat="1" applyFont="1" applyFill="1" applyBorder="1" applyAlignment="1" applyProtection="1">
      <alignment horizontal="center"/>
    </xf>
    <xf numFmtId="4" fontId="48" fillId="18" borderId="78" xfId="0" applyNumberFormat="1" applyFont="1" applyFill="1" applyBorder="1" applyAlignment="1" applyProtection="1">
      <alignment horizontal="center"/>
    </xf>
    <xf numFmtId="4" fontId="48" fillId="18" borderId="233" xfId="0" applyNumberFormat="1" applyFont="1" applyFill="1" applyBorder="1" applyAlignment="1" applyProtection="1">
      <alignment horizontal="center"/>
    </xf>
    <xf numFmtId="4" fontId="48" fillId="18" borderId="80" xfId="0" applyNumberFormat="1" applyFont="1" applyFill="1" applyBorder="1" applyAlignment="1" applyProtection="1">
      <alignment horizontal="center"/>
    </xf>
    <xf numFmtId="164" fontId="256" fillId="3" borderId="317" xfId="0" applyNumberFormat="1" applyFont="1" applyFill="1" applyBorder="1" applyAlignment="1" applyProtection="1">
      <alignment horizontal="center"/>
    </xf>
    <xf numFmtId="164" fontId="202" fillId="3" borderId="318" xfId="0" applyNumberFormat="1" applyFont="1" applyFill="1" applyBorder="1" applyAlignment="1" applyProtection="1">
      <alignment horizontal="center"/>
    </xf>
    <xf numFmtId="164" fontId="16" fillId="11" borderId="317" xfId="0" applyNumberFormat="1" applyFont="1" applyFill="1" applyBorder="1" applyAlignment="1" applyProtection="1">
      <alignment horizontal="center"/>
    </xf>
    <xf numFmtId="164" fontId="202" fillId="11" borderId="318" xfId="0" applyNumberFormat="1" applyFont="1" applyFill="1" applyBorder="1" applyAlignment="1" applyProtection="1">
      <alignment horizontal="center"/>
    </xf>
    <xf numFmtId="164" fontId="16" fillId="7" borderId="319" xfId="0" applyNumberFormat="1" applyFont="1" applyFill="1" applyBorder="1" applyAlignment="1" applyProtection="1">
      <alignment horizontal="center"/>
    </xf>
    <xf numFmtId="164" fontId="202" fillId="7" borderId="320" xfId="0" applyNumberFormat="1" applyFont="1" applyFill="1" applyBorder="1" applyAlignment="1" applyProtection="1">
      <alignment horizontal="center"/>
    </xf>
    <xf numFmtId="164" fontId="2" fillId="5" borderId="319" xfId="0" applyNumberFormat="1" applyFont="1" applyFill="1" applyBorder="1" applyAlignment="1" applyProtection="1">
      <alignment horizontal="center"/>
    </xf>
    <xf numFmtId="164" fontId="73" fillId="5" borderId="320" xfId="0" applyNumberFormat="1" applyFont="1" applyFill="1" applyBorder="1" applyAlignment="1" applyProtection="1">
      <alignment horizontal="center"/>
    </xf>
    <xf numFmtId="0" fontId="2" fillId="5" borderId="0" xfId="9" applyFont="1" applyFill="1" applyAlignment="1" applyProtection="1">
      <alignment horizontal="left"/>
    </xf>
    <xf numFmtId="0" fontId="22" fillId="10" borderId="0" xfId="9" applyFont="1" applyFill="1" applyAlignment="1" applyProtection="1">
      <alignment horizontal="right"/>
    </xf>
    <xf numFmtId="0" fontId="22" fillId="10" borderId="0" xfId="9" applyFont="1" applyFill="1" applyAlignment="1" applyProtection="1">
      <alignment horizontal="left"/>
    </xf>
    <xf numFmtId="0" fontId="2" fillId="5" borderId="0" xfId="6" applyFont="1" applyFill="1" applyAlignment="1" applyProtection="1">
      <alignment horizontal="left"/>
    </xf>
    <xf numFmtId="0" fontId="2" fillId="30" borderId="0" xfId="9" applyFont="1" applyFill="1" applyAlignment="1" applyProtection="1">
      <alignment horizontal="left"/>
    </xf>
    <xf numFmtId="0" fontId="251" fillId="5" borderId="196" xfId="9" applyNumberFormat="1" applyFont="1" applyFill="1" applyBorder="1" applyAlignment="1" applyProtection="1">
      <alignment horizontal="center" vertical="center"/>
    </xf>
    <xf numFmtId="0" fontId="344" fillId="17" borderId="197" xfId="0" applyFont="1" applyFill="1" applyBorder="1" applyAlignment="1" applyProtection="1">
      <alignment horizontal="right" vertical="center"/>
    </xf>
    <xf numFmtId="0" fontId="137" fillId="16" borderId="196" xfId="4" applyFont="1" applyFill="1" applyBorder="1" applyAlignment="1">
      <alignment horizontal="center" textRotation="90" wrapText="1"/>
    </xf>
    <xf numFmtId="0" fontId="315" fillId="32" borderId="0" xfId="4" applyFont="1" applyFill="1" applyBorder="1" applyAlignment="1">
      <alignment horizontal="center"/>
    </xf>
    <xf numFmtId="168" fontId="2" fillId="29" borderId="252" xfId="0" applyNumberFormat="1" applyFont="1" applyFill="1" applyBorder="1" applyProtection="1"/>
    <xf numFmtId="168" fontId="3" fillId="17" borderId="169" xfId="0" applyNumberFormat="1" applyFont="1" applyFill="1" applyBorder="1" applyAlignment="1" applyProtection="1">
      <alignment horizontal="left"/>
    </xf>
    <xf numFmtId="168" fontId="184" fillId="17" borderId="171" xfId="0" applyNumberFormat="1" applyFont="1" applyFill="1" applyBorder="1" applyProtection="1"/>
    <xf numFmtId="168" fontId="3" fillId="17" borderId="174" xfId="0" applyNumberFormat="1" applyFont="1" applyFill="1" applyBorder="1" applyAlignment="1" applyProtection="1">
      <alignment horizontal="left"/>
    </xf>
    <xf numFmtId="168" fontId="184" fillId="17" borderId="175" xfId="0" applyNumberFormat="1" applyFont="1" applyFill="1" applyBorder="1" applyProtection="1"/>
    <xf numFmtId="168" fontId="3" fillId="17" borderId="172" xfId="0" applyNumberFormat="1" applyFont="1" applyFill="1" applyBorder="1" applyAlignment="1" applyProtection="1">
      <alignment horizontal="left"/>
    </xf>
    <xf numFmtId="168" fontId="184" fillId="17" borderId="173" xfId="0" applyNumberFormat="1" applyFont="1" applyFill="1" applyBorder="1" applyProtection="1"/>
    <xf numFmtId="168" fontId="70" fillId="17" borderId="174" xfId="0" applyNumberFormat="1" applyFont="1" applyFill="1" applyBorder="1" applyAlignment="1" applyProtection="1">
      <alignment horizontal="left"/>
    </xf>
    <xf numFmtId="231" fontId="344" fillId="34" borderId="197" xfId="0" applyNumberFormat="1" applyFont="1" applyFill="1" applyBorder="1" applyAlignment="1" applyProtection="1">
      <alignment horizontal="right"/>
    </xf>
    <xf numFmtId="232" fontId="344" fillId="34" borderId="198" xfId="0" applyNumberFormat="1" applyFont="1" applyFill="1" applyBorder="1" applyAlignment="1" applyProtection="1">
      <alignment horizontal="left"/>
    </xf>
    <xf numFmtId="175" fontId="2" fillId="16" borderId="196" xfId="0" applyNumberFormat="1" applyFont="1" applyFill="1" applyBorder="1" applyProtection="1"/>
    <xf numFmtId="175" fontId="266" fillId="16" borderId="334" xfId="0" applyNumberFormat="1" applyFont="1" applyFill="1" applyBorder="1" applyAlignment="1" applyProtection="1">
      <alignment horizontal="center"/>
    </xf>
    <xf numFmtId="175" fontId="267" fillId="16" borderId="334" xfId="0" applyNumberFormat="1" applyFont="1" applyFill="1" applyBorder="1" applyAlignment="1" applyProtection="1">
      <alignment horizontal="center"/>
    </xf>
    <xf numFmtId="226" fontId="291" fillId="34" borderId="146" xfId="0" applyNumberFormat="1" applyFont="1" applyFill="1" applyBorder="1" applyAlignment="1" applyProtection="1"/>
    <xf numFmtId="0" fontId="280" fillId="34" borderId="198" xfId="0" applyFont="1" applyFill="1" applyBorder="1" applyAlignment="1" applyProtection="1">
      <alignment horizontal="left"/>
    </xf>
    <xf numFmtId="0" fontId="336" fillId="16" borderId="146" xfId="0" applyFont="1" applyFill="1" applyBorder="1" applyAlignment="1" applyProtection="1">
      <alignment vertical="center"/>
    </xf>
    <xf numFmtId="0" fontId="336" fillId="16" borderId="198" xfId="0" applyFont="1" applyFill="1" applyBorder="1" applyAlignment="1" applyProtection="1">
      <alignment vertical="center"/>
    </xf>
    <xf numFmtId="0" fontId="137" fillId="16" borderId="197" xfId="0" applyFont="1" applyFill="1" applyBorder="1" applyAlignment="1" applyProtection="1">
      <alignment vertical="center"/>
    </xf>
    <xf numFmtId="180" fontId="160" fillId="16" borderId="336" xfId="0" applyNumberFormat="1" applyFont="1" applyFill="1" applyBorder="1" applyAlignment="1" applyProtection="1">
      <alignment horizontal="center"/>
    </xf>
    <xf numFmtId="230" fontId="280" fillId="34" borderId="197" xfId="0" quotePrefix="1" applyNumberFormat="1" applyFont="1" applyFill="1" applyBorder="1" applyAlignment="1" applyProtection="1">
      <alignment horizontal="center"/>
    </xf>
    <xf numFmtId="0" fontId="57" fillId="2" borderId="0" xfId="3" applyFont="1" applyFill="1"/>
    <xf numFmtId="0" fontId="57" fillId="0" borderId="0" xfId="3" applyFont="1" applyFill="1"/>
    <xf numFmtId="0" fontId="3" fillId="5" borderId="321" xfId="3" applyFont="1" applyFill="1" applyBorder="1"/>
    <xf numFmtId="0" fontId="3" fillId="5" borderId="0" xfId="3" applyFont="1" applyFill="1" applyBorder="1"/>
    <xf numFmtId="0" fontId="3" fillId="5" borderId="322" xfId="3" applyFont="1" applyFill="1" applyBorder="1"/>
    <xf numFmtId="0" fontId="2" fillId="5" borderId="321" xfId="3" applyFont="1" applyFill="1" applyBorder="1" applyAlignment="1">
      <alignment horizontal="right"/>
    </xf>
    <xf numFmtId="0" fontId="93" fillId="5" borderId="0" xfId="3" applyFont="1" applyFill="1" applyBorder="1"/>
    <xf numFmtId="174" fontId="2" fillId="5" borderId="0" xfId="3" applyNumberFormat="1" applyFont="1" applyFill="1" applyBorder="1" applyAlignment="1">
      <alignment horizontal="right"/>
    </xf>
    <xf numFmtId="0" fontId="90" fillId="5" borderId="0" xfId="3" applyFont="1" applyFill="1" applyBorder="1"/>
    <xf numFmtId="0" fontId="2" fillId="5" borderId="0" xfId="3" applyFont="1" applyFill="1" applyBorder="1"/>
    <xf numFmtId="0" fontId="3" fillId="17" borderId="0" xfId="3" applyFont="1" applyFill="1" applyBorder="1"/>
    <xf numFmtId="204" fontId="70" fillId="17" borderId="322" xfId="3" applyNumberFormat="1" applyFont="1" applyFill="1" applyBorder="1" applyAlignment="1"/>
    <xf numFmtId="0" fontId="3" fillId="17" borderId="322" xfId="3" applyFont="1" applyFill="1" applyBorder="1"/>
    <xf numFmtId="207" fontId="77" fillId="17" borderId="0" xfId="3" applyNumberFormat="1" applyFont="1" applyFill="1" applyBorder="1" applyAlignment="1">
      <alignment horizontal="left"/>
    </xf>
    <xf numFmtId="0" fontId="3" fillId="5" borderId="0" xfId="3" quotePrefix="1" applyFont="1" applyFill="1" applyBorder="1"/>
    <xf numFmtId="0" fontId="3" fillId="17" borderId="321" xfId="3" applyFont="1" applyFill="1" applyBorder="1"/>
    <xf numFmtId="174" fontId="2" fillId="17" borderId="0" xfId="3" applyNumberFormat="1" applyFont="1" applyFill="1" applyBorder="1" applyAlignment="1">
      <alignment horizontal="right"/>
    </xf>
    <xf numFmtId="0" fontId="70" fillId="5" borderId="0" xfId="3" applyFont="1" applyFill="1" applyBorder="1"/>
    <xf numFmtId="0" fontId="3" fillId="0" borderId="0" xfId="3" applyFont="1" applyFill="1"/>
    <xf numFmtId="217" fontId="77" fillId="17" borderId="0" xfId="3" applyNumberFormat="1" applyFont="1" applyFill="1" applyBorder="1"/>
    <xf numFmtId="0" fontId="61" fillId="5" borderId="0" xfId="3" applyFont="1" applyFill="1" applyBorder="1"/>
    <xf numFmtId="0" fontId="61" fillId="17" borderId="0" xfId="3" applyFont="1" applyFill="1" applyBorder="1"/>
    <xf numFmtId="0" fontId="61" fillId="17" borderId="322" xfId="3" applyFont="1" applyFill="1" applyBorder="1"/>
    <xf numFmtId="0" fontId="3" fillId="5" borderId="323" xfId="3" applyFont="1" applyFill="1" applyBorder="1"/>
    <xf numFmtId="0" fontId="3" fillId="5" borderId="324" xfId="3" applyFont="1" applyFill="1" applyBorder="1"/>
    <xf numFmtId="0" fontId="3" fillId="5" borderId="325" xfId="3" applyFont="1" applyFill="1" applyBorder="1"/>
    <xf numFmtId="0" fontId="3" fillId="2" borderId="0" xfId="3" applyFont="1" applyFill="1"/>
    <xf numFmtId="222" fontId="77" fillId="17" borderId="0" xfId="3" applyNumberFormat="1" applyFont="1" applyFill="1" applyBorder="1" applyAlignment="1">
      <alignment horizontal="left"/>
    </xf>
    <xf numFmtId="221" fontId="77" fillId="17" borderId="0" xfId="3" applyNumberFormat="1" applyFont="1" applyFill="1" applyBorder="1" applyAlignment="1">
      <alignment horizontal="left"/>
    </xf>
    <xf numFmtId="203" fontId="77" fillId="5" borderId="0" xfId="3" quotePrefix="1" applyNumberFormat="1" applyFont="1" applyFill="1" applyBorder="1" applyAlignment="1">
      <alignment horizontal="left"/>
    </xf>
    <xf numFmtId="193" fontId="77" fillId="5" borderId="0" xfId="3" applyNumberFormat="1" applyFont="1" applyFill="1" applyBorder="1" applyAlignment="1">
      <alignment horizontal="left"/>
    </xf>
    <xf numFmtId="184" fontId="77" fillId="5" borderId="0" xfId="3" quotePrefix="1" applyNumberFormat="1" applyFont="1" applyFill="1" applyBorder="1" applyAlignment="1">
      <alignment horizontal="left"/>
    </xf>
    <xf numFmtId="168" fontId="3" fillId="16" borderId="12" xfId="0" applyNumberFormat="1" applyFont="1" applyFill="1" applyBorder="1" applyProtection="1"/>
    <xf numFmtId="168" fontId="3" fillId="16" borderId="13" xfId="0" applyNumberFormat="1" applyFont="1" applyFill="1" applyBorder="1" applyProtection="1"/>
    <xf numFmtId="0" fontId="2" fillId="21" borderId="47" xfId="0" applyFont="1" applyFill="1" applyBorder="1" applyProtection="1"/>
    <xf numFmtId="0" fontId="90" fillId="21" borderId="48" xfId="0" applyFont="1" applyFill="1" applyBorder="1" applyProtection="1"/>
    <xf numFmtId="0" fontId="3" fillId="21" borderId="49" xfId="0" applyFont="1" applyFill="1" applyBorder="1" applyProtection="1"/>
    <xf numFmtId="0" fontId="2" fillId="21" borderId="50" xfId="0" applyFont="1" applyFill="1" applyBorder="1" applyProtection="1"/>
    <xf numFmtId="0" fontId="90" fillId="21" borderId="51" xfId="0" applyFont="1" applyFill="1" applyBorder="1" applyProtection="1"/>
    <xf numFmtId="0" fontId="3" fillId="21" borderId="52" xfId="0" applyFont="1" applyFill="1" applyBorder="1" applyProtection="1"/>
    <xf numFmtId="168" fontId="3" fillId="21" borderId="1" xfId="0" applyNumberFormat="1" applyFont="1" applyFill="1" applyBorder="1" applyProtection="1"/>
    <xf numFmtId="169" fontId="3" fillId="21" borderId="126" xfId="0" applyNumberFormat="1" applyFont="1" applyFill="1" applyBorder="1" applyAlignment="1" applyProtection="1">
      <alignment horizontal="center"/>
    </xf>
    <xf numFmtId="168" fontId="3" fillId="21" borderId="12" xfId="0" applyNumberFormat="1" applyFont="1" applyFill="1" applyBorder="1" applyProtection="1"/>
    <xf numFmtId="168" fontId="3" fillId="21" borderId="126" xfId="0" applyNumberFormat="1" applyFont="1" applyFill="1" applyBorder="1" applyProtection="1"/>
    <xf numFmtId="169" fontId="3" fillId="21" borderId="13" xfId="0" applyNumberFormat="1" applyFont="1" applyFill="1" applyBorder="1" applyAlignment="1" applyProtection="1">
      <alignment horizontal="center"/>
    </xf>
    <xf numFmtId="0" fontId="2" fillId="21" borderId="65" xfId="0" applyFont="1" applyFill="1" applyBorder="1" applyAlignment="1" applyProtection="1">
      <alignment horizontal="center"/>
    </xf>
    <xf numFmtId="0" fontId="2" fillId="21" borderId="64" xfId="0" applyFont="1" applyFill="1" applyBorder="1" applyAlignment="1" applyProtection="1">
      <alignment horizontal="center"/>
    </xf>
    <xf numFmtId="169" fontId="3" fillId="21" borderId="1" xfId="0" applyNumberFormat="1" applyFont="1" applyFill="1" applyBorder="1" applyAlignment="1" applyProtection="1">
      <alignment horizontal="center"/>
    </xf>
    <xf numFmtId="168" fontId="3" fillId="21" borderId="13" xfId="0" applyNumberFormat="1" applyFont="1" applyFill="1" applyBorder="1" applyProtection="1"/>
    <xf numFmtId="0" fontId="3" fillId="21" borderId="51" xfId="0" applyFont="1" applyFill="1" applyBorder="1" applyProtection="1"/>
    <xf numFmtId="0" fontId="147" fillId="25" borderId="169" xfId="0" applyFont="1" applyFill="1" applyBorder="1" applyProtection="1"/>
    <xf numFmtId="0" fontId="147" fillId="25" borderId="171" xfId="0" applyFont="1" applyFill="1" applyBorder="1" applyProtection="1"/>
    <xf numFmtId="0" fontId="147" fillId="25" borderId="172" xfId="0" applyFont="1" applyFill="1" applyBorder="1" applyProtection="1"/>
    <xf numFmtId="0" fontId="147" fillId="25" borderId="173" xfId="0" applyFont="1" applyFill="1" applyBorder="1" applyProtection="1"/>
    <xf numFmtId="0" fontId="147" fillId="16" borderId="175" xfId="0" applyFont="1" applyFill="1" applyBorder="1" applyProtection="1"/>
    <xf numFmtId="0" fontId="3" fillId="16" borderId="51" xfId="0" applyFont="1" applyFill="1" applyBorder="1" applyProtection="1"/>
    <xf numFmtId="0" fontId="3" fillId="16" borderId="52" xfId="0" applyFont="1" applyFill="1" applyBorder="1" applyProtection="1"/>
    <xf numFmtId="168" fontId="3" fillId="16" borderId="1" xfId="0" applyNumberFormat="1" applyFont="1" applyFill="1" applyBorder="1" applyProtection="1"/>
    <xf numFmtId="0" fontId="73" fillId="0" borderId="51" xfId="0" applyFont="1" applyFill="1" applyBorder="1"/>
    <xf numFmtId="0" fontId="3" fillId="0" borderId="51" xfId="0" applyFont="1" applyFill="1" applyBorder="1" applyProtection="1"/>
    <xf numFmtId="0" fontId="90" fillId="17" borderId="51" xfId="0" applyFont="1" applyFill="1" applyBorder="1"/>
    <xf numFmtId="0" fontId="3" fillId="17" borderId="51" xfId="0" applyFont="1" applyFill="1" applyBorder="1" applyAlignment="1">
      <alignment wrapText="1"/>
    </xf>
    <xf numFmtId="0" fontId="73" fillId="17" borderId="51" xfId="0" applyFont="1" applyFill="1" applyBorder="1" applyAlignment="1"/>
    <xf numFmtId="188" fontId="77" fillId="17" borderId="0" xfId="3" applyNumberFormat="1" applyFont="1" applyFill="1" applyBorder="1" applyAlignment="1">
      <alignment horizontal="left"/>
    </xf>
    <xf numFmtId="0" fontId="3" fillId="2" borderId="0" xfId="3" applyFont="1" applyFill="1" applyProtection="1"/>
    <xf numFmtId="0" fontId="2" fillId="2" borderId="0" xfId="3" applyFont="1" applyFill="1" applyBorder="1" applyAlignment="1">
      <alignment vertical="center"/>
    </xf>
    <xf numFmtId="0" fontId="3" fillId="2" borderId="0" xfId="3" applyFont="1" applyFill="1" applyBorder="1" applyAlignment="1">
      <alignment vertical="center"/>
    </xf>
    <xf numFmtId="0" fontId="3" fillId="2" borderId="0" xfId="3" applyFont="1" applyFill="1" applyBorder="1" applyAlignment="1" applyProtection="1">
      <alignment vertical="center"/>
    </xf>
    <xf numFmtId="0" fontId="2" fillId="2" borderId="0" xfId="3" applyFont="1" applyFill="1" applyBorder="1" applyAlignment="1">
      <alignment horizontal="center" vertical="center"/>
    </xf>
    <xf numFmtId="4" fontId="3" fillId="2" borderId="0" xfId="3" applyNumberFormat="1" applyFont="1" applyFill="1" applyAlignment="1" applyProtection="1">
      <alignment vertical="center"/>
    </xf>
    <xf numFmtId="4" fontId="3" fillId="0" borderId="0" xfId="3" applyNumberFormat="1" applyFont="1" applyFill="1" applyAlignment="1" applyProtection="1">
      <alignment vertical="center"/>
    </xf>
    <xf numFmtId="0" fontId="3" fillId="0" borderId="0" xfId="3" applyFont="1" applyFill="1" applyBorder="1" applyAlignment="1" applyProtection="1">
      <alignment vertical="center"/>
    </xf>
    <xf numFmtId="0" fontId="3" fillId="0" borderId="0" xfId="3" applyFont="1" applyFill="1" applyProtection="1"/>
    <xf numFmtId="0" fontId="2" fillId="0" borderId="0" xfId="3" applyFont="1" applyFill="1" applyBorder="1" applyAlignment="1" applyProtection="1">
      <alignment horizontal="center" vertical="center"/>
    </xf>
    <xf numFmtId="0" fontId="2" fillId="3" borderId="326" xfId="3" applyFont="1" applyFill="1" applyBorder="1"/>
    <xf numFmtId="0" fontId="3" fillId="3" borderId="327" xfId="3" applyFont="1" applyFill="1" applyBorder="1"/>
    <xf numFmtId="0" fontId="73" fillId="5" borderId="0" xfId="3" applyFont="1" applyFill="1" applyBorder="1"/>
    <xf numFmtId="175" fontId="3" fillId="5" borderId="0" xfId="3" applyNumberFormat="1" applyFont="1" applyFill="1" applyBorder="1" applyAlignment="1">
      <alignment horizontal="left"/>
    </xf>
    <xf numFmtId="0" fontId="3" fillId="5" borderId="0" xfId="3" applyFont="1" applyFill="1" applyBorder="1" applyAlignment="1">
      <alignment horizontal="center"/>
    </xf>
    <xf numFmtId="204" fontId="73" fillId="5" borderId="0" xfId="3" applyNumberFormat="1" applyFont="1" applyFill="1" applyBorder="1" applyAlignment="1"/>
    <xf numFmtId="0" fontId="73" fillId="17" borderId="0" xfId="3" applyFont="1" applyFill="1" applyBorder="1"/>
    <xf numFmtId="0" fontId="90" fillId="17" borderId="0" xfId="3" applyFont="1" applyFill="1" applyBorder="1"/>
    <xf numFmtId="0" fontId="241" fillId="5" borderId="0" xfId="3" applyFont="1" applyFill="1" applyBorder="1"/>
    <xf numFmtId="0" fontId="76" fillId="5" borderId="0" xfId="3" applyFont="1" applyFill="1" applyBorder="1"/>
    <xf numFmtId="0" fontId="90" fillId="5" borderId="0" xfId="3" quotePrefix="1" applyFont="1" applyFill="1" applyBorder="1"/>
    <xf numFmtId="0" fontId="3" fillId="17" borderId="0" xfId="3" applyFont="1" applyFill="1" applyBorder="1" applyAlignment="1">
      <alignment horizontal="left"/>
    </xf>
    <xf numFmtId="0" fontId="147" fillId="5" borderId="0" xfId="3" applyFont="1" applyFill="1" applyBorder="1"/>
    <xf numFmtId="213" fontId="77" fillId="17" borderId="0" xfId="3" applyNumberFormat="1" applyFont="1" applyFill="1" applyBorder="1" applyAlignment="1">
      <alignment horizontal="left"/>
    </xf>
    <xf numFmtId="213" fontId="77" fillId="17" borderId="322" xfId="3" applyNumberFormat="1" applyFont="1" applyFill="1" applyBorder="1" applyAlignment="1">
      <alignment horizontal="left"/>
    </xf>
    <xf numFmtId="214" fontId="77" fillId="5" borderId="0" xfId="3" applyNumberFormat="1" applyFont="1" applyFill="1" applyBorder="1" applyAlignment="1">
      <alignment horizontal="center"/>
    </xf>
    <xf numFmtId="211" fontId="77" fillId="5" borderId="0" xfId="3" applyNumberFormat="1" applyFont="1" applyFill="1" applyBorder="1" applyAlignment="1">
      <alignment horizontal="center"/>
    </xf>
    <xf numFmtId="213" fontId="77" fillId="5" borderId="0" xfId="3" applyNumberFormat="1" applyFont="1" applyFill="1" applyBorder="1" applyAlignment="1">
      <alignment horizontal="center"/>
    </xf>
    <xf numFmtId="218" fontId="77" fillId="5" borderId="0" xfId="3" applyNumberFormat="1" applyFont="1" applyFill="1" applyBorder="1" applyAlignment="1">
      <alignment horizontal="center"/>
    </xf>
    <xf numFmtId="210" fontId="77" fillId="5" borderId="0" xfId="3" applyNumberFormat="1" applyFont="1" applyFill="1" applyBorder="1" applyAlignment="1">
      <alignment horizontal="center"/>
    </xf>
    <xf numFmtId="196" fontId="77" fillId="17" borderId="0" xfId="3" applyNumberFormat="1" applyFont="1" applyFill="1" applyBorder="1" applyAlignment="1">
      <alignment horizontal="center"/>
    </xf>
    <xf numFmtId="197" fontId="77" fillId="5" borderId="0" xfId="3" applyNumberFormat="1" applyFont="1" applyFill="1" applyBorder="1" applyAlignment="1">
      <alignment horizontal="center"/>
    </xf>
    <xf numFmtId="195" fontId="77" fillId="5" borderId="0" xfId="3" applyNumberFormat="1" applyFont="1" applyFill="1" applyBorder="1" applyAlignment="1">
      <alignment horizontal="center"/>
    </xf>
    <xf numFmtId="216" fontId="77" fillId="5" borderId="0" xfId="3" applyNumberFormat="1" applyFont="1" applyFill="1" applyBorder="1" applyAlignment="1">
      <alignment horizontal="center"/>
    </xf>
    <xf numFmtId="216" fontId="77" fillId="5" borderId="322" xfId="3" applyNumberFormat="1" applyFont="1" applyFill="1" applyBorder="1" applyAlignment="1">
      <alignment horizontal="center"/>
    </xf>
    <xf numFmtId="212" fontId="77" fillId="5" borderId="0" xfId="3" applyNumberFormat="1" applyFont="1" applyFill="1" applyBorder="1" applyAlignment="1">
      <alignment horizontal="right"/>
    </xf>
    <xf numFmtId="207" fontId="77" fillId="5" borderId="0" xfId="3" quotePrefix="1" applyNumberFormat="1" applyFont="1" applyFill="1" applyBorder="1" applyAlignment="1">
      <alignment horizontal="left"/>
    </xf>
    <xf numFmtId="184" fontId="70" fillId="17" borderId="0" xfId="3" quotePrefix="1" applyNumberFormat="1" applyFont="1" applyFill="1" applyBorder="1" applyAlignment="1">
      <alignment horizontal="left"/>
    </xf>
    <xf numFmtId="184" fontId="70" fillId="17" borderId="0" xfId="3" applyNumberFormat="1" applyFont="1" applyFill="1" applyBorder="1" applyAlignment="1">
      <alignment horizontal="left"/>
    </xf>
    <xf numFmtId="196" fontId="70" fillId="5" borderId="0" xfId="3" applyNumberFormat="1" applyFont="1" applyFill="1" applyBorder="1" applyAlignment="1">
      <alignment horizontal="center"/>
    </xf>
    <xf numFmtId="197" fontId="70" fillId="5" borderId="0" xfId="3" applyNumberFormat="1" applyFont="1" applyFill="1" applyBorder="1" applyAlignment="1">
      <alignment horizontal="center"/>
    </xf>
    <xf numFmtId="198" fontId="93" fillId="5" borderId="0" xfId="3" applyNumberFormat="1" applyFont="1" applyFill="1" applyBorder="1" applyAlignment="1">
      <alignment horizontal="center"/>
    </xf>
    <xf numFmtId="210" fontId="70" fillId="5" borderId="0" xfId="3" applyNumberFormat="1" applyFont="1" applyFill="1" applyBorder="1" applyAlignment="1">
      <alignment horizontal="center"/>
    </xf>
    <xf numFmtId="186" fontId="77" fillId="5" borderId="0" xfId="3" quotePrefix="1" applyNumberFormat="1" applyFont="1" applyFill="1" applyBorder="1" applyAlignment="1">
      <alignment horizontal="center"/>
    </xf>
    <xf numFmtId="186" fontId="77" fillId="5" borderId="0" xfId="3" applyNumberFormat="1" applyFont="1" applyFill="1" applyBorder="1" applyAlignment="1">
      <alignment horizontal="center"/>
    </xf>
    <xf numFmtId="202" fontId="77" fillId="5" borderId="0" xfId="3" quotePrefix="1" applyNumberFormat="1" applyFont="1" applyFill="1" applyBorder="1" applyAlignment="1">
      <alignment horizontal="center"/>
    </xf>
    <xf numFmtId="205" fontId="70" fillId="5" borderId="0" xfId="3" applyNumberFormat="1" applyFont="1" applyFill="1" applyBorder="1" applyAlignment="1">
      <alignment horizontal="center"/>
    </xf>
    <xf numFmtId="204" fontId="70" fillId="5" borderId="0" xfId="3" applyNumberFormat="1" applyFont="1" applyFill="1" applyBorder="1" applyAlignment="1">
      <alignment horizontal="center"/>
    </xf>
    <xf numFmtId="204" fontId="77" fillId="5" borderId="0" xfId="3" applyNumberFormat="1" applyFont="1" applyFill="1" applyBorder="1" applyAlignment="1">
      <alignment horizontal="center"/>
    </xf>
    <xf numFmtId="206" fontId="77" fillId="5" borderId="0" xfId="3" applyNumberFormat="1" applyFont="1" applyFill="1" applyBorder="1" applyAlignment="1">
      <alignment horizontal="left"/>
    </xf>
    <xf numFmtId="208" fontId="77" fillId="5" borderId="0" xfId="3" applyNumberFormat="1" applyFont="1" applyFill="1" applyBorder="1" applyAlignment="1">
      <alignment horizontal="left"/>
    </xf>
    <xf numFmtId="188" fontId="127" fillId="5" borderId="0" xfId="3" applyNumberFormat="1" applyFont="1" applyFill="1" applyBorder="1" applyAlignment="1">
      <alignment horizontal="center"/>
    </xf>
    <xf numFmtId="188" fontId="70" fillId="5" borderId="0" xfId="3" applyNumberFormat="1" applyFont="1" applyFill="1" applyBorder="1" applyAlignment="1">
      <alignment horizontal="center"/>
    </xf>
    <xf numFmtId="202" fontId="70" fillId="5" borderId="0" xfId="3" applyNumberFormat="1" applyFont="1" applyFill="1" applyBorder="1" applyAlignment="1">
      <alignment horizontal="left"/>
    </xf>
    <xf numFmtId="188" fontId="77" fillId="5" borderId="0" xfId="3" applyNumberFormat="1" applyFont="1" applyFill="1" applyBorder="1" applyAlignment="1">
      <alignment horizontal="center"/>
    </xf>
    <xf numFmtId="202" fontId="77" fillId="5" borderId="0" xfId="3" applyNumberFormat="1" applyFont="1" applyFill="1" applyBorder="1" applyAlignment="1">
      <alignment horizontal="center"/>
    </xf>
    <xf numFmtId="194" fontId="70" fillId="17" borderId="0" xfId="3" quotePrefix="1" applyNumberFormat="1" applyFont="1" applyFill="1" applyBorder="1" applyAlignment="1">
      <alignment horizontal="left"/>
    </xf>
    <xf numFmtId="194" fontId="70" fillId="17" borderId="0" xfId="3" applyNumberFormat="1" applyFont="1" applyFill="1" applyBorder="1" applyAlignment="1">
      <alignment horizontal="left"/>
    </xf>
    <xf numFmtId="200" fontId="70" fillId="17" borderId="0" xfId="3" applyNumberFormat="1" applyFont="1" applyFill="1" applyBorder="1" applyAlignment="1">
      <alignment horizontal="left"/>
    </xf>
    <xf numFmtId="186" fontId="70" fillId="17" borderId="0" xfId="3" quotePrefix="1" applyNumberFormat="1" applyFont="1" applyFill="1" applyBorder="1" applyAlignment="1">
      <alignment horizontal="left"/>
    </xf>
    <xf numFmtId="186" fontId="70" fillId="17" borderId="0" xfId="3" applyNumberFormat="1" applyFont="1" applyFill="1" applyBorder="1" applyAlignment="1">
      <alignment horizontal="left"/>
    </xf>
    <xf numFmtId="209" fontId="77" fillId="5" borderId="0" xfId="3" quotePrefix="1" applyNumberFormat="1" applyFont="1" applyFill="1" applyBorder="1" applyAlignment="1">
      <alignment horizontal="center"/>
    </xf>
    <xf numFmtId="209" fontId="77" fillId="5" borderId="0" xfId="3" applyNumberFormat="1" applyFont="1" applyFill="1" applyBorder="1" applyAlignment="1">
      <alignment horizontal="center"/>
    </xf>
    <xf numFmtId="201" fontId="70" fillId="5" borderId="0" xfId="3" applyNumberFormat="1" applyFont="1" applyFill="1" applyBorder="1" applyAlignment="1">
      <alignment horizontal="left"/>
    </xf>
    <xf numFmtId="225" fontId="77" fillId="5" borderId="0" xfId="3" applyNumberFormat="1" applyFont="1" applyFill="1" applyBorder="1" applyAlignment="1">
      <alignment horizontal="left"/>
    </xf>
    <xf numFmtId="197" fontId="77" fillId="17" borderId="0" xfId="3" applyNumberFormat="1" applyFont="1" applyFill="1" applyBorder="1" applyAlignment="1">
      <alignment horizontal="left"/>
    </xf>
    <xf numFmtId="198" fontId="77" fillId="17" borderId="0" xfId="3" quotePrefix="1" applyNumberFormat="1" applyFont="1" applyFill="1" applyBorder="1" applyAlignment="1">
      <alignment horizontal="left"/>
    </xf>
    <xf numFmtId="199" fontId="77" fillId="0" borderId="0" xfId="3" applyNumberFormat="1" applyFont="1" applyFill="1" applyAlignment="1">
      <alignment horizontal="left"/>
    </xf>
    <xf numFmtId="233" fontId="70" fillId="3" borderId="327" xfId="3" applyNumberFormat="1" applyFont="1" applyFill="1" applyBorder="1" applyAlignment="1">
      <alignment horizontal="center"/>
    </xf>
    <xf numFmtId="233" fontId="70" fillId="3" borderId="328" xfId="3" applyNumberFormat="1" applyFont="1" applyFill="1" applyBorder="1" applyAlignment="1">
      <alignment horizontal="center"/>
    </xf>
    <xf numFmtId="219" fontId="77" fillId="17" borderId="0" xfId="3" applyNumberFormat="1" applyFont="1" applyFill="1" applyBorder="1" applyAlignment="1">
      <alignment horizontal="left"/>
    </xf>
    <xf numFmtId="220" fontId="77" fillId="17" borderId="0" xfId="3" applyNumberFormat="1" applyFont="1" applyFill="1" applyBorder="1" applyAlignment="1">
      <alignment horizontal="center"/>
    </xf>
    <xf numFmtId="188" fontId="77" fillId="17" borderId="0" xfId="3" applyNumberFormat="1" applyFont="1" applyFill="1" applyBorder="1" applyAlignment="1">
      <alignment horizontal="left"/>
    </xf>
    <xf numFmtId="223" fontId="77" fillId="17" borderId="0" xfId="3" applyNumberFormat="1" applyFont="1" applyFill="1" applyBorder="1" applyAlignment="1">
      <alignment horizontal="center"/>
    </xf>
    <xf numFmtId="224" fontId="77" fillId="17" borderId="0" xfId="3" applyNumberFormat="1" applyFont="1" applyFill="1" applyBorder="1" applyAlignment="1">
      <alignment horizontal="center"/>
    </xf>
    <xf numFmtId="0" fontId="351" fillId="32" borderId="0" xfId="0" applyFont="1" applyFill="1" applyAlignment="1" applyProtection="1">
      <alignment horizontal="center"/>
    </xf>
    <xf numFmtId="0" fontId="348" fillId="32" borderId="0" xfId="0" applyFont="1" applyFill="1" applyAlignment="1" applyProtection="1">
      <alignment horizontal="center"/>
    </xf>
    <xf numFmtId="0" fontId="352" fillId="32" borderId="0" xfId="0" applyFont="1" applyFill="1" applyAlignment="1" applyProtection="1">
      <alignment horizontal="center"/>
    </xf>
    <xf numFmtId="0" fontId="147" fillId="17" borderId="197" xfId="0" applyFont="1" applyFill="1" applyBorder="1" applyAlignment="1" applyProtection="1">
      <alignment horizontal="left" vertical="center" wrapText="1"/>
    </xf>
    <xf numFmtId="0" fontId="147" fillId="17" borderId="146" xfId="0" applyFont="1" applyFill="1" applyBorder="1" applyAlignment="1" applyProtection="1">
      <alignment horizontal="left" vertical="center" wrapText="1"/>
    </xf>
    <xf numFmtId="0" fontId="147" fillId="17" borderId="198" xfId="0" applyFont="1" applyFill="1" applyBorder="1" applyAlignment="1" applyProtection="1">
      <alignment horizontal="left" vertical="center" wrapText="1"/>
    </xf>
    <xf numFmtId="0" fontId="315" fillId="32" borderId="0" xfId="0" applyFont="1" applyFill="1" applyAlignment="1" applyProtection="1">
      <alignment horizontal="right"/>
    </xf>
    <xf numFmtId="0" fontId="348" fillId="32" borderId="0" xfId="0" applyFont="1" applyFill="1" applyAlignment="1" applyProtection="1">
      <alignment horizontal="right"/>
    </xf>
    <xf numFmtId="0" fontId="349" fillId="17" borderId="146" xfId="0" applyFont="1" applyFill="1" applyBorder="1" applyAlignment="1" applyProtection="1">
      <alignment horizontal="left"/>
    </xf>
    <xf numFmtId="0" fontId="349" fillId="17" borderId="198" xfId="0" applyFont="1" applyFill="1" applyBorder="1" applyAlignment="1" applyProtection="1">
      <alignment horizontal="left"/>
    </xf>
    <xf numFmtId="0" fontId="350" fillId="17" borderId="146" xfId="0" applyFont="1" applyFill="1" applyBorder="1" applyAlignment="1" applyProtection="1">
      <alignment horizontal="left"/>
    </xf>
    <xf numFmtId="0" fontId="350" fillId="17" borderId="198" xfId="0" applyFont="1" applyFill="1" applyBorder="1" applyAlignment="1" applyProtection="1">
      <alignment horizontal="left"/>
    </xf>
    <xf numFmtId="0" fontId="348" fillId="32" borderId="0" xfId="0" applyFont="1" applyFill="1" applyAlignment="1" applyProtection="1">
      <alignment horizontal="left"/>
    </xf>
    <xf numFmtId="0" fontId="351" fillId="32" borderId="0" xfId="0" applyFont="1" applyFill="1" applyBorder="1" applyAlignment="1" applyProtection="1">
      <alignment horizontal="left" vertical="top" wrapText="1"/>
    </xf>
    <xf numFmtId="0" fontId="351" fillId="32" borderId="173" xfId="0" applyFont="1" applyFill="1" applyBorder="1" applyAlignment="1" applyProtection="1">
      <alignment horizontal="left" vertical="top" wrapText="1"/>
    </xf>
    <xf numFmtId="0" fontId="351" fillId="32" borderId="0" xfId="0" applyFont="1" applyFill="1" applyAlignment="1" applyProtection="1">
      <alignment horizontal="center" vertical="top" wrapText="1"/>
    </xf>
    <xf numFmtId="0" fontId="351" fillId="32" borderId="173" xfId="0" applyFont="1" applyFill="1" applyBorder="1" applyAlignment="1" applyProtection="1">
      <alignment horizontal="center" vertical="top" wrapText="1"/>
    </xf>
    <xf numFmtId="0" fontId="315" fillId="32" borderId="0" xfId="0" applyFont="1" applyFill="1" applyAlignment="1" applyProtection="1">
      <alignment horizontal="center"/>
    </xf>
    <xf numFmtId="0" fontId="354" fillId="6" borderId="170" xfId="0" applyFont="1" applyFill="1" applyBorder="1" applyAlignment="1" applyProtection="1">
      <alignment horizontal="center"/>
    </xf>
    <xf numFmtId="0" fontId="354" fillId="6" borderId="248" xfId="0" applyFont="1" applyFill="1" applyBorder="1" applyAlignment="1" applyProtection="1">
      <alignment horizontal="center"/>
    </xf>
    <xf numFmtId="164" fontId="48" fillId="16" borderId="197" xfId="10" applyNumberFormat="1" applyFont="1" applyFill="1" applyBorder="1" applyAlignment="1" applyProtection="1">
      <alignment horizontal="center" vertical="center"/>
      <protection locked="0"/>
    </xf>
    <xf numFmtId="164" fontId="48" fillId="16" borderId="146" xfId="10" applyNumberFormat="1" applyFont="1" applyFill="1" applyBorder="1" applyAlignment="1" applyProtection="1">
      <alignment horizontal="center" vertical="center"/>
      <protection locked="0"/>
    </xf>
    <xf numFmtId="164" fontId="48" fillId="16" borderId="198" xfId="10" applyNumberFormat="1" applyFont="1" applyFill="1" applyBorder="1" applyAlignment="1" applyProtection="1">
      <alignment horizontal="center" vertical="center"/>
      <protection locked="0"/>
    </xf>
    <xf numFmtId="177" fontId="8" fillId="5" borderId="197" xfId="10" applyNumberFormat="1" applyFont="1" applyFill="1" applyBorder="1" applyAlignment="1" applyProtection="1">
      <alignment horizontal="center" vertical="center"/>
      <protection locked="0"/>
    </xf>
    <xf numFmtId="177" fontId="8" fillId="5" borderId="146" xfId="10" applyNumberFormat="1" applyFont="1" applyFill="1" applyBorder="1" applyAlignment="1" applyProtection="1">
      <alignment horizontal="center" vertical="center"/>
      <protection locked="0"/>
    </xf>
    <xf numFmtId="177" fontId="8" fillId="5" borderId="198" xfId="10" applyNumberFormat="1" applyFont="1" applyFill="1" applyBorder="1" applyAlignment="1" applyProtection="1">
      <alignment horizontal="center" vertical="center"/>
      <protection locked="0"/>
    </xf>
    <xf numFmtId="0" fontId="355" fillId="5" borderId="197" xfId="1" applyNumberFormat="1" applyFont="1" applyFill="1" applyBorder="1" applyAlignment="1" applyProtection="1">
      <alignment horizontal="center" vertical="center"/>
      <protection locked="0"/>
    </xf>
    <xf numFmtId="0" fontId="22" fillId="5" borderId="146" xfId="0" applyNumberFormat="1" applyFont="1" applyFill="1" applyBorder="1" applyAlignment="1" applyProtection="1">
      <alignment horizontal="center" vertical="center"/>
      <protection locked="0"/>
    </xf>
    <xf numFmtId="0" fontId="22" fillId="5" borderId="198" xfId="0" applyNumberFormat="1" applyFont="1" applyFill="1" applyBorder="1" applyAlignment="1" applyProtection="1">
      <alignment horizontal="center" vertical="center"/>
      <protection locked="0"/>
    </xf>
    <xf numFmtId="0" fontId="2" fillId="5" borderId="197" xfId="0" applyFont="1" applyFill="1" applyBorder="1" applyAlignment="1" applyProtection="1">
      <alignment horizontal="center" vertical="center"/>
      <protection locked="0"/>
    </xf>
    <xf numFmtId="0" fontId="2" fillId="5" borderId="198" xfId="0" applyFont="1" applyFill="1" applyBorder="1" applyAlignment="1" applyProtection="1">
      <alignment horizontal="center" vertical="center"/>
      <protection locked="0"/>
    </xf>
    <xf numFmtId="0" fontId="251" fillId="5" borderId="197" xfId="0" applyFont="1" applyFill="1" applyBorder="1" applyAlignment="1" applyProtection="1">
      <alignment horizontal="center" vertical="center"/>
      <protection locked="0"/>
    </xf>
    <xf numFmtId="0" fontId="251" fillId="5" borderId="146" xfId="0" applyFont="1" applyFill="1" applyBorder="1" applyAlignment="1" applyProtection="1">
      <alignment horizontal="center" vertical="center"/>
      <protection locked="0"/>
    </xf>
    <xf numFmtId="1" fontId="301" fillId="23" borderId="197" xfId="2" applyNumberFormat="1" applyFont="1" applyFill="1" applyBorder="1" applyAlignment="1" applyProtection="1">
      <alignment horizontal="center" vertical="center"/>
      <protection locked="0"/>
    </xf>
    <xf numFmtId="1" fontId="301" fillId="23" borderId="198" xfId="2" applyNumberFormat="1" applyFont="1" applyFill="1" applyBorder="1" applyAlignment="1" applyProtection="1">
      <alignment horizontal="center" vertical="center"/>
      <protection locked="0"/>
    </xf>
    <xf numFmtId="0" fontId="77" fillId="17" borderId="197" xfId="0" applyFont="1" applyFill="1" applyBorder="1" applyAlignment="1" applyProtection="1">
      <alignment horizontal="center" vertical="center"/>
      <protection locked="0"/>
    </xf>
    <xf numFmtId="0" fontId="77" fillId="17" borderId="146" xfId="0" applyFont="1" applyFill="1" applyBorder="1" applyAlignment="1" applyProtection="1">
      <alignment horizontal="center" vertical="center"/>
      <protection locked="0"/>
    </xf>
    <xf numFmtId="0" fontId="77" fillId="17" borderId="198" xfId="0" applyFont="1" applyFill="1" applyBorder="1" applyAlignment="1" applyProtection="1">
      <alignment horizontal="center" vertical="center"/>
      <protection locked="0"/>
    </xf>
    <xf numFmtId="0" fontId="356" fillId="37" borderId="0" xfId="0" applyFont="1" applyFill="1" applyAlignment="1">
      <alignment horizontal="right" vertical="center" wrapText="1"/>
    </xf>
    <xf numFmtId="0" fontId="23" fillId="16" borderId="146" xfId="0" applyFont="1" applyFill="1" applyBorder="1" applyAlignment="1" applyProtection="1">
      <alignment horizontal="center"/>
    </xf>
    <xf numFmtId="0" fontId="73" fillId="5" borderId="51" xfId="0" applyFont="1" applyFill="1" applyBorder="1" applyAlignment="1">
      <alignment horizontal="left" wrapText="1"/>
    </xf>
    <xf numFmtId="0" fontId="90" fillId="5" borderId="51" xfId="0" applyFont="1" applyFill="1" applyBorder="1" applyAlignment="1">
      <alignment horizontal="left" wrapText="1"/>
    </xf>
    <xf numFmtId="0" fontId="1" fillId="5" borderId="51" xfId="0" applyFont="1" applyFill="1" applyBorder="1" applyAlignment="1">
      <alignment horizontal="left" wrapText="1"/>
    </xf>
    <xf numFmtId="215" fontId="48" fillId="5" borderId="197" xfId="0" applyNumberFormat="1" applyFont="1" applyFill="1" applyBorder="1" applyAlignment="1" applyProtection="1">
      <alignment horizontal="center" vertical="center"/>
      <protection locked="0" hidden="1"/>
    </xf>
    <xf numFmtId="215" fontId="48" fillId="5" borderId="198" xfId="0" applyNumberFormat="1" applyFont="1" applyFill="1" applyBorder="1" applyAlignment="1" applyProtection="1">
      <alignment horizontal="center" vertical="center"/>
      <protection locked="0" hidden="1"/>
    </xf>
    <xf numFmtId="0" fontId="191" fillId="16" borderId="146" xfId="0" applyFont="1" applyFill="1" applyBorder="1" applyAlignment="1" applyProtection="1">
      <alignment horizontal="center"/>
      <protection locked="0" hidden="1"/>
    </xf>
    <xf numFmtId="4" fontId="62" fillId="17" borderId="267" xfId="0" applyNumberFormat="1" applyFont="1" applyFill="1" applyBorder="1" applyAlignment="1" applyProtection="1">
      <alignment horizontal="center"/>
    </xf>
    <xf numFmtId="4" fontId="62" fillId="17" borderId="329" xfId="0" applyNumberFormat="1" applyFont="1" applyFill="1" applyBorder="1" applyAlignment="1" applyProtection="1">
      <alignment horizontal="center"/>
    </xf>
    <xf numFmtId="0" fontId="353" fillId="32" borderId="0" xfId="0" applyFont="1" applyFill="1" applyBorder="1" applyAlignment="1" applyProtection="1">
      <alignment horizontal="center" vertical="center"/>
    </xf>
    <xf numFmtId="4" fontId="49" fillId="11" borderId="330" xfId="0" applyNumberFormat="1" applyFont="1" applyFill="1" applyBorder="1" applyAlignment="1" applyProtection="1">
      <alignment horizontal="center" vertical="center"/>
    </xf>
    <xf numFmtId="4" fontId="49" fillId="11" borderId="267" xfId="0" applyNumberFormat="1" applyFont="1" applyFill="1" applyBorder="1" applyAlignment="1" applyProtection="1">
      <alignment horizontal="center" vertical="center"/>
    </xf>
    <xf numFmtId="4" fontId="49" fillId="11" borderId="329" xfId="0" applyNumberFormat="1" applyFont="1" applyFill="1" applyBorder="1" applyAlignment="1" applyProtection="1">
      <alignment horizontal="center" vertical="center"/>
    </xf>
    <xf numFmtId="4" fontId="49" fillId="11" borderId="89" xfId="0" applyNumberFormat="1" applyFont="1" applyFill="1" applyBorder="1" applyAlignment="1" applyProtection="1">
      <alignment horizontal="center" vertical="center"/>
    </xf>
    <xf numFmtId="4" fontId="49" fillId="11" borderId="81" xfId="0" applyNumberFormat="1" applyFont="1" applyFill="1" applyBorder="1" applyAlignment="1" applyProtection="1">
      <alignment horizontal="center" vertical="center"/>
    </xf>
    <xf numFmtId="4" fontId="49" fillId="11" borderId="193" xfId="0" applyNumberFormat="1" applyFont="1" applyFill="1" applyBorder="1" applyAlignment="1" applyProtection="1">
      <alignment horizontal="center" vertical="center"/>
    </xf>
    <xf numFmtId="4" fontId="32" fillId="3" borderId="330" xfId="0" applyNumberFormat="1" applyFont="1" applyFill="1" applyBorder="1" applyAlignment="1" applyProtection="1">
      <alignment horizontal="center" vertical="center"/>
    </xf>
    <xf numFmtId="4" fontId="32" fillId="3" borderId="267" xfId="0" applyNumberFormat="1" applyFont="1" applyFill="1" applyBorder="1" applyAlignment="1" applyProtection="1">
      <alignment horizontal="center" vertical="center"/>
    </xf>
    <xf numFmtId="4" fontId="32" fillId="3" borderId="329" xfId="0" applyNumberFormat="1" applyFont="1" applyFill="1" applyBorder="1" applyAlignment="1" applyProtection="1">
      <alignment horizontal="center" vertical="center"/>
    </xf>
    <xf numFmtId="4" fontId="32" fillId="3" borderId="89" xfId="0" applyNumberFormat="1" applyFont="1" applyFill="1" applyBorder="1" applyAlignment="1" applyProtection="1">
      <alignment horizontal="center" vertical="center"/>
    </xf>
    <xf numFmtId="4" fontId="32" fillId="3" borderId="81" xfId="0" applyNumberFormat="1" applyFont="1" applyFill="1" applyBorder="1" applyAlignment="1" applyProtection="1">
      <alignment horizontal="center" vertical="center"/>
    </xf>
    <xf numFmtId="4" fontId="32" fillId="3" borderId="193" xfId="0" applyNumberFormat="1" applyFont="1" applyFill="1" applyBorder="1" applyAlignment="1" applyProtection="1">
      <alignment horizontal="center" vertical="center"/>
    </xf>
    <xf numFmtId="4" fontId="41" fillId="7" borderId="330" xfId="0" applyNumberFormat="1" applyFont="1" applyFill="1" applyBorder="1" applyAlignment="1" applyProtection="1">
      <alignment horizontal="center" vertical="center"/>
    </xf>
    <xf numFmtId="4" fontId="41" fillId="7" borderId="267" xfId="0" applyNumberFormat="1" applyFont="1" applyFill="1" applyBorder="1" applyAlignment="1" applyProtection="1">
      <alignment horizontal="center" vertical="center"/>
    </xf>
    <xf numFmtId="4" fontId="41" fillId="7" borderId="329" xfId="0" applyNumberFormat="1" applyFont="1" applyFill="1" applyBorder="1" applyAlignment="1" applyProtection="1">
      <alignment horizontal="center" vertical="center"/>
    </xf>
    <xf numFmtId="4" fontId="41" fillId="7" borderId="89" xfId="0" applyNumberFormat="1" applyFont="1" applyFill="1" applyBorder="1" applyAlignment="1" applyProtection="1">
      <alignment horizontal="center" vertical="center"/>
    </xf>
    <xf numFmtId="4" fontId="41" fillId="7" borderId="81" xfId="0" applyNumberFormat="1" applyFont="1" applyFill="1" applyBorder="1" applyAlignment="1" applyProtection="1">
      <alignment horizontal="center" vertical="center"/>
    </xf>
    <xf numFmtId="4" fontId="41" fillId="7" borderId="193" xfId="0" applyNumberFormat="1" applyFont="1" applyFill="1" applyBorder="1" applyAlignment="1" applyProtection="1">
      <alignment horizontal="center" vertical="center"/>
    </xf>
    <xf numFmtId="4" fontId="62" fillId="17" borderId="330" xfId="0" applyNumberFormat="1" applyFont="1" applyFill="1" applyBorder="1" applyAlignment="1" applyProtection="1">
      <alignment horizontal="center"/>
    </xf>
    <xf numFmtId="38" fontId="326" fillId="32" borderId="0" xfId="10" applyNumberFormat="1" applyFont="1" applyFill="1" applyBorder="1" applyAlignment="1" applyProtection="1">
      <alignment horizontal="center" vertical="center" wrapText="1"/>
    </xf>
    <xf numFmtId="215" fontId="8" fillId="5" borderId="197" xfId="0" applyNumberFormat="1" applyFont="1" applyFill="1" applyBorder="1" applyAlignment="1" applyProtection="1">
      <alignment horizontal="center" vertical="center"/>
    </xf>
    <xf numFmtId="215" fontId="8" fillId="5" borderId="198" xfId="0" applyNumberFormat="1" applyFont="1" applyFill="1" applyBorder="1" applyAlignment="1" applyProtection="1">
      <alignment horizontal="center" vertical="center"/>
    </xf>
    <xf numFmtId="164" fontId="74" fillId="16" borderId="197" xfId="10" applyNumberFormat="1" applyFont="1" applyFill="1" applyBorder="1" applyAlignment="1" applyProtection="1">
      <alignment horizontal="center" vertical="center"/>
    </xf>
    <xf numFmtId="164" fontId="74" fillId="16" borderId="146" xfId="10" applyNumberFormat="1" applyFont="1" applyFill="1" applyBorder="1" applyAlignment="1" applyProtection="1">
      <alignment horizontal="center" vertical="center"/>
    </xf>
    <xf numFmtId="164" fontId="74" fillId="16" borderId="198" xfId="10" applyNumberFormat="1" applyFont="1" applyFill="1" applyBorder="1" applyAlignment="1" applyProtection="1">
      <alignment horizontal="center" vertical="center"/>
    </xf>
    <xf numFmtId="177" fontId="8" fillId="5" borderId="197" xfId="10" applyNumberFormat="1" applyFont="1" applyFill="1" applyBorder="1" applyAlignment="1" applyProtection="1">
      <alignment horizontal="center" vertical="center"/>
    </xf>
    <xf numFmtId="177" fontId="8" fillId="5" borderId="146" xfId="10" applyNumberFormat="1" applyFont="1" applyFill="1" applyBorder="1" applyAlignment="1" applyProtection="1">
      <alignment horizontal="center" vertical="center"/>
    </xf>
    <xf numFmtId="177" fontId="8" fillId="5" borderId="198" xfId="10" applyNumberFormat="1" applyFont="1" applyFill="1" applyBorder="1" applyAlignment="1" applyProtection="1">
      <alignment horizontal="center" vertical="center"/>
    </xf>
    <xf numFmtId="0" fontId="251" fillId="5" borderId="197" xfId="0" applyNumberFormat="1" applyFont="1" applyFill="1" applyBorder="1" applyAlignment="1" applyProtection="1">
      <alignment horizontal="center" vertical="center"/>
    </xf>
    <xf numFmtId="0" fontId="251" fillId="5" borderId="146" xfId="0" applyNumberFormat="1" applyFont="1" applyFill="1" applyBorder="1" applyAlignment="1" applyProtection="1">
      <alignment horizontal="center" vertical="center"/>
    </xf>
    <xf numFmtId="0" fontId="251" fillId="5" borderId="198" xfId="0" applyNumberFormat="1" applyFont="1" applyFill="1" applyBorder="1" applyAlignment="1" applyProtection="1">
      <alignment horizontal="center" vertical="center"/>
    </xf>
    <xf numFmtId="0" fontId="2" fillId="5" borderId="197" xfId="0" applyNumberFormat="1" applyFont="1" applyFill="1" applyBorder="1" applyAlignment="1" applyProtection="1">
      <alignment horizontal="center" vertical="center"/>
    </xf>
    <xf numFmtId="0" fontId="2" fillId="5" borderId="198" xfId="0" applyNumberFormat="1" applyFont="1" applyFill="1" applyBorder="1" applyAlignment="1" applyProtection="1">
      <alignment horizontal="center" vertical="center"/>
    </xf>
    <xf numFmtId="0" fontId="356" fillId="37" borderId="0" xfId="0" applyFont="1" applyFill="1" applyAlignment="1" applyProtection="1">
      <alignment horizontal="right" vertical="center" wrapText="1"/>
    </xf>
    <xf numFmtId="1" fontId="301" fillId="23" borderId="197" xfId="2" applyNumberFormat="1" applyFont="1" applyFill="1" applyBorder="1" applyAlignment="1" applyProtection="1">
      <alignment horizontal="center" vertical="center"/>
    </xf>
    <xf numFmtId="1" fontId="301" fillId="23" borderId="198" xfId="2" applyNumberFormat="1" applyFont="1" applyFill="1" applyBorder="1" applyAlignment="1" applyProtection="1">
      <alignment horizontal="center" vertical="center"/>
    </xf>
    <xf numFmtId="0" fontId="77" fillId="17" borderId="197" xfId="0" applyFont="1" applyFill="1" applyBorder="1" applyAlignment="1" applyProtection="1">
      <alignment horizontal="center" vertical="center"/>
    </xf>
    <xf numFmtId="0" fontId="77" fillId="17" borderId="146" xfId="0" applyFont="1" applyFill="1" applyBorder="1" applyAlignment="1" applyProtection="1">
      <alignment horizontal="center" vertical="center"/>
    </xf>
    <xf numFmtId="0" fontId="77" fillId="17" borderId="198" xfId="0" applyFont="1" applyFill="1" applyBorder="1" applyAlignment="1" applyProtection="1">
      <alignment horizontal="center" vertical="center"/>
    </xf>
    <xf numFmtId="177" fontId="2" fillId="5" borderId="197" xfId="9" applyNumberFormat="1" applyFont="1" applyFill="1" applyBorder="1" applyAlignment="1" applyProtection="1">
      <alignment horizontal="center" vertical="center"/>
    </xf>
    <xf numFmtId="177" fontId="2" fillId="5" borderId="198" xfId="9" applyNumberFormat="1" applyFont="1" applyFill="1" applyBorder="1" applyAlignment="1" applyProtection="1">
      <alignment horizontal="center" vertical="center"/>
    </xf>
    <xf numFmtId="0" fontId="2" fillId="5" borderId="211" xfId="9" applyFont="1" applyFill="1" applyBorder="1" applyAlignment="1" applyProtection="1">
      <alignment horizontal="center" wrapText="1"/>
    </xf>
    <xf numFmtId="0" fontId="2" fillId="5" borderId="177" xfId="9" applyFont="1" applyFill="1" applyBorder="1" applyAlignment="1" applyProtection="1">
      <alignment horizontal="center" wrapText="1"/>
    </xf>
    <xf numFmtId="0" fontId="2" fillId="5" borderId="212" xfId="9" applyFont="1" applyFill="1" applyBorder="1" applyAlignment="1" applyProtection="1">
      <alignment horizontal="center" wrapText="1"/>
    </xf>
    <xf numFmtId="0" fontId="198" fillId="5" borderId="174" xfId="9" applyFont="1" applyFill="1" applyBorder="1" applyAlignment="1" applyProtection="1">
      <alignment horizontal="center" vertical="center" wrapText="1"/>
    </xf>
    <xf numFmtId="0" fontId="198" fillId="5" borderId="11" xfId="9" applyFont="1" applyFill="1" applyBorder="1" applyAlignment="1" applyProtection="1">
      <alignment horizontal="center" vertical="center" wrapText="1"/>
    </xf>
    <xf numFmtId="0" fontId="198" fillId="5" borderId="175" xfId="9" applyFont="1" applyFill="1" applyBorder="1" applyAlignment="1" applyProtection="1">
      <alignment horizontal="center" vertical="center" wrapText="1"/>
    </xf>
    <xf numFmtId="38" fontId="2" fillId="21" borderId="85" xfId="10" applyNumberFormat="1" applyFont="1" applyFill="1" applyBorder="1" applyAlignment="1" applyProtection="1">
      <alignment horizontal="center" vertical="center"/>
    </xf>
    <xf numFmtId="38" fontId="2" fillId="21" borderId="191" xfId="10" applyNumberFormat="1" applyFont="1" applyFill="1" applyBorder="1" applyAlignment="1" applyProtection="1">
      <alignment horizontal="center" vertical="center"/>
    </xf>
    <xf numFmtId="0" fontId="251" fillId="5" borderId="197" xfId="9" applyFont="1" applyFill="1" applyBorder="1" applyAlignment="1" applyProtection="1">
      <alignment horizontal="center" vertical="center"/>
    </xf>
    <xf numFmtId="0" fontId="251" fillId="5" borderId="198" xfId="9" applyFont="1" applyFill="1" applyBorder="1" applyAlignment="1" applyProtection="1">
      <alignment horizontal="center" vertical="center"/>
    </xf>
    <xf numFmtId="0" fontId="357" fillId="16" borderId="197" xfId="9" applyFont="1" applyFill="1" applyBorder="1" applyAlignment="1" applyProtection="1">
      <alignment horizontal="center"/>
      <protection locked="0"/>
    </xf>
    <xf numFmtId="0" fontId="357" fillId="16" borderId="198" xfId="9" applyFont="1" applyFill="1" applyBorder="1" applyAlignment="1" applyProtection="1">
      <alignment horizontal="center"/>
      <protection locked="0"/>
    </xf>
    <xf numFmtId="0" fontId="358" fillId="16" borderId="197" xfId="9" applyFont="1" applyFill="1" applyBorder="1" applyAlignment="1" applyProtection="1">
      <alignment horizontal="center"/>
      <protection locked="0"/>
    </xf>
    <xf numFmtId="0" fontId="358" fillId="16" borderId="146" xfId="9" applyFont="1" applyFill="1" applyBorder="1" applyAlignment="1" applyProtection="1">
      <alignment horizontal="center"/>
      <protection locked="0"/>
    </xf>
    <xf numFmtId="0" fontId="358" fillId="16" borderId="198" xfId="9" applyFont="1" applyFill="1" applyBorder="1" applyAlignment="1" applyProtection="1">
      <alignment horizontal="center"/>
      <protection locked="0"/>
    </xf>
    <xf numFmtId="167" fontId="2" fillId="21" borderId="268" xfId="10" applyNumberFormat="1" applyFont="1" applyFill="1" applyBorder="1" applyAlignment="1" applyProtection="1">
      <alignment horizontal="center" vertical="center" textRotation="90" wrapText="1"/>
    </xf>
    <xf numFmtId="167" fontId="2" fillId="21" borderId="85" xfId="10" applyNumberFormat="1" applyFont="1" applyFill="1" applyBorder="1" applyAlignment="1" applyProtection="1">
      <alignment horizontal="center" vertical="center" textRotation="90" wrapText="1"/>
    </xf>
    <xf numFmtId="167" fontId="2" fillId="21" borderId="191" xfId="10" applyNumberFormat="1" applyFont="1" applyFill="1" applyBorder="1" applyAlignment="1" applyProtection="1">
      <alignment horizontal="center" vertical="center" textRotation="90" wrapText="1"/>
    </xf>
    <xf numFmtId="167" fontId="2" fillId="48" borderId="268" xfId="10" applyNumberFormat="1" applyFont="1" applyFill="1" applyBorder="1" applyAlignment="1" applyProtection="1">
      <alignment horizontal="center" vertical="center" textRotation="90" wrapText="1"/>
    </xf>
    <xf numFmtId="167" fontId="2" fillId="48" borderId="85" xfId="10" applyNumberFormat="1" applyFont="1" applyFill="1" applyBorder="1" applyAlignment="1" applyProtection="1">
      <alignment horizontal="center" vertical="center" textRotation="90" wrapText="1"/>
    </xf>
    <xf numFmtId="167" fontId="2" fillId="48" borderId="191" xfId="10" applyNumberFormat="1" applyFont="1" applyFill="1" applyBorder="1" applyAlignment="1" applyProtection="1">
      <alignment horizontal="center" vertical="center" textRotation="90" wrapText="1"/>
    </xf>
    <xf numFmtId="0" fontId="3" fillId="13" borderId="172" xfId="9" applyFont="1" applyFill="1" applyBorder="1" applyAlignment="1" applyProtection="1">
      <alignment horizontal="center" vertical="top"/>
    </xf>
    <xf numFmtId="0" fontId="3" fillId="13" borderId="0" xfId="9" applyFont="1" applyFill="1" applyBorder="1" applyAlignment="1" applyProtection="1">
      <alignment horizontal="center" vertical="top"/>
    </xf>
    <xf numFmtId="0" fontId="3" fillId="13" borderId="173" xfId="9" applyFont="1" applyFill="1" applyBorder="1" applyAlignment="1" applyProtection="1">
      <alignment horizontal="center" vertical="top"/>
    </xf>
    <xf numFmtId="0" fontId="251" fillId="5" borderId="146" xfId="9" applyFont="1" applyFill="1" applyBorder="1" applyAlignment="1" applyProtection="1">
      <alignment horizontal="center" vertical="center"/>
    </xf>
    <xf numFmtId="168" fontId="2" fillId="5" borderId="82" xfId="9" applyNumberFormat="1" applyFont="1" applyFill="1" applyBorder="1" applyAlignment="1" applyProtection="1">
      <alignment horizontal="center" vertical="center"/>
    </xf>
    <xf numFmtId="168" fontId="2" fillId="5" borderId="83" xfId="9" applyNumberFormat="1" applyFont="1" applyFill="1" applyBorder="1" applyAlignment="1" applyProtection="1">
      <alignment horizontal="center" vertical="center"/>
    </xf>
    <xf numFmtId="168" fontId="2" fillId="5" borderId="162" xfId="9" applyNumberFormat="1" applyFont="1" applyFill="1" applyBorder="1" applyAlignment="1" applyProtection="1">
      <alignment horizontal="center" vertical="center"/>
    </xf>
    <xf numFmtId="168" fontId="2" fillId="5" borderId="84" xfId="9" applyNumberFormat="1" applyFont="1" applyFill="1" applyBorder="1" applyAlignment="1" applyProtection="1">
      <alignment horizontal="center" vertical="center"/>
    </xf>
    <xf numFmtId="0" fontId="2" fillId="5" borderId="82" xfId="9" applyFont="1" applyFill="1" applyBorder="1" applyAlignment="1" applyProtection="1">
      <alignment horizontal="center" vertical="center"/>
    </xf>
    <xf numFmtId="0" fontId="2" fillId="5" borderId="83" xfId="9" applyFont="1" applyFill="1" applyBorder="1" applyAlignment="1" applyProtection="1">
      <alignment horizontal="center" vertical="center"/>
    </xf>
    <xf numFmtId="0" fontId="2" fillId="5" borderId="162" xfId="9" applyFont="1" applyFill="1" applyBorder="1" applyAlignment="1" applyProtection="1">
      <alignment horizontal="center" vertical="center"/>
    </xf>
    <xf numFmtId="0" fontId="2" fillId="5" borderId="84" xfId="9" applyFont="1" applyFill="1" applyBorder="1" applyAlignment="1" applyProtection="1">
      <alignment horizontal="center" vertical="center"/>
    </xf>
    <xf numFmtId="186" fontId="342" fillId="50" borderId="344" xfId="0" quotePrefix="1" applyNumberFormat="1" applyFont="1" applyFill="1" applyBorder="1" applyAlignment="1" applyProtection="1">
      <alignment horizontal="left"/>
    </xf>
    <xf numFmtId="186" fontId="342" fillId="50" borderId="344" xfId="0" applyNumberFormat="1" applyFont="1" applyFill="1" applyBorder="1" applyAlignment="1" applyProtection="1">
      <alignment horizontal="left"/>
    </xf>
    <xf numFmtId="190" fontId="360" fillId="17" borderId="172" xfId="0" quotePrefix="1" applyNumberFormat="1" applyFont="1" applyFill="1" applyBorder="1" applyAlignment="1" applyProtection="1">
      <alignment horizontal="left"/>
    </xf>
    <xf numFmtId="190" fontId="360" fillId="17" borderId="0" xfId="0" applyNumberFormat="1" applyFont="1" applyFill="1" applyBorder="1" applyAlignment="1" applyProtection="1">
      <alignment horizontal="left"/>
    </xf>
    <xf numFmtId="191" fontId="360" fillId="17" borderId="0" xfId="0" quotePrefix="1" applyNumberFormat="1" applyFont="1" applyFill="1" applyBorder="1" applyAlignment="1" applyProtection="1">
      <alignment horizontal="center"/>
    </xf>
    <xf numFmtId="191" fontId="360" fillId="17" borderId="0" xfId="0" applyNumberFormat="1" applyFont="1" applyFill="1" applyBorder="1" applyAlignment="1" applyProtection="1">
      <alignment horizontal="center"/>
    </xf>
    <xf numFmtId="188" fontId="361" fillId="42" borderId="0" xfId="0" applyNumberFormat="1" applyFont="1" applyFill="1" applyBorder="1" applyAlignment="1" applyProtection="1">
      <alignment horizontal="center"/>
    </xf>
    <xf numFmtId="189" fontId="342" fillId="42" borderId="0" xfId="0" quotePrefix="1" applyNumberFormat="1" applyFont="1" applyFill="1" applyBorder="1" applyAlignment="1" applyProtection="1">
      <alignment horizontal="left"/>
    </xf>
    <xf numFmtId="189" fontId="342" fillId="42" borderId="0" xfId="0" applyNumberFormat="1" applyFont="1" applyFill="1" applyBorder="1" applyAlignment="1" applyProtection="1">
      <alignment horizontal="left"/>
    </xf>
    <xf numFmtId="189" fontId="342" fillId="42" borderId="350" xfId="0" applyNumberFormat="1" applyFont="1" applyFill="1" applyBorder="1" applyAlignment="1" applyProtection="1">
      <alignment horizontal="left"/>
    </xf>
    <xf numFmtId="4" fontId="137" fillId="17" borderId="252" xfId="0" applyNumberFormat="1" applyFont="1" applyFill="1" applyBorder="1" applyAlignment="1" applyProtection="1">
      <alignment horizontal="center" vertical="center" wrapText="1"/>
    </xf>
    <xf numFmtId="4" fontId="137" fillId="17" borderId="218" xfId="0" applyNumberFormat="1" applyFont="1" applyFill="1" applyBorder="1" applyAlignment="1" applyProtection="1">
      <alignment horizontal="center" vertical="center" wrapText="1"/>
    </xf>
    <xf numFmtId="4" fontId="137" fillId="17" borderId="315" xfId="0" applyNumberFormat="1" applyFont="1" applyFill="1" applyBorder="1" applyAlignment="1" applyProtection="1">
      <alignment horizontal="center" vertical="center" wrapText="1"/>
    </xf>
    <xf numFmtId="0" fontId="359" fillId="43" borderId="0" xfId="0" applyFont="1" applyFill="1" applyAlignment="1" applyProtection="1">
      <alignment horizontal="left"/>
    </xf>
    <xf numFmtId="215" fontId="48" fillId="5" borderId="197" xfId="0" applyNumberFormat="1" applyFont="1" applyFill="1" applyBorder="1" applyAlignment="1" applyProtection="1">
      <alignment horizontal="center" vertical="center"/>
    </xf>
    <xf numFmtId="215" fontId="48" fillId="5" borderId="198" xfId="0" applyNumberFormat="1" applyFont="1" applyFill="1" applyBorder="1" applyAlignment="1" applyProtection="1">
      <alignment horizontal="center" vertical="center"/>
    </xf>
    <xf numFmtId="0" fontId="191" fillId="16" borderId="146" xfId="0" applyFont="1" applyFill="1" applyBorder="1" applyAlignment="1" applyProtection="1">
      <alignment horizontal="center"/>
    </xf>
    <xf numFmtId="164" fontId="48" fillId="16" borderId="197" xfId="10" applyNumberFormat="1" applyFont="1" applyFill="1" applyBorder="1" applyAlignment="1" applyProtection="1">
      <alignment horizontal="center" vertical="center"/>
    </xf>
    <xf numFmtId="164" fontId="48" fillId="16" borderId="146" xfId="10" applyNumberFormat="1" applyFont="1" applyFill="1" applyBorder="1" applyAlignment="1" applyProtection="1">
      <alignment horizontal="center" vertical="center"/>
    </xf>
    <xf numFmtId="164" fontId="48" fillId="16" borderId="198" xfId="10" applyNumberFormat="1" applyFont="1" applyFill="1" applyBorder="1" applyAlignment="1" applyProtection="1">
      <alignment horizontal="center" vertical="center"/>
    </xf>
    <xf numFmtId="0" fontId="344" fillId="17" borderId="169" xfId="0" applyFont="1" applyFill="1" applyBorder="1" applyAlignment="1" applyProtection="1">
      <alignment horizontal="center" vertical="center"/>
    </xf>
    <xf numFmtId="0" fontId="344" fillId="17" borderId="171" xfId="0" applyFont="1" applyFill="1" applyBorder="1" applyAlignment="1" applyProtection="1">
      <alignment horizontal="center" vertical="center"/>
    </xf>
    <xf numFmtId="228" fontId="345" fillId="17" borderId="174" xfId="0" applyNumberFormat="1" applyFont="1" applyFill="1" applyBorder="1" applyAlignment="1" applyProtection="1">
      <alignment horizontal="center"/>
    </xf>
    <xf numFmtId="228" fontId="345" fillId="17" borderId="175" xfId="0" applyNumberFormat="1" applyFont="1" applyFill="1" applyBorder="1" applyAlignment="1" applyProtection="1">
      <alignment horizontal="center"/>
    </xf>
    <xf numFmtId="0" fontId="193" fillId="16" borderId="146" xfId="0" applyFont="1" applyFill="1" applyBorder="1" applyAlignment="1" applyProtection="1">
      <alignment horizontal="center"/>
    </xf>
    <xf numFmtId="227" fontId="280" fillId="34" borderId="197" xfId="0" applyNumberFormat="1" applyFont="1" applyFill="1" applyBorder="1" applyAlignment="1" applyProtection="1">
      <alignment horizontal="center"/>
    </xf>
    <xf numFmtId="227" fontId="280" fillId="34" borderId="146" xfId="0" applyNumberFormat="1" applyFont="1" applyFill="1" applyBorder="1" applyAlignment="1" applyProtection="1">
      <alignment horizontal="center"/>
    </xf>
    <xf numFmtId="193" fontId="342" fillId="42" borderId="0" xfId="0" applyNumberFormat="1" applyFont="1" applyFill="1" applyBorder="1" applyAlignment="1" applyProtection="1">
      <alignment horizontal="center"/>
    </xf>
    <xf numFmtId="184" fontId="346" fillId="16" borderId="0" xfId="0" applyNumberFormat="1" applyFont="1" applyFill="1" applyBorder="1" applyAlignment="1" applyProtection="1">
      <alignment horizontal="center"/>
    </xf>
    <xf numFmtId="176" fontId="292" fillId="34" borderId="194" xfId="0" applyNumberFormat="1" applyFont="1" applyFill="1" applyBorder="1" applyAlignment="1" applyProtection="1">
      <alignment horizontal="center"/>
    </xf>
    <xf numFmtId="176" fontId="292" fillId="34" borderId="195" xfId="0" applyNumberFormat="1" applyFont="1" applyFill="1" applyBorder="1" applyAlignment="1" applyProtection="1">
      <alignment horizontal="center"/>
    </xf>
    <xf numFmtId="0" fontId="198" fillId="8" borderId="59" xfId="9" applyFont="1" applyFill="1" applyBorder="1" applyAlignment="1" applyProtection="1">
      <alignment horizontal="center"/>
    </xf>
    <xf numFmtId="0" fontId="362" fillId="5" borderId="197" xfId="9" applyFont="1" applyFill="1" applyBorder="1" applyAlignment="1" applyProtection="1">
      <alignment horizontal="center" vertical="center"/>
    </xf>
    <xf numFmtId="0" fontId="362" fillId="5" borderId="146" xfId="9" applyFont="1" applyFill="1" applyBorder="1" applyAlignment="1" applyProtection="1">
      <alignment horizontal="center" vertical="center"/>
    </xf>
    <xf numFmtId="0" fontId="362" fillId="5" borderId="198" xfId="9" applyFont="1" applyFill="1" applyBorder="1" applyAlignment="1" applyProtection="1">
      <alignment horizontal="center" vertical="center"/>
    </xf>
    <xf numFmtId="0" fontId="362" fillId="13" borderId="197" xfId="9" applyFont="1" applyFill="1" applyBorder="1" applyAlignment="1" applyProtection="1">
      <alignment horizontal="center" vertical="center"/>
    </xf>
    <xf numFmtId="0" fontId="362" fillId="13" borderId="198" xfId="9" applyFont="1" applyFill="1" applyBorder="1" applyAlignment="1" applyProtection="1">
      <alignment horizontal="center" vertical="center"/>
    </xf>
    <xf numFmtId="0" fontId="91" fillId="13" borderId="172" xfId="9" applyFont="1" applyFill="1" applyBorder="1" applyAlignment="1" applyProtection="1">
      <alignment horizontal="center" vertical="top"/>
    </xf>
    <xf numFmtId="0" fontId="91" fillId="13" borderId="0" xfId="9" applyFont="1" applyFill="1" applyBorder="1" applyAlignment="1" applyProtection="1">
      <alignment horizontal="center" vertical="top"/>
    </xf>
    <xf numFmtId="0" fontId="91" fillId="13" borderId="173" xfId="9" applyFont="1" applyFill="1" applyBorder="1" applyAlignment="1" applyProtection="1">
      <alignment horizontal="center" vertical="top"/>
    </xf>
    <xf numFmtId="38" fontId="363" fillId="16" borderId="331" xfId="10" applyNumberFormat="1" applyFont="1" applyFill="1" applyBorder="1" applyAlignment="1" applyProtection="1">
      <alignment horizontal="center"/>
    </xf>
    <xf numFmtId="38" fontId="363" fillId="8" borderId="331" xfId="10" applyNumberFormat="1" applyFont="1" applyFill="1" applyBorder="1" applyAlignment="1" applyProtection="1">
      <alignment horizontal="center"/>
    </xf>
    <xf numFmtId="38" fontId="363" fillId="8" borderId="81" xfId="10" applyNumberFormat="1" applyFont="1" applyFill="1" applyBorder="1" applyAlignment="1" applyProtection="1">
      <alignment horizontal="center"/>
    </xf>
    <xf numFmtId="0" fontId="364" fillId="10" borderId="0" xfId="9" applyFont="1" applyFill="1" applyAlignment="1" applyProtection="1">
      <alignment horizontal="center"/>
    </xf>
    <xf numFmtId="177" fontId="48" fillId="13" borderId="197" xfId="9" applyNumberFormat="1" applyFont="1" applyFill="1" applyBorder="1" applyAlignment="1" applyProtection="1">
      <alignment horizontal="center" vertical="center"/>
    </xf>
    <xf numFmtId="177" fontId="48" fillId="13" borderId="198" xfId="9" applyNumberFormat="1" applyFont="1" applyFill="1" applyBorder="1" applyAlignment="1" applyProtection="1">
      <alignment horizontal="center" vertical="center"/>
    </xf>
    <xf numFmtId="0" fontId="48" fillId="13" borderId="211" xfId="9" applyFont="1" applyFill="1" applyBorder="1" applyAlignment="1" applyProtection="1">
      <alignment horizontal="center" wrapText="1"/>
    </xf>
    <xf numFmtId="0" fontId="48" fillId="13" borderId="177" xfId="9" applyFont="1" applyFill="1" applyBorder="1" applyAlignment="1" applyProtection="1">
      <alignment horizontal="center" wrapText="1"/>
    </xf>
    <xf numFmtId="0" fontId="48" fillId="13" borderId="212" xfId="9" applyFont="1" applyFill="1" applyBorder="1" applyAlignment="1" applyProtection="1">
      <alignment horizontal="center" wrapText="1"/>
    </xf>
    <xf numFmtId="0" fontId="358" fillId="5" borderId="174" xfId="9" applyFont="1" applyFill="1" applyBorder="1" applyAlignment="1" applyProtection="1">
      <alignment horizontal="center" vertical="center" wrapText="1"/>
    </xf>
    <xf numFmtId="0" fontId="358" fillId="5" borderId="11" xfId="9" applyFont="1" applyFill="1" applyBorder="1" applyAlignment="1" applyProtection="1">
      <alignment horizontal="center" vertical="center" wrapText="1"/>
    </xf>
    <xf numFmtId="0" fontId="358" fillId="5" borderId="175" xfId="9" applyFont="1" applyFill="1" applyBorder="1" applyAlignment="1" applyProtection="1">
      <alignment horizontal="center" vertical="center" wrapText="1"/>
    </xf>
    <xf numFmtId="0" fontId="2" fillId="5" borderId="181" xfId="9" applyFont="1" applyFill="1" applyBorder="1" applyAlignment="1" applyProtection="1">
      <alignment horizontal="center" vertical="center"/>
    </xf>
    <xf numFmtId="0" fontId="2" fillId="5" borderId="182" xfId="9" applyFont="1" applyFill="1" applyBorder="1" applyAlignment="1" applyProtection="1">
      <alignment horizontal="center" vertical="center"/>
    </xf>
    <xf numFmtId="0" fontId="2" fillId="5" borderId="183" xfId="9" applyFont="1" applyFill="1" applyBorder="1" applyAlignment="1" applyProtection="1">
      <alignment horizontal="center" vertical="center"/>
    </xf>
    <xf numFmtId="0" fontId="2" fillId="5" borderId="184" xfId="9" applyFont="1" applyFill="1" applyBorder="1" applyAlignment="1" applyProtection="1">
      <alignment horizontal="center" vertical="center"/>
    </xf>
    <xf numFmtId="0" fontId="84" fillId="10" borderId="48" xfId="9" applyFont="1" applyFill="1" applyBorder="1" applyAlignment="1" applyProtection="1">
      <alignment horizontal="center"/>
    </xf>
    <xf numFmtId="167" fontId="2" fillId="45" borderId="268" xfId="10" applyNumberFormat="1" applyFont="1" applyFill="1" applyBorder="1" applyAlignment="1" applyProtection="1">
      <alignment horizontal="center" vertical="center" textRotation="90" wrapText="1"/>
    </xf>
    <xf numFmtId="167" fontId="2" fillId="45" borderId="85" xfId="10" applyNumberFormat="1" applyFont="1" applyFill="1" applyBorder="1" applyAlignment="1" applyProtection="1">
      <alignment horizontal="center" vertical="center" textRotation="90" wrapText="1"/>
    </xf>
    <xf numFmtId="167" fontId="2" fillId="45" borderId="191" xfId="10" applyNumberFormat="1" applyFont="1" applyFill="1" applyBorder="1" applyAlignment="1" applyProtection="1">
      <alignment horizontal="center" vertical="center" textRotation="90" wrapText="1"/>
    </xf>
    <xf numFmtId="0" fontId="48" fillId="12" borderId="48" xfId="9" applyFont="1" applyFill="1" applyBorder="1" applyAlignment="1" applyProtection="1">
      <alignment horizontal="center"/>
    </xf>
    <xf numFmtId="38" fontId="2" fillId="8" borderId="0" xfId="10" applyNumberFormat="1" applyFont="1" applyFill="1" applyBorder="1" applyAlignment="1" applyProtection="1">
      <alignment horizontal="center"/>
    </xf>
    <xf numFmtId="4" fontId="160" fillId="32" borderId="170" xfId="0" applyNumberFormat="1" applyFont="1" applyFill="1" applyBorder="1" applyAlignment="1" applyProtection="1">
      <alignment horizontal="center"/>
    </xf>
    <xf numFmtId="4" fontId="167" fillId="32" borderId="0" xfId="0" applyNumberFormat="1" applyFont="1" applyFill="1" applyBorder="1" applyAlignment="1" applyProtection="1">
      <alignment horizontal="center"/>
    </xf>
    <xf numFmtId="166" fontId="198" fillId="17" borderId="0" xfId="10" applyNumberFormat="1" applyFont="1" applyFill="1" applyAlignment="1" applyProtection="1">
      <alignment horizontal="center"/>
    </xf>
    <xf numFmtId="0" fontId="2" fillId="5" borderId="181" xfId="6" applyFont="1" applyFill="1" applyBorder="1" applyAlignment="1" applyProtection="1">
      <alignment horizontal="center" vertical="center"/>
    </xf>
    <xf numFmtId="0" fontId="2" fillId="5" borderId="182" xfId="6" applyFont="1" applyFill="1" applyBorder="1" applyAlignment="1" applyProtection="1">
      <alignment horizontal="center" vertical="center"/>
    </xf>
    <xf numFmtId="0" fontId="2" fillId="5" borderId="183" xfId="6" applyFont="1" applyFill="1" applyBorder="1" applyAlignment="1" applyProtection="1">
      <alignment horizontal="center" vertical="center"/>
    </xf>
    <xf numFmtId="0" fontId="2" fillId="5" borderId="184" xfId="6" applyFont="1" applyFill="1" applyBorder="1" applyAlignment="1" applyProtection="1">
      <alignment horizontal="center" vertical="center"/>
    </xf>
    <xf numFmtId="0" fontId="198" fillId="5" borderId="59" xfId="6" applyFont="1" applyFill="1" applyBorder="1" applyAlignment="1" applyProtection="1">
      <alignment horizontal="center"/>
    </xf>
    <xf numFmtId="38" fontId="365" fillId="17" borderId="331" xfId="10" applyNumberFormat="1" applyFont="1" applyFill="1" applyBorder="1" applyAlignment="1" applyProtection="1">
      <alignment horizontal="center"/>
    </xf>
    <xf numFmtId="38" fontId="365" fillId="17" borderId="81" xfId="10" applyNumberFormat="1" applyFont="1" applyFill="1" applyBorder="1" applyAlignment="1" applyProtection="1">
      <alignment horizontal="center"/>
    </xf>
    <xf numFmtId="0" fontId="366" fillId="30" borderId="0" xfId="9" applyFont="1" applyFill="1" applyAlignment="1" applyProtection="1">
      <alignment horizontal="center"/>
    </xf>
    <xf numFmtId="177" fontId="2" fillId="5" borderId="197" xfId="6" applyNumberFormat="1" applyFont="1" applyFill="1" applyBorder="1" applyAlignment="1" applyProtection="1">
      <alignment horizontal="center" vertical="center"/>
    </xf>
    <xf numFmtId="177" fontId="2" fillId="5" borderId="198" xfId="6" applyNumberFormat="1" applyFont="1" applyFill="1" applyBorder="1" applyAlignment="1" applyProtection="1">
      <alignment horizontal="center" vertical="center"/>
    </xf>
    <xf numFmtId="0" fontId="2" fillId="5" borderId="211" xfId="6" applyFont="1" applyFill="1" applyBorder="1" applyAlignment="1" applyProtection="1">
      <alignment horizontal="center" wrapText="1"/>
    </xf>
    <xf numFmtId="0" fontId="2" fillId="5" borderId="177" xfId="6" applyFont="1" applyFill="1" applyBorder="1" applyAlignment="1" applyProtection="1">
      <alignment horizontal="center" wrapText="1"/>
    </xf>
    <xf numFmtId="0" fontId="2" fillId="5" borderId="212" xfId="6" applyFont="1" applyFill="1" applyBorder="1" applyAlignment="1" applyProtection="1">
      <alignment horizontal="center" wrapText="1"/>
    </xf>
    <xf numFmtId="0" fontId="234" fillId="5" borderId="48" xfId="6" applyFont="1" applyFill="1" applyBorder="1" applyAlignment="1" applyProtection="1">
      <alignment horizontal="center"/>
    </xf>
    <xf numFmtId="0" fontId="3" fillId="5" borderId="172" xfId="6" applyFont="1" applyFill="1" applyBorder="1" applyAlignment="1" applyProtection="1">
      <alignment horizontal="center" vertical="top"/>
    </xf>
    <xf numFmtId="0" fontId="3" fillId="5" borderId="0" xfId="6" applyFont="1" applyFill="1" applyBorder="1" applyAlignment="1" applyProtection="1">
      <alignment horizontal="center" vertical="top"/>
    </xf>
    <xf numFmtId="0" fontId="3" fillId="5" borderId="173" xfId="6" applyFont="1" applyFill="1" applyBorder="1" applyAlignment="1" applyProtection="1">
      <alignment horizontal="center" vertical="top"/>
    </xf>
    <xf numFmtId="0" fontId="251" fillId="5" borderId="197" xfId="6" applyFont="1" applyFill="1" applyBorder="1" applyAlignment="1" applyProtection="1">
      <alignment horizontal="center" vertical="center"/>
    </xf>
    <xf numFmtId="0" fontId="251" fillId="5" borderId="198" xfId="6" applyFont="1" applyFill="1" applyBorder="1" applyAlignment="1" applyProtection="1">
      <alignment horizontal="center" vertical="center"/>
    </xf>
    <xf numFmtId="38" fontId="2" fillId="5" borderId="0" xfId="10" applyNumberFormat="1" applyFont="1" applyFill="1" applyBorder="1" applyAlignment="1" applyProtection="1">
      <alignment horizontal="center"/>
    </xf>
    <xf numFmtId="38" fontId="358" fillId="29" borderId="59" xfId="10" applyNumberFormat="1" applyFont="1" applyFill="1" applyBorder="1" applyAlignment="1" applyProtection="1">
      <alignment horizontal="center"/>
    </xf>
    <xf numFmtId="166" fontId="357" fillId="29" borderId="0" xfId="10" applyNumberFormat="1" applyFont="1" applyFill="1" applyAlignment="1" applyProtection="1">
      <alignment horizontal="center"/>
    </xf>
    <xf numFmtId="0" fontId="294" fillId="28" borderId="48" xfId="9" applyFont="1" applyFill="1" applyBorder="1" applyAlignment="1" applyProtection="1">
      <alignment horizontal="center"/>
    </xf>
    <xf numFmtId="167" fontId="2" fillId="16" borderId="268" xfId="10" applyNumberFormat="1" applyFont="1" applyFill="1" applyBorder="1" applyAlignment="1" applyProtection="1">
      <alignment horizontal="center" vertical="center" textRotation="90" wrapText="1"/>
    </xf>
    <xf numFmtId="167" fontId="2" fillId="16" borderId="85" xfId="10" applyNumberFormat="1" applyFont="1" applyFill="1" applyBorder="1" applyAlignment="1" applyProtection="1">
      <alignment horizontal="center" vertical="center" textRotation="90" wrapText="1"/>
    </xf>
    <xf numFmtId="167" fontId="2" fillId="16" borderId="191" xfId="10" applyNumberFormat="1" applyFont="1" applyFill="1" applyBorder="1" applyAlignment="1" applyProtection="1">
      <alignment horizontal="center" vertical="center" textRotation="90" wrapText="1"/>
    </xf>
    <xf numFmtId="0" fontId="275" fillId="39" borderId="48" xfId="9" applyFont="1" applyFill="1" applyBorder="1" applyAlignment="1" applyProtection="1">
      <alignment horizontal="center"/>
    </xf>
    <xf numFmtId="0" fontId="3" fillId="30" borderId="172" xfId="9" applyFont="1" applyFill="1" applyBorder="1" applyAlignment="1" applyProtection="1">
      <alignment horizontal="center" vertical="top"/>
    </xf>
    <xf numFmtId="0" fontId="3" fillId="30" borderId="0" xfId="9" applyFont="1" applyFill="1" applyBorder="1" applyAlignment="1" applyProtection="1">
      <alignment horizontal="center" vertical="top"/>
    </xf>
    <xf numFmtId="0" fontId="3" fillId="30" borderId="173" xfId="9" applyFont="1" applyFill="1" applyBorder="1" applyAlignment="1" applyProtection="1">
      <alignment horizontal="center" vertical="top"/>
    </xf>
    <xf numFmtId="0" fontId="257" fillId="13" borderId="197" xfId="9" applyFont="1" applyFill="1" applyBorder="1" applyAlignment="1" applyProtection="1">
      <alignment horizontal="center" vertical="center"/>
    </xf>
    <xf numFmtId="0" fontId="257" fillId="13" borderId="198" xfId="9" applyFont="1" applyFill="1" applyBorder="1" applyAlignment="1" applyProtection="1">
      <alignment horizontal="center" vertical="center"/>
    </xf>
    <xf numFmtId="38" fontId="2" fillId="29" borderId="0" xfId="10" applyNumberFormat="1" applyFont="1" applyFill="1" applyBorder="1" applyAlignment="1" applyProtection="1">
      <alignment horizontal="center"/>
    </xf>
    <xf numFmtId="4" fontId="160" fillId="32" borderId="0" xfId="0" applyNumberFormat="1" applyFont="1" applyFill="1" applyBorder="1" applyAlignment="1" applyProtection="1">
      <alignment horizontal="center"/>
    </xf>
    <xf numFmtId="168" fontId="2" fillId="16" borderId="169" xfId="10" applyNumberFormat="1" applyFont="1" applyFill="1" applyBorder="1" applyAlignment="1" applyProtection="1">
      <alignment horizontal="center" vertical="center"/>
    </xf>
    <xf numFmtId="168" fontId="2" fillId="16" borderId="171" xfId="10" applyNumberFormat="1" applyFont="1" applyFill="1" applyBorder="1" applyAlignment="1" applyProtection="1">
      <alignment horizontal="center" vertical="center"/>
    </xf>
    <xf numFmtId="168" fontId="2" fillId="16" borderId="174" xfId="10" applyNumberFormat="1" applyFont="1" applyFill="1" applyBorder="1" applyAlignment="1" applyProtection="1">
      <alignment horizontal="center" vertical="center"/>
    </xf>
    <xf numFmtId="168" fontId="2" fillId="16" borderId="175" xfId="10" applyNumberFormat="1" applyFont="1" applyFill="1" applyBorder="1" applyAlignment="1" applyProtection="1">
      <alignment horizontal="center" vertical="center"/>
    </xf>
    <xf numFmtId="0" fontId="368" fillId="2" borderId="0" xfId="9" applyFont="1" applyFill="1" applyAlignment="1" applyProtection="1">
      <alignment horizontal="center"/>
    </xf>
    <xf numFmtId="0" fontId="367" fillId="28" borderId="0" xfId="9" applyFont="1" applyFill="1" applyAlignment="1" applyProtection="1">
      <alignment horizontal="center"/>
    </xf>
    <xf numFmtId="38" fontId="198" fillId="17" borderId="59" xfId="10" applyNumberFormat="1" applyFont="1" applyFill="1" applyBorder="1" applyAlignment="1" applyProtection="1">
      <alignment horizontal="center"/>
    </xf>
    <xf numFmtId="0" fontId="2" fillId="30" borderId="211" xfId="9" applyFont="1" applyFill="1" applyBorder="1" applyAlignment="1" applyProtection="1">
      <alignment horizontal="center" wrapText="1"/>
    </xf>
    <xf numFmtId="0" fontId="2" fillId="30" borderId="177" xfId="9" applyFont="1" applyFill="1" applyBorder="1" applyAlignment="1" applyProtection="1">
      <alignment horizontal="center" wrapText="1"/>
    </xf>
    <xf numFmtId="0" fontId="2" fillId="30" borderId="212" xfId="9" applyFont="1" applyFill="1" applyBorder="1" applyAlignment="1" applyProtection="1">
      <alignment horizontal="center" wrapText="1"/>
    </xf>
    <xf numFmtId="177" fontId="2" fillId="30" borderId="197" xfId="9" applyNumberFormat="1" applyFont="1" applyFill="1" applyBorder="1" applyAlignment="1" applyProtection="1">
      <alignment horizontal="center" vertical="center"/>
    </xf>
    <xf numFmtId="177" fontId="2" fillId="30" borderId="198" xfId="9" applyNumberFormat="1" applyFont="1" applyFill="1" applyBorder="1" applyAlignment="1" applyProtection="1">
      <alignment horizontal="center" vertical="center"/>
    </xf>
    <xf numFmtId="0" fontId="251" fillId="30" borderId="197" xfId="9" applyFont="1" applyFill="1" applyBorder="1" applyAlignment="1" applyProtection="1">
      <alignment horizontal="center" vertical="center"/>
    </xf>
    <xf numFmtId="0" fontId="251" fillId="30" borderId="198" xfId="9" applyFont="1" applyFill="1" applyBorder="1" applyAlignment="1" applyProtection="1">
      <alignment horizontal="center" vertical="center"/>
    </xf>
    <xf numFmtId="0" fontId="275" fillId="31" borderId="48" xfId="9" applyFont="1" applyFill="1" applyBorder="1" applyAlignment="1" applyProtection="1">
      <alignment horizontal="center"/>
    </xf>
    <xf numFmtId="0" fontId="369" fillId="32" borderId="0" xfId="6" applyFont="1" applyFill="1" applyBorder="1" applyAlignment="1" applyProtection="1">
      <alignment horizontal="left"/>
    </xf>
    <xf numFmtId="0" fontId="370" fillId="11" borderId="152" xfId="0" applyFont="1" applyFill="1" applyBorder="1" applyAlignment="1" applyProtection="1">
      <alignment horizontal="center"/>
    </xf>
    <xf numFmtId="0" fontId="370" fillId="11" borderId="54" xfId="0" applyFont="1" applyFill="1" applyBorder="1" applyAlignment="1" applyProtection="1">
      <alignment horizontal="center"/>
    </xf>
    <xf numFmtId="0" fontId="371" fillId="11" borderId="170" xfId="0" applyFont="1" applyFill="1" applyBorder="1" applyAlignment="1" applyProtection="1">
      <alignment horizontal="center"/>
    </xf>
    <xf numFmtId="0" fontId="371" fillId="11" borderId="248" xfId="0" applyFont="1" applyFill="1" applyBorder="1" applyAlignment="1" applyProtection="1">
      <alignment horizontal="center"/>
    </xf>
    <xf numFmtId="0" fontId="370" fillId="11" borderId="81" xfId="0" applyFont="1" applyFill="1" applyBorder="1" applyAlignment="1" applyProtection="1">
      <alignment horizontal="center"/>
    </xf>
    <xf numFmtId="4" fontId="49" fillId="11" borderId="77" xfId="0" applyNumberFormat="1" applyFont="1" applyFill="1" applyBorder="1" applyAlignment="1" applyProtection="1">
      <alignment horizontal="center" vertical="center"/>
    </xf>
    <xf numFmtId="4" fontId="49" fillId="11" borderId="11" xfId="0" applyNumberFormat="1" applyFont="1" applyFill="1" applyBorder="1" applyAlignment="1" applyProtection="1">
      <alignment horizontal="center" vertical="center"/>
    </xf>
    <xf numFmtId="4" fontId="49" fillId="11" borderId="80" xfId="0" applyNumberFormat="1" applyFont="1" applyFill="1" applyBorder="1" applyAlignment="1" applyProtection="1">
      <alignment horizontal="center" vertical="center"/>
    </xf>
    <xf numFmtId="0" fontId="370" fillId="11" borderId="332" xfId="0" applyFont="1" applyFill="1" applyBorder="1" applyAlignment="1" applyProtection="1">
      <alignment horizontal="center"/>
    </xf>
    <xf numFmtId="0" fontId="122" fillId="3" borderId="146" xfId="0" applyFont="1" applyFill="1" applyBorder="1" applyAlignment="1" applyProtection="1">
      <alignment horizontal="center"/>
    </xf>
    <xf numFmtId="0" fontId="123" fillId="3" borderId="146" xfId="0" applyFont="1" applyFill="1" applyBorder="1" applyAlignment="1" applyProtection="1">
      <alignment horizontal="center"/>
      <protection hidden="1"/>
    </xf>
    <xf numFmtId="0" fontId="372" fillId="11" borderId="115" xfId="0" applyFont="1" applyFill="1" applyBorder="1" applyAlignment="1" applyProtection="1">
      <alignment horizontal="center"/>
    </xf>
    <xf numFmtId="0" fontId="372" fillId="11" borderId="54" xfId="0" applyFont="1" applyFill="1" applyBorder="1" applyAlignment="1" applyProtection="1">
      <alignment horizontal="center"/>
    </xf>
    <xf numFmtId="0" fontId="372" fillId="11" borderId="152" xfId="0" applyFont="1" applyFill="1" applyBorder="1" applyAlignment="1" applyProtection="1">
      <alignment horizontal="center"/>
    </xf>
    <xf numFmtId="0" fontId="373" fillId="3" borderId="146" xfId="0" applyFont="1" applyFill="1" applyBorder="1" applyAlignment="1" applyProtection="1">
      <alignment horizontal="center"/>
    </xf>
    <xf numFmtId="0" fontId="372" fillId="11" borderId="57" xfId="0" applyFont="1" applyFill="1" applyBorder="1" applyAlignment="1" applyProtection="1">
      <alignment horizontal="center"/>
    </xf>
    <xf numFmtId="0" fontId="23" fillId="3" borderId="146" xfId="0" applyFont="1" applyFill="1" applyBorder="1" applyAlignment="1" applyProtection="1">
      <alignment horizontal="center"/>
    </xf>
    <xf numFmtId="0" fontId="81" fillId="11" borderId="115" xfId="0" applyFont="1" applyFill="1" applyBorder="1" applyAlignment="1" applyProtection="1">
      <alignment horizontal="center"/>
    </xf>
    <xf numFmtId="0" fontId="81" fillId="11" borderId="54" xfId="0" applyFont="1" applyFill="1" applyBorder="1" applyAlignment="1" applyProtection="1">
      <alignment horizontal="center"/>
    </xf>
    <xf numFmtId="0" fontId="81" fillId="11" borderId="152" xfId="0" applyFont="1" applyFill="1" applyBorder="1" applyAlignment="1" applyProtection="1">
      <alignment horizontal="center"/>
    </xf>
    <xf numFmtId="0" fontId="81" fillId="11" borderId="57" xfId="0" applyFont="1" applyFill="1" applyBorder="1" applyAlignment="1" applyProtection="1">
      <alignment horizontal="center"/>
    </xf>
    <xf numFmtId="0" fontId="374" fillId="11" borderId="115" xfId="0" applyFont="1" applyFill="1" applyBorder="1" applyAlignment="1" applyProtection="1">
      <alignment horizontal="center"/>
    </xf>
    <xf numFmtId="0" fontId="374" fillId="11" borderId="54" xfId="0" applyFont="1" applyFill="1" applyBorder="1" applyAlignment="1" applyProtection="1">
      <alignment horizontal="center"/>
    </xf>
    <xf numFmtId="0" fontId="374" fillId="11" borderId="152" xfId="0" applyFont="1" applyFill="1" applyBorder="1" applyAlignment="1" applyProtection="1">
      <alignment horizontal="center"/>
    </xf>
    <xf numFmtId="0" fontId="69" fillId="3" borderId="146" xfId="0" applyFont="1" applyFill="1" applyBorder="1" applyAlignment="1" applyProtection="1">
      <alignment horizontal="center"/>
    </xf>
    <xf numFmtId="0" fontId="374" fillId="11" borderId="57" xfId="0" applyFont="1" applyFill="1" applyBorder="1" applyAlignment="1" applyProtection="1">
      <alignment horizontal="center"/>
    </xf>
  </cellXfs>
  <cellStyles count="12">
    <cellStyle name="Normal 2" xfId="2"/>
    <cellStyle name="Normal 2 2" xfId="3"/>
    <cellStyle name="Normal 3" xfId="4"/>
    <cellStyle name="Normal 4" xfId="5"/>
    <cellStyle name="Normal_COA-2001-ZAPOVED-No-81-29012002-ANNEX" xfId="6"/>
    <cellStyle name="Normal_EBK_PROJECT_2001-last" xfId="7"/>
    <cellStyle name="Normal_EBK-2002-draft" xfId="8"/>
    <cellStyle name="Normal_TRIAL-BALANCE-2001-MAKET" xfId="9"/>
    <cellStyle name="Normal_ZADACHA" xfId="10"/>
    <cellStyle name="Нормален" xfId="0" builtinId="0"/>
    <cellStyle name="Процент" xfId="11" builtinId="5"/>
    <cellStyle name="Хипервръзка" xfId="1" builtinId="8"/>
  </cellStyles>
  <dxfs count="3741"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A50021"/>
      </font>
      <fill>
        <patternFill patternType="none">
          <bgColor indexed="65"/>
        </patternFill>
      </fill>
    </dxf>
    <dxf>
      <font>
        <color rgb="FF000099"/>
      </font>
      <fill>
        <patternFill>
          <bgColor rgb="FFFFFF99"/>
        </patternFill>
      </fill>
    </dxf>
    <dxf>
      <font>
        <color rgb="FFA50021"/>
      </font>
      <fill>
        <patternFill patternType="none">
          <bgColor indexed="65"/>
        </patternFill>
      </fill>
    </dxf>
    <dxf>
      <font>
        <color rgb="FFA50021"/>
      </font>
      <fill>
        <patternFill patternType="none">
          <bgColor indexed="65"/>
        </patternFill>
      </fill>
    </dxf>
    <dxf>
      <font>
        <color rgb="FF000099"/>
      </font>
      <fill>
        <patternFill>
          <bgColor rgb="FFFFFF99"/>
        </patternFill>
      </fill>
    </dxf>
    <dxf>
      <font>
        <color rgb="FFA50021"/>
      </font>
      <fill>
        <patternFill patternType="none">
          <bgColor indexed="65"/>
        </patternFill>
      </fill>
    </dxf>
    <dxf>
      <font>
        <color rgb="FF000099"/>
      </font>
      <fill>
        <patternFill>
          <bgColor rgb="FFFFFF99"/>
        </patternFill>
      </fill>
    </dxf>
    <dxf>
      <font>
        <color rgb="FFA50021"/>
      </font>
      <fill>
        <patternFill patternType="none">
          <bgColor indexed="65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240" formatCode="&quot;Грешка: Кт &gt; Дт!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&quot;Грешка: Кт с/до&lt;0!&quot;"/>
      <fill>
        <patternFill>
          <bgColor rgb="FFFF0000"/>
        </patternFill>
      </fill>
    </dxf>
    <dxf>
      <font>
        <color rgb="FFFFFF00"/>
      </font>
      <numFmt numFmtId="238" formatCode="&quot;Грешка: Дт с/до &lt; 0!&quot;"/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240" formatCode="&quot;Грешка: Кт &gt; Дт!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&quot;Грешка: Кт с/до&lt;0!&quot;"/>
      <fill>
        <patternFill>
          <bgColor rgb="FFFF0000"/>
        </patternFill>
      </fill>
    </dxf>
    <dxf>
      <font>
        <color rgb="FFFFFF00"/>
      </font>
      <numFmt numFmtId="238" formatCode="&quot;Грешка: Дт с/до &lt; 0!&quot;"/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color rgb="FFFFFF00"/>
      </font>
      <numFmt numFmtId="244" formatCode="&quot;Грешка: Кт &lt; &gt;  Дт!&quot;"/>
      <fill>
        <patternFill>
          <bgColor rgb="FFFF0000"/>
        </patternFill>
      </fill>
    </dxf>
    <dxf>
      <font>
        <color rgb="FFFFFF00"/>
      </font>
      <numFmt numFmtId="243" formatCode="&quot;Грешка: Дт &lt; &gt;  Кт!&quot;"/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A50021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A50021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/>
        <i val="0"/>
        <color rgb="FF000099"/>
      </font>
      <fill>
        <patternFill>
          <bgColor rgb="FFCCFFCC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FF00"/>
      </font>
      <numFmt numFmtId="179" formatCode="#,##0;\(#,##0\)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theme="0"/>
      </font>
    </dxf>
    <dxf>
      <font>
        <color rgb="FF800000"/>
      </font>
    </dxf>
    <dxf>
      <font>
        <color rgb="FFF0FDCF"/>
      </font>
    </dxf>
    <dxf>
      <numFmt numFmtId="180" formatCode="0000"/>
    </dxf>
    <dxf>
      <numFmt numFmtId="236" formatCode="0000&quot; &quot;0000"/>
    </dxf>
    <dxf>
      <numFmt numFmtId="235" formatCode="0000&quot; &quot;0000&quot; &quot;0000"/>
    </dxf>
    <dxf>
      <numFmt numFmtId="234" formatCode="0000&quot; &quot;0000&quot; &quot;0000&quot; &quot;0000"/>
    </dxf>
    <dxf>
      <font>
        <condense val="0"/>
        <extend val="0"/>
        <color indexed="9"/>
      </font>
    </dxf>
    <dxf>
      <font>
        <color rgb="FFFFFFCC"/>
      </font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ill>
        <patternFill>
          <bgColor indexed="26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13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62"/>
      </font>
      <fill>
        <patternFill>
          <bgColor indexed="42"/>
        </patternFill>
      </fill>
    </dxf>
    <dxf>
      <font>
        <condense val="0"/>
        <extend val="0"/>
        <color indexed="20"/>
      </font>
      <fill>
        <patternFill>
          <bgColor indexed="43"/>
        </patternFill>
      </fill>
    </dxf>
    <dxf>
      <font>
        <condense val="0"/>
        <extend val="0"/>
        <color indexed="10"/>
      </font>
      <fill>
        <patternFill>
          <bgColor indexed="26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240" formatCode="&quot;Грешка: Кт &gt; Дт!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&quot;Грешка: Кт с/до&lt;0!&quot;"/>
      <fill>
        <patternFill>
          <bgColor rgb="FFFF0000"/>
        </patternFill>
      </fill>
    </dxf>
    <dxf>
      <font>
        <color rgb="FFFFFF00"/>
      </font>
      <numFmt numFmtId="238" formatCode="&quot;Грешка: Дт с/до &lt; 0!&quot;"/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240" formatCode="&quot;Грешка: Кт &gt; Дт!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&quot;Грешка: Кт с/до&lt;0!&quot;"/>
      <fill>
        <patternFill>
          <bgColor rgb="FFFF0000"/>
        </patternFill>
      </fill>
    </dxf>
    <dxf>
      <font>
        <color rgb="FFFFFF00"/>
      </font>
      <numFmt numFmtId="238" formatCode="&quot;Грешка: Дт с/до &lt; 0!&quot;"/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color rgb="FFFFFF00"/>
      </font>
      <numFmt numFmtId="244" formatCode="&quot;Грешка: Кт &lt; &gt;  Дт!&quot;"/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color rgb="FFFFFF00"/>
      </font>
      <numFmt numFmtId="243" formatCode="&quot;Грешка: Дт &lt; &gt;  Кт!&quot;"/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A50021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A50021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/>
        <i val="0"/>
        <color rgb="FF000099"/>
      </font>
      <fill>
        <patternFill>
          <bgColor rgb="FFCCFFCC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FF00"/>
      </font>
      <numFmt numFmtId="179" formatCode="#,##0;\(#,##0\)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condense val="0"/>
        <extend val="0"/>
        <color indexed="10"/>
      </font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theme="0"/>
      </font>
    </dxf>
    <dxf>
      <font>
        <color rgb="FF800000"/>
      </font>
    </dxf>
    <dxf>
      <font>
        <color rgb="FFF0FDCF"/>
      </font>
    </dxf>
    <dxf>
      <numFmt numFmtId="180" formatCode="0000"/>
    </dxf>
    <dxf>
      <numFmt numFmtId="236" formatCode="0000&quot; &quot;0000"/>
    </dxf>
    <dxf>
      <numFmt numFmtId="235" formatCode="0000&quot; &quot;0000&quot; &quot;0000"/>
    </dxf>
    <dxf>
      <numFmt numFmtId="234" formatCode="0000&quot; &quot;0000&quot; &quot;0000&quot; &quot;0000"/>
    </dxf>
    <dxf>
      <font>
        <condense val="0"/>
        <extend val="0"/>
        <color indexed="9"/>
      </font>
    </dxf>
    <dxf>
      <font>
        <color rgb="FFFFFFCC"/>
      </font>
    </dxf>
    <dxf>
      <fill>
        <patternFill>
          <bgColor indexed="26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13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62"/>
      </font>
      <fill>
        <patternFill>
          <bgColor indexed="42"/>
        </patternFill>
      </fill>
    </dxf>
    <dxf>
      <font>
        <condense val="0"/>
        <extend val="0"/>
        <color indexed="20"/>
      </font>
      <fill>
        <patternFill>
          <bgColor indexed="43"/>
        </patternFill>
      </fill>
    </dxf>
    <dxf>
      <font>
        <condense val="0"/>
        <extend val="0"/>
        <color indexed="10"/>
      </font>
      <fill>
        <patternFill>
          <bgColor indexed="26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240" formatCode="&quot;Грешка: Кт &gt; Дт!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&quot;Грешка: Кт с/до&lt;0!&quot;"/>
      <fill>
        <patternFill>
          <bgColor rgb="FFFF0000"/>
        </patternFill>
      </fill>
    </dxf>
    <dxf>
      <font>
        <color rgb="FFFFFF00"/>
      </font>
      <numFmt numFmtId="238" formatCode="&quot;Грешка: Дт с/до &lt; 0!&quot;"/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240" formatCode="&quot;Грешка: Кт &gt; Дт!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&quot;Грешка: Кт с/до&lt;0!&quot;"/>
      <fill>
        <patternFill>
          <bgColor rgb="FFFF0000"/>
        </patternFill>
      </fill>
    </dxf>
    <dxf>
      <font>
        <color rgb="FFFFFF00"/>
      </font>
      <numFmt numFmtId="238" formatCode="&quot;Грешка: Дт с/до &lt; 0!&quot;"/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color rgb="FFFFFF00"/>
      </font>
      <numFmt numFmtId="244" formatCode="&quot;Грешка: Кт &lt; &gt;  Дт!&quot;"/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color rgb="FFFFFF00"/>
      </font>
      <numFmt numFmtId="243" formatCode="&quot;Грешка: Дт &lt; &gt;  Кт!&quot;"/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A50021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A50021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/>
        <i val="0"/>
        <color rgb="FF000099"/>
      </font>
      <fill>
        <patternFill>
          <bgColor rgb="FFCCFFCC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FF00"/>
      </font>
      <numFmt numFmtId="179" formatCode="#,##0;\(#,##0\)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condense val="0"/>
        <extend val="0"/>
        <color indexed="10"/>
      </font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theme="0"/>
      </font>
    </dxf>
    <dxf>
      <font>
        <color rgb="FF800000"/>
      </font>
    </dxf>
    <dxf>
      <font>
        <color rgb="FFF0FDCF"/>
      </font>
    </dxf>
    <dxf>
      <numFmt numFmtId="180" formatCode="0000"/>
    </dxf>
    <dxf>
      <numFmt numFmtId="236" formatCode="0000&quot; &quot;0000"/>
    </dxf>
    <dxf>
      <numFmt numFmtId="235" formatCode="0000&quot; &quot;0000&quot; &quot;0000"/>
    </dxf>
    <dxf>
      <numFmt numFmtId="234" formatCode="0000&quot; &quot;0000&quot; &quot;0000&quot; &quot;0000"/>
    </dxf>
    <dxf>
      <font>
        <condense val="0"/>
        <extend val="0"/>
        <color indexed="9"/>
      </font>
    </dxf>
    <dxf>
      <font>
        <color rgb="FFFFFFCC"/>
      </font>
    </dxf>
    <dxf>
      <fill>
        <patternFill>
          <bgColor indexed="26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13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62"/>
      </font>
      <fill>
        <patternFill>
          <bgColor indexed="42"/>
        </patternFill>
      </fill>
    </dxf>
    <dxf>
      <font>
        <condense val="0"/>
        <extend val="0"/>
        <color indexed="20"/>
      </font>
      <fill>
        <patternFill>
          <bgColor indexed="43"/>
        </patternFill>
      </fill>
    </dxf>
    <dxf>
      <font>
        <condense val="0"/>
        <extend val="0"/>
        <color indexed="10"/>
      </font>
      <fill>
        <patternFill>
          <bgColor indexed="26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A50021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A50021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/>
        <i val="0"/>
        <color rgb="FF000099"/>
      </font>
      <fill>
        <patternFill>
          <bgColor rgb="FFCCFFCC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FF00"/>
      </font>
      <numFmt numFmtId="179" formatCode="#,##0;\(#,##0\)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&quot;Грешка: Кт &gt; Дт!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&quot;Грешка: Кт с/до&lt;0!&quot;"/>
      <fill>
        <patternFill>
          <bgColor rgb="FFFF0000"/>
        </patternFill>
      </fill>
    </dxf>
    <dxf>
      <font>
        <color rgb="FFFFFF00"/>
      </font>
      <numFmt numFmtId="238" formatCode="&quot;Грешка: Дт с/до &lt; 0!&quot;"/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240" formatCode="&quot;Грешка: Кт &gt; Дт!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&quot;Грешка: Кт с/до&lt;0!&quot;"/>
      <fill>
        <patternFill>
          <bgColor rgb="FFFF0000"/>
        </patternFill>
      </fill>
    </dxf>
    <dxf>
      <font>
        <color rgb="FFFFFF00"/>
      </font>
      <numFmt numFmtId="238" formatCode="&quot;Грешка: Дт с/до &lt; 0!&quot;"/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color rgb="FFFFFF00"/>
      </font>
      <numFmt numFmtId="244" formatCode="&quot;Грешка: Кт &lt; &gt;  Дт!&quot;"/>
      <fill>
        <patternFill>
          <bgColor rgb="FFFF0000"/>
        </patternFill>
      </fill>
    </dxf>
    <dxf>
      <font>
        <color rgb="FFFFFF00"/>
      </font>
      <numFmt numFmtId="243" formatCode="&quot;Грешка: Дт &lt; &gt;  Кт!&quot;"/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theme="0"/>
      </font>
    </dxf>
    <dxf>
      <font>
        <color rgb="FF800000"/>
      </font>
    </dxf>
    <dxf>
      <font>
        <color rgb="FFF0FDCF"/>
      </font>
    </dxf>
    <dxf>
      <numFmt numFmtId="180" formatCode="0000"/>
    </dxf>
    <dxf>
      <numFmt numFmtId="236" formatCode="0000&quot; &quot;0000"/>
    </dxf>
    <dxf>
      <numFmt numFmtId="235" formatCode="0000&quot; &quot;0000&quot; &quot;0000"/>
    </dxf>
    <dxf>
      <numFmt numFmtId="234" formatCode="0000&quot; &quot;0000&quot; &quot;0000&quot; &quot;0000"/>
    </dxf>
    <dxf>
      <font>
        <condense val="0"/>
        <extend val="0"/>
        <color indexed="9"/>
      </font>
    </dxf>
    <dxf>
      <font>
        <color rgb="FFFFFFCC"/>
      </font>
    </dxf>
    <dxf>
      <fill>
        <patternFill>
          <bgColor indexed="26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13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62"/>
      </font>
      <fill>
        <patternFill>
          <bgColor indexed="42"/>
        </patternFill>
      </fill>
    </dxf>
    <dxf>
      <font>
        <condense val="0"/>
        <extend val="0"/>
        <color indexed="20"/>
      </font>
      <fill>
        <patternFill>
          <bgColor indexed="43"/>
        </patternFill>
      </fill>
    </dxf>
    <dxf>
      <font>
        <condense val="0"/>
        <extend val="0"/>
        <color indexed="10"/>
      </font>
      <fill>
        <patternFill>
          <bgColor indexed="26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ill>
        <patternFill>
          <bgColor indexed="26"/>
        </patternFill>
      </fill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rgb="FFFF0000"/>
      </font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rgb="FFFF0000"/>
      </font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rgb="FFFF0000"/>
      </font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theme="0"/>
      </font>
    </dxf>
    <dxf>
      <font>
        <color rgb="FFFFFF00"/>
      </font>
      <fill>
        <patternFill>
          <bgColor rgb="FFFF000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lor rgb="FFFFFF00"/>
      </font>
      <fill>
        <patternFill>
          <bgColor rgb="FFFF000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theme="0" tint="-0.24994659260841701"/>
      </font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26"/>
      </font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EEFEC6"/>
      </font>
    </dxf>
    <dxf>
      <font>
        <color rgb="FFFFFF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lor rgb="FFFFFF00"/>
      </font>
      <fill>
        <patternFill>
          <bgColor rgb="FFFF000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26"/>
      </font>
      <fill>
        <patternFill>
          <bgColor indexed="26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theme="0"/>
      </font>
    </dxf>
    <dxf>
      <font>
        <color rgb="FFFFFF00"/>
      </font>
      <fill>
        <patternFill>
          <bgColor rgb="FFFF000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CC"/>
      </font>
    </dxf>
    <dxf>
      <font>
        <color rgb="FFFFFF00"/>
      </font>
      <fill>
        <patternFill>
          <bgColor rgb="FFFF0000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26"/>
      </font>
      <fill>
        <patternFill>
          <bgColor indexed="26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0000"/>
      </font>
      <numFmt numFmtId="171" formatCode="#,##0.00;\(#,##0.00\)"/>
      <fill>
        <patternFill>
          <bgColor rgb="FFFFFF99"/>
        </patternFill>
      </fill>
    </dxf>
    <dxf>
      <font>
        <color theme="0"/>
      </font>
    </dxf>
    <dxf>
      <font>
        <color rgb="FF800000"/>
      </font>
    </dxf>
    <dxf>
      <font>
        <color rgb="FFF0FDCF"/>
      </font>
    </dxf>
    <dxf>
      <numFmt numFmtId="180" formatCode="0000"/>
    </dxf>
    <dxf>
      <numFmt numFmtId="236" formatCode="0000&quot; &quot;0000"/>
    </dxf>
    <dxf>
      <numFmt numFmtId="235" formatCode="0000&quot; &quot;0000&quot; &quot;0000"/>
    </dxf>
    <dxf>
      <numFmt numFmtId="234" formatCode="0000&quot; &quot;0000&quot; &quot;0000&quot; &quot;0000"/>
    </dxf>
    <dxf>
      <font>
        <color rgb="FFFFFFCC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auto="1"/>
        <name val="Cambria"/>
        <scheme val="none"/>
      </font>
      <fill>
        <patternFill patternType="none">
          <bgColor indexed="65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37"/>
      </font>
      <fill>
        <patternFill>
          <bgColor indexed="31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62"/>
      </font>
      <fill>
        <patternFill>
          <bgColor indexed="42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20"/>
      </font>
      <fill>
        <patternFill>
          <bgColor indexed="43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auto="1"/>
        <name val="Cambria"/>
        <scheme val="none"/>
      </font>
      <fill>
        <patternFill patternType="none">
          <bgColor indexed="65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rgb="FF800000"/>
        <name val="Cambria"/>
        <scheme val="none"/>
      </font>
      <fill>
        <patternFill>
          <bgColor rgb="FFCCCCFF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rgb="FF000099"/>
        <name val="Cambria"/>
        <scheme val="none"/>
      </font>
      <fill>
        <patternFill>
          <bgColor rgb="FFCCFFCC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20"/>
      </font>
      <fill>
        <patternFill>
          <bgColor indexed="43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auto="1"/>
        <name val="Cambria"/>
        <scheme val="none"/>
      </font>
      <fill>
        <patternFill patternType="none">
          <bgColor indexed="65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auto="1"/>
        <name val="Cambria"/>
        <scheme val="none"/>
      </font>
      <fill>
        <patternFill patternType="none">
          <bgColor indexed="65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37"/>
      </font>
      <fill>
        <patternFill>
          <bgColor indexed="31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37"/>
      </font>
      <fill>
        <patternFill>
          <bgColor indexed="31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62"/>
      </font>
      <fill>
        <patternFill>
          <bgColor indexed="42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62"/>
      </font>
      <fill>
        <patternFill>
          <bgColor indexed="42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20"/>
      </font>
      <fill>
        <patternFill>
          <bgColor indexed="43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auto="1"/>
        <name val="Cambria"/>
        <scheme val="none"/>
      </font>
      <fill>
        <patternFill patternType="none">
          <bgColor indexed="65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rgb="FF800000"/>
        <name val="Cambria"/>
        <scheme val="none"/>
      </font>
      <fill>
        <patternFill>
          <bgColor rgb="FFCCCCFF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rgb="FF000099"/>
        <name val="Cambria"/>
        <scheme val="none"/>
      </font>
      <fill>
        <patternFill>
          <bgColor rgb="FFCCFFCC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20"/>
      </font>
      <fill>
        <patternFill>
          <bgColor indexed="43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auto="1"/>
        <name val="Cambria"/>
        <scheme val="none"/>
      </font>
      <fill>
        <patternFill patternType="none">
          <bgColor indexed="65"/>
        </patternFill>
      </fill>
    </dxf>
    <dxf>
      <font>
        <condense val="0"/>
        <extend val="0"/>
        <color indexed="10"/>
      </font>
      <fill>
        <patternFill>
          <bgColor indexed="26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rgb="FF800000"/>
        <name val="Cambria"/>
        <scheme val="none"/>
      </font>
      <fill>
        <patternFill>
          <bgColor rgb="FFCCCCFF"/>
        </patternFill>
      </fill>
    </dxf>
    <dxf>
      <font>
        <condense val="0"/>
        <extend val="0"/>
        <color indexed="10"/>
      </font>
      <fill>
        <patternFill>
          <bgColor indexed="26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rgb="FF000099"/>
        <name val="Cambria"/>
        <scheme val="none"/>
      </font>
      <fill>
        <patternFill>
          <bgColor rgb="FFCCFFCC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20"/>
      </font>
      <fill>
        <patternFill>
          <bgColor indexed="43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13"/>
      </font>
    </dxf>
    <dxf>
      <font>
        <condense val="0"/>
        <extend val="0"/>
        <color indexed="10"/>
      </font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rgb="FFFFFFCC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rgb="FFFFFFCC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rgb="FFFFFFCC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rgb="FFFFFFCC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rgb="FFFFFFCC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rgb="FFFFFFCC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rgb="FFFFFFCC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rgb="FFFFFFCC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lor theme="0"/>
      </font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lor rgb="FF800000"/>
      </font>
    </dxf>
    <dxf>
      <font>
        <color rgb="FFF0FDCF"/>
      </font>
    </dxf>
    <dxf>
      <numFmt numFmtId="180" formatCode="0000"/>
    </dxf>
    <dxf>
      <numFmt numFmtId="236" formatCode="0000&quot; &quot;0000"/>
    </dxf>
    <dxf>
      <numFmt numFmtId="235" formatCode="0000&quot; &quot;0000&quot; &quot;0000"/>
    </dxf>
    <dxf>
      <numFmt numFmtId="234" formatCode="0000&quot; &quot;0000&quot; &quot;0000&quot; &quot;0000"/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color rgb="FFFFFFCC"/>
      </font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13"/>
      </font>
    </dxf>
    <dxf>
      <fill>
        <patternFill>
          <bgColor indexed="26"/>
        </patternFill>
      </fill>
    </dxf>
    <dxf>
      <font>
        <color theme="0"/>
      </font>
    </dxf>
    <dxf>
      <font>
        <color rgb="FF800000"/>
      </font>
    </dxf>
    <dxf>
      <font>
        <color rgb="FFF0FDCF"/>
      </font>
    </dxf>
    <dxf>
      <numFmt numFmtId="180" formatCode="0000"/>
    </dxf>
    <dxf>
      <numFmt numFmtId="236" formatCode="0000&quot; &quot;0000"/>
    </dxf>
    <dxf>
      <numFmt numFmtId="235" formatCode="0000&quot; &quot;0000&quot; &quot;0000"/>
    </dxf>
    <dxf>
      <numFmt numFmtId="234" formatCode="0000&quot; &quot;0000&quot; &quot;0000&quot; &quot;0000"/>
    </dxf>
    <dxf>
      <font>
        <color rgb="FFFFFFCC"/>
      </font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lor rgb="FFFFFF00"/>
      </font>
      <fill>
        <patternFill>
          <bgColor rgb="FFFF0000"/>
        </patternFill>
      </fill>
      <border>
        <left/>
        <right/>
        <top/>
        <bottom/>
      </border>
    </dxf>
    <dxf>
      <font>
        <color rgb="FFFFFF00"/>
      </font>
      <fill>
        <patternFill>
          <bgColor rgb="FFFF0000"/>
        </patternFill>
      </fill>
      <border>
        <left/>
        <right/>
        <top/>
        <bottom/>
      </border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rgb="FFFFFF00"/>
      </font>
      <fill>
        <patternFill>
          <bgColor rgb="FFFF000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lor rgb="FFFFFF00"/>
      </font>
      <fill>
        <patternFill>
          <bgColor rgb="FFFF0000"/>
        </patternFill>
      </fill>
      <border>
        <left/>
        <right/>
        <top/>
        <bottom/>
      </border>
    </dxf>
    <dxf>
      <font>
        <color rgb="FFFFFF00"/>
      </font>
      <fill>
        <patternFill>
          <bgColor rgb="FFFF0000"/>
        </patternFill>
      </fill>
      <border>
        <left/>
        <right/>
        <top/>
        <bottom/>
      </border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rgb="FFFFFFCC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rgb="FFFFFFCC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rgb="FFFFFFCC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rgb="FFFFFFCC"/>
        </patternFill>
      </fill>
    </dxf>
    <dxf>
      <font>
        <color auto="1"/>
      </font>
      <fill>
        <patternFill>
          <bgColor theme="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13"/>
      </font>
    </dxf>
    <dxf>
      <font>
        <condense val="0"/>
        <extend val="0"/>
        <color indexed="10"/>
      </font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lor theme="0"/>
      </font>
    </dxf>
    <dxf>
      <font>
        <color rgb="FF800000"/>
      </font>
    </dxf>
    <dxf>
      <font>
        <color rgb="FFF0FDCF"/>
      </font>
    </dxf>
    <dxf>
      <numFmt numFmtId="180" formatCode="0000"/>
    </dxf>
    <dxf>
      <numFmt numFmtId="236" formatCode="0000&quot; &quot;0000"/>
    </dxf>
    <dxf>
      <numFmt numFmtId="235" formatCode="0000&quot; &quot;0000&quot; &quot;0000"/>
    </dxf>
    <dxf>
      <numFmt numFmtId="234" formatCode="0000&quot; &quot;0000&quot; &quot;0000&quot; &quot;0000"/>
    </dxf>
    <dxf>
      <font>
        <color rgb="FFFFFF00"/>
      </font>
      <fill>
        <patternFill>
          <bgColor rgb="FFFF0000"/>
        </patternFill>
      </fill>
    </dxf>
    <dxf>
      <font>
        <color rgb="FFFFFFCC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242" formatCode="#,##0.00&quot; Дт/Кт&quot;;\(#,##0.00\)&quot; Дт/Кт&quot;"/>
      <fill>
        <patternFill>
          <bgColor rgb="FFFF0000"/>
        </patternFill>
      </fill>
    </dxf>
    <dxf>
      <font>
        <b val="0"/>
        <i val="0"/>
        <color rgb="FFFFFF00"/>
      </font>
      <numFmt numFmtId="242" formatCode="#,##0.00&quot; Дт/Кт&quot;;\(#,##0.00\)&quot; Дт/Кт&quot;"/>
      <fill>
        <patternFill>
          <bgColor rgb="FFFF0000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242" formatCode="#,##0.00&quot; Дт/Кт&quot;;\(#,##0.00\)&quot; Дт/Кт&quot;"/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2" formatCode="#,##0.00&quot; Дт/Кт&quot;;\(#,##0.00\)&quot; Дт/Кт&quot;"/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condense val="0"/>
        <extend val="0"/>
        <color indexed="13"/>
      </font>
      <fill>
        <patternFill>
          <bgColor indexed="10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0000"/>
      </font>
      <numFmt numFmtId="171" formatCode="#,##0.00;\(#,##0.00\)"/>
      <fill>
        <patternFill>
          <bgColor rgb="FFFFFF99"/>
        </patternFill>
      </fill>
    </dxf>
    <dxf>
      <font>
        <color rgb="FFFF0000"/>
      </font>
      <numFmt numFmtId="171" formatCode="#,##0.00;\(#,##0.00\)"/>
      <fill>
        <patternFill>
          <bgColor rgb="FFFFFF99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numFmt numFmtId="244" formatCode="&quot;Грешка: Кт &lt; &gt;  Дт!&quot;"/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color rgb="FFFFFF00"/>
      </font>
      <numFmt numFmtId="243" formatCode="&quot;Грешка: Дт &lt; &gt;  Кт!&quot;"/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A50021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A5002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FF0000"/>
        </patternFill>
      </fill>
    </dxf>
    <dxf>
      <font>
        <color rgb="FFFFFF00"/>
      </font>
      <numFmt numFmtId="244" formatCode="&quot;Грешка: Кт &lt; &gt;  Дт!&quot;"/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color rgb="FFFFFF00"/>
      </font>
      <numFmt numFmtId="243" formatCode="&quot;Грешка: Дт &lt; &gt;  Кт!&quot;"/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242" formatCode="#,##0.00&quot; Дт/Кт&quot;;\(#,##0.00\)&quot; Дт/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2" formatCode="#,##0.00&quot; Дт/Кт&quot;;\(#,##0.00\)&quot; Дт/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A50021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A50021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240" formatCode="&quot;Грешка: Кт &gt; Дт!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&quot;Грешка: Кт с/до&lt;0!&quot;"/>
      <fill>
        <patternFill>
          <bgColor rgb="FFFF0000"/>
        </patternFill>
      </fill>
    </dxf>
    <dxf>
      <font>
        <color rgb="FFFFFF00"/>
      </font>
      <numFmt numFmtId="238" formatCode="&quot;Грешка: Дт с/до &lt; 0!&quot;"/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240" formatCode="&quot;Грешка: Кт &gt; Дт!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&quot;Грешка: Кт с/до&lt;0!&quot;"/>
      <fill>
        <patternFill>
          <bgColor rgb="FFFF0000"/>
        </patternFill>
      </fill>
    </dxf>
    <dxf>
      <font>
        <color rgb="FFFFFF00"/>
      </font>
      <numFmt numFmtId="238" formatCode="&quot;Грешка: Дт с/до &lt; 0!&quot;"/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240" formatCode="&quot;Грешка: Кт &gt; Дт!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&quot;Грешка: Кт с/до&lt;0!&quot;"/>
      <fill>
        <patternFill>
          <bgColor rgb="FFFF0000"/>
        </patternFill>
      </fill>
    </dxf>
    <dxf>
      <font>
        <color rgb="FFFFFF00"/>
      </font>
      <numFmt numFmtId="238" formatCode="&quot;Грешка: Дт с/до &lt; 0!&quot;"/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240" formatCode="&quot;Грешка: Кт &gt; Дт!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&quot;Грешка: Кт с/до&lt;0!&quot;"/>
      <fill>
        <patternFill>
          <bgColor rgb="FFFF0000"/>
        </patternFill>
      </fill>
    </dxf>
    <dxf>
      <font>
        <color rgb="FFFFFF00"/>
      </font>
      <numFmt numFmtId="238" formatCode="&quot;Грешка: Дт с/до &lt; 0!&quot;"/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/>
        <i val="0"/>
        <color auto="1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lor rgb="FF800000"/>
      </font>
      <fill>
        <patternFill>
          <bgColor rgb="FFCCCCFF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FF00"/>
      </font>
      <numFmt numFmtId="179" formatCode="#,##0;\(#,##0\)"/>
      <fill>
        <patternFill>
          <bgColor rgb="FFFF0000"/>
        </patternFill>
      </fill>
    </dxf>
    <dxf>
      <font>
        <b/>
        <i val="0"/>
        <color rgb="FF000099"/>
      </font>
      <fill>
        <patternFill>
          <bgColor rgb="FFCCFFCC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FF00"/>
      </font>
      <numFmt numFmtId="179" formatCode="#,##0;\(#,##0\)"/>
      <fill>
        <patternFill>
          <bgColor rgb="FFFF0000"/>
        </patternFill>
      </fill>
    </dxf>
    <dxf>
      <font>
        <b/>
        <i val="0"/>
        <color rgb="FF660066"/>
      </font>
      <fill>
        <patternFill>
          <bgColor rgb="FFFFFF9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FF00"/>
      </font>
      <numFmt numFmtId="179" formatCode="#,##0;\(#,##0\)"/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800000"/>
      </font>
    </dxf>
    <dxf>
      <font>
        <color rgb="FFF0FDCF"/>
      </font>
    </dxf>
    <dxf>
      <numFmt numFmtId="180" formatCode="0000"/>
    </dxf>
    <dxf>
      <numFmt numFmtId="236" formatCode="0000&quot; &quot;0000"/>
    </dxf>
    <dxf>
      <numFmt numFmtId="235" formatCode="0000&quot; &quot;0000&quot; &quot;0000"/>
    </dxf>
    <dxf>
      <numFmt numFmtId="234" formatCode="0000&quot; &quot;0000&quot; &quot;0000&quot; &quot;0000"/>
    </dxf>
    <dxf>
      <font>
        <color theme="0"/>
      </font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auto="1"/>
        <name val="Cambria"/>
        <scheme val="none"/>
      </font>
      <fill>
        <patternFill patternType="none">
          <bgColor indexed="65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13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37"/>
      </font>
      <fill>
        <patternFill>
          <bgColor indexed="31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62"/>
      </font>
      <fill>
        <patternFill>
          <bgColor indexed="42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20"/>
      </font>
      <fill>
        <patternFill>
          <bgColor indexed="43"/>
        </patternFill>
      </fill>
    </dxf>
    <dxf>
      <font>
        <condense val="0"/>
        <extend val="0"/>
        <color indexed="20"/>
      </font>
      <fill>
        <patternFill>
          <bgColor indexed="43"/>
        </patternFill>
      </fill>
    </dxf>
    <dxf>
      <font>
        <condense val="0"/>
        <extend val="0"/>
        <color indexed="10"/>
      </font>
      <fill>
        <patternFill>
          <bgColor indexed="26"/>
        </patternFill>
      </fill>
    </dxf>
    <dxf>
      <font>
        <color theme="0" tint="-0.14996795556505021"/>
        <name val="Cambria"/>
        <scheme val="none"/>
      </font>
      <fill>
        <patternFill>
          <bgColor rgb="FFDDDDDD"/>
        </patternFill>
      </fill>
    </dxf>
    <dxf>
      <fill>
        <patternFill>
          <bgColor indexed="26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0000"/>
      </font>
      <fill>
        <patternFill>
          <bgColor rgb="FFFFFF6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0000"/>
      </font>
      <fill>
        <patternFill>
          <bgColor rgb="FFFFFF99"/>
        </patternFill>
      </fill>
    </dxf>
    <dxf>
      <font>
        <color rgb="FFFF0000"/>
      </font>
      <fill>
        <patternFill>
          <bgColor rgb="FFFFFF99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0000"/>
      </font>
      <fill>
        <patternFill>
          <bgColor rgb="FFFFFF99"/>
        </patternFill>
      </fill>
    </dxf>
    <dxf>
      <font>
        <color rgb="FFFF0000"/>
      </font>
      <fill>
        <patternFill>
          <bgColor rgb="FFFFFF99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0000"/>
      </font>
      <fill>
        <patternFill>
          <bgColor rgb="FFFFFF99"/>
        </patternFill>
      </fill>
    </dxf>
    <dxf>
      <font>
        <color rgb="FFFF0000"/>
      </font>
      <fill>
        <patternFill>
          <bgColor rgb="FFFFFF99"/>
        </patternFill>
      </fill>
    </dxf>
    <dxf>
      <font>
        <color rgb="FFFF0000"/>
      </font>
      <fill>
        <patternFill>
          <bgColor rgb="FFFFFF99"/>
        </patternFill>
      </fill>
    </dxf>
    <dxf>
      <font>
        <color rgb="FFFF0000"/>
      </font>
      <fill>
        <patternFill>
          <bgColor rgb="FFFFFF66"/>
        </patternFill>
      </fill>
    </dxf>
    <dxf>
      <font>
        <color rgb="FFFF0000"/>
      </font>
      <fill>
        <patternFill>
          <bgColor rgb="FFFFFF99"/>
        </patternFill>
      </fill>
    </dxf>
    <dxf>
      <font>
        <color rgb="FFFF0000"/>
      </font>
      <fill>
        <patternFill>
          <bgColor rgb="FFFFFF99"/>
        </patternFill>
      </fill>
    </dxf>
    <dxf>
      <font>
        <color rgb="FFFF0000"/>
      </font>
      <fill>
        <patternFill>
          <bgColor rgb="FFFFFF99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b val="0"/>
        <i val="0"/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rgb="FFA50021"/>
      </font>
      <fill>
        <patternFill>
          <bgColor theme="0" tint="-0.1499679555650502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auto="1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34998626667073579"/>
      </font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rgb="FF000099"/>
      </font>
      <fill>
        <patternFill>
          <bgColor theme="0"/>
        </patternFill>
      </fill>
      <border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theme="0"/>
      </font>
      <fill>
        <patternFill>
          <bgColor theme="0"/>
        </patternFill>
      </fill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auto="1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/>
      </font>
      <fill>
        <patternFill>
          <bgColor theme="0"/>
        </patternFill>
      </fill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b val="0"/>
        <i val="0"/>
        <color rgb="FF800000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rgb="FFFF0000"/>
      </font>
      <fill>
        <patternFill>
          <bgColor rgb="FFFFFF6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A50021"/>
      </font>
      <fill>
        <patternFill>
          <bgColor theme="0"/>
        </patternFill>
      </fill>
    </dxf>
    <dxf>
      <font>
        <color rgb="FFA50021"/>
      </font>
      <fill>
        <patternFill>
          <bgColor theme="0"/>
        </patternFill>
      </fill>
    </dxf>
  </dxfs>
  <tableStyles count="0" defaultTableStyle="TableStyleMedium2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161925</xdr:colOff>
      <xdr:row>125</xdr:row>
      <xdr:rowOff>133350</xdr:rowOff>
    </xdr:from>
    <xdr:to>
      <xdr:col>18</xdr:col>
      <xdr:colOff>1790700</xdr:colOff>
      <xdr:row>127</xdr:row>
      <xdr:rowOff>66675</xdr:rowOff>
    </xdr:to>
    <xdr:sp macro="" textlink="">
      <xdr:nvSpPr>
        <xdr:cNvPr id="38249" name="Right Arrow 1"/>
        <xdr:cNvSpPr>
          <a:spLocks noChangeArrowheads="1"/>
        </xdr:cNvSpPr>
      </xdr:nvSpPr>
      <xdr:spPr bwMode="auto">
        <a:xfrm>
          <a:off x="12401550" y="24117300"/>
          <a:ext cx="3886200" cy="333375"/>
        </a:xfrm>
        <a:prstGeom prst="rightArrow">
          <a:avLst>
            <a:gd name="adj1" fmla="val 50000"/>
            <a:gd name="adj2" fmla="val 106641"/>
          </a:avLst>
        </a:prstGeom>
        <a:solidFill>
          <a:srgbClr val="FFFFFF"/>
        </a:solidFill>
        <a:ln w="9525" algn="ctr">
          <a:solidFill>
            <a:srgbClr val="000000"/>
          </a:solidFill>
          <a:round/>
          <a:headEnd/>
          <a:tailEnd/>
        </a:ln>
        <a:effectLst/>
      </xdr:spPr>
    </xdr:sp>
    <xdr:clientData/>
  </xdr:twoCellAnchor>
  <xdr:twoCellAnchor>
    <xdr:from>
      <xdr:col>6</xdr:col>
      <xdr:colOff>190501</xdr:colOff>
      <xdr:row>122</xdr:row>
      <xdr:rowOff>74079</xdr:rowOff>
    </xdr:from>
    <xdr:to>
      <xdr:col>11</xdr:col>
      <xdr:colOff>582084</xdr:colOff>
      <xdr:row>127</xdr:row>
      <xdr:rowOff>74081</xdr:rowOff>
    </xdr:to>
    <xdr:sp macro="" textlink="">
      <xdr:nvSpPr>
        <xdr:cNvPr id="5" name="Bent Arrow 4"/>
        <xdr:cNvSpPr/>
      </xdr:nvSpPr>
      <xdr:spPr bwMode="auto">
        <a:xfrm flipV="1">
          <a:off x="3746501" y="23643162"/>
          <a:ext cx="3069166" cy="1005419"/>
        </a:xfrm>
        <a:prstGeom prst="bentArrow">
          <a:avLst>
            <a:gd name="adj1" fmla="val 16960"/>
            <a:gd name="adj2" fmla="val 17157"/>
            <a:gd name="adj3" fmla="val 44231"/>
            <a:gd name="adj4" fmla="val 45730"/>
          </a:avLst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horzOverflow="clip" wrap="square" lIns="18288" tIns="0" rIns="0" bIns="0" rtlCol="0" anchor="t" upright="1"/>
        <a:lstStyle/>
        <a:p>
          <a:endParaRPr lang="bg-BG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5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BB278"/>
  <sheetViews>
    <sheetView zoomScaleNormal="100" workbookViewId="0"/>
  </sheetViews>
  <sheetFormatPr defaultRowHeight="15.75"/>
  <cols>
    <col min="1" max="1" width="0.7109375" style="2239" customWidth="1"/>
    <col min="2" max="2" width="5.28515625" style="2256" customWidth="1"/>
    <col min="3" max="3" width="3.7109375" style="2256" customWidth="1"/>
    <col min="4" max="4" width="10.28515625" style="2256" customWidth="1"/>
    <col min="5" max="5" width="9.42578125" style="2256" customWidth="1"/>
    <col min="6" max="6" width="6" style="2256" customWidth="1"/>
    <col min="7" max="7" width="5.85546875" style="2256" customWidth="1"/>
    <col min="8" max="8" width="13.140625" style="2256" customWidth="1"/>
    <col min="9" max="9" width="11.140625" style="2256" customWidth="1"/>
    <col min="10" max="10" width="8" style="2256" customWidth="1"/>
    <col min="11" max="11" width="22.7109375" style="2256" customWidth="1"/>
    <col min="12" max="12" width="17.42578125" style="2256" customWidth="1"/>
    <col min="13" max="13" width="7.28515625" style="2256" customWidth="1"/>
    <col min="14" max="16384" width="9.140625" style="2239"/>
  </cols>
  <sheetData>
    <row r="1" spans="1:54" s="2310" customFormat="1" ht="9.75" customHeight="1" thickBot="1">
      <c r="A1" s="2302"/>
      <c r="B1" s="2303"/>
      <c r="C1" s="2304"/>
      <c r="D1" s="2304"/>
      <c r="E1" s="2304"/>
      <c r="F1" s="2304"/>
      <c r="G1" s="2304"/>
      <c r="H1" s="2304"/>
      <c r="I1" s="2304"/>
      <c r="J1" s="2304"/>
      <c r="K1" s="2304"/>
      <c r="L1" s="2304"/>
      <c r="M1" s="2304"/>
      <c r="N1" s="2304"/>
      <c r="O1" s="2305"/>
      <c r="P1" s="2306"/>
      <c r="Q1" s="2307"/>
      <c r="R1" s="2307"/>
      <c r="S1" s="2307"/>
      <c r="T1" s="2307"/>
      <c r="U1" s="2307"/>
      <c r="V1" s="2307"/>
      <c r="W1" s="2305"/>
      <c r="X1" s="2308"/>
      <c r="Y1" s="2308"/>
      <c r="Z1" s="2309"/>
      <c r="AA1" s="2308"/>
      <c r="AB1" s="2308"/>
      <c r="AC1" s="2308"/>
      <c r="AD1" s="2308"/>
      <c r="AE1" s="2308"/>
      <c r="AF1" s="2308"/>
      <c r="AH1" s="2311"/>
      <c r="AI1" s="2308"/>
      <c r="AJ1" s="2308"/>
      <c r="AK1" s="2308"/>
      <c r="AL1" s="2308"/>
      <c r="AM1" s="2308"/>
      <c r="AN1" s="2308"/>
      <c r="AO1" s="2309"/>
      <c r="AP1" s="2308"/>
      <c r="AQ1" s="2308"/>
      <c r="AR1" s="2308"/>
      <c r="AS1" s="2308"/>
      <c r="AT1" s="2308"/>
      <c r="AU1" s="2308"/>
      <c r="AV1" s="2309"/>
      <c r="AW1" s="2308"/>
      <c r="AX1" s="2308"/>
      <c r="AY1" s="2308"/>
      <c r="AZ1" s="2308"/>
      <c r="BA1" s="2308"/>
      <c r="BB1" s="2308"/>
    </row>
    <row r="2" spans="1:54" s="2256" customFormat="1" ht="16.5" thickBot="1">
      <c r="A2" s="2264"/>
      <c r="B2" s="2312" t="s">
        <v>2147</v>
      </c>
      <c r="C2" s="2313"/>
      <c r="D2" s="2313"/>
      <c r="E2" s="2313"/>
      <c r="F2" s="2313"/>
      <c r="G2" s="2313"/>
      <c r="H2" s="2313"/>
      <c r="I2" s="2313"/>
      <c r="J2" s="2313"/>
      <c r="K2" s="2313"/>
      <c r="L2" s="2370">
        <f>+'TRIAL-BALANCE'!E8</f>
        <v>2020</v>
      </c>
      <c r="M2" s="2371"/>
      <c r="N2" s="2264"/>
      <c r="O2" s="2264"/>
      <c r="P2" s="2264"/>
      <c r="Q2" s="2264"/>
      <c r="R2" s="2264"/>
      <c r="S2" s="2264"/>
      <c r="T2" s="2264"/>
      <c r="U2" s="2264"/>
      <c r="V2" s="2264"/>
      <c r="W2" s="2264"/>
    </row>
    <row r="3" spans="1:54" s="2256" customFormat="1" ht="3" customHeight="1" thickTop="1">
      <c r="A3" s="2264"/>
      <c r="B3" s="2240"/>
      <c r="C3" s="2241"/>
      <c r="D3" s="2241"/>
      <c r="E3" s="2241"/>
      <c r="F3" s="2241"/>
      <c r="G3" s="2241"/>
      <c r="H3" s="2241"/>
      <c r="I3" s="2241"/>
      <c r="J3" s="2241"/>
      <c r="K3" s="2241"/>
      <c r="L3" s="2241"/>
      <c r="M3" s="2242"/>
      <c r="N3" s="2264"/>
      <c r="O3" s="2264"/>
      <c r="P3" s="2264"/>
      <c r="Q3" s="2264"/>
      <c r="R3" s="2264"/>
      <c r="S3" s="2264"/>
      <c r="T3" s="2264"/>
      <c r="U3" s="2264"/>
      <c r="V3" s="2264"/>
      <c r="W3" s="2264"/>
    </row>
    <row r="4" spans="1:54" s="2256" customFormat="1">
      <c r="A4" s="2264"/>
      <c r="B4" s="2243" t="s">
        <v>1382</v>
      </c>
      <c r="C4" s="2244" t="s">
        <v>1383</v>
      </c>
      <c r="D4" s="2241"/>
      <c r="E4" s="2241"/>
      <c r="F4" s="2241"/>
      <c r="G4" s="2241"/>
      <c r="H4" s="2241"/>
      <c r="I4" s="2241"/>
      <c r="J4" s="2241"/>
      <c r="K4" s="2241"/>
      <c r="L4" s="2241"/>
      <c r="M4" s="2242"/>
      <c r="N4" s="2264"/>
      <c r="O4" s="2264"/>
      <c r="P4" s="2264"/>
      <c r="Q4" s="2264"/>
      <c r="R4" s="2264"/>
      <c r="S4" s="2264"/>
      <c r="T4" s="2264"/>
      <c r="U4" s="2264"/>
      <c r="V4" s="2264"/>
      <c r="W4" s="2264"/>
    </row>
    <row r="5" spans="1:54" s="2256" customFormat="1">
      <c r="A5" s="2264"/>
      <c r="B5" s="2240"/>
      <c r="C5" s="2245">
        <v>1</v>
      </c>
      <c r="D5" s="2241" t="s">
        <v>1989</v>
      </c>
      <c r="E5" s="2241"/>
      <c r="F5" s="2241"/>
      <c r="G5" s="2241"/>
      <c r="H5" s="2241"/>
      <c r="I5" s="2241"/>
      <c r="J5" s="2241"/>
      <c r="K5" s="2241"/>
      <c r="L5" s="2241"/>
      <c r="M5" s="2242"/>
      <c r="N5" s="2264"/>
      <c r="O5" s="2264"/>
      <c r="P5" s="2264"/>
      <c r="Q5" s="2264"/>
      <c r="R5" s="2264"/>
      <c r="S5" s="2264"/>
      <c r="T5" s="2264"/>
      <c r="U5" s="2264"/>
      <c r="V5" s="2264"/>
      <c r="W5" s="2264"/>
    </row>
    <row r="6" spans="1:54" s="2256" customFormat="1">
      <c r="A6" s="2264"/>
      <c r="B6" s="2240"/>
      <c r="C6" s="2245">
        <f>1+C5</f>
        <v>2</v>
      </c>
      <c r="D6" s="2241" t="s">
        <v>1384</v>
      </c>
      <c r="E6" s="2241"/>
      <c r="F6" s="2241"/>
      <c r="G6" s="2241"/>
      <c r="H6" s="2241"/>
      <c r="I6" s="2241"/>
      <c r="J6" s="2241"/>
      <c r="K6" s="2241"/>
      <c r="L6" s="2241"/>
      <c r="M6" s="2242"/>
      <c r="N6" s="2264"/>
      <c r="O6" s="2264"/>
      <c r="P6" s="2264"/>
      <c r="Q6" s="2264"/>
      <c r="R6" s="2264"/>
      <c r="S6" s="2264"/>
      <c r="T6" s="2264"/>
      <c r="U6" s="2264"/>
      <c r="V6" s="2264"/>
      <c r="W6" s="2264"/>
    </row>
    <row r="7" spans="1:54" s="2256" customFormat="1">
      <c r="A7" s="2264"/>
      <c r="B7" s="2240"/>
      <c r="C7" s="2245">
        <f>1+C6</f>
        <v>3</v>
      </c>
      <c r="D7" s="2241" t="s">
        <v>1385</v>
      </c>
      <c r="E7" s="2241"/>
      <c r="F7" s="2241"/>
      <c r="G7" s="2241"/>
      <c r="H7" s="2241"/>
      <c r="I7" s="2241"/>
      <c r="J7" s="2241"/>
      <c r="K7" s="2241"/>
      <c r="L7" s="2241"/>
      <c r="M7" s="2242"/>
      <c r="N7" s="2264"/>
      <c r="O7" s="2264"/>
      <c r="P7" s="2264"/>
      <c r="Q7" s="2264"/>
      <c r="R7" s="2264"/>
      <c r="S7" s="2264"/>
      <c r="T7" s="2264"/>
      <c r="U7" s="2264"/>
      <c r="V7" s="2264"/>
      <c r="W7" s="2264"/>
    </row>
    <row r="8" spans="1:54" s="2256" customFormat="1">
      <c r="A8" s="2264"/>
      <c r="B8" s="2240"/>
      <c r="C8" s="2245">
        <f>1+C7</f>
        <v>4</v>
      </c>
      <c r="D8" s="2241" t="s">
        <v>1386</v>
      </c>
      <c r="E8" s="2241"/>
      <c r="F8" s="2241"/>
      <c r="G8" s="2241"/>
      <c r="H8" s="2241"/>
      <c r="I8" s="2241"/>
      <c r="J8" s="2241"/>
      <c r="K8" s="2241"/>
      <c r="L8" s="2241"/>
      <c r="M8" s="2242"/>
      <c r="N8" s="2264"/>
      <c r="O8" s="2264"/>
      <c r="P8" s="2264"/>
      <c r="Q8" s="2264"/>
      <c r="R8" s="2264"/>
      <c r="S8" s="2264"/>
      <c r="T8" s="2264"/>
      <c r="U8" s="2264"/>
      <c r="V8" s="2264"/>
      <c r="W8" s="2264"/>
    </row>
    <row r="9" spans="1:54" s="2256" customFormat="1">
      <c r="A9" s="2264"/>
      <c r="B9" s="2240"/>
      <c r="C9" s="2245">
        <f>1+C8</f>
        <v>5</v>
      </c>
      <c r="D9" s="2241" t="s">
        <v>1387</v>
      </c>
      <c r="E9" s="2241"/>
      <c r="F9" s="2241"/>
      <c r="G9" s="2241"/>
      <c r="H9" s="2241"/>
      <c r="I9" s="2241"/>
      <c r="J9" s="2241"/>
      <c r="K9" s="2241"/>
      <c r="L9" s="2241"/>
      <c r="M9" s="2242"/>
      <c r="N9" s="2264"/>
      <c r="O9" s="2264"/>
      <c r="P9" s="2264"/>
      <c r="Q9" s="2264"/>
      <c r="R9" s="2264"/>
      <c r="S9" s="2264"/>
      <c r="T9" s="2264"/>
      <c r="U9" s="2264"/>
      <c r="V9" s="2264"/>
      <c r="W9" s="2264"/>
    </row>
    <row r="10" spans="1:54" s="2256" customFormat="1">
      <c r="A10" s="2264"/>
      <c r="B10" s="2240"/>
      <c r="C10" s="2245">
        <f>1+C9</f>
        <v>6</v>
      </c>
      <c r="D10" s="2314" t="s">
        <v>2197</v>
      </c>
      <c r="E10" s="2241"/>
      <c r="F10" s="2241"/>
      <c r="G10" s="2241"/>
      <c r="H10" s="2241"/>
      <c r="I10" s="2241"/>
      <c r="J10" s="2241"/>
      <c r="K10" s="2241"/>
      <c r="L10" s="2241"/>
      <c r="M10" s="2242"/>
      <c r="N10" s="2264"/>
      <c r="O10" s="2264"/>
      <c r="P10" s="2264"/>
      <c r="Q10" s="2264"/>
      <c r="R10" s="2264"/>
      <c r="S10" s="2264"/>
      <c r="T10" s="2264"/>
      <c r="U10" s="2264"/>
      <c r="V10" s="2264"/>
      <c r="W10" s="2264"/>
    </row>
    <row r="11" spans="1:54" s="2256" customFormat="1">
      <c r="A11" s="2264"/>
      <c r="B11" s="2240"/>
      <c r="C11" s="2245"/>
      <c r="D11" s="2241" t="s">
        <v>1899</v>
      </c>
      <c r="E11" s="2241"/>
      <c r="F11" s="2241"/>
      <c r="G11" s="2241"/>
      <c r="H11" s="2241"/>
      <c r="I11" s="2241"/>
      <c r="J11" s="2241"/>
      <c r="K11" s="2241"/>
      <c r="L11" s="2241"/>
      <c r="M11" s="2242"/>
      <c r="N11" s="2264"/>
      <c r="O11" s="2264"/>
      <c r="P11" s="2264"/>
      <c r="Q11" s="2264"/>
      <c r="R11" s="2264"/>
      <c r="S11" s="2264"/>
      <c r="T11" s="2264"/>
      <c r="U11" s="2264"/>
      <c r="V11" s="2264"/>
      <c r="W11" s="2264"/>
    </row>
    <row r="12" spans="1:54" s="2256" customFormat="1">
      <c r="A12" s="2264"/>
      <c r="B12" s="2240"/>
      <c r="C12" s="2245"/>
      <c r="D12" s="2314" t="s">
        <v>2198</v>
      </c>
      <c r="E12" s="2241"/>
      <c r="F12" s="2241"/>
      <c r="G12" s="2241"/>
      <c r="H12" s="2241"/>
      <c r="I12" s="2241"/>
      <c r="J12" s="2241"/>
      <c r="K12" s="2241"/>
      <c r="L12" s="2241"/>
      <c r="M12" s="2242"/>
      <c r="N12" s="2264"/>
      <c r="O12" s="2264"/>
      <c r="P12" s="2264"/>
      <c r="Q12" s="2264"/>
      <c r="R12" s="2264"/>
      <c r="S12" s="2264"/>
      <c r="T12" s="2264"/>
      <c r="U12" s="2264"/>
      <c r="V12" s="2264"/>
      <c r="W12" s="2264"/>
    </row>
    <row r="13" spans="1:54" s="2256" customFormat="1">
      <c r="A13" s="2264"/>
      <c r="B13" s="2240"/>
      <c r="C13" s="2245"/>
      <c r="D13" s="2246" t="s">
        <v>1990</v>
      </c>
      <c r="E13" s="2241"/>
      <c r="F13" s="2241"/>
      <c r="G13" s="2241"/>
      <c r="H13" s="2241"/>
      <c r="I13" s="2241"/>
      <c r="J13" s="2241"/>
      <c r="K13" s="2241"/>
      <c r="L13" s="2315">
        <f>+'TRIAL-BALANCE'!E8</f>
        <v>2020</v>
      </c>
      <c r="M13" s="2242"/>
      <c r="N13" s="2264"/>
      <c r="O13" s="2264"/>
      <c r="P13" s="2264"/>
      <c r="Q13" s="2264"/>
      <c r="R13" s="2264"/>
      <c r="S13" s="2264"/>
      <c r="T13" s="2264"/>
      <c r="U13" s="2264"/>
      <c r="V13" s="2264"/>
      <c r="W13" s="2264"/>
    </row>
    <row r="14" spans="1:54" s="2256" customFormat="1">
      <c r="A14" s="2264"/>
      <c r="B14" s="2240"/>
      <c r="C14" s="2245"/>
      <c r="D14" s="2314" t="s">
        <v>2199</v>
      </c>
      <c r="E14" s="2241"/>
      <c r="F14" s="2241"/>
      <c r="G14" s="2241"/>
      <c r="H14" s="2241"/>
      <c r="I14" s="2241"/>
      <c r="J14" s="2241"/>
      <c r="K14" s="2241"/>
      <c r="L14" s="2241"/>
      <c r="M14" s="2242"/>
      <c r="N14" s="2264"/>
      <c r="O14" s="2264"/>
      <c r="P14" s="2264"/>
      <c r="Q14" s="2264"/>
      <c r="R14" s="2264"/>
      <c r="S14" s="2264"/>
      <c r="T14" s="2264"/>
      <c r="U14" s="2264"/>
      <c r="V14" s="2264"/>
      <c r="W14" s="2264"/>
    </row>
    <row r="15" spans="1:54" s="2256" customFormat="1">
      <c r="A15" s="2264"/>
      <c r="B15" s="2240"/>
      <c r="C15" s="2245">
        <f>1+C10</f>
        <v>7</v>
      </c>
      <c r="D15" s="2314" t="s">
        <v>2200</v>
      </c>
      <c r="E15" s="2241"/>
      <c r="F15" s="2241"/>
      <c r="G15" s="2241"/>
      <c r="H15" s="2241"/>
      <c r="I15" s="2241"/>
      <c r="J15" s="2241"/>
      <c r="K15" s="2241"/>
      <c r="L15" s="2241"/>
      <c r="M15" s="2242"/>
      <c r="N15" s="2264"/>
      <c r="O15" s="2264"/>
      <c r="P15" s="2264"/>
      <c r="Q15" s="2264"/>
      <c r="R15" s="2264"/>
      <c r="S15" s="2264"/>
      <c r="T15" s="2264"/>
      <c r="U15" s="2264"/>
      <c r="V15" s="2264"/>
      <c r="W15" s="2264"/>
    </row>
    <row r="16" spans="1:54" s="2256" customFormat="1">
      <c r="A16" s="2264"/>
      <c r="B16" s="2240"/>
      <c r="C16" s="2245">
        <f>1+C15</f>
        <v>8</v>
      </c>
      <c r="D16" s="2241" t="s">
        <v>1388</v>
      </c>
      <c r="E16" s="2241"/>
      <c r="F16" s="2241"/>
      <c r="G16" s="2241"/>
      <c r="H16" s="2241"/>
      <c r="I16" s="2241"/>
      <c r="J16" s="2241"/>
      <c r="K16" s="2241"/>
      <c r="L16" s="2241"/>
      <c r="M16" s="2242"/>
      <c r="N16" s="2264"/>
      <c r="O16" s="2264"/>
      <c r="P16" s="2264"/>
      <c r="Q16" s="2264"/>
      <c r="R16" s="2264"/>
      <c r="S16" s="2264"/>
      <c r="T16" s="2264"/>
      <c r="U16" s="2264"/>
      <c r="V16" s="2264"/>
      <c r="W16" s="2264"/>
    </row>
    <row r="17" spans="1:23" s="2256" customFormat="1">
      <c r="A17" s="2264"/>
      <c r="B17" s="2240"/>
      <c r="C17" s="2245"/>
      <c r="D17" s="2241" t="s">
        <v>1389</v>
      </c>
      <c r="E17" s="2241"/>
      <c r="F17" s="2241"/>
      <c r="G17" s="2241"/>
      <c r="H17" s="2241"/>
      <c r="I17" s="2241"/>
      <c r="J17" s="2241"/>
      <c r="K17" s="2241"/>
      <c r="L17" s="2241"/>
      <c r="M17" s="2242"/>
      <c r="N17" s="2264"/>
      <c r="O17" s="2264"/>
      <c r="P17" s="2264"/>
      <c r="Q17" s="2264"/>
      <c r="R17" s="2264"/>
      <c r="S17" s="2264"/>
      <c r="T17" s="2264"/>
      <c r="U17" s="2264"/>
      <c r="V17" s="2264"/>
      <c r="W17" s="2264"/>
    </row>
    <row r="18" spans="1:23" s="2256" customFormat="1" ht="3.75" customHeight="1">
      <c r="A18" s="2264"/>
      <c r="B18" s="2240"/>
      <c r="C18" s="2245"/>
      <c r="D18" s="2241"/>
      <c r="E18" s="2241"/>
      <c r="F18" s="2241"/>
      <c r="G18" s="2241"/>
      <c r="H18" s="2241"/>
      <c r="I18" s="2241"/>
      <c r="J18" s="2241"/>
      <c r="K18" s="2241"/>
      <c r="L18" s="2241"/>
      <c r="M18" s="2242"/>
      <c r="N18" s="2264"/>
      <c r="O18" s="2264"/>
      <c r="P18" s="2264"/>
      <c r="Q18" s="2264"/>
      <c r="R18" s="2264"/>
      <c r="S18" s="2264"/>
      <c r="T18" s="2264"/>
      <c r="U18" s="2264"/>
      <c r="V18" s="2264"/>
      <c r="W18" s="2264"/>
    </row>
    <row r="19" spans="1:23" s="2256" customFormat="1">
      <c r="A19" s="2264"/>
      <c r="B19" s="2243" t="s">
        <v>1390</v>
      </c>
      <c r="C19" s="2247" t="s">
        <v>1910</v>
      </c>
      <c r="D19" s="2241"/>
      <c r="E19" s="2241"/>
      <c r="F19" s="2241"/>
      <c r="G19" s="2241"/>
      <c r="H19" s="2241"/>
      <c r="I19" s="2241"/>
      <c r="J19" s="2241"/>
      <c r="K19" s="2241"/>
      <c r="L19" s="2241"/>
      <c r="M19" s="2242"/>
      <c r="N19" s="2264"/>
      <c r="O19" s="2264"/>
      <c r="P19" s="2264"/>
      <c r="Q19" s="2264"/>
      <c r="R19" s="2264"/>
      <c r="S19" s="2264"/>
      <c r="T19" s="2264"/>
      <c r="U19" s="2264"/>
      <c r="V19" s="2264"/>
      <c r="W19" s="2264"/>
    </row>
    <row r="20" spans="1:23" s="2256" customFormat="1">
      <c r="A20" s="2264"/>
      <c r="B20" s="2240"/>
      <c r="C20" s="2245">
        <f>1+C16</f>
        <v>9</v>
      </c>
      <c r="D20" s="2241" t="s">
        <v>2201</v>
      </c>
      <c r="E20" s="2241"/>
      <c r="F20" s="2241"/>
      <c r="G20" s="2241"/>
      <c r="H20" s="2241"/>
      <c r="I20" s="2241"/>
      <c r="J20" s="2241"/>
      <c r="K20" s="2241"/>
      <c r="L20" s="2241"/>
      <c r="M20" s="2242"/>
      <c r="N20" s="2264"/>
      <c r="O20" s="2264"/>
      <c r="P20" s="2264"/>
      <c r="Q20" s="2264"/>
      <c r="R20" s="2264"/>
      <c r="S20" s="2264"/>
      <c r="T20" s="2264"/>
      <c r="U20" s="2264"/>
      <c r="V20" s="2264"/>
      <c r="W20" s="2264"/>
    </row>
    <row r="21" spans="1:23" s="2256" customFormat="1">
      <c r="A21" s="2264"/>
      <c r="B21" s="2240"/>
      <c r="C21" s="2245"/>
      <c r="D21" s="2241" t="s">
        <v>1391</v>
      </c>
      <c r="E21" s="2241"/>
      <c r="F21" s="2241"/>
      <c r="G21" s="2241"/>
      <c r="H21" s="2241"/>
      <c r="I21" s="2241"/>
      <c r="J21" s="2241"/>
      <c r="K21" s="2241"/>
      <c r="L21" s="2241"/>
      <c r="M21" s="2242"/>
      <c r="N21" s="2264"/>
      <c r="O21" s="2264"/>
      <c r="P21" s="2264"/>
      <c r="Q21" s="2264"/>
      <c r="R21" s="2264"/>
      <c r="S21" s="2264"/>
      <c r="T21" s="2264"/>
      <c r="U21" s="2264"/>
      <c r="V21" s="2264"/>
      <c r="W21" s="2264"/>
    </row>
    <row r="22" spans="1:23" s="2256" customFormat="1">
      <c r="A22" s="2264"/>
      <c r="B22" s="2240"/>
      <c r="C22" s="2245"/>
      <c r="D22" s="2241" t="s">
        <v>1392</v>
      </c>
      <c r="E22" s="2241"/>
      <c r="F22" s="2241"/>
      <c r="G22" s="2241"/>
      <c r="H22" s="2241"/>
      <c r="I22" s="2241"/>
      <c r="J22" s="2241"/>
      <c r="K22" s="2241"/>
      <c r="L22" s="2241"/>
      <c r="M22" s="2242"/>
      <c r="N22" s="2264"/>
      <c r="O22" s="2264"/>
      <c r="P22" s="2264"/>
      <c r="Q22" s="2264"/>
      <c r="R22" s="2264"/>
      <c r="S22" s="2264"/>
      <c r="T22" s="2264"/>
      <c r="U22" s="2264"/>
      <c r="V22" s="2264"/>
      <c r="W22" s="2264"/>
    </row>
    <row r="23" spans="1:23" s="2256" customFormat="1">
      <c r="A23" s="2264"/>
      <c r="B23" s="2240"/>
      <c r="C23" s="2245">
        <f>1+C20</f>
        <v>10</v>
      </c>
      <c r="D23" s="2241" t="s">
        <v>1393</v>
      </c>
      <c r="E23" s="2241"/>
      <c r="F23" s="2241"/>
      <c r="G23" s="2241"/>
      <c r="H23" s="2241"/>
      <c r="I23" s="2241"/>
      <c r="J23" s="2241"/>
      <c r="K23" s="2241"/>
      <c r="L23" s="2241"/>
      <c r="M23" s="2242"/>
      <c r="N23" s="2264"/>
      <c r="O23" s="2264"/>
      <c r="P23" s="2264"/>
      <c r="Q23" s="2264"/>
      <c r="R23" s="2264"/>
      <c r="S23" s="2264"/>
      <c r="T23" s="2264"/>
      <c r="U23" s="2264"/>
      <c r="V23" s="2264"/>
      <c r="W23" s="2264"/>
    </row>
    <row r="24" spans="1:23" s="2256" customFormat="1">
      <c r="A24" s="2264"/>
      <c r="B24" s="2240"/>
      <c r="C24" s="2245"/>
      <c r="D24" s="2241" t="s">
        <v>2112</v>
      </c>
      <c r="E24" s="2241"/>
      <c r="F24" s="2241"/>
      <c r="G24" s="2241"/>
      <c r="H24" s="2241"/>
      <c r="I24" s="2241"/>
      <c r="J24" s="2241"/>
      <c r="K24" s="2241"/>
      <c r="L24" s="2241"/>
      <c r="M24" s="2242"/>
      <c r="N24" s="2264"/>
      <c r="O24" s="2264"/>
      <c r="P24" s="2264"/>
      <c r="Q24" s="2264"/>
      <c r="R24" s="2264"/>
      <c r="S24" s="2264"/>
      <c r="T24" s="2264"/>
      <c r="U24" s="2264"/>
      <c r="V24" s="2264"/>
      <c r="W24" s="2264"/>
    </row>
    <row r="25" spans="1:23" s="2256" customFormat="1">
      <c r="A25" s="2264"/>
      <c r="B25" s="2240"/>
      <c r="C25" s="2245"/>
      <c r="D25" s="2241" t="s">
        <v>1394</v>
      </c>
      <c r="E25" s="2241"/>
      <c r="F25" s="2241"/>
      <c r="G25" s="2241"/>
      <c r="H25" s="2241"/>
      <c r="I25" s="2241"/>
      <c r="J25" s="2241"/>
      <c r="K25" s="2241"/>
      <c r="L25" s="2241"/>
      <c r="M25" s="2242"/>
      <c r="N25" s="2264"/>
      <c r="O25" s="2264"/>
      <c r="P25" s="2264"/>
      <c r="Q25" s="2264"/>
      <c r="R25" s="2264"/>
      <c r="S25" s="2264"/>
      <c r="T25" s="2264"/>
      <c r="U25" s="2264"/>
      <c r="V25" s="2264"/>
      <c r="W25" s="2264"/>
    </row>
    <row r="26" spans="1:23" s="2256" customFormat="1">
      <c r="A26" s="2264"/>
      <c r="B26" s="2240"/>
      <c r="C26" s="2245"/>
      <c r="D26" s="2241" t="s">
        <v>1395</v>
      </c>
      <c r="E26" s="2241"/>
      <c r="F26" s="2241"/>
      <c r="G26" s="2241"/>
      <c r="H26" s="2241"/>
      <c r="I26" s="2241"/>
      <c r="J26" s="2241"/>
      <c r="K26" s="2241"/>
      <c r="L26" s="2241"/>
      <c r="M26" s="2242"/>
      <c r="N26" s="2264"/>
      <c r="O26" s="2264"/>
      <c r="P26" s="2264"/>
      <c r="Q26" s="2264"/>
      <c r="R26" s="2264"/>
      <c r="S26" s="2264"/>
      <c r="T26" s="2264"/>
      <c r="U26" s="2264"/>
      <c r="V26" s="2264"/>
      <c r="W26" s="2264"/>
    </row>
    <row r="27" spans="1:23" s="2256" customFormat="1">
      <c r="A27" s="2264"/>
      <c r="B27" s="2240"/>
      <c r="C27" s="2245">
        <f>1+C23</f>
        <v>11</v>
      </c>
      <c r="D27" s="2241" t="s">
        <v>2202</v>
      </c>
      <c r="E27" s="2241"/>
      <c r="F27" s="2241"/>
      <c r="G27" s="2241"/>
      <c r="H27" s="2241"/>
      <c r="I27" s="2241"/>
      <c r="J27" s="2241"/>
      <c r="K27" s="2241"/>
      <c r="L27" s="2241"/>
      <c r="M27" s="2242"/>
      <c r="N27" s="2264"/>
      <c r="O27" s="2264"/>
      <c r="P27" s="2264"/>
      <c r="Q27" s="2264"/>
      <c r="R27" s="2264"/>
      <c r="S27" s="2264"/>
      <c r="T27" s="2264"/>
      <c r="U27" s="2264"/>
      <c r="V27" s="2264"/>
      <c r="W27" s="2264"/>
    </row>
    <row r="28" spans="1:23" s="2256" customFormat="1">
      <c r="A28" s="2264"/>
      <c r="B28" s="2240"/>
      <c r="C28" s="2245"/>
      <c r="D28" s="2241" t="s">
        <v>2203</v>
      </c>
      <c r="E28" s="2241"/>
      <c r="F28" s="2241"/>
      <c r="G28" s="2241"/>
      <c r="H28" s="2241"/>
      <c r="I28" s="2241"/>
      <c r="J28" s="2241"/>
      <c r="K28" s="2241"/>
      <c r="L28" s="2241"/>
      <c r="M28" s="2242"/>
      <c r="N28" s="2264"/>
      <c r="O28" s="2264"/>
      <c r="P28" s="2264"/>
      <c r="Q28" s="2264"/>
      <c r="R28" s="2264"/>
      <c r="S28" s="2264"/>
      <c r="T28" s="2264"/>
      <c r="U28" s="2264"/>
      <c r="V28" s="2264"/>
      <c r="W28" s="2264"/>
    </row>
    <row r="29" spans="1:23" s="2256" customFormat="1">
      <c r="A29" s="2264"/>
      <c r="B29" s="2240"/>
      <c r="C29" s="2245"/>
      <c r="D29" s="2241" t="s">
        <v>1998</v>
      </c>
      <c r="E29" s="2241"/>
      <c r="F29" s="2241"/>
      <c r="G29" s="2241"/>
      <c r="H29" s="2241"/>
      <c r="I29" s="2241"/>
      <c r="J29" s="2241"/>
      <c r="K29" s="2241"/>
      <c r="L29" s="2241"/>
      <c r="M29" s="2242"/>
      <c r="N29" s="2264"/>
      <c r="O29" s="2264"/>
      <c r="P29" s="2264"/>
      <c r="Q29" s="2264"/>
      <c r="R29" s="2264"/>
      <c r="S29" s="2264"/>
      <c r="T29" s="2264"/>
      <c r="U29" s="2264"/>
      <c r="V29" s="2264"/>
      <c r="W29" s="2264"/>
    </row>
    <row r="30" spans="1:23" s="2256" customFormat="1">
      <c r="A30" s="2264"/>
      <c r="B30" s="2240"/>
      <c r="C30" s="2245"/>
      <c r="D30" s="2241" t="s">
        <v>2000</v>
      </c>
      <c r="E30" s="2241"/>
      <c r="F30" s="2241"/>
      <c r="G30" s="2241"/>
      <c r="H30" s="2241"/>
      <c r="I30" s="2241"/>
      <c r="J30" s="2241"/>
      <c r="K30" s="2241"/>
      <c r="L30" s="2241"/>
      <c r="M30" s="2242"/>
      <c r="N30" s="2264"/>
      <c r="O30" s="2264"/>
      <c r="P30" s="2264"/>
      <c r="Q30" s="2264"/>
      <c r="R30" s="2264"/>
      <c r="S30" s="2264"/>
      <c r="T30" s="2264"/>
      <c r="U30" s="2264"/>
      <c r="V30" s="2264"/>
      <c r="W30" s="2264"/>
    </row>
    <row r="31" spans="1:23" s="2256" customFormat="1">
      <c r="A31" s="2264"/>
      <c r="B31" s="2240"/>
      <c r="C31" s="2245"/>
      <c r="D31" s="2248" t="s">
        <v>2001</v>
      </c>
      <c r="E31" s="2248"/>
      <c r="F31" s="2248"/>
      <c r="G31" s="2248"/>
      <c r="H31" s="2248"/>
      <c r="I31" s="2248"/>
      <c r="J31" s="2248"/>
      <c r="K31" s="2248"/>
      <c r="L31" s="2248"/>
      <c r="M31" s="2250"/>
      <c r="N31" s="2264"/>
      <c r="O31" s="2264"/>
      <c r="P31" s="2264"/>
      <c r="Q31" s="2264"/>
      <c r="R31" s="2264"/>
      <c r="S31" s="2264"/>
      <c r="T31" s="2264"/>
      <c r="U31" s="2264"/>
      <c r="V31" s="2264"/>
      <c r="W31" s="2264"/>
    </row>
    <row r="32" spans="1:23" s="2256" customFormat="1">
      <c r="A32" s="2264"/>
      <c r="B32" s="2240"/>
      <c r="C32" s="2245"/>
      <c r="D32" s="2372">
        <f>+'TRIAL-BALANCE'!E8</f>
        <v>2020</v>
      </c>
      <c r="E32" s="2372"/>
      <c r="F32" s="2372"/>
      <c r="G32" s="2372"/>
      <c r="H32" s="2373">
        <f>+'TRIAL-BALANCE'!E8</f>
        <v>2020</v>
      </c>
      <c r="I32" s="2373"/>
      <c r="J32" s="2373"/>
      <c r="K32" s="2265">
        <f>+'TRIAL-BALANCE'!E8</f>
        <v>2020</v>
      </c>
      <c r="L32" s="2266">
        <f>+'TRIAL-BALANCE'!E8</f>
        <v>2020</v>
      </c>
      <c r="M32" s="2249"/>
      <c r="N32" s="2264"/>
      <c r="O32" s="2264"/>
      <c r="P32" s="2264"/>
      <c r="Q32" s="2264"/>
      <c r="R32" s="2264"/>
      <c r="S32" s="2264"/>
      <c r="T32" s="2264"/>
      <c r="U32" s="2264"/>
      <c r="V32" s="2264"/>
      <c r="W32" s="2264"/>
    </row>
    <row r="33" spans="1:23" s="2256" customFormat="1">
      <c r="A33" s="2264"/>
      <c r="B33" s="2240"/>
      <c r="C33" s="2245">
        <f>1+C27</f>
        <v>12</v>
      </c>
      <c r="D33" s="2241" t="s">
        <v>2204</v>
      </c>
      <c r="E33" s="2241"/>
      <c r="F33" s="2241"/>
      <c r="G33" s="2241"/>
      <c r="H33" s="2241"/>
      <c r="I33" s="2241"/>
      <c r="J33" s="2241"/>
      <c r="K33" s="2241"/>
      <c r="L33" s="2241"/>
      <c r="M33" s="2242"/>
      <c r="N33" s="2264"/>
      <c r="O33" s="2264"/>
      <c r="P33" s="2264"/>
      <c r="Q33" s="2264"/>
      <c r="R33" s="2264"/>
      <c r="S33" s="2264"/>
      <c r="T33" s="2264"/>
      <c r="U33" s="2264"/>
      <c r="V33" s="2264"/>
      <c r="W33" s="2264"/>
    </row>
    <row r="34" spans="1:23" s="2256" customFormat="1">
      <c r="A34" s="2264"/>
      <c r="B34" s="2240"/>
      <c r="C34" s="2245"/>
      <c r="D34" s="2314" t="s">
        <v>2205</v>
      </c>
      <c r="E34" s="2241"/>
      <c r="F34" s="2241"/>
      <c r="G34" s="2241"/>
      <c r="H34" s="2241"/>
      <c r="I34" s="2241"/>
      <c r="J34" s="2241"/>
      <c r="K34" s="2241"/>
      <c r="L34" s="2241"/>
      <c r="M34" s="2242"/>
      <c r="N34" s="2264"/>
      <c r="O34" s="2264"/>
      <c r="P34" s="2264"/>
      <c r="Q34" s="2264"/>
      <c r="R34" s="2264"/>
      <c r="S34" s="2264"/>
      <c r="T34" s="2264"/>
      <c r="U34" s="2264"/>
      <c r="V34" s="2264"/>
      <c r="W34" s="2264"/>
    </row>
    <row r="35" spans="1:23" s="2256" customFormat="1">
      <c r="A35" s="2264"/>
      <c r="B35" s="2240"/>
      <c r="C35" s="2245"/>
      <c r="D35" s="2241" t="s">
        <v>2206</v>
      </c>
      <c r="E35" s="2241"/>
      <c r="F35" s="2241"/>
      <c r="G35" s="2241"/>
      <c r="H35" s="2241"/>
      <c r="I35" s="2241"/>
      <c r="J35" s="2241"/>
      <c r="K35" s="2241"/>
      <c r="L35" s="2241"/>
      <c r="M35" s="2242"/>
      <c r="N35" s="2264"/>
      <c r="O35" s="2264"/>
      <c r="P35" s="2264"/>
      <c r="Q35" s="2264"/>
      <c r="R35" s="2264"/>
      <c r="S35" s="2264"/>
      <c r="T35" s="2264"/>
      <c r="U35" s="2264"/>
      <c r="V35" s="2264"/>
      <c r="W35" s="2264"/>
    </row>
    <row r="36" spans="1:23" s="2256" customFormat="1">
      <c r="A36" s="2264"/>
      <c r="B36" s="2240"/>
      <c r="C36" s="2245"/>
      <c r="D36" s="2241" t="s">
        <v>2207</v>
      </c>
      <c r="E36" s="2241"/>
      <c r="F36" s="2241"/>
      <c r="G36" s="2241"/>
      <c r="H36" s="2241"/>
      <c r="I36" s="2241"/>
      <c r="J36" s="2241"/>
      <c r="K36" s="2241"/>
      <c r="L36" s="2241"/>
      <c r="M36" s="2242"/>
      <c r="N36" s="2264"/>
      <c r="O36" s="2264"/>
      <c r="P36" s="2264"/>
      <c r="Q36" s="2264"/>
      <c r="R36" s="2264"/>
      <c r="S36" s="2264"/>
      <c r="T36" s="2264"/>
      <c r="U36" s="2264"/>
      <c r="V36" s="2264"/>
      <c r="W36" s="2264"/>
    </row>
    <row r="37" spans="1:23" s="2256" customFormat="1">
      <c r="A37" s="2264"/>
      <c r="B37" s="2240"/>
      <c r="C37" s="2245"/>
      <c r="D37" s="2248" t="s">
        <v>2208</v>
      </c>
      <c r="E37" s="2248"/>
      <c r="F37" s="2248"/>
      <c r="G37" s="2248"/>
      <c r="H37" s="2248"/>
      <c r="I37" s="2248"/>
      <c r="J37" s="2248"/>
      <c r="K37" s="2248"/>
      <c r="L37" s="2248"/>
      <c r="M37" s="2250"/>
      <c r="N37" s="2264"/>
      <c r="O37" s="2264"/>
      <c r="P37" s="2264"/>
      <c r="Q37" s="2264"/>
      <c r="R37" s="2264"/>
      <c r="S37" s="2264"/>
      <c r="T37" s="2264"/>
      <c r="U37" s="2264"/>
      <c r="V37" s="2264"/>
      <c r="W37" s="2264"/>
    </row>
    <row r="38" spans="1:23" s="2256" customFormat="1">
      <c r="A38" s="2264"/>
      <c r="B38" s="2240"/>
      <c r="C38" s="2245">
        <f>1+C33</f>
        <v>13</v>
      </c>
      <c r="D38" s="2248" t="s">
        <v>2209</v>
      </c>
      <c r="E38" s="2248"/>
      <c r="F38" s="2248"/>
      <c r="G38" s="2248"/>
      <c r="H38" s="2248"/>
      <c r="I38" s="2248"/>
      <c r="J38" s="2248"/>
      <c r="K38" s="2248"/>
      <c r="L38" s="2248"/>
      <c r="M38" s="2250"/>
      <c r="N38" s="2264"/>
      <c r="O38" s="2264"/>
      <c r="P38" s="2264"/>
      <c r="Q38" s="2264"/>
      <c r="R38" s="2264"/>
      <c r="S38" s="2264"/>
      <c r="T38" s="2264"/>
      <c r="U38" s="2264"/>
      <c r="V38" s="2264"/>
      <c r="W38" s="2264"/>
    </row>
    <row r="39" spans="1:23" s="2256" customFormat="1">
      <c r="A39" s="2264"/>
      <c r="B39" s="2240"/>
      <c r="C39" s="2245"/>
      <c r="D39" s="2241" t="s">
        <v>2023</v>
      </c>
      <c r="E39" s="2241"/>
      <c r="F39" s="2241"/>
      <c r="G39" s="2241"/>
      <c r="H39" s="2241"/>
      <c r="I39" s="2241"/>
      <c r="J39" s="2241"/>
      <c r="K39" s="2241"/>
      <c r="L39" s="2241"/>
      <c r="M39" s="2242"/>
      <c r="N39" s="2264"/>
      <c r="O39" s="2264"/>
      <c r="P39" s="2264"/>
      <c r="Q39" s="2264"/>
      <c r="R39" s="2264"/>
      <c r="S39" s="2264"/>
      <c r="T39" s="2264"/>
      <c r="U39" s="2264"/>
      <c r="V39" s="2264"/>
      <c r="W39" s="2264"/>
    </row>
    <row r="40" spans="1:23" s="2256" customFormat="1">
      <c r="A40" s="2264"/>
      <c r="B40" s="2240"/>
      <c r="C40" s="2245"/>
      <c r="D40" s="2241" t="s">
        <v>2210</v>
      </c>
      <c r="E40" s="2241"/>
      <c r="F40" s="2241"/>
      <c r="G40" s="2241"/>
      <c r="H40" s="2241"/>
      <c r="I40" s="2241"/>
      <c r="J40" s="2241"/>
      <c r="K40" s="2241"/>
      <c r="L40" s="2241"/>
      <c r="M40" s="2242"/>
      <c r="N40" s="2264"/>
      <c r="O40" s="2264"/>
      <c r="P40" s="2264"/>
      <c r="Q40" s="2264"/>
      <c r="R40" s="2264"/>
      <c r="S40" s="2264"/>
      <c r="T40" s="2264"/>
      <c r="U40" s="2264"/>
      <c r="V40" s="2264"/>
      <c r="W40" s="2264"/>
    </row>
    <row r="41" spans="1:23" s="2256" customFormat="1">
      <c r="A41" s="2264"/>
      <c r="B41" s="2240"/>
      <c r="C41" s="2245"/>
      <c r="D41" s="2241" t="s">
        <v>2211</v>
      </c>
      <c r="E41" s="2241"/>
      <c r="F41" s="2241"/>
      <c r="G41" s="2241"/>
      <c r="H41" s="2241"/>
      <c r="I41" s="2241"/>
      <c r="J41" s="2241"/>
      <c r="K41" s="2241"/>
      <c r="L41" s="2241"/>
      <c r="M41" s="2242"/>
      <c r="N41" s="2264"/>
      <c r="O41" s="2264"/>
      <c r="P41" s="2264"/>
      <c r="Q41" s="2264"/>
      <c r="R41" s="2264"/>
      <c r="S41" s="2264"/>
      <c r="T41" s="2264"/>
      <c r="U41" s="2264"/>
      <c r="V41" s="2264"/>
      <c r="W41" s="2264"/>
    </row>
    <row r="42" spans="1:23" s="2256" customFormat="1">
      <c r="A42" s="2264"/>
      <c r="B42" s="2240"/>
      <c r="C42" s="2245"/>
      <c r="D42" s="2241" t="s">
        <v>2024</v>
      </c>
      <c r="E42" s="2241"/>
      <c r="F42" s="2241"/>
      <c r="G42" s="2241"/>
      <c r="H42" s="2241"/>
      <c r="I42" s="2241"/>
      <c r="J42" s="2241"/>
      <c r="K42" s="2241"/>
      <c r="L42" s="2241"/>
      <c r="M42" s="2242"/>
      <c r="N42" s="2264"/>
      <c r="O42" s="2264"/>
      <c r="P42" s="2264"/>
      <c r="Q42" s="2264"/>
      <c r="R42" s="2264"/>
      <c r="S42" s="2264"/>
      <c r="T42" s="2264"/>
      <c r="U42" s="2264"/>
      <c r="V42" s="2264"/>
      <c r="W42" s="2264"/>
    </row>
    <row r="43" spans="1:23" s="2256" customFormat="1">
      <c r="A43" s="2264"/>
      <c r="B43" s="2240"/>
      <c r="C43" s="2245"/>
      <c r="D43" s="2241" t="s">
        <v>2212</v>
      </c>
      <c r="E43" s="2241"/>
      <c r="F43" s="2241"/>
      <c r="G43" s="2241"/>
      <c r="H43" s="2241"/>
      <c r="I43" s="2241"/>
      <c r="J43" s="2241"/>
      <c r="K43" s="2241"/>
      <c r="L43" s="2241"/>
      <c r="M43" s="2242"/>
      <c r="N43" s="2264"/>
      <c r="O43" s="2264"/>
      <c r="P43" s="2264"/>
      <c r="Q43" s="2264"/>
      <c r="R43" s="2264"/>
      <c r="S43" s="2264"/>
      <c r="T43" s="2264"/>
      <c r="U43" s="2264"/>
      <c r="V43" s="2264"/>
      <c r="W43" s="2264"/>
    </row>
    <row r="44" spans="1:23" s="2256" customFormat="1">
      <c r="A44" s="2264"/>
      <c r="B44" s="2240"/>
      <c r="C44" s="2245">
        <f>1+C38</f>
        <v>14</v>
      </c>
      <c r="D44" s="2241" t="s">
        <v>2213</v>
      </c>
      <c r="E44" s="2241"/>
      <c r="F44" s="2241"/>
      <c r="G44" s="2241"/>
      <c r="H44" s="2241"/>
      <c r="I44" s="2241"/>
      <c r="J44" s="2241"/>
      <c r="K44" s="2241"/>
      <c r="L44" s="2241"/>
      <c r="M44" s="2242"/>
      <c r="N44" s="2264"/>
      <c r="O44" s="2264"/>
      <c r="P44" s="2264"/>
      <c r="Q44" s="2264"/>
      <c r="R44" s="2264"/>
      <c r="S44" s="2264"/>
      <c r="T44" s="2264"/>
      <c r="U44" s="2264"/>
      <c r="V44" s="2264"/>
      <c r="W44" s="2264"/>
    </row>
    <row r="45" spans="1:23" s="2256" customFormat="1">
      <c r="A45" s="2264"/>
      <c r="B45" s="2240"/>
      <c r="C45" s="2245"/>
      <c r="D45" s="2241" t="s">
        <v>2214</v>
      </c>
      <c r="E45" s="2241"/>
      <c r="F45" s="2241"/>
      <c r="G45" s="2241"/>
      <c r="H45" s="2241"/>
      <c r="I45" s="2241"/>
      <c r="J45" s="2241"/>
      <c r="K45" s="2241"/>
      <c r="L45" s="2241"/>
      <c r="M45" s="2242"/>
      <c r="N45" s="2264"/>
      <c r="O45" s="2264"/>
      <c r="P45" s="2264"/>
      <c r="Q45" s="2264"/>
      <c r="R45" s="2264"/>
      <c r="S45" s="2264"/>
      <c r="T45" s="2264"/>
      <c r="U45" s="2264"/>
      <c r="V45" s="2264"/>
      <c r="W45" s="2264"/>
    </row>
    <row r="46" spans="1:23" s="2256" customFormat="1">
      <c r="A46" s="2264"/>
      <c r="B46" s="2240"/>
      <c r="C46" s="2245"/>
      <c r="D46" s="2248" t="s">
        <v>2215</v>
      </c>
      <c r="E46" s="2248"/>
      <c r="F46" s="2248"/>
      <c r="G46" s="2248"/>
      <c r="H46" s="2248"/>
      <c r="I46" s="2248"/>
      <c r="J46" s="2248"/>
      <c r="K46" s="2248"/>
      <c r="L46" s="2248"/>
      <c r="M46" s="2250"/>
      <c r="N46" s="2264"/>
      <c r="O46" s="2264"/>
      <c r="P46" s="2264"/>
      <c r="Q46" s="2264"/>
      <c r="R46" s="2264"/>
      <c r="S46" s="2264"/>
      <c r="T46" s="2264"/>
      <c r="U46" s="2264"/>
      <c r="V46" s="2264"/>
      <c r="W46" s="2264"/>
    </row>
    <row r="47" spans="1:23" s="2256" customFormat="1">
      <c r="A47" s="2264"/>
      <c r="B47" s="2240"/>
      <c r="C47" s="2245"/>
      <c r="D47" s="2248" t="s">
        <v>2216</v>
      </c>
      <c r="E47" s="2248"/>
      <c r="F47" s="2248"/>
      <c r="G47" s="2248"/>
      <c r="H47" s="2248"/>
      <c r="I47" s="2248"/>
      <c r="J47" s="2248"/>
      <c r="K47" s="2248"/>
      <c r="L47" s="2248"/>
      <c r="M47" s="2250"/>
      <c r="N47" s="2264"/>
      <c r="O47" s="2264"/>
      <c r="P47" s="2264"/>
      <c r="Q47" s="2264"/>
      <c r="R47" s="2264"/>
      <c r="S47" s="2264"/>
      <c r="T47" s="2264"/>
      <c r="U47" s="2264"/>
      <c r="V47" s="2264"/>
      <c r="W47" s="2264"/>
    </row>
    <row r="48" spans="1:23" s="2256" customFormat="1">
      <c r="A48" s="2264"/>
      <c r="B48" s="2240"/>
      <c r="C48" s="2245"/>
      <c r="D48" s="2241" t="s">
        <v>2217</v>
      </c>
      <c r="E48" s="2241"/>
      <c r="F48" s="2241"/>
      <c r="G48" s="2241"/>
      <c r="H48" s="2241"/>
      <c r="I48" s="2241"/>
      <c r="J48" s="2241"/>
      <c r="K48" s="2241"/>
      <c r="L48" s="2241"/>
      <c r="M48" s="2242"/>
      <c r="N48" s="2264"/>
      <c r="O48" s="2264"/>
      <c r="P48" s="2264"/>
      <c r="Q48" s="2264"/>
      <c r="R48" s="2264"/>
      <c r="S48" s="2264"/>
      <c r="T48" s="2264"/>
      <c r="U48" s="2264"/>
      <c r="V48" s="2264"/>
      <c r="W48" s="2264"/>
    </row>
    <row r="49" spans="1:23" s="2256" customFormat="1">
      <c r="A49" s="2264"/>
      <c r="B49" s="2240"/>
      <c r="C49" s="2245">
        <f>1+C44</f>
        <v>15</v>
      </c>
      <c r="D49" s="2241" t="s">
        <v>2218</v>
      </c>
      <c r="E49" s="2248"/>
      <c r="F49" s="2248"/>
      <c r="G49" s="2248"/>
      <c r="H49" s="2248"/>
      <c r="I49" s="2248"/>
      <c r="J49" s="2248"/>
      <c r="K49" s="2248"/>
      <c r="L49" s="2248"/>
      <c r="M49" s="2250"/>
      <c r="N49" s="2264"/>
      <c r="O49" s="2264"/>
      <c r="P49" s="2264"/>
      <c r="Q49" s="2264"/>
      <c r="R49" s="2264"/>
      <c r="S49" s="2264"/>
      <c r="T49" s="2264"/>
      <c r="U49" s="2264"/>
      <c r="V49" s="2264"/>
      <c r="W49" s="2264"/>
    </row>
    <row r="50" spans="1:23" s="2256" customFormat="1">
      <c r="A50" s="2264"/>
      <c r="B50" s="2240"/>
      <c r="C50" s="2245"/>
      <c r="D50" s="2374">
        <f>+'TRIAL-BALANCE'!E8</f>
        <v>2020</v>
      </c>
      <c r="E50" s="2374"/>
      <c r="F50" s="2374"/>
      <c r="G50" s="2374"/>
      <c r="H50" s="2375">
        <f>+'TRIAL-BALANCE'!E8</f>
        <v>2020</v>
      </c>
      <c r="I50" s="2375"/>
      <c r="J50" s="2375"/>
      <c r="K50" s="2241" t="s">
        <v>2028</v>
      </c>
      <c r="L50" s="2251"/>
      <c r="M50" s="2249"/>
      <c r="N50" s="2264"/>
      <c r="O50" s="2264"/>
      <c r="P50" s="2264"/>
      <c r="Q50" s="2264"/>
      <c r="R50" s="2264"/>
      <c r="S50" s="2264"/>
      <c r="T50" s="2264"/>
      <c r="U50" s="2264"/>
      <c r="V50" s="2264"/>
      <c r="W50" s="2264"/>
    </row>
    <row r="51" spans="1:23" s="2256" customFormat="1">
      <c r="A51" s="2264"/>
      <c r="B51" s="2240"/>
      <c r="C51" s="2245"/>
      <c r="D51" s="2241" t="s">
        <v>2219</v>
      </c>
      <c r="E51" s="2241"/>
      <c r="F51" s="2241"/>
      <c r="G51" s="2241"/>
      <c r="H51" s="2241"/>
      <c r="I51" s="2241"/>
      <c r="J51" s="2241"/>
      <c r="K51" s="2241"/>
      <c r="L51" s="2241"/>
      <c r="M51" s="2242"/>
      <c r="N51" s="2264"/>
      <c r="O51" s="2264"/>
      <c r="P51" s="2264"/>
      <c r="Q51" s="2264"/>
      <c r="R51" s="2264"/>
      <c r="S51" s="2264"/>
      <c r="T51" s="2264"/>
      <c r="U51" s="2264"/>
      <c r="V51" s="2264"/>
      <c r="W51" s="2264"/>
    </row>
    <row r="52" spans="1:23" s="2256" customFormat="1">
      <c r="A52" s="2264"/>
      <c r="B52" s="2240"/>
      <c r="C52" s="2245">
        <f>1+C49</f>
        <v>16</v>
      </c>
      <c r="D52" s="2241" t="s">
        <v>2220</v>
      </c>
      <c r="E52" s="2248"/>
      <c r="F52" s="2248"/>
      <c r="G52" s="2248"/>
      <c r="H52" s="2248"/>
      <c r="I52" s="2248"/>
      <c r="J52" s="2248"/>
      <c r="K52" s="2248"/>
      <c r="L52" s="2248"/>
      <c r="M52" s="2250"/>
      <c r="N52" s="2264"/>
      <c r="O52" s="2264"/>
      <c r="P52" s="2264"/>
      <c r="Q52" s="2264"/>
      <c r="R52" s="2264"/>
      <c r="S52" s="2264"/>
      <c r="T52" s="2264"/>
      <c r="U52" s="2264"/>
      <c r="V52" s="2264"/>
      <c r="W52" s="2264"/>
    </row>
    <row r="53" spans="1:23" s="2256" customFormat="1">
      <c r="A53" s="2264"/>
      <c r="B53" s="2240"/>
      <c r="C53" s="2245"/>
      <c r="D53" s="2241" t="s">
        <v>2036</v>
      </c>
      <c r="E53" s="2248"/>
      <c r="F53" s="2248"/>
      <c r="G53" s="2248"/>
      <c r="H53" s="2248"/>
      <c r="I53" s="2248"/>
      <c r="J53" s="2248"/>
      <c r="K53" s="2241"/>
      <c r="L53" s="2251"/>
      <c r="M53" s="2249"/>
      <c r="N53" s="2264"/>
      <c r="O53" s="2264"/>
      <c r="P53" s="2264"/>
      <c r="Q53" s="2264"/>
      <c r="R53" s="2264"/>
      <c r="S53" s="2264"/>
      <c r="T53" s="2264"/>
      <c r="U53" s="2264"/>
      <c r="V53" s="2264"/>
      <c r="W53" s="2264"/>
    </row>
    <row r="54" spans="1:23" s="2256" customFormat="1">
      <c r="A54" s="2264"/>
      <c r="B54" s="2240"/>
      <c r="C54" s="2245"/>
      <c r="D54" s="2314" t="s">
        <v>2221</v>
      </c>
      <c r="E54" s="2241"/>
      <c r="F54" s="2241"/>
      <c r="G54" s="2241"/>
      <c r="H54" s="2241"/>
      <c r="I54" s="2241"/>
      <c r="J54" s="2241"/>
      <c r="K54" s="2241"/>
      <c r="L54" s="2241"/>
      <c r="M54" s="2242"/>
      <c r="N54" s="2264"/>
      <c r="O54" s="2264"/>
      <c r="P54" s="2264"/>
      <c r="Q54" s="2264"/>
      <c r="R54" s="2264"/>
      <c r="S54" s="2264"/>
      <c r="T54" s="2264"/>
      <c r="U54" s="2264"/>
      <c r="V54" s="2264"/>
      <c r="W54" s="2264"/>
    </row>
    <row r="55" spans="1:23" s="2256" customFormat="1">
      <c r="A55" s="2264"/>
      <c r="B55" s="2240"/>
      <c r="C55" s="2245">
        <f>1+C52</f>
        <v>17</v>
      </c>
      <c r="D55" s="2241" t="s">
        <v>2222</v>
      </c>
      <c r="E55" s="2248"/>
      <c r="F55" s="2248"/>
      <c r="G55" s="2248"/>
      <c r="H55" s="2248"/>
      <c r="I55" s="2248"/>
      <c r="J55" s="2248"/>
      <c r="K55" s="2248"/>
      <c r="L55" s="2248"/>
      <c r="M55" s="2250"/>
      <c r="N55" s="2264"/>
      <c r="O55" s="2264"/>
      <c r="P55" s="2264"/>
      <c r="Q55" s="2264"/>
      <c r="R55" s="2264"/>
      <c r="S55" s="2264"/>
      <c r="T55" s="2264"/>
      <c r="U55" s="2264"/>
      <c r="V55" s="2264"/>
      <c r="W55" s="2264"/>
    </row>
    <row r="56" spans="1:23" s="2256" customFormat="1">
      <c r="A56" s="2264"/>
      <c r="B56" s="2240"/>
      <c r="C56" s="2245"/>
      <c r="D56" s="2374">
        <f>+'TRIAL-BALANCE'!E8</f>
        <v>2020</v>
      </c>
      <c r="E56" s="2374"/>
      <c r="F56" s="2374"/>
      <c r="G56" s="2374"/>
      <c r="H56" s="2376">
        <f>+'TRIAL-BALANCE'!E8</f>
        <v>2020</v>
      </c>
      <c r="I56" s="2376"/>
      <c r="J56" s="2376"/>
      <c r="K56" s="2252" t="s">
        <v>2044</v>
      </c>
      <c r="L56" s="2251"/>
      <c r="M56" s="2249"/>
      <c r="N56" s="2264"/>
      <c r="O56" s="2264"/>
      <c r="P56" s="2264"/>
      <c r="Q56" s="2264"/>
      <c r="R56" s="2264"/>
      <c r="S56" s="2264"/>
      <c r="T56" s="2264"/>
      <c r="U56" s="2264"/>
      <c r="V56" s="2264"/>
      <c r="W56" s="2264"/>
    </row>
    <row r="57" spans="1:23" s="2256" customFormat="1">
      <c r="A57" s="2264"/>
      <c r="B57" s="2240"/>
      <c r="C57" s="2245"/>
      <c r="D57" s="2366">
        <f>+'TRIAL-BALANCE'!E8</f>
        <v>2020</v>
      </c>
      <c r="E57" s="2366"/>
      <c r="F57" s="2316" t="s">
        <v>2037</v>
      </c>
      <c r="G57" s="2350">
        <f>+'TRIAL-BALANCE'!E8</f>
        <v>2020</v>
      </c>
      <c r="H57" s="2350"/>
      <c r="I57" s="2317" t="s">
        <v>2042</v>
      </c>
      <c r="J57" s="2241"/>
      <c r="K57" s="2241"/>
      <c r="L57" s="2241"/>
      <c r="M57" s="2242"/>
      <c r="N57" s="2264"/>
      <c r="O57" s="2264"/>
      <c r="P57" s="2264"/>
      <c r="Q57" s="2264"/>
      <c r="R57" s="2264"/>
      <c r="S57" s="2264"/>
      <c r="T57" s="2264"/>
      <c r="U57" s="2264"/>
      <c r="V57" s="2264"/>
      <c r="W57" s="2264"/>
    </row>
    <row r="58" spans="1:23" s="2256" customFormat="1">
      <c r="A58" s="2264"/>
      <c r="B58" s="2240"/>
      <c r="C58" s="2245"/>
      <c r="D58" s="2241" t="s">
        <v>2043</v>
      </c>
      <c r="E58" s="2241"/>
      <c r="F58" s="2241"/>
      <c r="G58" s="2241"/>
      <c r="H58" s="2241"/>
      <c r="I58" s="2241"/>
      <c r="J58" s="2241"/>
      <c r="K58" s="2241"/>
      <c r="L58" s="2241"/>
      <c r="M58" s="2242"/>
      <c r="N58" s="2264"/>
      <c r="O58" s="2264"/>
      <c r="P58" s="2264"/>
      <c r="Q58" s="2264"/>
      <c r="R58" s="2264"/>
      <c r="S58" s="2264"/>
      <c r="T58" s="2264"/>
      <c r="U58" s="2264"/>
      <c r="V58" s="2264"/>
      <c r="W58" s="2264"/>
    </row>
    <row r="59" spans="1:23" s="2256" customFormat="1" ht="3.75" customHeight="1">
      <c r="A59" s="2264"/>
      <c r="B59" s="2240"/>
      <c r="C59" s="2245"/>
      <c r="D59" s="2241"/>
      <c r="E59" s="2241"/>
      <c r="F59" s="2241"/>
      <c r="G59" s="2241"/>
      <c r="H59" s="2241"/>
      <c r="I59" s="2241"/>
      <c r="J59" s="2241"/>
      <c r="K59" s="2241"/>
      <c r="L59" s="2241"/>
      <c r="M59" s="2242"/>
      <c r="N59" s="2264"/>
      <c r="O59" s="2264"/>
      <c r="P59" s="2264"/>
      <c r="Q59" s="2264"/>
      <c r="R59" s="2264"/>
      <c r="S59" s="2264"/>
      <c r="T59" s="2264"/>
      <c r="U59" s="2264"/>
      <c r="V59" s="2264"/>
      <c r="W59" s="2264"/>
    </row>
    <row r="60" spans="1:23" s="2256" customFormat="1">
      <c r="A60" s="2264"/>
      <c r="B60" s="2243" t="s">
        <v>1396</v>
      </c>
      <c r="C60" s="2247" t="s">
        <v>1909</v>
      </c>
      <c r="D60" s="2241"/>
      <c r="E60" s="2241"/>
      <c r="F60" s="2241"/>
      <c r="G60" s="2241"/>
      <c r="H60" s="2241"/>
      <c r="I60" s="2241"/>
      <c r="J60" s="2241"/>
      <c r="K60" s="2241"/>
      <c r="L60" s="2241"/>
      <c r="M60" s="2242"/>
      <c r="N60" s="2264"/>
      <c r="O60" s="2264"/>
      <c r="P60" s="2264"/>
      <c r="Q60" s="2264"/>
      <c r="R60" s="2264"/>
      <c r="S60" s="2264"/>
      <c r="T60" s="2264"/>
      <c r="U60" s="2264"/>
      <c r="V60" s="2264"/>
      <c r="W60" s="2264"/>
    </row>
    <row r="61" spans="1:23" s="2256" customFormat="1">
      <c r="A61" s="2264"/>
      <c r="B61" s="2240"/>
      <c r="C61" s="2245">
        <f>1+C55</f>
        <v>18</v>
      </c>
      <c r="D61" s="2241" t="s">
        <v>1397</v>
      </c>
      <c r="E61" s="2241"/>
      <c r="F61" s="2241"/>
      <c r="G61" s="2241"/>
      <c r="H61" s="2241"/>
      <c r="I61" s="2241"/>
      <c r="J61" s="2241"/>
      <c r="K61" s="2241"/>
      <c r="L61" s="2241"/>
      <c r="M61" s="2242"/>
      <c r="N61" s="2264"/>
      <c r="O61" s="2264"/>
      <c r="P61" s="2264"/>
      <c r="Q61" s="2264"/>
      <c r="R61" s="2264"/>
      <c r="S61" s="2264"/>
      <c r="T61" s="2264"/>
      <c r="U61" s="2264"/>
      <c r="V61" s="2264"/>
      <c r="W61" s="2264"/>
    </row>
    <row r="62" spans="1:23" s="2256" customFormat="1">
      <c r="A62" s="2264"/>
      <c r="B62" s="2240"/>
      <c r="C62" s="2245">
        <f>1+C61</f>
        <v>19</v>
      </c>
      <c r="D62" s="2241" t="s">
        <v>2113</v>
      </c>
      <c r="E62" s="2241"/>
      <c r="F62" s="2241"/>
      <c r="G62" s="2241"/>
      <c r="H62" s="2241"/>
      <c r="I62" s="2241"/>
      <c r="J62" s="2241"/>
      <c r="K62" s="2241"/>
      <c r="L62" s="2241"/>
      <c r="M62" s="2242"/>
      <c r="N62" s="2264"/>
      <c r="O62" s="2264"/>
      <c r="P62" s="2264"/>
      <c r="Q62" s="2264"/>
      <c r="R62" s="2264"/>
      <c r="S62" s="2264"/>
      <c r="T62" s="2264"/>
      <c r="U62" s="2264"/>
      <c r="V62" s="2264"/>
      <c r="W62" s="2264"/>
    </row>
    <row r="63" spans="1:23" s="2256" customFormat="1">
      <c r="A63" s="2264"/>
      <c r="B63" s="2240"/>
      <c r="C63" s="2245"/>
      <c r="D63" s="2314" t="s">
        <v>2223</v>
      </c>
      <c r="E63" s="2241"/>
      <c r="F63" s="2241"/>
      <c r="G63" s="2241"/>
      <c r="H63" s="2241"/>
      <c r="I63" s="2241"/>
      <c r="J63" s="2241"/>
      <c r="K63" s="2241"/>
      <c r="L63" s="2241"/>
      <c r="M63" s="2242"/>
      <c r="N63" s="2264"/>
      <c r="O63" s="2264"/>
      <c r="P63" s="2264"/>
      <c r="Q63" s="2264"/>
      <c r="R63" s="2264"/>
      <c r="S63" s="2264"/>
      <c r="T63" s="2264"/>
      <c r="U63" s="2264"/>
      <c r="V63" s="2264"/>
      <c r="W63" s="2264"/>
    </row>
    <row r="64" spans="1:23" s="2256" customFormat="1">
      <c r="A64" s="2264"/>
      <c r="B64" s="2240"/>
      <c r="C64" s="2245"/>
      <c r="D64" s="2241" t="s">
        <v>2224</v>
      </c>
      <c r="E64" s="2241"/>
      <c r="F64" s="2241"/>
      <c r="G64" s="2241"/>
      <c r="H64" s="2241"/>
      <c r="I64" s="2241"/>
      <c r="J64" s="2241"/>
      <c r="K64" s="2241"/>
      <c r="L64" s="2241"/>
      <c r="M64" s="2242"/>
      <c r="N64" s="2264"/>
      <c r="O64" s="2264"/>
      <c r="P64" s="2264"/>
      <c r="Q64" s="2264"/>
      <c r="R64" s="2264"/>
      <c r="S64" s="2264"/>
      <c r="T64" s="2264"/>
      <c r="U64" s="2264"/>
      <c r="V64" s="2264"/>
      <c r="W64" s="2264"/>
    </row>
    <row r="65" spans="1:23" s="2256" customFormat="1">
      <c r="A65" s="2264"/>
      <c r="B65" s="2253"/>
      <c r="C65" s="2254"/>
      <c r="D65" s="2318" t="s">
        <v>2225</v>
      </c>
      <c r="E65" s="2248"/>
      <c r="F65" s="2248"/>
      <c r="G65" s="2248"/>
      <c r="H65" s="2248"/>
      <c r="I65" s="2248"/>
      <c r="J65" s="2248"/>
      <c r="K65" s="2248"/>
      <c r="L65" s="2248"/>
      <c r="M65" s="2250"/>
      <c r="N65" s="2264"/>
      <c r="O65" s="2264"/>
      <c r="P65" s="2264"/>
      <c r="Q65" s="2264"/>
      <c r="R65" s="2264"/>
      <c r="S65" s="2264"/>
      <c r="T65" s="2264"/>
      <c r="U65" s="2264"/>
      <c r="V65" s="2264"/>
      <c r="W65" s="2264"/>
    </row>
    <row r="66" spans="1:23" s="2256" customFormat="1">
      <c r="A66" s="2264"/>
      <c r="B66" s="2253"/>
      <c r="C66" s="2254"/>
      <c r="D66" s="2319" t="s">
        <v>1927</v>
      </c>
      <c r="E66" s="2248"/>
      <c r="F66" s="2248"/>
      <c r="G66" s="2248"/>
      <c r="H66" s="2332">
        <f>+'TRIAL-BALANCE'!E8</f>
        <v>2020</v>
      </c>
      <c r="I66" s="2332"/>
      <c r="J66" s="2332"/>
      <c r="K66" s="2367">
        <f>+'TRIAL-BALANCE'!E8</f>
        <v>2020</v>
      </c>
      <c r="L66" s="2367"/>
      <c r="M66" s="2250"/>
      <c r="N66" s="2264"/>
      <c r="O66" s="2264"/>
      <c r="P66" s="2264"/>
      <c r="Q66" s="2264"/>
      <c r="R66" s="2264"/>
      <c r="S66" s="2264"/>
      <c r="T66" s="2264"/>
      <c r="U66" s="2264"/>
      <c r="V66" s="2264"/>
      <c r="W66" s="2264"/>
    </row>
    <row r="67" spans="1:23" s="2256" customFormat="1">
      <c r="A67" s="2264"/>
      <c r="B67" s="2253"/>
      <c r="C67" s="2254"/>
      <c r="D67" s="2368">
        <f>+'TRIAL-BALANCE'!E8</f>
        <v>2020</v>
      </c>
      <c r="E67" s="2368"/>
      <c r="F67" s="2368"/>
      <c r="G67" s="2369">
        <f>+'TRIAL-BALANCE'!E8</f>
        <v>2020</v>
      </c>
      <c r="H67" s="2369"/>
      <c r="I67" s="2369"/>
      <c r="J67" s="2248"/>
      <c r="K67" s="2248"/>
      <c r="L67" s="2248"/>
      <c r="M67" s="2250"/>
      <c r="N67" s="2264"/>
      <c r="O67" s="2264"/>
      <c r="P67" s="2264"/>
      <c r="Q67" s="2264"/>
      <c r="R67" s="2264"/>
      <c r="S67" s="2264"/>
      <c r="T67" s="2264"/>
      <c r="U67" s="2264"/>
      <c r="V67" s="2264"/>
      <c r="W67" s="2264"/>
    </row>
    <row r="68" spans="1:23" s="2256" customFormat="1">
      <c r="A68" s="2264"/>
      <c r="B68" s="2240"/>
      <c r="C68" s="2245">
        <f>1+C62</f>
        <v>20</v>
      </c>
      <c r="D68" s="2241" t="s">
        <v>2025</v>
      </c>
      <c r="E68" s="2241"/>
      <c r="F68" s="2241"/>
      <c r="G68" s="2241"/>
      <c r="H68" s="2241"/>
      <c r="I68" s="2241"/>
      <c r="J68" s="2241"/>
      <c r="K68" s="2241"/>
      <c r="L68" s="2241"/>
      <c r="M68" s="2242"/>
      <c r="N68" s="2264"/>
      <c r="O68" s="2264"/>
      <c r="P68" s="2264"/>
      <c r="Q68" s="2264"/>
      <c r="R68" s="2264"/>
      <c r="S68" s="2264"/>
      <c r="T68" s="2264"/>
      <c r="U68" s="2264"/>
      <c r="V68" s="2264"/>
      <c r="W68" s="2264"/>
    </row>
    <row r="69" spans="1:23" s="2256" customFormat="1">
      <c r="A69" s="2264"/>
      <c r="B69" s="2240"/>
      <c r="C69" s="2245"/>
      <c r="D69" s="2241" t="s">
        <v>2027</v>
      </c>
      <c r="E69" s="2241"/>
      <c r="F69" s="2241"/>
      <c r="G69" s="2241"/>
      <c r="H69" s="2241"/>
      <c r="I69" s="2241"/>
      <c r="J69" s="2241"/>
      <c r="K69" s="2241"/>
      <c r="L69" s="2241"/>
      <c r="M69" s="2242"/>
      <c r="N69" s="2264"/>
      <c r="O69" s="2264"/>
      <c r="P69" s="2264"/>
      <c r="Q69" s="2264"/>
      <c r="R69" s="2264"/>
      <c r="S69" s="2264"/>
      <c r="T69" s="2264"/>
      <c r="U69" s="2264"/>
      <c r="V69" s="2264"/>
      <c r="W69" s="2264"/>
    </row>
    <row r="70" spans="1:23" s="2256" customFormat="1">
      <c r="A70" s="2264"/>
      <c r="B70" s="2240"/>
      <c r="C70" s="2245"/>
      <c r="D70" s="2241" t="s">
        <v>2026</v>
      </c>
      <c r="E70" s="2241"/>
      <c r="F70" s="2241"/>
      <c r="G70" s="2241"/>
      <c r="H70" s="2241"/>
      <c r="I70" s="2241"/>
      <c r="J70" s="2241"/>
      <c r="K70" s="2241"/>
      <c r="L70" s="2241"/>
      <c r="M70" s="2242"/>
      <c r="N70" s="2264"/>
      <c r="O70" s="2264"/>
      <c r="P70" s="2264"/>
      <c r="Q70" s="2264"/>
      <c r="R70" s="2264"/>
      <c r="S70" s="2264"/>
      <c r="T70" s="2264"/>
      <c r="U70" s="2264"/>
      <c r="V70" s="2264"/>
      <c r="W70" s="2264"/>
    </row>
    <row r="71" spans="1:23" s="2256" customFormat="1">
      <c r="A71" s="2264"/>
      <c r="B71" s="2240"/>
      <c r="C71" s="2245">
        <f>1+C68</f>
        <v>21</v>
      </c>
      <c r="D71" s="2241" t="s">
        <v>2114</v>
      </c>
      <c r="E71" s="2241"/>
      <c r="F71" s="2241"/>
      <c r="G71" s="2241"/>
      <c r="H71" s="2241"/>
      <c r="I71" s="2241"/>
      <c r="J71" s="2241"/>
      <c r="K71" s="2241"/>
      <c r="L71" s="2241"/>
      <c r="M71" s="2242"/>
      <c r="N71" s="2264"/>
      <c r="O71" s="2264"/>
      <c r="P71" s="2264"/>
      <c r="Q71" s="2264"/>
      <c r="R71" s="2264"/>
      <c r="S71" s="2264"/>
      <c r="T71" s="2264"/>
      <c r="U71" s="2264"/>
      <c r="V71" s="2264"/>
      <c r="W71" s="2264"/>
    </row>
    <row r="72" spans="1:23" s="2256" customFormat="1">
      <c r="A72" s="2264"/>
      <c r="B72" s="2240"/>
      <c r="C72" s="2245"/>
      <c r="D72" s="2319" t="s">
        <v>2226</v>
      </c>
      <c r="E72" s="2241"/>
      <c r="F72" s="2241"/>
      <c r="G72" s="2241"/>
      <c r="H72" s="2241"/>
      <c r="I72" s="2241"/>
      <c r="J72" s="2241"/>
      <c r="K72" s="2241"/>
      <c r="L72" s="2241"/>
      <c r="M72" s="2242"/>
      <c r="N72" s="2264"/>
      <c r="O72" s="2264"/>
      <c r="P72" s="2264"/>
      <c r="Q72" s="2264"/>
      <c r="R72" s="2264"/>
      <c r="S72" s="2264"/>
      <c r="T72" s="2264"/>
      <c r="U72" s="2264"/>
      <c r="V72" s="2264"/>
      <c r="W72" s="2264"/>
    </row>
    <row r="73" spans="1:23" s="2256" customFormat="1">
      <c r="A73" s="2264"/>
      <c r="B73" s="2240"/>
      <c r="C73" s="2245">
        <f>1+C71</f>
        <v>22</v>
      </c>
      <c r="D73" s="2314" t="s">
        <v>2227</v>
      </c>
      <c r="E73" s="2241"/>
      <c r="F73" s="2241"/>
      <c r="G73" s="2241"/>
      <c r="H73" s="2241"/>
      <c r="I73" s="2241"/>
      <c r="J73" s="2241"/>
      <c r="K73" s="2241"/>
      <c r="L73" s="2241"/>
      <c r="M73" s="2242"/>
      <c r="N73" s="2264"/>
      <c r="O73" s="2264"/>
      <c r="P73" s="2264"/>
      <c r="Q73" s="2264"/>
      <c r="R73" s="2264"/>
      <c r="S73" s="2264"/>
      <c r="T73" s="2264"/>
      <c r="U73" s="2264"/>
      <c r="V73" s="2264"/>
      <c r="W73" s="2264"/>
    </row>
    <row r="74" spans="1:23" s="2256" customFormat="1">
      <c r="A74" s="2264"/>
      <c r="B74" s="2240"/>
      <c r="C74" s="2245">
        <f>1+C73</f>
        <v>23</v>
      </c>
      <c r="D74" s="2314" t="s">
        <v>2228</v>
      </c>
      <c r="E74" s="2241"/>
      <c r="F74" s="2241"/>
      <c r="G74" s="2241"/>
      <c r="H74" s="2241"/>
      <c r="I74" s="2241"/>
      <c r="J74" s="2241"/>
      <c r="K74" s="2241"/>
      <c r="L74" s="2241"/>
      <c r="M74" s="2242"/>
      <c r="N74" s="2264"/>
      <c r="O74" s="2264"/>
      <c r="P74" s="2264"/>
      <c r="Q74" s="2264"/>
      <c r="R74" s="2264"/>
      <c r="S74" s="2264"/>
      <c r="T74" s="2264"/>
      <c r="U74" s="2264"/>
      <c r="V74" s="2264"/>
      <c r="W74" s="2264"/>
    </row>
    <row r="75" spans="1:23" s="2256" customFormat="1">
      <c r="A75" s="2264"/>
      <c r="B75" s="2240"/>
      <c r="C75" s="2241"/>
      <c r="D75" s="2319" t="s">
        <v>2229</v>
      </c>
      <c r="E75" s="2241"/>
      <c r="F75" s="2241"/>
      <c r="G75" s="2241"/>
      <c r="H75" s="2241"/>
      <c r="I75" s="2241"/>
      <c r="J75" s="2241"/>
      <c r="K75" s="2241"/>
      <c r="L75" s="2241"/>
      <c r="M75" s="2242"/>
      <c r="N75" s="2264"/>
      <c r="O75" s="2264"/>
      <c r="P75" s="2264"/>
      <c r="Q75" s="2264"/>
      <c r="R75" s="2264"/>
      <c r="S75" s="2264"/>
      <c r="T75" s="2264"/>
      <c r="U75" s="2264"/>
      <c r="V75" s="2264"/>
      <c r="W75" s="2264"/>
    </row>
    <row r="76" spans="1:23" s="2256" customFormat="1">
      <c r="A76" s="2264"/>
      <c r="B76" s="2240"/>
      <c r="C76" s="2245">
        <f>1+C74</f>
        <v>24</v>
      </c>
      <c r="D76" s="2241" t="s">
        <v>1398</v>
      </c>
      <c r="E76" s="2241"/>
      <c r="F76" s="2241"/>
      <c r="G76" s="2241"/>
      <c r="H76" s="2241"/>
      <c r="I76" s="2241"/>
      <c r="J76" s="2241"/>
      <c r="K76" s="2241"/>
      <c r="L76" s="2241"/>
      <c r="M76" s="2242"/>
      <c r="N76" s="2264"/>
      <c r="O76" s="2264"/>
      <c r="P76" s="2264"/>
      <c r="Q76" s="2264"/>
      <c r="R76" s="2264"/>
      <c r="S76" s="2264"/>
      <c r="T76" s="2264"/>
      <c r="U76" s="2264"/>
      <c r="V76" s="2264"/>
      <c r="W76" s="2264"/>
    </row>
    <row r="77" spans="1:23" s="2256" customFormat="1">
      <c r="A77" s="2264"/>
      <c r="B77" s="2240"/>
      <c r="C77" s="2241"/>
      <c r="D77" s="2319" t="s">
        <v>2230</v>
      </c>
      <c r="E77" s="2241"/>
      <c r="F77" s="2241"/>
      <c r="G77" s="2241"/>
      <c r="H77" s="2241"/>
      <c r="I77" s="2241"/>
      <c r="J77" s="2241"/>
      <c r="K77" s="2241"/>
      <c r="L77" s="2241"/>
      <c r="M77" s="2242"/>
      <c r="N77" s="2264"/>
      <c r="O77" s="2264"/>
      <c r="P77" s="2264"/>
      <c r="Q77" s="2264"/>
      <c r="R77" s="2264"/>
      <c r="S77" s="2264"/>
      <c r="T77" s="2264"/>
      <c r="U77" s="2264"/>
      <c r="V77" s="2264"/>
      <c r="W77" s="2264"/>
    </row>
    <row r="78" spans="1:23" s="2256" customFormat="1">
      <c r="A78" s="2264"/>
      <c r="B78" s="2240"/>
      <c r="C78" s="2241"/>
      <c r="D78" s="2319" t="s">
        <v>2231</v>
      </c>
      <c r="E78" s="2241"/>
      <c r="F78" s="2241"/>
      <c r="G78" s="2241"/>
      <c r="H78" s="2241"/>
      <c r="I78" s="2241"/>
      <c r="J78" s="2241"/>
      <c r="K78" s="2241"/>
      <c r="L78" s="2241"/>
      <c r="M78" s="2242"/>
      <c r="N78" s="2264"/>
      <c r="O78" s="2264"/>
      <c r="P78" s="2264"/>
      <c r="Q78" s="2264"/>
      <c r="R78" s="2264"/>
      <c r="S78" s="2264"/>
      <c r="T78" s="2264"/>
      <c r="U78" s="2264"/>
      <c r="V78" s="2264"/>
      <c r="W78" s="2264"/>
    </row>
    <row r="79" spans="1:23" s="2256" customFormat="1">
      <c r="A79" s="2264"/>
      <c r="B79" s="2240"/>
      <c r="C79" s="2241"/>
      <c r="D79" s="2241" t="s">
        <v>2115</v>
      </c>
      <c r="E79" s="2241"/>
      <c r="F79" s="2241"/>
      <c r="G79" s="2241"/>
      <c r="H79" s="2241"/>
      <c r="I79" s="2241"/>
      <c r="J79" s="2241"/>
      <c r="K79" s="2241"/>
      <c r="L79" s="2241"/>
      <c r="M79" s="2242"/>
      <c r="N79" s="2264"/>
      <c r="O79" s="2264"/>
      <c r="P79" s="2264"/>
      <c r="Q79" s="2264"/>
      <c r="R79" s="2264"/>
      <c r="S79" s="2264"/>
      <c r="T79" s="2264"/>
      <c r="U79" s="2264"/>
      <c r="V79" s="2264"/>
      <c r="W79" s="2264"/>
    </row>
    <row r="80" spans="1:23" s="2256" customFormat="1">
      <c r="A80" s="2264"/>
      <c r="B80" s="2240"/>
      <c r="C80" s="2241"/>
      <c r="D80" s="2319" t="s">
        <v>2232</v>
      </c>
      <c r="E80" s="2241"/>
      <c r="F80" s="2241"/>
      <c r="G80" s="2241"/>
      <c r="H80" s="2241"/>
      <c r="I80" s="2241"/>
      <c r="J80" s="2241"/>
      <c r="K80" s="2241"/>
      <c r="L80" s="2241"/>
      <c r="M80" s="2242"/>
      <c r="N80" s="2264"/>
      <c r="O80" s="2264"/>
      <c r="P80" s="2264"/>
      <c r="Q80" s="2264"/>
      <c r="R80" s="2264"/>
      <c r="S80" s="2264"/>
      <c r="T80" s="2264"/>
      <c r="U80" s="2264"/>
      <c r="V80" s="2264"/>
      <c r="W80" s="2264"/>
    </row>
    <row r="81" spans="1:23" s="2256" customFormat="1">
      <c r="A81" s="2264"/>
      <c r="B81" s="2240"/>
      <c r="C81" s="2241"/>
      <c r="D81" s="2241" t="s">
        <v>2116</v>
      </c>
      <c r="E81" s="2241"/>
      <c r="F81" s="2241"/>
      <c r="G81" s="2241"/>
      <c r="H81" s="2241"/>
      <c r="I81" s="2241"/>
      <c r="J81" s="2241"/>
      <c r="K81" s="2241"/>
      <c r="L81" s="2241"/>
      <c r="M81" s="2242"/>
      <c r="N81" s="2264"/>
      <c r="O81" s="2264"/>
      <c r="P81" s="2264"/>
      <c r="Q81" s="2264"/>
      <c r="R81" s="2264"/>
      <c r="S81" s="2264"/>
      <c r="T81" s="2264"/>
      <c r="U81" s="2264"/>
      <c r="V81" s="2264"/>
      <c r="W81" s="2264"/>
    </row>
    <row r="82" spans="1:23" s="2256" customFormat="1">
      <c r="A82" s="2264"/>
      <c r="B82" s="2240"/>
      <c r="C82" s="2245">
        <f>1+C76</f>
        <v>25</v>
      </c>
      <c r="D82" s="2319" t="s">
        <v>2233</v>
      </c>
      <c r="E82" s="2241"/>
      <c r="F82" s="2241"/>
      <c r="G82" s="2241"/>
      <c r="H82" s="2241"/>
      <c r="I82" s="2241"/>
      <c r="J82" s="2241"/>
      <c r="K82" s="2241"/>
      <c r="L82" s="2241"/>
      <c r="M82" s="2242"/>
      <c r="N82" s="2264"/>
      <c r="O82" s="2264"/>
      <c r="P82" s="2264"/>
      <c r="Q82" s="2264"/>
      <c r="R82" s="2264"/>
      <c r="S82" s="2264"/>
      <c r="T82" s="2264"/>
      <c r="U82" s="2264"/>
      <c r="V82" s="2264"/>
      <c r="W82" s="2264"/>
    </row>
    <row r="83" spans="1:23" s="2256" customFormat="1">
      <c r="A83" s="2264"/>
      <c r="B83" s="2240"/>
      <c r="C83" s="2241"/>
      <c r="D83" s="2241" t="s">
        <v>1399</v>
      </c>
      <c r="E83" s="2241"/>
      <c r="F83" s="2241"/>
      <c r="G83" s="2241"/>
      <c r="H83" s="2241"/>
      <c r="I83" s="2241"/>
      <c r="J83" s="2241"/>
      <c r="K83" s="2241"/>
      <c r="L83" s="2241"/>
      <c r="M83" s="2242"/>
      <c r="N83" s="2264"/>
      <c r="O83" s="2264"/>
      <c r="P83" s="2264"/>
      <c r="Q83" s="2264"/>
      <c r="R83" s="2264"/>
      <c r="S83" s="2264"/>
      <c r="T83" s="2264"/>
      <c r="U83" s="2264"/>
      <c r="V83" s="2264"/>
      <c r="W83" s="2264"/>
    </row>
    <row r="84" spans="1:23" s="2256" customFormat="1" ht="15.75" customHeight="1">
      <c r="A84" s="2264"/>
      <c r="B84" s="2240"/>
      <c r="C84" s="2241"/>
      <c r="D84" s="2241" t="s">
        <v>1400</v>
      </c>
      <c r="E84" s="2241"/>
      <c r="F84" s="2241"/>
      <c r="G84" s="2241"/>
      <c r="H84" s="2241"/>
      <c r="I84" s="2241"/>
      <c r="J84" s="2241"/>
      <c r="K84" s="2241"/>
      <c r="L84" s="2241"/>
      <c r="M84" s="2242"/>
      <c r="N84" s="2264"/>
      <c r="O84" s="2264"/>
      <c r="P84" s="2264"/>
      <c r="Q84" s="2264"/>
      <c r="R84" s="2264"/>
      <c r="S84" s="2264"/>
      <c r="T84" s="2264"/>
      <c r="U84" s="2264"/>
      <c r="V84" s="2264"/>
      <c r="W84" s="2264"/>
    </row>
    <row r="85" spans="1:23" s="2256" customFormat="1">
      <c r="A85" s="2264"/>
      <c r="B85" s="2240"/>
      <c r="C85" s="2245"/>
      <c r="D85" s="2319" t="s">
        <v>2234</v>
      </c>
      <c r="E85" s="2241"/>
      <c r="F85" s="2241"/>
      <c r="G85" s="2241"/>
      <c r="H85" s="2241"/>
      <c r="I85" s="2241"/>
      <c r="J85" s="2241"/>
      <c r="K85" s="2241"/>
      <c r="L85" s="2241"/>
      <c r="M85" s="2242"/>
      <c r="N85" s="2264"/>
      <c r="O85" s="2264"/>
      <c r="P85" s="2264"/>
      <c r="Q85" s="2264"/>
      <c r="R85" s="2264"/>
      <c r="S85" s="2264"/>
      <c r="T85" s="2264"/>
      <c r="U85" s="2264"/>
      <c r="V85" s="2264"/>
      <c r="W85" s="2264"/>
    </row>
    <row r="86" spans="1:23" s="2256" customFormat="1">
      <c r="A86" s="2264"/>
      <c r="B86" s="2240"/>
      <c r="C86" s="2245"/>
      <c r="D86" s="2241" t="s">
        <v>2029</v>
      </c>
      <c r="E86" s="2241"/>
      <c r="F86" s="2241"/>
      <c r="G86" s="2241"/>
      <c r="H86" s="2241"/>
      <c r="I86" s="2241"/>
      <c r="J86" s="2241"/>
      <c r="K86" s="2241"/>
      <c r="L86" s="2241"/>
      <c r="M86" s="2242"/>
      <c r="N86" s="2264"/>
      <c r="O86" s="2264"/>
      <c r="P86" s="2264"/>
      <c r="Q86" s="2264"/>
      <c r="R86" s="2264"/>
      <c r="S86" s="2264"/>
      <c r="T86" s="2264"/>
      <c r="U86" s="2264"/>
      <c r="V86" s="2264"/>
      <c r="W86" s="2264"/>
    </row>
    <row r="87" spans="1:23" s="2256" customFormat="1">
      <c r="A87" s="2264"/>
      <c r="B87" s="2240"/>
      <c r="C87" s="2245">
        <f>1+C82</f>
        <v>26</v>
      </c>
      <c r="D87" s="2319" t="s">
        <v>2235</v>
      </c>
      <c r="E87" s="2241"/>
      <c r="F87" s="2241"/>
      <c r="G87" s="2241"/>
      <c r="H87" s="2241"/>
      <c r="I87" s="2241"/>
      <c r="J87" s="2241"/>
      <c r="K87" s="2241"/>
      <c r="L87" s="2241"/>
      <c r="M87" s="2242"/>
      <c r="N87" s="2264"/>
      <c r="O87" s="2264"/>
      <c r="P87" s="2264"/>
      <c r="Q87" s="2264"/>
      <c r="R87" s="2264"/>
      <c r="S87" s="2264"/>
      <c r="T87" s="2264"/>
      <c r="U87" s="2264"/>
      <c r="V87" s="2264"/>
      <c r="W87" s="2264"/>
    </row>
    <row r="88" spans="1:23" s="2256" customFormat="1">
      <c r="A88" s="2264"/>
      <c r="B88" s="2240"/>
      <c r="C88" s="2241"/>
      <c r="D88" s="2241" t="s">
        <v>1401</v>
      </c>
      <c r="E88" s="2241"/>
      <c r="F88" s="2241"/>
      <c r="G88" s="2241"/>
      <c r="H88" s="2241"/>
      <c r="I88" s="2241"/>
      <c r="J88" s="2241"/>
      <c r="K88" s="2241"/>
      <c r="L88" s="2241"/>
      <c r="M88" s="2242"/>
      <c r="N88" s="2264"/>
      <c r="O88" s="2264"/>
      <c r="P88" s="2264"/>
      <c r="Q88" s="2264"/>
      <c r="R88" s="2264"/>
      <c r="S88" s="2264"/>
      <c r="T88" s="2264"/>
      <c r="U88" s="2264"/>
      <c r="V88" s="2264"/>
      <c r="W88" s="2264"/>
    </row>
    <row r="89" spans="1:23" s="2256" customFormat="1">
      <c r="A89" s="2264"/>
      <c r="B89" s="2240"/>
      <c r="C89" s="2245">
        <f>1+C87</f>
        <v>27</v>
      </c>
      <c r="D89" s="2241" t="s">
        <v>2038</v>
      </c>
      <c r="E89" s="2241"/>
      <c r="F89" s="2241"/>
      <c r="G89" s="2241"/>
      <c r="H89" s="2241"/>
      <c r="I89" s="2241"/>
      <c r="J89" s="2241"/>
      <c r="K89" s="2241"/>
      <c r="L89" s="2241"/>
      <c r="M89" s="2242"/>
      <c r="N89" s="2264"/>
      <c r="O89" s="2264"/>
      <c r="P89" s="2264"/>
      <c r="Q89" s="2264"/>
      <c r="R89" s="2264"/>
      <c r="S89" s="2264"/>
      <c r="T89" s="2264"/>
      <c r="U89" s="2264"/>
      <c r="V89" s="2264"/>
      <c r="W89" s="2264"/>
    </row>
    <row r="90" spans="1:23" s="2256" customFormat="1">
      <c r="A90" s="2264"/>
      <c r="B90" s="2240"/>
      <c r="C90" s="2241"/>
      <c r="D90" s="2319" t="s">
        <v>2236</v>
      </c>
      <c r="E90" s="2241"/>
      <c r="F90" s="2241"/>
      <c r="G90" s="2241"/>
      <c r="H90" s="2241"/>
      <c r="I90" s="2241"/>
      <c r="J90" s="2241"/>
      <c r="K90" s="2241"/>
      <c r="L90" s="2241"/>
      <c r="M90" s="2242"/>
      <c r="N90" s="2264"/>
      <c r="O90" s="2264"/>
      <c r="P90" s="2264"/>
      <c r="Q90" s="2264"/>
      <c r="R90" s="2264"/>
      <c r="S90" s="2264"/>
      <c r="T90" s="2264"/>
      <c r="U90" s="2264"/>
      <c r="V90" s="2264"/>
      <c r="W90" s="2264"/>
    </row>
    <row r="91" spans="1:23" s="2256" customFormat="1">
      <c r="A91" s="2264"/>
      <c r="B91" s="2240"/>
      <c r="C91" s="2241"/>
      <c r="D91" s="2319" t="s">
        <v>2237</v>
      </c>
      <c r="E91" s="2241"/>
      <c r="F91" s="2241"/>
      <c r="G91" s="2241"/>
      <c r="H91" s="2241"/>
      <c r="I91" s="2241"/>
      <c r="J91" s="2241"/>
      <c r="K91" s="2241"/>
      <c r="L91" s="2241"/>
      <c r="M91" s="2242"/>
      <c r="N91" s="2264"/>
      <c r="O91" s="2264"/>
      <c r="P91" s="2264"/>
      <c r="Q91" s="2264"/>
      <c r="R91" s="2264"/>
      <c r="S91" s="2264"/>
      <c r="T91" s="2264"/>
      <c r="U91" s="2264"/>
      <c r="V91" s="2264"/>
      <c r="W91" s="2264"/>
    </row>
    <row r="92" spans="1:23" s="2256" customFormat="1">
      <c r="A92" s="2264"/>
      <c r="B92" s="2240"/>
      <c r="C92" s="2241"/>
      <c r="D92" s="2319" t="s">
        <v>2238</v>
      </c>
      <c r="E92" s="2241"/>
      <c r="F92" s="2241"/>
      <c r="G92" s="2241"/>
      <c r="H92" s="2241"/>
      <c r="I92" s="2241"/>
      <c r="J92" s="2241"/>
      <c r="K92" s="2241"/>
      <c r="L92" s="2241"/>
      <c r="M92" s="2242"/>
      <c r="N92" s="2264"/>
      <c r="O92" s="2264"/>
      <c r="P92" s="2264"/>
      <c r="Q92" s="2264"/>
      <c r="R92" s="2264"/>
      <c r="S92" s="2264"/>
      <c r="T92" s="2264"/>
      <c r="U92" s="2264"/>
      <c r="V92" s="2264"/>
      <c r="W92" s="2264"/>
    </row>
    <row r="93" spans="1:23" s="2256" customFormat="1">
      <c r="A93" s="2264"/>
      <c r="B93" s="2240"/>
      <c r="C93" s="2241"/>
      <c r="D93" s="2241" t="s">
        <v>2117</v>
      </c>
      <c r="E93" s="2241"/>
      <c r="F93" s="2241"/>
      <c r="G93" s="2241"/>
      <c r="H93" s="2241"/>
      <c r="I93" s="2241"/>
      <c r="J93" s="2241"/>
      <c r="K93" s="2241"/>
      <c r="L93" s="2241"/>
      <c r="M93" s="2242"/>
      <c r="N93" s="2264"/>
      <c r="O93" s="2264"/>
      <c r="P93" s="2264"/>
      <c r="Q93" s="2264"/>
      <c r="R93" s="2264"/>
      <c r="S93" s="2264"/>
      <c r="T93" s="2264"/>
      <c r="U93" s="2264"/>
      <c r="V93" s="2264"/>
      <c r="W93" s="2264"/>
    </row>
    <row r="94" spans="1:23" s="2256" customFormat="1">
      <c r="A94" s="2264"/>
      <c r="B94" s="2240"/>
      <c r="C94" s="2241"/>
      <c r="D94" s="2241" t="s">
        <v>2118</v>
      </c>
      <c r="E94" s="2241"/>
      <c r="F94" s="2241"/>
      <c r="G94" s="2241"/>
      <c r="H94" s="2241"/>
      <c r="I94" s="2241"/>
      <c r="J94" s="2241"/>
      <c r="K94" s="2241"/>
      <c r="L94" s="2241"/>
      <c r="M94" s="2242"/>
      <c r="N94" s="2264"/>
      <c r="O94" s="2264"/>
      <c r="P94" s="2264"/>
      <c r="Q94" s="2264"/>
      <c r="R94" s="2264"/>
      <c r="S94" s="2264"/>
      <c r="T94" s="2264"/>
      <c r="U94" s="2264"/>
      <c r="V94" s="2264"/>
      <c r="W94" s="2264"/>
    </row>
    <row r="95" spans="1:23" s="2256" customFormat="1">
      <c r="A95" s="2264"/>
      <c r="B95" s="2240"/>
      <c r="C95" s="2245">
        <f>1+C89</f>
        <v>28</v>
      </c>
      <c r="D95" s="2241" t="s">
        <v>2119</v>
      </c>
      <c r="E95" s="2241"/>
      <c r="F95" s="2241"/>
      <c r="G95" s="2241"/>
      <c r="H95" s="2241"/>
      <c r="I95" s="2241"/>
      <c r="J95" s="2241"/>
      <c r="K95" s="2241"/>
      <c r="L95" s="2241"/>
      <c r="M95" s="2242"/>
      <c r="N95" s="2264"/>
      <c r="O95" s="2264"/>
      <c r="P95" s="2264"/>
      <c r="Q95" s="2264"/>
      <c r="R95" s="2264"/>
      <c r="S95" s="2264"/>
      <c r="T95" s="2264"/>
      <c r="U95" s="2264"/>
      <c r="V95" s="2264"/>
      <c r="W95" s="2264"/>
    </row>
    <row r="96" spans="1:23" s="2256" customFormat="1">
      <c r="A96" s="2264"/>
      <c r="B96" s="2240"/>
      <c r="C96" s="2241"/>
      <c r="D96" s="2319" t="s">
        <v>2239</v>
      </c>
      <c r="E96" s="2241"/>
      <c r="F96" s="2241"/>
      <c r="G96" s="2241"/>
      <c r="H96" s="2241"/>
      <c r="I96" s="2241"/>
      <c r="J96" s="2241"/>
      <c r="K96" s="2241"/>
      <c r="L96" s="2241"/>
      <c r="M96" s="2242"/>
      <c r="N96" s="2264"/>
      <c r="O96" s="2264"/>
      <c r="P96" s="2264"/>
      <c r="Q96" s="2264"/>
      <c r="R96" s="2264"/>
      <c r="S96" s="2264"/>
      <c r="T96" s="2264"/>
      <c r="U96" s="2264"/>
      <c r="V96" s="2264"/>
      <c r="W96" s="2264"/>
    </row>
    <row r="97" spans="1:23" s="2256" customFormat="1">
      <c r="A97" s="2264"/>
      <c r="B97" s="2240"/>
      <c r="C97" s="2241"/>
      <c r="D97" s="2319" t="s">
        <v>2039</v>
      </c>
      <c r="E97" s="2241"/>
      <c r="F97" s="2241"/>
      <c r="G97" s="2241"/>
      <c r="H97" s="2241"/>
      <c r="I97" s="2241"/>
      <c r="J97" s="2241"/>
      <c r="K97" s="2241"/>
      <c r="L97" s="2241"/>
      <c r="M97" s="2242"/>
      <c r="N97" s="2264"/>
      <c r="O97" s="2264"/>
      <c r="P97" s="2264"/>
      <c r="Q97" s="2264"/>
      <c r="R97" s="2264"/>
      <c r="S97" s="2264"/>
      <c r="T97" s="2264"/>
      <c r="U97" s="2264"/>
      <c r="V97" s="2264"/>
      <c r="W97" s="2264"/>
    </row>
    <row r="98" spans="1:23" s="2256" customFormat="1">
      <c r="A98" s="2264"/>
      <c r="B98" s="2240"/>
      <c r="C98" s="2241"/>
      <c r="D98" s="2241" t="s">
        <v>2240</v>
      </c>
      <c r="E98" s="2241"/>
      <c r="F98" s="2241"/>
      <c r="G98" s="2241"/>
      <c r="H98" s="2241"/>
      <c r="I98" s="2241"/>
      <c r="J98" s="2241"/>
      <c r="K98" s="2241"/>
      <c r="L98" s="2241"/>
      <c r="M98" s="2242"/>
      <c r="N98" s="2264"/>
      <c r="O98" s="2264"/>
      <c r="P98" s="2264"/>
      <c r="Q98" s="2264"/>
      <c r="R98" s="2264"/>
      <c r="S98" s="2264"/>
      <c r="T98" s="2264"/>
      <c r="U98" s="2264"/>
      <c r="V98" s="2264"/>
      <c r="W98" s="2264"/>
    </row>
    <row r="99" spans="1:23" s="2256" customFormat="1">
      <c r="A99" s="2264"/>
      <c r="B99" s="2240"/>
      <c r="C99" s="2241"/>
      <c r="D99" s="2319" t="s">
        <v>2040</v>
      </c>
      <c r="E99" s="2241"/>
      <c r="F99" s="2241"/>
      <c r="G99" s="2241"/>
      <c r="H99" s="2241"/>
      <c r="I99" s="2241"/>
      <c r="J99" s="2241"/>
      <c r="K99" s="2241"/>
      <c r="L99" s="2241"/>
      <c r="M99" s="2242"/>
      <c r="N99" s="2264"/>
      <c r="O99" s="2264"/>
      <c r="P99" s="2264"/>
      <c r="Q99" s="2264"/>
      <c r="R99" s="2264"/>
      <c r="S99" s="2264"/>
      <c r="T99" s="2264"/>
      <c r="U99" s="2264"/>
      <c r="V99" s="2264"/>
      <c r="W99" s="2264"/>
    </row>
    <row r="100" spans="1:23" s="2256" customFormat="1" ht="3.75" customHeight="1">
      <c r="A100" s="2264"/>
      <c r="B100" s="2240"/>
      <c r="C100" s="2245"/>
      <c r="D100" s="2241"/>
      <c r="E100" s="2241"/>
      <c r="F100" s="2241"/>
      <c r="G100" s="2241"/>
      <c r="H100" s="2241"/>
      <c r="I100" s="2241"/>
      <c r="J100" s="2241"/>
      <c r="K100" s="2241"/>
      <c r="L100" s="2241"/>
      <c r="M100" s="2242"/>
      <c r="N100" s="2264"/>
      <c r="O100" s="2264"/>
      <c r="P100" s="2264"/>
      <c r="Q100" s="2264"/>
      <c r="R100" s="2264"/>
      <c r="S100" s="2264"/>
      <c r="T100" s="2264"/>
      <c r="U100" s="2264"/>
      <c r="V100" s="2264"/>
      <c r="W100" s="2264"/>
    </row>
    <row r="101" spans="1:23" s="2256" customFormat="1">
      <c r="A101" s="2264"/>
      <c r="B101" s="2243" t="s">
        <v>1402</v>
      </c>
      <c r="C101" s="2247" t="s">
        <v>1906</v>
      </c>
      <c r="D101" s="2241"/>
      <c r="E101" s="2241"/>
      <c r="F101" s="2358" t="s">
        <v>1942</v>
      </c>
      <c r="G101" s="2359"/>
      <c r="H101" s="2359"/>
      <c r="I101" s="2241"/>
      <c r="J101" s="2241"/>
      <c r="K101" s="2241"/>
      <c r="L101" s="2241"/>
      <c r="M101" s="2242"/>
      <c r="N101" s="2264"/>
      <c r="O101" s="2264"/>
      <c r="P101" s="2264"/>
      <c r="Q101" s="2264"/>
      <c r="R101" s="2264"/>
      <c r="S101" s="2264"/>
      <c r="T101" s="2264"/>
      <c r="U101" s="2264"/>
      <c r="V101" s="2264"/>
      <c r="W101" s="2264"/>
    </row>
    <row r="102" spans="1:23" s="2256" customFormat="1">
      <c r="A102" s="2264"/>
      <c r="B102" s="2240"/>
      <c r="C102" s="2245">
        <f>1+C95</f>
        <v>29</v>
      </c>
      <c r="D102" s="2241" t="s">
        <v>1403</v>
      </c>
      <c r="E102" s="2241"/>
      <c r="F102" s="2241"/>
      <c r="G102" s="2241"/>
      <c r="H102" s="2241"/>
      <c r="I102" s="2241"/>
      <c r="J102" s="2241"/>
      <c r="K102" s="2241"/>
      <c r="L102" s="2241"/>
      <c r="M102" s="2242"/>
      <c r="N102" s="2264"/>
      <c r="O102" s="2264"/>
      <c r="P102" s="2264"/>
      <c r="Q102" s="2264"/>
      <c r="R102" s="2264"/>
      <c r="S102" s="2264"/>
      <c r="T102" s="2264"/>
      <c r="U102" s="2264"/>
      <c r="V102" s="2264"/>
      <c r="W102" s="2264"/>
    </row>
    <row r="103" spans="1:23" s="2256" customFormat="1">
      <c r="A103" s="2264"/>
      <c r="B103" s="2240"/>
      <c r="C103" s="2245"/>
      <c r="D103" s="2241" t="s">
        <v>2120</v>
      </c>
      <c r="E103" s="2241"/>
      <c r="F103" s="2241"/>
      <c r="G103" s="2241"/>
      <c r="H103" s="2241"/>
      <c r="I103" s="2241"/>
      <c r="J103" s="2241"/>
      <c r="K103" s="2241"/>
      <c r="L103" s="2241"/>
      <c r="M103" s="2242"/>
      <c r="N103" s="2264"/>
      <c r="O103" s="2264"/>
      <c r="P103" s="2264"/>
      <c r="Q103" s="2264"/>
      <c r="R103" s="2264"/>
      <c r="S103" s="2264"/>
      <c r="T103" s="2264"/>
      <c r="U103" s="2264"/>
      <c r="V103" s="2264"/>
      <c r="W103" s="2264"/>
    </row>
    <row r="104" spans="1:23" s="2256" customFormat="1">
      <c r="A104" s="2264"/>
      <c r="B104" s="2240"/>
      <c r="C104" s="2245"/>
      <c r="D104" s="2241" t="s">
        <v>1404</v>
      </c>
      <c r="E104" s="2241"/>
      <c r="F104" s="2241"/>
      <c r="G104" s="2241"/>
      <c r="H104" s="2241"/>
      <c r="I104" s="2241"/>
      <c r="J104" s="2241"/>
      <c r="K104" s="2241"/>
      <c r="L104" s="2241"/>
      <c r="M104" s="2242"/>
      <c r="N104" s="2264"/>
      <c r="O104" s="2264"/>
      <c r="P104" s="2264"/>
      <c r="Q104" s="2264"/>
      <c r="R104" s="2264"/>
      <c r="S104" s="2264"/>
      <c r="T104" s="2264"/>
      <c r="U104" s="2264"/>
      <c r="V104" s="2264"/>
      <c r="W104" s="2264"/>
    </row>
    <row r="105" spans="1:23" s="2256" customFormat="1">
      <c r="A105" s="2264"/>
      <c r="B105" s="2240"/>
      <c r="C105" s="2245">
        <f>1+C102</f>
        <v>30</v>
      </c>
      <c r="D105" s="2241" t="s">
        <v>2121</v>
      </c>
      <c r="E105" s="2241"/>
      <c r="F105" s="2241"/>
      <c r="G105" s="2241"/>
      <c r="H105" s="2241"/>
      <c r="I105" s="2241"/>
      <c r="J105" s="2241"/>
      <c r="K105" s="2241"/>
      <c r="L105" s="2241"/>
      <c r="M105" s="2242"/>
      <c r="N105" s="2264"/>
      <c r="O105" s="2264"/>
      <c r="P105" s="2264"/>
      <c r="Q105" s="2264"/>
      <c r="R105" s="2264"/>
      <c r="S105" s="2264"/>
      <c r="T105" s="2264"/>
      <c r="U105" s="2264"/>
      <c r="V105" s="2264"/>
      <c r="W105" s="2264"/>
    </row>
    <row r="106" spans="1:23" s="2256" customFormat="1">
      <c r="A106" s="2264"/>
      <c r="B106" s="2240"/>
      <c r="C106" s="2245"/>
      <c r="D106" s="2252" t="s">
        <v>1405</v>
      </c>
      <c r="E106" s="2241"/>
      <c r="F106" s="2241"/>
      <c r="G106" s="2241"/>
      <c r="H106" s="2241"/>
      <c r="I106" s="2241"/>
      <c r="J106" s="2241"/>
      <c r="K106" s="2241"/>
      <c r="L106" s="2241"/>
      <c r="M106" s="2242"/>
      <c r="N106" s="2264"/>
      <c r="O106" s="2264"/>
      <c r="P106" s="2264"/>
      <c r="Q106" s="2264"/>
      <c r="R106" s="2264"/>
      <c r="S106" s="2264"/>
      <c r="T106" s="2264"/>
      <c r="U106" s="2264"/>
      <c r="V106" s="2264"/>
      <c r="W106" s="2264"/>
    </row>
    <row r="107" spans="1:23" s="2256" customFormat="1">
      <c r="A107" s="2264"/>
      <c r="B107" s="2240"/>
      <c r="C107" s="2245"/>
      <c r="D107" s="2241" t="s">
        <v>2122</v>
      </c>
      <c r="E107" s="2241"/>
      <c r="F107" s="2241"/>
      <c r="G107" s="2241"/>
      <c r="H107" s="2241"/>
      <c r="I107" s="2241"/>
      <c r="J107" s="2241"/>
      <c r="K107" s="2241"/>
      <c r="L107" s="2241"/>
      <c r="M107" s="2242"/>
      <c r="N107" s="2264"/>
      <c r="O107" s="2264"/>
      <c r="P107" s="2264"/>
      <c r="Q107" s="2264"/>
      <c r="R107" s="2264"/>
      <c r="S107" s="2264"/>
      <c r="T107" s="2264"/>
      <c r="U107" s="2264"/>
      <c r="V107" s="2264"/>
      <c r="W107" s="2264"/>
    </row>
    <row r="108" spans="1:23" s="2256" customFormat="1">
      <c r="A108" s="2264"/>
      <c r="B108" s="2240"/>
      <c r="C108" s="2245"/>
      <c r="D108" s="2241" t="s">
        <v>2124</v>
      </c>
      <c r="E108" s="2241"/>
      <c r="F108" s="2241"/>
      <c r="G108" s="2241"/>
      <c r="H108" s="2241"/>
      <c r="I108" s="2241"/>
      <c r="J108" s="2241"/>
      <c r="K108" s="2241"/>
      <c r="L108" s="2241"/>
      <c r="M108" s="2242"/>
      <c r="N108" s="2264"/>
      <c r="O108" s="2264"/>
      <c r="P108" s="2264"/>
      <c r="Q108" s="2264"/>
      <c r="R108" s="2264"/>
      <c r="S108" s="2264"/>
      <c r="T108" s="2264"/>
      <c r="U108" s="2264"/>
      <c r="V108" s="2264"/>
      <c r="W108" s="2264"/>
    </row>
    <row r="109" spans="1:23" s="2256" customFormat="1">
      <c r="A109" s="2264"/>
      <c r="B109" s="2240"/>
      <c r="C109" s="2245"/>
      <c r="D109" s="2241" t="s">
        <v>2123</v>
      </c>
      <c r="E109" s="2241"/>
      <c r="F109" s="2241"/>
      <c r="G109" s="2241"/>
      <c r="H109" s="2241"/>
      <c r="I109" s="2241"/>
      <c r="J109" s="2241"/>
      <c r="K109" s="2241"/>
      <c r="L109" s="2241"/>
      <c r="M109" s="2242"/>
      <c r="N109" s="2264"/>
      <c r="O109" s="2264"/>
      <c r="P109" s="2264"/>
      <c r="Q109" s="2264"/>
      <c r="R109" s="2264"/>
      <c r="S109" s="2264"/>
      <c r="T109" s="2264"/>
      <c r="U109" s="2264"/>
      <c r="V109" s="2264"/>
      <c r="W109" s="2264"/>
    </row>
    <row r="110" spans="1:23" s="2256" customFormat="1" ht="6" customHeight="1">
      <c r="A110" s="2264"/>
      <c r="B110" s="2240"/>
      <c r="C110" s="2245"/>
      <c r="D110" s="2241"/>
      <c r="E110" s="2241"/>
      <c r="F110" s="2241"/>
      <c r="G110" s="2241"/>
      <c r="H110" s="2241"/>
      <c r="I110" s="2241"/>
      <c r="J110" s="2241"/>
      <c r="K110" s="2241"/>
      <c r="L110" s="2241"/>
      <c r="M110" s="2242"/>
      <c r="N110" s="2264"/>
      <c r="O110" s="2264"/>
      <c r="P110" s="2264"/>
      <c r="Q110" s="2264"/>
      <c r="R110" s="2264"/>
      <c r="S110" s="2264"/>
      <c r="T110" s="2264"/>
      <c r="U110" s="2264"/>
      <c r="V110" s="2264"/>
      <c r="W110" s="2264"/>
    </row>
    <row r="111" spans="1:23" s="2256" customFormat="1">
      <c r="A111" s="2264"/>
      <c r="B111" s="2243" t="s">
        <v>1406</v>
      </c>
      <c r="C111" s="2247" t="s">
        <v>1908</v>
      </c>
      <c r="D111" s="2241"/>
      <c r="E111" s="2241"/>
      <c r="F111" s="2360">
        <f>+'TRIAL-BALANCE'!E8</f>
        <v>2020</v>
      </c>
      <c r="G111" s="2360"/>
      <c r="H111" s="2360"/>
      <c r="I111" s="2241"/>
      <c r="J111" s="2241"/>
      <c r="K111" s="2241"/>
      <c r="L111" s="2241"/>
      <c r="M111" s="2242"/>
      <c r="N111" s="2264"/>
      <c r="O111" s="2264"/>
      <c r="P111" s="2264"/>
      <c r="Q111" s="2264"/>
      <c r="R111" s="2264"/>
      <c r="S111" s="2264"/>
      <c r="T111" s="2264"/>
      <c r="U111" s="2264"/>
      <c r="V111" s="2264"/>
      <c r="W111" s="2264"/>
    </row>
    <row r="112" spans="1:23" s="2256" customFormat="1">
      <c r="A112" s="2264"/>
      <c r="B112" s="2240"/>
      <c r="C112" s="2245">
        <f>1+C105</f>
        <v>31</v>
      </c>
      <c r="D112" s="2241" t="s">
        <v>1407</v>
      </c>
      <c r="E112" s="2241"/>
      <c r="F112" s="2248"/>
      <c r="G112" s="2248"/>
      <c r="H112" s="2248"/>
      <c r="I112" s="2241"/>
      <c r="J112" s="2241"/>
      <c r="K112" s="2241"/>
      <c r="L112" s="2241"/>
      <c r="M112" s="2242"/>
      <c r="N112" s="2264"/>
      <c r="O112" s="2264"/>
      <c r="P112" s="2264"/>
      <c r="Q112" s="2264"/>
      <c r="R112" s="2264"/>
      <c r="S112" s="2264"/>
      <c r="T112" s="2264"/>
      <c r="U112" s="2264"/>
      <c r="V112" s="2264"/>
      <c r="W112" s="2264"/>
    </row>
    <row r="113" spans="1:23" s="2256" customFormat="1">
      <c r="A113" s="2264"/>
      <c r="B113" s="2240"/>
      <c r="C113" s="2241"/>
      <c r="D113" s="2241" t="s">
        <v>1408</v>
      </c>
      <c r="E113" s="2241"/>
      <c r="F113" s="2248"/>
      <c r="G113" s="2248"/>
      <c r="H113" s="2248"/>
      <c r="I113" s="2241"/>
      <c r="J113" s="2241"/>
      <c r="K113" s="2241"/>
      <c r="L113" s="2241"/>
      <c r="M113" s="2242"/>
      <c r="N113" s="2264"/>
      <c r="O113" s="2264"/>
      <c r="P113" s="2264"/>
      <c r="Q113" s="2264"/>
      <c r="R113" s="2264"/>
      <c r="S113" s="2264"/>
      <c r="T113" s="2264"/>
      <c r="U113" s="2264"/>
      <c r="V113" s="2264"/>
      <c r="W113" s="2264"/>
    </row>
    <row r="114" spans="1:23" s="2256" customFormat="1">
      <c r="A114" s="2264"/>
      <c r="B114" s="2240"/>
      <c r="C114" s="2245">
        <f>1+C112</f>
        <v>32</v>
      </c>
      <c r="D114" s="2319" t="s">
        <v>2241</v>
      </c>
      <c r="E114" s="2241"/>
      <c r="F114" s="2248"/>
      <c r="G114" s="2248"/>
      <c r="H114" s="2248"/>
      <c r="I114" s="2241"/>
      <c r="J114" s="2241"/>
      <c r="K114" s="2241"/>
      <c r="L114" s="2241"/>
      <c r="M114" s="2242"/>
      <c r="N114" s="2264"/>
      <c r="O114" s="2264"/>
      <c r="P114" s="2264"/>
      <c r="Q114" s="2264"/>
      <c r="R114" s="2264"/>
      <c r="S114" s="2264"/>
      <c r="T114" s="2264"/>
      <c r="U114" s="2264"/>
      <c r="V114" s="2264"/>
      <c r="W114" s="2264"/>
    </row>
    <row r="115" spans="1:23" s="2256" customFormat="1">
      <c r="A115" s="2264"/>
      <c r="B115" s="2240"/>
      <c r="C115" s="2241"/>
      <c r="D115" s="2241" t="s">
        <v>1409</v>
      </c>
      <c r="E115" s="2241"/>
      <c r="F115" s="2248"/>
      <c r="G115" s="2248"/>
      <c r="H115" s="2248"/>
      <c r="I115" s="2241"/>
      <c r="J115" s="2241"/>
      <c r="K115" s="2241"/>
      <c r="L115" s="2241"/>
      <c r="M115" s="2242"/>
      <c r="N115" s="2264"/>
      <c r="O115" s="2264"/>
      <c r="P115" s="2264"/>
      <c r="Q115" s="2264"/>
      <c r="R115" s="2264"/>
      <c r="S115" s="2264"/>
      <c r="T115" s="2264"/>
      <c r="U115" s="2264"/>
      <c r="V115" s="2264"/>
      <c r="W115" s="2264"/>
    </row>
    <row r="116" spans="1:23" s="2256" customFormat="1">
      <c r="A116" s="2264"/>
      <c r="B116" s="2240"/>
      <c r="C116" s="2241"/>
      <c r="D116" s="2319" t="s">
        <v>2242</v>
      </c>
      <c r="E116" s="2241"/>
      <c r="F116" s="2248"/>
      <c r="G116" s="2248"/>
      <c r="H116" s="2248"/>
      <c r="I116" s="2241"/>
      <c r="J116" s="2241"/>
      <c r="K116" s="2241"/>
      <c r="L116" s="2241"/>
      <c r="M116" s="2242"/>
      <c r="N116" s="2264"/>
      <c r="O116" s="2264"/>
      <c r="P116" s="2264"/>
      <c r="Q116" s="2264"/>
      <c r="R116" s="2264"/>
      <c r="S116" s="2264"/>
      <c r="T116" s="2264"/>
      <c r="U116" s="2264"/>
      <c r="V116" s="2264"/>
      <c r="W116" s="2264"/>
    </row>
    <row r="117" spans="1:23" s="2256" customFormat="1">
      <c r="A117" s="2264"/>
      <c r="B117" s="2240"/>
      <c r="C117" s="2241"/>
      <c r="D117" s="2241" t="s">
        <v>2125</v>
      </c>
      <c r="E117" s="2241"/>
      <c r="F117" s="2248"/>
      <c r="G117" s="2248"/>
      <c r="H117" s="2248"/>
      <c r="I117" s="2241"/>
      <c r="J117" s="2241"/>
      <c r="K117" s="2241"/>
      <c r="L117" s="2241"/>
      <c r="M117" s="2242"/>
      <c r="N117" s="2264"/>
      <c r="O117" s="2264"/>
      <c r="P117" s="2264"/>
      <c r="Q117" s="2264"/>
      <c r="R117" s="2264"/>
      <c r="S117" s="2264"/>
      <c r="T117" s="2264"/>
      <c r="U117" s="2264"/>
      <c r="V117" s="2264"/>
      <c r="W117" s="2264"/>
    </row>
    <row r="118" spans="1:23" s="2256" customFormat="1">
      <c r="A118" s="2264"/>
      <c r="B118" s="2240"/>
      <c r="C118" s="2241"/>
      <c r="D118" s="2241" t="s">
        <v>2243</v>
      </c>
      <c r="E118" s="2241"/>
      <c r="F118" s="2248"/>
      <c r="G118" s="2248"/>
      <c r="H118" s="2248"/>
      <c r="I118" s="2241"/>
      <c r="J118" s="2241"/>
      <c r="K118" s="2241"/>
      <c r="L118" s="2241"/>
      <c r="M118" s="2242"/>
      <c r="N118" s="2264"/>
      <c r="O118" s="2264"/>
      <c r="P118" s="2264"/>
      <c r="Q118" s="2264"/>
      <c r="R118" s="2264"/>
      <c r="S118" s="2264"/>
      <c r="T118" s="2264"/>
      <c r="U118" s="2264"/>
      <c r="V118" s="2264"/>
      <c r="W118" s="2264"/>
    </row>
    <row r="119" spans="1:23" s="2256" customFormat="1">
      <c r="A119" s="2264"/>
      <c r="B119" s="2240"/>
      <c r="C119" s="2245">
        <f>1+C114</f>
        <v>33</v>
      </c>
      <c r="D119" s="2241" t="s">
        <v>2244</v>
      </c>
      <c r="E119" s="2241"/>
      <c r="F119" s="2248"/>
      <c r="G119" s="2248"/>
      <c r="H119" s="2248"/>
      <c r="I119" s="2241"/>
      <c r="J119" s="2241"/>
      <c r="K119" s="2241"/>
      <c r="L119" s="2241"/>
      <c r="M119" s="2242"/>
      <c r="N119" s="2264"/>
      <c r="O119" s="2264"/>
      <c r="P119" s="2264"/>
      <c r="Q119" s="2264"/>
      <c r="R119" s="2264"/>
      <c r="S119" s="2264"/>
      <c r="T119" s="2264"/>
      <c r="U119" s="2264"/>
      <c r="V119" s="2264"/>
      <c r="W119" s="2264"/>
    </row>
    <row r="120" spans="1:23" s="2256" customFormat="1">
      <c r="A120" s="2264"/>
      <c r="B120" s="2240"/>
      <c r="C120" s="2241"/>
      <c r="D120" s="2241" t="s">
        <v>2034</v>
      </c>
      <c r="E120" s="2241"/>
      <c r="F120" s="2248"/>
      <c r="G120" s="2248"/>
      <c r="H120" s="2248"/>
      <c r="I120" s="2241"/>
      <c r="J120" s="2241"/>
      <c r="K120" s="2241"/>
      <c r="L120" s="2241"/>
      <c r="M120" s="2242"/>
      <c r="N120" s="2264"/>
      <c r="O120" s="2264"/>
      <c r="P120" s="2264"/>
      <c r="Q120" s="2264"/>
      <c r="R120" s="2264"/>
      <c r="S120" s="2264"/>
      <c r="T120" s="2264"/>
      <c r="U120" s="2264"/>
      <c r="V120" s="2264"/>
      <c r="W120" s="2264"/>
    </row>
    <row r="121" spans="1:23" s="2256" customFormat="1" ht="6" customHeight="1">
      <c r="A121" s="2264"/>
      <c r="B121" s="2240"/>
      <c r="C121" s="2245"/>
      <c r="D121" s="2241"/>
      <c r="E121" s="2241"/>
      <c r="F121" s="2248"/>
      <c r="G121" s="2248"/>
      <c r="H121" s="2248"/>
      <c r="I121" s="2241"/>
      <c r="J121" s="2241"/>
      <c r="K121" s="2241"/>
      <c r="L121" s="2241"/>
      <c r="M121" s="2242"/>
      <c r="N121" s="2264"/>
      <c r="O121" s="2264"/>
      <c r="P121" s="2264"/>
      <c r="Q121" s="2264"/>
      <c r="R121" s="2264"/>
      <c r="S121" s="2264"/>
      <c r="T121" s="2264"/>
      <c r="U121" s="2264"/>
      <c r="V121" s="2264"/>
      <c r="W121" s="2264"/>
    </row>
    <row r="122" spans="1:23" s="2256" customFormat="1">
      <c r="A122" s="2264"/>
      <c r="B122" s="2243" t="s">
        <v>1410</v>
      </c>
      <c r="C122" s="2247" t="s">
        <v>1907</v>
      </c>
      <c r="D122" s="2241"/>
      <c r="E122" s="2241"/>
      <c r="F122" s="2361" t="s">
        <v>1958</v>
      </c>
      <c r="G122" s="2362"/>
      <c r="H122" s="2362"/>
      <c r="I122" s="2241"/>
      <c r="J122" s="2241"/>
      <c r="K122" s="2241"/>
      <c r="L122" s="2241"/>
      <c r="M122" s="2242"/>
      <c r="N122" s="2264"/>
      <c r="O122" s="2264"/>
      <c r="P122" s="2264"/>
      <c r="Q122" s="2264"/>
      <c r="R122" s="2264"/>
      <c r="S122" s="2264"/>
      <c r="T122" s="2264"/>
      <c r="U122" s="2264"/>
      <c r="V122" s="2264"/>
      <c r="W122" s="2264"/>
    </row>
    <row r="123" spans="1:23" s="2256" customFormat="1">
      <c r="A123" s="2264"/>
      <c r="B123" s="2240"/>
      <c r="C123" s="2245">
        <f>1+C119</f>
        <v>34</v>
      </c>
      <c r="D123" s="2241" t="s">
        <v>1411</v>
      </c>
      <c r="E123" s="2241"/>
      <c r="F123" s="2248"/>
      <c r="G123" s="2248"/>
      <c r="H123" s="2248"/>
      <c r="I123" s="2241"/>
      <c r="J123" s="2241"/>
      <c r="K123" s="2241"/>
      <c r="L123" s="2241"/>
      <c r="M123" s="2242"/>
      <c r="N123" s="2264"/>
      <c r="O123" s="2264"/>
      <c r="P123" s="2264"/>
      <c r="Q123" s="2264"/>
      <c r="R123" s="2264"/>
      <c r="S123" s="2264"/>
      <c r="T123" s="2264"/>
      <c r="U123" s="2264"/>
      <c r="V123" s="2264"/>
      <c r="W123" s="2264"/>
    </row>
    <row r="124" spans="1:23" s="2256" customFormat="1">
      <c r="A124" s="2264"/>
      <c r="B124" s="2240"/>
      <c r="C124" s="2241"/>
      <c r="D124" s="2241" t="s">
        <v>1412</v>
      </c>
      <c r="E124" s="2241"/>
      <c r="F124" s="2248"/>
      <c r="G124" s="2248"/>
      <c r="H124" s="2248"/>
      <c r="I124" s="2241"/>
      <c r="J124" s="2241"/>
      <c r="K124" s="2241"/>
      <c r="L124" s="2241"/>
      <c r="M124" s="2242"/>
      <c r="N124" s="2264"/>
      <c r="O124" s="2264"/>
      <c r="P124" s="2264"/>
      <c r="Q124" s="2264"/>
      <c r="R124" s="2264"/>
      <c r="S124" s="2264"/>
      <c r="T124" s="2264"/>
      <c r="U124" s="2264"/>
      <c r="V124" s="2264"/>
      <c r="W124" s="2264"/>
    </row>
    <row r="125" spans="1:23" s="2256" customFormat="1">
      <c r="A125" s="2264"/>
      <c r="B125" s="2240"/>
      <c r="C125" s="2241"/>
      <c r="D125" s="2241" t="s">
        <v>2126</v>
      </c>
      <c r="E125" s="2241"/>
      <c r="F125" s="2241"/>
      <c r="G125" s="2241"/>
      <c r="H125" s="2241"/>
      <c r="I125" s="2241"/>
      <c r="J125" s="2241"/>
      <c r="K125" s="2241"/>
      <c r="L125" s="2241"/>
      <c r="M125" s="2242"/>
      <c r="N125" s="2264"/>
      <c r="O125" s="2264"/>
      <c r="P125" s="2264"/>
      <c r="Q125" s="2264"/>
      <c r="R125" s="2264"/>
      <c r="S125" s="2264"/>
      <c r="T125" s="2264"/>
      <c r="U125" s="2264"/>
      <c r="V125" s="2264"/>
      <c r="W125" s="2264"/>
    </row>
    <row r="126" spans="1:23" s="2256" customFormat="1">
      <c r="A126" s="2264"/>
      <c r="B126" s="2240"/>
      <c r="C126" s="2241"/>
      <c r="D126" s="2241" t="s">
        <v>1413</v>
      </c>
      <c r="E126" s="2241"/>
      <c r="F126" s="2241"/>
      <c r="G126" s="2241"/>
      <c r="H126" s="2241"/>
      <c r="I126" s="2241"/>
      <c r="J126" s="2241"/>
      <c r="K126" s="2241"/>
      <c r="L126" s="2241"/>
      <c r="M126" s="2242"/>
      <c r="N126" s="2264"/>
      <c r="O126" s="2264"/>
      <c r="P126" s="2264"/>
      <c r="Q126" s="2264"/>
      <c r="R126" s="2264"/>
      <c r="S126" s="2264"/>
      <c r="T126" s="2264"/>
      <c r="U126" s="2264"/>
      <c r="V126" s="2264"/>
      <c r="W126" s="2264"/>
    </row>
    <row r="127" spans="1:23" s="2256" customFormat="1">
      <c r="A127" s="2264"/>
      <c r="B127" s="2240"/>
      <c r="C127" s="2245">
        <f>1+C123</f>
        <v>35</v>
      </c>
      <c r="D127" s="2319" t="s">
        <v>2245</v>
      </c>
      <c r="E127" s="2241"/>
      <c r="F127" s="2241"/>
      <c r="G127" s="2241"/>
      <c r="H127" s="2241"/>
      <c r="I127" s="2241"/>
      <c r="J127" s="2241"/>
      <c r="K127" s="2241"/>
      <c r="L127" s="2241"/>
      <c r="M127" s="2242"/>
      <c r="N127" s="2264"/>
      <c r="O127" s="2264"/>
      <c r="P127" s="2264"/>
      <c r="Q127" s="2264"/>
      <c r="R127" s="2264"/>
      <c r="S127" s="2264"/>
      <c r="T127" s="2264"/>
      <c r="U127" s="2264"/>
      <c r="V127" s="2264"/>
      <c r="W127" s="2264"/>
    </row>
    <row r="128" spans="1:23" s="2256" customFormat="1">
      <c r="A128" s="2264"/>
      <c r="B128" s="2240"/>
      <c r="C128" s="2245">
        <f>1+C127</f>
        <v>36</v>
      </c>
      <c r="D128" s="2319" t="s">
        <v>1414</v>
      </c>
      <c r="E128" s="2241"/>
      <c r="F128" s="2241"/>
      <c r="G128" s="2241"/>
      <c r="H128" s="2241"/>
      <c r="I128" s="2241"/>
      <c r="J128" s="2241"/>
      <c r="K128" s="2241"/>
      <c r="L128" s="2241"/>
      <c r="M128" s="2242"/>
      <c r="N128" s="2264"/>
      <c r="O128" s="2264"/>
      <c r="P128" s="2264"/>
      <c r="Q128" s="2264"/>
      <c r="R128" s="2264"/>
      <c r="S128" s="2264"/>
      <c r="T128" s="2264"/>
      <c r="U128" s="2264"/>
      <c r="V128" s="2264"/>
      <c r="W128" s="2264"/>
    </row>
    <row r="129" spans="1:23" s="2256" customFormat="1" ht="6" customHeight="1">
      <c r="A129" s="2264"/>
      <c r="B129" s="2240"/>
      <c r="C129" s="2245"/>
      <c r="D129" s="2241"/>
      <c r="E129" s="2241"/>
      <c r="F129" s="2241"/>
      <c r="G129" s="2241"/>
      <c r="H129" s="2241"/>
      <c r="I129" s="2241"/>
      <c r="J129" s="2241"/>
      <c r="K129" s="2241"/>
      <c r="L129" s="2241"/>
      <c r="M129" s="2242"/>
      <c r="N129" s="2264"/>
      <c r="O129" s="2264"/>
      <c r="P129" s="2264"/>
      <c r="Q129" s="2264"/>
      <c r="R129" s="2264"/>
      <c r="S129" s="2264"/>
      <c r="T129" s="2264"/>
      <c r="U129" s="2264"/>
      <c r="V129" s="2264"/>
      <c r="W129" s="2264"/>
    </row>
    <row r="130" spans="1:23" s="2256" customFormat="1">
      <c r="A130" s="2264"/>
      <c r="B130" s="2243" t="s">
        <v>1415</v>
      </c>
      <c r="C130" s="2247" t="s">
        <v>1906</v>
      </c>
      <c r="D130" s="2241"/>
      <c r="E130" s="2241"/>
      <c r="F130" s="2339" t="s">
        <v>1956</v>
      </c>
      <c r="G130" s="2340"/>
      <c r="H130" s="2340"/>
      <c r="I130" s="2241"/>
      <c r="J130" s="2241"/>
      <c r="K130" s="2241"/>
      <c r="L130" s="2241"/>
      <c r="M130" s="2242"/>
      <c r="N130" s="2264"/>
      <c r="O130" s="2264"/>
      <c r="P130" s="2264"/>
      <c r="Q130" s="2264"/>
      <c r="R130" s="2264"/>
      <c r="S130" s="2264"/>
      <c r="T130" s="2264"/>
      <c r="U130" s="2264"/>
      <c r="V130" s="2264"/>
      <c r="W130" s="2264"/>
    </row>
    <row r="131" spans="1:23" s="2256" customFormat="1">
      <c r="A131" s="2264"/>
      <c r="B131" s="2240"/>
      <c r="C131" s="2245">
        <f>1+C128</f>
        <v>37</v>
      </c>
      <c r="D131" s="2241" t="s">
        <v>2246</v>
      </c>
      <c r="E131" s="2241"/>
      <c r="F131" s="2241"/>
      <c r="G131" s="2241"/>
      <c r="H131" s="2241"/>
      <c r="I131" s="2241"/>
      <c r="J131" s="2241"/>
      <c r="K131" s="2241"/>
      <c r="L131" s="2241"/>
      <c r="M131" s="2242"/>
      <c r="N131" s="2264"/>
      <c r="O131" s="2264"/>
      <c r="P131" s="2264"/>
      <c r="Q131" s="2264"/>
      <c r="R131" s="2264"/>
      <c r="S131" s="2264"/>
      <c r="T131" s="2264"/>
      <c r="U131" s="2264"/>
      <c r="V131" s="2264"/>
      <c r="W131" s="2264"/>
    </row>
    <row r="132" spans="1:23" s="2256" customFormat="1">
      <c r="A132" s="2264"/>
      <c r="B132" s="2240"/>
      <c r="C132" s="2245">
        <f>1+C131</f>
        <v>38</v>
      </c>
      <c r="D132" s="2319" t="s">
        <v>2245</v>
      </c>
      <c r="E132" s="2241"/>
      <c r="F132" s="2241"/>
      <c r="G132" s="2241"/>
      <c r="H132" s="2241"/>
      <c r="I132" s="2241"/>
      <c r="J132" s="2241"/>
      <c r="K132" s="2241"/>
      <c r="L132" s="2241"/>
      <c r="M132" s="2242"/>
      <c r="N132" s="2264"/>
      <c r="O132" s="2264"/>
      <c r="P132" s="2264"/>
      <c r="Q132" s="2264"/>
      <c r="R132" s="2264"/>
      <c r="S132" s="2264"/>
      <c r="T132" s="2264"/>
      <c r="U132" s="2264"/>
      <c r="V132" s="2264"/>
      <c r="W132" s="2264"/>
    </row>
    <row r="133" spans="1:23" s="2256" customFormat="1">
      <c r="A133" s="2264"/>
      <c r="B133" s="2240"/>
      <c r="C133" s="2245">
        <f>1+C132</f>
        <v>39</v>
      </c>
      <c r="D133" s="2241" t="s">
        <v>1416</v>
      </c>
      <c r="E133" s="2241"/>
      <c r="F133" s="2241"/>
      <c r="G133" s="2241"/>
      <c r="H133" s="2241"/>
      <c r="I133" s="2241"/>
      <c r="J133" s="2241"/>
      <c r="K133" s="2241"/>
      <c r="L133" s="2241"/>
      <c r="M133" s="2242"/>
      <c r="N133" s="2264"/>
      <c r="O133" s="2264"/>
      <c r="P133" s="2264"/>
      <c r="Q133" s="2264"/>
      <c r="R133" s="2264"/>
      <c r="S133" s="2264"/>
      <c r="T133" s="2264"/>
      <c r="U133" s="2264"/>
      <c r="V133" s="2264"/>
      <c r="W133" s="2264"/>
    </row>
    <row r="134" spans="1:23" s="2256" customFormat="1">
      <c r="A134" s="2264"/>
      <c r="B134" s="2240"/>
      <c r="C134" s="2241"/>
      <c r="D134" s="2241" t="s">
        <v>1919</v>
      </c>
      <c r="E134" s="2241"/>
      <c r="F134" s="2241"/>
      <c r="G134" s="2241"/>
      <c r="H134" s="2363" t="s">
        <v>1961</v>
      </c>
      <c r="I134" s="2364"/>
      <c r="J134" s="2364"/>
      <c r="K134" s="2241" t="s">
        <v>1918</v>
      </c>
      <c r="L134" s="2241"/>
      <c r="M134" s="2242"/>
      <c r="N134" s="2264"/>
      <c r="O134" s="2264"/>
      <c r="P134" s="2264"/>
      <c r="Q134" s="2264"/>
      <c r="R134" s="2264"/>
      <c r="S134" s="2264"/>
      <c r="T134" s="2264"/>
      <c r="U134" s="2264"/>
      <c r="V134" s="2264"/>
      <c r="W134" s="2264"/>
    </row>
    <row r="135" spans="1:23" s="2256" customFormat="1">
      <c r="A135" s="2264"/>
      <c r="B135" s="2240"/>
      <c r="C135" s="2241"/>
      <c r="D135" s="2241" t="s">
        <v>2109</v>
      </c>
      <c r="E135" s="2241"/>
      <c r="F135" s="2241"/>
      <c r="G135" s="2241"/>
      <c r="H135" s="2241"/>
      <c r="I135" s="2241"/>
      <c r="J135" s="2241"/>
      <c r="K135" s="2241"/>
      <c r="L135" s="2241"/>
      <c r="M135" s="2242"/>
      <c r="N135" s="2264"/>
      <c r="O135" s="2264"/>
      <c r="P135" s="2264"/>
      <c r="Q135" s="2264"/>
      <c r="R135" s="2264"/>
      <c r="S135" s="2264"/>
      <c r="T135" s="2264"/>
      <c r="U135" s="2264"/>
      <c r="V135" s="2264"/>
      <c r="W135" s="2264"/>
    </row>
    <row r="136" spans="1:23" s="2256" customFormat="1">
      <c r="A136" s="2264"/>
      <c r="B136" s="2240"/>
      <c r="C136" s="2241"/>
      <c r="D136" s="2241" t="s">
        <v>2110</v>
      </c>
      <c r="E136" s="2241"/>
      <c r="F136" s="2241"/>
      <c r="G136" s="2241"/>
      <c r="H136" s="2241"/>
      <c r="I136" s="2241"/>
      <c r="J136" s="2241"/>
      <c r="K136" s="2241"/>
      <c r="L136" s="2241"/>
      <c r="M136" s="2242"/>
      <c r="N136" s="2264"/>
      <c r="O136" s="2264"/>
      <c r="P136" s="2264"/>
      <c r="Q136" s="2264"/>
      <c r="R136" s="2264"/>
      <c r="S136" s="2264"/>
      <c r="T136" s="2264"/>
      <c r="U136" s="2264"/>
      <c r="V136" s="2264"/>
      <c r="W136" s="2264"/>
    </row>
    <row r="137" spans="1:23" s="2256" customFormat="1">
      <c r="A137" s="2264"/>
      <c r="B137" s="2240"/>
      <c r="C137" s="2245">
        <f>1+C133</f>
        <v>40</v>
      </c>
      <c r="D137" s="2319" t="s">
        <v>1417</v>
      </c>
      <c r="E137" s="2241"/>
      <c r="F137" s="2241"/>
      <c r="G137" s="2241"/>
      <c r="H137" s="2241"/>
      <c r="I137" s="2241"/>
      <c r="J137" s="2241"/>
      <c r="K137" s="2241"/>
      <c r="L137" s="2241"/>
      <c r="M137" s="2242"/>
      <c r="N137" s="2264"/>
      <c r="O137" s="2264"/>
      <c r="P137" s="2264"/>
      <c r="Q137" s="2264"/>
      <c r="R137" s="2264"/>
      <c r="S137" s="2264"/>
      <c r="T137" s="2264"/>
      <c r="U137" s="2264"/>
      <c r="V137" s="2264"/>
      <c r="W137" s="2264"/>
    </row>
    <row r="138" spans="1:23" s="2256" customFormat="1" ht="6" customHeight="1">
      <c r="A138" s="2264"/>
      <c r="B138" s="2240"/>
      <c r="C138" s="2245"/>
      <c r="D138" s="2241"/>
      <c r="E138" s="2241"/>
      <c r="F138" s="2241"/>
      <c r="G138" s="2241"/>
      <c r="H138" s="2241"/>
      <c r="I138" s="2241"/>
      <c r="J138" s="2241"/>
      <c r="K138" s="2241"/>
      <c r="L138" s="2241"/>
      <c r="M138" s="2242"/>
      <c r="N138" s="2264"/>
      <c r="O138" s="2264"/>
      <c r="P138" s="2264"/>
      <c r="Q138" s="2264"/>
      <c r="R138" s="2264"/>
      <c r="S138" s="2264"/>
      <c r="T138" s="2264"/>
      <c r="U138" s="2264"/>
      <c r="V138" s="2264"/>
      <c r="W138" s="2264"/>
    </row>
    <row r="139" spans="1:23" s="2256" customFormat="1">
      <c r="A139" s="2264"/>
      <c r="B139" s="2243" t="s">
        <v>1418</v>
      </c>
      <c r="C139" s="2247" t="s">
        <v>1906</v>
      </c>
      <c r="D139" s="2241"/>
      <c r="E139" s="2241"/>
      <c r="F139" s="2365">
        <f>+'R &amp; E data-2019'!I12</f>
        <v>2019</v>
      </c>
      <c r="G139" s="2365"/>
      <c r="H139" s="2365"/>
      <c r="I139" s="2241"/>
      <c r="J139" s="2241"/>
      <c r="K139" s="2241"/>
      <c r="L139" s="2241"/>
      <c r="M139" s="2242"/>
      <c r="N139" s="2264"/>
      <c r="O139" s="2264"/>
      <c r="P139" s="2264"/>
      <c r="Q139" s="2264"/>
      <c r="R139" s="2264"/>
      <c r="S139" s="2264"/>
      <c r="T139" s="2264"/>
      <c r="U139" s="2264"/>
      <c r="V139" s="2264"/>
      <c r="W139" s="2264"/>
    </row>
    <row r="140" spans="1:23" s="2256" customFormat="1">
      <c r="A140" s="2264"/>
      <c r="B140" s="2240"/>
      <c r="C140" s="2245">
        <f>1+C137</f>
        <v>41</v>
      </c>
      <c r="D140" s="2319" t="s">
        <v>2247</v>
      </c>
      <c r="E140" s="2241"/>
      <c r="F140" s="2241"/>
      <c r="G140" s="2241"/>
      <c r="H140" s="2241"/>
      <c r="I140" s="2241"/>
      <c r="J140" s="2241"/>
      <c r="K140" s="2241"/>
      <c r="L140" s="2241"/>
      <c r="M140" s="2242"/>
      <c r="N140" s="2264"/>
      <c r="O140" s="2264"/>
      <c r="P140" s="2264"/>
      <c r="Q140" s="2264"/>
      <c r="R140" s="2264"/>
      <c r="S140" s="2264"/>
      <c r="T140" s="2264"/>
      <c r="U140" s="2264"/>
      <c r="V140" s="2264"/>
      <c r="W140" s="2264"/>
    </row>
    <row r="141" spans="1:23" s="2256" customFormat="1">
      <c r="A141" s="2264"/>
      <c r="B141" s="2240"/>
      <c r="C141" s="2245"/>
      <c r="D141" s="2320" t="s">
        <v>2248</v>
      </c>
      <c r="E141" s="2241"/>
      <c r="F141" s="2241"/>
      <c r="G141" s="2241"/>
      <c r="H141" s="2241"/>
      <c r="I141" s="2241"/>
      <c r="J141" s="2241"/>
      <c r="K141" s="2241"/>
      <c r="L141" s="2241"/>
      <c r="M141" s="2242"/>
      <c r="N141" s="2264"/>
      <c r="O141" s="2264"/>
      <c r="P141" s="2264"/>
      <c r="Q141" s="2264"/>
      <c r="R141" s="2264"/>
      <c r="S141" s="2264"/>
      <c r="T141" s="2264"/>
      <c r="U141" s="2264"/>
      <c r="V141" s="2264"/>
      <c r="W141" s="2264"/>
    </row>
    <row r="142" spans="1:23" s="2256" customFormat="1">
      <c r="A142" s="2264"/>
      <c r="B142" s="2240"/>
      <c r="C142" s="2245">
        <f>1+C140</f>
        <v>42</v>
      </c>
      <c r="D142" s="2241" t="s">
        <v>2127</v>
      </c>
      <c r="E142" s="2241"/>
      <c r="F142" s="2241"/>
      <c r="G142" s="2241"/>
      <c r="H142" s="2241"/>
      <c r="I142" s="2241"/>
      <c r="J142" s="2241"/>
      <c r="K142" s="2241"/>
      <c r="L142" s="2241"/>
      <c r="M142" s="2242"/>
      <c r="N142" s="2264"/>
      <c r="O142" s="2264"/>
      <c r="P142" s="2264"/>
      <c r="Q142" s="2264"/>
      <c r="R142" s="2264"/>
      <c r="S142" s="2264"/>
      <c r="T142" s="2264"/>
      <c r="U142" s="2264"/>
      <c r="V142" s="2264"/>
      <c r="W142" s="2264"/>
    </row>
    <row r="143" spans="1:23" s="2256" customFormat="1">
      <c r="A143" s="2264"/>
      <c r="B143" s="2240"/>
      <c r="C143" s="2245">
        <f>1+C142</f>
        <v>43</v>
      </c>
      <c r="D143" s="2241" t="s">
        <v>2249</v>
      </c>
      <c r="E143" s="2241"/>
      <c r="F143" s="2241"/>
      <c r="G143" s="2241"/>
      <c r="H143" s="2241"/>
      <c r="I143" s="2241"/>
      <c r="J143" s="2241"/>
      <c r="K143" s="2241"/>
      <c r="L143" s="2241"/>
      <c r="M143" s="2242"/>
      <c r="N143" s="2264"/>
      <c r="O143" s="2264"/>
      <c r="P143" s="2264"/>
      <c r="Q143" s="2264"/>
      <c r="R143" s="2264"/>
      <c r="S143" s="2264"/>
      <c r="T143" s="2264"/>
      <c r="U143" s="2264"/>
      <c r="V143" s="2264"/>
      <c r="W143" s="2264"/>
    </row>
    <row r="144" spans="1:23" s="2256" customFormat="1">
      <c r="A144" s="2264"/>
      <c r="B144" s="2240"/>
      <c r="C144" s="2241"/>
      <c r="D144" s="2352">
        <f>+'TRIAL-BALANCE'!E8</f>
        <v>2020</v>
      </c>
      <c r="E144" s="2352"/>
      <c r="F144" s="2352"/>
      <c r="G144" s="2352"/>
      <c r="H144" s="2241" t="s">
        <v>1916</v>
      </c>
      <c r="I144" s="2241"/>
      <c r="J144" s="2353">
        <f>+'TRIAL-BALANCE'!E8</f>
        <v>2020</v>
      </c>
      <c r="K144" s="2353"/>
      <c r="L144" s="2241" t="s">
        <v>1917</v>
      </c>
      <c r="M144" s="2242"/>
      <c r="N144" s="2264"/>
      <c r="O144" s="2264"/>
      <c r="P144" s="2264"/>
      <c r="Q144" s="2264"/>
      <c r="R144" s="2264"/>
      <c r="S144" s="2264"/>
      <c r="T144" s="2264"/>
      <c r="U144" s="2264"/>
      <c r="V144" s="2264"/>
      <c r="W144" s="2264"/>
    </row>
    <row r="145" spans="1:23" s="2256" customFormat="1" ht="6" customHeight="1">
      <c r="A145" s="2264"/>
      <c r="B145" s="2240"/>
      <c r="C145" s="2245"/>
      <c r="D145" s="2241"/>
      <c r="E145" s="2241"/>
      <c r="F145" s="2241"/>
      <c r="G145" s="2241"/>
      <c r="H145" s="2241"/>
      <c r="I145" s="2241"/>
      <c r="J145" s="2241"/>
      <c r="K145" s="2241"/>
      <c r="L145" s="2241"/>
      <c r="M145" s="2242"/>
      <c r="N145" s="2264"/>
      <c r="O145" s="2264"/>
      <c r="P145" s="2264"/>
      <c r="Q145" s="2264"/>
      <c r="R145" s="2264"/>
      <c r="S145" s="2264"/>
      <c r="T145" s="2264"/>
      <c r="U145" s="2264"/>
      <c r="V145" s="2264"/>
      <c r="W145" s="2264"/>
    </row>
    <row r="146" spans="1:23" s="2256" customFormat="1">
      <c r="A146" s="2264"/>
      <c r="B146" s="2243" t="s">
        <v>1419</v>
      </c>
      <c r="C146" s="2247" t="s">
        <v>1911</v>
      </c>
      <c r="D146" s="2241"/>
      <c r="E146" s="2241"/>
      <c r="F146" s="2354">
        <f>+'TRIAL-BALANCE'!E8</f>
        <v>2020</v>
      </c>
      <c r="G146" s="2354"/>
      <c r="H146" s="2354"/>
      <c r="I146" s="2354"/>
      <c r="J146" s="2255" t="s">
        <v>1900</v>
      </c>
      <c r="K146" s="2355">
        <f>+'TRIAL-BALANCE'!E8</f>
        <v>2020</v>
      </c>
      <c r="L146" s="2355"/>
      <c r="M146" s="2242"/>
      <c r="N146" s="2264"/>
      <c r="O146" s="2264"/>
      <c r="P146" s="2264"/>
      <c r="Q146" s="2264"/>
      <c r="R146" s="2264"/>
      <c r="S146" s="2264"/>
      <c r="T146" s="2264"/>
      <c r="U146" s="2264"/>
      <c r="V146" s="2264"/>
      <c r="W146" s="2264"/>
    </row>
    <row r="147" spans="1:23" s="2256" customFormat="1">
      <c r="A147" s="2264"/>
      <c r="B147" s="2240"/>
      <c r="C147" s="2245">
        <f>1+C143</f>
        <v>44</v>
      </c>
      <c r="D147" s="2241" t="s">
        <v>2111</v>
      </c>
      <c r="E147" s="2241"/>
      <c r="F147" s="2241"/>
      <c r="G147" s="2241"/>
      <c r="H147" s="2241"/>
      <c r="I147" s="2241"/>
      <c r="J147" s="2241"/>
      <c r="K147" s="2241"/>
      <c r="L147" s="2241"/>
      <c r="M147" s="2242"/>
      <c r="N147" s="2264"/>
      <c r="O147" s="2264"/>
      <c r="P147" s="2264"/>
      <c r="Q147" s="2264"/>
      <c r="R147" s="2264"/>
      <c r="S147" s="2264"/>
      <c r="T147" s="2264"/>
      <c r="U147" s="2264"/>
      <c r="V147" s="2264"/>
      <c r="W147" s="2264"/>
    </row>
    <row r="148" spans="1:23" s="2256" customFormat="1">
      <c r="A148" s="2264"/>
      <c r="B148" s="2240"/>
      <c r="C148" s="2245"/>
      <c r="D148" s="2241" t="s">
        <v>2128</v>
      </c>
      <c r="E148" s="2241"/>
      <c r="F148" s="2241"/>
      <c r="G148" s="2301"/>
      <c r="H148" s="2301"/>
      <c r="I148" s="2301"/>
      <c r="J148" s="2241"/>
      <c r="K148" s="2241"/>
      <c r="L148" s="2241"/>
      <c r="M148" s="2242"/>
      <c r="N148" s="2264"/>
      <c r="O148" s="2264"/>
      <c r="P148" s="2264"/>
      <c r="Q148" s="2264"/>
      <c r="R148" s="2264"/>
      <c r="S148" s="2264"/>
      <c r="T148" s="2264"/>
      <c r="U148" s="2264"/>
      <c r="V148" s="2264"/>
      <c r="W148" s="2264"/>
    </row>
    <row r="149" spans="1:23" s="2256" customFormat="1">
      <c r="A149" s="2264"/>
      <c r="B149" s="2240"/>
      <c r="C149" s="2245">
        <f>1+C147</f>
        <v>45</v>
      </c>
      <c r="D149" s="2314" t="s">
        <v>1902</v>
      </c>
      <c r="E149" s="2241"/>
      <c r="F149" s="2241"/>
      <c r="G149" s="2241"/>
      <c r="H149" s="2241"/>
      <c r="I149" s="2241"/>
      <c r="J149" s="2356">
        <f>+'TRIAL-BALANCE'!E8</f>
        <v>2020</v>
      </c>
      <c r="K149" s="2356"/>
      <c r="L149" s="2241" t="s">
        <v>1901</v>
      </c>
      <c r="M149" s="2242"/>
      <c r="N149" s="2264"/>
      <c r="O149" s="2264"/>
      <c r="P149" s="2264"/>
      <c r="Q149" s="2264"/>
      <c r="R149" s="2264"/>
      <c r="S149" s="2264"/>
      <c r="T149" s="2264"/>
      <c r="U149" s="2264"/>
      <c r="V149" s="2264"/>
      <c r="W149" s="2264"/>
    </row>
    <row r="150" spans="1:23" s="2256" customFormat="1">
      <c r="A150" s="2264"/>
      <c r="B150" s="2240"/>
      <c r="C150" s="2245"/>
      <c r="D150" s="2314" t="s">
        <v>2250</v>
      </c>
      <c r="E150" s="2241"/>
      <c r="F150" s="2357">
        <f>+'TRIAL-BALANCE'!E8</f>
        <v>2020</v>
      </c>
      <c r="G150" s="2357"/>
      <c r="H150" s="2357"/>
      <c r="I150" s="2252" t="s">
        <v>1903</v>
      </c>
      <c r="J150" s="2252"/>
      <c r="K150" s="2241"/>
      <c r="L150" s="2241"/>
      <c r="M150" s="2242"/>
      <c r="N150" s="2264"/>
      <c r="O150" s="2264"/>
      <c r="P150" s="2264"/>
      <c r="Q150" s="2264"/>
      <c r="R150" s="2264"/>
      <c r="S150" s="2264"/>
      <c r="T150" s="2264"/>
      <c r="U150" s="2264"/>
      <c r="V150" s="2264"/>
      <c r="W150" s="2264"/>
    </row>
    <row r="151" spans="1:23" s="2256" customFormat="1">
      <c r="A151" s="2264"/>
      <c r="B151" s="2240"/>
      <c r="C151" s="2245">
        <f>1+C149</f>
        <v>46</v>
      </c>
      <c r="D151" s="2241" t="s">
        <v>2251</v>
      </c>
      <c r="E151" s="2241"/>
      <c r="F151" s="2241"/>
      <c r="G151" s="2241"/>
      <c r="H151" s="2241"/>
      <c r="I151" s="2241"/>
      <c r="J151" s="2241"/>
      <c r="K151" s="2241"/>
      <c r="L151" s="2241"/>
      <c r="M151" s="2242"/>
      <c r="N151" s="2264"/>
      <c r="O151" s="2264"/>
      <c r="P151" s="2264"/>
      <c r="Q151" s="2264"/>
      <c r="R151" s="2264"/>
      <c r="S151" s="2264"/>
      <c r="T151" s="2264"/>
      <c r="U151" s="2264"/>
      <c r="V151" s="2264"/>
      <c r="W151" s="2264"/>
    </row>
    <row r="152" spans="1:23" s="2256" customFormat="1">
      <c r="A152" s="2264"/>
      <c r="B152" s="2240"/>
      <c r="C152" s="2241"/>
      <c r="D152" s="2319" t="s">
        <v>2252</v>
      </c>
      <c r="E152" s="2241"/>
      <c r="F152" s="2241"/>
      <c r="G152" s="2241"/>
      <c r="H152" s="2241"/>
      <c r="I152" s="2241"/>
      <c r="J152" s="2241"/>
      <c r="K152" s="2241"/>
      <c r="L152" s="2241"/>
      <c r="M152" s="2242"/>
      <c r="N152" s="2264"/>
      <c r="O152" s="2264"/>
      <c r="P152" s="2264"/>
      <c r="Q152" s="2264"/>
      <c r="R152" s="2264"/>
      <c r="S152" s="2264"/>
      <c r="T152" s="2264"/>
      <c r="U152" s="2264"/>
      <c r="V152" s="2264"/>
      <c r="W152" s="2264"/>
    </row>
    <row r="153" spans="1:23" s="2256" customFormat="1">
      <c r="A153" s="2264"/>
      <c r="B153" s="2240"/>
      <c r="C153" s="2241"/>
      <c r="D153" s="2321" t="s">
        <v>2253</v>
      </c>
      <c r="E153" s="2241"/>
      <c r="F153" s="2241"/>
      <c r="G153" s="2241"/>
      <c r="H153" s="2241"/>
      <c r="I153" s="2241"/>
      <c r="J153" s="2241"/>
      <c r="K153" s="2241"/>
      <c r="L153" s="2241"/>
      <c r="M153" s="2242"/>
      <c r="N153" s="2264"/>
      <c r="O153" s="2264"/>
      <c r="P153" s="2264"/>
      <c r="Q153" s="2264"/>
      <c r="R153" s="2264"/>
      <c r="S153" s="2264"/>
      <c r="T153" s="2264"/>
      <c r="U153" s="2264"/>
      <c r="V153" s="2264"/>
      <c r="W153" s="2264"/>
    </row>
    <row r="154" spans="1:23" s="2256" customFormat="1">
      <c r="A154" s="2264"/>
      <c r="B154" s="2240"/>
      <c r="C154" s="2245">
        <f>1+C151</f>
        <v>47</v>
      </c>
      <c r="D154" s="2319" t="s">
        <v>2254</v>
      </c>
      <c r="E154" s="2241"/>
      <c r="F154" s="2241"/>
      <c r="G154" s="2241"/>
      <c r="H154" s="2241"/>
      <c r="I154" s="2241"/>
      <c r="J154" s="2241"/>
      <c r="K154" s="2241"/>
      <c r="L154" s="2241"/>
      <c r="M154" s="2242"/>
      <c r="N154" s="2264"/>
      <c r="O154" s="2264"/>
      <c r="P154" s="2264"/>
      <c r="Q154" s="2264"/>
      <c r="R154" s="2264"/>
      <c r="S154" s="2264"/>
      <c r="T154" s="2264"/>
      <c r="U154" s="2264"/>
      <c r="V154" s="2264"/>
      <c r="W154" s="2264"/>
    </row>
    <row r="155" spans="1:23" s="2256" customFormat="1">
      <c r="A155" s="2264"/>
      <c r="B155" s="2240"/>
      <c r="C155" s="2241"/>
      <c r="D155" s="2241" t="s">
        <v>1421</v>
      </c>
      <c r="E155" s="2241"/>
      <c r="F155" s="2241"/>
      <c r="G155" s="2241"/>
      <c r="H155" s="2241"/>
      <c r="I155" s="2241"/>
      <c r="J155" s="2241"/>
      <c r="K155" s="2241"/>
      <c r="L155" s="2241"/>
      <c r="M155" s="2242"/>
      <c r="N155" s="2264"/>
      <c r="O155" s="2264"/>
      <c r="P155" s="2264"/>
      <c r="Q155" s="2264"/>
      <c r="R155" s="2264"/>
      <c r="S155" s="2264"/>
      <c r="T155" s="2264"/>
      <c r="U155" s="2264"/>
      <c r="V155" s="2264"/>
      <c r="W155" s="2264"/>
    </row>
    <row r="156" spans="1:23" s="2256" customFormat="1" ht="15" customHeight="1">
      <c r="A156" s="2264"/>
      <c r="B156" s="2240"/>
      <c r="C156" s="2241"/>
      <c r="D156" s="2319" t="s">
        <v>2255</v>
      </c>
      <c r="E156" s="2241"/>
      <c r="F156" s="2241"/>
      <c r="G156" s="2241"/>
      <c r="H156" s="2241"/>
      <c r="I156" s="2241"/>
      <c r="J156" s="2241"/>
      <c r="K156" s="2241"/>
      <c r="L156" s="2241"/>
      <c r="M156" s="2242"/>
      <c r="N156" s="2264"/>
      <c r="O156" s="2264"/>
      <c r="P156" s="2264"/>
      <c r="Q156" s="2264"/>
      <c r="R156" s="2264"/>
      <c r="S156" s="2264"/>
      <c r="T156" s="2264"/>
      <c r="U156" s="2264"/>
      <c r="V156" s="2264"/>
      <c r="W156" s="2264"/>
    </row>
    <row r="157" spans="1:23" s="2256" customFormat="1">
      <c r="A157" s="2264"/>
      <c r="B157" s="2240"/>
      <c r="C157" s="2245">
        <f>1+C154</f>
        <v>48</v>
      </c>
      <c r="D157" s="2319" t="s">
        <v>2256</v>
      </c>
      <c r="E157" s="2241"/>
      <c r="F157" s="2241"/>
      <c r="G157" s="2241"/>
      <c r="H157" s="2241"/>
      <c r="I157" s="2241"/>
      <c r="J157" s="2241"/>
      <c r="K157" s="2241"/>
      <c r="L157" s="2241"/>
      <c r="M157" s="2242"/>
      <c r="N157" s="2264"/>
      <c r="O157" s="2264"/>
      <c r="P157" s="2264"/>
      <c r="Q157" s="2264"/>
      <c r="R157" s="2264"/>
      <c r="S157" s="2264"/>
      <c r="T157" s="2264"/>
      <c r="U157" s="2264"/>
      <c r="V157" s="2264"/>
      <c r="W157" s="2264"/>
    </row>
    <row r="158" spans="1:23" s="2256" customFormat="1" ht="17.45" customHeight="1">
      <c r="A158" s="2264"/>
      <c r="B158" s="2240"/>
      <c r="C158" s="2241"/>
      <c r="D158" s="2246" t="s">
        <v>2257</v>
      </c>
      <c r="E158" s="2241"/>
      <c r="F158" s="2241"/>
      <c r="G158" s="2241"/>
      <c r="H158" s="2241"/>
      <c r="I158" s="2241"/>
      <c r="J158" s="2241"/>
      <c r="K158" s="2241"/>
      <c r="L158" s="2241"/>
      <c r="M158" s="2242"/>
      <c r="N158" s="2264"/>
      <c r="O158" s="2264"/>
      <c r="P158" s="2264"/>
      <c r="Q158" s="2264"/>
      <c r="R158" s="2264"/>
      <c r="S158" s="2264"/>
      <c r="T158" s="2264"/>
      <c r="U158" s="2264"/>
      <c r="V158" s="2264"/>
      <c r="W158" s="2264"/>
    </row>
    <row r="159" spans="1:23" s="2256" customFormat="1">
      <c r="A159" s="2264"/>
      <c r="B159" s="2240"/>
      <c r="C159" s="2241"/>
      <c r="D159" s="2319" t="s">
        <v>2258</v>
      </c>
      <c r="E159" s="2241"/>
      <c r="F159" s="2241"/>
      <c r="G159" s="2241"/>
      <c r="H159" s="2241"/>
      <c r="I159" s="2241"/>
      <c r="J159" s="2241"/>
      <c r="K159" s="2241"/>
      <c r="L159" s="2241"/>
      <c r="M159" s="2242"/>
      <c r="N159" s="2264"/>
      <c r="O159" s="2264"/>
      <c r="P159" s="2264"/>
      <c r="Q159" s="2264"/>
      <c r="R159" s="2264"/>
      <c r="S159" s="2264"/>
      <c r="T159" s="2264"/>
      <c r="U159" s="2264"/>
      <c r="V159" s="2264"/>
      <c r="W159" s="2264"/>
    </row>
    <row r="160" spans="1:23" s="2256" customFormat="1">
      <c r="A160" s="2264"/>
      <c r="B160" s="2240"/>
      <c r="C160" s="2245">
        <f>1+C157</f>
        <v>49</v>
      </c>
      <c r="D160" s="2319" t="s">
        <v>1422</v>
      </c>
      <c r="E160" s="2241"/>
      <c r="F160" s="2241"/>
      <c r="G160" s="2241"/>
      <c r="H160" s="2241"/>
      <c r="I160" s="2241"/>
      <c r="J160" s="2241"/>
      <c r="K160" s="2241"/>
      <c r="L160" s="2241"/>
      <c r="M160" s="2242"/>
      <c r="N160" s="2264"/>
      <c r="O160" s="2264"/>
      <c r="P160" s="2264"/>
      <c r="Q160" s="2264"/>
      <c r="R160" s="2264"/>
      <c r="S160" s="2264"/>
      <c r="T160" s="2264"/>
      <c r="U160" s="2264"/>
      <c r="V160" s="2264"/>
      <c r="W160" s="2264"/>
    </row>
    <row r="161" spans="1:23" s="2256" customFormat="1" ht="15" customHeight="1">
      <c r="A161" s="2264"/>
      <c r="B161" s="2240"/>
      <c r="C161" s="2241"/>
      <c r="D161" s="2319" t="s">
        <v>2259</v>
      </c>
      <c r="E161" s="2241"/>
      <c r="F161" s="2241"/>
      <c r="G161" s="2241"/>
      <c r="H161" s="2241"/>
      <c r="I161" s="2241"/>
      <c r="J161" s="2241"/>
      <c r="K161" s="2241"/>
      <c r="L161" s="2241"/>
      <c r="M161" s="2242"/>
      <c r="N161" s="2264"/>
      <c r="O161" s="2264"/>
      <c r="P161" s="2264"/>
      <c r="Q161" s="2264"/>
      <c r="R161" s="2264"/>
      <c r="S161" s="2264"/>
      <c r="T161" s="2264"/>
      <c r="U161" s="2264"/>
      <c r="V161" s="2264"/>
      <c r="W161" s="2264"/>
    </row>
    <row r="162" spans="1:23" s="2256" customFormat="1" ht="15" customHeight="1">
      <c r="A162" s="2264"/>
      <c r="B162" s="2240"/>
      <c r="C162" s="2241"/>
      <c r="D162" s="2314" t="s">
        <v>2260</v>
      </c>
      <c r="E162" s="2345" t="s">
        <v>1958</v>
      </c>
      <c r="F162" s="2346"/>
      <c r="G162" s="2346"/>
      <c r="H162" s="2241" t="s">
        <v>1904</v>
      </c>
      <c r="I162" s="2241"/>
      <c r="J162" s="2241"/>
      <c r="K162" s="2267" t="s">
        <v>2261</v>
      </c>
      <c r="L162" s="2241" t="s">
        <v>1929</v>
      </c>
      <c r="M162" s="2242"/>
      <c r="N162" s="2264"/>
      <c r="O162" s="2264"/>
      <c r="P162" s="2264"/>
      <c r="Q162" s="2264"/>
      <c r="R162" s="2264"/>
      <c r="S162" s="2264"/>
      <c r="T162" s="2264"/>
      <c r="U162" s="2264"/>
      <c r="V162" s="2264"/>
      <c r="W162" s="2264"/>
    </row>
    <row r="163" spans="1:23" s="2256" customFormat="1" ht="15" customHeight="1">
      <c r="A163" s="2264"/>
      <c r="B163" s="2240"/>
      <c r="C163" s="2241"/>
      <c r="D163" s="2319" t="s">
        <v>1928</v>
      </c>
      <c r="E163" s="2241"/>
      <c r="F163" s="2241"/>
      <c r="G163" s="2241"/>
      <c r="H163" s="2241"/>
      <c r="I163" s="2241"/>
      <c r="J163" s="2241"/>
      <c r="K163" s="2241"/>
      <c r="L163" s="2241"/>
      <c r="M163" s="2242"/>
      <c r="N163" s="2264"/>
      <c r="O163" s="2264"/>
      <c r="P163" s="2264"/>
      <c r="Q163" s="2264"/>
      <c r="R163" s="2264"/>
      <c r="S163" s="2264"/>
      <c r="T163" s="2264"/>
      <c r="U163" s="2264"/>
      <c r="V163" s="2264"/>
      <c r="W163" s="2264"/>
    </row>
    <row r="164" spans="1:23" s="2256" customFormat="1" ht="15" customHeight="1">
      <c r="A164" s="2264"/>
      <c r="B164" s="2240"/>
      <c r="C164" s="2241"/>
      <c r="D164" s="2319" t="s">
        <v>1423</v>
      </c>
      <c r="E164" s="2241"/>
      <c r="F164" s="2241"/>
      <c r="G164" s="2241"/>
      <c r="H164" s="2241"/>
      <c r="I164" s="2241"/>
      <c r="J164" s="2241"/>
      <c r="K164" s="2241"/>
      <c r="L164" s="2241"/>
      <c r="M164" s="2242"/>
      <c r="N164" s="2264"/>
      <c r="O164" s="2264"/>
      <c r="P164" s="2264"/>
      <c r="Q164" s="2264"/>
      <c r="R164" s="2264"/>
      <c r="S164" s="2264"/>
      <c r="T164" s="2264"/>
      <c r="U164" s="2264"/>
      <c r="V164" s="2264"/>
      <c r="W164" s="2264"/>
    </row>
    <row r="165" spans="1:23" s="2256" customFormat="1" ht="15" customHeight="1">
      <c r="A165" s="2264"/>
      <c r="B165" s="2240"/>
      <c r="C165" s="2241"/>
      <c r="D165" s="2319" t="s">
        <v>1424</v>
      </c>
      <c r="E165" s="2241"/>
      <c r="F165" s="2241"/>
      <c r="G165" s="2241"/>
      <c r="H165" s="2241"/>
      <c r="I165" s="2241"/>
      <c r="J165" s="2241"/>
      <c r="K165" s="2241"/>
      <c r="L165" s="2241"/>
      <c r="M165" s="2242"/>
      <c r="N165" s="2264"/>
      <c r="O165" s="2264"/>
      <c r="P165" s="2264"/>
      <c r="Q165" s="2264"/>
      <c r="R165" s="2264"/>
      <c r="S165" s="2264"/>
      <c r="T165" s="2264"/>
      <c r="U165" s="2264"/>
      <c r="V165" s="2264"/>
      <c r="W165" s="2264"/>
    </row>
    <row r="166" spans="1:23" s="2256" customFormat="1">
      <c r="A166" s="2264"/>
      <c r="B166" s="2240"/>
      <c r="C166" s="2245">
        <f>1+C160</f>
        <v>50</v>
      </c>
      <c r="D166" s="2319" t="s">
        <v>2262</v>
      </c>
      <c r="E166" s="2241"/>
      <c r="F166" s="2241"/>
      <c r="G166" s="2241"/>
      <c r="H166" s="2241"/>
      <c r="I166" s="2241"/>
      <c r="J166" s="2241"/>
      <c r="K166" s="2241"/>
      <c r="L166" s="2241"/>
      <c r="M166" s="2242"/>
      <c r="N166" s="2264"/>
      <c r="O166" s="2264"/>
      <c r="P166" s="2264"/>
      <c r="Q166" s="2264"/>
      <c r="R166" s="2264"/>
      <c r="S166" s="2264"/>
      <c r="T166" s="2264"/>
      <c r="U166" s="2264"/>
      <c r="V166" s="2264"/>
      <c r="W166" s="2264"/>
    </row>
    <row r="167" spans="1:23" s="2256" customFormat="1">
      <c r="A167" s="2264"/>
      <c r="B167" s="2240"/>
      <c r="C167" s="2241"/>
      <c r="D167" s="2347">
        <f>+'TRIAL-BALANCE'!E8</f>
        <v>2020</v>
      </c>
      <c r="E167" s="2347"/>
      <c r="F167" s="2347"/>
      <c r="G167" s="2322" t="s">
        <v>2263</v>
      </c>
      <c r="H167" s="2241"/>
      <c r="I167" s="2241"/>
      <c r="J167" s="2241"/>
      <c r="K167" s="2241"/>
      <c r="L167" s="2241"/>
      <c r="M167" s="2242"/>
      <c r="N167" s="2264"/>
      <c r="O167" s="2264"/>
      <c r="P167" s="2264"/>
      <c r="Q167" s="2264"/>
      <c r="R167" s="2264"/>
      <c r="S167" s="2264"/>
      <c r="T167" s="2264"/>
      <c r="U167" s="2264"/>
      <c r="V167" s="2264"/>
      <c r="W167" s="2264"/>
    </row>
    <row r="168" spans="1:23" s="2256" customFormat="1">
      <c r="A168" s="2264"/>
      <c r="B168" s="2240"/>
      <c r="C168" s="2241"/>
      <c r="D168" s="2241" t="s">
        <v>1999</v>
      </c>
      <c r="E168" s="2241"/>
      <c r="F168" s="2241"/>
      <c r="G168" s="2241"/>
      <c r="H168" s="2241"/>
      <c r="I168" s="2241"/>
      <c r="J168" s="2241"/>
      <c r="K168" s="2241"/>
      <c r="L168" s="2241"/>
      <c r="M168" s="2242"/>
      <c r="N168" s="2264"/>
      <c r="O168" s="2264"/>
      <c r="P168" s="2264"/>
      <c r="Q168" s="2264"/>
      <c r="R168" s="2264"/>
      <c r="S168" s="2264"/>
      <c r="T168" s="2264"/>
      <c r="U168" s="2264"/>
      <c r="V168" s="2264"/>
      <c r="W168" s="2264"/>
    </row>
    <row r="169" spans="1:23" s="2256" customFormat="1">
      <c r="A169" s="2264"/>
      <c r="B169" s="2240"/>
      <c r="C169" s="2241"/>
      <c r="D169" s="2241" t="s">
        <v>2264</v>
      </c>
      <c r="E169" s="2241"/>
      <c r="F169" s="2241"/>
      <c r="G169" s="2241"/>
      <c r="H169" s="2241"/>
      <c r="I169" s="2241"/>
      <c r="J169" s="2241"/>
      <c r="K169" s="2241"/>
      <c r="L169" s="2241"/>
      <c r="M169" s="2242"/>
      <c r="N169" s="2264"/>
      <c r="O169" s="2264"/>
      <c r="P169" s="2264"/>
      <c r="Q169" s="2264"/>
      <c r="R169" s="2264"/>
      <c r="S169" s="2264"/>
      <c r="T169" s="2264"/>
      <c r="U169" s="2264"/>
      <c r="V169" s="2264"/>
      <c r="W169" s="2264"/>
    </row>
    <row r="170" spans="1:23" s="2256" customFormat="1" ht="6" customHeight="1">
      <c r="A170" s="2264"/>
      <c r="B170" s="2240"/>
      <c r="C170" s="2245"/>
      <c r="D170" s="2241"/>
      <c r="E170" s="2241"/>
      <c r="F170" s="2241"/>
      <c r="G170" s="2241"/>
      <c r="H170" s="2241"/>
      <c r="I170" s="2241"/>
      <c r="J170" s="2241"/>
      <c r="K170" s="2241"/>
      <c r="L170" s="2241"/>
      <c r="M170" s="2242"/>
      <c r="N170" s="2264"/>
      <c r="O170" s="2264"/>
      <c r="P170" s="2264"/>
      <c r="Q170" s="2264"/>
      <c r="R170" s="2264"/>
      <c r="S170" s="2264"/>
      <c r="T170" s="2264"/>
      <c r="U170" s="2264"/>
      <c r="V170" s="2264"/>
      <c r="W170" s="2264"/>
    </row>
    <row r="171" spans="1:23" s="2256" customFormat="1">
      <c r="A171" s="2264"/>
      <c r="B171" s="2243" t="s">
        <v>1425</v>
      </c>
      <c r="C171" s="2247" t="s">
        <v>1905</v>
      </c>
      <c r="D171" s="2241"/>
      <c r="E171" s="2241"/>
      <c r="F171" s="2348">
        <f>+'TRIAL-BALANCE'!E8</f>
        <v>2020</v>
      </c>
      <c r="G171" s="2348"/>
      <c r="H171" s="2348"/>
      <c r="I171" s="2349">
        <f>+'TRIAL-BALANCE'!E8</f>
        <v>2020</v>
      </c>
      <c r="J171" s="2349"/>
      <c r="K171" s="2241"/>
      <c r="L171" s="2241"/>
      <c r="M171" s="2242"/>
      <c r="N171" s="2264"/>
      <c r="O171" s="2264"/>
      <c r="P171" s="2264"/>
      <c r="Q171" s="2264"/>
      <c r="R171" s="2264"/>
      <c r="S171" s="2264"/>
      <c r="T171" s="2264"/>
      <c r="U171" s="2264"/>
      <c r="V171" s="2264"/>
      <c r="W171" s="2264"/>
    </row>
    <row r="172" spans="1:23" s="2256" customFormat="1">
      <c r="A172" s="2264"/>
      <c r="B172" s="2240"/>
      <c r="C172" s="2245">
        <f>1+C166</f>
        <v>51</v>
      </c>
      <c r="D172" s="2241" t="s">
        <v>1426</v>
      </c>
      <c r="E172" s="2241"/>
      <c r="F172" s="2241"/>
      <c r="G172" s="2241"/>
      <c r="H172" s="2241"/>
      <c r="I172" s="2241"/>
      <c r="J172" s="2241"/>
      <c r="K172" s="2241"/>
      <c r="L172" s="2241"/>
      <c r="M172" s="2242"/>
      <c r="N172" s="2264"/>
      <c r="O172" s="2264"/>
      <c r="P172" s="2264"/>
      <c r="Q172" s="2264"/>
      <c r="R172" s="2264"/>
      <c r="S172" s="2264"/>
      <c r="T172" s="2264"/>
      <c r="U172" s="2264"/>
      <c r="V172" s="2264"/>
      <c r="W172" s="2264"/>
    </row>
    <row r="173" spans="1:23" s="2256" customFormat="1">
      <c r="A173" s="2264"/>
      <c r="B173" s="2240"/>
      <c r="C173" s="2245"/>
      <c r="D173" s="2241" t="s">
        <v>1420</v>
      </c>
      <c r="E173" s="2241"/>
      <c r="F173" s="2241"/>
      <c r="G173" s="2241"/>
      <c r="H173" s="2241"/>
      <c r="I173" s="2241"/>
      <c r="J173" s="2241"/>
      <c r="K173" s="2241"/>
      <c r="L173" s="2241"/>
      <c r="M173" s="2242"/>
      <c r="N173" s="2264"/>
      <c r="O173" s="2264"/>
      <c r="P173" s="2264"/>
      <c r="Q173" s="2264"/>
      <c r="R173" s="2264"/>
      <c r="S173" s="2264"/>
      <c r="T173" s="2264"/>
      <c r="U173" s="2264"/>
      <c r="V173" s="2264"/>
      <c r="W173" s="2264"/>
    </row>
    <row r="174" spans="1:23" s="2256" customFormat="1">
      <c r="A174" s="2264"/>
      <c r="B174" s="2240"/>
      <c r="C174" s="2245">
        <f>1+C172</f>
        <v>52</v>
      </c>
      <c r="D174" s="2319" t="s">
        <v>1913</v>
      </c>
      <c r="E174" s="2241"/>
      <c r="F174" s="2241"/>
      <c r="G174" s="2241"/>
      <c r="H174" s="2241"/>
      <c r="I174" s="2241"/>
      <c r="J174" s="2241"/>
      <c r="K174" s="2268">
        <f>+'TRIAL-BALANCE'!E8</f>
        <v>2020</v>
      </c>
      <c r="L174" s="2241" t="s">
        <v>1930</v>
      </c>
      <c r="M174" s="2242"/>
      <c r="N174" s="2264"/>
      <c r="O174" s="2264"/>
      <c r="P174" s="2264"/>
      <c r="Q174" s="2264"/>
      <c r="R174" s="2264"/>
      <c r="S174" s="2264"/>
      <c r="T174" s="2264"/>
      <c r="U174" s="2264"/>
      <c r="V174" s="2264"/>
      <c r="W174" s="2264"/>
    </row>
    <row r="175" spans="1:23" s="2256" customFormat="1">
      <c r="A175" s="2264"/>
      <c r="B175" s="2240"/>
      <c r="C175" s="2245"/>
      <c r="D175" s="2314" t="s">
        <v>1931</v>
      </c>
      <c r="F175" s="2350">
        <f>+'TRIAL-BALANCE'!E8</f>
        <v>2020</v>
      </c>
      <c r="G175" s="2350"/>
      <c r="H175" s="2350"/>
      <c r="I175" s="2241" t="s">
        <v>1912</v>
      </c>
      <c r="J175" s="2241"/>
      <c r="K175" s="2241"/>
      <c r="L175" s="2241"/>
      <c r="M175" s="2242"/>
      <c r="N175" s="2264"/>
      <c r="O175" s="2264"/>
      <c r="P175" s="2264"/>
      <c r="Q175" s="2264"/>
      <c r="R175" s="2264"/>
      <c r="S175" s="2264"/>
      <c r="T175" s="2264"/>
      <c r="U175" s="2264"/>
      <c r="V175" s="2264"/>
      <c r="W175" s="2264"/>
    </row>
    <row r="176" spans="1:23" s="2256" customFormat="1">
      <c r="A176" s="2264"/>
      <c r="B176" s="2240"/>
      <c r="C176" s="2245">
        <f>1+C174</f>
        <v>53</v>
      </c>
      <c r="D176" s="2319" t="s">
        <v>2265</v>
      </c>
      <c r="E176" s="2241"/>
      <c r="F176" s="2241"/>
      <c r="G176" s="2241"/>
      <c r="H176" s="2241"/>
      <c r="I176" s="2241"/>
      <c r="J176" s="2241"/>
      <c r="K176" s="2241"/>
      <c r="L176" s="2241"/>
      <c r="M176" s="2242"/>
      <c r="N176" s="2264"/>
      <c r="O176" s="2264"/>
      <c r="P176" s="2264"/>
      <c r="Q176" s="2264"/>
      <c r="R176" s="2264"/>
      <c r="S176" s="2264"/>
      <c r="T176" s="2264"/>
      <c r="U176" s="2264"/>
      <c r="V176" s="2264"/>
      <c r="W176" s="2264"/>
    </row>
    <row r="177" spans="1:23" s="2256" customFormat="1">
      <c r="A177" s="2264"/>
      <c r="B177" s="2240"/>
      <c r="C177" s="2241"/>
      <c r="D177" s="2241" t="s">
        <v>2266</v>
      </c>
      <c r="E177" s="2241"/>
      <c r="F177" s="2241"/>
      <c r="G177" s="2241"/>
      <c r="H177" s="2241"/>
      <c r="I177" s="2241"/>
      <c r="J177" s="2241"/>
      <c r="K177" s="2241"/>
      <c r="L177" s="2241"/>
      <c r="M177" s="2242"/>
      <c r="N177" s="2264"/>
      <c r="O177" s="2264"/>
      <c r="P177" s="2264"/>
      <c r="Q177" s="2264"/>
      <c r="R177" s="2264"/>
      <c r="S177" s="2264"/>
      <c r="T177" s="2264"/>
      <c r="U177" s="2264"/>
      <c r="V177" s="2264"/>
      <c r="W177" s="2264"/>
    </row>
    <row r="178" spans="1:23" s="2256" customFormat="1">
      <c r="A178" s="2264"/>
      <c r="B178" s="2240"/>
      <c r="C178" s="2241"/>
      <c r="D178" s="2241" t="s">
        <v>2267</v>
      </c>
      <c r="E178" s="2241"/>
      <c r="F178" s="2241"/>
      <c r="G178" s="2241"/>
      <c r="H178" s="2241"/>
      <c r="I178" s="2241"/>
      <c r="J178" s="2241"/>
      <c r="K178" s="2241"/>
      <c r="L178" s="2241"/>
      <c r="M178" s="2242"/>
      <c r="N178" s="2264"/>
      <c r="O178" s="2264"/>
      <c r="P178" s="2264"/>
      <c r="Q178" s="2264"/>
      <c r="R178" s="2264"/>
      <c r="S178" s="2264"/>
      <c r="T178" s="2264"/>
      <c r="U178" s="2264"/>
      <c r="V178" s="2264"/>
      <c r="W178" s="2264"/>
    </row>
    <row r="179" spans="1:23" s="2256" customFormat="1" ht="15" customHeight="1">
      <c r="A179" s="2264"/>
      <c r="B179" s="2240"/>
      <c r="C179" s="2241"/>
      <c r="D179" s="2319" t="s">
        <v>2268</v>
      </c>
      <c r="E179" s="2241"/>
      <c r="F179" s="2241"/>
      <c r="G179" s="2241"/>
      <c r="H179" s="2241"/>
      <c r="I179" s="2241"/>
      <c r="J179" s="2241"/>
      <c r="K179" s="2241"/>
      <c r="L179" s="2241"/>
      <c r="M179" s="2242"/>
      <c r="N179" s="2264"/>
      <c r="O179" s="2264"/>
      <c r="P179" s="2264"/>
      <c r="Q179" s="2264"/>
      <c r="R179" s="2264"/>
      <c r="S179" s="2264"/>
      <c r="T179" s="2264"/>
      <c r="U179" s="2264"/>
      <c r="V179" s="2264"/>
      <c r="W179" s="2264"/>
    </row>
    <row r="180" spans="1:23" s="2256" customFormat="1" ht="15" customHeight="1">
      <c r="A180" s="2264"/>
      <c r="B180" s="2240"/>
      <c r="C180" s="2241"/>
      <c r="D180" s="2319" t="s">
        <v>1914</v>
      </c>
      <c r="E180" s="2351">
        <f>+'R &amp; E data-2019'!I12</f>
        <v>2019</v>
      </c>
      <c r="F180" s="2351"/>
      <c r="G180" s="2351"/>
      <c r="H180" s="2351"/>
      <c r="I180" s="2241" t="s">
        <v>1915</v>
      </c>
      <c r="J180" s="2241"/>
      <c r="K180" s="2241"/>
      <c r="L180" s="2241"/>
      <c r="M180" s="2242"/>
      <c r="N180" s="2264"/>
      <c r="O180" s="2264"/>
      <c r="P180" s="2264"/>
      <c r="Q180" s="2264"/>
      <c r="R180" s="2264"/>
      <c r="S180" s="2264"/>
      <c r="T180" s="2264"/>
      <c r="U180" s="2264"/>
      <c r="V180" s="2264"/>
      <c r="W180" s="2264"/>
    </row>
    <row r="181" spans="1:23" s="2256" customFormat="1" ht="15" customHeight="1">
      <c r="A181" s="2264"/>
      <c r="B181" s="2240"/>
      <c r="C181" s="2241"/>
      <c r="D181" s="2319" t="s">
        <v>2269</v>
      </c>
      <c r="E181" s="2241"/>
      <c r="F181" s="2241"/>
      <c r="G181" s="2241"/>
      <c r="H181" s="2241"/>
      <c r="I181" s="2241"/>
      <c r="J181" s="2241"/>
      <c r="K181" s="2241"/>
      <c r="L181" s="2241"/>
      <c r="M181" s="2242"/>
      <c r="N181" s="2264"/>
      <c r="O181" s="2264"/>
      <c r="P181" s="2264"/>
      <c r="Q181" s="2264"/>
      <c r="R181" s="2264"/>
      <c r="S181" s="2264"/>
      <c r="T181" s="2264"/>
      <c r="U181" s="2264"/>
      <c r="V181" s="2264"/>
      <c r="W181" s="2264"/>
    </row>
    <row r="182" spans="1:23" s="2256" customFormat="1">
      <c r="A182" s="2264"/>
      <c r="B182" s="2240"/>
      <c r="C182" s="2245">
        <f>1+C176</f>
        <v>54</v>
      </c>
      <c r="D182" s="2319" t="s">
        <v>1427</v>
      </c>
      <c r="E182" s="2241"/>
      <c r="F182" s="2241"/>
      <c r="G182" s="2241"/>
      <c r="H182" s="2241"/>
      <c r="I182" s="2241"/>
      <c r="J182" s="2241"/>
      <c r="K182" s="2241"/>
      <c r="L182" s="2241"/>
      <c r="M182" s="2242"/>
      <c r="N182" s="2264"/>
      <c r="O182" s="2264"/>
      <c r="P182" s="2264"/>
      <c r="Q182" s="2264"/>
      <c r="R182" s="2264"/>
      <c r="S182" s="2264"/>
      <c r="T182" s="2264"/>
      <c r="U182" s="2264"/>
      <c r="V182" s="2264"/>
      <c r="W182" s="2264"/>
    </row>
    <row r="183" spans="1:23" s="2256" customFormat="1" ht="15" customHeight="1">
      <c r="A183" s="2264"/>
      <c r="B183" s="2240"/>
      <c r="C183" s="2241"/>
      <c r="D183" s="2319" t="s">
        <v>2270</v>
      </c>
      <c r="E183" s="2241"/>
      <c r="F183" s="2241"/>
      <c r="G183" s="2241"/>
      <c r="H183" s="2241"/>
      <c r="I183" s="2241"/>
      <c r="J183" s="2241"/>
      <c r="K183" s="2241"/>
      <c r="L183" s="2241"/>
      <c r="M183" s="2242"/>
      <c r="N183" s="2264"/>
      <c r="O183" s="2264"/>
      <c r="P183" s="2264"/>
      <c r="Q183" s="2264"/>
      <c r="R183" s="2264"/>
      <c r="S183" s="2264"/>
      <c r="T183" s="2264"/>
      <c r="U183" s="2264"/>
      <c r="V183" s="2264"/>
      <c r="W183" s="2264"/>
    </row>
    <row r="184" spans="1:23" s="2256" customFormat="1" ht="15" customHeight="1">
      <c r="A184" s="2264"/>
      <c r="B184" s="2240"/>
      <c r="C184" s="2241"/>
      <c r="D184" s="2319" t="s">
        <v>2271</v>
      </c>
      <c r="E184" s="2241"/>
      <c r="F184" s="2241"/>
      <c r="G184" s="2241"/>
      <c r="H184" s="2241"/>
      <c r="I184" s="2241"/>
      <c r="J184" s="2241"/>
      <c r="K184" s="2269" t="s">
        <v>1956</v>
      </c>
      <c r="L184" s="2241" t="s">
        <v>1932</v>
      </c>
      <c r="M184" s="2242"/>
      <c r="N184" s="2264"/>
      <c r="O184" s="2264"/>
      <c r="P184" s="2264"/>
      <c r="Q184" s="2264"/>
      <c r="R184" s="2264"/>
      <c r="S184" s="2264"/>
      <c r="T184" s="2264"/>
      <c r="U184" s="2264"/>
      <c r="V184" s="2264"/>
      <c r="W184" s="2264"/>
    </row>
    <row r="185" spans="1:23" s="2256" customFormat="1" ht="15" customHeight="1">
      <c r="A185" s="2264"/>
      <c r="B185" s="2240"/>
      <c r="C185" s="2241"/>
      <c r="D185" s="2319" t="s">
        <v>2272</v>
      </c>
      <c r="E185" s="2241"/>
      <c r="F185" s="2241"/>
      <c r="G185" s="2241"/>
      <c r="H185" s="2241"/>
      <c r="I185" s="2241"/>
      <c r="J185" s="2241"/>
      <c r="K185" s="2241"/>
      <c r="L185" s="2241"/>
      <c r="M185" s="2242"/>
      <c r="N185" s="2264"/>
      <c r="O185" s="2264"/>
      <c r="P185" s="2264"/>
      <c r="Q185" s="2264"/>
      <c r="R185" s="2264"/>
      <c r="S185" s="2264"/>
      <c r="T185" s="2264"/>
      <c r="U185" s="2264"/>
      <c r="V185" s="2264"/>
      <c r="W185" s="2264"/>
    </row>
    <row r="186" spans="1:23" s="2256" customFormat="1" ht="15" customHeight="1">
      <c r="A186" s="2264"/>
      <c r="B186" s="2240"/>
      <c r="C186" s="2241"/>
      <c r="D186" s="2319" t="s">
        <v>1428</v>
      </c>
      <c r="E186" s="2241"/>
      <c r="F186" s="2241"/>
      <c r="G186" s="2241"/>
      <c r="H186" s="2241"/>
      <c r="I186" s="2241"/>
      <c r="J186" s="2241"/>
      <c r="K186" s="2241"/>
      <c r="L186" s="2241"/>
      <c r="M186" s="2242"/>
      <c r="N186" s="2264"/>
      <c r="O186" s="2264"/>
      <c r="P186" s="2264"/>
      <c r="Q186" s="2264"/>
      <c r="R186" s="2264"/>
      <c r="S186" s="2264"/>
      <c r="T186" s="2264"/>
      <c r="U186" s="2264"/>
      <c r="V186" s="2264"/>
      <c r="W186" s="2264"/>
    </row>
    <row r="187" spans="1:23" s="2256" customFormat="1">
      <c r="A187" s="2264"/>
      <c r="B187" s="2240"/>
      <c r="C187" s="2245">
        <f>1+C182</f>
        <v>55</v>
      </c>
      <c r="D187" s="2319" t="s">
        <v>2262</v>
      </c>
      <c r="E187" s="2241"/>
      <c r="F187" s="2241"/>
      <c r="G187" s="2241"/>
      <c r="H187" s="2241"/>
      <c r="I187" s="2241"/>
      <c r="J187" s="2241"/>
      <c r="K187" s="2241"/>
      <c r="L187" s="2241"/>
      <c r="M187" s="2242"/>
      <c r="N187" s="2264"/>
      <c r="O187" s="2264"/>
      <c r="P187" s="2264"/>
      <c r="Q187" s="2264"/>
      <c r="R187" s="2264"/>
      <c r="S187" s="2264"/>
      <c r="T187" s="2264"/>
      <c r="U187" s="2264"/>
      <c r="V187" s="2264"/>
      <c r="W187" s="2264"/>
    </row>
    <row r="188" spans="1:23" s="2256" customFormat="1">
      <c r="A188" s="2264"/>
      <c r="B188" s="2240"/>
      <c r="C188" s="2241"/>
      <c r="D188" s="2338">
        <f>+'TRIAL-BALANCE'!E8</f>
        <v>2020</v>
      </c>
      <c r="E188" s="2338"/>
      <c r="F188" s="2322" t="s">
        <v>2273</v>
      </c>
      <c r="G188" s="2241"/>
      <c r="H188" s="2241"/>
      <c r="I188" s="2241"/>
      <c r="J188" s="2241"/>
      <c r="K188" s="2241"/>
      <c r="L188" s="2241"/>
      <c r="M188" s="2242"/>
      <c r="N188" s="2264"/>
      <c r="O188" s="2264"/>
      <c r="P188" s="2264"/>
      <c r="Q188" s="2264"/>
      <c r="R188" s="2264"/>
      <c r="S188" s="2264"/>
      <c r="T188" s="2264"/>
      <c r="U188" s="2264"/>
      <c r="V188" s="2264"/>
      <c r="W188" s="2264"/>
    </row>
    <row r="189" spans="1:23" s="2256" customFormat="1">
      <c r="A189" s="2264"/>
      <c r="B189" s="2240"/>
      <c r="C189" s="2241"/>
      <c r="D189" s="2241" t="s">
        <v>1999</v>
      </c>
      <c r="E189" s="2241"/>
      <c r="F189" s="2241"/>
      <c r="G189" s="2241"/>
      <c r="H189" s="2241"/>
      <c r="I189" s="2241"/>
      <c r="J189" s="2241"/>
      <c r="K189" s="2241"/>
      <c r="L189" s="2241"/>
      <c r="M189" s="2242"/>
      <c r="N189" s="2264"/>
      <c r="O189" s="2264"/>
      <c r="P189" s="2264"/>
      <c r="Q189" s="2264"/>
      <c r="R189" s="2264"/>
      <c r="S189" s="2264"/>
      <c r="T189" s="2264"/>
      <c r="U189" s="2264"/>
      <c r="V189" s="2264"/>
      <c r="W189" s="2264"/>
    </row>
    <row r="190" spans="1:23" s="2256" customFormat="1">
      <c r="A190" s="2264"/>
      <c r="B190" s="2240"/>
      <c r="C190" s="2241"/>
      <c r="D190" s="2241" t="s">
        <v>2264</v>
      </c>
      <c r="E190" s="2241"/>
      <c r="F190" s="2241"/>
      <c r="G190" s="2241"/>
      <c r="H190" s="2241"/>
      <c r="I190" s="2241"/>
      <c r="J190" s="2241"/>
      <c r="K190" s="2241"/>
      <c r="L190" s="2241"/>
      <c r="M190" s="2242"/>
      <c r="N190" s="2264"/>
      <c r="O190" s="2264"/>
      <c r="P190" s="2264"/>
      <c r="Q190" s="2264"/>
      <c r="R190" s="2264"/>
      <c r="S190" s="2264"/>
      <c r="T190" s="2264"/>
      <c r="U190" s="2264"/>
      <c r="V190" s="2264"/>
      <c r="W190" s="2264"/>
    </row>
    <row r="191" spans="1:23" s="2256" customFormat="1" ht="6" customHeight="1">
      <c r="A191" s="2264"/>
      <c r="B191" s="2240"/>
      <c r="C191" s="2245"/>
      <c r="D191" s="2241"/>
      <c r="E191" s="2241"/>
      <c r="F191" s="2241"/>
      <c r="G191" s="2241"/>
      <c r="H191" s="2241"/>
      <c r="I191" s="2241"/>
      <c r="J191" s="2241"/>
      <c r="K191" s="2241"/>
      <c r="L191" s="2241"/>
      <c r="M191" s="2242"/>
      <c r="N191" s="2264"/>
      <c r="O191" s="2264"/>
      <c r="P191" s="2264"/>
      <c r="Q191" s="2264"/>
      <c r="R191" s="2264"/>
      <c r="S191" s="2264"/>
      <c r="T191" s="2264"/>
      <c r="U191" s="2264"/>
      <c r="V191" s="2264"/>
      <c r="W191" s="2264"/>
    </row>
    <row r="192" spans="1:23" s="2256" customFormat="1">
      <c r="A192" s="2264"/>
      <c r="B192" s="2243" t="s">
        <v>1429</v>
      </c>
      <c r="C192" s="2247" t="s">
        <v>1906</v>
      </c>
      <c r="D192" s="2241"/>
      <c r="E192" s="2241"/>
      <c r="F192" s="2339" t="s">
        <v>2002</v>
      </c>
      <c r="G192" s="2340"/>
      <c r="H192" s="2340"/>
      <c r="I192" s="2241"/>
      <c r="J192" s="2241"/>
      <c r="K192" s="2241"/>
      <c r="L192" s="2241"/>
      <c r="M192" s="2242"/>
      <c r="N192" s="2264"/>
      <c r="O192" s="2264"/>
      <c r="P192" s="2264"/>
      <c r="Q192" s="2264"/>
      <c r="R192" s="2264"/>
      <c r="S192" s="2264"/>
      <c r="T192" s="2264"/>
      <c r="U192" s="2264"/>
      <c r="V192" s="2264"/>
      <c r="W192" s="2264"/>
    </row>
    <row r="193" spans="1:23" s="2256" customFormat="1">
      <c r="A193" s="2264"/>
      <c r="B193" s="2240"/>
      <c r="C193" s="2245">
        <f>1+C187</f>
        <v>56</v>
      </c>
      <c r="D193" s="2241" t="s">
        <v>2004</v>
      </c>
      <c r="E193" s="2241"/>
      <c r="F193" s="2241"/>
      <c r="G193" s="2241"/>
      <c r="H193" s="2241"/>
      <c r="I193" s="2241"/>
      <c r="J193" s="2241"/>
      <c r="K193" s="2241"/>
      <c r="L193" s="2241"/>
      <c r="M193" s="2242"/>
      <c r="N193" s="2264"/>
      <c r="O193" s="2264"/>
      <c r="P193" s="2264"/>
      <c r="Q193" s="2264"/>
      <c r="R193" s="2264"/>
      <c r="S193" s="2264"/>
      <c r="T193" s="2264"/>
      <c r="U193" s="2264"/>
      <c r="V193" s="2264"/>
      <c r="W193" s="2264"/>
    </row>
    <row r="194" spans="1:23" s="2256" customFormat="1">
      <c r="A194" s="2264"/>
      <c r="B194" s="2240"/>
      <c r="C194" s="2241"/>
      <c r="D194" s="2241" t="s">
        <v>2003</v>
      </c>
      <c r="E194" s="2241"/>
      <c r="F194" s="2241"/>
      <c r="G194" s="2241"/>
      <c r="H194" s="2241"/>
      <c r="I194" s="2241"/>
      <c r="J194" s="2241"/>
      <c r="K194" s="2241"/>
      <c r="L194" s="2241"/>
      <c r="M194" s="2242"/>
      <c r="N194" s="2264"/>
      <c r="O194" s="2264"/>
      <c r="P194" s="2264"/>
      <c r="Q194" s="2264"/>
      <c r="R194" s="2264"/>
      <c r="S194" s="2264"/>
      <c r="T194" s="2264"/>
      <c r="U194" s="2264"/>
      <c r="V194" s="2264"/>
      <c r="W194" s="2264"/>
    </row>
    <row r="195" spans="1:23" s="2256" customFormat="1">
      <c r="A195" s="2264"/>
      <c r="B195" s="2240"/>
      <c r="C195" s="2245">
        <f>1+C193</f>
        <v>57</v>
      </c>
      <c r="D195" s="2241" t="s">
        <v>2274</v>
      </c>
      <c r="E195" s="2241"/>
      <c r="F195" s="2241"/>
      <c r="G195" s="2241"/>
      <c r="H195" s="2241"/>
      <c r="I195" s="2241"/>
      <c r="J195" s="2241"/>
      <c r="K195" s="2241"/>
      <c r="L195" s="2241"/>
      <c r="M195" s="2242"/>
      <c r="N195" s="2264"/>
      <c r="O195" s="2264"/>
      <c r="P195" s="2264"/>
      <c r="Q195" s="2264"/>
      <c r="R195" s="2264"/>
      <c r="S195" s="2264"/>
      <c r="T195" s="2264"/>
      <c r="U195" s="2264"/>
      <c r="V195" s="2264"/>
      <c r="W195" s="2264"/>
    </row>
    <row r="196" spans="1:23" s="2256" customFormat="1">
      <c r="A196" s="2264"/>
      <c r="B196" s="2240"/>
      <c r="C196" s="2241"/>
      <c r="D196" s="2241" t="s">
        <v>2005</v>
      </c>
      <c r="E196" s="2241"/>
      <c r="F196" s="2241"/>
      <c r="G196" s="2241"/>
      <c r="H196" s="2241"/>
      <c r="I196" s="2241"/>
      <c r="J196" s="2241"/>
      <c r="K196" s="2241"/>
      <c r="L196" s="2241"/>
      <c r="M196" s="2242"/>
      <c r="N196" s="2264"/>
      <c r="O196" s="2264"/>
      <c r="P196" s="2264"/>
      <c r="Q196" s="2264"/>
      <c r="R196" s="2264"/>
      <c r="S196" s="2264"/>
      <c r="T196" s="2264"/>
      <c r="U196" s="2264"/>
      <c r="V196" s="2264"/>
      <c r="W196" s="2264"/>
    </row>
    <row r="197" spans="1:23" s="2256" customFormat="1">
      <c r="A197" s="2264"/>
      <c r="B197" s="2240"/>
      <c r="C197" s="2241"/>
      <c r="D197" s="2241" t="s">
        <v>2275</v>
      </c>
      <c r="E197" s="2241"/>
      <c r="F197" s="2241"/>
      <c r="G197" s="2241"/>
      <c r="H197" s="2241"/>
      <c r="I197" s="2241"/>
      <c r="J197" s="2241"/>
      <c r="K197" s="2241"/>
      <c r="L197" s="2241"/>
      <c r="M197" s="2242"/>
      <c r="N197" s="2264"/>
      <c r="O197" s="2264"/>
      <c r="P197" s="2264"/>
      <c r="Q197" s="2264"/>
      <c r="R197" s="2264"/>
      <c r="S197" s="2264"/>
      <c r="T197" s="2264"/>
      <c r="U197" s="2264"/>
      <c r="V197" s="2264"/>
      <c r="W197" s="2264"/>
    </row>
    <row r="198" spans="1:23" s="2256" customFormat="1">
      <c r="A198" s="2264"/>
      <c r="B198" s="2240"/>
      <c r="C198" s="2245">
        <f>1+C195</f>
        <v>58</v>
      </c>
      <c r="D198" s="2241" t="s">
        <v>2276</v>
      </c>
      <c r="E198" s="2241"/>
      <c r="F198" s="2241"/>
      <c r="G198" s="2241"/>
      <c r="H198" s="2241"/>
      <c r="I198" s="2241"/>
      <c r="J198" s="2241"/>
      <c r="K198" s="2241"/>
      <c r="L198" s="2241"/>
      <c r="M198" s="2242"/>
      <c r="N198" s="2264"/>
      <c r="O198" s="2264"/>
      <c r="P198" s="2264"/>
      <c r="Q198" s="2264"/>
      <c r="R198" s="2264"/>
      <c r="S198" s="2264"/>
      <c r="T198" s="2264"/>
      <c r="U198" s="2264"/>
      <c r="V198" s="2264"/>
      <c r="W198" s="2264"/>
    </row>
    <row r="199" spans="1:23" s="2256" customFormat="1">
      <c r="A199" s="2264"/>
      <c r="B199" s="2240"/>
      <c r="C199" s="2241"/>
      <c r="D199" s="2241" t="s">
        <v>2277</v>
      </c>
      <c r="E199" s="2241"/>
      <c r="F199" s="2241"/>
      <c r="G199" s="2241"/>
      <c r="H199" s="2241"/>
      <c r="I199" s="2241"/>
      <c r="J199" s="2241"/>
      <c r="K199" s="2241"/>
      <c r="L199" s="2241"/>
      <c r="M199" s="2242"/>
      <c r="N199" s="2264"/>
      <c r="O199" s="2264"/>
      <c r="P199" s="2264"/>
      <c r="Q199" s="2264"/>
      <c r="R199" s="2264"/>
      <c r="S199" s="2264"/>
      <c r="T199" s="2264"/>
      <c r="U199" s="2264"/>
      <c r="V199" s="2264"/>
      <c r="W199" s="2264"/>
    </row>
    <row r="200" spans="1:23" s="2256" customFormat="1">
      <c r="A200" s="2264"/>
      <c r="B200" s="2240"/>
      <c r="C200" s="2241"/>
      <c r="D200" s="2241" t="s">
        <v>2278</v>
      </c>
      <c r="E200" s="2241"/>
      <c r="F200" s="2241"/>
      <c r="G200" s="2241"/>
      <c r="H200" s="2241"/>
      <c r="I200" s="2241"/>
      <c r="J200" s="2241"/>
      <c r="K200" s="2241"/>
      <c r="L200" s="2241"/>
      <c r="M200" s="2242"/>
      <c r="N200" s="2264"/>
      <c r="O200" s="2264"/>
      <c r="P200" s="2264"/>
      <c r="Q200" s="2264"/>
      <c r="R200" s="2264"/>
      <c r="S200" s="2264"/>
      <c r="T200" s="2264"/>
      <c r="U200" s="2264"/>
      <c r="V200" s="2264"/>
      <c r="W200" s="2264"/>
    </row>
    <row r="201" spans="1:23" s="2256" customFormat="1">
      <c r="A201" s="2264"/>
      <c r="B201" s="2240"/>
      <c r="C201" s="2241"/>
      <c r="D201" s="2241" t="s">
        <v>2007</v>
      </c>
      <c r="E201" s="2241"/>
      <c r="F201" s="2241"/>
      <c r="G201" s="2241"/>
      <c r="H201" s="2241"/>
      <c r="I201" s="2241"/>
      <c r="J201" s="2241"/>
      <c r="K201" s="2241"/>
      <c r="L201" s="2241"/>
      <c r="M201" s="2242"/>
      <c r="N201" s="2264"/>
      <c r="O201" s="2264"/>
      <c r="P201" s="2264"/>
      <c r="Q201" s="2264"/>
      <c r="R201" s="2264"/>
      <c r="S201" s="2264"/>
      <c r="T201" s="2264"/>
      <c r="U201" s="2264"/>
      <c r="V201" s="2264"/>
      <c r="W201" s="2264"/>
    </row>
    <row r="202" spans="1:23" s="2256" customFormat="1">
      <c r="A202" s="2264"/>
      <c r="B202" s="2240"/>
      <c r="C202" s="2241"/>
      <c r="D202" s="2241" t="s">
        <v>2279</v>
      </c>
      <c r="E202" s="2241"/>
      <c r="F202" s="2241"/>
      <c r="G202" s="2241"/>
      <c r="H202" s="2241"/>
      <c r="I202" s="2241"/>
      <c r="J202" s="2241"/>
      <c r="K202" s="2241"/>
      <c r="L202" s="2241"/>
      <c r="M202" s="2242"/>
      <c r="N202" s="2264"/>
      <c r="O202" s="2264"/>
      <c r="P202" s="2264"/>
      <c r="Q202" s="2264"/>
      <c r="R202" s="2264"/>
      <c r="S202" s="2264"/>
      <c r="T202" s="2264"/>
      <c r="U202" s="2264"/>
      <c r="V202" s="2264"/>
      <c r="W202" s="2264"/>
    </row>
    <row r="203" spans="1:23" s="2256" customFormat="1">
      <c r="A203" s="2264"/>
      <c r="B203" s="2240"/>
      <c r="C203" s="2241"/>
      <c r="D203" s="2314" t="s">
        <v>2280</v>
      </c>
      <c r="E203" s="2241"/>
      <c r="F203" s="2241"/>
      <c r="G203" s="2241"/>
      <c r="H203" s="2241"/>
      <c r="I203" s="2241"/>
      <c r="J203" s="2241"/>
      <c r="K203" s="2241"/>
      <c r="L203" s="2241"/>
      <c r="M203" s="2242"/>
      <c r="N203" s="2264"/>
      <c r="O203" s="2264"/>
      <c r="P203" s="2264"/>
      <c r="Q203" s="2264"/>
      <c r="R203" s="2264"/>
      <c r="S203" s="2264"/>
      <c r="T203" s="2264"/>
      <c r="U203" s="2264"/>
      <c r="V203" s="2264"/>
      <c r="W203" s="2264"/>
    </row>
    <row r="204" spans="1:23" s="2256" customFormat="1">
      <c r="A204" s="2264"/>
      <c r="B204" s="2240"/>
      <c r="C204" s="2245">
        <f>1+C198</f>
        <v>59</v>
      </c>
      <c r="D204" s="2241" t="s">
        <v>2281</v>
      </c>
      <c r="E204" s="2241"/>
      <c r="F204" s="2241"/>
      <c r="G204" s="2241"/>
      <c r="H204" s="2241"/>
      <c r="I204" s="2241"/>
      <c r="J204" s="2241"/>
      <c r="K204" s="2241"/>
      <c r="L204" s="2241"/>
      <c r="M204" s="2242"/>
      <c r="N204" s="2264"/>
      <c r="O204" s="2264"/>
      <c r="P204" s="2264"/>
      <c r="Q204" s="2264"/>
      <c r="R204" s="2264"/>
      <c r="S204" s="2264"/>
      <c r="T204" s="2264"/>
      <c r="U204" s="2264"/>
      <c r="V204" s="2264"/>
      <c r="W204" s="2264"/>
    </row>
    <row r="205" spans="1:23" s="2256" customFormat="1">
      <c r="A205" s="2264"/>
      <c r="B205" s="2240"/>
      <c r="C205" s="2241"/>
      <c r="D205" s="2241" t="s">
        <v>2282</v>
      </c>
      <c r="E205" s="2241"/>
      <c r="F205" s="2241"/>
      <c r="G205" s="2241"/>
      <c r="H205" s="2241"/>
      <c r="I205" s="2241"/>
      <c r="J205" s="2241"/>
      <c r="K205" s="2241"/>
      <c r="L205" s="2241"/>
      <c r="M205" s="2242"/>
      <c r="N205" s="2264"/>
      <c r="O205" s="2264"/>
      <c r="P205" s="2264"/>
      <c r="Q205" s="2264"/>
      <c r="R205" s="2264"/>
      <c r="S205" s="2264"/>
      <c r="T205" s="2264"/>
      <c r="U205" s="2264"/>
      <c r="V205" s="2264"/>
      <c r="W205" s="2264"/>
    </row>
    <row r="206" spans="1:23" s="2256" customFormat="1">
      <c r="A206" s="2264"/>
      <c r="B206" s="2240"/>
      <c r="C206" s="2241"/>
      <c r="D206" s="2241" t="s">
        <v>2283</v>
      </c>
      <c r="E206" s="2241"/>
      <c r="F206" s="2241"/>
      <c r="G206" s="2241"/>
      <c r="H206" s="2241"/>
      <c r="I206" s="2241"/>
      <c r="J206" s="2241"/>
      <c r="K206" s="2241"/>
      <c r="L206" s="2241"/>
      <c r="M206" s="2242"/>
      <c r="N206" s="2264"/>
      <c r="O206" s="2264"/>
      <c r="P206" s="2264"/>
      <c r="Q206" s="2264"/>
      <c r="R206" s="2264"/>
      <c r="S206" s="2264"/>
      <c r="T206" s="2264"/>
      <c r="U206" s="2264"/>
      <c r="V206" s="2264"/>
      <c r="W206" s="2264"/>
    </row>
    <row r="207" spans="1:23" s="2256" customFormat="1">
      <c r="A207" s="2264"/>
      <c r="B207" s="2240"/>
      <c r="C207" s="2245">
        <f>1+C204</f>
        <v>60</v>
      </c>
      <c r="D207" s="2241" t="s">
        <v>2144</v>
      </c>
      <c r="E207" s="2241"/>
      <c r="F207" s="2241"/>
      <c r="G207" s="2241"/>
      <c r="H207" s="2241"/>
      <c r="I207" s="2241"/>
      <c r="J207" s="2241"/>
      <c r="K207" s="2241"/>
      <c r="L207" s="2241"/>
      <c r="M207" s="2242"/>
      <c r="N207" s="2264"/>
      <c r="O207" s="2264"/>
      <c r="P207" s="2264"/>
      <c r="Q207" s="2264"/>
      <c r="R207" s="2264"/>
      <c r="S207" s="2264"/>
      <c r="T207" s="2264"/>
      <c r="U207" s="2264"/>
      <c r="V207" s="2264"/>
      <c r="W207" s="2264"/>
    </row>
    <row r="208" spans="1:23" s="2256" customFormat="1">
      <c r="A208" s="2264"/>
      <c r="B208" s="2240"/>
      <c r="C208" s="2241"/>
      <c r="D208" s="2314" t="s">
        <v>2284</v>
      </c>
      <c r="E208" s="2241"/>
      <c r="F208" s="2241"/>
      <c r="G208" s="2241"/>
      <c r="H208" s="2241"/>
      <c r="I208" s="2241"/>
      <c r="J208" s="2241"/>
      <c r="K208" s="2241"/>
      <c r="L208" s="2241"/>
      <c r="M208" s="2242"/>
      <c r="N208" s="2264"/>
      <c r="O208" s="2264"/>
      <c r="P208" s="2264"/>
      <c r="Q208" s="2264"/>
      <c r="R208" s="2264"/>
      <c r="S208" s="2264"/>
      <c r="T208" s="2264"/>
      <c r="U208" s="2264"/>
      <c r="V208" s="2264"/>
      <c r="W208" s="2264"/>
    </row>
    <row r="209" spans="1:23" s="2256" customFormat="1">
      <c r="A209" s="2264"/>
      <c r="B209" s="2240"/>
      <c r="C209" s="2241"/>
      <c r="D209" s="2241" t="s">
        <v>2086</v>
      </c>
      <c r="E209" s="2241"/>
      <c r="F209" s="2241"/>
      <c r="G209" s="2241"/>
      <c r="H209" s="2241"/>
      <c r="I209" s="2241"/>
      <c r="J209" s="2241"/>
      <c r="K209" s="2241"/>
      <c r="L209" s="2241"/>
      <c r="M209" s="2242"/>
      <c r="N209" s="2264"/>
      <c r="O209" s="2264"/>
      <c r="P209" s="2264"/>
      <c r="Q209" s="2264"/>
      <c r="R209" s="2264"/>
      <c r="S209" s="2264"/>
      <c r="T209" s="2264"/>
      <c r="U209" s="2264"/>
      <c r="V209" s="2264"/>
      <c r="W209" s="2264"/>
    </row>
    <row r="210" spans="1:23" s="2256" customFormat="1">
      <c r="A210" s="2264"/>
      <c r="B210" s="2240"/>
      <c r="C210" s="2241"/>
      <c r="D210" s="2241" t="s">
        <v>2285</v>
      </c>
      <c r="E210" s="2241"/>
      <c r="F210" s="2241"/>
      <c r="G210" s="2241"/>
      <c r="H210" s="2241"/>
      <c r="I210" s="2241"/>
      <c r="J210" s="2241"/>
      <c r="K210" s="2241"/>
      <c r="L210" s="2241"/>
      <c r="M210" s="2242"/>
      <c r="N210" s="2264"/>
      <c r="O210" s="2264"/>
      <c r="P210" s="2264"/>
      <c r="Q210" s="2264"/>
      <c r="R210" s="2264"/>
      <c r="S210" s="2264"/>
      <c r="T210" s="2264"/>
      <c r="U210" s="2264"/>
      <c r="V210" s="2264"/>
      <c r="W210" s="2264"/>
    </row>
    <row r="211" spans="1:23" s="2256" customFormat="1">
      <c r="A211" s="2264"/>
      <c r="B211" s="2240"/>
      <c r="C211" s="2245">
        <f>1+C207</f>
        <v>61</v>
      </c>
      <c r="D211" s="2241" t="s">
        <v>2006</v>
      </c>
      <c r="E211" s="2241"/>
      <c r="F211" s="2241"/>
      <c r="G211" s="2241"/>
      <c r="H211" s="2241"/>
      <c r="I211" s="2241"/>
      <c r="J211" s="2241"/>
      <c r="K211" s="2241"/>
      <c r="L211" s="2241"/>
      <c r="M211" s="2242"/>
      <c r="N211" s="2264"/>
      <c r="O211" s="2264"/>
      <c r="P211" s="2264"/>
      <c r="Q211" s="2264"/>
      <c r="R211" s="2264"/>
      <c r="S211" s="2264"/>
      <c r="T211" s="2264"/>
      <c r="U211" s="2264"/>
      <c r="V211" s="2264"/>
      <c r="W211" s="2264"/>
    </row>
    <row r="212" spans="1:23" s="2256" customFormat="1">
      <c r="A212" s="2264"/>
      <c r="B212" s="2240"/>
      <c r="C212" s="2241"/>
      <c r="D212" s="2241" t="s">
        <v>2009</v>
      </c>
      <c r="E212" s="2241"/>
      <c r="F212" s="2241"/>
      <c r="G212" s="2241"/>
      <c r="H212" s="2241"/>
      <c r="I212" s="2241"/>
      <c r="J212" s="2241"/>
      <c r="K212" s="2241"/>
      <c r="L212" s="2241"/>
      <c r="M212" s="2242"/>
      <c r="N212" s="2264"/>
      <c r="O212" s="2264"/>
      <c r="P212" s="2264"/>
      <c r="Q212" s="2264"/>
      <c r="R212" s="2264"/>
      <c r="S212" s="2264"/>
      <c r="T212" s="2264"/>
      <c r="U212" s="2264"/>
      <c r="V212" s="2264"/>
      <c r="W212" s="2264"/>
    </row>
    <row r="213" spans="1:23" s="2256" customFormat="1">
      <c r="A213" s="2264"/>
      <c r="B213" s="2240"/>
      <c r="C213" s="2241"/>
      <c r="D213" s="2241" t="s">
        <v>2008</v>
      </c>
      <c r="E213" s="2241"/>
      <c r="F213" s="2241"/>
      <c r="G213" s="2241"/>
      <c r="H213" s="2241"/>
      <c r="I213" s="2241"/>
      <c r="J213" s="2241"/>
      <c r="K213" s="2241"/>
      <c r="L213" s="2241"/>
      <c r="M213" s="2242"/>
      <c r="N213" s="2264"/>
      <c r="O213" s="2264"/>
      <c r="P213" s="2264"/>
      <c r="Q213" s="2264"/>
      <c r="R213" s="2264"/>
      <c r="S213" s="2264"/>
      <c r="T213" s="2264"/>
      <c r="U213" s="2264"/>
      <c r="V213" s="2264"/>
      <c r="W213" s="2264"/>
    </row>
    <row r="214" spans="1:23" s="2256" customFormat="1">
      <c r="A214" s="2264"/>
      <c r="B214" s="2240"/>
      <c r="C214" s="2241"/>
      <c r="D214" s="2241" t="s">
        <v>2286</v>
      </c>
      <c r="E214" s="2241"/>
      <c r="F214" s="2241"/>
      <c r="G214" s="2241"/>
      <c r="H214" s="2241"/>
      <c r="I214" s="2241"/>
      <c r="J214" s="2241"/>
      <c r="K214" s="2241"/>
      <c r="L214" s="2241"/>
      <c r="M214" s="2242"/>
      <c r="N214" s="2264"/>
      <c r="O214" s="2264"/>
      <c r="P214" s="2264"/>
      <c r="Q214" s="2264"/>
      <c r="R214" s="2264"/>
      <c r="S214" s="2264"/>
      <c r="T214" s="2264"/>
      <c r="U214" s="2264"/>
      <c r="V214" s="2264"/>
      <c r="W214" s="2264"/>
    </row>
    <row r="215" spans="1:23" s="2256" customFormat="1">
      <c r="A215" s="2264"/>
      <c r="B215" s="2240"/>
      <c r="C215" s="2241"/>
      <c r="D215" s="2241" t="s">
        <v>2287</v>
      </c>
      <c r="E215" s="2241"/>
      <c r="F215" s="2241"/>
      <c r="G215" s="2241"/>
      <c r="H215" s="2241"/>
      <c r="I215" s="2241"/>
      <c r="J215" s="2241"/>
      <c r="K215" s="2241"/>
      <c r="L215" s="2241"/>
      <c r="M215" s="2242"/>
      <c r="N215" s="2264"/>
      <c r="O215" s="2264"/>
      <c r="P215" s="2264"/>
      <c r="Q215" s="2264"/>
      <c r="R215" s="2264"/>
      <c r="S215" s="2264"/>
      <c r="T215" s="2264"/>
      <c r="U215" s="2264"/>
      <c r="V215" s="2264"/>
      <c r="W215" s="2264"/>
    </row>
    <row r="216" spans="1:23" s="2256" customFormat="1">
      <c r="A216" s="2264"/>
      <c r="B216" s="2240"/>
      <c r="C216" s="2245">
        <f>1+C211</f>
        <v>62</v>
      </c>
      <c r="D216" s="2241" t="s">
        <v>2013</v>
      </c>
      <c r="E216" s="2241"/>
      <c r="F216" s="2241"/>
      <c r="G216" s="2241"/>
      <c r="H216" s="2241"/>
      <c r="I216" s="2241"/>
      <c r="J216" s="2241"/>
      <c r="K216" s="2241"/>
      <c r="L216" s="2241"/>
      <c r="M216" s="2242"/>
      <c r="N216" s="2264"/>
      <c r="O216" s="2264"/>
      <c r="P216" s="2264"/>
      <c r="Q216" s="2264"/>
      <c r="R216" s="2264"/>
      <c r="S216" s="2264"/>
      <c r="T216" s="2264"/>
      <c r="U216" s="2264"/>
      <c r="V216" s="2264"/>
      <c r="W216" s="2264"/>
    </row>
    <row r="217" spans="1:23" s="2256" customFormat="1">
      <c r="A217" s="2264"/>
      <c r="B217" s="2240"/>
      <c r="C217" s="2241"/>
      <c r="D217" s="2241" t="s">
        <v>2288</v>
      </c>
      <c r="E217" s="2241"/>
      <c r="F217" s="2241"/>
      <c r="G217" s="2241"/>
      <c r="H217" s="2241"/>
      <c r="I217" s="2241"/>
      <c r="J217" s="2241"/>
      <c r="K217" s="2241"/>
      <c r="L217" s="2241"/>
      <c r="M217" s="2242"/>
      <c r="N217" s="2264"/>
      <c r="O217" s="2264"/>
      <c r="P217" s="2264"/>
      <c r="Q217" s="2264"/>
      <c r="R217" s="2264"/>
      <c r="S217" s="2264"/>
      <c r="T217" s="2264"/>
      <c r="U217" s="2264"/>
      <c r="V217" s="2264"/>
      <c r="W217" s="2264"/>
    </row>
    <row r="218" spans="1:23" s="2256" customFormat="1">
      <c r="A218" s="2264"/>
      <c r="B218" s="2240"/>
      <c r="C218" s="2241"/>
      <c r="D218" s="2241" t="s">
        <v>2289</v>
      </c>
      <c r="E218" s="2241"/>
      <c r="F218" s="2241"/>
      <c r="G218" s="2241"/>
      <c r="H218" s="2241"/>
      <c r="I218" s="2241"/>
      <c r="J218" s="2241"/>
      <c r="K218" s="2241"/>
      <c r="L218" s="2241"/>
      <c r="M218" s="2242"/>
      <c r="N218" s="2264"/>
      <c r="O218" s="2264"/>
      <c r="P218" s="2264"/>
      <c r="Q218" s="2264"/>
      <c r="R218" s="2264"/>
      <c r="S218" s="2264"/>
      <c r="T218" s="2264"/>
      <c r="U218" s="2264"/>
      <c r="V218" s="2264"/>
      <c r="W218" s="2264"/>
    </row>
    <row r="219" spans="1:23" s="2256" customFormat="1">
      <c r="A219" s="2264"/>
      <c r="B219" s="2240"/>
      <c r="C219" s="2245">
        <f>1+C216</f>
        <v>63</v>
      </c>
      <c r="D219" s="2241" t="s">
        <v>2012</v>
      </c>
      <c r="E219" s="2241"/>
      <c r="F219" s="2241"/>
      <c r="G219" s="2241"/>
      <c r="H219" s="2241"/>
      <c r="I219" s="2241"/>
      <c r="J219" s="2241"/>
      <c r="K219" s="2241"/>
      <c r="L219" s="2241"/>
      <c r="M219" s="2242"/>
      <c r="N219" s="2264"/>
      <c r="O219" s="2264"/>
      <c r="P219" s="2264"/>
      <c r="Q219" s="2264"/>
      <c r="R219" s="2264"/>
      <c r="S219" s="2264"/>
      <c r="T219" s="2264"/>
      <c r="U219" s="2264"/>
      <c r="V219" s="2264"/>
      <c r="W219" s="2264"/>
    </row>
    <row r="220" spans="1:23" s="2256" customFormat="1">
      <c r="A220" s="2264"/>
      <c r="B220" s="2240"/>
      <c r="C220" s="2241"/>
      <c r="D220" s="2241" t="s">
        <v>2010</v>
      </c>
      <c r="E220" s="2241"/>
      <c r="F220" s="2241"/>
      <c r="G220" s="2241"/>
      <c r="H220" s="2241"/>
      <c r="I220" s="2241"/>
      <c r="J220" s="2241"/>
      <c r="K220" s="2241"/>
      <c r="L220" s="2241"/>
      <c r="M220" s="2242"/>
      <c r="N220" s="2264"/>
      <c r="O220" s="2264"/>
      <c r="P220" s="2264"/>
      <c r="Q220" s="2264"/>
      <c r="R220" s="2264"/>
      <c r="S220" s="2264"/>
      <c r="T220" s="2264"/>
      <c r="U220" s="2264"/>
      <c r="V220" s="2264"/>
      <c r="W220" s="2264"/>
    </row>
    <row r="221" spans="1:23" s="2256" customFormat="1">
      <c r="A221" s="2264"/>
      <c r="B221" s="2240"/>
      <c r="C221" s="2241"/>
      <c r="D221" s="2241" t="s">
        <v>2290</v>
      </c>
      <c r="E221" s="2241"/>
      <c r="F221" s="2241"/>
      <c r="G221" s="2241"/>
      <c r="H221" s="2241"/>
      <c r="I221" s="2241"/>
      <c r="J221" s="2241"/>
      <c r="K221" s="2241"/>
      <c r="L221" s="2241"/>
      <c r="M221" s="2242"/>
      <c r="N221" s="2264"/>
      <c r="O221" s="2264"/>
      <c r="P221" s="2264"/>
      <c r="Q221" s="2264"/>
      <c r="R221" s="2264"/>
      <c r="S221" s="2264"/>
      <c r="T221" s="2264"/>
      <c r="U221" s="2264"/>
      <c r="V221" s="2264"/>
      <c r="W221" s="2264"/>
    </row>
    <row r="222" spans="1:23" s="2256" customFormat="1">
      <c r="A222" s="2264"/>
      <c r="B222" s="2240"/>
      <c r="C222" s="2241"/>
      <c r="D222" s="2241" t="s">
        <v>2011</v>
      </c>
      <c r="E222" s="2241"/>
      <c r="F222" s="2241"/>
      <c r="G222" s="2241"/>
      <c r="H222" s="2241"/>
      <c r="I222" s="2241"/>
      <c r="J222" s="2241"/>
      <c r="K222" s="2241"/>
      <c r="L222" s="2241"/>
      <c r="M222" s="2242"/>
      <c r="N222" s="2264"/>
      <c r="O222" s="2264"/>
      <c r="P222" s="2264"/>
      <c r="Q222" s="2264"/>
      <c r="R222" s="2264"/>
      <c r="S222" s="2264"/>
      <c r="T222" s="2264"/>
      <c r="U222" s="2264"/>
      <c r="V222" s="2264"/>
      <c r="W222" s="2264"/>
    </row>
    <row r="223" spans="1:23" s="2256" customFormat="1" ht="6" customHeight="1">
      <c r="A223" s="2264"/>
      <c r="B223" s="2240"/>
      <c r="C223" s="2245"/>
      <c r="D223" s="2241"/>
      <c r="E223" s="2241"/>
      <c r="F223" s="2241"/>
      <c r="G223" s="2241"/>
      <c r="H223" s="2241"/>
      <c r="I223" s="2241"/>
      <c r="J223" s="2241"/>
      <c r="K223" s="2241"/>
      <c r="L223" s="2241"/>
      <c r="M223" s="2242"/>
      <c r="N223" s="2264"/>
      <c r="O223" s="2264"/>
      <c r="P223" s="2264"/>
      <c r="Q223" s="2264"/>
      <c r="R223" s="2264"/>
      <c r="S223" s="2264"/>
      <c r="T223" s="2264"/>
      <c r="U223" s="2264"/>
      <c r="V223" s="2264"/>
      <c r="W223" s="2264"/>
    </row>
    <row r="224" spans="1:23" s="2256" customFormat="1">
      <c r="A224" s="2264"/>
      <c r="B224" s="2243" t="s">
        <v>1430</v>
      </c>
      <c r="C224" s="2247" t="s">
        <v>1905</v>
      </c>
      <c r="D224" s="2241"/>
      <c r="E224" s="2241"/>
      <c r="F224" s="2341">
        <f>+'TRIAL-BALANCE'!E8</f>
        <v>2020</v>
      </c>
      <c r="G224" s="2341"/>
      <c r="H224" s="2341"/>
      <c r="I224" s="2341"/>
      <c r="J224" s="2342">
        <f>+'TRIAL-BALANCE'!E8</f>
        <v>2020</v>
      </c>
      <c r="K224" s="2342"/>
      <c r="L224" s="2241"/>
      <c r="M224" s="2242"/>
      <c r="N224" s="2264"/>
      <c r="O224" s="2264"/>
      <c r="P224" s="2264"/>
      <c r="Q224" s="2264"/>
      <c r="R224" s="2264"/>
      <c r="S224" s="2264"/>
      <c r="T224" s="2264"/>
      <c r="U224" s="2264"/>
      <c r="V224" s="2264"/>
      <c r="W224" s="2264"/>
    </row>
    <row r="225" spans="1:23" s="2256" customFormat="1" ht="15" customHeight="1">
      <c r="A225" s="2264"/>
      <c r="B225" s="2243"/>
      <c r="C225" s="2343">
        <f>+'TRIAL-BALANCE'!E8</f>
        <v>2020</v>
      </c>
      <c r="D225" s="2343"/>
      <c r="E225" s="2343"/>
      <c r="F225" s="2343"/>
      <c r="G225" s="2344">
        <f>+'TRIAL-BALANCE'!E8</f>
        <v>2020</v>
      </c>
      <c r="H225" s="2344"/>
      <c r="I225" s="2344"/>
      <c r="J225" s="2241"/>
      <c r="K225" s="2241"/>
      <c r="L225" s="2241"/>
      <c r="M225" s="2242"/>
      <c r="N225" s="2264"/>
      <c r="O225" s="2264"/>
      <c r="P225" s="2264"/>
      <c r="Q225" s="2264"/>
      <c r="R225" s="2264"/>
      <c r="S225" s="2264"/>
      <c r="T225" s="2264"/>
      <c r="U225" s="2264"/>
      <c r="V225" s="2264"/>
      <c r="W225" s="2264"/>
    </row>
    <row r="226" spans="1:23" s="2256" customFormat="1" ht="18" customHeight="1">
      <c r="A226" s="2264"/>
      <c r="B226" s="2240"/>
      <c r="C226" s="2245">
        <f>1+C219</f>
        <v>64</v>
      </c>
      <c r="D226" s="2314" t="s">
        <v>2291</v>
      </c>
      <c r="E226" s="2334">
        <f>+'TRIAL-BALANCE'!E8</f>
        <v>2020</v>
      </c>
      <c r="F226" s="2334"/>
      <c r="G226" s="2334"/>
      <c r="H226" s="2334"/>
      <c r="I226" s="2241" t="s">
        <v>1920</v>
      </c>
      <c r="J226" s="2241"/>
      <c r="K226" s="2241"/>
      <c r="L226" s="2241"/>
      <c r="M226" s="2242"/>
      <c r="N226" s="2264"/>
      <c r="O226" s="2264"/>
      <c r="P226" s="2264"/>
      <c r="Q226" s="2264"/>
      <c r="R226" s="2264"/>
      <c r="S226" s="2264"/>
      <c r="T226" s="2264"/>
      <c r="U226" s="2264"/>
      <c r="V226" s="2264"/>
      <c r="W226" s="2264"/>
    </row>
    <row r="227" spans="1:23" s="2256" customFormat="1">
      <c r="A227" s="2264"/>
      <c r="B227" s="2240"/>
      <c r="C227" s="2245"/>
      <c r="D227" s="2241" t="s">
        <v>1996</v>
      </c>
      <c r="E227" s="2241"/>
      <c r="F227" s="2241"/>
      <c r="G227" s="2241"/>
      <c r="H227" s="2241"/>
      <c r="I227" s="2241"/>
      <c r="J227" s="2241"/>
      <c r="K227" s="2241"/>
      <c r="L227" s="2241"/>
      <c r="M227" s="2242"/>
      <c r="N227" s="2264"/>
      <c r="O227" s="2264"/>
      <c r="P227" s="2264"/>
      <c r="Q227" s="2264"/>
      <c r="R227" s="2264"/>
      <c r="S227" s="2264"/>
      <c r="T227" s="2264"/>
      <c r="U227" s="2264"/>
      <c r="V227" s="2264"/>
      <c r="W227" s="2264"/>
    </row>
    <row r="228" spans="1:23" s="2256" customFormat="1">
      <c r="A228" s="2264"/>
      <c r="B228" s="2240"/>
      <c r="C228" s="2241"/>
      <c r="D228" s="2241" t="s">
        <v>2292</v>
      </c>
      <c r="E228" s="2241"/>
      <c r="F228" s="2241"/>
      <c r="G228" s="2241"/>
      <c r="H228" s="2241"/>
      <c r="I228" s="2241"/>
      <c r="J228" s="2241"/>
      <c r="K228" s="2241"/>
      <c r="L228" s="2335">
        <f>+'TRIAL-BALANCE'!E8</f>
        <v>2020</v>
      </c>
      <c r="M228" s="2336"/>
      <c r="N228" s="2264"/>
      <c r="O228" s="2264"/>
      <c r="P228" s="2264"/>
      <c r="Q228" s="2264"/>
      <c r="R228" s="2264"/>
      <c r="S228" s="2264"/>
      <c r="T228" s="2264"/>
      <c r="U228" s="2264"/>
      <c r="V228" s="2264"/>
      <c r="W228" s="2264"/>
    </row>
    <row r="229" spans="1:23" s="2256" customFormat="1">
      <c r="A229" s="2264"/>
      <c r="B229" s="2240"/>
      <c r="C229" s="2245">
        <f>1+C226</f>
        <v>65</v>
      </c>
      <c r="D229" s="2314" t="s">
        <v>2293</v>
      </c>
      <c r="E229" s="2328">
        <f>+'TRIAL-BALANCE'!E8</f>
        <v>2020</v>
      </c>
      <c r="F229" s="2328"/>
      <c r="G229" s="2328"/>
      <c r="H229" s="2328"/>
      <c r="I229" s="2241" t="s">
        <v>1921</v>
      </c>
      <c r="J229" s="2241"/>
      <c r="K229" s="2241"/>
      <c r="L229" s="2241"/>
      <c r="M229" s="2242"/>
      <c r="N229" s="2264"/>
      <c r="O229" s="2264"/>
      <c r="P229" s="2264"/>
      <c r="Q229" s="2264"/>
      <c r="R229" s="2264"/>
      <c r="S229" s="2264"/>
      <c r="T229" s="2264"/>
      <c r="U229" s="2264"/>
      <c r="V229" s="2264"/>
      <c r="W229" s="2264"/>
    </row>
    <row r="230" spans="1:23" s="2256" customFormat="1">
      <c r="A230" s="2264"/>
      <c r="B230" s="2240"/>
      <c r="C230" s="2245"/>
      <c r="D230" s="2241" t="s">
        <v>1431</v>
      </c>
      <c r="E230" s="2241"/>
      <c r="F230" s="2241"/>
      <c r="G230" s="2241"/>
      <c r="H230" s="2241"/>
      <c r="I230" s="2241"/>
      <c r="J230" s="2241"/>
      <c r="K230" s="2241"/>
      <c r="L230" s="2241"/>
      <c r="M230" s="2242"/>
      <c r="N230" s="2264"/>
      <c r="O230" s="2264"/>
      <c r="P230" s="2264"/>
      <c r="Q230" s="2264"/>
      <c r="R230" s="2264"/>
      <c r="S230" s="2264"/>
      <c r="T230" s="2264"/>
      <c r="U230" s="2264"/>
      <c r="V230" s="2264"/>
      <c r="W230" s="2264"/>
    </row>
    <row r="231" spans="1:23" s="2256" customFormat="1">
      <c r="A231" s="2264"/>
      <c r="B231" s="2240"/>
      <c r="C231" s="2241"/>
      <c r="D231" s="2241" t="s">
        <v>2294</v>
      </c>
      <c r="E231" s="2241"/>
      <c r="F231" s="2241"/>
      <c r="G231" s="2241"/>
      <c r="H231" s="2241"/>
      <c r="I231" s="2241"/>
      <c r="J231" s="2241"/>
      <c r="K231" s="2241"/>
      <c r="L231" s="2335">
        <f>+'TRIAL-BALANCE'!E8</f>
        <v>2020</v>
      </c>
      <c r="M231" s="2336"/>
      <c r="N231" s="2264"/>
      <c r="O231" s="2264"/>
      <c r="P231" s="2264"/>
      <c r="Q231" s="2264"/>
      <c r="R231" s="2264"/>
      <c r="S231" s="2264"/>
      <c r="T231" s="2264"/>
      <c r="U231" s="2264"/>
      <c r="V231" s="2264"/>
      <c r="W231" s="2264"/>
    </row>
    <row r="232" spans="1:23" s="2256" customFormat="1">
      <c r="A232" s="2264"/>
      <c r="B232" s="2240"/>
      <c r="C232" s="2245">
        <f>1+C229</f>
        <v>66</v>
      </c>
      <c r="D232" s="2314" t="s">
        <v>1923</v>
      </c>
      <c r="E232" s="2334">
        <f>+'TRIAL-BALANCE'!E8</f>
        <v>2020</v>
      </c>
      <c r="F232" s="2334"/>
      <c r="G232" s="2334"/>
      <c r="H232" s="2334"/>
      <c r="I232" s="2241" t="s">
        <v>1922</v>
      </c>
      <c r="J232" s="2241"/>
      <c r="K232" s="2241"/>
      <c r="L232" s="2241"/>
      <c r="M232" s="2242"/>
      <c r="N232" s="2264"/>
      <c r="O232" s="2264"/>
      <c r="P232" s="2264"/>
      <c r="Q232" s="2264"/>
      <c r="R232" s="2264"/>
      <c r="S232" s="2264"/>
      <c r="T232" s="2264"/>
      <c r="U232" s="2264"/>
      <c r="V232" s="2264"/>
      <c r="W232" s="2264"/>
    </row>
    <row r="233" spans="1:23" s="2256" customFormat="1">
      <c r="A233" s="2264"/>
      <c r="B233" s="2240"/>
      <c r="C233" s="2245"/>
      <c r="D233" s="2319" t="s">
        <v>2295</v>
      </c>
      <c r="E233" s="2241"/>
      <c r="F233" s="2241"/>
      <c r="G233" s="2241"/>
      <c r="H233" s="2241"/>
      <c r="I233" s="2241"/>
      <c r="J233" s="2241"/>
      <c r="K233" s="2241"/>
      <c r="L233" s="2241"/>
      <c r="M233" s="2242"/>
      <c r="N233" s="2264"/>
      <c r="O233" s="2264"/>
      <c r="P233" s="2264"/>
      <c r="Q233" s="2264"/>
      <c r="R233" s="2264"/>
      <c r="S233" s="2264"/>
      <c r="T233" s="2264"/>
      <c r="U233" s="2264"/>
      <c r="V233" s="2264"/>
      <c r="W233" s="2264"/>
    </row>
    <row r="234" spans="1:23" s="2256" customFormat="1">
      <c r="A234" s="2264"/>
      <c r="B234" s="2240"/>
      <c r="C234" s="2245"/>
      <c r="D234" s="2248" t="s">
        <v>2296</v>
      </c>
      <c r="E234" s="2248"/>
      <c r="F234" s="2248"/>
      <c r="G234" s="2248"/>
      <c r="H234" s="2248"/>
      <c r="I234" s="2248"/>
      <c r="J234" s="2248"/>
      <c r="K234" s="2257">
        <f>+'TRIAL-BALANCE'!E8</f>
        <v>2020</v>
      </c>
      <c r="L234" s="2248" t="s">
        <v>1997</v>
      </c>
      <c r="M234" s="2250"/>
      <c r="N234" s="2264"/>
      <c r="O234" s="2264"/>
      <c r="P234" s="2264"/>
      <c r="Q234" s="2264"/>
      <c r="R234" s="2264"/>
      <c r="S234" s="2264"/>
      <c r="T234" s="2264"/>
      <c r="U234" s="2264"/>
      <c r="V234" s="2264"/>
      <c r="W234" s="2264"/>
    </row>
    <row r="235" spans="1:23" s="2256" customFormat="1">
      <c r="A235" s="2264"/>
      <c r="B235" s="2240"/>
      <c r="C235" s="2245"/>
      <c r="D235" s="2241" t="s">
        <v>2297</v>
      </c>
      <c r="E235" s="2337">
        <f>+'TRIAL-BALANCE'!E8</f>
        <v>2020</v>
      </c>
      <c r="F235" s="2337"/>
      <c r="G235" s="2337"/>
      <c r="H235" s="2337"/>
      <c r="I235" s="2331">
        <f>+'TRIAL-BALANCE'!E8</f>
        <v>2020</v>
      </c>
      <c r="J235" s="2331"/>
      <c r="K235" s="2331"/>
      <c r="L235" s="2323" t="s">
        <v>2298</v>
      </c>
      <c r="M235" s="2250"/>
      <c r="N235" s="2264"/>
      <c r="O235" s="2264"/>
      <c r="P235" s="2264"/>
      <c r="Q235" s="2264"/>
      <c r="R235" s="2264"/>
      <c r="S235" s="2264"/>
      <c r="T235" s="2264"/>
      <c r="U235" s="2264"/>
      <c r="V235" s="2264"/>
      <c r="W235" s="2264"/>
    </row>
    <row r="236" spans="1:23" s="2256" customFormat="1">
      <c r="A236" s="2264"/>
      <c r="B236" s="2240"/>
      <c r="C236" s="2245">
        <f>1+C232</f>
        <v>67</v>
      </c>
      <c r="D236" s="2314" t="s">
        <v>1923</v>
      </c>
      <c r="E236" s="2328">
        <f>+'TRIAL-BALANCE'!E8</f>
        <v>2020</v>
      </c>
      <c r="F236" s="2328"/>
      <c r="G236" s="2328"/>
      <c r="H236" s="2328"/>
      <c r="I236" s="2241" t="s">
        <v>1934</v>
      </c>
      <c r="J236" s="2241"/>
      <c r="K236" s="2241"/>
      <c r="L236" s="2248"/>
      <c r="M236" s="2250"/>
      <c r="N236" s="2264"/>
      <c r="O236" s="2264"/>
      <c r="P236" s="2264"/>
      <c r="Q236" s="2264"/>
      <c r="R236" s="2264"/>
      <c r="S236" s="2264"/>
      <c r="T236" s="2264"/>
      <c r="U236" s="2264"/>
      <c r="V236" s="2264"/>
      <c r="W236" s="2264"/>
    </row>
    <row r="237" spans="1:23" s="2256" customFormat="1">
      <c r="A237" s="2264"/>
      <c r="B237" s="2240"/>
      <c r="C237" s="2245"/>
      <c r="D237" s="2241" t="s">
        <v>1935</v>
      </c>
      <c r="E237" s="2241"/>
      <c r="F237" s="2241"/>
      <c r="G237" s="2241"/>
      <c r="H237" s="2241"/>
      <c r="I237" s="2241"/>
      <c r="J237" s="2241"/>
      <c r="K237" s="2241"/>
      <c r="L237" s="2248"/>
      <c r="M237" s="2250"/>
      <c r="N237" s="2264"/>
      <c r="O237" s="2264"/>
      <c r="P237" s="2264"/>
      <c r="Q237" s="2264"/>
      <c r="R237" s="2264"/>
      <c r="S237" s="2264"/>
      <c r="T237" s="2264"/>
      <c r="U237" s="2264"/>
      <c r="V237" s="2264"/>
      <c r="W237" s="2264"/>
    </row>
    <row r="238" spans="1:23" s="2256" customFormat="1">
      <c r="A238" s="2264"/>
      <c r="B238" s="2240"/>
      <c r="C238" s="2241"/>
      <c r="D238" s="2324" t="s">
        <v>2299</v>
      </c>
      <c r="E238" s="2241"/>
      <c r="F238" s="2241"/>
      <c r="G238" s="2241"/>
      <c r="H238" s="2241"/>
      <c r="I238" s="2241"/>
      <c r="J238" s="2241"/>
      <c r="K238" s="2241"/>
      <c r="L238" s="2248"/>
      <c r="M238" s="2250"/>
      <c r="N238" s="2264"/>
      <c r="O238" s="2264"/>
      <c r="P238" s="2264"/>
      <c r="Q238" s="2264"/>
      <c r="R238" s="2264"/>
      <c r="S238" s="2264"/>
      <c r="T238" s="2264"/>
      <c r="U238" s="2264"/>
      <c r="V238" s="2264"/>
      <c r="W238" s="2264"/>
    </row>
    <row r="239" spans="1:23" s="2256" customFormat="1">
      <c r="A239" s="2264"/>
      <c r="B239" s="2240"/>
      <c r="C239" s="2245">
        <f>1+C236</f>
        <v>68</v>
      </c>
      <c r="D239" s="2314" t="s">
        <v>2300</v>
      </c>
      <c r="E239" s="2329">
        <f>+'TRIAL-BALANCE'!E8</f>
        <v>2020</v>
      </c>
      <c r="F239" s="2329"/>
      <c r="G239" s="2329"/>
      <c r="H239" s="2329"/>
      <c r="I239" s="2241" t="s">
        <v>1933</v>
      </c>
      <c r="J239" s="2241"/>
      <c r="K239" s="2241"/>
      <c r="L239" s="2248"/>
      <c r="M239" s="2250"/>
      <c r="N239" s="2264"/>
      <c r="O239" s="2264"/>
      <c r="P239" s="2264"/>
      <c r="Q239" s="2264"/>
      <c r="R239" s="2264"/>
      <c r="S239" s="2264"/>
      <c r="T239" s="2264"/>
      <c r="U239" s="2264"/>
      <c r="V239" s="2264"/>
      <c r="W239" s="2264"/>
    </row>
    <row r="240" spans="1:23" s="2256" customFormat="1">
      <c r="A240" s="2264"/>
      <c r="B240" s="2240"/>
      <c r="C240" s="2245"/>
      <c r="D240" s="2248" t="s">
        <v>2301</v>
      </c>
      <c r="E240" s="2248"/>
      <c r="F240" s="2248"/>
      <c r="G240" s="2248"/>
      <c r="H240" s="2330">
        <f>+'TRIAL-BALANCE'!E8</f>
        <v>2020</v>
      </c>
      <c r="I240" s="2330"/>
      <c r="J240" s="2248"/>
      <c r="K240" s="2248"/>
      <c r="L240" s="2248"/>
      <c r="M240" s="2250"/>
      <c r="N240" s="2264"/>
      <c r="O240" s="2264"/>
      <c r="P240" s="2264"/>
      <c r="Q240" s="2264"/>
      <c r="R240" s="2264"/>
      <c r="S240" s="2264"/>
      <c r="T240" s="2264"/>
      <c r="U240" s="2264"/>
      <c r="V240" s="2264"/>
      <c r="W240" s="2264"/>
    </row>
    <row r="241" spans="1:23" s="2256" customFormat="1">
      <c r="A241" s="2264"/>
      <c r="B241" s="2240"/>
      <c r="C241" s="2245">
        <f>1+C239</f>
        <v>69</v>
      </c>
      <c r="D241" s="2314" t="s">
        <v>1924</v>
      </c>
      <c r="E241" s="2331">
        <f>+'TRIAL-BALANCE'!E8</f>
        <v>2020</v>
      </c>
      <c r="F241" s="2331"/>
      <c r="G241" s="2331"/>
      <c r="H241" s="2331"/>
      <c r="I241" s="2241" t="s">
        <v>1925</v>
      </c>
      <c r="J241" s="2241"/>
      <c r="K241" s="2241"/>
      <c r="L241" s="2248"/>
      <c r="M241" s="2250"/>
      <c r="N241" s="2264"/>
      <c r="O241" s="2264"/>
      <c r="P241" s="2264"/>
      <c r="Q241" s="2264"/>
      <c r="R241" s="2264"/>
      <c r="S241" s="2264"/>
      <c r="T241" s="2264"/>
      <c r="U241" s="2264"/>
      <c r="V241" s="2264"/>
      <c r="W241" s="2264"/>
    </row>
    <row r="242" spans="1:23" s="2256" customFormat="1">
      <c r="A242" s="2264"/>
      <c r="B242" s="2240"/>
      <c r="C242" s="2245"/>
      <c r="D242" s="2241" t="s">
        <v>2302</v>
      </c>
      <c r="E242" s="2241"/>
      <c r="F242" s="2248"/>
      <c r="G242" s="2248"/>
      <c r="H242" s="2248"/>
      <c r="I242" s="2330">
        <f>+'TRIAL-BALANCE'!E8</f>
        <v>2020</v>
      </c>
      <c r="J242" s="2330"/>
      <c r="K242" s="2248"/>
      <c r="L242" s="2248"/>
      <c r="M242" s="2250"/>
      <c r="N242" s="2264"/>
      <c r="O242" s="2264"/>
      <c r="P242" s="2264"/>
      <c r="Q242" s="2264"/>
      <c r="R242" s="2264"/>
      <c r="S242" s="2264"/>
      <c r="T242" s="2264"/>
      <c r="U242" s="2264"/>
      <c r="V242" s="2264"/>
      <c r="W242" s="2264"/>
    </row>
    <row r="243" spans="1:23" s="2256" customFormat="1">
      <c r="A243" s="2264"/>
      <c r="B243" s="2240"/>
      <c r="C243" s="2245">
        <f>1+C241</f>
        <v>70</v>
      </c>
      <c r="D243" s="2246" t="s">
        <v>1926</v>
      </c>
      <c r="E243" s="2241"/>
      <c r="F243" s="2241"/>
      <c r="G243" s="2332">
        <f>+'TRIAL-BALANCE'!E8</f>
        <v>2020</v>
      </c>
      <c r="H243" s="2332"/>
      <c r="I243" s="2332"/>
      <c r="J243" s="2333">
        <f>+'TRIAL-BALANCE'!E8</f>
        <v>2020</v>
      </c>
      <c r="K243" s="2333"/>
      <c r="L243" s="2325">
        <f>+'TRIAL-BALANCE'!E8</f>
        <v>2020</v>
      </c>
      <c r="M243" s="2326"/>
      <c r="N243" s="2264"/>
      <c r="O243" s="2264"/>
      <c r="P243" s="2264"/>
      <c r="Q243" s="2264"/>
      <c r="R243" s="2264"/>
      <c r="S243" s="2264"/>
      <c r="T243" s="2264"/>
      <c r="U243" s="2264"/>
      <c r="V243" s="2264"/>
      <c r="W243" s="2264"/>
    </row>
    <row r="244" spans="1:23" s="2256" customFormat="1">
      <c r="A244" s="2264"/>
      <c r="B244" s="2240"/>
      <c r="C244" s="2245"/>
      <c r="D244" s="2327">
        <f>+'TRIAL-BALANCE'!E8</f>
        <v>2020</v>
      </c>
      <c r="E244" s="2327"/>
      <c r="F244" s="2327"/>
      <c r="G244" s="2241" t="s">
        <v>2303</v>
      </c>
      <c r="H244" s="2241"/>
      <c r="I244" s="2241"/>
      <c r="J244" s="2241"/>
      <c r="K244" s="2241"/>
      <c r="L244" s="2248"/>
      <c r="M244" s="2250"/>
      <c r="N244" s="2264"/>
      <c r="O244" s="2264"/>
      <c r="P244" s="2264"/>
      <c r="Q244" s="2264"/>
      <c r="R244" s="2264"/>
      <c r="S244" s="2264"/>
      <c r="T244" s="2264"/>
      <c r="U244" s="2264"/>
      <c r="V244" s="2264"/>
      <c r="W244" s="2264"/>
    </row>
    <row r="245" spans="1:23" s="2256" customFormat="1">
      <c r="A245" s="2264"/>
      <c r="B245" s="2240"/>
      <c r="C245" s="2245">
        <f>1+C243</f>
        <v>71</v>
      </c>
      <c r="D245" s="2319" t="s">
        <v>2041</v>
      </c>
      <c r="E245" s="2241"/>
      <c r="F245" s="2241"/>
      <c r="G245" s="2241"/>
      <c r="H245" s="2241"/>
      <c r="I245" s="2241"/>
      <c r="J245" s="2241"/>
      <c r="K245" s="2241"/>
      <c r="L245" s="2248"/>
      <c r="M245" s="2250"/>
      <c r="N245" s="2264"/>
      <c r="O245" s="2264"/>
      <c r="P245" s="2264"/>
      <c r="Q245" s="2264"/>
      <c r="R245" s="2264"/>
      <c r="S245" s="2264"/>
      <c r="T245" s="2264"/>
      <c r="U245" s="2264"/>
      <c r="V245" s="2264"/>
      <c r="W245" s="2264"/>
    </row>
    <row r="246" spans="1:23" s="2256" customFormat="1">
      <c r="A246" s="2264"/>
      <c r="B246" s="2240"/>
      <c r="C246" s="2245"/>
      <c r="D246" s="2241" t="s">
        <v>2304</v>
      </c>
      <c r="E246" s="2241"/>
      <c r="F246" s="2241"/>
      <c r="G246" s="2241"/>
      <c r="H246" s="2241"/>
      <c r="I246" s="2241"/>
      <c r="J246" s="2241"/>
      <c r="K246" s="2241"/>
      <c r="L246" s="2248"/>
      <c r="M246" s="2250"/>
      <c r="N246" s="2264"/>
      <c r="O246" s="2264"/>
      <c r="P246" s="2264"/>
      <c r="Q246" s="2264"/>
      <c r="R246" s="2264"/>
      <c r="S246" s="2264"/>
      <c r="T246" s="2264"/>
      <c r="U246" s="2264"/>
      <c r="V246" s="2264"/>
      <c r="W246" s="2264"/>
    </row>
    <row r="247" spans="1:23" s="2256" customFormat="1">
      <c r="A247" s="2264"/>
      <c r="B247" s="2240"/>
      <c r="C247" s="2245">
        <f>1+C245</f>
        <v>72</v>
      </c>
      <c r="D247" s="2319" t="s">
        <v>2305</v>
      </c>
      <c r="E247" s="2241"/>
      <c r="F247" s="2241"/>
      <c r="G247" s="2241"/>
      <c r="H247" s="2241"/>
      <c r="I247" s="2241"/>
      <c r="J247" s="2241"/>
      <c r="K247" s="2241"/>
      <c r="L247" s="2248"/>
      <c r="M247" s="2250"/>
      <c r="N247" s="2264"/>
      <c r="O247" s="2264"/>
      <c r="P247" s="2264"/>
      <c r="Q247" s="2264"/>
      <c r="R247" s="2264"/>
      <c r="S247" s="2264"/>
      <c r="T247" s="2264"/>
      <c r="U247" s="2264"/>
      <c r="V247" s="2264"/>
      <c r="W247" s="2264"/>
    </row>
    <row r="248" spans="1:23" s="2256" customFormat="1" ht="6" customHeight="1">
      <c r="A248" s="2264"/>
      <c r="B248" s="2240"/>
      <c r="C248" s="2245"/>
      <c r="D248" s="2241"/>
      <c r="E248" s="2241"/>
      <c r="F248" s="2241"/>
      <c r="G248" s="2241"/>
      <c r="H248" s="2241"/>
      <c r="I248" s="2241"/>
      <c r="J248" s="2241"/>
      <c r="K248" s="2241"/>
      <c r="L248" s="2248"/>
      <c r="M248" s="2250"/>
      <c r="N248" s="2264"/>
      <c r="O248" s="2264"/>
      <c r="P248" s="2264"/>
      <c r="Q248" s="2264"/>
      <c r="R248" s="2264"/>
      <c r="S248" s="2264"/>
      <c r="T248" s="2264"/>
      <c r="U248" s="2264"/>
      <c r="V248" s="2264"/>
      <c r="W248" s="2264"/>
    </row>
    <row r="249" spans="1:23" s="2256" customFormat="1">
      <c r="A249" s="2264"/>
      <c r="B249" s="2243" t="s">
        <v>1430</v>
      </c>
      <c r="C249" s="2244" t="s">
        <v>1432</v>
      </c>
      <c r="D249" s="2241"/>
      <c r="E249" s="2241"/>
      <c r="F249" s="2241"/>
      <c r="G249" s="2241"/>
      <c r="H249" s="2241"/>
      <c r="I249" s="2241"/>
      <c r="J249" s="2241"/>
      <c r="K249" s="2241"/>
      <c r="L249" s="2248"/>
      <c r="M249" s="2250"/>
      <c r="N249" s="2264"/>
      <c r="O249" s="2264"/>
      <c r="P249" s="2264"/>
      <c r="Q249" s="2264"/>
      <c r="R249" s="2264"/>
      <c r="S249" s="2264"/>
      <c r="T249" s="2264"/>
      <c r="U249" s="2264"/>
      <c r="V249" s="2264"/>
      <c r="W249" s="2264"/>
    </row>
    <row r="250" spans="1:23" s="2256" customFormat="1">
      <c r="A250" s="2264"/>
      <c r="B250" s="2240"/>
      <c r="C250" s="2245">
        <f>1+C247</f>
        <v>73</v>
      </c>
      <c r="D250" s="2258" t="s">
        <v>1433</v>
      </c>
      <c r="E250" s="2258"/>
      <c r="F250" s="2258"/>
      <c r="G250" s="2258"/>
      <c r="H250" s="2258"/>
      <c r="I250" s="2258"/>
      <c r="J250" s="2258"/>
      <c r="K250" s="2258"/>
      <c r="L250" s="2259"/>
      <c r="M250" s="2260"/>
      <c r="N250" s="2264"/>
      <c r="O250" s="2264"/>
      <c r="P250" s="2264"/>
      <c r="Q250" s="2264"/>
      <c r="R250" s="2264"/>
      <c r="S250" s="2264"/>
      <c r="T250" s="2264"/>
      <c r="U250" s="2264"/>
      <c r="V250" s="2264"/>
      <c r="W250" s="2264"/>
    </row>
    <row r="251" spans="1:23" s="2256" customFormat="1">
      <c r="A251" s="2264"/>
      <c r="B251" s="2240"/>
      <c r="C251" s="2245">
        <f>1+C250</f>
        <v>74</v>
      </c>
      <c r="D251" s="2258" t="s">
        <v>1434</v>
      </c>
      <c r="E251" s="2258"/>
      <c r="F251" s="2258"/>
      <c r="G251" s="2258"/>
      <c r="H251" s="2258"/>
      <c r="I251" s="2258"/>
      <c r="J251" s="2258"/>
      <c r="K251" s="2258"/>
      <c r="L251" s="2259"/>
      <c r="M251" s="2260"/>
      <c r="N251" s="2264"/>
      <c r="O251" s="2264"/>
      <c r="P251" s="2264"/>
      <c r="Q251" s="2264"/>
      <c r="R251" s="2264"/>
      <c r="S251" s="2264"/>
      <c r="T251" s="2264"/>
      <c r="U251" s="2264"/>
      <c r="V251" s="2264"/>
      <c r="W251" s="2264"/>
    </row>
    <row r="252" spans="1:23" s="2256" customFormat="1">
      <c r="A252" s="2264"/>
      <c r="B252" s="2240"/>
      <c r="C252" s="2241"/>
      <c r="D252" s="2258" t="s">
        <v>1435</v>
      </c>
      <c r="E252" s="2258"/>
      <c r="F252" s="2258"/>
      <c r="G252" s="2258"/>
      <c r="H252" s="2258"/>
      <c r="I252" s="2258"/>
      <c r="J252" s="2258"/>
      <c r="K252" s="2258"/>
      <c r="L252" s="2258"/>
      <c r="M252" s="2260"/>
      <c r="N252" s="2264"/>
      <c r="O252" s="2264"/>
      <c r="P252" s="2264"/>
      <c r="Q252" s="2264"/>
      <c r="R252" s="2264"/>
      <c r="S252" s="2264"/>
      <c r="T252" s="2264"/>
      <c r="U252" s="2264"/>
      <c r="V252" s="2264"/>
      <c r="W252" s="2264"/>
    </row>
    <row r="253" spans="1:23" s="2256" customFormat="1">
      <c r="A253" s="2264"/>
      <c r="B253" s="2240"/>
      <c r="C253" s="2241"/>
      <c r="D253" s="2258" t="s">
        <v>1436</v>
      </c>
      <c r="E253" s="2258"/>
      <c r="F253" s="2258"/>
      <c r="G253" s="2258"/>
      <c r="H253" s="2258"/>
      <c r="I253" s="2258"/>
      <c r="J253" s="2258"/>
      <c r="K253" s="2258"/>
      <c r="L253" s="2258"/>
      <c r="M253" s="2260"/>
      <c r="N253" s="2264"/>
      <c r="O253" s="2264"/>
      <c r="P253" s="2264"/>
      <c r="Q253" s="2264"/>
      <c r="R253" s="2264"/>
      <c r="S253" s="2264"/>
      <c r="T253" s="2264"/>
      <c r="U253" s="2264"/>
      <c r="V253" s="2264"/>
      <c r="W253" s="2264"/>
    </row>
    <row r="254" spans="1:23" s="2256" customFormat="1">
      <c r="A254" s="2264"/>
      <c r="B254" s="2240"/>
      <c r="C254" s="2241"/>
      <c r="D254" s="2258" t="s">
        <v>1437</v>
      </c>
      <c r="E254" s="2258"/>
      <c r="F254" s="2258"/>
      <c r="G254" s="2258"/>
      <c r="H254" s="2258"/>
      <c r="I254" s="2258"/>
      <c r="J254" s="2258"/>
      <c r="K254" s="2258"/>
      <c r="L254" s="2258"/>
      <c r="M254" s="2260"/>
      <c r="N254" s="2264"/>
      <c r="O254" s="2264"/>
      <c r="P254" s="2264"/>
      <c r="Q254" s="2264"/>
      <c r="R254" s="2264"/>
      <c r="S254" s="2264"/>
      <c r="T254" s="2264"/>
      <c r="U254" s="2264"/>
      <c r="V254" s="2264"/>
      <c r="W254" s="2264"/>
    </row>
    <row r="255" spans="1:23" s="2256" customFormat="1">
      <c r="A255" s="2264"/>
      <c r="B255" s="2240"/>
      <c r="C255" s="2241"/>
      <c r="D255" s="2258" t="s">
        <v>1438</v>
      </c>
      <c r="E255" s="2258"/>
      <c r="F255" s="2258"/>
      <c r="G255" s="2258"/>
      <c r="H255" s="2258"/>
      <c r="I255" s="2258"/>
      <c r="J255" s="2258"/>
      <c r="K255" s="2258"/>
      <c r="L255" s="2258"/>
      <c r="M255" s="2260"/>
      <c r="N255" s="2264"/>
      <c r="O255" s="2264"/>
      <c r="P255" s="2264"/>
      <c r="Q255" s="2264"/>
      <c r="R255" s="2264"/>
      <c r="S255" s="2264"/>
      <c r="T255" s="2264"/>
      <c r="U255" s="2264"/>
      <c r="V255" s="2264"/>
      <c r="W255" s="2264"/>
    </row>
    <row r="256" spans="1:23" s="2256" customFormat="1">
      <c r="A256" s="2264"/>
      <c r="B256" s="2240"/>
      <c r="C256" s="2241"/>
      <c r="D256" s="2258" t="s">
        <v>1439</v>
      </c>
      <c r="E256" s="2258"/>
      <c r="F256" s="2258"/>
      <c r="G256" s="2258"/>
      <c r="H256" s="2258"/>
      <c r="I256" s="2258"/>
      <c r="J256" s="2258"/>
      <c r="K256" s="2258"/>
      <c r="L256" s="2258"/>
      <c r="M256" s="2260"/>
      <c r="N256" s="2264"/>
      <c r="O256" s="2264"/>
      <c r="P256" s="2264"/>
      <c r="Q256" s="2264"/>
      <c r="R256" s="2264"/>
      <c r="S256" s="2264"/>
      <c r="T256" s="2264"/>
      <c r="U256" s="2264"/>
      <c r="V256" s="2264"/>
      <c r="W256" s="2264"/>
    </row>
    <row r="257" spans="1:23" s="2256" customFormat="1">
      <c r="A257" s="2264"/>
      <c r="B257" s="2240"/>
      <c r="C257" s="2241"/>
      <c r="D257" s="2258" t="s">
        <v>1440</v>
      </c>
      <c r="E257" s="2258"/>
      <c r="F257" s="2258"/>
      <c r="G257" s="2258"/>
      <c r="H257" s="2258"/>
      <c r="I257" s="2258"/>
      <c r="J257" s="2258"/>
      <c r="K257" s="2258"/>
      <c r="L257" s="2258"/>
      <c r="M257" s="2260"/>
      <c r="N257" s="2264"/>
      <c r="O257" s="2264"/>
      <c r="P257" s="2264"/>
      <c r="Q257" s="2264"/>
      <c r="R257" s="2264"/>
      <c r="S257" s="2264"/>
      <c r="T257" s="2264"/>
      <c r="U257" s="2264"/>
      <c r="V257" s="2264"/>
      <c r="W257" s="2264"/>
    </row>
    <row r="258" spans="1:23" s="2256" customFormat="1" ht="6" customHeight="1" thickBot="1">
      <c r="A258" s="2264"/>
      <c r="B258" s="2261"/>
      <c r="C258" s="2262"/>
      <c r="D258" s="2262"/>
      <c r="E258" s="2262"/>
      <c r="F258" s="2262"/>
      <c r="G258" s="2262"/>
      <c r="H258" s="2262"/>
      <c r="I258" s="2262"/>
      <c r="J258" s="2262"/>
      <c r="K258" s="2262"/>
      <c r="L258" s="2262"/>
      <c r="M258" s="2263"/>
      <c r="N258" s="2264"/>
      <c r="O258" s="2264"/>
      <c r="P258" s="2264"/>
      <c r="Q258" s="2264"/>
      <c r="R258" s="2264"/>
      <c r="S258" s="2264"/>
      <c r="T258" s="2264"/>
      <c r="U258" s="2264"/>
      <c r="V258" s="2264"/>
      <c r="W258" s="2264"/>
    </row>
    <row r="259" spans="1:23" ht="16.5" thickTop="1">
      <c r="A259" s="2238"/>
      <c r="B259" s="2264"/>
      <c r="C259" s="2264"/>
      <c r="D259" s="2264"/>
      <c r="E259" s="2264"/>
      <c r="F259" s="2264"/>
      <c r="G259" s="2264"/>
      <c r="H259" s="2264"/>
      <c r="I259" s="2264"/>
      <c r="J259" s="2264"/>
      <c r="K259" s="2264"/>
      <c r="L259" s="2264"/>
      <c r="M259" s="2264"/>
      <c r="N259" s="2238"/>
      <c r="O259" s="2238"/>
      <c r="P259" s="2238"/>
      <c r="Q259" s="2238"/>
      <c r="R259" s="2238"/>
      <c r="S259" s="2238"/>
      <c r="T259" s="2238"/>
      <c r="U259" s="2238"/>
      <c r="V259" s="2238"/>
      <c r="W259" s="2238"/>
    </row>
    <row r="260" spans="1:23">
      <c r="A260" s="2238"/>
      <c r="B260" s="2264"/>
      <c r="C260" s="2264"/>
      <c r="D260" s="2264"/>
      <c r="E260" s="2264"/>
      <c r="F260" s="2264"/>
      <c r="G260" s="2264"/>
      <c r="H260" s="2264"/>
      <c r="I260" s="2264"/>
      <c r="J260" s="2264"/>
      <c r="K260" s="2264"/>
      <c r="L260" s="2264"/>
      <c r="M260" s="2264"/>
      <c r="N260" s="2238"/>
      <c r="O260" s="2238"/>
      <c r="P260" s="2238"/>
      <c r="Q260" s="2238"/>
      <c r="R260" s="2238"/>
      <c r="S260" s="2238"/>
      <c r="T260" s="2238"/>
      <c r="U260" s="2238"/>
      <c r="V260" s="2238"/>
      <c r="W260" s="2238"/>
    </row>
    <row r="261" spans="1:23">
      <c r="A261" s="2238"/>
      <c r="B261" s="2264"/>
      <c r="C261" s="2264"/>
      <c r="D261" s="2264"/>
      <c r="E261" s="2264"/>
      <c r="F261" s="2264"/>
      <c r="G261" s="2264"/>
      <c r="H261" s="2264"/>
      <c r="I261" s="2264"/>
      <c r="J261" s="2264"/>
      <c r="K261" s="2264"/>
      <c r="L261" s="2264"/>
      <c r="M261" s="2264"/>
      <c r="N261" s="2238"/>
      <c r="O261" s="2238"/>
      <c r="P261" s="2238"/>
      <c r="Q261" s="2238"/>
      <c r="R261" s="2238"/>
      <c r="S261" s="2238"/>
      <c r="T261" s="2238"/>
      <c r="U261" s="2238"/>
      <c r="V261" s="2238"/>
      <c r="W261" s="2238"/>
    </row>
    <row r="262" spans="1:23">
      <c r="A262" s="2238"/>
      <c r="B262" s="2264"/>
      <c r="C262" s="2264"/>
      <c r="D262" s="2264"/>
      <c r="E262" s="2264"/>
      <c r="F262" s="2264"/>
      <c r="G262" s="2264"/>
      <c r="H262" s="2264"/>
      <c r="I262" s="2264"/>
      <c r="J262" s="2264"/>
      <c r="K262" s="2264"/>
      <c r="L262" s="2264"/>
      <c r="M262" s="2264"/>
      <c r="N262" s="2238"/>
      <c r="O262" s="2238"/>
      <c r="P262" s="2238"/>
      <c r="Q262" s="2238"/>
      <c r="R262" s="2238"/>
      <c r="S262" s="2238"/>
      <c r="T262" s="2238"/>
      <c r="U262" s="2238"/>
      <c r="V262" s="2238"/>
      <c r="W262" s="2238"/>
    </row>
    <row r="263" spans="1:23">
      <c r="A263" s="2238"/>
      <c r="B263" s="2264"/>
      <c r="C263" s="2264"/>
      <c r="D263" s="2264"/>
      <c r="E263" s="2264"/>
      <c r="F263" s="2264"/>
      <c r="G263" s="2264"/>
      <c r="H263" s="2264"/>
      <c r="I263" s="2264"/>
      <c r="J263" s="2264"/>
      <c r="K263" s="2264"/>
      <c r="L263" s="2264"/>
      <c r="M263" s="2264"/>
      <c r="N263" s="2238"/>
      <c r="O263" s="2238"/>
      <c r="P263" s="2238"/>
      <c r="Q263" s="2238"/>
      <c r="R263" s="2238"/>
      <c r="S263" s="2238"/>
      <c r="T263" s="2238"/>
      <c r="U263" s="2238"/>
      <c r="V263" s="2238"/>
      <c r="W263" s="2238"/>
    </row>
    <row r="264" spans="1:23">
      <c r="A264" s="2238"/>
      <c r="B264" s="2264"/>
      <c r="C264" s="2264"/>
      <c r="D264" s="2264"/>
      <c r="E264" s="2264"/>
      <c r="F264" s="2264"/>
      <c r="G264" s="2264"/>
      <c r="H264" s="2264"/>
      <c r="I264" s="2264"/>
      <c r="J264" s="2264"/>
      <c r="K264" s="2264"/>
      <c r="L264" s="2264"/>
      <c r="M264" s="2264"/>
      <c r="N264" s="2238"/>
      <c r="O264" s="2238"/>
      <c r="P264" s="2238"/>
      <c r="Q264" s="2238"/>
      <c r="R264" s="2238"/>
      <c r="S264" s="2238"/>
      <c r="T264" s="2238"/>
      <c r="U264" s="2238"/>
      <c r="V264" s="2238"/>
      <c r="W264" s="2238"/>
    </row>
    <row r="265" spans="1:23">
      <c r="A265" s="2238"/>
      <c r="B265" s="2264"/>
      <c r="C265" s="2264"/>
      <c r="D265" s="2264"/>
      <c r="E265" s="2264"/>
      <c r="F265" s="2264"/>
      <c r="G265" s="2264"/>
      <c r="H265" s="2264"/>
      <c r="I265" s="2264"/>
      <c r="J265" s="2264"/>
      <c r="K265" s="2264"/>
      <c r="L265" s="2264"/>
      <c r="M265" s="2264"/>
      <c r="N265" s="2238"/>
      <c r="O265" s="2238"/>
      <c r="P265" s="2238"/>
      <c r="Q265" s="2238"/>
      <c r="R265" s="2238"/>
      <c r="S265" s="2238"/>
      <c r="T265" s="2238"/>
      <c r="U265" s="2238"/>
      <c r="V265" s="2238"/>
      <c r="W265" s="2238"/>
    </row>
    <row r="266" spans="1:23">
      <c r="A266" s="2238"/>
      <c r="B266" s="2264"/>
      <c r="C266" s="2264"/>
      <c r="D266" s="2264"/>
      <c r="E266" s="2264"/>
      <c r="F266" s="2264"/>
      <c r="G266" s="2264"/>
      <c r="H266" s="2264"/>
      <c r="I266" s="2264"/>
      <c r="J266" s="2264"/>
      <c r="K266" s="2264"/>
      <c r="L266" s="2264"/>
      <c r="M266" s="2264"/>
      <c r="N266" s="2238"/>
      <c r="O266" s="2238"/>
      <c r="P266" s="2238"/>
      <c r="Q266" s="2238"/>
      <c r="R266" s="2238"/>
      <c r="S266" s="2238"/>
      <c r="T266" s="2238"/>
      <c r="U266" s="2238"/>
      <c r="V266" s="2238"/>
      <c r="W266" s="2238"/>
    </row>
    <row r="267" spans="1:23">
      <c r="A267" s="2238"/>
      <c r="B267" s="2264"/>
      <c r="C267" s="2264"/>
      <c r="D267" s="2264"/>
      <c r="E267" s="2264"/>
      <c r="F267" s="2264"/>
      <c r="G267" s="2264"/>
      <c r="H267" s="2264"/>
      <c r="I267" s="2264"/>
      <c r="J267" s="2264"/>
      <c r="K267" s="2264"/>
      <c r="L267" s="2264"/>
      <c r="M267" s="2264"/>
      <c r="N267" s="2238"/>
      <c r="O267" s="2238"/>
      <c r="P267" s="2238"/>
      <c r="Q267" s="2238"/>
      <c r="R267" s="2238"/>
      <c r="S267" s="2238"/>
      <c r="T267" s="2238"/>
      <c r="U267" s="2238"/>
      <c r="V267" s="2238"/>
      <c r="W267" s="2238"/>
    </row>
    <row r="268" spans="1:23">
      <c r="A268" s="2238"/>
      <c r="B268" s="2264"/>
      <c r="C268" s="2264"/>
      <c r="D268" s="2264"/>
      <c r="E268" s="2264"/>
      <c r="F268" s="2264"/>
      <c r="G268" s="2264"/>
      <c r="H268" s="2264"/>
      <c r="I268" s="2264"/>
      <c r="J268" s="2264"/>
      <c r="K268" s="2264"/>
      <c r="L268" s="2264"/>
      <c r="M268" s="2264"/>
      <c r="N268" s="2238"/>
      <c r="O268" s="2238"/>
      <c r="P268" s="2238"/>
      <c r="Q268" s="2238"/>
      <c r="R268" s="2238"/>
      <c r="S268" s="2238"/>
      <c r="T268" s="2238"/>
      <c r="U268" s="2238"/>
      <c r="V268" s="2238"/>
      <c r="W268" s="2238"/>
    </row>
    <row r="269" spans="1:23">
      <c r="A269" s="2238"/>
      <c r="B269" s="2264"/>
      <c r="C269" s="2264"/>
      <c r="D269" s="2264"/>
      <c r="E269" s="2264"/>
      <c r="F269" s="2264"/>
      <c r="G269" s="2264"/>
      <c r="H269" s="2264"/>
      <c r="I269" s="2264"/>
      <c r="J269" s="2264"/>
      <c r="K269" s="2264"/>
      <c r="L269" s="2264"/>
      <c r="M269" s="2264"/>
      <c r="N269" s="2238"/>
      <c r="O269" s="2238"/>
      <c r="P269" s="2238"/>
      <c r="Q269" s="2238"/>
      <c r="R269" s="2238"/>
      <c r="S269" s="2238"/>
      <c r="T269" s="2238"/>
      <c r="U269" s="2238"/>
      <c r="V269" s="2238"/>
      <c r="W269" s="2238"/>
    </row>
    <row r="270" spans="1:23">
      <c r="A270" s="2238"/>
      <c r="B270" s="2264"/>
      <c r="C270" s="2264"/>
      <c r="D270" s="2264"/>
      <c r="E270" s="2264"/>
      <c r="F270" s="2264"/>
      <c r="G270" s="2264"/>
      <c r="H270" s="2264"/>
      <c r="I270" s="2264"/>
      <c r="J270" s="2264"/>
      <c r="K270" s="2264"/>
      <c r="L270" s="2264"/>
      <c r="M270" s="2264"/>
      <c r="N270" s="2238"/>
      <c r="O270" s="2238"/>
      <c r="P270" s="2238"/>
      <c r="Q270" s="2238"/>
      <c r="R270" s="2238"/>
      <c r="S270" s="2238"/>
      <c r="T270" s="2238"/>
      <c r="U270" s="2238"/>
      <c r="V270" s="2238"/>
      <c r="W270" s="2238"/>
    </row>
    <row r="271" spans="1:23">
      <c r="A271" s="2238"/>
      <c r="B271" s="2264"/>
      <c r="C271" s="2264"/>
      <c r="D271" s="2264"/>
      <c r="E271" s="2264"/>
      <c r="F271" s="2264"/>
      <c r="G271" s="2264"/>
      <c r="H271" s="2264"/>
      <c r="I271" s="2264"/>
      <c r="J271" s="2264"/>
      <c r="K271" s="2264"/>
      <c r="L271" s="2264"/>
      <c r="M271" s="2264"/>
      <c r="N271" s="2238"/>
      <c r="O271" s="2238"/>
      <c r="P271" s="2238"/>
      <c r="Q271" s="2238"/>
      <c r="R271" s="2238"/>
      <c r="S271" s="2238"/>
      <c r="T271" s="2238"/>
      <c r="U271" s="2238"/>
      <c r="V271" s="2238"/>
      <c r="W271" s="2238"/>
    </row>
    <row r="272" spans="1:23">
      <c r="A272" s="2238"/>
      <c r="B272" s="2264"/>
      <c r="C272" s="2264"/>
      <c r="D272" s="2264"/>
      <c r="E272" s="2264"/>
      <c r="F272" s="2264"/>
      <c r="G272" s="2264"/>
      <c r="H272" s="2264"/>
      <c r="I272" s="2264"/>
      <c r="J272" s="2264"/>
      <c r="K272" s="2264"/>
      <c r="L272" s="2264"/>
      <c r="M272" s="2264"/>
      <c r="N272" s="2238"/>
      <c r="O272" s="2238"/>
      <c r="P272" s="2238"/>
      <c r="Q272" s="2238"/>
      <c r="R272" s="2238"/>
      <c r="S272" s="2238"/>
      <c r="T272" s="2238"/>
      <c r="U272" s="2238"/>
      <c r="V272" s="2238"/>
      <c r="W272" s="2238"/>
    </row>
    <row r="273" spans="1:23">
      <c r="A273" s="2238"/>
      <c r="B273" s="2264"/>
      <c r="C273" s="2264"/>
      <c r="D273" s="2264"/>
      <c r="E273" s="2264"/>
      <c r="F273" s="2264"/>
      <c r="G273" s="2264"/>
      <c r="H273" s="2264"/>
      <c r="I273" s="2264"/>
      <c r="J273" s="2264"/>
      <c r="K273" s="2264"/>
      <c r="L273" s="2264"/>
      <c r="M273" s="2264"/>
      <c r="N273" s="2238"/>
      <c r="O273" s="2238"/>
      <c r="P273" s="2238"/>
      <c r="Q273" s="2238"/>
      <c r="R273" s="2238"/>
      <c r="S273" s="2238"/>
      <c r="T273" s="2238"/>
      <c r="U273" s="2238"/>
      <c r="V273" s="2238"/>
      <c r="W273" s="2238"/>
    </row>
    <row r="274" spans="1:23" ht="15" customHeight="1">
      <c r="A274" s="2238"/>
      <c r="B274" s="2264"/>
      <c r="C274" s="2264"/>
      <c r="D274" s="2264"/>
      <c r="E274" s="2264"/>
      <c r="F274" s="2264"/>
      <c r="G274" s="2264"/>
      <c r="H274" s="2264"/>
      <c r="I274" s="2264"/>
      <c r="J274" s="2264"/>
      <c r="K274" s="2264"/>
      <c r="L274" s="2264"/>
      <c r="M274" s="2264"/>
      <c r="N274" s="2238"/>
      <c r="O274" s="2238"/>
      <c r="P274" s="2238"/>
      <c r="Q274" s="2238"/>
      <c r="R274" s="2238"/>
      <c r="S274" s="2238"/>
      <c r="T274" s="2238"/>
      <c r="U274" s="2238"/>
      <c r="V274" s="2238"/>
      <c r="W274" s="2238"/>
    </row>
    <row r="275" spans="1:23" ht="15" customHeight="1">
      <c r="A275" s="2238"/>
      <c r="B275" s="2264"/>
      <c r="C275" s="2264"/>
      <c r="D275" s="2264"/>
      <c r="E275" s="2264"/>
      <c r="F275" s="2264"/>
      <c r="G275" s="2264"/>
      <c r="H275" s="2264"/>
      <c r="I275" s="2264"/>
      <c r="J275" s="2264"/>
      <c r="K275" s="2264"/>
      <c r="L275" s="2264"/>
      <c r="M275" s="2264"/>
      <c r="N275" s="2238"/>
      <c r="O275" s="2238"/>
      <c r="P275" s="2238"/>
      <c r="Q275" s="2238"/>
      <c r="R275" s="2238"/>
      <c r="S275" s="2238"/>
      <c r="T275" s="2238"/>
      <c r="U275" s="2238"/>
      <c r="V275" s="2238"/>
      <c r="W275" s="2238"/>
    </row>
    <row r="276" spans="1:23" ht="15" customHeight="1">
      <c r="A276" s="2238"/>
      <c r="B276" s="2264"/>
      <c r="C276" s="2264"/>
      <c r="D276" s="2264"/>
      <c r="E276" s="2264"/>
      <c r="F276" s="2264"/>
      <c r="G276" s="2264"/>
      <c r="H276" s="2264"/>
      <c r="I276" s="2264"/>
      <c r="J276" s="2264"/>
      <c r="K276" s="2264"/>
      <c r="L276" s="2264"/>
      <c r="M276" s="2264"/>
      <c r="N276" s="2238"/>
      <c r="O276" s="2238"/>
      <c r="P276" s="2238"/>
      <c r="Q276" s="2238"/>
      <c r="R276" s="2238"/>
      <c r="S276" s="2238"/>
      <c r="T276" s="2238"/>
      <c r="U276" s="2238"/>
      <c r="V276" s="2238"/>
      <c r="W276" s="2238"/>
    </row>
    <row r="277" spans="1:23" ht="15" customHeight="1">
      <c r="A277" s="2238"/>
      <c r="B277" s="2264"/>
      <c r="C277" s="2264"/>
      <c r="D277" s="2264"/>
      <c r="E277" s="2264"/>
      <c r="F277" s="2264"/>
      <c r="G277" s="2264"/>
      <c r="H277" s="2264"/>
      <c r="I277" s="2264"/>
      <c r="J277" s="2264"/>
      <c r="K277" s="2264"/>
      <c r="L277" s="2264"/>
      <c r="M277" s="2264"/>
      <c r="N277" s="2238"/>
      <c r="O277" s="2238"/>
      <c r="P277" s="2238"/>
      <c r="Q277" s="2238"/>
      <c r="R277" s="2238"/>
      <c r="S277" s="2238"/>
      <c r="T277" s="2238"/>
      <c r="U277" s="2238"/>
      <c r="V277" s="2238"/>
      <c r="W277" s="2238"/>
    </row>
    <row r="278" spans="1:23">
      <c r="A278" s="2238"/>
      <c r="B278" s="2264"/>
      <c r="C278" s="2264"/>
      <c r="D278" s="2264"/>
      <c r="E278" s="2264"/>
      <c r="F278" s="2264"/>
      <c r="G278" s="2264"/>
      <c r="H278" s="2264"/>
      <c r="I278" s="2264"/>
      <c r="J278" s="2264"/>
      <c r="K278" s="2264"/>
      <c r="L278" s="2264"/>
      <c r="M278" s="2264"/>
      <c r="N278" s="2238"/>
      <c r="O278" s="2238"/>
      <c r="P278" s="2238"/>
      <c r="Q278" s="2238"/>
      <c r="R278" s="2238"/>
      <c r="S278" s="2238"/>
      <c r="T278" s="2238"/>
      <c r="U278" s="2238"/>
      <c r="V278" s="2238"/>
      <c r="W278" s="2238"/>
    </row>
  </sheetData>
  <sheetProtection password="889B" sheet="1"/>
  <mergeCells count="53">
    <mergeCell ref="L2:M2"/>
    <mergeCell ref="D32:G32"/>
    <mergeCell ref="H32:J32"/>
    <mergeCell ref="D50:G50"/>
    <mergeCell ref="H50:J50"/>
    <mergeCell ref="D56:G56"/>
    <mergeCell ref="H56:J56"/>
    <mergeCell ref="D57:E57"/>
    <mergeCell ref="G57:H57"/>
    <mergeCell ref="H66:J66"/>
    <mergeCell ref="K66:L66"/>
    <mergeCell ref="D67:F67"/>
    <mergeCell ref="G67:I67"/>
    <mergeCell ref="F101:H101"/>
    <mergeCell ref="F111:H111"/>
    <mergeCell ref="F122:H122"/>
    <mergeCell ref="F130:H130"/>
    <mergeCell ref="H134:J134"/>
    <mergeCell ref="F139:H139"/>
    <mergeCell ref="D144:G144"/>
    <mergeCell ref="J144:K144"/>
    <mergeCell ref="F146:I146"/>
    <mergeCell ref="K146:L146"/>
    <mergeCell ref="J149:K149"/>
    <mergeCell ref="F150:H150"/>
    <mergeCell ref="E162:G162"/>
    <mergeCell ref="D167:F167"/>
    <mergeCell ref="F171:H171"/>
    <mergeCell ref="I171:J171"/>
    <mergeCell ref="F175:H175"/>
    <mergeCell ref="E180:H180"/>
    <mergeCell ref="D188:E188"/>
    <mergeCell ref="F192:H192"/>
    <mergeCell ref="F224:I224"/>
    <mergeCell ref="J224:K224"/>
    <mergeCell ref="C225:F225"/>
    <mergeCell ref="G225:I225"/>
    <mergeCell ref="E226:H226"/>
    <mergeCell ref="L228:M228"/>
    <mergeCell ref="E229:H229"/>
    <mergeCell ref="L231:M231"/>
    <mergeCell ref="E232:H232"/>
    <mergeCell ref="E235:H235"/>
    <mergeCell ref="I235:K235"/>
    <mergeCell ref="L243:M243"/>
    <mergeCell ref="D244:F244"/>
    <mergeCell ref="E236:H236"/>
    <mergeCell ref="E239:H239"/>
    <mergeCell ref="H240:I240"/>
    <mergeCell ref="E241:H241"/>
    <mergeCell ref="I242:J242"/>
    <mergeCell ref="G243:I243"/>
    <mergeCell ref="J243:K243"/>
  </mergeCells>
  <pageMargins left="0.15748031496062992" right="0.15748031496062992" top="0.43307086614173229" bottom="0.23622047244094491" header="0.23622047244094491" footer="0.19685039370078741"/>
  <pageSetup paperSize="9" scale="85" orientation="portrait" r:id="rId1"/>
  <headerFooter alignWithMargins="0">
    <oddHeader>&amp;C&amp;"Times New Roman CYR,Bold"&amp;12- &amp;P / &amp;N -</oddHeader>
  </headerFooter>
</worksheet>
</file>

<file path=xl/worksheets/sheet10.xml><?xml version="1.0" encoding="utf-8"?>
<worksheet xmlns="http://schemas.openxmlformats.org/spreadsheetml/2006/main" xmlns:r="http://schemas.openxmlformats.org/officeDocument/2006/relationships">
  <dimension ref="A1:Z114"/>
  <sheetViews>
    <sheetView showZeros="0" zoomScaleNormal="10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2.75"/>
  <cols>
    <col min="1" max="1" width="64.5703125" style="1398" customWidth="1"/>
    <col min="2" max="2" width="7.28515625" style="1398" customWidth="1"/>
    <col min="3" max="3" width="1" style="1398" customWidth="1"/>
    <col min="4" max="5" width="17" style="1398" customWidth="1"/>
    <col min="6" max="6" width="1" style="1398" customWidth="1"/>
    <col min="7" max="8" width="17" style="1398" customWidth="1"/>
    <col min="9" max="9" width="1" style="1398" customWidth="1"/>
    <col min="10" max="11" width="17" style="1398" customWidth="1"/>
    <col min="12" max="12" width="1" style="1398" customWidth="1"/>
    <col min="13" max="14" width="17" style="1398" customWidth="1"/>
    <col min="15" max="15" width="3.42578125" style="1398" customWidth="1"/>
    <col min="16" max="17" width="26.5703125" style="1398" customWidth="1"/>
    <col min="18" max="18" width="1" style="1398" customWidth="1"/>
    <col min="19" max="20" width="16.140625" style="1398" customWidth="1"/>
    <col min="21" max="21" width="1" style="1398" customWidth="1"/>
    <col min="22" max="23" width="16.140625" style="1398" customWidth="1"/>
    <col min="24" max="24" width="1" style="1398" customWidth="1"/>
    <col min="25" max="26" width="15.7109375" style="1398" customWidth="1"/>
    <col min="27" max="16384" width="9.140625" style="1398"/>
  </cols>
  <sheetData>
    <row r="1" spans="1:26" ht="16.5" customHeight="1">
      <c r="A1" s="2575" t="str">
        <f>+'TRIAL-BALANCE'!E2</f>
        <v>ОУ "ПРОФЕСОР МАРИН ДРИНОВ"</v>
      </c>
      <c r="B1" s="2576"/>
      <c r="C1" s="2576"/>
      <c r="D1" s="2577"/>
      <c r="E1" s="301" t="s">
        <v>792</v>
      </c>
      <c r="F1" s="300"/>
      <c r="G1" s="2573">
        <f>+'TRIAL-BALANCE'!C6</f>
        <v>341731</v>
      </c>
      <c r="H1" s="2574"/>
      <c r="I1" s="300"/>
      <c r="J1" s="301" t="s">
        <v>1212</v>
      </c>
      <c r="K1" s="1937">
        <f>+'TRIAL-BALANCE'!C8</f>
        <v>0</v>
      </c>
      <c r="L1" s="300"/>
      <c r="M1" s="1270" t="s">
        <v>1208</v>
      </c>
      <c r="N1" s="2214">
        <f>+'TRIAL-BALANCE'!H8</f>
        <v>0</v>
      </c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</row>
    <row r="2" spans="1:26" ht="14.25" customHeight="1">
      <c r="A2" s="2579" t="str">
        <f>+'BALANCE-SHEET-2020-leva'!A2:D2</f>
        <v>(бюджетна организация, предприятие по чл. 165, ал. 1 от ЗПФ, поделение)</v>
      </c>
      <c r="B2" s="2580"/>
      <c r="C2" s="2580"/>
      <c r="D2" s="2581"/>
      <c r="E2" s="2584" t="str">
        <f>+'BALANCE-SHEET-2020-leva'!E2</f>
        <v>отчетено НЕРАВНЕНИЕ в таблица 'Status'!</v>
      </c>
      <c r="F2" s="2584"/>
      <c r="G2" s="2584"/>
      <c r="H2" s="2584"/>
      <c r="I2" s="300"/>
      <c r="J2" s="2572">
        <f>+'BALANCE-SHEET-2020-leva'!J2:K2</f>
        <v>0</v>
      </c>
      <c r="K2" s="2572"/>
      <c r="L2" s="300"/>
      <c r="M2" s="2572">
        <f>+'BALANCE-SHEET-2020-leva'!M2:N2</f>
        <v>0</v>
      </c>
      <c r="N2" s="2572"/>
      <c r="O2" s="303"/>
      <c r="P2" s="303"/>
      <c r="Q2" s="303"/>
      <c r="R2" s="303"/>
      <c r="S2" s="303"/>
      <c r="T2" s="303"/>
      <c r="U2" s="303"/>
      <c r="V2" s="303"/>
      <c r="W2" s="303"/>
      <c r="X2" s="303"/>
      <c r="Y2" s="303"/>
      <c r="Z2" s="303"/>
    </row>
    <row r="3" spans="1:26" ht="18" customHeight="1">
      <c r="A3" s="2470">
        <f>+'TRIAL-BALANCE'!G4</f>
        <v>0</v>
      </c>
      <c r="B3" s="2471"/>
      <c r="C3" s="2471"/>
      <c r="D3" s="2472"/>
      <c r="E3" s="304" t="s">
        <v>1205</v>
      </c>
      <c r="F3" s="302"/>
      <c r="G3" s="2582">
        <f>+'TRIAL-BALANCE'!J8</f>
        <v>0</v>
      </c>
      <c r="H3" s="2583"/>
      <c r="I3" s="300"/>
      <c r="J3" s="2212" t="s">
        <v>2106</v>
      </c>
      <c r="K3" s="2475" t="str">
        <f>+'TRIAL-BALANCE'!G6</f>
        <v xml:space="preserve">                              </v>
      </c>
      <c r="L3" s="2491"/>
      <c r="M3" s="2491"/>
      <c r="N3" s="2476"/>
      <c r="O3" s="303"/>
      <c r="P3" s="303"/>
      <c r="Q3" s="303"/>
      <c r="R3" s="303"/>
      <c r="S3" s="303"/>
      <c r="T3" s="303"/>
      <c r="U3" s="303"/>
      <c r="V3" s="303"/>
      <c r="W3" s="303"/>
      <c r="X3" s="303"/>
      <c r="Y3" s="303"/>
      <c r="Z3" s="303"/>
    </row>
    <row r="4" spans="1:26" ht="2.25" customHeight="1">
      <c r="A4" s="300"/>
      <c r="B4" s="300"/>
      <c r="C4" s="300"/>
      <c r="D4" s="300"/>
      <c r="E4" s="154"/>
      <c r="F4" s="300"/>
      <c r="G4" s="154"/>
      <c r="H4" s="155"/>
      <c r="I4" s="300"/>
      <c r="J4" s="302"/>
      <c r="K4" s="302"/>
      <c r="L4" s="300"/>
      <c r="M4" s="302"/>
      <c r="N4" s="302"/>
      <c r="O4" s="303"/>
      <c r="P4" s="303"/>
      <c r="Q4" s="303"/>
      <c r="R4" s="303"/>
      <c r="S4" s="303"/>
      <c r="T4" s="303"/>
      <c r="U4" s="303"/>
      <c r="V4" s="303"/>
      <c r="W4" s="303"/>
      <c r="X4" s="303"/>
      <c r="Y4" s="303"/>
      <c r="Z4" s="303"/>
    </row>
    <row r="5" spans="1:26" ht="17.25" customHeight="1">
      <c r="A5" s="305" t="s">
        <v>1006</v>
      </c>
      <c r="B5" s="2578" t="str">
        <f>+A1</f>
        <v>ОУ "ПРОФЕСОР МАРИН ДРИНОВ"</v>
      </c>
      <c r="C5" s="2578"/>
      <c r="D5" s="2578"/>
      <c r="E5" s="2578"/>
      <c r="F5" s="2578"/>
      <c r="G5" s="2578"/>
      <c r="H5" s="1261" t="str">
        <f>+'BALANCE-SHEET-2020-leva'!H5</f>
        <v xml:space="preserve">  към</v>
      </c>
      <c r="I5" s="158"/>
      <c r="J5" s="1266" t="str">
        <f>+'BALANCE-SHEET-2020-leva'!J5</f>
        <v>31 март 2020 г.</v>
      </c>
      <c r="K5" s="1262"/>
      <c r="L5" s="1262" t="str">
        <f>+'TRIAL-BALANCE'!D10</f>
        <v xml:space="preserve"> Обор. ведомост</v>
      </c>
      <c r="M5" s="1262" t="str">
        <f>+'TRIAL-BALANCE'!C10</f>
        <v>/с б о р е н/</v>
      </c>
      <c r="N5" s="1263" t="s">
        <v>201</v>
      </c>
      <c r="O5" s="303"/>
      <c r="P5" s="303"/>
      <c r="Q5" s="303"/>
      <c r="R5" s="303"/>
      <c r="S5" s="303"/>
      <c r="T5" s="303"/>
      <c r="U5" s="303"/>
      <c r="V5" s="303"/>
      <c r="W5" s="303"/>
      <c r="X5" s="303"/>
      <c r="Y5" s="303"/>
      <c r="Z5" s="303"/>
    </row>
    <row r="6" spans="1:26" ht="14.25" customHeight="1" thickBot="1">
      <c r="A6" s="160" t="s">
        <v>255</v>
      </c>
      <c r="B6" s="161"/>
      <c r="C6" s="154"/>
      <c r="D6" s="2570">
        <f>+'BALANCE-SHEET-2020-leva'!D6:E6</f>
        <v>0</v>
      </c>
      <c r="E6" s="2570"/>
      <c r="F6" s="164"/>
      <c r="G6" s="2570">
        <f>+'BALANCE-SHEET-2020-leva'!G6:H6</f>
        <v>0</v>
      </c>
      <c r="H6" s="2571"/>
      <c r="I6" s="154"/>
      <c r="J6" s="302"/>
      <c r="K6" s="302"/>
      <c r="L6" s="154"/>
      <c r="M6" s="160" t="s">
        <v>810</v>
      </c>
      <c r="N6" s="302"/>
      <c r="O6" s="303"/>
      <c r="P6" s="303"/>
      <c r="Q6" s="303"/>
      <c r="R6" s="303"/>
      <c r="S6" s="303"/>
      <c r="T6" s="303"/>
      <c r="U6" s="303"/>
      <c r="V6" s="303"/>
      <c r="W6" s="303"/>
      <c r="X6" s="303"/>
      <c r="Y6" s="303"/>
      <c r="Z6" s="303"/>
    </row>
    <row r="7" spans="1:26" ht="12.75" customHeight="1" thickTop="1">
      <c r="A7" s="1061"/>
      <c r="B7" s="2482" t="s">
        <v>2191</v>
      </c>
      <c r="C7" s="164"/>
      <c r="D7" s="638" t="s">
        <v>1287</v>
      </c>
      <c r="E7" s="644"/>
      <c r="F7" s="164"/>
      <c r="G7" s="634" t="s">
        <v>1288</v>
      </c>
      <c r="H7" s="635"/>
      <c r="I7" s="164" t="s">
        <v>265</v>
      </c>
      <c r="J7" s="669" t="s">
        <v>1272</v>
      </c>
      <c r="K7" s="670"/>
      <c r="L7" s="164"/>
      <c r="M7" s="2565" t="s">
        <v>398</v>
      </c>
      <c r="N7" s="2566"/>
      <c r="O7" s="303"/>
      <c r="P7" s="303"/>
      <c r="Q7" s="303"/>
      <c r="R7" s="303"/>
      <c r="S7" s="303"/>
      <c r="T7" s="303"/>
      <c r="U7" s="303"/>
      <c r="V7" s="303"/>
      <c r="W7" s="303"/>
      <c r="X7" s="303"/>
      <c r="Y7" s="303"/>
      <c r="Z7" s="303"/>
    </row>
    <row r="8" spans="1:26" ht="14.25" customHeight="1" thickBot="1">
      <c r="A8" s="1448" t="s">
        <v>399</v>
      </c>
      <c r="B8" s="2483"/>
      <c r="C8" s="164"/>
      <c r="D8" s="438" t="s">
        <v>1286</v>
      </c>
      <c r="E8" s="646"/>
      <c r="F8" s="164"/>
      <c r="G8" s="1580" t="s">
        <v>1100</v>
      </c>
      <c r="H8" s="637"/>
      <c r="I8" s="164"/>
      <c r="J8" s="1581" t="s">
        <v>1271</v>
      </c>
      <c r="K8" s="1406"/>
      <c r="L8" s="164"/>
      <c r="M8" s="2567"/>
      <c r="N8" s="2568"/>
      <c r="O8" s="303"/>
      <c r="P8" s="303"/>
      <c r="Q8" s="303"/>
      <c r="R8" s="303"/>
      <c r="S8" s="303"/>
      <c r="T8" s="303"/>
      <c r="U8" s="303"/>
      <c r="V8" s="303"/>
      <c r="W8" s="303"/>
      <c r="X8" s="303"/>
      <c r="Y8" s="303"/>
      <c r="Z8" s="303"/>
    </row>
    <row r="9" spans="1:26" ht="30.75" customHeight="1" thickBot="1">
      <c r="A9" s="1912" t="str">
        <f>+'BALANCE-SHEET-2020-leva'!A9</f>
        <v>Непопълнен ред в таблица 'Cash-deficit'!</v>
      </c>
      <c r="B9" s="2484"/>
      <c r="C9" s="154"/>
      <c r="D9" s="1449" t="s">
        <v>1012</v>
      </c>
      <c r="E9" s="1468" t="s">
        <v>1117</v>
      </c>
      <c r="F9" s="233"/>
      <c r="G9" s="1449" t="str">
        <f>+D9</f>
        <v>Текуща година</v>
      </c>
      <c r="H9" s="1468" t="str">
        <f>+E9</f>
        <v>Предходна година (към 31 декември)</v>
      </c>
      <c r="I9" s="233"/>
      <c r="J9" s="1449" t="str">
        <f>+G9</f>
        <v>Текуща година</v>
      </c>
      <c r="K9" s="1468" t="str">
        <f>+H9</f>
        <v>Предходна година (към 31 декември)</v>
      </c>
      <c r="L9" s="233"/>
      <c r="M9" s="1449" t="str">
        <f>+J9</f>
        <v>Текуща година</v>
      </c>
      <c r="N9" s="1468" t="str">
        <f>+K9</f>
        <v>Предходна година (към 31 декември)</v>
      </c>
      <c r="O9" s="303"/>
      <c r="P9" s="303"/>
      <c r="Q9" s="303"/>
      <c r="R9" s="303"/>
      <c r="S9" s="303"/>
      <c r="T9" s="303"/>
      <c r="U9" s="303"/>
      <c r="V9" s="303"/>
      <c r="W9" s="303"/>
      <c r="X9" s="303"/>
      <c r="Y9" s="303"/>
      <c r="Z9" s="303"/>
    </row>
    <row r="10" spans="1:26" ht="16.5" thickBot="1">
      <c r="A10" s="1062" t="s">
        <v>150</v>
      </c>
      <c r="B10" s="1063" t="s">
        <v>151</v>
      </c>
      <c r="C10" s="154"/>
      <c r="D10" s="1451">
        <v>1</v>
      </c>
      <c r="E10" s="1452">
        <f>1+D10</f>
        <v>2</v>
      </c>
      <c r="F10" s="233"/>
      <c r="G10" s="1451">
        <f>1+E10</f>
        <v>3</v>
      </c>
      <c r="H10" s="1452">
        <f>1+G10</f>
        <v>4</v>
      </c>
      <c r="I10" s="233"/>
      <c r="J10" s="1451">
        <f>1+H10</f>
        <v>5</v>
      </c>
      <c r="K10" s="1452">
        <f>1+J10</f>
        <v>6</v>
      </c>
      <c r="L10" s="233"/>
      <c r="M10" s="1451">
        <f>1+K10</f>
        <v>7</v>
      </c>
      <c r="N10" s="1452">
        <f>1+M10</f>
        <v>8</v>
      </c>
      <c r="O10" s="303"/>
      <c r="P10" s="303"/>
      <c r="Q10" s="303"/>
      <c r="R10" s="303"/>
      <c r="S10" s="303"/>
      <c r="T10" s="303"/>
      <c r="U10" s="303"/>
      <c r="V10" s="303"/>
      <c r="W10" s="303"/>
      <c r="X10" s="303"/>
      <c r="Y10" s="303"/>
      <c r="Z10" s="303"/>
    </row>
    <row r="11" spans="1:26" ht="15.75">
      <c r="A11" s="170" t="s">
        <v>152</v>
      </c>
      <c r="B11" s="171"/>
      <c r="C11" s="164"/>
      <c r="D11" s="616"/>
      <c r="E11" s="617"/>
      <c r="F11" s="164"/>
      <c r="G11" s="616"/>
      <c r="H11" s="617"/>
      <c r="I11" s="164"/>
      <c r="J11" s="616"/>
      <c r="K11" s="617"/>
      <c r="L11" s="164"/>
      <c r="M11" s="616"/>
      <c r="N11" s="617"/>
      <c r="O11" s="303"/>
      <c r="P11" s="303"/>
      <c r="Q11" s="303"/>
      <c r="R11" s="303"/>
      <c r="S11" s="303"/>
      <c r="T11" s="303"/>
      <c r="U11" s="303"/>
      <c r="V11" s="303"/>
      <c r="W11" s="303"/>
      <c r="X11" s="303"/>
      <c r="Y11" s="303"/>
      <c r="Z11" s="303"/>
    </row>
    <row r="12" spans="1:26" ht="15.75">
      <c r="A12" s="172" t="s">
        <v>153</v>
      </c>
      <c r="B12" s="173"/>
      <c r="C12" s="154"/>
      <c r="D12" s="255" t="str">
        <f>+IF(+OR(D13&lt;0,D14&lt;0,D15&lt;0,D16&lt;0,D22&lt;0),"НЕРАВНЕНИЕ !"," ")</f>
        <v xml:space="preserve"> </v>
      </c>
      <c r="E12" s="322" t="str">
        <f>+IF(+OR(E13&lt;0,E14&lt;0,E15&lt;0,E16&lt;0,E22&lt;0),"НЕРАВНЕНИЕ !"," ")</f>
        <v xml:space="preserve"> </v>
      </c>
      <c r="F12" s="154"/>
      <c r="G12" s="255" t="str">
        <f>+IF(+OR(G13&lt;0,G14&lt;0,G15&lt;0,G16&lt;0,G22&lt;0),"НЕРАВНЕНИЕ !"," ")</f>
        <v xml:space="preserve"> </v>
      </c>
      <c r="H12" s="322" t="str">
        <f>+IF(+OR(H13&lt;0,H14&lt;0,H15&lt;0,H16&lt;0,H22&lt;0),"НЕРАВНЕНИЕ !"," ")</f>
        <v xml:space="preserve"> </v>
      </c>
      <c r="I12" s="154"/>
      <c r="J12" s="255" t="str">
        <f>+IF(+OR(J13&lt;0,J14&lt;0,J15&lt;0,J16&lt;0,J22&lt;0),"НЕРАВНЕНИЕ !"," ")</f>
        <v xml:space="preserve"> </v>
      </c>
      <c r="K12" s="322" t="str">
        <f>+IF(+OR(K13&lt;0,K14&lt;0,K15&lt;0,K16&lt;0,K22&lt;0),"НЕРАВНЕНИЕ !"," ")</f>
        <v xml:space="preserve"> </v>
      </c>
      <c r="L12" s="154"/>
      <c r="M12" s="255" t="str">
        <f>+IF(+OR(M13&lt;0,M14&lt;0,M15&lt;0,M16&lt;0,M22&lt;0),"НЕРАВНЕНИЕ !"," ")</f>
        <v xml:space="preserve"> </v>
      </c>
      <c r="N12" s="322" t="str">
        <f>+IF(+OR(N13&lt;0,N14&lt;0,N15&lt;0,N16&lt;0,N22&lt;0),"НЕРАВНЕНИЕ !"," ")</f>
        <v xml:space="preserve"> </v>
      </c>
      <c r="O12" s="303"/>
      <c r="P12" s="303"/>
      <c r="Q12" s="303"/>
      <c r="R12" s="303"/>
      <c r="S12" s="303"/>
      <c r="T12" s="303"/>
      <c r="U12" s="303"/>
      <c r="V12" s="303"/>
      <c r="W12" s="303"/>
      <c r="X12" s="303"/>
      <c r="Y12" s="303"/>
      <c r="Z12" s="303"/>
    </row>
    <row r="13" spans="1:26" ht="15.75">
      <c r="A13" s="334" t="s">
        <v>154</v>
      </c>
      <c r="B13" s="335">
        <v>11</v>
      </c>
      <c r="C13" s="154"/>
      <c r="D13" s="659">
        <f>+'BALANCE-SHEET-2020-leva'!D13/1000+IF(+Rounding!$C$6=$B13,+Rounding!D$6,0)+IF(+Rounding!$C$7=$B13,+Rounding!D$7,0)</f>
        <v>0</v>
      </c>
      <c r="E13" s="660">
        <f>+'BALANCE-SHEET-2020-leva'!E13/1000+IF(+Rounding!$C$6=$B13,+Rounding!E$6,0)+IF(+Rounding!$C$7=$B13,+Rounding!E$7,0)</f>
        <v>0</v>
      </c>
      <c r="F13" s="154"/>
      <c r="G13" s="659">
        <f>+'BALANCE-SHEET-2020-leva'!G13/1000+IF(+Rounding!$G$6=$B13,+Rounding!H$6,0)+IF(+Rounding!$G$7=$B13,+Rounding!H$7,0)</f>
        <v>0</v>
      </c>
      <c r="H13" s="660">
        <f>+'BALANCE-SHEET-2020-leva'!H13/1000+IF(+Rounding!$G$6=$B13,+Rounding!I$6,0)+IF(+Rounding!$G$7=$B13,+Rounding!I$7,0)</f>
        <v>0</v>
      </c>
      <c r="I13" s="154"/>
      <c r="J13" s="659">
        <f>+'BALANCE-SHEET-2020-leva'!J13/1000+IF(+Rounding!$K$6=$B13,+Rounding!L$6,0)+IF(+Rounding!$K$7=$B13,+Rounding!L$7,0)</f>
        <v>0</v>
      </c>
      <c r="K13" s="660">
        <f>+'BALANCE-SHEET-2020-leva'!K13/1000+IF(+Rounding!$K$6=$B13,+Rounding!M$6,0)+IF(+Rounding!$K$7=$B13,+Rounding!M$7,0)</f>
        <v>0</v>
      </c>
      <c r="L13" s="154"/>
      <c r="M13" s="659">
        <f>+D13+G13+J13+IF(+Rounding!$O$6=$B13,+Rounding!P$6,0)+IF(+Rounding!$O$7=$B13,+Rounding!P$7,0)</f>
        <v>0</v>
      </c>
      <c r="N13" s="660">
        <f>+E13+H13+K13+IF(+Rounding!$O$6=$B13,+Rounding!Q$6,0)+IF(+Rounding!$O$7=$B13,+Rounding!Q$7,0)</f>
        <v>0</v>
      </c>
      <c r="O13" s="303"/>
      <c r="P13" s="303"/>
      <c r="Q13" s="303"/>
      <c r="R13" s="303"/>
      <c r="S13" s="303"/>
      <c r="T13" s="303"/>
      <c r="U13" s="303"/>
      <c r="V13" s="303"/>
      <c r="W13" s="303"/>
      <c r="X13" s="303"/>
      <c r="Y13" s="303"/>
      <c r="Z13" s="303"/>
    </row>
    <row r="14" spans="1:26" ht="15.75">
      <c r="A14" s="334" t="s">
        <v>256</v>
      </c>
      <c r="B14" s="335">
        <v>12</v>
      </c>
      <c r="C14" s="154"/>
      <c r="D14" s="659">
        <f>+'BALANCE-SHEET-2020-leva'!D14/1000+IF(+Rounding!$C$6=$B14,+Rounding!D$6,0)+IF(+Rounding!$C$7=$B14,+Rounding!D$7,0)</f>
        <v>305.38209999999998</v>
      </c>
      <c r="E14" s="660">
        <f>+'BALANCE-SHEET-2020-leva'!E14/1000+IF(+Rounding!$C$6=$B14,+Rounding!E$6,0)+IF(+Rounding!$C$7=$B14,+Rounding!E$7,0)</f>
        <v>318.69716</v>
      </c>
      <c r="F14" s="154"/>
      <c r="G14" s="659">
        <f>+'BALANCE-SHEET-2020-leva'!G14/1000+IF(+Rounding!$G$6=$B14,+Rounding!H$6,0)+IF(+Rounding!$G$7=$B14,+Rounding!H$7,0)</f>
        <v>0</v>
      </c>
      <c r="H14" s="660">
        <f>+'BALANCE-SHEET-2020-leva'!H14/1000+IF(+Rounding!$G$6=$B14,+Rounding!I$6,0)+IF(+Rounding!$G$7=$B14,+Rounding!I$7,0)</f>
        <v>0</v>
      </c>
      <c r="I14" s="154"/>
      <c r="J14" s="659">
        <f>+'BALANCE-SHEET-2020-leva'!J14/1000+IF(+Rounding!$K$6=$B14,+Rounding!L$6,0)+IF(+Rounding!$K$7=$B14,+Rounding!L$7,0)</f>
        <v>0</v>
      </c>
      <c r="K14" s="660">
        <f>+'BALANCE-SHEET-2020-leva'!K14/1000+IF(+Rounding!$K$6=$B14,+Rounding!M$6,0)+IF(+Rounding!$K$7=$B14,+Rounding!M$7,0)</f>
        <v>0</v>
      </c>
      <c r="L14" s="154"/>
      <c r="M14" s="659">
        <f>+D14+G14+J14+IF(+Rounding!$O$6=$B14,+Rounding!P$6,0)+IF(+Rounding!$O$7=$B14,+Rounding!P$7,0)</f>
        <v>305.38209999999998</v>
      </c>
      <c r="N14" s="660">
        <f>+E14+H14+K14+IF(+Rounding!$O$6=$B14,+Rounding!Q$6,0)+IF(+Rounding!$O$7=$B14,+Rounding!Q$7,0)</f>
        <v>318.69716</v>
      </c>
      <c r="O14" s="303"/>
      <c r="P14" s="303"/>
      <c r="Q14" s="303"/>
      <c r="R14" s="303"/>
      <c r="S14" s="303"/>
      <c r="T14" s="303"/>
      <c r="U14" s="303"/>
      <c r="V14" s="303"/>
      <c r="W14" s="303"/>
      <c r="X14" s="303"/>
      <c r="Y14" s="303"/>
      <c r="Z14" s="303"/>
    </row>
    <row r="15" spans="1:26" ht="15.75">
      <c r="A15" s="334" t="s">
        <v>155</v>
      </c>
      <c r="B15" s="335">
        <v>13</v>
      </c>
      <c r="C15" s="154"/>
      <c r="D15" s="659">
        <f>+'BALANCE-SHEET-2020-leva'!D15/1000+IF(+Rounding!$C$6=$B15,+Rounding!D$6,0)+IF(+Rounding!$C$7=$B15,+Rounding!D$7,0)</f>
        <v>4.2273199999999997</v>
      </c>
      <c r="E15" s="660">
        <f>+'BALANCE-SHEET-2020-leva'!E15/1000+IF(+Rounding!$C$6=$B15,+Rounding!E$6,0)+IF(+Rounding!$C$7=$B15,+Rounding!E$7,0)</f>
        <v>4.5109399999999997</v>
      </c>
      <c r="F15" s="154"/>
      <c r="G15" s="659">
        <f>+'BALANCE-SHEET-2020-leva'!G15/1000+IF(+Rounding!$G$6=$B15,+Rounding!H$6,0)+IF(+Rounding!$G$7=$B15,+Rounding!H$7,0)</f>
        <v>0</v>
      </c>
      <c r="H15" s="660">
        <f>+'BALANCE-SHEET-2020-leva'!H15/1000+IF(+Rounding!$G$6=$B15,+Rounding!I$6,0)+IF(+Rounding!$G$7=$B15,+Rounding!I$7,0)</f>
        <v>0</v>
      </c>
      <c r="I15" s="154"/>
      <c r="J15" s="659">
        <f>+'BALANCE-SHEET-2020-leva'!J15/1000+IF(+Rounding!$K$6=$B15,+Rounding!L$6,0)+IF(+Rounding!$K$7=$B15,+Rounding!L$7,0)</f>
        <v>0</v>
      </c>
      <c r="K15" s="660">
        <f>+'BALANCE-SHEET-2020-leva'!K15/1000+IF(+Rounding!$K$6=$B15,+Rounding!M$6,0)+IF(+Rounding!$K$7=$B15,+Rounding!M$7,0)</f>
        <v>0</v>
      </c>
      <c r="L15" s="154"/>
      <c r="M15" s="659">
        <f>+D15+G15+J15+IF(+Rounding!$O$6=$B15,+Rounding!P$6,0)+IF(+Rounding!$O$7=$B15,+Rounding!P$7,0)</f>
        <v>4.2273199999999997</v>
      </c>
      <c r="N15" s="660">
        <f>+E15+H15+K15+IF(+Rounding!$O$6=$B15,+Rounding!Q$6,0)+IF(+Rounding!$O$7=$B15,+Rounding!Q$7,0)</f>
        <v>4.5109399999999997</v>
      </c>
      <c r="O15" s="303"/>
      <c r="P15" s="303"/>
      <c r="Q15" s="303"/>
      <c r="R15" s="303"/>
      <c r="S15" s="303"/>
      <c r="T15" s="303"/>
      <c r="U15" s="303"/>
      <c r="V15" s="303"/>
      <c r="W15" s="303"/>
      <c r="X15" s="303"/>
      <c r="Y15" s="303"/>
      <c r="Z15" s="303"/>
    </row>
    <row r="16" spans="1:26" ht="15.75">
      <c r="A16" s="334" t="s">
        <v>156</v>
      </c>
      <c r="B16" s="335">
        <v>14</v>
      </c>
      <c r="C16" s="154"/>
      <c r="D16" s="659">
        <f>+'BALANCE-SHEET-2020-leva'!D16/1000+IF(+Rounding!$C$6=$B16,+Rounding!D$6,0)+IF(+Rounding!$C$7=$B16,+Rounding!D$7,0)</f>
        <v>0</v>
      </c>
      <c r="E16" s="660">
        <f>+'BALANCE-SHEET-2020-leva'!E16/1000+IF(+Rounding!$C$6=$B16,+Rounding!E$6,0)+IF(+Rounding!$C$7=$B16,+Rounding!E$7,0)</f>
        <v>0</v>
      </c>
      <c r="F16" s="154"/>
      <c r="G16" s="659">
        <f>+'BALANCE-SHEET-2020-leva'!G16/1000+IF(+Rounding!$G$6=$B16,+Rounding!H$6,0)+IF(+Rounding!$G$7=$B16,+Rounding!H$7,0)</f>
        <v>0</v>
      </c>
      <c r="H16" s="660">
        <f>+'BALANCE-SHEET-2020-leva'!H16/1000+IF(+Rounding!$G$6=$B16,+Rounding!I$6,0)+IF(+Rounding!$G$7=$B16,+Rounding!I$7,0)</f>
        <v>0</v>
      </c>
      <c r="I16" s="154"/>
      <c r="J16" s="659">
        <f>+'BALANCE-SHEET-2020-leva'!J16/1000+IF(+Rounding!$K$6=$B16,+Rounding!L$6,0)+IF(+Rounding!$K$7=$B16,+Rounding!L$7,0)</f>
        <v>0</v>
      </c>
      <c r="K16" s="660">
        <f>+'BALANCE-SHEET-2020-leva'!K16/1000+IF(+Rounding!$K$6=$B16,+Rounding!M$6,0)+IF(+Rounding!$K$7=$B16,+Rounding!M$7,0)</f>
        <v>0</v>
      </c>
      <c r="L16" s="154"/>
      <c r="M16" s="659">
        <f>+D16+G16+J16+IF(+Rounding!$O$6=$B16,+Rounding!P$6,0)+IF(+Rounding!$O$7=$B16,+Rounding!P$7,0)</f>
        <v>0</v>
      </c>
      <c r="N16" s="660">
        <f>+E16+H16+K16+IF(+Rounding!$O$6=$B16,+Rounding!Q$6,0)+IF(+Rounding!$O$7=$B16,+Rounding!Q$7,0)</f>
        <v>0</v>
      </c>
      <c r="O16" s="303"/>
      <c r="P16" s="303"/>
      <c r="Q16" s="303"/>
      <c r="R16" s="303"/>
      <c r="S16" s="303"/>
      <c r="T16" s="303"/>
      <c r="U16" s="303"/>
      <c r="V16" s="303"/>
      <c r="W16" s="303"/>
      <c r="X16" s="303"/>
      <c r="Y16" s="303"/>
      <c r="Z16" s="303"/>
    </row>
    <row r="17" spans="1:26" s="1397" customFormat="1" ht="15.75">
      <c r="A17" s="334" t="s">
        <v>790</v>
      </c>
      <c r="B17" s="335">
        <v>15</v>
      </c>
      <c r="C17" s="154"/>
      <c r="D17" s="659">
        <f>+'BALANCE-SHEET-2020-leva'!D17/1000+IF(+Rounding!$C$6=$B17,+Rounding!D$6,0)+IF(+Rounding!$C$7=$B17,+Rounding!D$7,0)</f>
        <v>0</v>
      </c>
      <c r="E17" s="660">
        <f>+'BALANCE-SHEET-2020-leva'!E17/1000+IF(+Rounding!$C$6=$B17,+Rounding!E$6,0)+IF(+Rounding!$C$7=$B17,+Rounding!E$7,0)</f>
        <v>0</v>
      </c>
      <c r="F17" s="154"/>
      <c r="G17" s="659">
        <f>+'BALANCE-SHEET-2020-leva'!G17/1000+IF(+Rounding!$G$6=$B17,+Rounding!H$6,0)+IF(+Rounding!$G$7=$B17,+Rounding!H$7,0)</f>
        <v>0</v>
      </c>
      <c r="H17" s="660">
        <f>+'BALANCE-SHEET-2020-leva'!H17/1000+IF(+Rounding!$G$6=$B17,+Rounding!I$6,0)+IF(+Rounding!$G$7=$B17,+Rounding!I$7,0)</f>
        <v>0</v>
      </c>
      <c r="I17" s="154"/>
      <c r="J17" s="659">
        <f>+'BALANCE-SHEET-2020-leva'!J17/1000+IF(+Rounding!$K$6=$B17,+Rounding!L$6,0)+IF(+Rounding!$K$7=$B17,+Rounding!L$7,0)</f>
        <v>0</v>
      </c>
      <c r="K17" s="660">
        <f>+'BALANCE-SHEET-2020-leva'!K17/1000+IF(+Rounding!$K$6=$B17,+Rounding!M$6,0)+IF(+Rounding!$K$7=$B17,+Rounding!M$7,0)</f>
        <v>0</v>
      </c>
      <c r="L17" s="154"/>
      <c r="M17" s="659">
        <f>+D17+G17+J17+IF(+Rounding!$O$6=$B17,+Rounding!P$6,0)+IF(+Rounding!$O$7=$B17,+Rounding!P$7,0)</f>
        <v>0</v>
      </c>
      <c r="N17" s="660">
        <f>+E17+H17+K17+IF(+Rounding!$O$6=$B17,+Rounding!Q$6,0)+IF(+Rounding!$O$7=$B17,+Rounding!Q$7,0)</f>
        <v>0</v>
      </c>
      <c r="O17" s="152"/>
      <c r="P17" s="152"/>
      <c r="Q17" s="152"/>
      <c r="R17" s="152"/>
      <c r="S17" s="152"/>
      <c r="T17" s="152"/>
      <c r="U17" s="152"/>
      <c r="V17" s="152"/>
      <c r="W17" s="152"/>
      <c r="X17" s="152"/>
      <c r="Y17" s="152"/>
      <c r="Z17" s="152"/>
    </row>
    <row r="18" spans="1:26" s="1397" customFormat="1" ht="15.75">
      <c r="A18" s="334" t="s">
        <v>793</v>
      </c>
      <c r="B18" s="335">
        <v>16</v>
      </c>
      <c r="C18" s="154"/>
      <c r="D18" s="659">
        <f>+'BALANCE-SHEET-2020-leva'!D18/1000+IF(+Rounding!$C$6=$B18,+Rounding!D$6,0)+IF(+Rounding!$C$7=$B18,+Rounding!D$7,0)</f>
        <v>0</v>
      </c>
      <c r="E18" s="660">
        <f>+'BALANCE-SHEET-2020-leva'!E18/1000+IF(+Rounding!$C$6=$B18,+Rounding!E$6,0)+IF(+Rounding!$C$7=$B18,+Rounding!E$7,0)</f>
        <v>0</v>
      </c>
      <c r="F18" s="154"/>
      <c r="G18" s="659">
        <f>+'BALANCE-SHEET-2020-leva'!G18/1000+IF(+Rounding!$G$6=$B18,+Rounding!H$6,0)+IF(+Rounding!$G$7=$B18,+Rounding!H$7,0)</f>
        <v>0</v>
      </c>
      <c r="H18" s="660">
        <f>+'BALANCE-SHEET-2020-leva'!H18/1000+IF(+Rounding!$G$6=$B18,+Rounding!I$6,0)+IF(+Rounding!$G$7=$B18,+Rounding!I$7,0)</f>
        <v>0</v>
      </c>
      <c r="I18" s="154"/>
      <c r="J18" s="659">
        <f>+'BALANCE-SHEET-2020-leva'!J18/1000+IF(+Rounding!$K$6=$B18,+Rounding!L$6,0)+IF(+Rounding!$K$7=$B18,+Rounding!L$7,0)</f>
        <v>2.2116500000000001</v>
      </c>
      <c r="K18" s="660">
        <f>+'BALANCE-SHEET-2020-leva'!K18/1000+IF(+Rounding!$K$6=$B18,+Rounding!M$6,0)+IF(+Rounding!$K$7=$B18,+Rounding!M$7,0)</f>
        <v>2.2116500000000001</v>
      </c>
      <c r="L18" s="154"/>
      <c r="M18" s="659">
        <f>+D18+G18+J18+IF(+Rounding!$O$6=$B18,+Rounding!P$6,0)+IF(+Rounding!$O$7=$B18,+Rounding!P$7,0)</f>
        <v>2.2116500000000001</v>
      </c>
      <c r="N18" s="660">
        <f>+E18+H18+K18+IF(+Rounding!$O$6=$B18,+Rounding!Q$6,0)+IF(+Rounding!$O$7=$B18,+Rounding!Q$7,0)</f>
        <v>2.2116500000000001</v>
      </c>
      <c r="O18" s="152"/>
      <c r="P18" s="152"/>
      <c r="Q18" s="152"/>
      <c r="R18" s="152"/>
      <c r="S18" s="152"/>
      <c r="T18" s="152"/>
      <c r="U18" s="152"/>
      <c r="V18" s="152"/>
      <c r="W18" s="152"/>
      <c r="X18" s="152"/>
      <c r="Y18" s="152"/>
      <c r="Z18" s="152"/>
    </row>
    <row r="19" spans="1:26" s="1397" customFormat="1" ht="15.75">
      <c r="A19" s="336" t="s">
        <v>794</v>
      </c>
      <c r="B19" s="337">
        <v>17</v>
      </c>
      <c r="C19" s="154"/>
      <c r="D19" s="661">
        <f>+'BALANCE-SHEET-2020-leva'!D19/1000+IF(+Rounding!$C$6=$B19,+Rounding!D$6,0)+IF(+Rounding!$C$7=$B19,+Rounding!D$7,0)</f>
        <v>0</v>
      </c>
      <c r="E19" s="662">
        <f>+'BALANCE-SHEET-2020-leva'!E19/1000+IF(+Rounding!$C$6=$B19,+Rounding!E$6,0)+IF(+Rounding!$C$7=$B19,+Rounding!E$7,0)</f>
        <v>0</v>
      </c>
      <c r="F19" s="154"/>
      <c r="G19" s="661">
        <f>+'BALANCE-SHEET-2020-leva'!G19/1000+IF(+Rounding!$G$6=$B19,+Rounding!H$6,0)+IF(+Rounding!$G$7=$B19,+Rounding!H$7,0)</f>
        <v>0</v>
      </c>
      <c r="H19" s="662">
        <f>+'BALANCE-SHEET-2020-leva'!H19/1000+IF(+Rounding!$G$6=$B19,+Rounding!I$6,0)+IF(+Rounding!$G$7=$B19,+Rounding!I$7,0)</f>
        <v>0</v>
      </c>
      <c r="I19" s="154"/>
      <c r="J19" s="659">
        <f>+'BALANCE-SHEET-2020-leva'!J19/1000+IF(+Rounding!$K$6=$B19,+Rounding!L$6,0)+IF(+Rounding!$K$7=$B19,+Rounding!L$7,0)</f>
        <v>0</v>
      </c>
      <c r="K19" s="660">
        <f>+'BALANCE-SHEET-2020-leva'!K19/1000+IF(+Rounding!$K$6=$B19,+Rounding!M$6,0)+IF(+Rounding!$K$7=$B19,+Rounding!M$7,0)</f>
        <v>0</v>
      </c>
      <c r="L19" s="154"/>
      <c r="M19" s="659">
        <f>+D19+G19+J19+IF(+Rounding!$O$6=$B19,+Rounding!P$6,0)+IF(+Rounding!$O$7=$B19,+Rounding!P$7,0)</f>
        <v>0</v>
      </c>
      <c r="N19" s="660">
        <f>+E19+H19+K19+IF(+Rounding!$O$6=$B19,+Rounding!Q$6,0)+IF(+Rounding!$O$7=$B19,+Rounding!Q$7,0)</f>
        <v>0</v>
      </c>
      <c r="O19" s="152"/>
      <c r="P19" s="152"/>
      <c r="Q19" s="152"/>
      <c r="R19" s="152"/>
      <c r="S19" s="152"/>
      <c r="T19" s="152"/>
      <c r="U19" s="152"/>
      <c r="V19" s="152"/>
      <c r="W19" s="152"/>
      <c r="X19" s="152"/>
      <c r="Y19" s="152"/>
      <c r="Z19" s="152"/>
    </row>
    <row r="20" spans="1:26" ht="15.75">
      <c r="A20" s="177" t="s">
        <v>1025</v>
      </c>
      <c r="B20" s="178">
        <v>10</v>
      </c>
      <c r="C20" s="154"/>
      <c r="D20" s="663">
        <f>+D13+D14+D15+D16+D17+D18+D19</f>
        <v>309.60942</v>
      </c>
      <c r="E20" s="664">
        <f>+E13+E14+E15+E16+E17+E18+E19</f>
        <v>323.2081</v>
      </c>
      <c r="F20" s="154"/>
      <c r="G20" s="663">
        <f>+G13+G14+G15+G16+G17+G18+G19</f>
        <v>0</v>
      </c>
      <c r="H20" s="664">
        <f>+H13+H14+H15+H16+H17+H18+H19</f>
        <v>0</v>
      </c>
      <c r="I20" s="154"/>
      <c r="J20" s="663">
        <f>+J13+J14+J15+J16+J17+J18+J19</f>
        <v>2.2116500000000001</v>
      </c>
      <c r="K20" s="664">
        <f>+K13+K14+K15+K16+K17+K18+K19</f>
        <v>2.2116500000000001</v>
      </c>
      <c r="L20" s="154"/>
      <c r="M20" s="663">
        <f>+M13+M14+M15+M16+M17+M18+M19</f>
        <v>311.82107000000002</v>
      </c>
      <c r="N20" s="664">
        <f>+N13+N14+N15+N16+N17+N18+N19</f>
        <v>325.41975000000002</v>
      </c>
      <c r="O20" s="303"/>
      <c r="P20" s="303"/>
      <c r="Q20" s="303"/>
      <c r="R20" s="303"/>
      <c r="S20" s="303"/>
      <c r="T20" s="303"/>
      <c r="U20" s="303"/>
      <c r="V20" s="303"/>
      <c r="W20" s="303"/>
      <c r="X20" s="303"/>
      <c r="Y20" s="303"/>
      <c r="Z20" s="303"/>
    </row>
    <row r="21" spans="1:26" ht="6" customHeight="1">
      <c r="A21" s="172"/>
      <c r="B21" s="173"/>
      <c r="C21" s="154"/>
      <c r="D21" s="665"/>
      <c r="E21" s="666"/>
      <c r="F21" s="154"/>
      <c r="G21" s="665"/>
      <c r="H21" s="666"/>
      <c r="I21" s="154"/>
      <c r="J21" s="665"/>
      <c r="K21" s="666"/>
      <c r="L21" s="154"/>
      <c r="M21" s="665"/>
      <c r="N21" s="666"/>
      <c r="O21" s="303"/>
      <c r="P21" s="303"/>
      <c r="Q21" s="303"/>
      <c r="R21" s="303"/>
      <c r="S21" s="303"/>
      <c r="T21" s="303"/>
      <c r="U21" s="303"/>
      <c r="V21" s="303"/>
      <c r="W21" s="303"/>
      <c r="X21" s="303"/>
      <c r="Y21" s="303"/>
      <c r="Z21" s="303"/>
    </row>
    <row r="22" spans="1:26" ht="15.75">
      <c r="A22" s="177" t="s">
        <v>157</v>
      </c>
      <c r="B22" s="178">
        <v>20</v>
      </c>
      <c r="C22" s="154"/>
      <c r="D22" s="663">
        <f>+'BALANCE-SHEET-2020-leva'!D22/1000+IF(+Rounding!$C$6=$B22,+Rounding!D$6,0)+IF(+Rounding!$C$7=$B22,+Rounding!D$7,0)</f>
        <v>1.7357899999999999</v>
      </c>
      <c r="E22" s="664">
        <f>+'BALANCE-SHEET-2020-leva'!E22/1000+IF(+Rounding!$C$6=$B22,+Rounding!E$6,0)+IF(+Rounding!$C$7=$B22,+Rounding!E$7,0)</f>
        <v>1.8136099999999999</v>
      </c>
      <c r="F22" s="154"/>
      <c r="G22" s="663">
        <f>+'BALANCE-SHEET-2020-leva'!G22/1000+IF(+Rounding!$G$6=$B22,+Rounding!H$6,0)+IF(+Rounding!$G$7=$B22,+Rounding!H$7,0)</f>
        <v>0</v>
      </c>
      <c r="H22" s="664">
        <f>+'BALANCE-SHEET-2020-leva'!H22/1000+IF(+Rounding!$G$6=$B22,+Rounding!I$6,0)+IF(+Rounding!$G$7=$B22,+Rounding!I$7,0)</f>
        <v>0</v>
      </c>
      <c r="I22" s="154"/>
      <c r="J22" s="663">
        <f>+'BALANCE-SHEET-2020-leva'!J22/1000+IF(+Rounding!$K$6=$B22,+Rounding!L$6,0)+IF(+Rounding!$K$7=$B22,+Rounding!L$7,0)</f>
        <v>0</v>
      </c>
      <c r="K22" s="664">
        <f>+'BALANCE-SHEET-2020-leva'!K22/1000+IF(+Rounding!$K$6=$B22,+Rounding!M$6,0)+IF(+Rounding!$K$7=$B22,+Rounding!M$7,0)</f>
        <v>0</v>
      </c>
      <c r="L22" s="154"/>
      <c r="M22" s="663">
        <f>+D22+G22+J22+IF(+Rounding!$O$6=$B22,+Rounding!P$6,0)+IF(+Rounding!$O$7=$B22,+Rounding!P$7,0)</f>
        <v>1.7357899999999999</v>
      </c>
      <c r="N22" s="664">
        <f>+E22+H22+K22+IF(+Rounding!$O$6=$B22,+Rounding!Q$6,0)+IF(+Rounding!$O$7=$B22,+Rounding!Q$7,0)</f>
        <v>1.8136099999999999</v>
      </c>
      <c r="O22" s="303"/>
      <c r="P22" s="303"/>
      <c r="Q22" s="303"/>
      <c r="R22" s="303"/>
      <c r="S22" s="303"/>
      <c r="T22" s="303"/>
      <c r="U22" s="303"/>
      <c r="V22" s="303"/>
      <c r="W22" s="303"/>
      <c r="X22" s="303"/>
      <c r="Y22" s="303"/>
      <c r="Z22" s="303"/>
    </row>
    <row r="23" spans="1:26" ht="15.75">
      <c r="A23" s="172" t="s">
        <v>158</v>
      </c>
      <c r="B23" s="173"/>
      <c r="C23" s="154"/>
      <c r="D23" s="255" t="str">
        <f>+IF(+OR(D24&lt;0,D25&lt;0),"НЕРАВНЕНИЕ !"," ")</f>
        <v xml:space="preserve"> </v>
      </c>
      <c r="E23" s="322" t="str">
        <f>+IF(+OR(E24&lt;0,E25&lt;0),"НЕРАВНЕНИЕ !"," ")</f>
        <v xml:space="preserve"> </v>
      </c>
      <c r="F23" s="154"/>
      <c r="G23" s="255" t="str">
        <f>+IF(+OR(G24&lt;0,G25&lt;0),"НЕРАВНЕНИЕ !"," ")</f>
        <v xml:space="preserve"> </v>
      </c>
      <c r="H23" s="322" t="str">
        <f>+IF(+OR(H24&lt;0,H25&lt;0),"НЕРАВНЕНИЕ !"," ")</f>
        <v xml:space="preserve"> </v>
      </c>
      <c r="I23" s="154"/>
      <c r="J23" s="255" t="str">
        <f>+IF(+OR(J24&lt;0,J25&lt;0),"НЕРАВНЕНИЕ !"," ")</f>
        <v xml:space="preserve"> </v>
      </c>
      <c r="K23" s="322" t="str">
        <f>+IF(+OR(K24&lt;0,K25&lt;0),"НЕРАВНЕНИЕ !"," ")</f>
        <v xml:space="preserve"> </v>
      </c>
      <c r="L23" s="154"/>
      <c r="M23" s="255" t="str">
        <f>+IF(+OR(M24&lt;0,M25&lt;0),"НЕРАВНЕНИЕ !"," ")</f>
        <v xml:space="preserve"> </v>
      </c>
      <c r="N23" s="322" t="str">
        <f>+IF(+OR(N24&lt;0,N25&lt;0),"НЕРАВНЕНИЕ !"," ")</f>
        <v xml:space="preserve"> </v>
      </c>
      <c r="O23" s="303"/>
      <c r="P23" s="303"/>
      <c r="Q23" s="303"/>
      <c r="R23" s="303"/>
      <c r="S23" s="303"/>
      <c r="T23" s="303"/>
      <c r="U23" s="303"/>
      <c r="V23" s="303"/>
      <c r="W23" s="303"/>
      <c r="X23" s="303"/>
      <c r="Y23" s="303"/>
      <c r="Z23" s="303"/>
    </row>
    <row r="24" spans="1:26" ht="15.75">
      <c r="A24" s="334" t="s">
        <v>364</v>
      </c>
      <c r="B24" s="335">
        <v>31</v>
      </c>
      <c r="C24" s="154"/>
      <c r="D24" s="659">
        <f>+'BALANCE-SHEET-2020-leva'!D24/1000+IF(+Rounding!$C$6=$B24,+Rounding!D$6,0)+IF(+Rounding!$C$7=$B24,+Rounding!D$7,0)</f>
        <v>22.877020000000002</v>
      </c>
      <c r="E24" s="660">
        <f>+'BALANCE-SHEET-2020-leva'!E24/1000+IF(+Rounding!$C$6=$B24,+Rounding!E$6,0)+IF(+Rounding!$C$7=$B24,+Rounding!E$7,0)</f>
        <v>25.827419999999996</v>
      </c>
      <c r="F24" s="154"/>
      <c r="G24" s="659">
        <f>+'BALANCE-SHEET-2020-leva'!G24/1000+IF(+Rounding!$G$6=$B24,+Rounding!H$6,0)+IF(+Rounding!$G$7=$B24,+Rounding!H$7,0)</f>
        <v>0</v>
      </c>
      <c r="H24" s="660">
        <f>+'BALANCE-SHEET-2020-leva'!H24/1000+IF(+Rounding!$G$6=$B24,+Rounding!I$6,0)+IF(+Rounding!$G$7=$B24,+Rounding!I$7,0)</f>
        <v>0</v>
      </c>
      <c r="I24" s="154"/>
      <c r="J24" s="659">
        <f>+'BALANCE-SHEET-2020-leva'!J24/1000+IF(+Rounding!$K$6=$B24,+Rounding!L$6,0)+IF(+Rounding!$K$7=$B24,+Rounding!L$7,0)</f>
        <v>0</v>
      </c>
      <c r="K24" s="660">
        <f>+'BALANCE-SHEET-2020-leva'!K24/1000+IF(+Rounding!$K$6=$B24,+Rounding!M$6,0)+IF(+Rounding!$K$7=$B24,+Rounding!M$7,0)</f>
        <v>0</v>
      </c>
      <c r="L24" s="154"/>
      <c r="M24" s="659">
        <f>+D24+G24+J24+IF(+Rounding!$O$6=$B24,+Rounding!P$6,0)+IF(+Rounding!$O$7=$B24,+Rounding!P$7,0)</f>
        <v>22.877020000000002</v>
      </c>
      <c r="N24" s="660">
        <f>+E24+H24+K24+IF(+Rounding!$O$6=$B24,+Rounding!Q$6,0)+IF(+Rounding!$O$7=$B24,+Rounding!Q$7,0)</f>
        <v>25.827419999999996</v>
      </c>
      <c r="O24" s="303"/>
      <c r="P24" s="303"/>
      <c r="Q24" s="303"/>
      <c r="R24" s="303"/>
      <c r="S24" s="303"/>
      <c r="T24" s="303"/>
      <c r="U24" s="303"/>
      <c r="V24" s="303"/>
      <c r="W24" s="303"/>
      <c r="X24" s="303"/>
      <c r="Y24" s="303"/>
      <c r="Z24" s="303"/>
    </row>
    <row r="25" spans="1:26" ht="15.75">
      <c r="A25" s="336" t="s">
        <v>163</v>
      </c>
      <c r="B25" s="337">
        <v>32</v>
      </c>
      <c r="C25" s="154"/>
      <c r="D25" s="661">
        <f>+'BALANCE-SHEET-2020-leva'!D25/1000+IF(+Rounding!$C$6=$B25,+Rounding!D$6,0)+IF(+Rounding!$C$7=$B25,+Rounding!D$7,0)</f>
        <v>0</v>
      </c>
      <c r="E25" s="662">
        <f>+'BALANCE-SHEET-2020-leva'!E25/1000+IF(+Rounding!$C$6=$B25,+Rounding!E$6,0)+IF(+Rounding!$C$7=$B25,+Rounding!E$7,0)</f>
        <v>0</v>
      </c>
      <c r="F25" s="154"/>
      <c r="G25" s="661">
        <f>+'BALANCE-SHEET-2020-leva'!G25/1000+IF(+Rounding!$G$6=$B25,+Rounding!H$6,0)+IF(+Rounding!$G$7=$B25,+Rounding!H$7,0)</f>
        <v>0</v>
      </c>
      <c r="H25" s="662">
        <f>+'BALANCE-SHEET-2020-leva'!H25/1000+IF(+Rounding!$G$6=$B25,+Rounding!I$6,0)+IF(+Rounding!$G$7=$B25,+Rounding!I$7,0)</f>
        <v>0</v>
      </c>
      <c r="I25" s="154"/>
      <c r="J25" s="661">
        <f>+'BALANCE-SHEET-2020-leva'!J25/1000+IF(+Rounding!$K$6=$B25,+Rounding!L$6,0)+IF(+Rounding!$K$7=$B25,+Rounding!L$7,0)</f>
        <v>0</v>
      </c>
      <c r="K25" s="662">
        <f>+'BALANCE-SHEET-2020-leva'!K25/1000+IF(+Rounding!$K$6=$B25,+Rounding!M$6,0)+IF(+Rounding!$K$7=$B25,+Rounding!M$7,0)</f>
        <v>0</v>
      </c>
      <c r="L25" s="154"/>
      <c r="M25" s="661">
        <f>+D25+G25+J25+IF(+Rounding!$O$6=$B25,+Rounding!P$6,0)+IF(+Rounding!$O$7=$B25,+Rounding!P$7,0)</f>
        <v>0</v>
      </c>
      <c r="N25" s="662">
        <f>+E25+H25+K25+IF(+Rounding!$O$6=$B25,+Rounding!Q$6,0)+IF(+Rounding!$O$7=$B25,+Rounding!Q$7,0)</f>
        <v>0</v>
      </c>
      <c r="O25" s="303"/>
      <c r="P25" s="303"/>
      <c r="Q25" s="303"/>
      <c r="R25" s="303"/>
      <c r="S25" s="303"/>
      <c r="T25" s="303"/>
      <c r="U25" s="303"/>
      <c r="V25" s="303"/>
      <c r="W25" s="303"/>
      <c r="X25" s="303"/>
      <c r="Y25" s="303"/>
      <c r="Z25" s="303"/>
    </row>
    <row r="26" spans="1:26" ht="15.75">
      <c r="A26" s="177" t="s">
        <v>1026</v>
      </c>
      <c r="B26" s="178">
        <v>30</v>
      </c>
      <c r="C26" s="154"/>
      <c r="D26" s="663">
        <f>+D24+D25</f>
        <v>22.877020000000002</v>
      </c>
      <c r="E26" s="664">
        <f>++E24+E25</f>
        <v>25.827419999999996</v>
      </c>
      <c r="F26" s="154"/>
      <c r="G26" s="663">
        <f>+G24+G25</f>
        <v>0</v>
      </c>
      <c r="H26" s="664">
        <f>++H24+H25</f>
        <v>0</v>
      </c>
      <c r="I26" s="154"/>
      <c r="J26" s="663">
        <f>+J24+J25</f>
        <v>0</v>
      </c>
      <c r="K26" s="664">
        <f>++K24+K25</f>
        <v>0</v>
      </c>
      <c r="L26" s="154"/>
      <c r="M26" s="663">
        <f>+M24+M25</f>
        <v>22.877020000000002</v>
      </c>
      <c r="N26" s="664">
        <f>++N24+N25</f>
        <v>25.827419999999996</v>
      </c>
      <c r="O26" s="303"/>
      <c r="P26" s="303"/>
      <c r="Q26" s="303"/>
      <c r="R26" s="303"/>
      <c r="S26" s="303"/>
      <c r="T26" s="303"/>
      <c r="U26" s="303"/>
      <c r="V26" s="303"/>
      <c r="W26" s="303"/>
      <c r="X26" s="303"/>
      <c r="Y26" s="303"/>
      <c r="Z26" s="303"/>
    </row>
    <row r="27" spans="1:26" ht="6" customHeight="1">
      <c r="A27" s="172"/>
      <c r="B27" s="173"/>
      <c r="C27" s="154"/>
      <c r="D27" s="665"/>
      <c r="E27" s="666"/>
      <c r="F27" s="154"/>
      <c r="G27" s="665"/>
      <c r="H27" s="666"/>
      <c r="I27" s="154"/>
      <c r="J27" s="665"/>
      <c r="K27" s="666"/>
      <c r="L27" s="154"/>
      <c r="M27" s="665"/>
      <c r="N27" s="666"/>
      <c r="O27" s="303"/>
      <c r="P27" s="303"/>
      <c r="Q27" s="303"/>
      <c r="R27" s="303"/>
      <c r="S27" s="303"/>
      <c r="T27" s="303"/>
      <c r="U27" s="303"/>
      <c r="V27" s="303"/>
      <c r="W27" s="303"/>
      <c r="X27" s="303"/>
      <c r="Y27" s="303"/>
      <c r="Z27" s="303"/>
    </row>
    <row r="28" spans="1:26" ht="19.5" thickBot="1">
      <c r="A28" s="679" t="s">
        <v>1030</v>
      </c>
      <c r="B28" s="680">
        <v>100</v>
      </c>
      <c r="C28" s="154"/>
      <c r="D28" s="677">
        <f>++D20+D22+D26</f>
        <v>334.22223000000002</v>
      </c>
      <c r="E28" s="678">
        <f>++E20+E22+E26</f>
        <v>350.84913</v>
      </c>
      <c r="F28" s="154"/>
      <c r="G28" s="677">
        <f>++G20+G22+G26</f>
        <v>0</v>
      </c>
      <c r="H28" s="678">
        <f>++H20+H22+H26</f>
        <v>0</v>
      </c>
      <c r="I28" s="154"/>
      <c r="J28" s="677">
        <f>++J20+J22+J26</f>
        <v>2.2116500000000001</v>
      </c>
      <c r="K28" s="678">
        <f>++K20+K22+K26</f>
        <v>2.2116500000000001</v>
      </c>
      <c r="L28" s="154"/>
      <c r="M28" s="677">
        <f>++M20+M22+M26</f>
        <v>336.43388000000004</v>
      </c>
      <c r="N28" s="678">
        <f>++N20+N22+N26</f>
        <v>353.06078000000002</v>
      </c>
      <c r="O28" s="303"/>
      <c r="P28" s="303"/>
      <c r="Q28" s="303"/>
      <c r="R28" s="303"/>
      <c r="S28" s="303"/>
      <c r="T28" s="303"/>
      <c r="U28" s="303"/>
      <c r="V28" s="303"/>
      <c r="W28" s="303"/>
      <c r="X28" s="303"/>
      <c r="Y28" s="303"/>
      <c r="Z28" s="303"/>
    </row>
    <row r="29" spans="1:26" ht="15.75">
      <c r="A29" s="170" t="s">
        <v>164</v>
      </c>
      <c r="B29" s="171"/>
      <c r="C29" s="154"/>
      <c r="D29" s="616"/>
      <c r="E29" s="617"/>
      <c r="F29" s="154"/>
      <c r="G29" s="616"/>
      <c r="H29" s="617"/>
      <c r="I29" s="154"/>
      <c r="J29" s="616"/>
      <c r="K29" s="617"/>
      <c r="L29" s="154"/>
      <c r="M29" s="616"/>
      <c r="N29" s="617"/>
      <c r="O29" s="303"/>
      <c r="P29" s="303"/>
      <c r="Q29" s="303"/>
      <c r="R29" s="303"/>
      <c r="S29" s="303"/>
      <c r="T29" s="303"/>
      <c r="U29" s="303"/>
      <c r="V29" s="303"/>
      <c r="W29" s="303"/>
      <c r="X29" s="303"/>
      <c r="Y29" s="303"/>
      <c r="Z29" s="303"/>
    </row>
    <row r="30" spans="1:26" ht="15.75">
      <c r="A30" s="172" t="s">
        <v>165</v>
      </c>
      <c r="B30" s="173"/>
      <c r="C30" s="154"/>
      <c r="D30" s="255" t="str">
        <f>+IF(+OR(D31&lt;0,D32&lt;0,D33&lt;0),"НЕРАВНЕНИЕ !"," ")</f>
        <v xml:space="preserve"> </v>
      </c>
      <c r="E30" s="322" t="str">
        <f>+IF(+OR(E31&lt;0,E32&lt;0,E33&lt;0),"НЕРАВНЕНИЕ !"," ")</f>
        <v xml:space="preserve"> </v>
      </c>
      <c r="F30" s="154"/>
      <c r="G30" s="255" t="str">
        <f>+IF(+OR(G31&lt;0,G32&lt;0,G33&lt;0),"НЕРАВНЕНИЕ !"," ")</f>
        <v xml:space="preserve"> </v>
      </c>
      <c r="H30" s="322" t="str">
        <f>+IF(+OR(H31&lt;0,H32&lt;0,H33&lt;0),"НЕРАВНЕНИЕ !"," ")</f>
        <v xml:space="preserve"> </v>
      </c>
      <c r="I30" s="154"/>
      <c r="J30" s="255" t="str">
        <f>+IF(+OR(J31&lt;0,J32&lt;0,J33&lt;0),"НЕРАВНЕНИЕ !"," ")</f>
        <v xml:space="preserve"> </v>
      </c>
      <c r="K30" s="322" t="str">
        <f>+IF(+OR(K31&lt;0,K32&lt;0,K33&lt;0),"НЕРАВНЕНИЕ !"," ")</f>
        <v xml:space="preserve"> </v>
      </c>
      <c r="L30" s="154"/>
      <c r="M30" s="255" t="str">
        <f>+IF(+OR(M31&lt;0,M32&lt;0,M33&lt;0),"НЕРАВНЕНИЕ !"," ")</f>
        <v xml:space="preserve"> </v>
      </c>
      <c r="N30" s="322" t="str">
        <f>+IF(+OR(N31&lt;0,N32&lt;0,N33&lt;0),"НЕРАВНЕНИЕ !"," ")</f>
        <v xml:space="preserve"> </v>
      </c>
      <c r="O30" s="303"/>
      <c r="P30" s="303"/>
      <c r="Q30" s="303"/>
      <c r="R30" s="303"/>
      <c r="S30" s="303"/>
      <c r="T30" s="303"/>
      <c r="U30" s="303"/>
      <c r="V30" s="303"/>
      <c r="W30" s="303"/>
      <c r="X30" s="303"/>
      <c r="Y30" s="303"/>
      <c r="Z30" s="303"/>
    </row>
    <row r="31" spans="1:26" ht="15.75">
      <c r="A31" s="334" t="s">
        <v>166</v>
      </c>
      <c r="B31" s="335">
        <v>51</v>
      </c>
      <c r="C31" s="154"/>
      <c r="D31" s="659">
        <f>+'BALANCE-SHEET-2020-leva'!D31/1000+IF(+Rounding!$C$6=$B31,+Rounding!D$6,0)+IF(+Rounding!$C$7=$B31,+Rounding!D$7,0)</f>
        <v>0</v>
      </c>
      <c r="E31" s="660">
        <f>+'BALANCE-SHEET-2020-leva'!E31/1000+IF(+Rounding!$C$6=$B31,+Rounding!E$6,0)+IF(+Rounding!$C$7=$B31,+Rounding!E$7,0)</f>
        <v>0</v>
      </c>
      <c r="F31" s="154"/>
      <c r="G31" s="659">
        <f>+'BALANCE-SHEET-2020-leva'!G31/1000+IF(+Rounding!$G$6=$B31,+Rounding!H$6,0)+IF(+Rounding!$G$7=$B31,+Rounding!H$7,0)</f>
        <v>0</v>
      </c>
      <c r="H31" s="660">
        <f>+'BALANCE-SHEET-2020-leva'!H31/1000+IF(+Rounding!$G$6=$B31,+Rounding!I$6,0)+IF(+Rounding!$G$7=$B31,+Rounding!I$7,0)</f>
        <v>0</v>
      </c>
      <c r="I31" s="154"/>
      <c r="J31" s="659">
        <f>+'BALANCE-SHEET-2020-leva'!J31/1000+IF(+Rounding!$K$6=$B31,+Rounding!L$6,0)+IF(+Rounding!$K$7=$B31,+Rounding!L$7,0)</f>
        <v>0</v>
      </c>
      <c r="K31" s="660">
        <f>+'BALANCE-SHEET-2020-leva'!K31/1000+IF(+Rounding!$K$6=$B31,+Rounding!M$6,0)+IF(+Rounding!$K$7=$B31,+Rounding!M$7,0)</f>
        <v>0</v>
      </c>
      <c r="L31" s="154"/>
      <c r="M31" s="659">
        <f>+D31+G31+J31+IF(+Rounding!$O$6=$B31,+Rounding!P$6,0)+IF(+Rounding!$O$7=$B31,+Rounding!P$7,0)</f>
        <v>0</v>
      </c>
      <c r="N31" s="660">
        <f>+E31+H31+K31+IF(+Rounding!$O$6=$B31,+Rounding!Q$6,0)+IF(+Rounding!$O$7=$B31,+Rounding!Q$7,0)</f>
        <v>0</v>
      </c>
      <c r="O31" s="303"/>
      <c r="P31" s="303"/>
      <c r="Q31" s="303"/>
      <c r="R31" s="303"/>
      <c r="S31" s="303"/>
      <c r="T31" s="303"/>
      <c r="U31" s="303"/>
      <c r="V31" s="303"/>
      <c r="W31" s="303"/>
      <c r="X31" s="303"/>
      <c r="Y31" s="303"/>
      <c r="Z31" s="303"/>
    </row>
    <row r="32" spans="1:26" ht="15.75">
      <c r="A32" s="334" t="s">
        <v>167</v>
      </c>
      <c r="B32" s="335">
        <v>52</v>
      </c>
      <c r="C32" s="154"/>
      <c r="D32" s="659">
        <f>+'BALANCE-SHEET-2020-leva'!D32/1000+IF(+Rounding!$C$6=$B32,+Rounding!D$6,0)+IF(+Rounding!$C$7=$B32,+Rounding!D$7,0)</f>
        <v>0</v>
      </c>
      <c r="E32" s="660">
        <f>+'BALANCE-SHEET-2020-leva'!E32/1000+IF(+Rounding!$C$6=$B32,+Rounding!E$6,0)+IF(+Rounding!$C$7=$B32,+Rounding!E$7,0)</f>
        <v>0</v>
      </c>
      <c r="F32" s="154"/>
      <c r="G32" s="659">
        <f>+'BALANCE-SHEET-2020-leva'!G32/1000+IF(+Rounding!$G$6=$B32,+Rounding!H$6,0)+IF(+Rounding!$G$7=$B32,+Rounding!H$7,0)</f>
        <v>0</v>
      </c>
      <c r="H32" s="660">
        <f>+'BALANCE-SHEET-2020-leva'!H32/1000+IF(+Rounding!$G$6=$B32,+Rounding!I$6,0)+IF(+Rounding!$G$7=$B32,+Rounding!I$7,0)</f>
        <v>0</v>
      </c>
      <c r="I32" s="154"/>
      <c r="J32" s="659">
        <f>+'BALANCE-SHEET-2020-leva'!J32/1000+IF(+Rounding!$K$6=$B32,+Rounding!L$6,0)+IF(+Rounding!$K$7=$B32,+Rounding!L$7,0)</f>
        <v>0</v>
      </c>
      <c r="K32" s="660">
        <f>+'BALANCE-SHEET-2020-leva'!K32/1000+IF(+Rounding!$K$6=$B32,+Rounding!M$6,0)+IF(+Rounding!$K$7=$B32,+Rounding!M$7,0)</f>
        <v>0</v>
      </c>
      <c r="L32" s="154"/>
      <c r="M32" s="659">
        <f>+D32+G32+J32+IF(+Rounding!$O$6=$B32,+Rounding!P$6,0)+IF(+Rounding!$O$7=$B32,+Rounding!P$7,0)</f>
        <v>0</v>
      </c>
      <c r="N32" s="660">
        <f>+E32+H32+K32+IF(+Rounding!$O$6=$B32,+Rounding!Q$6,0)+IF(+Rounding!$O$7=$B32,+Rounding!Q$7,0)</f>
        <v>0</v>
      </c>
      <c r="O32" s="303"/>
      <c r="P32" s="303"/>
      <c r="Q32" s="303"/>
      <c r="R32" s="303"/>
      <c r="S32" s="303"/>
      <c r="T32" s="303"/>
      <c r="U32" s="303"/>
      <c r="V32" s="303"/>
      <c r="W32" s="303"/>
      <c r="X32" s="303"/>
      <c r="Y32" s="303"/>
      <c r="Z32" s="303"/>
    </row>
    <row r="33" spans="1:26" ht="15.75">
      <c r="A33" s="336" t="s">
        <v>168</v>
      </c>
      <c r="B33" s="337">
        <v>53</v>
      </c>
      <c r="C33" s="154"/>
      <c r="D33" s="661">
        <f>+'BALANCE-SHEET-2020-leva'!D33/1000+IF(+Rounding!$C$6=$B33,+Rounding!D$6,0)+IF(+Rounding!$C$7=$B33,+Rounding!D$7,0)</f>
        <v>0</v>
      </c>
      <c r="E33" s="662">
        <f>+'BALANCE-SHEET-2020-leva'!E33/1000+IF(+Rounding!$C$6=$B33,+Rounding!E$6,0)+IF(+Rounding!$C$7=$B33,+Rounding!E$7,0)</f>
        <v>0</v>
      </c>
      <c r="F33" s="154"/>
      <c r="G33" s="661">
        <f>+'BALANCE-SHEET-2020-leva'!G33/1000+IF(+Rounding!$G$6=$B33,+Rounding!H$6,0)+IF(+Rounding!$G$7=$B33,+Rounding!H$7,0)</f>
        <v>0</v>
      </c>
      <c r="H33" s="662">
        <f>+'BALANCE-SHEET-2020-leva'!H33/1000+IF(+Rounding!$G$6=$B33,+Rounding!I$6,0)+IF(+Rounding!$G$7=$B33,+Rounding!I$7,0)</f>
        <v>0</v>
      </c>
      <c r="I33" s="154"/>
      <c r="J33" s="661">
        <f>+'BALANCE-SHEET-2020-leva'!J33/1000+IF(+Rounding!$K$6=$B33,+Rounding!L$6,0)+IF(+Rounding!$K$7=$B33,+Rounding!L$7,0)</f>
        <v>0</v>
      </c>
      <c r="K33" s="662">
        <f>+'BALANCE-SHEET-2020-leva'!K33/1000+IF(+Rounding!$K$6=$B33,+Rounding!M$6,0)+IF(+Rounding!$K$7=$B33,+Rounding!M$7,0)</f>
        <v>0</v>
      </c>
      <c r="L33" s="154"/>
      <c r="M33" s="661">
        <f>+D33+G33+J33+IF(+Rounding!$O$6=$B33,+Rounding!P$6,0)+IF(+Rounding!$O$7=$B33,+Rounding!P$7,0)</f>
        <v>0</v>
      </c>
      <c r="N33" s="662">
        <f>+E33+H33+K33+IF(+Rounding!$O$6=$B33,+Rounding!Q$6,0)+IF(+Rounding!$O$7=$B33,+Rounding!Q$7,0)</f>
        <v>0</v>
      </c>
      <c r="O33" s="303"/>
      <c r="P33" s="303"/>
      <c r="Q33" s="303"/>
      <c r="R33" s="303"/>
      <c r="S33" s="303"/>
      <c r="T33" s="303"/>
      <c r="U33" s="303"/>
      <c r="V33" s="303"/>
      <c r="W33" s="303"/>
      <c r="X33" s="303"/>
      <c r="Y33" s="303"/>
      <c r="Z33" s="303"/>
    </row>
    <row r="34" spans="1:26" ht="15.75">
      <c r="A34" s="177" t="s">
        <v>1025</v>
      </c>
      <c r="B34" s="178">
        <v>50</v>
      </c>
      <c r="C34" s="154"/>
      <c r="D34" s="663">
        <f>+D31+D32+D33</f>
        <v>0</v>
      </c>
      <c r="E34" s="664">
        <f>+E31+E32+E33</f>
        <v>0</v>
      </c>
      <c r="F34" s="154"/>
      <c r="G34" s="663">
        <f>+G31+G32+G33</f>
        <v>0</v>
      </c>
      <c r="H34" s="664">
        <f>+H31+H32+H33</f>
        <v>0</v>
      </c>
      <c r="I34" s="154"/>
      <c r="J34" s="663">
        <f>+J31+J32+J33</f>
        <v>0</v>
      </c>
      <c r="K34" s="664">
        <f>+K31+K32+K33</f>
        <v>0</v>
      </c>
      <c r="L34" s="154"/>
      <c r="M34" s="663">
        <f>+M31+M32+M33</f>
        <v>0</v>
      </c>
      <c r="N34" s="664">
        <f>+N31+N32+N33</f>
        <v>0</v>
      </c>
      <c r="O34" s="303"/>
      <c r="P34" s="1883"/>
      <c r="Q34" s="1903" t="s">
        <v>1880</v>
      </c>
      <c r="R34" s="303"/>
      <c r="S34" s="303"/>
      <c r="T34" s="303"/>
      <c r="U34" s="303"/>
      <c r="V34" s="303"/>
      <c r="W34" s="303"/>
      <c r="X34" s="303"/>
      <c r="Y34" s="303"/>
      <c r="Z34" s="303"/>
    </row>
    <row r="35" spans="1:26" ht="15.75">
      <c r="A35" s="172" t="s">
        <v>169</v>
      </c>
      <c r="B35" s="173"/>
      <c r="C35" s="154"/>
      <c r="D35" s="255" t="str">
        <f>+IF(+OR(D36&lt;0,D37&lt;0),"НЕРАВНЕНИЕ !"," ")</f>
        <v xml:space="preserve"> </v>
      </c>
      <c r="E35" s="322" t="str">
        <f>+IF(+OR(E36&lt;0,E37&lt;0),"НЕРАВНЕНИЕ !"," ")</f>
        <v xml:space="preserve"> </v>
      </c>
      <c r="F35" s="154"/>
      <c r="G35" s="255" t="str">
        <f>+IF(+OR(G36&lt;0,G37&lt;0),"НЕРАВНЕНИЕ !"," ")</f>
        <v xml:space="preserve"> </v>
      </c>
      <c r="H35" s="322" t="str">
        <f>+IF(+OR(H36&lt;0,H37&lt;0),"НЕРАВНЕНИЕ !"," ")</f>
        <v xml:space="preserve"> </v>
      </c>
      <c r="I35" s="154"/>
      <c r="J35" s="255" t="str">
        <f>+IF(+OR(J36&lt;0,J37&lt;0),"НЕРАВНЕНИЕ !"," ")</f>
        <v xml:space="preserve"> </v>
      </c>
      <c r="K35" s="322" t="str">
        <f>+IF(+OR(K36&lt;0,K37&lt;0),"НЕРАВНЕНИЕ !"," ")</f>
        <v xml:space="preserve"> </v>
      </c>
      <c r="L35" s="154"/>
      <c r="M35" s="255" t="str">
        <f>+IF(+OR(M36&lt;0,M37&lt;0),"НЕРАВНЕНИЕ !"," ")</f>
        <v xml:space="preserve"> </v>
      </c>
      <c r="N35" s="322" t="str">
        <f>+IF(+OR(N36&lt;0,N37&lt;0),"НЕРАВНЕНИЕ !"," ")</f>
        <v xml:space="preserve"> </v>
      </c>
      <c r="O35" s="303"/>
      <c r="P35" s="1377" t="s">
        <v>1876</v>
      </c>
      <c r="Q35" s="1904" t="str">
        <f>+'BALANCE-SHEET-2020-leva'!Q35</f>
        <v xml:space="preserve">'Intra-Balances' </v>
      </c>
      <c r="R35" s="303"/>
      <c r="S35" s="303"/>
      <c r="T35" s="303"/>
      <c r="U35" s="303"/>
      <c r="V35" s="303"/>
      <c r="W35" s="303"/>
      <c r="X35" s="303"/>
      <c r="Y35" s="303"/>
      <c r="Z35" s="303"/>
    </row>
    <row r="36" spans="1:26" ht="15.75">
      <c r="A36" s="334" t="s">
        <v>170</v>
      </c>
      <c r="B36" s="335">
        <v>61</v>
      </c>
      <c r="C36" s="154"/>
      <c r="D36" s="659">
        <f>+'BALANCE-SHEET-2020-leva'!D36/1000+IF(+Rounding!$C$6=$B36,+Rounding!D$6,0)+IF(+Rounding!$C$7=$B36,+Rounding!D$7,0)</f>
        <v>0</v>
      </c>
      <c r="E36" s="660">
        <f>+'BALANCE-SHEET-2020-leva'!E36/1000+IF(+Rounding!$C$6=$B36,+Rounding!E$6,0)+IF(+Rounding!$C$7=$B36,+Rounding!E$7,0)</f>
        <v>0</v>
      </c>
      <c r="F36" s="154"/>
      <c r="G36" s="659">
        <f>+'BALANCE-SHEET-2020-leva'!G36/1000+IF(+Rounding!$G$6=$B36,+Rounding!H$6,0)+IF(+Rounding!$G$7=$B36,+Rounding!H$7,0)</f>
        <v>0</v>
      </c>
      <c r="H36" s="660">
        <f>+'BALANCE-SHEET-2020-leva'!H36/1000+IF(+Rounding!$G$6=$B36,+Rounding!I$6,0)+IF(+Rounding!$G$7=$B36,+Rounding!I$7,0)</f>
        <v>0</v>
      </c>
      <c r="I36" s="154"/>
      <c r="J36" s="659">
        <f>+'BALANCE-SHEET-2020-leva'!J36/1000+IF(+Rounding!$K$6=$B36,+Rounding!L$6,0)+IF(+Rounding!$K$7=$B36,+Rounding!L$7,0)</f>
        <v>0</v>
      </c>
      <c r="K36" s="660">
        <f>+'BALANCE-SHEET-2020-leva'!K36/1000+IF(+Rounding!$K$6=$B36,+Rounding!M$6,0)+IF(+Rounding!$K$7=$B36,+Rounding!M$7,0)</f>
        <v>0</v>
      </c>
      <c r="L36" s="154"/>
      <c r="M36" s="659">
        <f>+D36+G36+J36+IF(+Rounding!$O$6=$B36,+Rounding!P$6,0)+IF(+Rounding!$O$7=$B36,+Rounding!P$7,0)</f>
        <v>0</v>
      </c>
      <c r="N36" s="660">
        <f>+E36+H36+K36+IF(+Rounding!$O$6=$B36,+Rounding!Q$6,0)+IF(+Rounding!$O$7=$B36,+Rounding!Q$7,0)</f>
        <v>0</v>
      </c>
      <c r="O36" s="303"/>
      <c r="P36" s="1378" t="s">
        <v>1877</v>
      </c>
      <c r="Q36" s="1905" t="str">
        <f>+'BALANCE-SHEET-2020-leva'!Q36</f>
        <v>'Municipal-Bal'</v>
      </c>
      <c r="R36" s="303"/>
      <c r="S36" s="303"/>
      <c r="T36" s="303"/>
      <c r="U36" s="303"/>
      <c r="V36" s="303"/>
      <c r="W36" s="303"/>
      <c r="X36" s="303"/>
      <c r="Y36" s="303"/>
      <c r="Z36" s="303"/>
    </row>
    <row r="37" spans="1:26" ht="15.75">
      <c r="A37" s="336" t="s">
        <v>171</v>
      </c>
      <c r="B37" s="337">
        <v>62</v>
      </c>
      <c r="C37" s="154"/>
      <c r="D37" s="661">
        <f>+'BALANCE-SHEET-2020-leva'!D37/1000+IF(+Rounding!$C$6=$B37,+Rounding!D$6,0)+IF(+Rounding!$C$7=$B37,+Rounding!D$7,0)</f>
        <v>0</v>
      </c>
      <c r="E37" s="662">
        <f>+'BALANCE-SHEET-2020-leva'!E37/1000+IF(+Rounding!$C$6=$B37,+Rounding!E$6,0)+IF(+Rounding!$C$7=$B37,+Rounding!E$7,0)</f>
        <v>0</v>
      </c>
      <c r="F37" s="154"/>
      <c r="G37" s="661">
        <f>+'BALANCE-SHEET-2020-leva'!G37/1000+IF(+Rounding!$G$6=$B37,+Rounding!H$6,0)+IF(+Rounding!$G$7=$B37,+Rounding!H$7,0)</f>
        <v>0</v>
      </c>
      <c r="H37" s="662">
        <f>+'BALANCE-SHEET-2020-leva'!H37/1000+IF(+Rounding!$G$6=$B37,+Rounding!I$6,0)+IF(+Rounding!$G$7=$B37,+Rounding!I$7,0)</f>
        <v>0</v>
      </c>
      <c r="I37" s="154"/>
      <c r="J37" s="661">
        <f>+'BALANCE-SHEET-2020-leva'!J37/1000+IF(+Rounding!$K$6=$B37,+Rounding!L$6,0)+IF(+Rounding!$K$7=$B37,+Rounding!L$7,0)</f>
        <v>0</v>
      </c>
      <c r="K37" s="662">
        <f>+'BALANCE-SHEET-2020-leva'!K37/1000+IF(+Rounding!$K$6=$B37,+Rounding!M$6,0)+IF(+Rounding!$K$7=$B37,+Rounding!M$7,0)</f>
        <v>0</v>
      </c>
      <c r="L37" s="154"/>
      <c r="M37" s="661">
        <f>+D37+G37+J37+IF(+Rounding!$O$6=$B37,+Rounding!P$6,0)+IF(+Rounding!$O$7=$B37,+Rounding!P$7,0)</f>
        <v>0</v>
      </c>
      <c r="N37" s="662">
        <f>+E37+H37+K37+IF(+Rounding!$O$6=$B37,+Rounding!Q$6,0)+IF(+Rounding!$O$7=$B37,+Rounding!Q$7,0)</f>
        <v>0</v>
      </c>
      <c r="O37" s="303"/>
      <c r="P37" s="1240" t="s">
        <v>1252</v>
      </c>
      <c r="Q37" s="1241" t="s">
        <v>1253</v>
      </c>
      <c r="R37" s="303"/>
      <c r="S37" s="303"/>
      <c r="T37" s="303"/>
      <c r="U37" s="303"/>
      <c r="V37" s="303"/>
      <c r="W37" s="303"/>
      <c r="X37" s="303"/>
      <c r="Y37" s="303"/>
      <c r="Z37" s="303"/>
    </row>
    <row r="38" spans="1:26" ht="15.75">
      <c r="A38" s="177" t="s">
        <v>1024</v>
      </c>
      <c r="B38" s="178">
        <v>60</v>
      </c>
      <c r="C38" s="154"/>
      <c r="D38" s="663">
        <f>+D36+D37</f>
        <v>0</v>
      </c>
      <c r="E38" s="664">
        <f>+E36+E37</f>
        <v>0</v>
      </c>
      <c r="F38" s="154"/>
      <c r="G38" s="663">
        <f>+G36+G37</f>
        <v>0</v>
      </c>
      <c r="H38" s="664">
        <f>+H36+H37</f>
        <v>0</v>
      </c>
      <c r="I38" s="154"/>
      <c r="J38" s="663">
        <f>+J36+J37</f>
        <v>0</v>
      </c>
      <c r="K38" s="664">
        <f>+K36+K37</f>
        <v>0</v>
      </c>
      <c r="L38" s="154"/>
      <c r="M38" s="663">
        <f>+M36+M37</f>
        <v>0</v>
      </c>
      <c r="N38" s="664">
        <f>+N36+N37</f>
        <v>0</v>
      </c>
      <c r="O38" s="303"/>
      <c r="P38" s="1242" t="s">
        <v>1195</v>
      </c>
      <c r="Q38" s="1243" t="s">
        <v>1963</v>
      </c>
      <c r="R38" s="303"/>
      <c r="S38" s="303"/>
      <c r="T38" s="303"/>
      <c r="U38" s="303"/>
      <c r="V38" s="303"/>
      <c r="W38" s="303"/>
      <c r="X38" s="303"/>
      <c r="Y38" s="303"/>
      <c r="Z38" s="303"/>
    </row>
    <row r="39" spans="1:26" ht="15.75">
      <c r="A39" s="172" t="s">
        <v>172</v>
      </c>
      <c r="B39" s="173"/>
      <c r="C39" s="154"/>
      <c r="D39" s="255" t="str">
        <f>+IF(+OR(D40&lt;0,D41&lt;0,D42&lt;0,D43&lt;0,D44&lt;0,D45&lt;0),"НЕРАВНЕНИЕ !"," ")</f>
        <v xml:space="preserve"> </v>
      </c>
      <c r="E39" s="322" t="str">
        <f>+IF(+OR(E40&lt;0,E41&lt;0,E42&lt;0,E43&lt;0,E44&lt;0,E45&lt;0),"НЕРАВНЕНИЕ !"," ")</f>
        <v xml:space="preserve"> </v>
      </c>
      <c r="F39" s="154"/>
      <c r="G39" s="255" t="str">
        <f>+IF(+OR(G40&lt;0,G41&lt;0,G42&lt;0,G43&lt;0,G44&lt;0,G45&lt;0),"НЕРАВНЕНИЕ !"," ")</f>
        <v xml:space="preserve"> </v>
      </c>
      <c r="H39" s="322" t="str">
        <f>+IF(+OR(H40&lt;0,H41&lt;0,H42&lt;0,H43&lt;0,H44&lt;0,H45&lt;0),"НЕРАВНЕНИЕ !"," ")</f>
        <v xml:space="preserve"> </v>
      </c>
      <c r="I39" s="154"/>
      <c r="J39" s="255" t="str">
        <f>+IF(+OR(J40&lt;0,J41&lt;0,J42&lt;0,J43&lt;0,J44&lt;0,J45&lt;0),"НЕРАВНЕНИЕ !"," ")</f>
        <v xml:space="preserve"> </v>
      </c>
      <c r="K39" s="322" t="str">
        <f>+IF(+OR(K40&lt;0,K41&lt;0,K42&lt;0,K43&lt;0,K44&lt;0,K45&lt;0),"НЕРАВНЕНИЕ !"," ")</f>
        <v xml:space="preserve"> </v>
      </c>
      <c r="L39" s="154"/>
      <c r="M39" s="255" t="str">
        <f>+IF(+OR(M40&lt;0,M41&lt;0,M42&lt;0,M43&lt;0,M44&lt;0,M45&lt;0),"НЕРАВНЕНИЕ !"," ")</f>
        <v xml:space="preserve"> </v>
      </c>
      <c r="N39" s="322" t="str">
        <f>+IF(+OR(N40&lt;0,N41&lt;0,N42&lt;0,N43&lt;0,N44&lt;0,N45&lt;0),"НЕРАВНЕНИЕ !"," ")</f>
        <v xml:space="preserve"> </v>
      </c>
      <c r="O39" s="303"/>
      <c r="P39" s="1441"/>
      <c r="Q39" s="1441"/>
      <c r="R39" s="303"/>
      <c r="S39" s="303"/>
      <c r="T39" s="303"/>
      <c r="U39" s="303"/>
      <c r="V39" s="303"/>
      <c r="W39" s="303"/>
      <c r="X39" s="303"/>
      <c r="Y39" s="303"/>
      <c r="Z39" s="303"/>
    </row>
    <row r="40" spans="1:26" ht="15.75">
      <c r="A40" s="175" t="s">
        <v>1982</v>
      </c>
      <c r="B40" s="176">
        <v>71</v>
      </c>
      <c r="C40" s="154"/>
      <c r="D40" s="659">
        <f>+'BALANCE-SHEET-2020-leva'!D40/1000+IF(+Rounding!$C$6=$B40,+Rounding!D$6,0)+IF(+Rounding!$C$7=$B40,+Rounding!D$7,0)</f>
        <v>0</v>
      </c>
      <c r="E40" s="660">
        <f>+'BALANCE-SHEET-2020-leva'!E40/1000+IF(+Rounding!$C$6=$B40,+Rounding!E$6,0)+IF(+Rounding!$C$7=$B40,+Rounding!E$7,0)</f>
        <v>0</v>
      </c>
      <c r="F40" s="154"/>
      <c r="G40" s="659">
        <f>+'BALANCE-SHEET-2020-leva'!G40/1000+IF(+Rounding!$G$6=$B40,+Rounding!H$6,0)+IF(+Rounding!$G$7=$B40,+Rounding!H$7,0)</f>
        <v>0</v>
      </c>
      <c r="H40" s="660">
        <f>+'BALANCE-SHEET-2020-leva'!H40/1000+IF(+Rounding!$G$6=$B40,+Rounding!I$6,0)+IF(+Rounding!$G$7=$B40,+Rounding!I$7,0)</f>
        <v>0</v>
      </c>
      <c r="I40" s="154"/>
      <c r="J40" s="659">
        <f>+'BALANCE-SHEET-2020-leva'!J40/1000+IF(+Rounding!$K$6=$B40,+Rounding!L$6,0)+IF(+Rounding!$K$7=$B40,+Rounding!L$7,0)</f>
        <v>0</v>
      </c>
      <c r="K40" s="660">
        <f>+'BALANCE-SHEET-2020-leva'!K40/1000+IF(+Rounding!$K$6=$B40,+Rounding!M$6,0)+IF(+Rounding!$K$7=$B40,+Rounding!M$7,0)</f>
        <v>0</v>
      </c>
      <c r="L40" s="154"/>
      <c r="M40" s="659">
        <f>+D40+G40+J40+IF(+Rounding!$O$6=$B40,+Rounding!P$6,0)+IF(+Rounding!$O$7=$B40,+Rounding!P$7,0)-P40</f>
        <v>0</v>
      </c>
      <c r="N40" s="660">
        <f>+E40+H40+K40+IF(+Rounding!$O$6=$B40,+Rounding!Q$6,0)+IF(+Rounding!$O$7=$B40,+Rounding!Q$7,0)-Q40</f>
        <v>0</v>
      </c>
      <c r="O40" s="303"/>
      <c r="P40" s="1446">
        <f>+'BALANCE-SHEET-2020-leva'!P40/1000</f>
        <v>0</v>
      </c>
      <c r="Q40" s="1447">
        <f>+'BALANCE-SHEET-2020-leva'!Q40/1000</f>
        <v>0</v>
      </c>
      <c r="R40" s="303"/>
      <c r="S40" s="303"/>
      <c r="T40" s="303"/>
      <c r="U40" s="303"/>
      <c r="V40" s="303"/>
      <c r="W40" s="303"/>
      <c r="X40" s="303"/>
      <c r="Y40" s="303"/>
      <c r="Z40" s="303"/>
    </row>
    <row r="41" spans="1:26" ht="15.75">
      <c r="A41" s="175" t="s">
        <v>173</v>
      </c>
      <c r="B41" s="176">
        <v>72</v>
      </c>
      <c r="C41" s="154"/>
      <c r="D41" s="659">
        <f>+'BALANCE-SHEET-2020-leva'!D41/1000+IF(+Rounding!$C$6=$B41,+Rounding!D$6,0)+IF(+Rounding!$C$7=$B41,+Rounding!D$7,0)</f>
        <v>0</v>
      </c>
      <c r="E41" s="660">
        <f>+'BALANCE-SHEET-2020-leva'!E41/1000+IF(+Rounding!$C$6=$B41,+Rounding!E$6,0)+IF(+Rounding!$C$7=$B41,+Rounding!E$7,0)</f>
        <v>0</v>
      </c>
      <c r="F41" s="154"/>
      <c r="G41" s="659">
        <f>+'BALANCE-SHEET-2020-leva'!G41/1000+IF(+Rounding!$G$6=$B41,+Rounding!H$6,0)+IF(+Rounding!$G$7=$B41,+Rounding!H$7,0)</f>
        <v>0</v>
      </c>
      <c r="H41" s="660">
        <f>+'BALANCE-SHEET-2020-leva'!H41/1000+IF(+Rounding!$G$6=$B41,+Rounding!I$6,0)+IF(+Rounding!$G$7=$B41,+Rounding!I$7,0)</f>
        <v>0</v>
      </c>
      <c r="I41" s="154"/>
      <c r="J41" s="659">
        <f>+'BALANCE-SHEET-2020-leva'!J41/1000+IF(+Rounding!$K$6=$B41,+Rounding!L$6,0)+IF(+Rounding!$K$7=$B41,+Rounding!L$7,0)</f>
        <v>0</v>
      </c>
      <c r="K41" s="660">
        <f>+'BALANCE-SHEET-2020-leva'!K41/1000+IF(+Rounding!$K$6=$B41,+Rounding!M$6,0)+IF(+Rounding!$K$7=$B41,+Rounding!M$7,0)</f>
        <v>0</v>
      </c>
      <c r="L41" s="154"/>
      <c r="M41" s="659">
        <f>+D41+G41+J41+IF(+Rounding!$O$6=$B41,+Rounding!P$6,0)+IF(+Rounding!$O$7=$B41,+Rounding!P$7,0)</f>
        <v>0</v>
      </c>
      <c r="N41" s="660">
        <f>+E41+H41+K41+IF(+Rounding!$O$6=$B41,+Rounding!Q$6,0)+IF(+Rounding!$O$7=$B41,+Rounding!Q$7,0)</f>
        <v>0</v>
      </c>
      <c r="O41" s="303"/>
      <c r="P41" s="1438"/>
      <c r="Q41" s="1438"/>
      <c r="R41" s="303"/>
      <c r="S41" s="303"/>
      <c r="T41" s="303"/>
      <c r="U41" s="303"/>
      <c r="V41" s="303"/>
      <c r="W41" s="303"/>
      <c r="X41" s="303"/>
      <c r="Y41" s="303"/>
      <c r="Z41" s="303"/>
    </row>
    <row r="42" spans="1:26" ht="15.75">
      <c r="A42" s="175" t="s">
        <v>408</v>
      </c>
      <c r="B42" s="176">
        <v>73</v>
      </c>
      <c r="C42" s="154"/>
      <c r="D42" s="659">
        <f>+'BALANCE-SHEET-2020-leva'!D42/1000+IF(+Rounding!$C$6=$B42,+Rounding!D$6,0)+IF(+Rounding!$C$7=$B42,+Rounding!D$7,0)</f>
        <v>0</v>
      </c>
      <c r="E42" s="660">
        <f>+'BALANCE-SHEET-2020-leva'!E42/1000+IF(+Rounding!$C$6=$B42,+Rounding!E$6,0)+IF(+Rounding!$C$7=$B42,+Rounding!E$7,0)</f>
        <v>0</v>
      </c>
      <c r="F42" s="154"/>
      <c r="G42" s="659">
        <f>+'BALANCE-SHEET-2020-leva'!G42/1000+IF(+Rounding!$G$6=$B42,+Rounding!H$6,0)+IF(+Rounding!$G$7=$B42,+Rounding!H$7,0)</f>
        <v>0</v>
      </c>
      <c r="H42" s="660">
        <f>+'BALANCE-SHEET-2020-leva'!H42/1000+IF(+Rounding!$G$6=$B42,+Rounding!I$6,0)+IF(+Rounding!$G$7=$B42,+Rounding!I$7,0)</f>
        <v>0</v>
      </c>
      <c r="I42" s="154"/>
      <c r="J42" s="659">
        <f>+'BALANCE-SHEET-2020-leva'!J42/1000+IF(+Rounding!$K$6=$B42,+Rounding!L$6,0)+IF(+Rounding!$K$7=$B42,+Rounding!L$7,0)</f>
        <v>0</v>
      </c>
      <c r="K42" s="660">
        <f>+'BALANCE-SHEET-2020-leva'!K42/1000+IF(+Rounding!$K$6=$B42,+Rounding!M$6,0)+IF(+Rounding!$K$7=$B42,+Rounding!M$7,0)</f>
        <v>0</v>
      </c>
      <c r="L42" s="154"/>
      <c r="M42" s="659">
        <f>+D42+G42+J42+IF(+Rounding!$O$6=$B42,+Rounding!P$6,0)+IF(+Rounding!$O$7=$B42,+Rounding!P$7,0)</f>
        <v>0</v>
      </c>
      <c r="N42" s="660">
        <f>+E42+H42+K42+IF(+Rounding!$O$6=$B42,+Rounding!Q$6,0)+IF(+Rounding!$O$7=$B42,+Rounding!Q$7,0)</f>
        <v>0</v>
      </c>
      <c r="O42" s="303"/>
      <c r="P42" s="1438"/>
      <c r="Q42" s="1438"/>
      <c r="R42" s="303"/>
      <c r="S42" s="303"/>
      <c r="T42" s="303"/>
      <c r="U42" s="303"/>
      <c r="V42" s="303"/>
      <c r="W42" s="303"/>
      <c r="X42" s="303"/>
      <c r="Y42" s="303"/>
      <c r="Z42" s="303"/>
    </row>
    <row r="43" spans="1:26" ht="15.75">
      <c r="A43" s="175" t="s">
        <v>409</v>
      </c>
      <c r="B43" s="176">
        <v>74</v>
      </c>
      <c r="C43" s="154"/>
      <c r="D43" s="659">
        <f>+'BALANCE-SHEET-2020-leva'!D43/1000+IF(+Rounding!$C$6=$B43,+Rounding!D$6,0)+IF(+Rounding!$C$7=$B43,+Rounding!D$7,0)</f>
        <v>0</v>
      </c>
      <c r="E43" s="660">
        <f>+'BALANCE-SHEET-2020-leva'!E43/1000+IF(+Rounding!$C$6=$B43,+Rounding!E$6,0)+IF(+Rounding!$C$7=$B43,+Rounding!E$7,0)</f>
        <v>0</v>
      </c>
      <c r="F43" s="154"/>
      <c r="G43" s="659">
        <f>+'BALANCE-SHEET-2020-leva'!G43/1000+IF(+Rounding!$G$6=$B43,+Rounding!H$6,0)+IF(+Rounding!$G$7=$B43,+Rounding!H$7,0)</f>
        <v>0</v>
      </c>
      <c r="H43" s="660">
        <f>+'BALANCE-SHEET-2020-leva'!H43/1000+IF(+Rounding!$G$6=$B43,+Rounding!I$6,0)+IF(+Rounding!$G$7=$B43,+Rounding!I$7,0)</f>
        <v>0</v>
      </c>
      <c r="I43" s="154"/>
      <c r="J43" s="659">
        <f>+'BALANCE-SHEET-2020-leva'!J43/1000+IF(+Rounding!$K$6=$B43,+Rounding!L$6,0)+IF(+Rounding!$K$7=$B43,+Rounding!L$7,0)</f>
        <v>0</v>
      </c>
      <c r="K43" s="660">
        <f>+'BALANCE-SHEET-2020-leva'!K43/1000+IF(+Rounding!$K$6=$B43,+Rounding!M$6,0)+IF(+Rounding!$K$7=$B43,+Rounding!M$7,0)</f>
        <v>0</v>
      </c>
      <c r="L43" s="154"/>
      <c r="M43" s="659">
        <f>+D43+G43+J43+IF(+Rounding!$O$6=$B43,+Rounding!P$6,0)+IF(+Rounding!$O$7=$B43,+Rounding!P$7,0)</f>
        <v>0</v>
      </c>
      <c r="N43" s="660">
        <f>+E43+H43+K43+IF(+Rounding!$O$6=$B43,+Rounding!Q$6,0)+IF(+Rounding!$O$7=$B43,+Rounding!Q$7,0)</f>
        <v>0</v>
      </c>
      <c r="O43" s="303"/>
      <c r="P43" s="1438"/>
      <c r="Q43" s="1438"/>
      <c r="R43" s="303"/>
      <c r="S43" s="303"/>
      <c r="T43" s="303"/>
      <c r="U43" s="303"/>
      <c r="V43" s="303"/>
      <c r="W43" s="303"/>
      <c r="X43" s="303"/>
      <c r="Y43" s="303"/>
      <c r="Z43" s="303"/>
    </row>
    <row r="44" spans="1:26" ht="15.75">
      <c r="A44" s="687" t="s">
        <v>1049</v>
      </c>
      <c r="B44" s="176">
        <v>75</v>
      </c>
      <c r="C44" s="154"/>
      <c r="D44" s="659">
        <f>+'BALANCE-SHEET-2020-leva'!D44/1000+IF(+Rounding!$C$6=$B44,+Rounding!D$6,0)+IF(+Rounding!$C$7=$B44,+Rounding!D$7,0)</f>
        <v>0</v>
      </c>
      <c r="E44" s="660">
        <f>+'BALANCE-SHEET-2020-leva'!E44/1000+IF(+Rounding!$C$6=$B44,+Rounding!E$6,0)+IF(+Rounding!$C$7=$B44,+Rounding!E$7,0)</f>
        <v>0</v>
      </c>
      <c r="F44" s="154"/>
      <c r="G44" s="659">
        <f>+'BALANCE-SHEET-2020-leva'!G44/1000+IF(+Rounding!$G$6=$B44,+Rounding!H$6,0)+IF(+Rounding!$G$7=$B44,+Rounding!H$7,0)</f>
        <v>0</v>
      </c>
      <c r="H44" s="660">
        <f>+'BALANCE-SHEET-2020-leva'!H44/1000+IF(+Rounding!$G$6=$B44,+Rounding!I$6,0)+IF(+Rounding!$G$7=$B44,+Rounding!I$7,0)</f>
        <v>0</v>
      </c>
      <c r="I44" s="154"/>
      <c r="J44" s="659">
        <f>+'BALANCE-SHEET-2020-leva'!J44/1000+IF(+Rounding!$K$6=$B44,+Rounding!L$6,0)+IF(+Rounding!$K$7=$B44,+Rounding!L$7,0)</f>
        <v>0</v>
      </c>
      <c r="K44" s="660">
        <f>+'BALANCE-SHEET-2020-leva'!K44/1000+IF(+Rounding!$K$6=$B44,+Rounding!M$6,0)+IF(+Rounding!$K$7=$B44,+Rounding!M$7,0)</f>
        <v>0</v>
      </c>
      <c r="L44" s="154"/>
      <c r="M44" s="659">
        <f>+D44+G44+J44+IF(+Rounding!$O$6=$B44,+Rounding!P$6,0)+IF(+Rounding!$O$7=$B44,+Rounding!P$7,0)-P44</f>
        <v>0</v>
      </c>
      <c r="N44" s="660">
        <f>+E44+H44+K44+IF(+Rounding!$O$6=$B44,+Rounding!Q$6,0)+IF(+Rounding!$O$7=$B44,+Rounding!Q$7,0)-Q44</f>
        <v>0</v>
      </c>
      <c r="O44" s="303"/>
      <c r="P44" s="1446">
        <f>+'BALANCE-SHEET-2020-leva'!P44/1000</f>
        <v>0</v>
      </c>
      <c r="Q44" s="1447">
        <f>+'BALANCE-SHEET-2020-leva'!Q44/1000</f>
        <v>0</v>
      </c>
      <c r="R44" s="303"/>
      <c r="S44" s="303"/>
      <c r="T44" s="303"/>
      <c r="U44" s="303"/>
      <c r="V44" s="303"/>
      <c r="W44" s="303"/>
      <c r="X44" s="303"/>
      <c r="Y44" s="303"/>
      <c r="Z44" s="303"/>
    </row>
    <row r="45" spans="1:26" ht="15.75">
      <c r="A45" s="175" t="s">
        <v>411</v>
      </c>
      <c r="B45" s="176">
        <v>76</v>
      </c>
      <c r="C45" s="154"/>
      <c r="D45" s="661">
        <f>+'BALANCE-SHEET-2020-leva'!D45/1000+IF(+Rounding!$C$6=$B45,+Rounding!D$6,0)+IF(+Rounding!$C$7=$B45,+Rounding!D$7,0)</f>
        <v>0</v>
      </c>
      <c r="E45" s="662">
        <f>+'BALANCE-SHEET-2020-leva'!E45/1000+IF(+Rounding!$C$6=$B45,+Rounding!E$6,0)+IF(+Rounding!$C$7=$B45,+Rounding!E$7,0)</f>
        <v>0</v>
      </c>
      <c r="F45" s="154"/>
      <c r="G45" s="661">
        <f>+'BALANCE-SHEET-2020-leva'!G45/1000+IF(+Rounding!$G$6=$B45,+Rounding!H$6,0)+IF(+Rounding!$G$7=$B45,+Rounding!H$7,0)</f>
        <v>0</v>
      </c>
      <c r="H45" s="662">
        <f>+'BALANCE-SHEET-2020-leva'!H45/1000+IF(+Rounding!$G$6=$B45,+Rounding!I$6,0)+IF(+Rounding!$G$7=$B45,+Rounding!I$7,0)</f>
        <v>0</v>
      </c>
      <c r="I45" s="154"/>
      <c r="J45" s="661">
        <f>+'BALANCE-SHEET-2020-leva'!J45/1000+IF(+Rounding!$K$6=$B45,+Rounding!L$6,0)+IF(+Rounding!$K$7=$B45,+Rounding!L$7,0)</f>
        <v>0</v>
      </c>
      <c r="K45" s="662">
        <f>+'BALANCE-SHEET-2020-leva'!K45/1000+IF(+Rounding!$K$6=$B45,+Rounding!M$6,0)+IF(+Rounding!$K$7=$B45,+Rounding!M$7,0)</f>
        <v>0</v>
      </c>
      <c r="L45" s="154"/>
      <c r="M45" s="661">
        <f>+D45+G45+J45+IF(+Rounding!$O$6=$B45,+Rounding!P$6,0)+IF(+Rounding!$O$7=$B45,+Rounding!P$7,0)-P45</f>
        <v>0</v>
      </c>
      <c r="N45" s="662">
        <f>+E45+H45+K45+IF(+Rounding!$O$6=$B45,+Rounding!Q$6,0)+IF(+Rounding!$O$7=$B45,+Rounding!Q$7,0)-Q45</f>
        <v>0</v>
      </c>
      <c r="O45" s="303"/>
      <c r="P45" s="1221">
        <f>+'BALANCE-SHEET-2020-leva'!P45/1000</f>
        <v>0</v>
      </c>
      <c r="Q45" s="1222">
        <f>+'BALANCE-SHEET-2020-leva'!Q45/1000</f>
        <v>0</v>
      </c>
      <c r="R45" s="303"/>
      <c r="S45" s="303"/>
      <c r="T45" s="303"/>
      <c r="U45" s="303"/>
      <c r="V45" s="303"/>
      <c r="W45" s="303"/>
      <c r="X45" s="303"/>
      <c r="Y45" s="303"/>
      <c r="Z45" s="303"/>
    </row>
    <row r="46" spans="1:26" ht="15.75">
      <c r="A46" s="177" t="s">
        <v>1026</v>
      </c>
      <c r="B46" s="178">
        <v>70</v>
      </c>
      <c r="C46" s="154"/>
      <c r="D46" s="663">
        <f>+D40+D41+D42+D43+D44+D45</f>
        <v>0</v>
      </c>
      <c r="E46" s="664">
        <f>+E40+E41+E42+E43+E44+E45</f>
        <v>0</v>
      </c>
      <c r="F46" s="154"/>
      <c r="G46" s="663">
        <f>+G40+G41+G42+G43+G44+G45</f>
        <v>0</v>
      </c>
      <c r="H46" s="664">
        <f>+H40+H41+H42+H43+H44+H45</f>
        <v>0</v>
      </c>
      <c r="I46" s="154"/>
      <c r="J46" s="663">
        <f>+J40+J41+J42+J43+J44+J45</f>
        <v>0</v>
      </c>
      <c r="K46" s="664">
        <f>+K40+K41+K42+K43+K44+K45</f>
        <v>0</v>
      </c>
      <c r="L46" s="154"/>
      <c r="M46" s="663">
        <f>+M40+M41+M42+M43+M44+M45</f>
        <v>0</v>
      </c>
      <c r="N46" s="664">
        <f>+N40+N41+N42+N43+N44+N45</f>
        <v>0</v>
      </c>
      <c r="O46" s="303"/>
      <c r="P46" s="1223">
        <f>+SUM(P39:P45)</f>
        <v>0</v>
      </c>
      <c r="Q46" s="1224">
        <f>+SUM(Q39:Q45)</f>
        <v>0</v>
      </c>
      <c r="R46" s="303"/>
      <c r="S46" s="303"/>
      <c r="T46" s="303"/>
      <c r="U46" s="303"/>
      <c r="V46" s="303"/>
      <c r="W46" s="303"/>
      <c r="X46" s="303"/>
      <c r="Y46" s="303"/>
      <c r="Z46" s="303"/>
    </row>
    <row r="47" spans="1:26" ht="15.75">
      <c r="A47" s="172" t="s">
        <v>412</v>
      </c>
      <c r="B47" s="173"/>
      <c r="C47" s="154"/>
      <c r="D47" s="255" t="str">
        <f>+IF(+OR(D48&lt;0,D49&lt;0),"НЕРАВНЕНИЕ !"," ")</f>
        <v xml:space="preserve"> </v>
      </c>
      <c r="E47" s="322" t="str">
        <f>+IF(+OR(E48&lt;0,E49&lt;0),"НЕРАВНЕНИЕ !"," ")</f>
        <v xml:space="preserve"> </v>
      </c>
      <c r="F47" s="154"/>
      <c r="G47" s="255" t="str">
        <f>+IF(+OR(G48&lt;0,G49&lt;0),"НЕРАВНЕНИЕ !"," ")</f>
        <v xml:space="preserve"> </v>
      </c>
      <c r="H47" s="322" t="str">
        <f>+IF(+OR(H48&lt;0,H49&lt;0),"НЕРАВНЕНИЕ !"," ")</f>
        <v xml:space="preserve"> </v>
      </c>
      <c r="I47" s="154"/>
      <c r="J47" s="255" t="str">
        <f>+IF(+OR(J48&lt;0,J49&lt;0),"НЕРАВНЕНИЕ !"," ")</f>
        <v xml:space="preserve"> </v>
      </c>
      <c r="K47" s="322" t="str">
        <f>+IF(+OR(K48&lt;0,K49&lt;0),"НЕРАВНЕНИЕ !"," ")</f>
        <v xml:space="preserve"> </v>
      </c>
      <c r="L47" s="154"/>
      <c r="M47" s="255" t="str">
        <f>+IF(+OR(M48&lt;0,M49&lt;0),"НЕРАВНЕНИЕ !"," ")</f>
        <v xml:space="preserve"> </v>
      </c>
      <c r="N47" s="322" t="str">
        <f>+IF(+OR(N48&lt;0,N49&lt;0),"НЕРАВНЕНИЕ !"," ")</f>
        <v xml:space="preserve"> </v>
      </c>
      <c r="O47" s="303"/>
      <c r="P47" s="1210" t="s">
        <v>1282</v>
      </c>
      <c r="Q47" s="1211" t="s">
        <v>1283</v>
      </c>
      <c r="R47" s="303"/>
      <c r="S47" s="303"/>
      <c r="T47" s="303"/>
      <c r="U47" s="303"/>
      <c r="V47" s="303"/>
      <c r="W47" s="303"/>
      <c r="X47" s="303"/>
      <c r="Y47" s="303"/>
      <c r="Z47" s="303"/>
    </row>
    <row r="48" spans="1:26" ht="15.75">
      <c r="A48" s="334" t="s">
        <v>413</v>
      </c>
      <c r="B48" s="335">
        <v>81</v>
      </c>
      <c r="C48" s="154"/>
      <c r="D48" s="659">
        <f>+'BALANCE-SHEET-2020-leva'!D48/1000+IF(+Rounding!$C$6=$B48,+Rounding!D$6,0)+IF(+Rounding!$C$7=$B48,+Rounding!D$7,0)</f>
        <v>0</v>
      </c>
      <c r="E48" s="660">
        <f>+'BALANCE-SHEET-2020-leva'!E48/1000+IF(+Rounding!$C$6=$B48,+Rounding!E$6,0)+IF(+Rounding!$C$7=$B48,+Rounding!E$7,0)</f>
        <v>0</v>
      </c>
      <c r="F48" s="154"/>
      <c r="G48" s="659">
        <f>+'BALANCE-SHEET-2020-leva'!G48/1000+IF(+Rounding!$G$6=$B48,+Rounding!H$6,0)+IF(+Rounding!$G$7=$B48,+Rounding!H$7,0)</f>
        <v>0</v>
      </c>
      <c r="H48" s="660">
        <f>+'BALANCE-SHEET-2020-leva'!H48/1000+IF(+Rounding!$G$6=$B48,+Rounding!I$6,0)+IF(+Rounding!$G$7=$B48,+Rounding!I$7,0)</f>
        <v>0</v>
      </c>
      <c r="I48" s="154"/>
      <c r="J48" s="659">
        <f>+'BALANCE-SHEET-2020-leva'!J48/1000+IF(+Rounding!$K$6=$B48,+Rounding!L$6,0)+IF(+Rounding!$K$7=$B48,+Rounding!L$7,0)</f>
        <v>0</v>
      </c>
      <c r="K48" s="660">
        <f>+'BALANCE-SHEET-2020-leva'!K48/1000+IF(+Rounding!$K$6=$B48,+Rounding!M$6,0)+IF(+Rounding!$K$7=$B48,+Rounding!M$7,0)</f>
        <v>0</v>
      </c>
      <c r="L48" s="154"/>
      <c r="M48" s="659">
        <f>+D48+G48+J48+IF(+Rounding!$O$6=$B48,+Rounding!P$6,0)+IF(+Rounding!$O$7=$B48,+Rounding!P$7,0)</f>
        <v>0</v>
      </c>
      <c r="N48" s="660">
        <f>+E48+H48+K48+IF(+Rounding!$O$6=$B48,+Rounding!Q$6,0)+IF(+Rounding!$O$7=$B48,+Rounding!Q$7,0)</f>
        <v>0</v>
      </c>
      <c r="O48" s="303"/>
      <c r="P48" s="1239" t="str">
        <f>+IF(+'Intra-Balances'!R2="O K","O K","ГРЕШКА - превишава ДТ с/до")</f>
        <v>O K</v>
      </c>
      <c r="Q48" s="1244" t="str">
        <f>+IF(+'Intra-Balances'!O2="O K","O K","ГРЕШКА - превишава ДТ с/до")</f>
        <v>O K</v>
      </c>
      <c r="R48" s="303"/>
      <c r="S48" s="303"/>
      <c r="T48" s="303"/>
      <c r="U48" s="303"/>
      <c r="V48" s="303"/>
      <c r="W48" s="303"/>
      <c r="X48" s="303"/>
      <c r="Y48" s="303"/>
      <c r="Z48" s="303"/>
    </row>
    <row r="49" spans="1:26" ht="15.75">
      <c r="A49" s="336" t="s">
        <v>414</v>
      </c>
      <c r="B49" s="337">
        <v>82</v>
      </c>
      <c r="C49" s="154"/>
      <c r="D49" s="661">
        <f>+'BALANCE-SHEET-2020-leva'!D49/1000+IF(+Rounding!$C$6=$B49,+Rounding!D$6,0)+IF(+Rounding!$C$7=$B49,+Rounding!D$7,0)</f>
        <v>113.15380999999999</v>
      </c>
      <c r="E49" s="662">
        <f>+'BALANCE-SHEET-2020-leva'!E49/1000+IF(+Rounding!$C$6=$B49,+Rounding!E$6,0)+IF(+Rounding!$C$7=$B49,+Rounding!E$7,0)</f>
        <v>0</v>
      </c>
      <c r="F49" s="154"/>
      <c r="G49" s="661">
        <f>+'BALANCE-SHEET-2020-leva'!G49/1000+IF(+Rounding!$G$6=$B49,+Rounding!H$6,0)+IF(+Rounding!$G$7=$B49,+Rounding!H$7,0)</f>
        <v>0</v>
      </c>
      <c r="H49" s="662">
        <f>+'BALANCE-SHEET-2020-leva'!H49/1000+IF(+Rounding!$G$6=$B49,+Rounding!I$6,0)+IF(+Rounding!$G$7=$B49,+Rounding!I$7,0)</f>
        <v>0</v>
      </c>
      <c r="I49" s="154"/>
      <c r="J49" s="661">
        <f>+'BALANCE-SHEET-2020-leva'!J49/1000+IF(+Rounding!$K$6=$B49,+Rounding!L$6,0)+IF(+Rounding!$K$7=$B49,+Rounding!L$7,0)</f>
        <v>0</v>
      </c>
      <c r="K49" s="662">
        <f>+'BALANCE-SHEET-2020-leva'!K49/1000+IF(+Rounding!$K$6=$B49,+Rounding!M$6,0)+IF(+Rounding!$K$7=$B49,+Rounding!M$7,0)</f>
        <v>0</v>
      </c>
      <c r="L49" s="154"/>
      <c r="M49" s="661">
        <f>+D49+G49+J49+IF(+Rounding!$O$6=$B49,+Rounding!P$6,0)+IF(+Rounding!$O$7=$B49,+Rounding!P$7,0)</f>
        <v>113.15380999999999</v>
      </c>
      <c r="N49" s="662">
        <f>+E49+H49+K49+IF(+Rounding!$O$6=$B49,+Rounding!Q$6,0)+IF(+Rounding!$O$7=$B49,+Rounding!Q$7,0)</f>
        <v>0</v>
      </c>
      <c r="O49" s="303"/>
      <c r="P49" s="2562" t="str">
        <f>+'BALANCE-SHEET-2020-leva'!P49:Q49</f>
        <v>O K</v>
      </c>
      <c r="Q49" s="2562"/>
      <c r="R49" s="303"/>
      <c r="S49" s="303"/>
      <c r="T49" s="303"/>
      <c r="U49" s="303"/>
      <c r="V49" s="303"/>
      <c r="W49" s="303"/>
      <c r="X49" s="303"/>
      <c r="Y49" s="303"/>
      <c r="Z49" s="303"/>
    </row>
    <row r="50" spans="1:26" ht="15.75">
      <c r="A50" s="177" t="s">
        <v>1027</v>
      </c>
      <c r="B50" s="178">
        <v>80</v>
      </c>
      <c r="C50" s="154"/>
      <c r="D50" s="663">
        <f>+D48+D49</f>
        <v>113.15380999999999</v>
      </c>
      <c r="E50" s="664">
        <f>+E48+E49</f>
        <v>0</v>
      </c>
      <c r="F50" s="154"/>
      <c r="G50" s="663">
        <f>+G48+G49</f>
        <v>0</v>
      </c>
      <c r="H50" s="664">
        <f>+H48+H49</f>
        <v>0</v>
      </c>
      <c r="I50" s="154"/>
      <c r="J50" s="663">
        <f>+J48+J49</f>
        <v>0</v>
      </c>
      <c r="K50" s="664">
        <f>+K48+K49</f>
        <v>0</v>
      </c>
      <c r="L50" s="154"/>
      <c r="M50" s="663">
        <f>+M48+M49</f>
        <v>113.15380999999999</v>
      </c>
      <c r="N50" s="664">
        <f>+N48+N49</f>
        <v>0</v>
      </c>
      <c r="O50" s="303"/>
      <c r="P50" s="2563" t="str">
        <f>+'BALANCE-SHEET-2020-leva'!P50:Q50</f>
        <v>O K</v>
      </c>
      <c r="Q50" s="2563"/>
      <c r="R50" s="303"/>
      <c r="S50" s="303"/>
      <c r="T50" s="303"/>
      <c r="U50" s="303"/>
      <c r="V50" s="303"/>
      <c r="W50" s="303"/>
      <c r="X50" s="303"/>
      <c r="Y50" s="303"/>
      <c r="Z50" s="303"/>
    </row>
    <row r="51" spans="1:26" ht="3" customHeight="1">
      <c r="A51" s="172"/>
      <c r="B51" s="173"/>
      <c r="C51" s="154"/>
      <c r="D51" s="665"/>
      <c r="E51" s="666"/>
      <c r="F51" s="154"/>
      <c r="G51" s="665"/>
      <c r="H51" s="666"/>
      <c r="I51" s="154"/>
      <c r="J51" s="665"/>
      <c r="K51" s="666"/>
      <c r="L51" s="154"/>
      <c r="M51" s="665"/>
      <c r="N51" s="666"/>
      <c r="O51" s="303"/>
      <c r="P51" s="152"/>
      <c r="Q51" s="152"/>
      <c r="R51" s="303"/>
      <c r="S51" s="303"/>
      <c r="T51" s="303"/>
      <c r="U51" s="303"/>
      <c r="V51" s="303"/>
      <c r="W51" s="303"/>
      <c r="X51" s="303"/>
      <c r="Y51" s="303"/>
      <c r="Z51" s="303"/>
    </row>
    <row r="52" spans="1:26" ht="19.5" thickBot="1">
      <c r="A52" s="679" t="s">
        <v>415</v>
      </c>
      <c r="B52" s="680">
        <v>200</v>
      </c>
      <c r="C52" s="154"/>
      <c r="D52" s="677">
        <f>+D34+D38+D46+D50</f>
        <v>113.15380999999999</v>
      </c>
      <c r="E52" s="678">
        <f>+E34+E38+E46+E50</f>
        <v>0</v>
      </c>
      <c r="F52" s="154"/>
      <c r="G52" s="677">
        <f>+G34+G38+G46+G50</f>
        <v>0</v>
      </c>
      <c r="H52" s="678">
        <f>+H34+H38+H46+H50</f>
        <v>0</v>
      </c>
      <c r="I52" s="154"/>
      <c r="J52" s="677">
        <f>+J34+J38+J46+J50</f>
        <v>0</v>
      </c>
      <c r="K52" s="678">
        <f>+K34+K38+K46+K50</f>
        <v>0</v>
      </c>
      <c r="L52" s="154"/>
      <c r="M52" s="677">
        <f>+M34+M38+M46+M50</f>
        <v>113.15380999999999</v>
      </c>
      <c r="N52" s="678">
        <f>+N34+N38+N46+N50</f>
        <v>0</v>
      </c>
      <c r="O52" s="303"/>
      <c r="P52" s="152"/>
      <c r="Q52" s="152"/>
      <c r="R52" s="303"/>
      <c r="S52" s="303"/>
      <c r="T52" s="303"/>
      <c r="U52" s="303"/>
      <c r="V52" s="303"/>
      <c r="W52" s="303"/>
      <c r="X52" s="303"/>
      <c r="Y52" s="303"/>
      <c r="Z52" s="303"/>
    </row>
    <row r="53" spans="1:26" ht="4.5" customHeight="1">
      <c r="A53" s="172"/>
      <c r="B53" s="173"/>
      <c r="C53" s="154"/>
      <c r="D53" s="174"/>
      <c r="E53" s="666"/>
      <c r="F53" s="154"/>
      <c r="G53" s="174"/>
      <c r="H53" s="666"/>
      <c r="I53" s="154"/>
      <c r="J53" s="174"/>
      <c r="K53" s="666"/>
      <c r="L53" s="154"/>
      <c r="M53" s="174"/>
      <c r="N53" s="666"/>
      <c r="O53" s="303"/>
      <c r="P53" s="152"/>
      <c r="Q53" s="152"/>
      <c r="R53" s="303"/>
      <c r="S53" s="303"/>
      <c r="T53" s="303"/>
      <c r="U53" s="303"/>
      <c r="V53" s="303"/>
      <c r="W53" s="303"/>
      <c r="X53" s="303"/>
      <c r="Y53" s="303"/>
      <c r="Z53" s="303"/>
    </row>
    <row r="54" spans="1:26" ht="19.5" customHeight="1" thickBot="1">
      <c r="A54" s="1469" t="s">
        <v>416</v>
      </c>
      <c r="B54" s="1470">
        <v>300</v>
      </c>
      <c r="C54" s="154"/>
      <c r="D54" s="2038">
        <f>+ROUND(+D28+D52,0)</f>
        <v>447</v>
      </c>
      <c r="E54" s="2039">
        <f>+ROUND(+E28+E52,0)</f>
        <v>351</v>
      </c>
      <c r="F54" s="154"/>
      <c r="G54" s="2038">
        <f>+ROUND(+G28+G52,0)</f>
        <v>0</v>
      </c>
      <c r="H54" s="2039">
        <f>+ROUND(+H28+H52,0)</f>
        <v>0</v>
      </c>
      <c r="I54" s="154"/>
      <c r="J54" s="2038">
        <f>+ROUND(+J28+J52,0)</f>
        <v>2</v>
      </c>
      <c r="K54" s="2039">
        <f>+ROUND(+K28+K52,0)</f>
        <v>2</v>
      </c>
      <c r="L54" s="154"/>
      <c r="M54" s="2038">
        <f>+ROUND(+M28+M52,0)</f>
        <v>450</v>
      </c>
      <c r="N54" s="2039">
        <f>+ROUND(+N28+N52,0)</f>
        <v>353</v>
      </c>
      <c r="O54" s="303"/>
      <c r="P54" s="152"/>
      <c r="Q54" s="152"/>
      <c r="R54" s="303"/>
      <c r="S54" s="303"/>
      <c r="T54" s="303"/>
      <c r="U54" s="303"/>
      <c r="V54" s="303"/>
      <c r="W54" s="303"/>
      <c r="X54" s="303"/>
      <c r="Y54" s="303"/>
      <c r="Z54" s="303"/>
    </row>
    <row r="55" spans="1:26" ht="17.25" customHeight="1" thickTop="1" thickBot="1">
      <c r="A55" s="179" t="s">
        <v>417</v>
      </c>
      <c r="B55" s="180">
        <v>350</v>
      </c>
      <c r="C55" s="154"/>
      <c r="D55" s="667">
        <f>+ROUND('BALANCE-SHEET-2020-leva'!D55/1000,0)+Rounding!D62</f>
        <v>210</v>
      </c>
      <c r="E55" s="668">
        <f>+ROUND('BALANCE-SHEET-2020-leva'!E55/1000,0)+Rounding!E62</f>
        <v>209</v>
      </c>
      <c r="F55" s="154"/>
      <c r="G55" s="667">
        <f>+ROUND('BALANCE-SHEET-2020-leva'!G55/1000,0)+Rounding!H62</f>
        <v>0</v>
      </c>
      <c r="H55" s="668">
        <f>+ROUND('BALANCE-SHEET-2020-leva'!H55/1000,0)+Rounding!I62</f>
        <v>0</v>
      </c>
      <c r="I55" s="154"/>
      <c r="J55" s="667">
        <f>+ROUND('BALANCE-SHEET-2020-leva'!J55/1000,0)+Rounding!L62</f>
        <v>0</v>
      </c>
      <c r="K55" s="668">
        <f>+ROUND('BALANCE-SHEET-2020-leva'!K55/1000,0)+Rounding!M62</f>
        <v>0</v>
      </c>
      <c r="L55" s="154"/>
      <c r="M55" s="667">
        <f>+ROUND((D55+G55+J55),0)+Rounding!P62</f>
        <v>210</v>
      </c>
      <c r="N55" s="668">
        <f>+ROUND((E55+H55+K55),0)+Rounding!Q62</f>
        <v>209</v>
      </c>
      <c r="O55" s="303"/>
      <c r="P55" s="152"/>
      <c r="Q55" s="152"/>
      <c r="R55" s="303"/>
      <c r="S55" s="303"/>
      <c r="T55" s="303"/>
      <c r="U55" s="303"/>
      <c r="V55" s="303"/>
      <c r="W55" s="303"/>
      <c r="X55" s="303"/>
      <c r="Y55" s="303"/>
      <c r="Z55" s="303"/>
    </row>
    <row r="56" spans="1:26" ht="12.75" customHeight="1" thickTop="1">
      <c r="A56" s="306"/>
      <c r="B56" s="181"/>
      <c r="C56" s="154"/>
      <c r="D56" s="321" t="str">
        <f>+IF(+OR(D55&lt;0),"НЕРАВНЕНИЕ !"," ")</f>
        <v xml:space="preserve"> </v>
      </c>
      <c r="E56" s="321" t="str">
        <f>+IF(+OR(E55&lt;0),"НЕРАВНЕНИЕ !"," ")</f>
        <v xml:space="preserve"> </v>
      </c>
      <c r="F56" s="154"/>
      <c r="G56" s="321" t="str">
        <f>+IF(+OR(G55&lt;0),"НЕРАВНЕНИЕ !"," ")</f>
        <v xml:space="preserve"> </v>
      </c>
      <c r="H56" s="321" t="str">
        <f>+IF(+OR(H55&lt;0),"НЕРАВНЕНИЕ !"," ")</f>
        <v xml:space="preserve"> </v>
      </c>
      <c r="I56" s="154"/>
      <c r="J56" s="321" t="str">
        <f>+IF(+OR(J55&lt;0),"НЕРАВНЕНИЕ !"," ")</f>
        <v xml:space="preserve"> </v>
      </c>
      <c r="K56" s="321" t="str">
        <f>+IF(+OR(K55&lt;0),"НЕРАВНЕНИЕ !"," ")</f>
        <v xml:space="preserve"> </v>
      </c>
      <c r="L56" s="154"/>
      <c r="M56" s="321" t="str">
        <f>+IF(+OR(M55&lt;0),"НЕРАВНЕНИЕ !"," ")</f>
        <v xml:space="preserve"> </v>
      </c>
      <c r="N56" s="321" t="str">
        <f>+IF(+OR(N55&lt;0),"НЕРАВНЕНИЕ !"," ")</f>
        <v xml:space="preserve"> </v>
      </c>
      <c r="O56" s="303"/>
      <c r="P56" s="152"/>
      <c r="Q56" s="152"/>
      <c r="R56" s="303"/>
      <c r="S56" s="303"/>
      <c r="T56" s="303"/>
      <c r="U56" s="303"/>
      <c r="V56" s="303"/>
      <c r="W56" s="303"/>
      <c r="X56" s="303"/>
      <c r="Y56" s="303"/>
      <c r="Z56" s="303"/>
    </row>
    <row r="57" spans="1:26" ht="19.5" thickBot="1">
      <c r="A57" s="160" t="s">
        <v>365</v>
      </c>
      <c r="B57" s="302"/>
      <c r="C57" s="154"/>
      <c r="D57" s="302"/>
      <c r="E57" s="302"/>
      <c r="F57" s="154"/>
      <c r="G57" s="302"/>
      <c r="H57" s="302"/>
      <c r="I57" s="154"/>
      <c r="J57" s="302"/>
      <c r="K57" s="302"/>
      <c r="L57" s="154"/>
      <c r="M57" s="307" t="s">
        <v>809</v>
      </c>
      <c r="N57" s="307"/>
      <c r="O57" s="303"/>
      <c r="P57" s="152"/>
      <c r="Q57" s="152"/>
      <c r="R57" s="303"/>
      <c r="S57" s="303"/>
      <c r="T57" s="303"/>
      <c r="U57" s="303"/>
      <c r="V57" s="303"/>
      <c r="W57" s="303"/>
      <c r="X57" s="303"/>
      <c r="Y57" s="303"/>
      <c r="Z57" s="303"/>
    </row>
    <row r="58" spans="1:26" ht="13.5" customHeight="1" thickTop="1">
      <c r="A58" s="1454"/>
      <c r="B58" s="2557" t="s">
        <v>2191</v>
      </c>
      <c r="C58" s="164"/>
      <c r="D58" s="638" t="s">
        <v>982</v>
      </c>
      <c r="E58" s="644"/>
      <c r="F58" s="164"/>
      <c r="G58" s="634" t="s">
        <v>1269</v>
      </c>
      <c r="H58" s="635"/>
      <c r="I58" s="164" t="s">
        <v>265</v>
      </c>
      <c r="J58" s="669" t="s">
        <v>1272</v>
      </c>
      <c r="K58" s="670"/>
      <c r="L58" s="164"/>
      <c r="M58" s="2565" t="s">
        <v>398</v>
      </c>
      <c r="N58" s="2566"/>
      <c r="O58" s="303"/>
      <c r="P58" s="152"/>
      <c r="Q58" s="152"/>
      <c r="R58" s="303"/>
      <c r="S58" s="303"/>
      <c r="T58" s="303"/>
      <c r="U58" s="303"/>
      <c r="V58" s="303"/>
      <c r="W58" s="303"/>
      <c r="X58" s="303"/>
      <c r="Y58" s="303"/>
      <c r="Z58" s="303"/>
    </row>
    <row r="59" spans="1:26" ht="13.5" customHeight="1" thickBot="1">
      <c r="A59" s="1455" t="s">
        <v>399</v>
      </c>
      <c r="B59" s="2558"/>
      <c r="C59" s="164"/>
      <c r="D59" s="1403" t="s">
        <v>1270</v>
      </c>
      <c r="E59" s="646"/>
      <c r="F59" s="164"/>
      <c r="G59" s="1404" t="s">
        <v>983</v>
      </c>
      <c r="H59" s="637"/>
      <c r="I59" s="164"/>
      <c r="J59" s="1405" t="s">
        <v>1271</v>
      </c>
      <c r="K59" s="1406"/>
      <c r="L59" s="164"/>
      <c r="M59" s="2567"/>
      <c r="N59" s="2568"/>
      <c r="O59" s="303"/>
      <c r="P59" s="152"/>
      <c r="Q59" s="152"/>
      <c r="R59" s="303"/>
      <c r="S59" s="303"/>
      <c r="T59" s="303"/>
      <c r="U59" s="303"/>
      <c r="V59" s="303"/>
      <c r="W59" s="303"/>
      <c r="X59" s="303"/>
      <c r="Y59" s="303"/>
      <c r="Z59" s="303"/>
    </row>
    <row r="60" spans="1:26" ht="30.75" customHeight="1" thickBot="1">
      <c r="A60" s="1913" t="str">
        <f>+A9</f>
        <v>Непопълнен ред в таблица 'Cash-deficit'!</v>
      </c>
      <c r="B60" s="2559"/>
      <c r="C60" s="154"/>
      <c r="D60" s="1458" t="str">
        <f>+D9</f>
        <v>Текуща година</v>
      </c>
      <c r="E60" s="1471" t="str">
        <f>+E9</f>
        <v>Предходна година (към 31 декември)</v>
      </c>
      <c r="F60" s="154"/>
      <c r="G60" s="1462" t="str">
        <f>+G9</f>
        <v>Текуща година</v>
      </c>
      <c r="H60" s="1471" t="str">
        <f>+H9</f>
        <v>Предходна година (към 31 декември)</v>
      </c>
      <c r="I60" s="154"/>
      <c r="J60" s="1462" t="str">
        <f>+J9</f>
        <v>Текуща година</v>
      </c>
      <c r="K60" s="1471" t="str">
        <f>+K9</f>
        <v>Предходна година (към 31 декември)</v>
      </c>
      <c r="L60" s="154"/>
      <c r="M60" s="1462" t="str">
        <f>+M9</f>
        <v>Текуща година</v>
      </c>
      <c r="N60" s="1471" t="str">
        <f>+N9</f>
        <v>Предходна година (към 31 декември)</v>
      </c>
      <c r="O60" s="303"/>
      <c r="P60" s="152"/>
      <c r="Q60" s="152"/>
      <c r="R60" s="303"/>
      <c r="S60" s="303"/>
      <c r="T60" s="303"/>
      <c r="U60" s="303"/>
      <c r="V60" s="303"/>
      <c r="W60" s="303"/>
      <c r="X60" s="303"/>
      <c r="Y60" s="303"/>
      <c r="Z60" s="303"/>
    </row>
    <row r="61" spans="1:26" ht="16.5" thickBot="1">
      <c r="A61" s="1456" t="s">
        <v>150</v>
      </c>
      <c r="B61" s="1457" t="s">
        <v>151</v>
      </c>
      <c r="C61" s="154"/>
      <c r="D61" s="1460">
        <f>+D10</f>
        <v>1</v>
      </c>
      <c r="E61" s="1461">
        <f>+E10</f>
        <v>2</v>
      </c>
      <c r="F61" s="154"/>
      <c r="G61" s="1460">
        <f>+G10</f>
        <v>3</v>
      </c>
      <c r="H61" s="1461">
        <f>+H10</f>
        <v>4</v>
      </c>
      <c r="I61" s="154"/>
      <c r="J61" s="1460">
        <f>+J10</f>
        <v>5</v>
      </c>
      <c r="K61" s="1461">
        <f>+K10</f>
        <v>6</v>
      </c>
      <c r="L61" s="154"/>
      <c r="M61" s="1460">
        <f>+M10</f>
        <v>7</v>
      </c>
      <c r="N61" s="1461">
        <f>+N10</f>
        <v>8</v>
      </c>
      <c r="O61" s="303"/>
      <c r="P61" s="152"/>
      <c r="Q61" s="1903" t="s">
        <v>1880</v>
      </c>
      <c r="R61" s="303"/>
      <c r="S61" s="303"/>
      <c r="T61" s="303"/>
      <c r="U61" s="303"/>
      <c r="V61" s="303"/>
      <c r="W61" s="303"/>
      <c r="X61" s="303"/>
      <c r="Y61" s="303"/>
      <c r="Z61" s="303"/>
    </row>
    <row r="62" spans="1:26" ht="15.75">
      <c r="A62" s="183" t="s">
        <v>366</v>
      </c>
      <c r="B62" s="184"/>
      <c r="C62" s="154"/>
      <c r="D62" s="647"/>
      <c r="E62" s="322"/>
      <c r="F62" s="154"/>
      <c r="G62" s="647"/>
      <c r="H62" s="322"/>
      <c r="I62" s="154"/>
      <c r="J62" s="647"/>
      <c r="K62" s="322"/>
      <c r="L62" s="154"/>
      <c r="M62" s="647"/>
      <c r="N62" s="322"/>
      <c r="O62" s="303"/>
      <c r="P62" s="1377" t="s">
        <v>1876</v>
      </c>
      <c r="Q62" s="1906" t="str">
        <f>+Q36</f>
        <v>'Municipal-Bal'</v>
      </c>
      <c r="R62" s="303"/>
      <c r="S62" s="303"/>
      <c r="T62" s="303"/>
      <c r="U62" s="303"/>
      <c r="V62" s="303"/>
      <c r="W62" s="303"/>
      <c r="X62" s="303"/>
      <c r="Y62" s="303"/>
      <c r="Z62" s="303"/>
    </row>
    <row r="63" spans="1:26" ht="15.75">
      <c r="A63" s="338" t="s">
        <v>418</v>
      </c>
      <c r="B63" s="339">
        <v>401</v>
      </c>
      <c r="C63" s="154"/>
      <c r="D63" s="671">
        <f>+'BALANCE-SHEET-2020-leva'!D63/1000+IF(+Rounding!$C$54=$B63,+Rounding!D$54,0)+IF(+Rounding!$C$55=$B63,+Rounding!D$55,0)</f>
        <v>115.35183000000001</v>
      </c>
      <c r="E63" s="672">
        <f>+'BALANCE-SHEET-2020-leva'!E63/1000+IF(+Rounding!$C$54=$B63,+Rounding!E$54,0)+IF(+Rounding!$C$55=$B63,+Rounding!E$55,0)</f>
        <v>115.35183000000001</v>
      </c>
      <c r="F63" s="154"/>
      <c r="G63" s="659">
        <f>+'BALANCE-SHEET-2020-leva'!G63/1000+IF(+Rounding!$G$54=$B63,+Rounding!H$54,0)+IF(+Rounding!$G$55=$B63,+Rounding!H$55,0)</f>
        <v>0</v>
      </c>
      <c r="H63" s="660">
        <f>+'BALANCE-SHEET-2020-leva'!H63/1000+IF(+Rounding!$G$54=$B63,+Rounding!I$54,0)+IF(+Rounding!$G$55=$B63,+Rounding!I$55,0)</f>
        <v>0</v>
      </c>
      <c r="I63" s="154"/>
      <c r="J63" s="659">
        <f>+'BALANCE-SHEET-2020-leva'!J63/1000+IF(+Rounding!$K$54=$B63,+Rounding!L$54,0)+IF(+Rounding!$K$55=$B63,+Rounding!L$55,0)</f>
        <v>0</v>
      </c>
      <c r="K63" s="660">
        <f>+'BALANCE-SHEET-2020-leva'!K63/1000+IF(+Rounding!$K$54=$B63,+Rounding!M$54,0)+IF(+Rounding!$K$55=$B63,+Rounding!M$55,0)</f>
        <v>0</v>
      </c>
      <c r="L63" s="154"/>
      <c r="M63" s="659">
        <f>+D63+G63+J63+IF(+Rounding!$O$54=$B63,+Rounding!P$54,0)+IF(+Rounding!$O$55=$B63,+Rounding!P$55,0)</f>
        <v>115.35183000000001</v>
      </c>
      <c r="N63" s="660">
        <f>+E63+H63+K63+IF(+Rounding!$O$54=$B63,+Rounding!Q$54,0)+IF(+Rounding!$O$55=$B63,+Rounding!Q$55,0)</f>
        <v>115.35183000000001</v>
      </c>
      <c r="O63" s="303"/>
      <c r="P63" s="1442" t="s">
        <v>1281</v>
      </c>
      <c r="Q63" s="1443"/>
      <c r="R63" s="303"/>
      <c r="S63" s="303"/>
      <c r="T63" s="303"/>
      <c r="U63" s="303"/>
      <c r="V63" s="303"/>
      <c r="W63" s="303"/>
      <c r="X63" s="303"/>
      <c r="Y63" s="303"/>
      <c r="Z63" s="303"/>
    </row>
    <row r="64" spans="1:26" ht="15.75">
      <c r="A64" s="334" t="s">
        <v>1135</v>
      </c>
      <c r="B64" s="340">
        <v>402</v>
      </c>
      <c r="C64" s="154"/>
      <c r="D64" s="659">
        <f>+'BALANCE-SHEET-2020-leva'!D64/1000+IF(+Rounding!$C$54=$B64,+Rounding!D$54,0)+IF(+Rounding!$C$55=$B64,+Rounding!D$55,0)</f>
        <v>167.07437999999999</v>
      </c>
      <c r="E64" s="660">
        <f>+'BALANCE-SHEET-2020-leva'!E64/1000+IF(+Rounding!$C$54=$B64,+Rounding!E$54,0)+IF(+Rounding!$C$55=$B64,+Rounding!E$55,0)</f>
        <v>278.65179000000001</v>
      </c>
      <c r="F64" s="154"/>
      <c r="G64" s="659">
        <f>+'BALANCE-SHEET-2020-leva'!G64/1000+IF(+Rounding!$G$54=$B64,+Rounding!H$54,0)+IF(+Rounding!$G$55=$B64,+Rounding!H$55,0)</f>
        <v>0</v>
      </c>
      <c r="H64" s="660">
        <f>+'BALANCE-SHEET-2020-leva'!H64/1000+IF(+Rounding!$G$54=$B64,+Rounding!I$54,0)+IF(+Rounding!$G$55=$B64,+Rounding!I$55,0)</f>
        <v>0</v>
      </c>
      <c r="I64" s="154"/>
      <c r="J64" s="659">
        <f>+'BALANCE-SHEET-2020-leva'!J64/1000+IF(+Rounding!$K$54=$B64,+Rounding!L$54,0)+IF(+Rounding!$K$55=$B64,+Rounding!L$55,0)</f>
        <v>2.2116500000000001</v>
      </c>
      <c r="K64" s="660">
        <f>+'BALANCE-SHEET-2020-leva'!K64/1000+IF(+Rounding!$K$54=$B64,+Rounding!M$54,0)+IF(+Rounding!$K$55=$B64,+Rounding!M$55,0)</f>
        <v>1.5891999999999999</v>
      </c>
      <c r="L64" s="154"/>
      <c r="M64" s="659">
        <f>+D64+G64+J64+IF(+Rounding!$O$54=$B64,+Rounding!P$54,0)+IF(+Rounding!$O$55=$B64,+Rounding!P$55,0)+P$64</f>
        <v>169.28602999999998</v>
      </c>
      <c r="N64" s="660">
        <f>+E64+H64+K64+IF(+Rounding!$O$54=$B64,+Rounding!Q$54,0)+IF(+Rounding!$O$55=$B64,+Rounding!Q$55,0)+Q$64</f>
        <v>280.24099000000001</v>
      </c>
      <c r="O64" s="303"/>
      <c r="P64" s="1221">
        <f>+'BALANCE-SHEET-2020-leva'!P64/1000</f>
        <v>0</v>
      </c>
      <c r="Q64" s="1222">
        <f>+'BALANCE-SHEET-2020-leva'!Q64/1000</f>
        <v>0</v>
      </c>
      <c r="R64" s="303"/>
      <c r="S64" s="303"/>
      <c r="T64" s="303"/>
      <c r="U64" s="303"/>
      <c r="V64" s="303"/>
      <c r="W64" s="303"/>
      <c r="X64" s="303"/>
      <c r="Y64" s="303"/>
      <c r="Z64" s="303"/>
    </row>
    <row r="65" spans="1:26" ht="15.75">
      <c r="A65" s="336" t="s">
        <v>1136</v>
      </c>
      <c r="B65" s="341">
        <v>403</v>
      </c>
      <c r="C65" s="154"/>
      <c r="D65" s="661">
        <f>+'BALANCE-SHEET-2020-leva'!D65/1000+IF(+Rounding!$C$54=$B65,+Rounding!D$54,0)+IF(+Rounding!$C$55=$B65,+Rounding!D$55,0)</f>
        <v>143.31268</v>
      </c>
      <c r="E65" s="662">
        <f>+'BALANCE-SHEET-2020-leva'!E65/1000+IF(+Rounding!$C$54=$B65,+Rounding!E$54,0)+IF(+Rounding!$C$55=$B65,+Rounding!E$55,0)</f>
        <v>-111.57741</v>
      </c>
      <c r="F65" s="154"/>
      <c r="G65" s="661">
        <f>+'BALANCE-SHEET-2020-leva'!G65/1000+IF(+Rounding!$G$54=$B65,+Rounding!H$54,0)+IF(+Rounding!$G$55=$B65,+Rounding!H$55,0)</f>
        <v>0</v>
      </c>
      <c r="H65" s="662">
        <f>+'BALANCE-SHEET-2020-leva'!H65/1000+IF(+Rounding!$G$54=$B65,+Rounding!I$54,0)+IF(+Rounding!$G$55=$B65,+Rounding!I$55,0)</f>
        <v>0</v>
      </c>
      <c r="I65" s="154"/>
      <c r="J65" s="661">
        <f>+'BALANCE-SHEET-2020-leva'!J65/1000+IF(+Rounding!$K$54=$B65,+Rounding!L$54,0)+IF(+Rounding!$K$55=$B65,+Rounding!L$55,0)</f>
        <v>0</v>
      </c>
      <c r="K65" s="662">
        <f>+'BALANCE-SHEET-2020-leva'!K65/1000+IF(+Rounding!$K$54=$B65,+Rounding!M$54,0)+IF(+Rounding!$K$55=$B65,+Rounding!M$55,0)</f>
        <v>0.62245000000000006</v>
      </c>
      <c r="L65" s="154"/>
      <c r="M65" s="661">
        <f>+D65+G65+J65+IF(+Rounding!$O$54=$B65,+Rounding!P$54,0)+IF(+Rounding!$O$55=$B65,+Rounding!P$55,0)+P$65</f>
        <v>143.31268</v>
      </c>
      <c r="N65" s="662">
        <f>+E65+H65+K65+IF(+Rounding!$O$54=$B65,+Rounding!Q$54,0)+IF(+Rounding!$O$55=$B65,+Rounding!Q$55,0)+Q$65</f>
        <v>-110.95496</v>
      </c>
      <c r="O65" s="303"/>
      <c r="P65" s="1221">
        <f>+'BALANCE-SHEET-2020-leva'!P65/1000</f>
        <v>0</v>
      </c>
      <c r="Q65" s="1222">
        <f>+'BALANCE-SHEET-2020-leva'!Q65/1000</f>
        <v>0</v>
      </c>
      <c r="R65" s="303"/>
      <c r="S65" s="303"/>
      <c r="T65" s="303"/>
      <c r="U65" s="303"/>
      <c r="V65" s="303"/>
      <c r="W65" s="303"/>
      <c r="X65" s="303"/>
      <c r="Y65" s="303"/>
      <c r="Z65" s="303"/>
    </row>
    <row r="66" spans="1:26" ht="19.5" thickBot="1">
      <c r="A66" s="717" t="s">
        <v>1029</v>
      </c>
      <c r="B66" s="720">
        <v>400</v>
      </c>
      <c r="C66" s="154"/>
      <c r="D66" s="677">
        <f>+D63+D64+D65</f>
        <v>425.73888999999997</v>
      </c>
      <c r="E66" s="678">
        <f>+E63+E64+E65</f>
        <v>282.42621000000003</v>
      </c>
      <c r="F66" s="154"/>
      <c r="G66" s="677">
        <f>+G63+G64+G65</f>
        <v>0</v>
      </c>
      <c r="H66" s="678">
        <f>+H63+H64+H65</f>
        <v>0</v>
      </c>
      <c r="I66" s="154"/>
      <c r="J66" s="677">
        <f>+J63+J64+J65</f>
        <v>2.2116500000000001</v>
      </c>
      <c r="K66" s="678">
        <f>+K63+K64+K65</f>
        <v>2.2116500000000001</v>
      </c>
      <c r="L66" s="154"/>
      <c r="M66" s="677">
        <f>+M63+M64+M65</f>
        <v>427.95053999999999</v>
      </c>
      <c r="N66" s="678">
        <f>+N63+N64+N65</f>
        <v>284.63786000000005</v>
      </c>
      <c r="O66" s="303"/>
      <c r="P66" s="2562" t="str">
        <f>+'BALANCE-SHEET-2020-leva'!P66:Q66</f>
        <v>O K</v>
      </c>
      <c r="Q66" s="2562"/>
      <c r="R66" s="303"/>
      <c r="S66" s="303"/>
      <c r="T66" s="303"/>
      <c r="U66" s="303"/>
      <c r="V66" s="303"/>
      <c r="W66" s="303"/>
      <c r="X66" s="303"/>
      <c r="Y66" s="303"/>
      <c r="Z66" s="303"/>
    </row>
    <row r="67" spans="1:26" ht="15.75">
      <c r="A67" s="250" t="s">
        <v>2190</v>
      </c>
      <c r="B67" s="185"/>
      <c r="C67" s="154"/>
      <c r="D67" s="616"/>
      <c r="E67" s="617"/>
      <c r="F67" s="154"/>
      <c r="G67" s="616"/>
      <c r="H67" s="617"/>
      <c r="I67" s="154"/>
      <c r="J67" s="616"/>
      <c r="K67" s="617"/>
      <c r="L67" s="154"/>
      <c r="M67" s="616"/>
      <c r="N67" s="617"/>
      <c r="O67" s="303"/>
      <c r="P67" s="2563" t="str">
        <f>+'BALANCE-SHEET-2020-leva'!P67:Q67</f>
        <v>O K</v>
      </c>
      <c r="Q67" s="2563"/>
      <c r="R67" s="303"/>
      <c r="S67" s="303"/>
      <c r="T67" s="303"/>
      <c r="U67" s="303"/>
      <c r="V67" s="303"/>
      <c r="W67" s="303"/>
      <c r="X67" s="303"/>
      <c r="Y67" s="303"/>
      <c r="Z67" s="303"/>
    </row>
    <row r="68" spans="1:26" ht="15.75">
      <c r="A68" s="183" t="s">
        <v>419</v>
      </c>
      <c r="B68" s="184"/>
      <c r="C68" s="154"/>
      <c r="D68" s="255" t="str">
        <f>+IF(+OR(D69&lt;0,D70&lt;0,D71&lt;0),"НЕРАВНЕНИЕ !"," ")</f>
        <v xml:space="preserve"> </v>
      </c>
      <c r="E68" s="322" t="str">
        <f>+IF(+OR(E69&lt;0,E70&lt;0,E71&lt;0),"НЕРАВНЕНИЕ !"," ")</f>
        <v xml:space="preserve"> </v>
      </c>
      <c r="F68" s="154"/>
      <c r="G68" s="255" t="str">
        <f>+IF(+OR(G69&lt;0,G70&lt;0,G71&lt;0),"НЕРАВНЕНИЕ !"," ")</f>
        <v xml:space="preserve"> </v>
      </c>
      <c r="H68" s="322" t="str">
        <f>+IF(+OR(H69&lt;0,H70&lt;0,H71&lt;0),"НЕРАВНЕНИЕ !"," ")</f>
        <v xml:space="preserve"> </v>
      </c>
      <c r="I68" s="154"/>
      <c r="J68" s="255" t="str">
        <f>+IF(+OR(J69&lt;0,J70&lt;0,J71&lt;0),"НЕРАВНЕНИЕ !"," ")</f>
        <v xml:space="preserve"> </v>
      </c>
      <c r="K68" s="322" t="str">
        <f>+IF(+OR(K69&lt;0,K70&lt;0,K71&lt;0),"НЕРАВНЕНИЕ !"," ")</f>
        <v xml:space="preserve"> </v>
      </c>
      <c r="L68" s="154"/>
      <c r="M68" s="255" t="str">
        <f>+IF(+OR(M69&lt;0,M70&lt;0,M71&lt;0),"НЕРАВНЕНИЕ !"," ")</f>
        <v xml:space="preserve"> </v>
      </c>
      <c r="N68" s="322" t="str">
        <f>+IF(+OR(N69&lt;0,N70&lt;0,N71&lt;0),"НЕРАВНЕНИЕ !"," ")</f>
        <v xml:space="preserve"> </v>
      </c>
      <c r="O68" s="303"/>
      <c r="P68" s="152"/>
      <c r="Q68" s="152"/>
      <c r="R68" s="303"/>
      <c r="S68" s="303"/>
      <c r="T68" s="303"/>
      <c r="U68" s="303"/>
      <c r="V68" s="303"/>
      <c r="W68" s="303"/>
      <c r="X68" s="303"/>
      <c r="Y68" s="303"/>
      <c r="Z68" s="303"/>
    </row>
    <row r="69" spans="1:26" ht="15.75">
      <c r="A69" s="334" t="s">
        <v>367</v>
      </c>
      <c r="B69" s="340">
        <v>511</v>
      </c>
      <c r="C69" s="154"/>
      <c r="D69" s="659">
        <f>+'BALANCE-SHEET-2020-leva'!D69/1000+IF(+Rounding!$C$54=$B69,+Rounding!D$54,0)+IF(+Rounding!$C$55=$B69,+Rounding!D$55,0)</f>
        <v>0</v>
      </c>
      <c r="E69" s="660">
        <f>+'BALANCE-SHEET-2020-leva'!E69/1000+IF(+Rounding!$C$54=$B69,+Rounding!E$54,0)+IF(+Rounding!$C$55=$B69,+Rounding!E$55,0)</f>
        <v>0</v>
      </c>
      <c r="F69" s="154"/>
      <c r="G69" s="659">
        <f>+'BALANCE-SHEET-2020-leva'!G69/1000+IF(+Rounding!$G$54=$B69,+Rounding!H$54,0)+IF(+Rounding!$G$55=$B69,+Rounding!H$55,0)</f>
        <v>0</v>
      </c>
      <c r="H69" s="660">
        <f>+'BALANCE-SHEET-2020-leva'!H69/1000+IF(+Rounding!$G$54=$B69,+Rounding!I$54,0)+IF(+Rounding!$G$55=$B69,+Rounding!I$55,0)</f>
        <v>0</v>
      </c>
      <c r="I69" s="154"/>
      <c r="J69" s="659">
        <f>+'BALANCE-SHEET-2020-leva'!J69/1000+IF(+Rounding!$K$54=$B69,+Rounding!L$54,0)+IF(+Rounding!$K$55=$B69,+Rounding!L$55,0)</f>
        <v>0</v>
      </c>
      <c r="K69" s="660">
        <f>+'BALANCE-SHEET-2020-leva'!K69/1000+IF(+Rounding!$K$54=$B69,+Rounding!M$54,0)+IF(+Rounding!$K$55=$B69,+Rounding!M$55,0)</f>
        <v>0</v>
      </c>
      <c r="L69" s="154"/>
      <c r="M69" s="659">
        <f>+D69+G69+J69+IF(+Rounding!$O$54=$B69,+Rounding!P$54,0)+IF(+Rounding!$O$55=$B69,+Rounding!P$55,0)</f>
        <v>0</v>
      </c>
      <c r="N69" s="660">
        <f>+E69+H69+K69+IF(+Rounding!$O$54=$B69,+Rounding!Q$54,0)+IF(+Rounding!$O$55=$B69,+Rounding!Q$55,0)</f>
        <v>0</v>
      </c>
      <c r="O69" s="303"/>
      <c r="P69" s="152"/>
      <c r="Q69" s="152"/>
      <c r="R69" s="303"/>
      <c r="S69" s="303"/>
      <c r="T69" s="303"/>
      <c r="U69" s="303"/>
      <c r="V69" s="303"/>
      <c r="W69" s="303"/>
      <c r="X69" s="303"/>
      <c r="Y69" s="303"/>
      <c r="Z69" s="303"/>
    </row>
    <row r="70" spans="1:26" ht="15.75">
      <c r="A70" s="334" t="s">
        <v>420</v>
      </c>
      <c r="B70" s="340">
        <v>512</v>
      </c>
      <c r="C70" s="154"/>
      <c r="D70" s="659">
        <f>+'BALANCE-SHEET-2020-leva'!D70/1000+IF(+Rounding!$C$54=$B70,+Rounding!D$54,0)+IF(+Rounding!$C$55=$B70,+Rounding!D$55,0)</f>
        <v>0</v>
      </c>
      <c r="E70" s="660">
        <f>+'BALANCE-SHEET-2020-leva'!E70/1000+IF(+Rounding!$C$54=$B70,+Rounding!E$54,0)+IF(+Rounding!$C$55=$B70,+Rounding!E$55,0)</f>
        <v>0</v>
      </c>
      <c r="F70" s="154"/>
      <c r="G70" s="659">
        <f>+'BALANCE-SHEET-2020-leva'!G70/1000+IF(+Rounding!$G$54=$B70,+Rounding!H$54,0)+IF(+Rounding!$G$55=$B70,+Rounding!H$55,0)</f>
        <v>0</v>
      </c>
      <c r="H70" s="660">
        <f>+'BALANCE-SHEET-2020-leva'!H70/1000+IF(+Rounding!$G$54=$B70,+Rounding!I$54,0)+IF(+Rounding!$G$55=$B70,+Rounding!I$55,0)</f>
        <v>0</v>
      </c>
      <c r="I70" s="154"/>
      <c r="J70" s="659">
        <f>+'BALANCE-SHEET-2020-leva'!J70/1000+IF(+Rounding!$K$54=$B70,+Rounding!L$54,0)+IF(+Rounding!$K$55=$B70,+Rounding!L$55,0)</f>
        <v>0</v>
      </c>
      <c r="K70" s="660">
        <f>+'BALANCE-SHEET-2020-leva'!K70/1000+IF(+Rounding!$K$54=$B70,+Rounding!M$54,0)+IF(+Rounding!$K$55=$B70,+Rounding!M$55,0)</f>
        <v>0</v>
      </c>
      <c r="L70" s="154"/>
      <c r="M70" s="659">
        <f>+D70+G70+J70+IF(+Rounding!$O$54=$B70,+Rounding!P$54,0)+IF(+Rounding!$O$55=$B70,+Rounding!P$55,0)</f>
        <v>0</v>
      </c>
      <c r="N70" s="660">
        <f>+E70+H70+K70+IF(+Rounding!$O$54=$B70,+Rounding!Q$54,0)+IF(+Rounding!$O$55=$B70,+Rounding!Q$55,0)</f>
        <v>0</v>
      </c>
      <c r="O70" s="303"/>
      <c r="P70" s="152"/>
      <c r="Q70" s="152"/>
      <c r="R70" s="303"/>
      <c r="S70" s="303"/>
      <c r="T70" s="303"/>
      <c r="U70" s="303"/>
      <c r="V70" s="303"/>
      <c r="W70" s="303"/>
      <c r="X70" s="303"/>
      <c r="Y70" s="303"/>
      <c r="Z70" s="303"/>
    </row>
    <row r="71" spans="1:26" ht="15.75">
      <c r="A71" s="336" t="s">
        <v>2196</v>
      </c>
      <c r="B71" s="341">
        <v>513</v>
      </c>
      <c r="C71" s="154"/>
      <c r="D71" s="661">
        <f>+'BALANCE-SHEET-2020-leva'!D71/1000+IF(+Rounding!$C$54=$B71,+Rounding!D$54,0)+IF(+Rounding!$C$55=$B71,+Rounding!D$55,0)</f>
        <v>0</v>
      </c>
      <c r="E71" s="662">
        <f>+'BALANCE-SHEET-2020-leva'!E71/1000+IF(+Rounding!$C$54=$B71,+Rounding!E$54,0)+IF(+Rounding!$C$55=$B71,+Rounding!E$55,0)</f>
        <v>0</v>
      </c>
      <c r="F71" s="154"/>
      <c r="G71" s="661">
        <f>+'BALANCE-SHEET-2020-leva'!G71/1000+IF(+Rounding!$G$54=$B71,+Rounding!H$54,0)+IF(+Rounding!$G$55=$B71,+Rounding!H$55,0)</f>
        <v>0</v>
      </c>
      <c r="H71" s="662">
        <f>+'BALANCE-SHEET-2020-leva'!H71/1000+IF(+Rounding!$G$54=$B71,+Rounding!I$54,0)+IF(+Rounding!$G$55=$B71,+Rounding!I$55,0)</f>
        <v>0</v>
      </c>
      <c r="I71" s="154"/>
      <c r="J71" s="661">
        <f>+'BALANCE-SHEET-2020-leva'!J71/1000+IF(+Rounding!$K$54=$B71,+Rounding!L$54,0)+IF(+Rounding!$K$55=$B71,+Rounding!L$55,0)</f>
        <v>0</v>
      </c>
      <c r="K71" s="662">
        <f>+'BALANCE-SHEET-2020-leva'!K71/1000+IF(+Rounding!$K$54=$B71,+Rounding!M$54,0)+IF(+Rounding!$K$55=$B71,+Rounding!M$55,0)</f>
        <v>0</v>
      </c>
      <c r="L71" s="154"/>
      <c r="M71" s="661">
        <f>+D71+G71+J71+IF(+Rounding!$O$54=$B71,+Rounding!P$54,0)+IF(+Rounding!$O$55=$B71,+Rounding!P$55,0)</f>
        <v>0</v>
      </c>
      <c r="N71" s="662">
        <f>+E71+H71+K71+IF(+Rounding!$O$54=$B71,+Rounding!Q$54,0)+IF(+Rounding!$O$55=$B71,+Rounding!Q$55,0)</f>
        <v>0</v>
      </c>
      <c r="O71" s="303"/>
      <c r="P71" s="152"/>
      <c r="Q71" s="152"/>
      <c r="R71" s="303"/>
      <c r="S71" s="303"/>
      <c r="T71" s="303"/>
      <c r="U71" s="303"/>
      <c r="V71" s="303"/>
      <c r="W71" s="303"/>
      <c r="X71" s="303"/>
      <c r="Y71" s="303"/>
      <c r="Z71" s="303"/>
    </row>
    <row r="72" spans="1:26" ht="15.75">
      <c r="A72" s="177" t="s">
        <v>1025</v>
      </c>
      <c r="B72" s="186">
        <v>510</v>
      </c>
      <c r="C72" s="154"/>
      <c r="D72" s="663">
        <f>+D69+D70+D71</f>
        <v>0</v>
      </c>
      <c r="E72" s="664">
        <f>+E69+E70+E71</f>
        <v>0</v>
      </c>
      <c r="F72" s="154"/>
      <c r="G72" s="663">
        <f>+G69+G70+G71</f>
        <v>0</v>
      </c>
      <c r="H72" s="664">
        <f>+H69+H70+H71</f>
        <v>0</v>
      </c>
      <c r="I72" s="154"/>
      <c r="J72" s="663">
        <f>+J69+J70+J71</f>
        <v>0</v>
      </c>
      <c r="K72" s="664">
        <f>+K69+K70+K71</f>
        <v>0</v>
      </c>
      <c r="L72" s="154"/>
      <c r="M72" s="663">
        <f>+M69+M70+M71</f>
        <v>0</v>
      </c>
      <c r="N72" s="664">
        <f>+N69+N70+N71</f>
        <v>0</v>
      </c>
      <c r="O72" s="303"/>
      <c r="P72" s="152"/>
      <c r="Q72" s="152"/>
      <c r="R72" s="303"/>
      <c r="S72" s="303"/>
      <c r="T72" s="303"/>
      <c r="U72" s="303"/>
      <c r="V72" s="303"/>
      <c r="W72" s="303"/>
      <c r="X72" s="303"/>
      <c r="Y72" s="303"/>
      <c r="Z72" s="303"/>
    </row>
    <row r="73" spans="1:26" ht="15.75">
      <c r="A73" s="172" t="s">
        <v>421</v>
      </c>
      <c r="B73" s="187"/>
      <c r="C73" s="154"/>
      <c r="D73" s="255" t="str">
        <f>+IF(+OR(D74&lt;0,D75&lt;0,D76&lt;0,D77&lt;0,D78&lt;0,D79&lt;0,D80&lt;0,D81&lt;0,D82&lt;0),"НЕРАВНЕНИЕ !"," ")</f>
        <v xml:space="preserve"> </v>
      </c>
      <c r="E73" s="322" t="str">
        <f>+IF(+OR(E74&lt;0,E75&lt;0,E76&lt;0,E77&lt;0,E78&lt;0,E79&lt;0,E80&lt;0,E81&lt;0,E82&lt;0),"НЕРАВНЕНИЕ !"," ")</f>
        <v xml:space="preserve"> </v>
      </c>
      <c r="F73" s="154"/>
      <c r="G73" s="255" t="str">
        <f>+IF(+OR(G74&lt;0,G75&lt;0,G76&lt;0,G77&lt;0,G78&lt;0,G79&lt;0,G80&lt;0,G81&lt;0,G82&lt;0),"НЕРАВНЕНИЕ !"," ")</f>
        <v xml:space="preserve"> </v>
      </c>
      <c r="H73" s="322" t="str">
        <f>+IF(+OR(H74&lt;0,H75&lt;0,H76&lt;0,H77&lt;0,H78&lt;0,H79&lt;0,H80&lt;0,H81&lt;0,H82&lt;0),"НЕРАВНЕНИЕ !"," ")</f>
        <v xml:space="preserve"> </v>
      </c>
      <c r="I73" s="154"/>
      <c r="J73" s="255" t="str">
        <f>+IF(+OR(J74&lt;0,J75&lt;0,J76&lt;0,J77&lt;0,J78&lt;0,J79&lt;0,J80&lt;0,J81&lt;0,J82&lt;0),"НЕРАВНЕНИЕ !"," ")</f>
        <v xml:space="preserve"> </v>
      </c>
      <c r="K73" s="322" t="str">
        <f>+IF(+OR(K74&lt;0,K75&lt;0,K76&lt;0,K77&lt;0,K78&lt;0,K79&lt;0,K80&lt;0,K81&lt;0,K82&lt;0),"НЕРАВНЕНИЕ !"," ")</f>
        <v xml:space="preserve"> </v>
      </c>
      <c r="L73" s="154"/>
      <c r="M73" s="255" t="str">
        <f>+IF(+OR(M74&lt;0,M75&lt;0,M76&lt;0,M77&lt;0,M78&lt;0,M79&lt;0,M80&lt;0,M81&lt;0,M82&lt;0),"НЕРАВНЕНИЕ !"," ")</f>
        <v xml:space="preserve"> </v>
      </c>
      <c r="N73" s="322" t="str">
        <f>+IF(+OR(N74&lt;0,N75&lt;0,N76&lt;0,N77&lt;0,N78&lt;0,N79&lt;0,N80&lt;0,N81&lt;0,N82&lt;0),"НЕРАВНЕНИЕ !"," ")</f>
        <v xml:space="preserve"> </v>
      </c>
      <c r="O73" s="303"/>
      <c r="P73" s="152"/>
      <c r="Q73" s="1903" t="s">
        <v>1875</v>
      </c>
      <c r="R73" s="303"/>
      <c r="S73" s="303"/>
      <c r="T73" s="303"/>
      <c r="U73" s="303"/>
      <c r="V73" s="303"/>
      <c r="W73" s="303"/>
      <c r="X73" s="303"/>
      <c r="Y73" s="303"/>
      <c r="Z73" s="303"/>
    </row>
    <row r="74" spans="1:26" ht="15.75">
      <c r="A74" s="334" t="s">
        <v>368</v>
      </c>
      <c r="B74" s="340">
        <v>521</v>
      </c>
      <c r="C74" s="154"/>
      <c r="D74" s="659">
        <f>+'BALANCE-SHEET-2020-leva'!D74/1000+IF(+Rounding!$C$54=$B74,+Rounding!D$54,0)+IF(+Rounding!$C$55=$B74,+Rounding!D$55,0)</f>
        <v>0</v>
      </c>
      <c r="E74" s="660">
        <f>+'BALANCE-SHEET-2020-leva'!E74/1000+IF(+Rounding!$C$54=$B74,+Rounding!E$54,0)+IF(+Rounding!$C$55=$B74,+Rounding!E$55,0)</f>
        <v>0</v>
      </c>
      <c r="F74" s="154"/>
      <c r="G74" s="659">
        <f>+'BALANCE-SHEET-2020-leva'!G74/1000+IF(+Rounding!$G$54=$B74,+Rounding!H$54,0)+IF(+Rounding!$G$55=$B74,+Rounding!H$55,0)</f>
        <v>0</v>
      </c>
      <c r="H74" s="660">
        <f>+'BALANCE-SHEET-2020-leva'!H74/1000+IF(+Rounding!$G$54=$B74,+Rounding!I$54,0)+IF(+Rounding!$G$55=$B74,+Rounding!I$55,0)</f>
        <v>0</v>
      </c>
      <c r="I74" s="154"/>
      <c r="J74" s="659">
        <f>+'BALANCE-SHEET-2020-leva'!J74/1000+IF(+Rounding!$K$54=$B74,+Rounding!L$54,0)+IF(+Rounding!$K$55=$B74,+Rounding!L$55,0)</f>
        <v>0</v>
      </c>
      <c r="K74" s="660">
        <f>+'BALANCE-SHEET-2020-leva'!K74/1000+IF(+Rounding!$K$54=$B74,+Rounding!M$54,0)+IF(+Rounding!$K$55=$B74,+Rounding!M$55,0)</f>
        <v>0</v>
      </c>
      <c r="L74" s="154"/>
      <c r="M74" s="659">
        <f>+D74+G74+J74+IF(+Rounding!$O$54=$B74,+Rounding!P$54,0)+IF(+Rounding!$O$55=$B74,+Rounding!P$55,0)</f>
        <v>0</v>
      </c>
      <c r="N74" s="660">
        <f>+E74+H74+K74+IF(+Rounding!$O$54=$B74,+Rounding!Q$54,0)+IF(+Rounding!$O$55=$B74,+Rounding!Q$55,0)</f>
        <v>0</v>
      </c>
      <c r="O74" s="303"/>
      <c r="P74" s="1377" t="s">
        <v>1876</v>
      </c>
      <c r="Q74" s="1904" t="str">
        <f>+Q$35</f>
        <v xml:space="preserve">'Intra-Balances' </v>
      </c>
      <c r="R74" s="303"/>
      <c r="S74" s="303"/>
      <c r="T74" s="303"/>
      <c r="U74" s="303"/>
      <c r="V74" s="303"/>
      <c r="W74" s="303"/>
      <c r="X74" s="303"/>
      <c r="Y74" s="303"/>
      <c r="Z74" s="303"/>
    </row>
    <row r="75" spans="1:26" ht="15.75">
      <c r="A75" s="334" t="s">
        <v>422</v>
      </c>
      <c r="B75" s="340">
        <f t="shared" ref="B75:B82" si="0">1+B74</f>
        <v>522</v>
      </c>
      <c r="C75" s="154"/>
      <c r="D75" s="659">
        <f>+'BALANCE-SHEET-2020-leva'!D75/1000+IF(+Rounding!$C$54=$B75,+Rounding!D$54,0)+IF(+Rounding!$C$55=$B75,+Rounding!D$55,0)</f>
        <v>0.24659</v>
      </c>
      <c r="E75" s="660">
        <f>+'BALANCE-SHEET-2020-leva'!E75/1000+IF(+Rounding!$C$54=$B75,+Rounding!E$54,0)+IF(+Rounding!$C$55=$B75,+Rounding!E$55,0)</f>
        <v>7.3169499999999994</v>
      </c>
      <c r="F75" s="154"/>
      <c r="G75" s="659">
        <f>+'BALANCE-SHEET-2020-leva'!G75/1000+IF(+Rounding!$G$54=$B75,+Rounding!H$54,0)+IF(+Rounding!$G$55=$B75,+Rounding!H$55,0)</f>
        <v>0</v>
      </c>
      <c r="H75" s="660">
        <f>+'BALANCE-SHEET-2020-leva'!H75/1000+IF(+Rounding!$G$54=$B75,+Rounding!I$54,0)+IF(+Rounding!$G$55=$B75,+Rounding!I$55,0)</f>
        <v>0</v>
      </c>
      <c r="I75" s="154"/>
      <c r="J75" s="659">
        <f>+'BALANCE-SHEET-2020-leva'!J75/1000+IF(+Rounding!$K$54=$B75,+Rounding!L$54,0)+IF(+Rounding!$K$55=$B75,+Rounding!L$55,0)</f>
        <v>0</v>
      </c>
      <c r="K75" s="660">
        <f>+'BALANCE-SHEET-2020-leva'!K75/1000+IF(+Rounding!$K$54=$B75,+Rounding!M$54,0)+IF(+Rounding!$K$55=$B75,+Rounding!M$55,0)</f>
        <v>0</v>
      </c>
      <c r="L75" s="154"/>
      <c r="M75" s="659">
        <f>+D75+G75+J75+IF(+Rounding!$O$54=$B75,+Rounding!P$54,0)+IF(+Rounding!$O$55=$B75,+Rounding!P$55,0)</f>
        <v>0.24659</v>
      </c>
      <c r="N75" s="660">
        <f>+E75+H75+K75+IF(+Rounding!$O$54=$B75,+Rounding!Q$54,0)+IF(+Rounding!$O$55=$B75,+Rounding!Q$55,0)</f>
        <v>7.3169499999999994</v>
      </c>
      <c r="O75" s="303"/>
      <c r="P75" s="1378" t="s">
        <v>1877</v>
      </c>
      <c r="Q75" s="1905" t="str">
        <f>+Q$36</f>
        <v>'Municipal-Bal'</v>
      </c>
      <c r="R75" s="303"/>
      <c r="S75" s="303"/>
      <c r="T75" s="303"/>
      <c r="U75" s="303"/>
      <c r="V75" s="303"/>
      <c r="W75" s="303"/>
      <c r="X75" s="303"/>
      <c r="Y75" s="303"/>
      <c r="Z75" s="303"/>
    </row>
    <row r="76" spans="1:26" ht="15.75">
      <c r="A76" s="334" t="s">
        <v>423</v>
      </c>
      <c r="B76" s="340">
        <f t="shared" si="0"/>
        <v>523</v>
      </c>
      <c r="C76" s="154"/>
      <c r="D76" s="659">
        <f>+'BALANCE-SHEET-2020-leva'!D76/1000+IF(+Rounding!$C$54=$B76,+Rounding!D$54,0)+IF(+Rounding!$C$55=$B76,+Rounding!D$55,0)</f>
        <v>0</v>
      </c>
      <c r="E76" s="660">
        <f>+'BALANCE-SHEET-2020-leva'!E76/1000+IF(+Rounding!$C$54=$B76,+Rounding!E$54,0)+IF(+Rounding!$C$55=$B76,+Rounding!E$55,0)</f>
        <v>0</v>
      </c>
      <c r="F76" s="154"/>
      <c r="G76" s="659">
        <f>+'BALANCE-SHEET-2020-leva'!G76/1000+IF(+Rounding!$G$54=$B76,+Rounding!H$54,0)+IF(+Rounding!$G$55=$B76,+Rounding!H$55,0)</f>
        <v>0</v>
      </c>
      <c r="H76" s="660">
        <f>+'BALANCE-SHEET-2020-leva'!H76/1000+IF(+Rounding!$G$54=$B76,+Rounding!I$54,0)+IF(+Rounding!$G$55=$B76,+Rounding!I$55,0)</f>
        <v>0</v>
      </c>
      <c r="I76" s="154"/>
      <c r="J76" s="659">
        <f>+'BALANCE-SHEET-2020-leva'!J76/1000+IF(+Rounding!$K$54=$B76,+Rounding!L$54,0)+IF(+Rounding!$K$55=$B76,+Rounding!L$55,0)</f>
        <v>0</v>
      </c>
      <c r="K76" s="660">
        <f>+'BALANCE-SHEET-2020-leva'!K76/1000+IF(+Rounding!$K$54=$B76,+Rounding!M$54,0)+IF(+Rounding!$K$55=$B76,+Rounding!M$55,0)</f>
        <v>0</v>
      </c>
      <c r="L76" s="154"/>
      <c r="M76" s="659">
        <f>+D76+G76+J76+IF(+Rounding!$O$54=$B76,+Rounding!P$54,0)+IF(+Rounding!$O$55=$B76,+Rounding!P$55,0)</f>
        <v>0</v>
      </c>
      <c r="N76" s="660">
        <f>+E76+H76+K76+IF(+Rounding!$O$54=$B76,+Rounding!Q$54,0)+IF(+Rounding!$O$55=$B76,+Rounding!Q$55,0)</f>
        <v>0</v>
      </c>
      <c r="O76" s="303"/>
      <c r="P76" s="1245" t="s">
        <v>1254</v>
      </c>
      <c r="Q76" s="1213" t="s">
        <v>1255</v>
      </c>
      <c r="R76" s="303"/>
      <c r="S76" s="303"/>
      <c r="T76" s="303"/>
      <c r="U76" s="303"/>
      <c r="V76" s="303"/>
      <c r="W76" s="303"/>
      <c r="X76" s="303"/>
      <c r="Y76" s="303"/>
      <c r="Z76" s="303"/>
    </row>
    <row r="77" spans="1:26" ht="15.75">
      <c r="A77" s="334" t="s">
        <v>369</v>
      </c>
      <c r="B77" s="340">
        <f t="shared" si="0"/>
        <v>524</v>
      </c>
      <c r="C77" s="154"/>
      <c r="D77" s="659">
        <f>+'BALANCE-SHEET-2020-leva'!D77/1000+IF(+Rounding!$C$54=$B77,+Rounding!D$54,0)+IF(+Rounding!$C$55=$B77,+Rounding!D$55,0)</f>
        <v>0</v>
      </c>
      <c r="E77" s="660">
        <f>+'BALANCE-SHEET-2020-leva'!E77/1000+IF(+Rounding!$C$54=$B77,+Rounding!E$54,0)+IF(+Rounding!$C$55=$B77,+Rounding!E$55,0)</f>
        <v>0</v>
      </c>
      <c r="F77" s="154"/>
      <c r="G77" s="659">
        <f>+'BALANCE-SHEET-2020-leva'!G77/1000+IF(+Rounding!$G$54=$B77,+Rounding!H$54,0)+IF(+Rounding!$G$55=$B77,+Rounding!H$55,0)</f>
        <v>0</v>
      </c>
      <c r="H77" s="660">
        <f>+'BALANCE-SHEET-2020-leva'!H77/1000+IF(+Rounding!$G$54=$B77,+Rounding!I$54,0)+IF(+Rounding!$G$55=$B77,+Rounding!I$55,0)</f>
        <v>0</v>
      </c>
      <c r="I77" s="154"/>
      <c r="J77" s="659">
        <f>+'BALANCE-SHEET-2020-leva'!J77/1000+IF(+Rounding!$K$54=$B77,+Rounding!L$54,0)+IF(+Rounding!$K$55=$B77,+Rounding!L$55,0)</f>
        <v>0</v>
      </c>
      <c r="K77" s="660">
        <f>+'BALANCE-SHEET-2020-leva'!K77/1000+IF(+Rounding!$K$54=$B77,+Rounding!M$54,0)+IF(+Rounding!$K$55=$B77,+Rounding!M$55,0)</f>
        <v>0</v>
      </c>
      <c r="L77" s="154"/>
      <c r="M77" s="659">
        <f>+D77+G77+J77+IF(+Rounding!$O$54=$B77,+Rounding!P$54,0)+IF(+Rounding!$O$55=$B77,+Rounding!P$55,0)</f>
        <v>0</v>
      </c>
      <c r="N77" s="660">
        <f>+E77+H77+K77+IF(+Rounding!$O$54=$B77,+Rounding!Q$54,0)+IF(+Rounding!$O$55=$B77,+Rounding!Q$55,0)</f>
        <v>0</v>
      </c>
      <c r="O77" s="303"/>
      <c r="P77" s="1214" t="s">
        <v>1196</v>
      </c>
      <c r="Q77" s="1215" t="s">
        <v>1964</v>
      </c>
      <c r="R77" s="303"/>
      <c r="S77" s="303"/>
      <c r="T77" s="303"/>
      <c r="U77" s="303"/>
      <c r="V77" s="303"/>
      <c r="W77" s="303"/>
      <c r="X77" s="303"/>
      <c r="Y77" s="303"/>
      <c r="Z77" s="303"/>
    </row>
    <row r="78" spans="1:26" ht="15.75">
      <c r="A78" s="334" t="s">
        <v>424</v>
      </c>
      <c r="B78" s="340">
        <f t="shared" si="0"/>
        <v>525</v>
      </c>
      <c r="C78" s="154"/>
      <c r="D78" s="673">
        <f>+'BALANCE-SHEET-2020-leva'!D78/1000+IF(+Rounding!$C$54=$B78,+Rounding!D$54,0)+IF(+Rounding!$C$55=$B78,+Rounding!D$55,0)</f>
        <v>0</v>
      </c>
      <c r="E78" s="674">
        <f>+'BALANCE-SHEET-2020-leva'!E78/1000+IF(+Rounding!$C$54=$B78,+Rounding!E$54,0)+IF(+Rounding!$C$55=$B78,+Rounding!E$55,0)</f>
        <v>4</v>
      </c>
      <c r="F78" s="154"/>
      <c r="G78" s="673">
        <f>+'BALANCE-SHEET-2020-leva'!G78/1000+IF(+Rounding!$G$54=$B78,+Rounding!H$54,0)+IF(+Rounding!$G$55=$B78,+Rounding!H$55,0)</f>
        <v>0</v>
      </c>
      <c r="H78" s="674">
        <f>+'BALANCE-SHEET-2020-leva'!H78/1000+IF(+Rounding!$G$54=$B78,+Rounding!I$54,0)+IF(+Rounding!$G$55=$B78,+Rounding!I$55,0)</f>
        <v>0</v>
      </c>
      <c r="I78" s="154"/>
      <c r="J78" s="673">
        <f>+'BALANCE-SHEET-2020-leva'!J78/1000+IF(+Rounding!$K$54=$B78,+Rounding!L$54,0)+IF(+Rounding!$K$55=$B78,+Rounding!L$55,0)</f>
        <v>0</v>
      </c>
      <c r="K78" s="674">
        <f>+'BALANCE-SHEET-2020-leva'!K78/1000+IF(+Rounding!$K$54=$B78,+Rounding!M$54,0)+IF(+Rounding!$K$55=$B78,+Rounding!M$55,0)</f>
        <v>0</v>
      </c>
      <c r="L78" s="154"/>
      <c r="M78" s="673">
        <f>+D78+G78+J78+IF(+Rounding!$O$54=$B78,+Rounding!P$54,0)+IF(+Rounding!$O$55=$B78,+Rounding!P$55,0)-P78</f>
        <v>0</v>
      </c>
      <c r="N78" s="674">
        <f>+E78+H78+K78+IF(+Rounding!$O$54=$B78,+Rounding!Q$54,0)+IF(+Rounding!$O$55=$B78,+Rounding!Q$55,0)-Q78</f>
        <v>4</v>
      </c>
      <c r="O78" s="303"/>
      <c r="P78" s="2091">
        <f>+'BALANCE-SHEET-2020-leva'!P78/1000</f>
        <v>0</v>
      </c>
      <c r="Q78" s="2092">
        <f>+'BALANCE-SHEET-2020-leva'!Q78/1000</f>
        <v>0</v>
      </c>
      <c r="R78" s="303"/>
      <c r="S78" s="303"/>
      <c r="T78" s="303"/>
      <c r="U78" s="303"/>
      <c r="V78" s="303"/>
      <c r="W78" s="303"/>
      <c r="X78" s="303"/>
      <c r="Y78" s="303"/>
      <c r="Z78" s="303"/>
    </row>
    <row r="79" spans="1:26" ht="15.75">
      <c r="A79" s="687" t="s">
        <v>1015</v>
      </c>
      <c r="B79" s="340">
        <f t="shared" si="0"/>
        <v>526</v>
      </c>
      <c r="C79" s="154"/>
      <c r="D79" s="659">
        <f>+'BALANCE-SHEET-2020-leva'!D79/1000+IF(+Rounding!$C$54=$B79,+Rounding!D$54,0)+IF(+Rounding!$C$55=$B79,+Rounding!D$55,0)</f>
        <v>0</v>
      </c>
      <c r="E79" s="660">
        <f>+'BALANCE-SHEET-2020-leva'!E79/1000+IF(+Rounding!$C$54=$B79,+Rounding!E$54,0)+IF(+Rounding!$C$55=$B79,+Rounding!E$55,0)</f>
        <v>7</v>
      </c>
      <c r="F79" s="154"/>
      <c r="G79" s="659">
        <f>+'BALANCE-SHEET-2020-leva'!G79/1000+IF(+Rounding!$G$54=$B79,+Rounding!H$54,0)+IF(+Rounding!$G$55=$B79,+Rounding!H$55,0)</f>
        <v>0</v>
      </c>
      <c r="H79" s="660">
        <f>+'BALANCE-SHEET-2020-leva'!H79/1000+IF(+Rounding!$G$54=$B79,+Rounding!I$54,0)+IF(+Rounding!$G$55=$B79,+Rounding!I$55,0)</f>
        <v>0</v>
      </c>
      <c r="I79" s="154"/>
      <c r="J79" s="659">
        <f>+'BALANCE-SHEET-2020-leva'!J79/1000+IF(+Rounding!$K$54=$B79,+Rounding!L$54,0)+IF(+Rounding!$K$55=$B79,+Rounding!L$55,0)</f>
        <v>0</v>
      </c>
      <c r="K79" s="660">
        <f>+'BALANCE-SHEET-2020-leva'!K79/1000+IF(+Rounding!$K$54=$B79,+Rounding!M$54,0)+IF(+Rounding!$K$55=$B79,+Rounding!M$55,0)</f>
        <v>0</v>
      </c>
      <c r="L79" s="154"/>
      <c r="M79" s="659">
        <f>+D79+G79+J79+IF(+Rounding!$O$54=$B79,+Rounding!P$54,0)+IF(+Rounding!$O$55=$B79,+Rounding!P$55,0)</f>
        <v>0</v>
      </c>
      <c r="N79" s="660">
        <f>+E79+H79+K79+IF(+Rounding!$O$54=$B79,+Rounding!Q$54,0)+IF(+Rounding!$O$55=$B79,+Rounding!Q$55,0)</f>
        <v>7</v>
      </c>
      <c r="O79" s="303"/>
      <c r="P79" s="2089"/>
      <c r="Q79" s="2090"/>
      <c r="R79" s="303"/>
      <c r="S79" s="303"/>
      <c r="T79" s="303"/>
      <c r="U79" s="303"/>
      <c r="V79" s="303"/>
      <c r="W79" s="303"/>
      <c r="X79" s="303"/>
      <c r="Y79" s="303"/>
      <c r="Z79" s="303"/>
    </row>
    <row r="80" spans="1:26" ht="15.75">
      <c r="A80" s="687" t="s">
        <v>425</v>
      </c>
      <c r="B80" s="340">
        <f t="shared" si="0"/>
        <v>527</v>
      </c>
      <c r="C80" s="154"/>
      <c r="D80" s="659">
        <f>+'BALANCE-SHEET-2020-leva'!D80/1000+IF(+Rounding!$C$54=$B80,+Rounding!D$54,0)+IF(+Rounding!$C$55=$B80,+Rounding!D$55,0)</f>
        <v>0</v>
      </c>
      <c r="E80" s="660">
        <f>+'BALANCE-SHEET-2020-leva'!E80/1000+IF(+Rounding!$C$54=$B80,+Rounding!E$54,0)+IF(+Rounding!$C$55=$B80,+Rounding!E$55,0)</f>
        <v>0</v>
      </c>
      <c r="F80" s="154"/>
      <c r="G80" s="659">
        <f>+'BALANCE-SHEET-2020-leva'!G80/1000+IF(+Rounding!$G$54=$B80,+Rounding!H$54,0)+IF(+Rounding!$G$55=$B80,+Rounding!H$55,0)</f>
        <v>0</v>
      </c>
      <c r="H80" s="660">
        <f>+'BALANCE-SHEET-2020-leva'!H80/1000+IF(+Rounding!$G$54=$B80,+Rounding!I$54,0)+IF(+Rounding!$G$55=$B80,+Rounding!I$55,0)</f>
        <v>0</v>
      </c>
      <c r="I80" s="154"/>
      <c r="J80" s="659">
        <f>+'BALANCE-SHEET-2020-leva'!J80/1000+IF(+Rounding!$K$54=$B80,+Rounding!L$54,0)+IF(+Rounding!$K$55=$B80,+Rounding!L$55,0)</f>
        <v>0</v>
      </c>
      <c r="K80" s="660">
        <f>+'BALANCE-SHEET-2020-leva'!K80/1000+IF(+Rounding!$K$54=$B80,+Rounding!M$54,0)+IF(+Rounding!$K$55=$B80,+Rounding!M$55,0)</f>
        <v>0</v>
      </c>
      <c r="L80" s="154"/>
      <c r="M80" s="659">
        <f>+D80+G80+J80+IF(+Rounding!$O$54=$B80,+Rounding!P$54,0)+IF(+Rounding!$O$55=$B80,+Rounding!P$55,0)</f>
        <v>0</v>
      </c>
      <c r="N80" s="660">
        <f>+E80+H80+K80+IF(+Rounding!$O$54=$B80,+Rounding!Q$54,0)+IF(+Rounding!$O$55=$B80,+Rounding!Q$55,0)</f>
        <v>0</v>
      </c>
      <c r="O80" s="303"/>
      <c r="P80" s="2089"/>
      <c r="Q80" s="2090"/>
      <c r="R80" s="303"/>
      <c r="S80" s="303"/>
      <c r="T80" s="303"/>
      <c r="U80" s="303"/>
      <c r="V80" s="303"/>
      <c r="W80" s="303"/>
      <c r="X80" s="303"/>
      <c r="Y80" s="303"/>
      <c r="Z80" s="303"/>
    </row>
    <row r="81" spans="1:26" ht="15.75">
      <c r="A81" s="687" t="s">
        <v>1050</v>
      </c>
      <c r="B81" s="340">
        <f t="shared" si="0"/>
        <v>528</v>
      </c>
      <c r="C81" s="154"/>
      <c r="D81" s="659">
        <f>+'BALANCE-SHEET-2020-leva'!D81/1000+IF(+Rounding!$C$54=$B81,+Rounding!D$54,0)+IF(+Rounding!$C$55=$B81,+Rounding!D$55,0)</f>
        <v>0</v>
      </c>
      <c r="E81" s="660">
        <f>+'BALANCE-SHEET-2020-leva'!E81/1000+IF(+Rounding!$C$54=$B81,+Rounding!E$54,0)+IF(+Rounding!$C$55=$B81,+Rounding!E$55,0)</f>
        <v>0</v>
      </c>
      <c r="F81" s="154"/>
      <c r="G81" s="659">
        <f>+'BALANCE-SHEET-2020-leva'!G81/1000+IF(+Rounding!$G$54=$B81,+Rounding!H$54,0)+IF(+Rounding!$G$55=$B81,+Rounding!H$55,0)</f>
        <v>0</v>
      </c>
      <c r="H81" s="660">
        <f>+'BALANCE-SHEET-2020-leva'!H81/1000+IF(+Rounding!$G$54=$B81,+Rounding!I$54,0)+IF(+Rounding!$G$55=$B81,+Rounding!I$55,0)</f>
        <v>0</v>
      </c>
      <c r="I81" s="154"/>
      <c r="J81" s="659">
        <f>+'BALANCE-SHEET-2020-leva'!J81/1000+IF(+Rounding!$K$54=$B81,+Rounding!L$54,0)+IF(+Rounding!$K$55=$B81,+Rounding!L$55,0)</f>
        <v>0</v>
      </c>
      <c r="K81" s="660">
        <f>+'BALANCE-SHEET-2020-leva'!K81/1000+IF(+Rounding!$K$54=$B81,+Rounding!M$54,0)+IF(+Rounding!$K$55=$B81,+Rounding!M$55,0)</f>
        <v>0</v>
      </c>
      <c r="L81" s="154"/>
      <c r="M81" s="659">
        <f>+D81+G81+J81+IF(+Rounding!$O$54=$B81,+Rounding!P$54,0)+IF(+Rounding!$O$55=$B81,+Rounding!P$55,0)-P81</f>
        <v>0</v>
      </c>
      <c r="N81" s="660">
        <f>+E81+H81+K81+IF(+Rounding!$O$54=$B81,+Rounding!Q$54,0)+IF(+Rounding!$O$55=$B81,+Rounding!Q$55,0)-Q81</f>
        <v>0</v>
      </c>
      <c r="O81" s="303"/>
      <c r="P81" s="2093">
        <f>+'BALANCE-SHEET-2020-leva'!P81/1000</f>
        <v>0</v>
      </c>
      <c r="Q81" s="1225">
        <f>+'BALANCE-SHEET-2020-leva'!Q81/1000</f>
        <v>0</v>
      </c>
      <c r="R81" s="303"/>
      <c r="S81" s="303"/>
      <c r="T81" s="303"/>
      <c r="U81" s="303"/>
      <c r="V81" s="303"/>
      <c r="W81" s="303"/>
      <c r="X81" s="303"/>
      <c r="Y81" s="303"/>
      <c r="Z81" s="303"/>
    </row>
    <row r="82" spans="1:26" ht="15.75">
      <c r="A82" s="336" t="s">
        <v>426</v>
      </c>
      <c r="B82" s="341">
        <f t="shared" si="0"/>
        <v>529</v>
      </c>
      <c r="C82" s="154"/>
      <c r="D82" s="661">
        <f>+'BALANCE-SHEET-2020-leva'!D82/1000+IF(+Rounding!$C$54=$B82,+Rounding!D$54,0)+IF(+Rounding!$C$55=$B82,+Rounding!D$55,0)</f>
        <v>21.390560000000001</v>
      </c>
      <c r="E82" s="662">
        <f>+'BALANCE-SHEET-2020-leva'!E82/1000+IF(+Rounding!$C$54=$B82,+Rounding!E$54,0)+IF(+Rounding!$C$55=$B82,+Rounding!E$55,0)</f>
        <v>13.25924</v>
      </c>
      <c r="F82" s="154"/>
      <c r="G82" s="661">
        <f>+'BALANCE-SHEET-2020-leva'!G82/1000+IF(+Rounding!$G$54=$B82,+Rounding!H$54,0)+IF(+Rounding!$G$55=$B82,+Rounding!H$55,0)</f>
        <v>0</v>
      </c>
      <c r="H82" s="662">
        <f>+'BALANCE-SHEET-2020-leva'!H82/1000+IF(+Rounding!$G$54=$B82,+Rounding!I$54,0)+IF(+Rounding!$G$55=$B82,+Rounding!I$55,0)</f>
        <v>0</v>
      </c>
      <c r="I82" s="154"/>
      <c r="J82" s="661">
        <f>+'BALANCE-SHEET-2020-leva'!J82/1000+IF(+Rounding!$K$54=$B82,+Rounding!L$54,0)+IF(+Rounding!$K$55=$B82,+Rounding!L$55,0)</f>
        <v>0</v>
      </c>
      <c r="K82" s="662">
        <f>+'BALANCE-SHEET-2020-leva'!K82/1000+IF(+Rounding!$K$54=$B82,+Rounding!M$54,0)+IF(+Rounding!$K$55=$B82,+Rounding!M$55,0)</f>
        <v>0</v>
      </c>
      <c r="L82" s="154"/>
      <c r="M82" s="661">
        <f>+D82+G82+J82+IF(+Rounding!$O$54=$B82,+Rounding!P$54,0)+IF(+Rounding!$O$55=$B82,+Rounding!P$55,0)-P82</f>
        <v>21.390560000000001</v>
      </c>
      <c r="N82" s="662">
        <f>+E82+H82+K82+IF(+Rounding!$O$54=$B82,+Rounding!Q$54,0)+IF(+Rounding!$O$55=$B82,+Rounding!Q$55,0)-Q82</f>
        <v>13.25924</v>
      </c>
      <c r="O82" s="303"/>
      <c r="P82" s="1221">
        <f>+'BALANCE-SHEET-2020-leva'!P82/1000</f>
        <v>0</v>
      </c>
      <c r="Q82" s="1222">
        <f>+'BALANCE-SHEET-2020-leva'!Q82/1000</f>
        <v>0</v>
      </c>
      <c r="R82" s="303"/>
      <c r="S82" s="303"/>
      <c r="T82" s="303"/>
      <c r="U82" s="303"/>
      <c r="V82" s="303"/>
      <c r="W82" s="303"/>
      <c r="X82" s="303"/>
      <c r="Y82" s="303"/>
      <c r="Z82" s="303"/>
    </row>
    <row r="83" spans="1:26" ht="15.75">
      <c r="A83" s="177" t="s">
        <v>1024</v>
      </c>
      <c r="B83" s="188">
        <v>520</v>
      </c>
      <c r="C83" s="154"/>
      <c r="D83" s="675">
        <f>+SUM(D74:D82)</f>
        <v>21.637150000000002</v>
      </c>
      <c r="E83" s="676">
        <f>+SUM(E74:E82)</f>
        <v>31.576189999999997</v>
      </c>
      <c r="F83" s="154"/>
      <c r="G83" s="675">
        <f>+SUM(G74:G82)</f>
        <v>0</v>
      </c>
      <c r="H83" s="676">
        <f>+SUM(H74:H82)</f>
        <v>0</v>
      </c>
      <c r="I83" s="154"/>
      <c r="J83" s="675">
        <f>+SUM(J74:J82)</f>
        <v>0</v>
      </c>
      <c r="K83" s="676">
        <f>+SUM(K74:K82)</f>
        <v>0</v>
      </c>
      <c r="L83" s="154"/>
      <c r="M83" s="675">
        <f>+SUM(M74:M82)</f>
        <v>21.637150000000002</v>
      </c>
      <c r="N83" s="676">
        <f>+SUM(N74:N82)</f>
        <v>31.576189999999997</v>
      </c>
      <c r="O83" s="303"/>
      <c r="P83" s="1226">
        <f>+SUM(P78:P82)</f>
        <v>0</v>
      </c>
      <c r="Q83" s="1227">
        <f>+SUM(Q78:Q82)</f>
        <v>0</v>
      </c>
      <c r="R83" s="303"/>
      <c r="S83" s="303"/>
      <c r="T83" s="303"/>
      <c r="U83" s="303"/>
      <c r="V83" s="303"/>
      <c r="W83" s="303"/>
      <c r="X83" s="303"/>
      <c r="Y83" s="303"/>
      <c r="Z83" s="303"/>
    </row>
    <row r="84" spans="1:26" ht="15.75">
      <c r="A84" s="686" t="s">
        <v>1014</v>
      </c>
      <c r="B84" s="187"/>
      <c r="C84" s="154"/>
      <c r="D84" s="255" t="str">
        <f>+IF(+OR(D85&lt;0,D86&lt;0),"НЕРАВНЕНИЕ !"," ")</f>
        <v xml:space="preserve"> </v>
      </c>
      <c r="E84" s="322" t="str">
        <f>+IF(+OR(E85&lt;0,E86&lt;0),"НЕРАВНЕНИЕ !"," ")</f>
        <v xml:space="preserve"> </v>
      </c>
      <c r="F84" s="154"/>
      <c r="G84" s="255" t="str">
        <f>+IF(+OR(G85&lt;0,G86&lt;0),"НЕРАВНЕНИЕ !"," ")</f>
        <v xml:space="preserve"> </v>
      </c>
      <c r="H84" s="322" t="str">
        <f>+IF(+OR(H85&lt;0,H86&lt;0),"НЕРАВНЕНИЕ !"," ")</f>
        <v xml:space="preserve"> </v>
      </c>
      <c r="I84" s="154"/>
      <c r="J84" s="255" t="str">
        <f>+IF(+OR(J85&lt;0,J86&lt;0),"НЕРАВНЕНИЕ !"," ")</f>
        <v xml:space="preserve"> </v>
      </c>
      <c r="K84" s="322" t="str">
        <f>+IF(+OR(K85&lt;0,K86&lt;0),"НЕРАВНЕНИЕ !"," ")</f>
        <v xml:space="preserve"> </v>
      </c>
      <c r="L84" s="154"/>
      <c r="M84" s="255" t="str">
        <f>+IF(+OR(M85&lt;0,M86&lt;0),"НЕРАВНЕНИЕ !"," ")</f>
        <v xml:space="preserve"> </v>
      </c>
      <c r="N84" s="322" t="str">
        <f>+IF(+OR(N85&lt;0,N86&lt;0),"НЕРАВНЕНИЕ !"," ")</f>
        <v xml:space="preserve"> </v>
      </c>
      <c r="O84" s="303"/>
      <c r="P84" s="1210" t="s">
        <v>1282</v>
      </c>
      <c r="Q84" s="1211" t="s">
        <v>1283</v>
      </c>
      <c r="R84" s="303"/>
      <c r="S84" s="303"/>
      <c r="T84" s="303"/>
      <c r="U84" s="303"/>
      <c r="V84" s="303"/>
      <c r="W84" s="303"/>
      <c r="X84" s="303"/>
      <c r="Y84" s="303"/>
      <c r="Z84" s="303"/>
    </row>
    <row r="85" spans="1:26" ht="15.75">
      <c r="A85" s="687" t="s">
        <v>427</v>
      </c>
      <c r="B85" s="340">
        <v>531</v>
      </c>
      <c r="C85" s="154"/>
      <c r="D85" s="659">
        <f>+'BALANCE-SHEET-2020-leva'!D85/1000+IF(+Rounding!$C$54=$B85,+Rounding!D$54,0)+IF(+Rounding!$C$55=$B85,+Rounding!D$55,0)</f>
        <v>0</v>
      </c>
      <c r="E85" s="660">
        <f>+'BALANCE-SHEET-2020-leva'!E85/1000+IF(+Rounding!$C$54=$B85,+Rounding!E$54,0)+IF(+Rounding!$C$55=$B85,+Rounding!E$55,0)</f>
        <v>36.846730000000001</v>
      </c>
      <c r="F85" s="154"/>
      <c r="G85" s="659">
        <f>+'BALANCE-SHEET-2020-leva'!G85/1000+IF(+Rounding!$G$54=$B85,+Rounding!H$54,0)+IF(+Rounding!$G$55=$B85,+Rounding!H$55,0)</f>
        <v>0</v>
      </c>
      <c r="H85" s="660">
        <f>+'BALANCE-SHEET-2020-leva'!H85/1000+IF(+Rounding!$G$54=$B85,+Rounding!I$54,0)+IF(+Rounding!$G$55=$B85,+Rounding!I$55,0)</f>
        <v>0</v>
      </c>
      <c r="I85" s="154"/>
      <c r="J85" s="659">
        <f>+'BALANCE-SHEET-2020-leva'!J85/1000+IF(+Rounding!$K$54=$B85,+Rounding!L$54,0)+IF(+Rounding!$K$55=$B85,+Rounding!L$55,0)</f>
        <v>0</v>
      </c>
      <c r="K85" s="660">
        <f>+'BALANCE-SHEET-2020-leva'!K85/1000+IF(+Rounding!$K$54=$B85,+Rounding!M$54,0)+IF(+Rounding!$K$55=$B85,+Rounding!M$55,0)</f>
        <v>0</v>
      </c>
      <c r="L85" s="154"/>
      <c r="M85" s="659">
        <f>+D85+G85+J85+IF(+Rounding!$O$54=$B85,+Rounding!P$54,0)+IF(+Rounding!$O$55=$B85,+Rounding!P$55,0)</f>
        <v>0</v>
      </c>
      <c r="N85" s="660">
        <f>+E85+H85+K85+IF(+Rounding!$O$54=$B85,+Rounding!Q$54,0)+IF(+Rounding!$O$55=$B85,+Rounding!Q$55,0)</f>
        <v>36.846730000000001</v>
      </c>
      <c r="O85" s="303"/>
      <c r="P85" s="1239" t="str">
        <f>+IF(+'Intra-Balances'!S2="O K","O K","ГРЕШКА - превишава КТ с/до")</f>
        <v>O K</v>
      </c>
      <c r="Q85" s="1244" t="str">
        <f>+IF(+'Intra-Balances'!P2="O K","O K","ГРЕШКА - превишава КТ с/до")</f>
        <v>O K</v>
      </c>
      <c r="R85" s="303"/>
      <c r="S85" s="303"/>
      <c r="T85" s="303"/>
      <c r="U85" s="303"/>
      <c r="V85" s="303"/>
      <c r="W85" s="303"/>
      <c r="X85" s="303"/>
      <c r="Y85" s="303"/>
      <c r="Z85" s="303"/>
    </row>
    <row r="86" spans="1:26" ht="15.75">
      <c r="A86" s="688" t="s">
        <v>1013</v>
      </c>
      <c r="B86" s="341">
        <v>532</v>
      </c>
      <c r="C86" s="154"/>
      <c r="D86" s="661">
        <f>+'BALANCE-SHEET-2020-leva'!D86/1000+IF(+Rounding!$C$54=$B86,+Rounding!D$54,0)+IF(+Rounding!$C$55=$B86,+Rounding!D$55,0)</f>
        <v>0</v>
      </c>
      <c r="E86" s="662">
        <f>+'BALANCE-SHEET-2020-leva'!E86/1000+IF(+Rounding!$C$54=$B86,+Rounding!E$54,0)+IF(+Rounding!$C$55=$B86,+Rounding!E$55,0)</f>
        <v>0</v>
      </c>
      <c r="F86" s="154"/>
      <c r="G86" s="661">
        <f>+'BALANCE-SHEET-2020-leva'!G86/1000+IF(+Rounding!$G$54=$B86,+Rounding!H$54,0)+IF(+Rounding!$G$55=$B86,+Rounding!H$55,0)</f>
        <v>0</v>
      </c>
      <c r="H86" s="662">
        <f>+'BALANCE-SHEET-2020-leva'!H86/1000+IF(+Rounding!$G$54=$B86,+Rounding!I$54,0)+IF(+Rounding!$G$55=$B86,+Rounding!I$55,0)</f>
        <v>0</v>
      </c>
      <c r="I86" s="154"/>
      <c r="J86" s="661">
        <f>+'BALANCE-SHEET-2020-leva'!J86/1000+IF(+Rounding!$K$54=$B86,+Rounding!L$54,0)+IF(+Rounding!$K$55=$B86,+Rounding!L$55,0)</f>
        <v>0</v>
      </c>
      <c r="K86" s="662">
        <f>+'BALANCE-SHEET-2020-leva'!K86/1000+IF(+Rounding!$K$54=$B86,+Rounding!M$54,0)+IF(+Rounding!$K$55=$B86,+Rounding!M$55,0)</f>
        <v>0</v>
      </c>
      <c r="L86" s="154"/>
      <c r="M86" s="661">
        <f>+D86+G86+J86+IF(+Rounding!$O$54=$B86,+Rounding!P$54,0)+IF(+Rounding!$O$55=$B86,+Rounding!P$55,0)</f>
        <v>0</v>
      </c>
      <c r="N86" s="662">
        <f>+E86+H86+K86+IF(+Rounding!$O$54=$B86,+Rounding!Q$54,0)+IF(+Rounding!$O$55=$B86,+Rounding!Q$55,0)</f>
        <v>0</v>
      </c>
      <c r="O86" s="303"/>
      <c r="P86" s="2562" t="str">
        <f>+'BALANCE-SHEET-2020-leva'!P86:Q86</f>
        <v>O K</v>
      </c>
      <c r="Q86" s="2562"/>
      <c r="R86" s="303"/>
      <c r="S86" s="303"/>
      <c r="T86" s="303"/>
      <c r="U86" s="303"/>
      <c r="V86" s="303"/>
      <c r="W86" s="303"/>
      <c r="X86" s="303"/>
      <c r="Y86" s="303"/>
      <c r="Z86" s="303"/>
    </row>
    <row r="87" spans="1:26" ht="15.75">
      <c r="A87" s="177" t="s">
        <v>1026</v>
      </c>
      <c r="B87" s="186">
        <v>530</v>
      </c>
      <c r="C87" s="154"/>
      <c r="D87" s="663">
        <f>+D85+D86</f>
        <v>0</v>
      </c>
      <c r="E87" s="664">
        <f>+E85+E86</f>
        <v>36.846730000000001</v>
      </c>
      <c r="F87" s="154"/>
      <c r="G87" s="663">
        <f>+G85+G86</f>
        <v>0</v>
      </c>
      <c r="H87" s="664">
        <f>+H85+H86</f>
        <v>0</v>
      </c>
      <c r="I87" s="154"/>
      <c r="J87" s="663">
        <f>+J85+J86</f>
        <v>0</v>
      </c>
      <c r="K87" s="664">
        <f>+K85+K86</f>
        <v>0</v>
      </c>
      <c r="L87" s="154"/>
      <c r="M87" s="663">
        <f>+M85+M86</f>
        <v>0</v>
      </c>
      <c r="N87" s="664">
        <f>+N85+N86</f>
        <v>36.846730000000001</v>
      </c>
      <c r="O87" s="303"/>
      <c r="P87" s="2563" t="str">
        <f>+'BALANCE-SHEET-2020-leva'!P87:Q87</f>
        <v>O K</v>
      </c>
      <c r="Q87" s="2563"/>
      <c r="R87" s="303"/>
      <c r="S87" s="303"/>
      <c r="T87" s="303"/>
      <c r="U87" s="303"/>
      <c r="V87" s="303"/>
      <c r="W87" s="303"/>
      <c r="X87" s="303"/>
      <c r="Y87" s="303"/>
      <c r="Z87" s="303"/>
    </row>
    <row r="88" spans="1:26" ht="5.25" customHeight="1">
      <c r="A88" s="172"/>
      <c r="B88" s="187"/>
      <c r="C88" s="154"/>
      <c r="D88" s="665"/>
      <c r="E88" s="666"/>
      <c r="F88" s="154"/>
      <c r="G88" s="665"/>
      <c r="H88" s="666"/>
      <c r="I88" s="154"/>
      <c r="J88" s="665"/>
      <c r="K88" s="666"/>
      <c r="L88" s="154"/>
      <c r="M88" s="665"/>
      <c r="N88" s="666"/>
      <c r="O88" s="303"/>
      <c r="P88" s="152"/>
      <c r="Q88" s="152"/>
      <c r="R88" s="303"/>
      <c r="S88" s="303"/>
      <c r="T88" s="303"/>
      <c r="U88" s="303"/>
      <c r="V88" s="303"/>
      <c r="W88" s="303"/>
      <c r="X88" s="303"/>
      <c r="Y88" s="303"/>
      <c r="Z88" s="303"/>
    </row>
    <row r="89" spans="1:26" ht="19.5" thickBot="1">
      <c r="A89" s="717" t="s">
        <v>1028</v>
      </c>
      <c r="B89" s="720">
        <v>500</v>
      </c>
      <c r="C89" s="154"/>
      <c r="D89" s="677">
        <f>+D72+D83+D87</f>
        <v>21.637150000000002</v>
      </c>
      <c r="E89" s="678">
        <f>+E72+E83+E87</f>
        <v>68.422920000000005</v>
      </c>
      <c r="F89" s="154"/>
      <c r="G89" s="677">
        <f>+G72+G83+G87</f>
        <v>0</v>
      </c>
      <c r="H89" s="678">
        <f>+H72+H83+H87</f>
        <v>0</v>
      </c>
      <c r="I89" s="154"/>
      <c r="J89" s="677">
        <f>+J72+J83+J87</f>
        <v>0</v>
      </c>
      <c r="K89" s="678">
        <f>+K72+K83+K87</f>
        <v>0</v>
      </c>
      <c r="L89" s="154"/>
      <c r="M89" s="677">
        <f>+M72+M83+M87</f>
        <v>21.637150000000002</v>
      </c>
      <c r="N89" s="678">
        <f>+N72+N83+N87</f>
        <v>68.422920000000005</v>
      </c>
      <c r="O89" s="303"/>
      <c r="P89" s="152"/>
      <c r="Q89" s="152"/>
      <c r="R89" s="303"/>
      <c r="S89" s="303"/>
      <c r="T89" s="303"/>
      <c r="U89" s="303"/>
      <c r="V89" s="303"/>
      <c r="W89" s="303"/>
      <c r="X89" s="303"/>
      <c r="Y89" s="303"/>
      <c r="Z89" s="303"/>
    </row>
    <row r="90" spans="1:26" ht="4.5" customHeight="1">
      <c r="A90" s="172"/>
      <c r="B90" s="187"/>
      <c r="C90" s="154"/>
      <c r="D90" s="665"/>
      <c r="E90" s="666"/>
      <c r="F90" s="154"/>
      <c r="G90" s="665"/>
      <c r="H90" s="666"/>
      <c r="I90" s="154"/>
      <c r="J90" s="665"/>
      <c r="K90" s="666"/>
      <c r="L90" s="154"/>
      <c r="M90" s="665"/>
      <c r="N90" s="666"/>
      <c r="O90" s="303"/>
      <c r="P90" s="152"/>
      <c r="Q90" s="152"/>
      <c r="R90" s="303"/>
      <c r="S90" s="303"/>
      <c r="T90" s="303"/>
      <c r="U90" s="303"/>
      <c r="V90" s="303"/>
      <c r="W90" s="303"/>
      <c r="X90" s="303"/>
      <c r="Y90" s="303"/>
      <c r="Z90" s="303"/>
    </row>
    <row r="91" spans="1:26" ht="19.5" customHeight="1" thickBot="1">
      <c r="A91" s="1464" t="s">
        <v>428</v>
      </c>
      <c r="B91" s="1472">
        <v>600</v>
      </c>
      <c r="C91" s="154"/>
      <c r="D91" s="2036">
        <f>ROUND(+D66+D89,0)</f>
        <v>447</v>
      </c>
      <c r="E91" s="2037">
        <f>ROUND(+E66+E89,0)</f>
        <v>351</v>
      </c>
      <c r="F91" s="154"/>
      <c r="G91" s="2036">
        <f>ROUND(+G66+G89,0)</f>
        <v>0</v>
      </c>
      <c r="H91" s="2037">
        <f>ROUND(+H66+H89,0)</f>
        <v>0</v>
      </c>
      <c r="I91" s="154"/>
      <c r="J91" s="2036">
        <f>ROUND(+J66+J89,0)</f>
        <v>2</v>
      </c>
      <c r="K91" s="2037">
        <f>ROUND(+K66+K89,0)</f>
        <v>2</v>
      </c>
      <c r="L91" s="154"/>
      <c r="M91" s="2036">
        <f>ROUND(+M66+M89,0)</f>
        <v>450</v>
      </c>
      <c r="N91" s="2037">
        <f>ROUND(+N66+N89,0)</f>
        <v>353</v>
      </c>
      <c r="O91" s="303"/>
      <c r="P91" s="152"/>
      <c r="Q91" s="152"/>
      <c r="R91" s="303"/>
      <c r="S91" s="303"/>
      <c r="T91" s="303"/>
      <c r="U91" s="303"/>
      <c r="V91" s="303"/>
      <c r="W91" s="303"/>
      <c r="X91" s="303"/>
      <c r="Y91" s="303"/>
      <c r="Z91" s="303"/>
    </row>
    <row r="92" spans="1:26" ht="18" customHeight="1" thickTop="1" thickBot="1">
      <c r="A92" s="189" t="s">
        <v>429</v>
      </c>
      <c r="B92" s="190">
        <v>650</v>
      </c>
      <c r="C92" s="154"/>
      <c r="D92" s="667">
        <f>+ROUND('BALANCE-SHEET-2020-leva'!D92/1000,0)+Rounding!D63</f>
        <v>52</v>
      </c>
      <c r="E92" s="668">
        <f>+ROUND('BALANCE-SHEET-2020-leva'!E92/1000,0)+Rounding!E63</f>
        <v>58</v>
      </c>
      <c r="F92" s="154"/>
      <c r="G92" s="667">
        <f>+ROUND('BALANCE-SHEET-2020-leva'!G92/1000,0)+Rounding!H63</f>
        <v>0</v>
      </c>
      <c r="H92" s="668">
        <f>+ROUND('BALANCE-SHEET-2020-leva'!H92/1000,0)+Rounding!I63</f>
        <v>0</v>
      </c>
      <c r="I92" s="154"/>
      <c r="J92" s="667">
        <f>+ROUND('BALANCE-SHEET-2020-leva'!J92/1000,0)+Rounding!L63</f>
        <v>0</v>
      </c>
      <c r="K92" s="668">
        <f>+ROUND('BALANCE-SHEET-2020-leva'!K92/1000,0)+Rounding!M63</f>
        <v>0</v>
      </c>
      <c r="L92" s="154"/>
      <c r="M92" s="667">
        <f>+ROUND((D92+G92+J92),0)+Rounding!P63</f>
        <v>52</v>
      </c>
      <c r="N92" s="668">
        <f>+ROUND((E92+H92+K92),0)+Rounding!Q63</f>
        <v>58</v>
      </c>
      <c r="O92" s="303"/>
      <c r="P92" s="152"/>
      <c r="Q92" s="152"/>
      <c r="R92" s="303"/>
      <c r="S92" s="303"/>
      <c r="T92" s="303"/>
      <c r="U92" s="303"/>
      <c r="V92" s="303"/>
      <c r="W92" s="303"/>
      <c r="X92" s="303"/>
      <c r="Y92" s="303"/>
      <c r="Z92" s="303"/>
    </row>
    <row r="93" spans="1:26" ht="16.5" thickTop="1">
      <c r="A93" s="191"/>
      <c r="B93" s="164"/>
      <c r="C93" s="154"/>
      <c r="D93" s="321" t="str">
        <f>+IF(+OR(E92&lt;0),"НЕРАВНЕНИЕ !"," ")</f>
        <v xml:space="preserve"> </v>
      </c>
      <c r="E93" s="321" t="str">
        <f>+IF(+OR(D92&lt;0),"НЕРАВНЕНИЕ !"," ")</f>
        <v xml:space="preserve"> </v>
      </c>
      <c r="F93" s="154"/>
      <c r="G93" s="321" t="str">
        <f>+IF(+OR(G92&lt;0),"НЕРАВНЕНИЕ !"," ")</f>
        <v xml:space="preserve"> </v>
      </c>
      <c r="H93" s="321" t="str">
        <f>+IF(+OR(H92&lt;0),"НЕРАВНЕНИЕ !"," ")</f>
        <v xml:space="preserve"> </v>
      </c>
      <c r="I93" s="154"/>
      <c r="J93" s="321" t="str">
        <f>+IF(+OR(J92&lt;0),"НЕРАВНЕНИЕ !"," ")</f>
        <v xml:space="preserve"> </v>
      </c>
      <c r="K93" s="321" t="str">
        <f>+IF(+OR(K92&lt;0),"НЕРАВНЕНИЕ !"," ")</f>
        <v xml:space="preserve"> </v>
      </c>
      <c r="L93" s="154"/>
      <c r="M93" s="321" t="str">
        <f>+IF(+OR(M92&lt;0),"НЕРАВНЕНИЕ !"," ")</f>
        <v xml:space="preserve"> </v>
      </c>
      <c r="N93" s="321" t="str">
        <f>+IF(+OR(N92&lt;0),"НЕРАВНЕНИЕ !"," ")</f>
        <v xml:space="preserve"> </v>
      </c>
      <c r="O93" s="303"/>
      <c r="P93" s="152"/>
      <c r="Q93" s="152"/>
      <c r="R93" s="303"/>
      <c r="S93" s="303"/>
      <c r="T93" s="303"/>
      <c r="U93" s="303"/>
      <c r="V93" s="303"/>
      <c r="W93" s="303"/>
      <c r="X93" s="303"/>
      <c r="Y93" s="303"/>
      <c r="Z93" s="303"/>
    </row>
    <row r="94" spans="1:26" ht="18.75">
      <c r="A94" s="2019"/>
      <c r="B94" s="307"/>
      <c r="C94" s="154"/>
      <c r="D94" s="302"/>
      <c r="E94" s="302"/>
      <c r="F94" s="154"/>
      <c r="G94" s="155"/>
      <c r="H94" s="193"/>
      <c r="I94" s="154"/>
      <c r="J94" s="302"/>
      <c r="K94" s="155"/>
      <c r="L94" s="154"/>
      <c r="M94" s="302"/>
      <c r="N94" s="155"/>
      <c r="O94" s="303"/>
      <c r="P94" s="152"/>
      <c r="Q94" s="152"/>
      <c r="R94" s="303"/>
      <c r="S94" s="303"/>
      <c r="T94" s="303"/>
      <c r="U94" s="303"/>
      <c r="V94" s="303"/>
      <c r="W94" s="303"/>
      <c r="X94" s="303"/>
      <c r="Y94" s="303"/>
      <c r="Z94" s="303"/>
    </row>
    <row r="95" spans="1:26" ht="4.5" customHeight="1">
      <c r="A95" s="302"/>
      <c r="B95" s="302"/>
      <c r="C95" s="302"/>
      <c r="D95" s="302"/>
      <c r="E95" s="302"/>
      <c r="F95" s="154"/>
      <c r="G95" s="195"/>
      <c r="H95" s="194"/>
      <c r="I95" s="154"/>
      <c r="J95" s="196"/>
      <c r="K95" s="155"/>
      <c r="L95" s="154"/>
      <c r="M95" s="196"/>
      <c r="N95" s="155"/>
      <c r="O95" s="303"/>
      <c r="P95" s="152"/>
      <c r="Q95" s="152" t="s">
        <v>1992</v>
      </c>
      <c r="R95" s="303"/>
      <c r="S95" s="303"/>
      <c r="T95" s="303"/>
      <c r="U95" s="303"/>
      <c r="V95" s="303"/>
      <c r="W95" s="303"/>
      <c r="X95" s="303"/>
      <c r="Y95" s="303"/>
      <c r="Z95" s="303"/>
    </row>
    <row r="96" spans="1:26" ht="18.75">
      <c r="A96" s="2019"/>
      <c r="B96" s="2041" t="s">
        <v>1978</v>
      </c>
      <c r="C96" s="658"/>
      <c r="D96" s="2034">
        <f>+'TRIAL-BALANCE'!K10</f>
        <v>0</v>
      </c>
      <c r="E96" s="2018" t="s">
        <v>1979</v>
      </c>
      <c r="F96" s="154"/>
      <c r="G96" s="657"/>
      <c r="H96" s="822"/>
      <c r="I96" s="822"/>
      <c r="J96" s="822"/>
      <c r="K96" s="2020" t="s">
        <v>1971</v>
      </c>
      <c r="L96" s="164"/>
      <c r="M96" s="308"/>
      <c r="N96" s="309"/>
      <c r="O96" s="303"/>
      <c r="P96" s="152"/>
      <c r="Q96" s="1995"/>
      <c r="R96" s="303"/>
      <c r="S96" s="303"/>
      <c r="T96" s="303"/>
      <c r="U96" s="303"/>
      <c r="V96" s="303"/>
      <c r="W96" s="303"/>
      <c r="X96" s="303"/>
      <c r="Y96" s="303"/>
      <c r="Z96" s="303"/>
    </row>
    <row r="97" spans="1:26" ht="16.5" customHeight="1">
      <c r="A97" s="155"/>
      <c r="B97" s="302"/>
      <c r="C97" s="302"/>
      <c r="D97" s="302"/>
      <c r="E97" s="302"/>
      <c r="F97" s="154"/>
      <c r="G97" s="302"/>
      <c r="H97" s="2564">
        <f>+'BALANCE-SHEET-2020-leva'!H97:J97</f>
        <v>0</v>
      </c>
      <c r="I97" s="2564"/>
      <c r="J97" s="2564"/>
      <c r="K97" s="2015"/>
      <c r="L97" s="164"/>
      <c r="M97" s="2569">
        <f>+'BALANCE-SHEET-2020-leva'!M97</f>
        <v>0</v>
      </c>
      <c r="N97" s="2569"/>
      <c r="O97" s="303"/>
      <c r="P97" s="152"/>
      <c r="Q97" s="1903" t="s">
        <v>1880</v>
      </c>
      <c r="R97" s="303"/>
      <c r="S97" s="303"/>
      <c r="T97" s="303"/>
      <c r="U97" s="303"/>
      <c r="V97" s="303"/>
      <c r="W97" s="303"/>
      <c r="X97" s="303"/>
      <c r="Y97" s="303"/>
      <c r="Z97" s="303"/>
    </row>
    <row r="98" spans="1:26" ht="6.75" customHeight="1">
      <c r="A98" s="155"/>
      <c r="B98" s="302"/>
      <c r="C98" s="154"/>
      <c r="D98" s="302"/>
      <c r="E98" s="193"/>
      <c r="F98" s="154"/>
      <c r="G98" s="302"/>
      <c r="H98" s="302"/>
      <c r="I98" s="154"/>
      <c r="J98" s="302"/>
      <c r="K98" s="302"/>
      <c r="L98" s="164"/>
      <c r="M98" s="302"/>
      <c r="N98" s="302"/>
      <c r="O98" s="303"/>
      <c r="P98" s="152"/>
      <c r="Q98" s="152"/>
      <c r="R98" s="303"/>
      <c r="S98" s="303"/>
      <c r="T98" s="303"/>
      <c r="U98" s="303"/>
      <c r="V98" s="303"/>
      <c r="W98" s="303"/>
      <c r="X98" s="303"/>
      <c r="Y98" s="303"/>
      <c r="Z98" s="303"/>
    </row>
    <row r="99" spans="1:26" ht="16.5" thickBot="1">
      <c r="A99" s="303"/>
      <c r="B99" s="303"/>
      <c r="C99" s="198"/>
      <c r="D99" s="303"/>
      <c r="E99" s="303"/>
      <c r="F99" s="303"/>
      <c r="G99" s="303"/>
      <c r="H99" s="303"/>
      <c r="I99" s="303"/>
      <c r="J99" s="303"/>
      <c r="K99" s="303"/>
      <c r="L99" s="303"/>
      <c r="M99" s="303"/>
      <c r="N99" s="303"/>
      <c r="O99" s="303"/>
      <c r="P99" s="1247" t="s">
        <v>1197</v>
      </c>
      <c r="Q99" s="1246"/>
      <c r="R99" s="198"/>
      <c r="S99" s="303"/>
      <c r="T99" s="303"/>
      <c r="U99" s="198"/>
      <c r="V99" s="303"/>
      <c r="W99" s="303"/>
      <c r="X99" s="198"/>
      <c r="Y99" s="303"/>
      <c r="Z99" s="303"/>
    </row>
    <row r="100" spans="1:26" s="1397" customFormat="1" ht="16.5" thickBot="1">
      <c r="A100" s="1473" t="s">
        <v>1199</v>
      </c>
      <c r="B100" s="1474"/>
      <c r="C100" s="198"/>
      <c r="D100" s="313" t="str">
        <f>+IF(D54=+D91,"O K","НЕРАВНЕНИЕ !")</f>
        <v>O K</v>
      </c>
      <c r="E100" s="1955" t="str">
        <f>+IF(E54=+E91,"O K","НЕРАВНЕНИЕ !")</f>
        <v>O K</v>
      </c>
      <c r="F100" s="152"/>
      <c r="G100" s="315" t="str">
        <f>+IF(G54=+G91,"O K","НЕРАВНЕНИЕ !")</f>
        <v>O K</v>
      </c>
      <c r="H100" s="1956" t="str">
        <f>+IF(H54=+H91,"O K","НЕРАВНЕНИЕ !")</f>
        <v>O K</v>
      </c>
      <c r="I100" s="152"/>
      <c r="J100" s="317" t="str">
        <f>+IF(J54=+J91,"O K","НЕРАВНЕНИЕ !")</f>
        <v>O K</v>
      </c>
      <c r="K100" s="1957" t="str">
        <f>+IF(K54=+K91,"O K","НЕРАВНЕНИЕ !")</f>
        <v>O K</v>
      </c>
      <c r="L100" s="152"/>
      <c r="M100" s="318" t="str">
        <f>+IF(M54=+M91,"O K","НЕРАВНЕНИЕ !")</f>
        <v>O K</v>
      </c>
      <c r="N100" s="1958" t="str">
        <f>+IF(N54=+N91,"O K","НЕРАВНЕНИЕ !")</f>
        <v>O K</v>
      </c>
      <c r="O100" s="152"/>
      <c r="P100" s="1248" t="str">
        <f>+IF(P46=P83-P64-P65,"O K","НЕРАВНЕНИЕ !")</f>
        <v>O K</v>
      </c>
      <c r="Q100" s="1248" t="str">
        <f>+IF(Q46=Q83-Q64-Q65,"O K","НЕРАВНЕНИЕ !")</f>
        <v>O K</v>
      </c>
      <c r="R100" s="198"/>
      <c r="S100" s="152"/>
      <c r="T100" s="152"/>
      <c r="U100" s="316"/>
      <c r="V100" s="152"/>
      <c r="W100" s="152"/>
      <c r="X100" s="198"/>
      <c r="Y100" s="152"/>
      <c r="Z100" s="152"/>
    </row>
    <row r="101" spans="1:26" s="1397" customFormat="1" ht="16.5" thickBot="1">
      <c r="A101" s="1475" t="s">
        <v>374</v>
      </c>
      <c r="B101" s="1476"/>
      <c r="C101" s="198"/>
      <c r="D101" s="313" t="str">
        <f>+IF(+ROUND(+D55-D92,0)-ROUND(+SUM('BALANCE-SHEET-2020-leva'!D55-'BALANCE-SHEET-2020-leva'!D92)/1000,0)=0,"O K","НЕРАВНЕНИЕ !")</f>
        <v>O K</v>
      </c>
      <c r="E101" s="1955" t="str">
        <f>+IF(+ROUND(+E55-E92,0)-ROUND(+SUM('BALANCE-SHEET-2020-leva'!E55-'BALANCE-SHEET-2020-leva'!E92)/1000,0)=0,"O K","НЕРАВНЕНИЕ !")</f>
        <v>НЕРАВНЕНИЕ !</v>
      </c>
      <c r="F101" s="152"/>
      <c r="G101" s="315" t="str">
        <f>+IF(+ROUND(+G55-G92,0)-ROUND(+SUM('BALANCE-SHEET-2020-leva'!G55-'BALANCE-SHEET-2020-leva'!G92)/1000,0)=0,"O K","НЕРАВНЕНИЕ !")</f>
        <v>O K</v>
      </c>
      <c r="H101" s="1956" t="str">
        <f>+IF(+ROUND(+H55-H92,0)-ROUND(+SUM('BALANCE-SHEET-2020-leva'!H55-'BALANCE-SHEET-2020-leva'!H92)/1000,0)=0,"O K","НЕРАВНЕНИЕ !")</f>
        <v>O K</v>
      </c>
      <c r="I101" s="152"/>
      <c r="J101" s="317" t="str">
        <f>+IF(+ROUND(+J55-J92,0)-ROUND(+SUM('BALANCE-SHEET-2020-leva'!J55-'BALANCE-SHEET-2020-leva'!J92)/1000,0)=0,"O K","НЕРАВНЕНИЕ !")</f>
        <v>O K</v>
      </c>
      <c r="K101" s="1957" t="str">
        <f>+IF(+ROUND(+K55-K92,0)-ROUND(+SUM('BALANCE-SHEET-2020-leva'!K55-'BALANCE-SHEET-2020-leva'!K92)/1000,0)=0,"O K","НЕРАВНЕНИЕ !")</f>
        <v>O K</v>
      </c>
      <c r="L101" s="152"/>
      <c r="M101" s="318" t="str">
        <f>+IF(+ROUND(+M55-M92,0)-ROUND(+SUM('BALANCE-SHEET-2020-leva'!M55-'BALANCE-SHEET-2020-leva'!M92)/1000,0)=0,"O K","НЕРАВНЕНИЕ !")</f>
        <v>O K</v>
      </c>
      <c r="N101" s="1958" t="str">
        <f>+IF(+ROUND(+N55-N92,0)-ROUND(+SUM('BALANCE-SHEET-2020-leva'!N55-'BALANCE-SHEET-2020-leva'!N92)/1000,0)=0,"O K","НЕРАВНЕНИЕ !")</f>
        <v>НЕРАВНЕНИЕ !</v>
      </c>
      <c r="O101" s="152"/>
      <c r="P101" s="1712">
        <f>+P46-(P83-P64-P65)</f>
        <v>0</v>
      </c>
      <c r="Q101" s="1712">
        <f>+Q46-(Q83-Q64-Q65)</f>
        <v>0</v>
      </c>
      <c r="R101" s="316"/>
      <c r="S101" s="152"/>
      <c r="T101" s="152"/>
      <c r="U101" s="316"/>
      <c r="V101" s="152"/>
      <c r="W101" s="152"/>
      <c r="X101" s="198"/>
      <c r="Y101" s="152"/>
      <c r="Z101" s="152"/>
    </row>
    <row r="102" spans="1:26" s="1397" customFormat="1" ht="16.5" thickBot="1">
      <c r="A102" s="152"/>
      <c r="B102" s="152"/>
      <c r="C102" s="198"/>
      <c r="D102" s="152"/>
      <c r="E102" s="152"/>
      <c r="F102" s="152"/>
      <c r="G102" s="152"/>
      <c r="H102" s="152"/>
      <c r="I102" s="152"/>
      <c r="J102" s="152"/>
      <c r="K102" s="152"/>
      <c r="L102" s="152"/>
      <c r="M102" s="152"/>
      <c r="N102" s="152"/>
      <c r="O102" s="152"/>
      <c r="P102" s="1705" t="s">
        <v>1870</v>
      </c>
      <c r="Q102" s="1706"/>
      <c r="R102" s="198"/>
      <c r="S102" s="152"/>
      <c r="T102" s="152"/>
      <c r="U102" s="198"/>
      <c r="V102" s="152"/>
      <c r="W102" s="152"/>
      <c r="X102" s="198"/>
      <c r="Y102" s="152"/>
      <c r="Z102" s="152"/>
    </row>
    <row r="103" spans="1:26" s="1397" customFormat="1" ht="16.5" thickBot="1">
      <c r="A103" s="1473" t="s">
        <v>1200</v>
      </c>
      <c r="B103" s="1474"/>
      <c r="C103" s="198"/>
      <c r="D103" s="1228">
        <f>+ROUND(D54-D91,0)</f>
        <v>0</v>
      </c>
      <c r="E103" s="1954">
        <f>+ROUND(E54-E91,0)</f>
        <v>0</v>
      </c>
      <c r="F103" s="1229"/>
      <c r="G103" s="1230">
        <f>+ROUND(G54-G91,0)</f>
        <v>0</v>
      </c>
      <c r="H103" s="1961">
        <f>+ROUND(H54-H91,0)</f>
        <v>0</v>
      </c>
      <c r="I103" s="1229"/>
      <c r="J103" s="1231">
        <f>+ROUND(J54-J91,0)</f>
        <v>0</v>
      </c>
      <c r="K103" s="1960">
        <f>+ROUND(K54-K91,0)</f>
        <v>0</v>
      </c>
      <c r="L103" s="1229"/>
      <c r="M103" s="1232">
        <f>+ROUND(M54-M91,0)</f>
        <v>0</v>
      </c>
      <c r="N103" s="1959">
        <f>+ROUND(N54-N91,0)</f>
        <v>0</v>
      </c>
      <c r="O103" s="152"/>
      <c r="P103" s="1707" t="s">
        <v>2146</v>
      </c>
      <c r="Q103" s="1708"/>
      <c r="R103" s="320"/>
      <c r="S103" s="152"/>
      <c r="T103" s="152"/>
      <c r="U103" s="320"/>
      <c r="V103" s="152"/>
      <c r="W103" s="152"/>
      <c r="X103" s="320"/>
      <c r="Y103" s="152"/>
      <c r="Z103" s="152"/>
    </row>
    <row r="104" spans="1:26" s="1397" customFormat="1" ht="16.5" thickBot="1">
      <c r="A104" s="1477" t="s">
        <v>1201</v>
      </c>
      <c r="B104" s="1476"/>
      <c r="C104" s="198"/>
      <c r="D104" s="1228">
        <f>+ROUND(+D55-D92,0)-ROUND(+SUM('BALANCE-SHEET-2020-leva'!D55-'BALANCE-SHEET-2020-leva'!D92)/1000,0)</f>
        <v>0</v>
      </c>
      <c r="E104" s="1954">
        <f>+ROUND(+E55-E92,0)-ROUND(+SUM('BALANCE-SHEET-2020-leva'!E55-'BALANCE-SHEET-2020-leva'!E92)/1000,0)</f>
        <v>-1</v>
      </c>
      <c r="F104" s="1229"/>
      <c r="G104" s="1230">
        <f>+ROUND(+G55-G92,0)-ROUND(+SUM('BALANCE-SHEET-2020-leva'!G55-'BALANCE-SHEET-2020-leva'!G92)/1000,0)</f>
        <v>0</v>
      </c>
      <c r="H104" s="1961">
        <f>+ROUND(+H55-H92,0)-ROUND(+SUM('BALANCE-SHEET-2020-leva'!H55-'BALANCE-SHEET-2020-leva'!H92)/1000,0)</f>
        <v>0</v>
      </c>
      <c r="I104" s="1229"/>
      <c r="J104" s="1231">
        <f>+ROUND(+J55-J92,0)-ROUND(+SUM('BALANCE-SHEET-2020-leva'!J55-'BALANCE-SHEET-2020-leva'!J92)/1000,0)</f>
        <v>0</v>
      </c>
      <c r="K104" s="1960">
        <f>+ROUND(+K55-K92,0)-ROUND(+SUM('BALANCE-SHEET-2020-leva'!K55-'BALANCE-SHEET-2020-leva'!K92)/1000,0)</f>
        <v>0</v>
      </c>
      <c r="L104" s="1229"/>
      <c r="M104" s="1232">
        <f>+ROUND(+M55-M92,0)-ROUND(+SUM('BALANCE-SHEET-2020-leva'!M55-'BALANCE-SHEET-2020-leva'!M92)/1000,0)</f>
        <v>0</v>
      </c>
      <c r="N104" s="1959">
        <f>+ROUND(+N55-N92,0)-ROUND(+SUM('BALANCE-SHEET-2020-leva'!N55-'BALANCE-SHEET-2020-leva'!N92)/1000,0)</f>
        <v>-1</v>
      </c>
      <c r="O104" s="152"/>
      <c r="P104" s="1908" t="s">
        <v>1878</v>
      </c>
      <c r="Q104" s="1907" t="str">
        <f>+Q35</f>
        <v xml:space="preserve">'Intra-Balances' </v>
      </c>
      <c r="R104" s="320"/>
      <c r="S104" s="152"/>
      <c r="T104" s="152"/>
      <c r="U104" s="320"/>
      <c r="V104" s="152"/>
      <c r="W104" s="152"/>
      <c r="X104" s="320"/>
      <c r="Y104" s="152"/>
      <c r="Z104" s="152"/>
    </row>
    <row r="105" spans="1:26" ht="15.75">
      <c r="A105" s="303"/>
      <c r="B105" s="303"/>
      <c r="C105" s="198"/>
      <c r="D105" s="303"/>
      <c r="E105" s="303"/>
      <c r="F105" s="198"/>
      <c r="G105" s="303"/>
      <c r="H105" s="303"/>
      <c r="I105" s="198"/>
      <c r="J105" s="303"/>
      <c r="K105" s="303"/>
      <c r="L105" s="198"/>
      <c r="M105" s="303"/>
      <c r="N105" s="303"/>
      <c r="O105" s="303"/>
      <c r="P105" s="1710" t="s">
        <v>1879</v>
      </c>
      <c r="Q105" s="1909" t="str">
        <f>+Q36</f>
        <v>'Municipal-Bal'</v>
      </c>
      <c r="R105" s="303"/>
      <c r="S105" s="303"/>
      <c r="T105" s="303"/>
      <c r="U105" s="303"/>
      <c r="V105" s="303"/>
      <c r="W105" s="303"/>
      <c r="X105" s="303"/>
      <c r="Y105" s="303"/>
      <c r="Z105" s="303"/>
    </row>
    <row r="106" spans="1:26">
      <c r="A106" s="1995"/>
      <c r="B106" s="1995"/>
      <c r="C106" s="1995"/>
      <c r="D106" s="1995"/>
      <c r="E106" s="303"/>
      <c r="F106" s="303"/>
      <c r="G106" s="303"/>
      <c r="H106" s="303"/>
      <c r="I106" s="303"/>
      <c r="J106" s="303"/>
      <c r="K106" s="303"/>
      <c r="L106" s="303"/>
      <c r="M106" s="303"/>
      <c r="N106" s="303"/>
      <c r="O106" s="303"/>
      <c r="P106" s="303"/>
      <c r="Q106" s="303"/>
      <c r="R106" s="303"/>
      <c r="S106" s="303"/>
      <c r="T106" s="303"/>
      <c r="U106" s="303"/>
      <c r="V106" s="303"/>
      <c r="W106" s="303"/>
      <c r="X106" s="303"/>
      <c r="Y106" s="303"/>
      <c r="Z106" s="303"/>
    </row>
    <row r="107" spans="1:26">
      <c r="A107" s="1995"/>
      <c r="B107" s="1995"/>
      <c r="C107" s="1995"/>
      <c r="D107" s="1995"/>
      <c r="E107" s="303"/>
      <c r="F107" s="303"/>
      <c r="G107" s="303"/>
      <c r="H107" s="303"/>
      <c r="I107" s="303"/>
      <c r="J107" s="303"/>
      <c r="K107" s="303"/>
      <c r="L107" s="303"/>
      <c r="M107" s="303"/>
      <c r="N107" s="303"/>
      <c r="O107" s="303"/>
      <c r="P107" s="303"/>
      <c r="Q107" s="303"/>
      <c r="R107" s="303"/>
      <c r="S107" s="303"/>
      <c r="T107" s="303"/>
      <c r="U107" s="303"/>
      <c r="V107" s="303"/>
      <c r="W107" s="303"/>
      <c r="X107" s="303"/>
      <c r="Y107" s="303"/>
      <c r="Z107" s="303"/>
    </row>
    <row r="108" spans="1:26">
      <c r="A108" s="1995"/>
      <c r="B108" s="1995"/>
      <c r="C108" s="1995"/>
      <c r="D108" s="1995"/>
      <c r="E108" s="303"/>
      <c r="F108" s="303"/>
      <c r="G108" s="303"/>
      <c r="H108" s="303"/>
      <c r="I108" s="303"/>
      <c r="J108" s="303"/>
      <c r="K108" s="303"/>
      <c r="L108" s="303"/>
      <c r="M108" s="303"/>
      <c r="N108" s="303"/>
      <c r="O108" s="303"/>
      <c r="P108" s="303"/>
      <c r="Q108" s="303"/>
      <c r="R108" s="303"/>
      <c r="S108" s="303"/>
      <c r="T108" s="303"/>
      <c r="U108" s="303"/>
      <c r="V108" s="303"/>
      <c r="W108" s="303"/>
      <c r="X108" s="303"/>
      <c r="Y108" s="303"/>
      <c r="Z108" s="303"/>
    </row>
    <row r="109" spans="1:26">
      <c r="A109" s="1995"/>
      <c r="B109" s="1995"/>
      <c r="C109" s="1995"/>
      <c r="D109" s="1995"/>
      <c r="E109" s="303"/>
      <c r="F109" s="303"/>
      <c r="G109" s="303"/>
      <c r="H109" s="303"/>
      <c r="I109" s="303"/>
      <c r="J109" s="303"/>
      <c r="K109" s="303"/>
      <c r="L109" s="303"/>
      <c r="M109" s="303"/>
      <c r="N109" s="303"/>
      <c r="O109" s="303"/>
      <c r="P109" s="303"/>
      <c r="Q109" s="303"/>
      <c r="R109" s="303"/>
      <c r="S109" s="303"/>
      <c r="T109" s="303"/>
      <c r="U109" s="303"/>
      <c r="V109" s="303"/>
      <c r="W109" s="303"/>
      <c r="X109" s="303"/>
      <c r="Y109" s="303"/>
      <c r="Z109" s="303"/>
    </row>
    <row r="110" spans="1:26">
      <c r="A110" s="1995"/>
      <c r="B110" s="1995"/>
      <c r="C110" s="1995"/>
      <c r="D110" s="1995"/>
      <c r="E110" s="303"/>
      <c r="F110" s="303"/>
      <c r="G110" s="303"/>
      <c r="H110" s="303"/>
      <c r="I110" s="303"/>
      <c r="J110" s="303"/>
      <c r="K110" s="303"/>
      <c r="L110" s="303"/>
      <c r="M110" s="303"/>
      <c r="N110" s="303"/>
      <c r="O110" s="303"/>
      <c r="P110" s="303"/>
      <c r="Q110" s="303"/>
      <c r="R110" s="303"/>
      <c r="S110" s="303"/>
      <c r="T110" s="303"/>
      <c r="U110" s="303"/>
      <c r="V110" s="303"/>
      <c r="W110" s="303"/>
      <c r="X110" s="303"/>
      <c r="Y110" s="303"/>
      <c r="Z110" s="303"/>
    </row>
    <row r="111" spans="1:26">
      <c r="A111" s="1995"/>
      <c r="B111" s="1995"/>
      <c r="C111" s="1995"/>
      <c r="D111" s="1995"/>
      <c r="E111" s="303"/>
      <c r="F111" s="303"/>
      <c r="G111" s="303"/>
      <c r="H111" s="303"/>
      <c r="I111" s="303"/>
      <c r="J111" s="303"/>
      <c r="K111" s="303"/>
      <c r="L111" s="303"/>
      <c r="M111" s="303"/>
      <c r="N111" s="303"/>
      <c r="O111" s="303"/>
      <c r="P111" s="303"/>
      <c r="Q111" s="303"/>
      <c r="R111" s="303"/>
      <c r="S111" s="303"/>
      <c r="T111" s="303"/>
      <c r="U111" s="303"/>
      <c r="V111" s="303"/>
      <c r="W111" s="303"/>
      <c r="X111" s="303"/>
      <c r="Y111" s="303"/>
      <c r="Z111" s="303"/>
    </row>
    <row r="112" spans="1:26">
      <c r="A112" s="1995"/>
      <c r="B112" s="1995"/>
      <c r="C112" s="1995"/>
      <c r="D112" s="1995"/>
      <c r="E112" s="303"/>
      <c r="F112" s="303"/>
      <c r="G112" s="303"/>
      <c r="H112" s="303"/>
      <c r="I112" s="303"/>
      <c r="J112" s="303"/>
      <c r="K112" s="303"/>
      <c r="L112" s="303"/>
      <c r="M112" s="303"/>
      <c r="N112" s="303"/>
      <c r="O112" s="303"/>
      <c r="P112" s="303"/>
      <c r="Q112" s="303"/>
      <c r="R112" s="303"/>
      <c r="S112" s="303"/>
      <c r="T112" s="303"/>
      <c r="U112" s="303"/>
      <c r="V112" s="303"/>
      <c r="W112" s="303"/>
      <c r="X112" s="303"/>
      <c r="Y112" s="303"/>
      <c r="Z112" s="303"/>
    </row>
    <row r="113" spans="1:26">
      <c r="A113" s="1995"/>
      <c r="B113" s="1995"/>
      <c r="C113" s="1995"/>
      <c r="D113" s="1995"/>
      <c r="E113" s="303"/>
      <c r="F113" s="303"/>
      <c r="G113" s="303"/>
      <c r="H113" s="303"/>
      <c r="I113" s="303"/>
      <c r="J113" s="303"/>
      <c r="K113" s="303"/>
      <c r="L113" s="303"/>
      <c r="M113" s="303"/>
      <c r="N113" s="303"/>
      <c r="O113" s="303"/>
      <c r="P113" s="303"/>
      <c r="Q113" s="303"/>
      <c r="R113" s="303"/>
      <c r="S113" s="303"/>
      <c r="T113" s="303"/>
      <c r="U113" s="303"/>
      <c r="V113" s="303"/>
      <c r="W113" s="303"/>
      <c r="X113" s="303"/>
      <c r="Y113" s="303"/>
      <c r="Z113" s="303"/>
    </row>
    <row r="114" spans="1:26">
      <c r="A114" s="1995"/>
      <c r="B114" s="1995"/>
      <c r="C114" s="1995"/>
      <c r="D114" s="1995"/>
      <c r="E114" s="303"/>
      <c r="F114" s="303"/>
      <c r="G114" s="303"/>
      <c r="H114" s="303"/>
      <c r="I114" s="303"/>
      <c r="J114" s="303"/>
      <c r="K114" s="303"/>
      <c r="L114" s="303"/>
      <c r="M114" s="303"/>
      <c r="N114" s="303"/>
      <c r="O114" s="303"/>
      <c r="P114" s="303"/>
      <c r="Q114" s="303"/>
      <c r="R114" s="303"/>
      <c r="S114" s="303"/>
      <c r="T114" s="303"/>
      <c r="U114" s="303"/>
      <c r="V114" s="303"/>
      <c r="W114" s="303"/>
      <c r="X114" s="303"/>
      <c r="Y114" s="303"/>
      <c r="Z114" s="303"/>
    </row>
  </sheetData>
  <sheetProtection password="889B" sheet="1" objects="1" scenarios="1"/>
  <mergeCells count="24">
    <mergeCell ref="G1:H1"/>
    <mergeCell ref="A1:D1"/>
    <mergeCell ref="B5:G5"/>
    <mergeCell ref="A2:D2"/>
    <mergeCell ref="G3:H3"/>
    <mergeCell ref="A3:D3"/>
    <mergeCell ref="E2:H2"/>
    <mergeCell ref="P67:Q67"/>
    <mergeCell ref="G6:H6"/>
    <mergeCell ref="J2:K2"/>
    <mergeCell ref="M2:N2"/>
    <mergeCell ref="B7:B9"/>
    <mergeCell ref="B58:B60"/>
    <mergeCell ref="D6:E6"/>
    <mergeCell ref="H97:J97"/>
    <mergeCell ref="K3:N3"/>
    <mergeCell ref="M58:N59"/>
    <mergeCell ref="M7:N8"/>
    <mergeCell ref="P49:Q49"/>
    <mergeCell ref="P50:Q50"/>
    <mergeCell ref="M97:N97"/>
    <mergeCell ref="P87:Q87"/>
    <mergeCell ref="P86:Q86"/>
    <mergeCell ref="P66:Q66"/>
  </mergeCells>
  <phoneticPr fontId="0" type="noConversion"/>
  <conditionalFormatting sqref="D93:E93 E62 H62 K62 N62 D12:E12 D23:E23 D30:E30 D35:E35 D39:E39 D47:E47 D56:E56 D68:E68 D73:E73 D84:E84 D100:E101 G100:H101 G12:H12 G23:H23 G30:H30 G35:H35 G39:H39 G47:H47 G56:H56 G68:H68 G73:H73 G84:H84 G93:H93 J100:K101 J12:K12 J23:K23 J30:K30 J35:K35 J39:K39 J47:K47 J56:K56 J68:K68 J73:K73 J84:K84 J93:K93 M12:N12 M56:N56 M100:N101 M93:N93">
    <cfRule type="cellIs" dxfId="1320" priority="116" stopIfTrue="1" operator="equal">
      <formula>"НЕРАВНЕНИЕ !"</formula>
    </cfRule>
  </conditionalFormatting>
  <conditionalFormatting sqref="D103:E104 G103:H104 J103:K104 M103:N104">
    <cfRule type="cellIs" dxfId="1319" priority="117" stopIfTrue="1" operator="notEqual">
      <formula>0</formula>
    </cfRule>
  </conditionalFormatting>
  <conditionalFormatting sqref="D22:E22 D24:E26 D28:E28 D31:E34 D36:E38 D40:E46 D48:E50 D52:E52 D54:E55 D69:E72 D74:E83 D85:E87 D89:E89 D91:E92 G22:H22 G24:H26 G28:H28 G31:H34 G36:H38 G40:H46 G48:H50 G52:H52 G54:H55 G69:H72 G74:H83 G85:H87 G89:H89 G91:H92 J24:K26 J28:K28 J31:K34 J36:K38 J40:K46 J48:K50 J91:K92 J52:K52 J54:K55 J69:K72 J74:K83 J85:K87 J89:K89 J22:K22 M55:N55 M92:N92 D13:E20 G13:H20 J13:K20">
    <cfRule type="cellIs" dxfId="1318" priority="118" stopIfTrue="1" operator="lessThan">
      <formula>0</formula>
    </cfRule>
  </conditionalFormatting>
  <conditionalFormatting sqref="P48:Q48">
    <cfRule type="cellIs" dxfId="1317" priority="83" stopIfTrue="1" operator="notEqual">
      <formula>"O K"</formula>
    </cfRule>
  </conditionalFormatting>
  <conditionalFormatting sqref="P85:Q85">
    <cfRule type="cellIs" dxfId="1316" priority="80" stopIfTrue="1" operator="notEqual">
      <formula>"O K"</formula>
    </cfRule>
  </conditionalFormatting>
  <conditionalFormatting sqref="K3">
    <cfRule type="cellIs" dxfId="1315" priority="77" stopIfTrue="1" operator="equal">
      <formula>0</formula>
    </cfRule>
  </conditionalFormatting>
  <conditionalFormatting sqref="N1">
    <cfRule type="cellIs" dxfId="1314" priority="76" stopIfTrue="1" operator="equal">
      <formula>0</formula>
    </cfRule>
  </conditionalFormatting>
  <conditionalFormatting sqref="P50">
    <cfRule type="cellIs" dxfId="1313" priority="71" stopIfTrue="1" operator="notEqual">
      <formula>"O K"</formula>
    </cfRule>
  </conditionalFormatting>
  <conditionalFormatting sqref="P50:Q50">
    <cfRule type="cellIs" dxfId="1312" priority="70" stopIfTrue="1" operator="equal">
      <formula>"O K"</formula>
    </cfRule>
  </conditionalFormatting>
  <conditionalFormatting sqref="P87">
    <cfRule type="cellIs" dxfId="1311" priority="67" stopIfTrue="1" operator="notEqual">
      <formula>"O K"</formula>
    </cfRule>
  </conditionalFormatting>
  <conditionalFormatting sqref="P87:Q87">
    <cfRule type="cellIs" dxfId="1310" priority="66" stopIfTrue="1" operator="equal">
      <formula>"O K"</formula>
    </cfRule>
  </conditionalFormatting>
  <conditionalFormatting sqref="P86">
    <cfRule type="cellIs" dxfId="1309" priority="65" stopIfTrue="1" operator="notEqual">
      <formula>"O K"</formula>
    </cfRule>
  </conditionalFormatting>
  <conditionalFormatting sqref="P86:Q86">
    <cfRule type="cellIs" dxfId="1308" priority="64" stopIfTrue="1" operator="equal">
      <formula>"O K"</formula>
    </cfRule>
  </conditionalFormatting>
  <conditionalFormatting sqref="P66">
    <cfRule type="cellIs" dxfId="1307" priority="55" stopIfTrue="1" operator="notEqual">
      <formula>"O K"</formula>
    </cfRule>
  </conditionalFormatting>
  <conditionalFormatting sqref="P66:Q66">
    <cfRule type="cellIs" dxfId="1306" priority="54" stopIfTrue="1" operator="equal">
      <formula>"O K"</formula>
    </cfRule>
  </conditionalFormatting>
  <conditionalFormatting sqref="P67">
    <cfRule type="cellIs" dxfId="1305" priority="53" stopIfTrue="1" operator="notEqual">
      <formula>"O K"</formula>
    </cfRule>
  </conditionalFormatting>
  <conditionalFormatting sqref="P67:Q67">
    <cfRule type="cellIs" dxfId="1304" priority="52" stopIfTrue="1" operator="equal">
      <formula>"O K"</formula>
    </cfRule>
  </conditionalFormatting>
  <conditionalFormatting sqref="A9">
    <cfRule type="cellIs" dxfId="1303" priority="44" operator="equal">
      <formula>"Непопълнен ред в таблица 'Cash-deficit'!"</formula>
    </cfRule>
  </conditionalFormatting>
  <conditionalFormatting sqref="A60">
    <cfRule type="cellIs" dxfId="1302" priority="43" operator="equal">
      <formula>"Непопълнен ред в таблица 'Cash-deficit'!"</formula>
    </cfRule>
  </conditionalFormatting>
  <conditionalFormatting sqref="A3:D3">
    <cfRule type="cellIs" dxfId="1301" priority="42" stopIfTrue="1" operator="equal">
      <formula>0</formula>
    </cfRule>
  </conditionalFormatting>
  <conditionalFormatting sqref="M23:N23 M30:N30 M35:N35 M39:N39 M47:N47">
    <cfRule type="cellIs" dxfId="1300" priority="40" stopIfTrue="1" operator="equal">
      <formula>"НЕРАВНЕНИЕ !"</formula>
    </cfRule>
  </conditionalFormatting>
  <conditionalFormatting sqref="M54:N54 M24:N26 M40:N46 M28:N28 M31:N34 M36:N38 M22:N22 M52:N52 M48:N50 M13:N20">
    <cfRule type="cellIs" dxfId="1299" priority="41" stopIfTrue="1" operator="lessThan">
      <formula>0</formula>
    </cfRule>
  </conditionalFormatting>
  <conditionalFormatting sqref="M68:N68 M73:N73 M84:N84">
    <cfRule type="cellIs" dxfId="1298" priority="38" stopIfTrue="1" operator="equal">
      <formula>"НЕРАВНЕНИЕ !"</formula>
    </cfRule>
  </conditionalFormatting>
  <conditionalFormatting sqref="M85:N87 M69:N72 M74:N83 M89:N89 M91:N91">
    <cfRule type="cellIs" dxfId="1297" priority="39" stopIfTrue="1" operator="lessThan">
      <formula>0</formula>
    </cfRule>
  </conditionalFormatting>
  <conditionalFormatting sqref="E2:H2">
    <cfRule type="cellIs" dxfId="1296" priority="11" operator="equal">
      <formula>"отчетено НЕРАВНЕНИЕ в таблица 'Status'!"</formula>
    </cfRule>
    <cfRule type="cellIs" dxfId="1295" priority="12" operator="equal">
      <formula>0</formula>
    </cfRule>
  </conditionalFormatting>
  <conditionalFormatting sqref="D6:E6">
    <cfRule type="cellIs" dxfId="1294" priority="10" operator="notEqual">
      <formula>0</formula>
    </cfRule>
  </conditionalFormatting>
  <conditionalFormatting sqref="G6:H6">
    <cfRule type="cellIs" dxfId="1293" priority="9" operator="notEqual">
      <formula>0</formula>
    </cfRule>
  </conditionalFormatting>
  <conditionalFormatting sqref="J2:K2">
    <cfRule type="cellIs" dxfId="1292" priority="8" operator="notEqual">
      <formula>0</formula>
    </cfRule>
  </conditionalFormatting>
  <conditionalFormatting sqref="M2:N2">
    <cfRule type="cellIs" dxfId="1291" priority="7" operator="notEqual">
      <formula>0</formula>
    </cfRule>
  </conditionalFormatting>
  <conditionalFormatting sqref="P49">
    <cfRule type="cellIs" dxfId="1290" priority="6" stopIfTrue="1" operator="notEqual">
      <formula>"O K"</formula>
    </cfRule>
  </conditionalFormatting>
  <conditionalFormatting sqref="P49:Q49">
    <cfRule type="cellIs" dxfId="1289" priority="5" stopIfTrue="1" operator="equal">
      <formula>"O K"</formula>
    </cfRule>
  </conditionalFormatting>
  <conditionalFormatting sqref="P100">
    <cfRule type="cellIs" dxfId="1288" priority="4" stopIfTrue="1" operator="equal">
      <formula>"НЕРАВНЕНИЕ !"</formula>
    </cfRule>
  </conditionalFormatting>
  <conditionalFormatting sqref="P101">
    <cfRule type="cellIs" dxfId="1287" priority="3" stopIfTrue="1" operator="notEqual">
      <formula>0</formula>
    </cfRule>
  </conditionalFormatting>
  <conditionalFormatting sqref="Q100">
    <cfRule type="cellIs" dxfId="1286" priority="2" stopIfTrue="1" operator="equal">
      <formula>"НЕРАВНЕНИЕ !"</formula>
    </cfRule>
  </conditionalFormatting>
  <conditionalFormatting sqref="Q101">
    <cfRule type="cellIs" dxfId="1285" priority="1" stopIfTrue="1" operator="notEqual">
      <formula>0</formula>
    </cfRule>
  </conditionalFormatting>
  <pageMargins left="0.15748031496062992" right="0.15748031496062992" top="0.19685039370078741" bottom="0.19685039370078741" header="0.15748031496062992" footer="0.15748031496062992"/>
  <pageSetup paperSize="9" scale="68" orientation="landscape" horizontalDpi="1200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rgb="FFA50021"/>
  </sheetPr>
  <dimension ref="A1:Z151"/>
  <sheetViews>
    <sheetView showZeros="0" zoomScaleNormal="10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2.75"/>
  <cols>
    <col min="1" max="1" width="58.42578125" style="1397" customWidth="1"/>
    <col min="2" max="2" width="6.7109375" style="1397" customWidth="1"/>
    <col min="3" max="3" width="0.85546875" style="1397" customWidth="1"/>
    <col min="4" max="5" width="21.5703125" style="1397" customWidth="1"/>
    <col min="6" max="6" width="0.85546875" style="1397" customWidth="1"/>
    <col min="7" max="8" width="21.5703125" style="1397" customWidth="1"/>
    <col min="9" max="9" width="1" style="1397" customWidth="1"/>
    <col min="10" max="11" width="21.5703125" style="1397" customWidth="1"/>
    <col min="12" max="12" width="1" style="1397" customWidth="1"/>
    <col min="13" max="14" width="21.5703125" style="1397" customWidth="1"/>
    <col min="15" max="15" width="3.42578125" style="1397" customWidth="1"/>
    <col min="16" max="17" width="26.5703125" style="1397" customWidth="1"/>
    <col min="18" max="18" width="0.85546875" style="1397" customWidth="1"/>
    <col min="19" max="20" width="21.28515625" style="1397" customWidth="1"/>
    <col min="21" max="21" width="1" style="1397" customWidth="1"/>
    <col min="22" max="23" width="21.28515625" style="1397" customWidth="1"/>
    <col min="24" max="24" width="1" style="1397" customWidth="1"/>
    <col min="25" max="26" width="21.28515625" style="1397" customWidth="1"/>
    <col min="27" max="16384" width="9.140625" style="1397"/>
  </cols>
  <sheetData>
    <row r="1" spans="1:26" ht="16.5" customHeight="1">
      <c r="A1" s="2546" t="str">
        <f>+'TRIAL-BALANCE'!E2</f>
        <v>ОУ "ПРОФЕСОР МАРИН ДРИНОВ"</v>
      </c>
      <c r="B1" s="2547"/>
      <c r="C1" s="2547"/>
      <c r="D1" s="2548"/>
      <c r="E1" s="756" t="s">
        <v>791</v>
      </c>
      <c r="F1" s="743"/>
      <c r="G1" s="2544">
        <f>+'TRIAL-BALANCE'!C6</f>
        <v>341731</v>
      </c>
      <c r="H1" s="2545"/>
      <c r="I1" s="743"/>
      <c r="J1" s="755" t="s">
        <v>1211</v>
      </c>
      <c r="K1" s="978">
        <f>+'TRIAL-BALANCE'!C8</f>
        <v>0</v>
      </c>
      <c r="L1" s="743"/>
      <c r="M1" s="755" t="s">
        <v>1210</v>
      </c>
      <c r="N1" s="2214">
        <f>+'TRIAL-BALANCE'!H8</f>
        <v>0</v>
      </c>
      <c r="O1" s="152"/>
      <c r="P1" s="152"/>
      <c r="Q1" s="152"/>
      <c r="R1" s="152"/>
      <c r="S1" s="152"/>
      <c r="T1" s="152"/>
      <c r="U1" s="152"/>
      <c r="V1" s="152"/>
      <c r="W1" s="152"/>
      <c r="X1" s="152"/>
      <c r="Y1" s="152"/>
      <c r="Z1" s="152"/>
    </row>
    <row r="2" spans="1:26" ht="15" customHeight="1">
      <c r="A2" s="2592" t="str">
        <f>+'BALANCE-SHEET-2020'!A2:D2</f>
        <v>(бюджетна организация, предприятие по чл. 165, ал. 1 от ЗПФ, поделение)</v>
      </c>
      <c r="B2" s="2593"/>
      <c r="C2" s="2593"/>
      <c r="D2" s="2594"/>
      <c r="E2" s="2597" t="str">
        <f>+'BALANCE-SHEET-2020-leva'!E2</f>
        <v>отчетено НЕРАВНЕНИЕ в таблица 'Status'!</v>
      </c>
      <c r="F2" s="2597"/>
      <c r="G2" s="2597"/>
      <c r="H2" s="2597"/>
      <c r="I2" s="743"/>
      <c r="J2" s="2604">
        <f>+'BALANCE-SHEET-2020-leva'!J2:K2</f>
        <v>0</v>
      </c>
      <c r="K2" s="2604"/>
      <c r="L2" s="743"/>
      <c r="M2" s="2604">
        <f>+'BALANCE-SHEET-2020-leva'!M2:N2</f>
        <v>0</v>
      </c>
      <c r="N2" s="2604"/>
      <c r="O2" s="152"/>
      <c r="P2" s="152"/>
      <c r="Q2" s="152"/>
      <c r="R2" s="152"/>
      <c r="S2" s="152"/>
      <c r="T2" s="152"/>
      <c r="U2" s="152"/>
      <c r="V2" s="152"/>
      <c r="W2" s="152"/>
      <c r="X2" s="152"/>
      <c r="Y2" s="152"/>
      <c r="Z2" s="152"/>
    </row>
    <row r="3" spans="1:26" ht="18" customHeight="1">
      <c r="A3" s="2549">
        <f>+'TRIAL-BALANCE'!G4</f>
        <v>0</v>
      </c>
      <c r="B3" s="2550"/>
      <c r="C3" s="2550"/>
      <c r="D3" s="2551"/>
      <c r="E3" s="757" t="s">
        <v>1205</v>
      </c>
      <c r="F3" s="743"/>
      <c r="G3" s="2595">
        <f>+'TRIAL-BALANCE'!J8</f>
        <v>0</v>
      </c>
      <c r="H3" s="2596"/>
      <c r="I3" s="743"/>
      <c r="J3" s="755" t="s">
        <v>2104</v>
      </c>
      <c r="K3" s="2532" t="str">
        <f>+'TRIAL-BALANCE'!G6</f>
        <v xml:space="preserve">                              </v>
      </c>
      <c r="L3" s="2533"/>
      <c r="M3" s="2533"/>
      <c r="N3" s="2534"/>
      <c r="O3" s="152"/>
      <c r="P3" s="152"/>
      <c r="Q3" s="152"/>
      <c r="R3" s="152"/>
      <c r="S3" s="152"/>
      <c r="T3" s="152"/>
      <c r="U3" s="152"/>
      <c r="V3" s="152"/>
      <c r="W3" s="152"/>
      <c r="X3" s="152"/>
      <c r="Y3" s="152"/>
      <c r="Z3" s="152"/>
    </row>
    <row r="4" spans="1:26" ht="3" customHeight="1">
      <c r="A4" s="743"/>
      <c r="B4" s="743"/>
      <c r="C4" s="743"/>
      <c r="D4" s="743"/>
      <c r="E4" s="744"/>
      <c r="F4" s="743"/>
      <c r="G4" s="744"/>
      <c r="H4" s="745"/>
      <c r="I4" s="743"/>
      <c r="J4" s="746"/>
      <c r="K4" s="746"/>
      <c r="L4" s="743"/>
      <c r="M4" s="746"/>
      <c r="N4" s="746"/>
      <c r="O4" s="152"/>
      <c r="P4" s="152"/>
      <c r="Q4" s="152"/>
      <c r="R4" s="152"/>
      <c r="S4" s="152"/>
      <c r="T4" s="152"/>
      <c r="U4" s="152"/>
      <c r="V4" s="152"/>
      <c r="W4" s="152"/>
      <c r="X4" s="152"/>
      <c r="Y4" s="152"/>
      <c r="Z4" s="152"/>
    </row>
    <row r="5" spans="1:26" ht="19.5">
      <c r="A5" s="1257" t="s">
        <v>1104</v>
      </c>
      <c r="B5" s="2591" t="str">
        <f>+A1</f>
        <v>ОУ "ПРОФЕСОР МАРИН ДРИНОВ"</v>
      </c>
      <c r="C5" s="2591"/>
      <c r="D5" s="2591"/>
      <c r="E5" s="2591"/>
      <c r="F5" s="2591"/>
      <c r="G5" s="2591"/>
      <c r="H5" s="1260" t="s">
        <v>1004</v>
      </c>
      <c r="I5" s="758"/>
      <c r="J5" s="2587" t="str">
        <f>+'TRIAL-BALANCE'!H12</f>
        <v>31 март 2020 г.</v>
      </c>
      <c r="K5" s="2587"/>
      <c r="L5" s="1258"/>
      <c r="M5" s="1259" t="str">
        <f>+'TRIAL-BALANCE'!C10</f>
        <v>/с б о р е н/</v>
      </c>
      <c r="N5" s="1259" t="s">
        <v>1035</v>
      </c>
      <c r="O5" s="152"/>
      <c r="P5" s="152"/>
      <c r="Q5" s="152"/>
      <c r="R5" s="152"/>
      <c r="S5" s="152"/>
      <c r="T5" s="152"/>
      <c r="U5" s="152"/>
      <c r="V5" s="152"/>
      <c r="W5" s="152"/>
      <c r="X5" s="152"/>
      <c r="Y5" s="152"/>
      <c r="Z5" s="152"/>
    </row>
    <row r="6" spans="1:26" ht="3.75" customHeight="1" thickBot="1">
      <c r="A6" s="747"/>
      <c r="B6" s="748"/>
      <c r="C6" s="749"/>
      <c r="D6" s="750"/>
      <c r="E6" s="751"/>
      <c r="F6" s="749"/>
      <c r="G6" s="751"/>
      <c r="H6" s="752"/>
      <c r="I6" s="753"/>
      <c r="J6" s="752"/>
      <c r="K6" s="752"/>
      <c r="L6" s="749"/>
      <c r="M6" s="747"/>
      <c r="N6" s="754"/>
      <c r="O6" s="152"/>
      <c r="P6" s="152"/>
      <c r="Q6" s="152"/>
      <c r="R6" s="152"/>
      <c r="S6" s="152"/>
      <c r="T6" s="152"/>
      <c r="U6" s="152"/>
      <c r="V6" s="152"/>
      <c r="W6" s="152"/>
      <c r="X6" s="152"/>
      <c r="Y6" s="152"/>
      <c r="Z6" s="152"/>
    </row>
    <row r="7" spans="1:26" ht="12.75" customHeight="1" thickTop="1">
      <c r="A7" s="721"/>
      <c r="B7" s="2588" t="s">
        <v>2191</v>
      </c>
      <c r="C7" s="753"/>
      <c r="D7" s="165" t="s">
        <v>979</v>
      </c>
      <c r="E7" s="166"/>
      <c r="F7" s="753"/>
      <c r="G7" s="634" t="s">
        <v>798</v>
      </c>
      <c r="H7" s="635"/>
      <c r="I7" s="753"/>
      <c r="J7" s="638" t="s">
        <v>984</v>
      </c>
      <c r="K7" s="639"/>
      <c r="L7" s="753"/>
      <c r="M7" s="2552" t="s">
        <v>398</v>
      </c>
      <c r="N7" s="2553"/>
      <c r="O7" s="152"/>
      <c r="P7" s="152"/>
      <c r="Q7" s="152"/>
      <c r="R7" s="152"/>
      <c r="S7" s="152"/>
      <c r="T7" s="152"/>
      <c r="U7" s="152"/>
      <c r="V7" s="152"/>
      <c r="W7" s="152"/>
      <c r="X7" s="152"/>
      <c r="Y7" s="152"/>
      <c r="Z7" s="152"/>
    </row>
    <row r="8" spans="1:26" ht="15.75" customHeight="1" thickBot="1">
      <c r="A8" s="722" t="s">
        <v>399</v>
      </c>
      <c r="B8" s="2589"/>
      <c r="C8" s="753"/>
      <c r="D8" s="438" t="s">
        <v>980</v>
      </c>
      <c r="E8" s="169"/>
      <c r="F8" s="753"/>
      <c r="G8" s="636" t="s">
        <v>981</v>
      </c>
      <c r="H8" s="637"/>
      <c r="I8" s="753"/>
      <c r="J8" s="640" t="s">
        <v>1055</v>
      </c>
      <c r="K8" s="641"/>
      <c r="L8" s="753"/>
      <c r="M8" s="2554"/>
      <c r="N8" s="2555"/>
      <c r="O8" s="152"/>
      <c r="P8" s="152"/>
      <c r="Q8" s="152"/>
      <c r="R8" s="152"/>
      <c r="S8" s="152"/>
      <c r="T8" s="152"/>
      <c r="U8" s="152"/>
      <c r="V8" s="152"/>
      <c r="W8" s="152"/>
      <c r="X8" s="152"/>
      <c r="Y8" s="152"/>
      <c r="Z8" s="152"/>
    </row>
    <row r="9" spans="1:26" ht="30.75" customHeight="1" thickBot="1">
      <c r="A9" s="1914" t="str">
        <f>+IF(AND(Status!K4="ДА",+'TRIAL-BALANCE'!AM13&lt;&gt;0,+'TRIAL-BALANCE'!AN13&lt;&gt;0,OR('Cash-deficit'!N15="",'Cash-deficit'!N18="",'Cash-deficit'!N19="",'Cash-deficit'!N20="",'Cash-deficit'!N21="",'Cash-deficit'!N23="")),"Непопълнен ред в таблица 'Cash-deficit'!",0)</f>
        <v>Непопълнен ред в таблица 'Cash-deficit'!</v>
      </c>
      <c r="B9" s="2590"/>
      <c r="C9" s="749"/>
      <c r="D9" s="725" t="s">
        <v>1149</v>
      </c>
      <c r="E9" s="726" t="s">
        <v>1150</v>
      </c>
      <c r="F9" s="749"/>
      <c r="G9" s="725" t="str">
        <f>+D9</f>
        <v>Текуща година                          (в левове)</v>
      </c>
      <c r="H9" s="729" t="str">
        <f>+E9</f>
        <v>Предходна година                         31 декември (в лева)</v>
      </c>
      <c r="I9" s="749"/>
      <c r="J9" s="725" t="str">
        <f>+G9</f>
        <v>Текуща година                          (в левове)</v>
      </c>
      <c r="K9" s="729" t="str">
        <f>+H9</f>
        <v>Предходна година                         31 декември (в лева)</v>
      </c>
      <c r="L9" s="749"/>
      <c r="M9" s="725" t="str">
        <f>+J9</f>
        <v>Текуща година                          (в левове)</v>
      </c>
      <c r="N9" s="729" t="str">
        <f>+K9</f>
        <v>Предходна година                         31 декември (в лева)</v>
      </c>
      <c r="O9" s="152"/>
      <c r="P9" s="152"/>
      <c r="Q9" s="152"/>
      <c r="R9" s="152"/>
      <c r="S9" s="152"/>
      <c r="T9" s="152"/>
      <c r="U9" s="152"/>
      <c r="V9" s="152"/>
      <c r="W9" s="152"/>
      <c r="X9" s="152"/>
      <c r="Y9" s="152"/>
      <c r="Z9" s="152"/>
    </row>
    <row r="10" spans="1:26" ht="15" customHeight="1" thickBot="1">
      <c r="A10" s="723" t="s">
        <v>150</v>
      </c>
      <c r="B10" s="724" t="s">
        <v>151</v>
      </c>
      <c r="C10" s="749"/>
      <c r="D10" s="727">
        <v>1</v>
      </c>
      <c r="E10" s="728">
        <f>1+D10</f>
        <v>2</v>
      </c>
      <c r="F10" s="749"/>
      <c r="G10" s="727">
        <f>1+E10</f>
        <v>3</v>
      </c>
      <c r="H10" s="728">
        <f>1+G10</f>
        <v>4</v>
      </c>
      <c r="I10" s="749"/>
      <c r="J10" s="727">
        <f>1+H10</f>
        <v>5</v>
      </c>
      <c r="K10" s="728">
        <f>1+J10</f>
        <v>6</v>
      </c>
      <c r="L10" s="749"/>
      <c r="M10" s="727">
        <f>1+K10</f>
        <v>7</v>
      </c>
      <c r="N10" s="728">
        <f>1+M10</f>
        <v>8</v>
      </c>
      <c r="O10" s="152"/>
      <c r="P10" s="152"/>
      <c r="Q10" s="152"/>
      <c r="R10" s="152"/>
      <c r="S10" s="152"/>
      <c r="T10" s="152"/>
      <c r="U10" s="152"/>
      <c r="V10" s="152"/>
      <c r="W10" s="152"/>
      <c r="X10" s="152"/>
      <c r="Y10" s="152"/>
      <c r="Z10" s="152"/>
    </row>
    <row r="11" spans="1:26" ht="15.75">
      <c r="A11" s="170" t="s">
        <v>1017</v>
      </c>
      <c r="B11" s="171"/>
      <c r="C11" s="753"/>
      <c r="D11" s="709"/>
      <c r="E11" s="707"/>
      <c r="F11" s="753"/>
      <c r="G11" s="709"/>
      <c r="H11" s="707"/>
      <c r="I11" s="753"/>
      <c r="J11" s="709"/>
      <c r="K11" s="707"/>
      <c r="L11" s="753"/>
      <c r="M11" s="709"/>
      <c r="N11" s="707"/>
      <c r="O11" s="152"/>
      <c r="P11" s="152"/>
      <c r="Q11" s="152"/>
      <c r="R11" s="152"/>
      <c r="S11" s="152"/>
      <c r="T11" s="152"/>
      <c r="U11" s="152"/>
      <c r="V11" s="152"/>
      <c r="W11" s="152"/>
      <c r="X11" s="152"/>
      <c r="Y11" s="152"/>
      <c r="Z11" s="152"/>
    </row>
    <row r="12" spans="1:26" ht="15.75">
      <c r="A12" s="172" t="s">
        <v>1018</v>
      </c>
      <c r="B12" s="173"/>
      <c r="C12" s="749"/>
      <c r="D12" s="710"/>
      <c r="E12" s="708"/>
      <c r="F12" s="749"/>
      <c r="G12" s="710"/>
      <c r="H12" s="708"/>
      <c r="I12" s="749"/>
      <c r="J12" s="710"/>
      <c r="K12" s="708"/>
      <c r="L12" s="749"/>
      <c r="M12" s="710"/>
      <c r="N12" s="708"/>
      <c r="O12" s="152"/>
      <c r="P12" s="152"/>
      <c r="Q12" s="152"/>
      <c r="R12" s="152"/>
      <c r="S12" s="152"/>
      <c r="T12" s="152"/>
      <c r="U12" s="152"/>
      <c r="V12" s="152"/>
      <c r="W12" s="152"/>
      <c r="X12" s="152"/>
      <c r="Y12" s="152"/>
      <c r="Z12" s="152"/>
    </row>
    <row r="13" spans="1:26" ht="15.75">
      <c r="A13" s="687" t="s">
        <v>1994</v>
      </c>
      <c r="B13" s="335">
        <v>711</v>
      </c>
      <c r="C13" s="749"/>
      <c r="D13" s="700">
        <f>+ROUND(+SUM('TRIAL-BALANCE'!T602:T605)-SUM('TRIAL-BALANCE'!S602:S605),2)</f>
        <v>0</v>
      </c>
      <c r="E13" s="694">
        <f>+ROUND(+SUM('R &amp; E data-2019'!P235:P238)-SUM('R &amp; E data-2019'!O235:O238),2)</f>
        <v>0</v>
      </c>
      <c r="F13" s="749"/>
      <c r="G13" s="700">
        <f>+ROUND(+SUM('TRIAL-BALANCE'!AA602:AA605)-SUM('TRIAL-BALANCE'!Z602:Z605),2)</f>
        <v>0</v>
      </c>
      <c r="H13" s="694">
        <f>+ROUND(+SUM('R &amp; E data-2019'!S235:S238)-SUM('R &amp; E data-2019'!R235:R238),2)</f>
        <v>0</v>
      </c>
      <c r="I13" s="749"/>
      <c r="J13" s="700">
        <f>+ROUND(+SUM('TRIAL-BALANCE'!AH602:AH605)-SUM('TRIAL-BALANCE'!AG602:AG605),2)</f>
        <v>0</v>
      </c>
      <c r="K13" s="694">
        <f>+ROUND(+SUM('R &amp; E data-2019'!V235:V238)-SUM('R &amp; E data-2019'!U235:U238),2)</f>
        <v>0</v>
      </c>
      <c r="L13" s="749"/>
      <c r="M13" s="700">
        <f t="shared" ref="M13:M20" si="0">+ROUND(+D13+G13+J13,2)</f>
        <v>0</v>
      </c>
      <c r="N13" s="694">
        <f t="shared" ref="N13:N20" si="1">+ROUND(+E13+H13+K13,2)</f>
        <v>0</v>
      </c>
      <c r="O13" s="152"/>
      <c r="P13" s="152"/>
      <c r="Q13" s="152"/>
      <c r="R13" s="152"/>
      <c r="S13" s="152"/>
      <c r="T13" s="152"/>
      <c r="U13" s="152"/>
      <c r="V13" s="152"/>
      <c r="W13" s="152"/>
      <c r="X13" s="152"/>
      <c r="Y13" s="152"/>
      <c r="Z13" s="152"/>
    </row>
    <row r="14" spans="1:26" ht="15.75">
      <c r="A14" s="687" t="s">
        <v>2145</v>
      </c>
      <c r="B14" s="335">
        <f>1+B13</f>
        <v>712</v>
      </c>
      <c r="C14" s="749"/>
      <c r="D14" s="700">
        <f>+ROUND(+SUM('TRIAL-BALANCE'!T606:T611)-SUM('TRIAL-BALANCE'!S606:S611),2)</f>
        <v>0</v>
      </c>
      <c r="E14" s="694">
        <f>+ROUND(+SUM('R &amp; E data-2019'!P239:P244)-SUM('R &amp; E data-2019'!O239:O244),2)</f>
        <v>0</v>
      </c>
      <c r="F14" s="749"/>
      <c r="G14" s="700">
        <f>+ROUND(+SUM('TRIAL-BALANCE'!AA606:AA611)-SUM('TRIAL-BALANCE'!Z606:Z611),2)</f>
        <v>0</v>
      </c>
      <c r="H14" s="694">
        <f>+ROUND(+SUM('R &amp; E data-2019'!S239:S244)-SUM('R &amp; E data-2019'!R239:R244),2)</f>
        <v>0</v>
      </c>
      <c r="I14" s="749"/>
      <c r="J14" s="700">
        <f>+ROUND(+SUM('TRIAL-BALANCE'!AH606:AH611)-SUM('TRIAL-BALANCE'!AG606:AG611),2)</f>
        <v>0</v>
      </c>
      <c r="K14" s="694">
        <f>+ROUND(+SUM('R &amp; E data-2019'!V239:V244)-SUM('R &amp; E data-2019'!U239:U244),2)</f>
        <v>0</v>
      </c>
      <c r="L14" s="749"/>
      <c r="M14" s="700">
        <f t="shared" si="0"/>
        <v>0</v>
      </c>
      <c r="N14" s="694">
        <f t="shared" si="1"/>
        <v>0</v>
      </c>
      <c r="O14" s="152"/>
      <c r="P14" s="152"/>
      <c r="Q14" s="152"/>
      <c r="R14" s="152"/>
      <c r="S14" s="152"/>
      <c r="T14" s="152"/>
      <c r="U14" s="152"/>
      <c r="V14" s="152"/>
      <c r="W14" s="152"/>
      <c r="X14" s="152"/>
      <c r="Y14" s="152"/>
      <c r="Z14" s="152"/>
    </row>
    <row r="15" spans="1:26" ht="15.75">
      <c r="A15" s="334" t="s">
        <v>1108</v>
      </c>
      <c r="B15" s="335">
        <f t="shared" ref="B15:B21" si="2">1+B14</f>
        <v>713</v>
      </c>
      <c r="C15" s="749"/>
      <c r="D15" s="700">
        <f>+ROUND(+'TRIAL-BALANCE'!T612-'TRIAL-BALANCE'!S612,2)</f>
        <v>0</v>
      </c>
      <c r="E15" s="694">
        <f>+ROUND(+'R &amp; E data-2019'!P245-'R &amp; E data-2019'!O245,2)</f>
        <v>0</v>
      </c>
      <c r="F15" s="749"/>
      <c r="G15" s="700">
        <f>+ROUND(+'TRIAL-BALANCE'!AA612-'TRIAL-BALANCE'!Z612,2)</f>
        <v>0</v>
      </c>
      <c r="H15" s="694">
        <f>+ROUND(+'R &amp; E data-2019'!S245-'R &amp; E data-2019'!R245,2)</f>
        <v>0</v>
      </c>
      <c r="I15" s="749"/>
      <c r="J15" s="700">
        <f>+ROUND(+'TRIAL-BALANCE'!AH612-'TRIAL-BALANCE'!AG612,2)</f>
        <v>0</v>
      </c>
      <c r="K15" s="694">
        <f>+ROUND(+'R &amp; E data-2019'!V245-'R &amp; E data-2019'!U245,2)</f>
        <v>0</v>
      </c>
      <c r="L15" s="749"/>
      <c r="M15" s="700">
        <f t="shared" si="0"/>
        <v>0</v>
      </c>
      <c r="N15" s="694">
        <f t="shared" si="1"/>
        <v>0</v>
      </c>
      <c r="O15" s="152"/>
      <c r="P15" s="152"/>
      <c r="Q15" s="152"/>
      <c r="R15" s="152"/>
      <c r="S15" s="152"/>
      <c r="T15" s="152"/>
      <c r="U15" s="152"/>
      <c r="V15" s="152"/>
      <c r="W15" s="152"/>
      <c r="X15" s="152"/>
      <c r="Y15" s="152"/>
      <c r="Z15" s="152"/>
    </row>
    <row r="16" spans="1:26" ht="15.75">
      <c r="A16" s="334" t="s">
        <v>1059</v>
      </c>
      <c r="B16" s="335">
        <f t="shared" si="2"/>
        <v>714</v>
      </c>
      <c r="C16" s="749"/>
      <c r="D16" s="700">
        <f>+ROUND(+'TRIAL-BALANCE'!T613+'TRIAL-BALANCE'!T659-'TRIAL-BALANCE'!S613-'TRIAL-BALANCE'!S659,2)</f>
        <v>0</v>
      </c>
      <c r="E16" s="694">
        <f>+ROUND(+'R &amp; E data-2019'!P246+'R &amp; E data-2019'!P292-'R &amp; E data-2019'!O246-'R &amp; E data-2019'!O292,2)</f>
        <v>0</v>
      </c>
      <c r="F16" s="749"/>
      <c r="G16" s="700">
        <f>+ROUND(+'TRIAL-BALANCE'!AA613+'TRIAL-BALANCE'!AA659-'TRIAL-BALANCE'!Z613-'TRIAL-BALANCE'!Z659,2)</f>
        <v>0</v>
      </c>
      <c r="H16" s="694">
        <f>+ROUND(+'R &amp; E data-2019'!S246+'R &amp; E data-2019'!S292-'R &amp; E data-2019'!R246-'R &amp; E data-2019'!R292,2)</f>
        <v>0</v>
      </c>
      <c r="I16" s="749"/>
      <c r="J16" s="700">
        <f>+ROUND(+'TRIAL-BALANCE'!AH613+'TRIAL-BALANCE'!AH659-'TRIAL-BALANCE'!AG613-'TRIAL-BALANCE'!AG659,2)</f>
        <v>0</v>
      </c>
      <c r="K16" s="694">
        <f>+ROUND(+'R &amp; E data-2019'!V246+'R &amp; E data-2019'!V292-'R &amp; E data-2019'!U246-'R &amp; E data-2019'!U292,2)</f>
        <v>0</v>
      </c>
      <c r="L16" s="749"/>
      <c r="M16" s="700">
        <f t="shared" si="0"/>
        <v>0</v>
      </c>
      <c r="N16" s="694">
        <f t="shared" si="1"/>
        <v>0</v>
      </c>
      <c r="O16" s="152"/>
      <c r="P16" s="152"/>
      <c r="Q16" s="152"/>
      <c r="R16" s="152"/>
      <c r="S16" s="152"/>
      <c r="T16" s="152"/>
      <c r="U16" s="152"/>
      <c r="V16" s="152"/>
      <c r="W16" s="152"/>
      <c r="X16" s="152"/>
      <c r="Y16" s="152"/>
      <c r="Z16" s="152"/>
    </row>
    <row r="17" spans="1:26" ht="15.75">
      <c r="A17" s="334" t="s">
        <v>1020</v>
      </c>
      <c r="B17" s="335">
        <f t="shared" si="2"/>
        <v>715</v>
      </c>
      <c r="C17" s="749"/>
      <c r="D17" s="700">
        <f>+ROUND(+SUM('TRIAL-BALANCE'!T619:T621)+'TRIAL-BALANCE'!T651-SUM('TRIAL-BALANCE'!S619:S621)-'TRIAL-BALANCE'!S651,2)</f>
        <v>0</v>
      </c>
      <c r="E17" s="694">
        <f>+ROUND(+SUM('R &amp; E data-2019'!P252:P254)+'R &amp; E data-2019'!P284-SUM('R &amp; E data-2019'!O252:O254)-'R &amp; E data-2019'!O284,2)</f>
        <v>0</v>
      </c>
      <c r="F17" s="749"/>
      <c r="G17" s="700">
        <f>+ROUND(+SUM('TRIAL-BALANCE'!AA619:AA621)+'TRIAL-BALANCE'!AA651-SUM('TRIAL-BALANCE'!Z619:Z621)-'TRIAL-BALANCE'!Z651,2)</f>
        <v>0</v>
      </c>
      <c r="H17" s="694">
        <f>+ROUND(+SUM('R &amp; E data-2019'!S252:S254)+'R &amp; E data-2019'!S284-SUM('R &amp; E data-2019'!R252:R254)-'R &amp; E data-2019'!R284,2)</f>
        <v>0</v>
      </c>
      <c r="I17" s="749"/>
      <c r="J17" s="700">
        <f>+ROUND(+SUM('TRIAL-BALANCE'!AH619:AH621)+'TRIAL-BALANCE'!AH651-SUM('TRIAL-BALANCE'!AG619:AG621)-'TRIAL-BALANCE'!AG651,2)</f>
        <v>0</v>
      </c>
      <c r="K17" s="694">
        <f>+ROUND(+SUM('R &amp; E data-2019'!V252:V254)+'R &amp; E data-2019'!V284-SUM('R &amp; E data-2019'!U252:U254)-'R &amp; E data-2019'!U284,2)</f>
        <v>0</v>
      </c>
      <c r="L17" s="749"/>
      <c r="M17" s="700">
        <f t="shared" si="0"/>
        <v>0</v>
      </c>
      <c r="N17" s="694">
        <f t="shared" si="1"/>
        <v>0</v>
      </c>
      <c r="O17" s="152"/>
      <c r="P17" s="152"/>
      <c r="Q17" s="152"/>
      <c r="R17" s="152"/>
      <c r="S17" s="152"/>
      <c r="T17" s="152"/>
      <c r="U17" s="152"/>
      <c r="V17" s="152"/>
      <c r="W17" s="152"/>
      <c r="X17" s="152"/>
      <c r="Y17" s="152"/>
      <c r="Z17" s="152"/>
    </row>
    <row r="18" spans="1:26" ht="15.75">
      <c r="A18" s="334" t="s">
        <v>1019</v>
      </c>
      <c r="B18" s="335">
        <f t="shared" si="2"/>
        <v>716</v>
      </c>
      <c r="C18" s="749"/>
      <c r="D18" s="700">
        <f>+ROUND(+'TRIAL-BALANCE'!T622-'TRIAL-BALANCE'!S622,2)</f>
        <v>0</v>
      </c>
      <c r="E18" s="694">
        <f>+ROUND(+'R &amp; E data-2019'!P255-'R &amp; E data-2019'!O255,2)</f>
        <v>0</v>
      </c>
      <c r="F18" s="749"/>
      <c r="G18" s="700">
        <f>+ROUND(+'TRIAL-BALANCE'!AA622-'TRIAL-BALANCE'!Z622,2)</f>
        <v>0</v>
      </c>
      <c r="H18" s="694">
        <f>+ROUND(+'R &amp; E data-2019'!S255-'R &amp; E data-2019'!R255,2)</f>
        <v>0</v>
      </c>
      <c r="I18" s="749"/>
      <c r="J18" s="700">
        <f>+ROUND(+'TRIAL-BALANCE'!AH622-'TRIAL-BALANCE'!AG622,2)</f>
        <v>0</v>
      </c>
      <c r="K18" s="694">
        <f>+ROUND(+'R &amp; E data-2019'!V255-'R &amp; E data-2019'!U255,2)</f>
        <v>0</v>
      </c>
      <c r="L18" s="749"/>
      <c r="M18" s="700">
        <f t="shared" si="0"/>
        <v>0</v>
      </c>
      <c r="N18" s="694">
        <f t="shared" si="1"/>
        <v>0</v>
      </c>
      <c r="O18" s="152"/>
      <c r="P18" s="152"/>
      <c r="Q18" s="152"/>
      <c r="R18" s="152"/>
      <c r="S18" s="152"/>
      <c r="T18" s="152"/>
      <c r="U18" s="152"/>
      <c r="V18" s="152"/>
      <c r="W18" s="152"/>
      <c r="X18" s="152"/>
      <c r="Y18" s="152"/>
      <c r="Z18" s="152"/>
    </row>
    <row r="19" spans="1:26" ht="15.75">
      <c r="A19" s="334" t="s">
        <v>1021</v>
      </c>
      <c r="B19" s="335">
        <f t="shared" si="2"/>
        <v>717</v>
      </c>
      <c r="C19" s="749"/>
      <c r="D19" s="700">
        <f>+ROUND(+SUM('TRIAL-BALANCE'!T660:T691)-SUM('TRIAL-BALANCE'!S660:S691),2)</f>
        <v>0</v>
      </c>
      <c r="E19" s="694">
        <f>+ROUND(+SUM('R &amp; E data-2019'!P293:P324)-SUM('R &amp; E data-2019'!O293:O324),2)</f>
        <v>0</v>
      </c>
      <c r="F19" s="749"/>
      <c r="G19" s="700">
        <f>+ROUND(+SUM('TRIAL-BALANCE'!AA660:AA691)-SUM('TRIAL-BALANCE'!Z660:Z691),2)</f>
        <v>0</v>
      </c>
      <c r="H19" s="694">
        <f>+ROUND(+SUM('R &amp; E data-2019'!S293:S324)-SUM('R &amp; E data-2019'!R293:R324),2)</f>
        <v>0</v>
      </c>
      <c r="I19" s="749"/>
      <c r="J19" s="700">
        <f>+ROUND(+SUM('TRIAL-BALANCE'!AH660:AH691)-SUM('TRIAL-BALANCE'!AG660:AG691),2)</f>
        <v>0</v>
      </c>
      <c r="K19" s="694">
        <f>+ROUND(+SUM('R &amp; E data-2019'!V293:V324)-SUM('R &amp; E data-2019'!U293:U324),2)</f>
        <v>0</v>
      </c>
      <c r="L19" s="749"/>
      <c r="M19" s="700">
        <f t="shared" si="0"/>
        <v>0</v>
      </c>
      <c r="N19" s="694">
        <f t="shared" si="1"/>
        <v>0</v>
      </c>
      <c r="O19" s="152"/>
      <c r="P19" s="152"/>
      <c r="Q19" s="152"/>
      <c r="R19" s="152"/>
      <c r="S19" s="152"/>
      <c r="T19" s="152"/>
      <c r="U19" s="152"/>
      <c r="V19" s="152"/>
      <c r="W19" s="152"/>
      <c r="X19" s="152"/>
      <c r="Y19" s="152"/>
      <c r="Z19" s="152"/>
    </row>
    <row r="20" spans="1:26" ht="15.75">
      <c r="A20" s="334" t="s">
        <v>1022</v>
      </c>
      <c r="B20" s="335">
        <f t="shared" si="2"/>
        <v>718</v>
      </c>
      <c r="C20" s="749"/>
      <c r="D20" s="700">
        <f>+ROUND(+SUM('TRIAL-BALANCE'!T640:T649)-SUM('TRIAL-BALANCE'!S640:S649),2)-(ROUND('TRIAL-BALANCE'!T648,2)-ROUND('TRIAL-BALANCE'!S648,2))</f>
        <v>0</v>
      </c>
      <c r="E20" s="694">
        <f>+ROUND(+SUM('R &amp; E data-2019'!P273:P282)-SUM('R &amp; E data-2019'!O273:O282),2)-(ROUND('R &amp; E data-2019'!P281,2)-ROUND('R &amp; E data-2019'!O281,2))</f>
        <v>0</v>
      </c>
      <c r="F20" s="749"/>
      <c r="G20" s="700">
        <f>+ROUND(+SUM('TRIAL-BALANCE'!AA640:AA649)-SUM('TRIAL-BALANCE'!Z640:Z649),2)-(ROUND('TRIAL-BALANCE'!AA648,2)-ROUND('TRIAL-BALANCE'!Z648,2))</f>
        <v>0</v>
      </c>
      <c r="H20" s="694">
        <f>+ROUND(+SUM('R &amp; E data-2019'!S273:S282)-SUM('R &amp; E data-2019'!R273:R282),2)-(ROUND('R &amp; E data-2019'!S281,2)-ROUND('R &amp; E data-2019'!R281,2))</f>
        <v>0</v>
      </c>
      <c r="I20" s="749"/>
      <c r="J20" s="700">
        <f>+ROUND(+SUM('TRIAL-BALANCE'!AH640:AH649)-SUM('TRIAL-BALANCE'!AG640:AG649),2)-(ROUND('TRIAL-BALANCE'!AH648,2)-ROUND('TRIAL-BALANCE'!AG648,2))</f>
        <v>0</v>
      </c>
      <c r="K20" s="694">
        <f>+ROUND(+SUM('R &amp; E data-2019'!V273:V282)-SUM('R &amp; E data-2019'!U273:U282),2)-(ROUND('R &amp; E data-2019'!V281,2)-ROUND('R &amp; E data-2019'!U281,2))</f>
        <v>0</v>
      </c>
      <c r="L20" s="749"/>
      <c r="M20" s="700">
        <f t="shared" si="0"/>
        <v>0</v>
      </c>
      <c r="N20" s="694">
        <f t="shared" si="1"/>
        <v>0</v>
      </c>
      <c r="O20" s="152"/>
      <c r="P20" s="152"/>
      <c r="Q20" s="152"/>
      <c r="R20" s="152"/>
      <c r="S20" s="152"/>
      <c r="T20" s="152"/>
      <c r="U20" s="152"/>
      <c r="V20" s="152"/>
      <c r="W20" s="152"/>
      <c r="X20" s="152"/>
      <c r="Y20" s="152"/>
      <c r="Z20" s="152"/>
    </row>
    <row r="21" spans="1:26" ht="15.75">
      <c r="A21" s="688" t="s">
        <v>1023</v>
      </c>
      <c r="B21" s="337">
        <f t="shared" si="2"/>
        <v>719</v>
      </c>
      <c r="C21" s="749"/>
      <c r="D21" s="701">
        <f>+ROUND(+SUM('TRIAL-BALANCE'!T652:T653)+SUM('TRIAL-BALANCE'!T657:T658)-SUM('TRIAL-BALANCE'!S652:S653)-SUM('TRIAL-BALANCE'!S657:S658),2)</f>
        <v>0</v>
      </c>
      <c r="E21" s="695">
        <f>+ROUND(+SUM('R &amp; E data-2019'!P285:P286)+SUM('R &amp; E data-2019'!P290:P291)-SUM('R &amp; E data-2019'!O285:O286)-SUM('R &amp; E data-2019'!O290:O291),2)</f>
        <v>0</v>
      </c>
      <c r="F21" s="749"/>
      <c r="G21" s="701">
        <f>+ROUND(+SUM('TRIAL-BALANCE'!AA652:AA653)+SUM('TRIAL-BALANCE'!AA657:AA658)-SUM('TRIAL-BALANCE'!Z652:Z653)-SUM('TRIAL-BALANCE'!Z657:Z658),2)</f>
        <v>0</v>
      </c>
      <c r="H21" s="695">
        <f>+ROUND(+SUM('R &amp; E data-2019'!S285:S286)+SUM('R &amp; E data-2019'!S290:S291)-SUM('R &amp; E data-2019'!R285:R286)-SUM('R &amp; E data-2019'!R290:R291),2)</f>
        <v>0</v>
      </c>
      <c r="I21" s="749"/>
      <c r="J21" s="701">
        <f>+ROUND(+SUM('TRIAL-BALANCE'!AH652:AH653)+SUM('TRIAL-BALANCE'!AH657:AH658)-SUM('TRIAL-BALANCE'!AG652:AG653)-SUM('TRIAL-BALANCE'!AG657:AG658),2)</f>
        <v>0</v>
      </c>
      <c r="K21" s="695">
        <f>+ROUND(+SUM('R &amp; E data-2019'!V285:V286)+SUM('R &amp; E data-2019'!V290:V291)-SUM('R &amp; E data-2019'!U285:U286)-SUM('R &amp; E data-2019'!U290:U291),2)</f>
        <v>0</v>
      </c>
      <c r="L21" s="749"/>
      <c r="M21" s="1942">
        <f>+ROUND(+D21+G21+J21,2)</f>
        <v>0</v>
      </c>
      <c r="N21" s="1941">
        <f>+ROUND(+E21+H21+K21,2)</f>
        <v>0</v>
      </c>
      <c r="O21" s="152"/>
      <c r="P21" s="152"/>
      <c r="Q21" s="152"/>
      <c r="R21" s="152"/>
      <c r="S21" s="152"/>
      <c r="T21" s="152"/>
      <c r="U21" s="152"/>
      <c r="V21" s="152"/>
      <c r="W21" s="152"/>
      <c r="X21" s="152"/>
      <c r="Y21" s="152"/>
      <c r="Z21" s="152"/>
    </row>
    <row r="22" spans="1:26" ht="15.75">
      <c r="A22" s="177" t="s">
        <v>1025</v>
      </c>
      <c r="B22" s="178">
        <v>710</v>
      </c>
      <c r="C22" s="749"/>
      <c r="D22" s="702">
        <f>+ROUND(+SUM(D13:D21),2)</f>
        <v>0</v>
      </c>
      <c r="E22" s="693">
        <f>+ROUND(+SUM(E13:E21),2)</f>
        <v>0</v>
      </c>
      <c r="F22" s="749"/>
      <c r="G22" s="702">
        <f>+ROUND(+SUM(G13:G21),2)</f>
        <v>0</v>
      </c>
      <c r="H22" s="693">
        <f>+ROUND(+SUM(H13:H21),2)</f>
        <v>0</v>
      </c>
      <c r="I22" s="749"/>
      <c r="J22" s="702">
        <f>+ROUND(+SUM(J13:J21),2)</f>
        <v>0</v>
      </c>
      <c r="K22" s="693">
        <f>+ROUND(+SUM(K13:K21),2)</f>
        <v>0</v>
      </c>
      <c r="L22" s="749"/>
      <c r="M22" s="702">
        <f>+ROUND(+SUM(M13:M21),2)</f>
        <v>0</v>
      </c>
      <c r="N22" s="693">
        <f>+ROUND(+SUM(N13:N21),2)</f>
        <v>0</v>
      </c>
      <c r="O22" s="152"/>
      <c r="P22" s="152"/>
      <c r="Q22" s="152"/>
      <c r="R22" s="152"/>
      <c r="S22" s="152"/>
      <c r="T22" s="152"/>
      <c r="U22" s="152"/>
      <c r="V22" s="152"/>
      <c r="W22" s="152"/>
      <c r="X22" s="152"/>
      <c r="Y22" s="152"/>
      <c r="Z22" s="152"/>
    </row>
    <row r="23" spans="1:26" ht="15.75">
      <c r="A23" s="172" t="s">
        <v>1058</v>
      </c>
      <c r="B23" s="173"/>
      <c r="C23" s="749"/>
      <c r="D23" s="703"/>
      <c r="E23" s="696"/>
      <c r="F23" s="749"/>
      <c r="G23" s="703"/>
      <c r="H23" s="696"/>
      <c r="I23" s="749"/>
      <c r="J23" s="703"/>
      <c r="K23" s="696"/>
      <c r="L23" s="749"/>
      <c r="M23" s="703"/>
      <c r="N23" s="696"/>
      <c r="O23" s="152"/>
      <c r="P23" s="152"/>
      <c r="Q23" s="152"/>
      <c r="R23" s="152"/>
      <c r="S23" s="152"/>
      <c r="T23" s="152"/>
      <c r="U23" s="152"/>
      <c r="V23" s="152"/>
      <c r="W23" s="152"/>
      <c r="X23" s="152"/>
      <c r="Y23" s="152"/>
      <c r="Z23" s="152"/>
    </row>
    <row r="24" spans="1:26" ht="15.75">
      <c r="A24" s="334" t="s">
        <v>1057</v>
      </c>
      <c r="B24" s="335">
        <v>721</v>
      </c>
      <c r="C24" s="749"/>
      <c r="D24" s="700">
        <f>+ROUND(+SUM('TRIAL-BALANCE'!T614:T618)+SUM('TRIAL-BALANCE'!T635:T636)-SUM('TRIAL-BALANCE'!S614:S618)-SUM('TRIAL-BALANCE'!S635:S636),2)</f>
        <v>0</v>
      </c>
      <c r="E24" s="694">
        <f>+ROUND(+SUM('R &amp; E data-2019'!P247:P251)+SUM('R &amp; E data-2019'!P268:P269)-SUM('R &amp; E data-2019'!O247:O251)-SUM('R &amp; E data-2019'!O268:O269),2)</f>
        <v>0</v>
      </c>
      <c r="F24" s="749"/>
      <c r="G24" s="700">
        <f>+ROUND(+SUM('TRIAL-BALANCE'!AA614:AA618)+SUM('TRIAL-BALANCE'!AA635:AA636)-SUM('TRIAL-BALANCE'!Z614:Z618)-SUM('TRIAL-BALANCE'!Z635:Z636),2)</f>
        <v>0</v>
      </c>
      <c r="H24" s="694">
        <f>+ROUND(+SUM('R &amp; E data-2019'!S247:S251)+SUM('R &amp; E data-2019'!S268:S269)-SUM('R &amp; E data-2019'!R247:R251)-SUM('R &amp; E data-2019'!R268:R269),2)</f>
        <v>0</v>
      </c>
      <c r="I24" s="749"/>
      <c r="J24" s="700">
        <f>+ROUND(+SUM('TRIAL-BALANCE'!AH614:AH618)+SUM('TRIAL-BALANCE'!AH635:AH636)-SUM('TRIAL-BALANCE'!AG614:AG618)-SUM('TRIAL-BALANCE'!AG635:AG636),2)</f>
        <v>0</v>
      </c>
      <c r="K24" s="694">
        <f>+ROUND(+SUM('R &amp; E data-2019'!V247:V251)+SUM('R &amp; E data-2019'!V268:V269)-SUM('R &amp; E data-2019'!U247:U251)-SUM('R &amp; E data-2019'!U268:U269),2)</f>
        <v>0</v>
      </c>
      <c r="L24" s="749"/>
      <c r="M24" s="700">
        <f t="shared" ref="M24:N26" si="3">+ROUND(+D24+G24+J24,2)</f>
        <v>0</v>
      </c>
      <c r="N24" s="694">
        <f t="shared" si="3"/>
        <v>0</v>
      </c>
      <c r="O24" s="152"/>
      <c r="P24" s="1883"/>
      <c r="Q24" s="1903" t="s">
        <v>1875</v>
      </c>
      <c r="R24" s="152"/>
      <c r="S24" s="152"/>
      <c r="T24" s="152"/>
      <c r="U24" s="152"/>
      <c r="V24" s="152"/>
      <c r="W24" s="152"/>
      <c r="X24" s="152"/>
      <c r="Y24" s="152"/>
      <c r="Z24" s="152"/>
    </row>
    <row r="25" spans="1:26" ht="15.75">
      <c r="A25" s="334" t="s">
        <v>1056</v>
      </c>
      <c r="B25" s="335">
        <f>1+B24</f>
        <v>722</v>
      </c>
      <c r="C25" s="749"/>
      <c r="D25" s="700">
        <f>+ROUND(+SUM('TRIAL-BALANCE'!T623:T634)-SUM('TRIAL-BALANCE'!S623:S634),2)</f>
        <v>0</v>
      </c>
      <c r="E25" s="694">
        <f>+ROUND(+SUM('R &amp; E data-2019'!P256:P267)-SUM('R &amp; E data-2019'!O256:O267),2)</f>
        <v>0</v>
      </c>
      <c r="F25" s="749"/>
      <c r="G25" s="700">
        <f>+ROUND(+SUM('TRIAL-BALANCE'!AA623:AA634)-SUM('TRIAL-BALANCE'!Z623:Z634),2)</f>
        <v>0</v>
      </c>
      <c r="H25" s="694">
        <f>+ROUND(+SUM('R &amp; E data-2019'!S256:S267)-SUM('R &amp; E data-2019'!R256:R267),2)</f>
        <v>0</v>
      </c>
      <c r="I25" s="749"/>
      <c r="J25" s="700">
        <f>+ROUND(+SUM('TRIAL-BALANCE'!AH623:AH634)-SUM('TRIAL-BALANCE'!AG623:AG634),2)</f>
        <v>0</v>
      </c>
      <c r="K25" s="694">
        <f>+ROUND(+SUM('R &amp; E data-2019'!V256:V267)-SUM('R &amp; E data-2019'!U256:U267),2)</f>
        <v>0</v>
      </c>
      <c r="L25" s="749"/>
      <c r="M25" s="700">
        <f t="shared" si="3"/>
        <v>0</v>
      </c>
      <c r="N25" s="694">
        <f t="shared" si="3"/>
        <v>0</v>
      </c>
      <c r="O25" s="152"/>
      <c r="P25" s="1667" t="s">
        <v>1869</v>
      </c>
      <c r="Q25" s="1895" t="str">
        <f>+'BALANCE-SHEET-2020-leva'!Q36</f>
        <v>'Municipal-Bal'</v>
      </c>
      <c r="R25" s="152"/>
      <c r="S25" s="152"/>
      <c r="T25" s="152"/>
      <c r="U25" s="152"/>
      <c r="V25" s="152"/>
      <c r="W25" s="152"/>
      <c r="X25" s="152"/>
      <c r="Y25" s="152"/>
      <c r="Z25" s="152"/>
    </row>
    <row r="26" spans="1:26" ht="15.75">
      <c r="A26" s="336" t="s">
        <v>1139</v>
      </c>
      <c r="B26" s="337">
        <f>1+B25</f>
        <v>723</v>
      </c>
      <c r="C26" s="749"/>
      <c r="D26" s="701">
        <f>+ROUND(+SUM('TRIAL-BALANCE'!T637:T638)-SUM('TRIAL-BALANCE'!S637:S638),2)</f>
        <v>0</v>
      </c>
      <c r="E26" s="695">
        <f>+ROUND(+SUM('R &amp; E data-2019'!P270:P271)-SUM('R &amp; E data-2019'!O270:O271),2)</f>
        <v>0</v>
      </c>
      <c r="F26" s="749"/>
      <c r="G26" s="701">
        <f>+ROUND(+SUM('TRIAL-BALANCE'!AA637:AA638)-SUM('TRIAL-BALANCE'!Z637:Z638),2)</f>
        <v>0</v>
      </c>
      <c r="H26" s="695">
        <f>+ROUND(+SUM('R &amp; E data-2019'!S270:S271)-SUM('R &amp; E data-2019'!R270:R271),2)</f>
        <v>0</v>
      </c>
      <c r="I26" s="749"/>
      <c r="J26" s="701">
        <f>+ROUND(+SUM('TRIAL-BALANCE'!AH637:AH638)-SUM('TRIAL-BALANCE'!AG637:AG638),2)</f>
        <v>0</v>
      </c>
      <c r="K26" s="695">
        <f>+ROUND(+SUM('R &amp; E data-2019'!V270:V271)-SUM('R &amp; E data-2019'!U270:U271),2)</f>
        <v>0</v>
      </c>
      <c r="L26" s="749"/>
      <c r="M26" s="701">
        <f t="shared" si="3"/>
        <v>0</v>
      </c>
      <c r="N26" s="695">
        <f t="shared" si="3"/>
        <v>0</v>
      </c>
      <c r="O26" s="152"/>
      <c r="P26" s="1664" t="s">
        <v>1297</v>
      </c>
      <c r="Q26" s="1665"/>
      <c r="R26" s="152"/>
      <c r="S26" s="152"/>
      <c r="T26" s="152"/>
      <c r="U26" s="152"/>
      <c r="V26" s="152"/>
      <c r="W26" s="152"/>
      <c r="X26" s="152"/>
      <c r="Y26" s="152"/>
      <c r="Z26" s="152"/>
    </row>
    <row r="27" spans="1:26" ht="15.75">
      <c r="A27" s="177" t="s">
        <v>1024</v>
      </c>
      <c r="B27" s="178">
        <v>720</v>
      </c>
      <c r="C27" s="749"/>
      <c r="D27" s="702">
        <f>+ROUND(+SUM(D24:D26),2)</f>
        <v>0</v>
      </c>
      <c r="E27" s="693">
        <f>+ROUND(+SUM(E24:E26),2)</f>
        <v>0</v>
      </c>
      <c r="F27" s="749"/>
      <c r="G27" s="702">
        <f>+ROUND(+SUM(G24:G26),2)</f>
        <v>0</v>
      </c>
      <c r="H27" s="693">
        <f>+ROUND(+SUM(H24:H26),2)</f>
        <v>0</v>
      </c>
      <c r="I27" s="749"/>
      <c r="J27" s="702">
        <f>+ROUND(+SUM(J24:J26),2)</f>
        <v>0</v>
      </c>
      <c r="K27" s="693">
        <f>+ROUND(+SUM(K24:K26),2)</f>
        <v>0</v>
      </c>
      <c r="L27" s="749"/>
      <c r="M27" s="702">
        <f>+ROUND(+SUM(M24:M26),2)</f>
        <v>0</v>
      </c>
      <c r="N27" s="693">
        <f>+ROUND(+SUM(N24:N26),2)</f>
        <v>0</v>
      </c>
      <c r="O27" s="152"/>
      <c r="P27" s="1898" t="s">
        <v>1295</v>
      </c>
      <c r="Q27" s="1899" t="s">
        <v>1296</v>
      </c>
      <c r="R27" s="152"/>
      <c r="S27" s="152"/>
      <c r="T27" s="152"/>
      <c r="U27" s="152"/>
      <c r="V27" s="152"/>
      <c r="W27" s="152"/>
      <c r="X27" s="152"/>
      <c r="Y27" s="152"/>
      <c r="Z27" s="152"/>
    </row>
    <row r="28" spans="1:26" ht="6" customHeight="1">
      <c r="A28" s="172"/>
      <c r="B28" s="173"/>
      <c r="C28" s="749"/>
      <c r="D28" s="703"/>
      <c r="E28" s="696"/>
      <c r="F28" s="749"/>
      <c r="G28" s="703"/>
      <c r="H28" s="696"/>
      <c r="I28" s="749"/>
      <c r="J28" s="703"/>
      <c r="K28" s="696"/>
      <c r="L28" s="749"/>
      <c r="M28" s="703"/>
      <c r="N28" s="696"/>
      <c r="O28" s="152"/>
      <c r="P28" s="1901"/>
      <c r="Q28" s="1900"/>
      <c r="R28" s="152"/>
      <c r="S28" s="152"/>
      <c r="T28" s="152"/>
      <c r="U28" s="152"/>
      <c r="V28" s="152"/>
      <c r="W28" s="152"/>
      <c r="X28" s="152"/>
      <c r="Y28" s="152"/>
      <c r="Z28" s="152"/>
    </row>
    <row r="29" spans="1:26" ht="15.75">
      <c r="A29" s="177" t="s">
        <v>1868</v>
      </c>
      <c r="B29" s="178">
        <v>730</v>
      </c>
      <c r="C29" s="749"/>
      <c r="D29" s="702">
        <f>+ROUND('TRIAL-BALANCE'!T650-'TRIAL-BALANCE'!S650,2)+ROUND(+'TRIAL-BALANCE'!T654-'TRIAL-BALANCE'!S654,2)+ROUND('TRIAL-BALANCE'!T692-'TRIAL-BALANCE'!S692,2)+(ROUND('TRIAL-BALANCE'!T648,2)-ROUND('TRIAL-BALANCE'!S648,2))</f>
        <v>0</v>
      </c>
      <c r="E29" s="693">
        <f>+ROUND('R &amp; E data-2019'!P283-'R &amp; E data-2019'!O283,2)+ROUND(+'R &amp; E data-2019'!P287-'R &amp; E data-2019'!O287,2)+ROUND(+'R &amp; E data-2019'!P325-'R &amp; E data-2019'!O325,2)+(ROUND('R &amp; E data-2019'!P281,2)-ROUND('R &amp; E data-2019'!O281,2))</f>
        <v>0</v>
      </c>
      <c r="F29" s="749"/>
      <c r="G29" s="702">
        <f>+ROUND('TRIAL-BALANCE'!AA650-'TRIAL-BALANCE'!Z650,2)+ROUND(+'TRIAL-BALANCE'!AA654-'TRIAL-BALANCE'!Z654,2)+ROUND(+'TRIAL-BALANCE'!AA692-'TRIAL-BALANCE'!Z692,2)+(ROUND('TRIAL-BALANCE'!AA648,2)-ROUND('TRIAL-BALANCE'!Z648,2))</f>
        <v>0</v>
      </c>
      <c r="H29" s="693">
        <f>+ROUND('R &amp; E data-2019'!S283-'R &amp; E data-2019'!R283,2)+ROUND(+'R &amp; E data-2019'!S287-'R &amp; E data-2019'!R287,2)+ROUND('R &amp; E data-2019'!S325-'R &amp; E data-2019'!R325,2)+(ROUND('R &amp; E data-2019'!S281,2)-ROUND('R &amp; E data-2019'!R281,2))</f>
        <v>0</v>
      </c>
      <c r="I29" s="749"/>
      <c r="J29" s="702">
        <f>+ROUND('TRIAL-BALANCE'!AH650-'TRIAL-BALANCE'!AG650,2)+ROUND(+'TRIAL-BALANCE'!AH654-'TRIAL-BALANCE'!AG654,2)+ROUND('TRIAL-BALANCE'!AH692-'TRIAL-BALANCE'!AG692,2)+(ROUND('TRIAL-BALANCE'!AH648,2)-ROUND('TRIAL-BALANCE'!AG648,2))</f>
        <v>0</v>
      </c>
      <c r="K29" s="693">
        <f>+ROUND('R &amp; E data-2019'!V283-'R &amp; E data-2019'!U283,2)+ROUND(+'R &amp; E data-2019'!V287-'R &amp; E data-2019'!U287,2)+ROUND('R &amp; E data-2019'!V325-'R &amp; E data-2019'!U325,2)+(ROUND('R &amp; E data-2019'!V281,2)-ROUND('R &amp; E data-2019'!U281,2))</f>
        <v>0</v>
      </c>
      <c r="L29" s="749"/>
      <c r="M29" s="702">
        <f>+ROUND(+D29+G29+J29,2)+ROUND(P29,2)</f>
        <v>0</v>
      </c>
      <c r="N29" s="693">
        <f>+ROUND(+E29+H29+K29,2)+ROUND(Q29,2)</f>
        <v>0</v>
      </c>
      <c r="O29" s="152"/>
      <c r="P29" s="1210">
        <f>+IF(+AND(Status!K4="ДА",+ROUND('Municipal-Bal'!K20,0)=1,+ROUND('Municipal-Bal'!V80,2)=+ROUND('Municipal-Bal'!V91,2)),+ROUND(+SUM('Municipal-Bal'!U82:U83),2),0)</f>
        <v>0</v>
      </c>
      <c r="Q29" s="1938">
        <f>+IF(+AND(Status!K4="ДА",+ROUND('Municipal-Bal'!K20,0)=1,+ROUND('Municipal-Bal'!V110,2)=+ROUND('Municipal-Bal'!V121,2)),+ROUND(+SUM('Municipal-Bal'!U112:U113)+'Municipal-Bal'!V114,2),0)</f>
        <v>0</v>
      </c>
      <c r="R29" s="152"/>
      <c r="S29" s="152"/>
      <c r="T29" s="152"/>
      <c r="U29" s="152"/>
      <c r="V29" s="152"/>
      <c r="W29" s="152"/>
      <c r="X29" s="152"/>
      <c r="Y29" s="152"/>
      <c r="Z29" s="152"/>
    </row>
    <row r="30" spans="1:26" ht="15.75">
      <c r="A30" s="1894" t="s">
        <v>1864</v>
      </c>
      <c r="B30" s="1889">
        <v>739</v>
      </c>
      <c r="C30" s="749"/>
      <c r="D30" s="1890">
        <f>+ROUND(+'TRIAL-BALANCE'!T654-'TRIAL-BALANCE'!S654,2)</f>
        <v>0</v>
      </c>
      <c r="E30" s="1891">
        <f>+ROUND(+'R &amp; E data-2019'!P287-'R &amp; E data-2019'!O287,2)</f>
        <v>0</v>
      </c>
      <c r="F30" s="749"/>
      <c r="G30" s="1890">
        <f>+ROUND(+'TRIAL-BALANCE'!AA654-'TRIAL-BALANCE'!Z654,2)</f>
        <v>0</v>
      </c>
      <c r="H30" s="1891">
        <f>+ROUND(+'R &amp; E data-2019'!S287-'R &amp; E data-2019'!R287,2)</f>
        <v>0</v>
      </c>
      <c r="I30" s="749"/>
      <c r="J30" s="1890">
        <f>+ROUND(+'TRIAL-BALANCE'!AH654-'TRIAL-BALANCE'!AG654,2)</f>
        <v>0</v>
      </c>
      <c r="K30" s="1891">
        <f>+ROUND(+'R &amp; E data-2019'!V287-'R &amp; E data-2019'!U287,2)</f>
        <v>0</v>
      </c>
      <c r="L30" s="749"/>
      <c r="M30" s="1890">
        <f>+ROUND(+D30+G30+J30,2)</f>
        <v>0</v>
      </c>
      <c r="N30" s="1891">
        <f>+ROUND(+E30+H30+K30,2)</f>
        <v>0</v>
      </c>
      <c r="O30" s="152"/>
      <c r="P30" s="2562" t="str">
        <f>+IF(+AND(+Status!K4="ДА",+ROUND('Municipal-Bal'!K20,0)=1),+IF(+ROUND('Municipal-Bal'!V80,2)=+ROUND('Municipal-Bal'!V91,2),"O K","неспазено изискване NA-BAL = NA-OPR в 'Municipal-Bal'"),"O K")</f>
        <v>O K</v>
      </c>
      <c r="Q30" s="2562"/>
      <c r="R30" s="152"/>
      <c r="S30" s="152"/>
      <c r="T30" s="152"/>
      <c r="U30" s="152"/>
      <c r="V30" s="152"/>
      <c r="W30" s="152"/>
      <c r="X30" s="152"/>
      <c r="Y30" s="152"/>
      <c r="Z30" s="152"/>
    </row>
    <row r="31" spans="1:26" ht="6" customHeight="1">
      <c r="A31" s="172"/>
      <c r="B31" s="173"/>
      <c r="C31" s="749"/>
      <c r="D31" s="703"/>
      <c r="E31" s="696"/>
      <c r="F31" s="749"/>
      <c r="G31" s="703"/>
      <c r="H31" s="696"/>
      <c r="I31" s="749"/>
      <c r="J31" s="703"/>
      <c r="K31" s="696"/>
      <c r="L31" s="749"/>
      <c r="M31" s="703"/>
      <c r="N31" s="696"/>
      <c r="O31" s="152"/>
      <c r="P31" s="2603">
        <f>+IF(P30="O K",0,"N o ")</f>
        <v>0</v>
      </c>
      <c r="Q31" s="2603"/>
      <c r="R31" s="152"/>
      <c r="S31" s="152"/>
      <c r="T31" s="152"/>
      <c r="U31" s="152"/>
      <c r="V31" s="152"/>
      <c r="W31" s="152"/>
      <c r="X31" s="152"/>
      <c r="Y31" s="152"/>
      <c r="Z31" s="152"/>
    </row>
    <row r="32" spans="1:26" ht="15.75">
      <c r="A32" s="177" t="s">
        <v>1109</v>
      </c>
      <c r="B32" s="178">
        <v>740</v>
      </c>
      <c r="C32" s="749"/>
      <c r="D32" s="702">
        <f>+ROUND(+SUM('TRIAL-BALANCE'!T655:T656)-SUM('TRIAL-BALANCE'!S655:S656),2)</f>
        <v>0</v>
      </c>
      <c r="E32" s="693">
        <f>+ROUND(+SUM('R &amp; E data-2019'!P288:P289)-SUM('R &amp; E data-2019'!O288:O289),2)</f>
        <v>0</v>
      </c>
      <c r="F32" s="749"/>
      <c r="G32" s="702">
        <f>+ROUND(+SUM('TRIAL-BALANCE'!AA655:AA656)-SUM('TRIAL-BALANCE'!Z655:Z656),2)</f>
        <v>0</v>
      </c>
      <c r="H32" s="693">
        <f>+ROUND(+SUM('R &amp; E data-2019'!S288:S289)-SUM('R &amp; E data-2019'!R288:R289),2)</f>
        <v>0</v>
      </c>
      <c r="I32" s="749"/>
      <c r="J32" s="702">
        <f>+ROUND(+SUM('TRIAL-BALANCE'!AH655:AH656)-SUM('TRIAL-BALANCE'!AG655:AG656),2)</f>
        <v>0</v>
      </c>
      <c r="K32" s="693">
        <f>+ROUND(+SUM('R &amp; E data-2019'!V288:V289)-SUM('R &amp; E data-2019'!U288:U289),2)</f>
        <v>0</v>
      </c>
      <c r="L32" s="749"/>
      <c r="M32" s="702">
        <f>+ROUND(+D32+G32+J32,2)</f>
        <v>0</v>
      </c>
      <c r="N32" s="693">
        <f>+ROUND(+E32+H32+K32,2)</f>
        <v>0</v>
      </c>
      <c r="O32" s="152"/>
      <c r="P32" s="2598" t="str">
        <f>+IF(+AND(+Status!K4="ДА",+ROUND('Municipal-Bal'!K20,0)=1),+IF(+ROUND('Municipal-Bal'!V110,2)=+ROUND('Municipal-Bal'!V121,2),"O K","неспазено изискване NA-BAL = NA-OPR в 'Municipal-Bal'"),"O K")</f>
        <v>O K</v>
      </c>
      <c r="Q32" s="2598"/>
      <c r="R32" s="152"/>
      <c r="S32" s="152"/>
      <c r="T32" s="152"/>
      <c r="U32" s="152"/>
      <c r="V32" s="152"/>
      <c r="W32" s="152"/>
      <c r="X32" s="152"/>
      <c r="Y32" s="152"/>
      <c r="Z32" s="152"/>
    </row>
    <row r="33" spans="1:26" ht="15.75">
      <c r="A33" s="172" t="s">
        <v>1110</v>
      </c>
      <c r="B33" s="173"/>
      <c r="C33" s="749"/>
      <c r="D33" s="703"/>
      <c r="E33" s="696"/>
      <c r="F33" s="749"/>
      <c r="G33" s="703"/>
      <c r="H33" s="696"/>
      <c r="I33" s="749"/>
      <c r="J33" s="703"/>
      <c r="K33" s="696"/>
      <c r="L33" s="749"/>
      <c r="M33" s="703"/>
      <c r="N33" s="696"/>
      <c r="O33" s="152"/>
      <c r="P33" s="152"/>
      <c r="Q33" s="152"/>
      <c r="R33" s="152"/>
      <c r="S33" s="152"/>
      <c r="T33" s="152"/>
      <c r="U33" s="152"/>
      <c r="V33" s="152"/>
      <c r="W33" s="152"/>
      <c r="X33" s="152"/>
      <c r="Y33" s="152"/>
      <c r="Z33" s="152"/>
    </row>
    <row r="34" spans="1:26" ht="15.75">
      <c r="A34" s="334" t="s">
        <v>1031</v>
      </c>
      <c r="B34" s="335">
        <v>751</v>
      </c>
      <c r="C34" s="749"/>
      <c r="D34" s="700">
        <f>+ROUND(+SUM('TRIAL-BALANCE'!T708:T709)+SUM('TRIAL-BALANCE'!T726:T729)-SUM('TRIAL-BALANCE'!S708:S709)-SUM('TRIAL-BALANCE'!S726:S729),2)</f>
        <v>0</v>
      </c>
      <c r="E34" s="694">
        <f>+ROUND(+SUM('R &amp; E data-2019'!P341:P342)+SUM('R &amp; E data-2019'!P359:P362)-SUM('R &amp; E data-2019'!O341:O342)-SUM('R &amp; E data-2019'!O359:O362),2)</f>
        <v>0</v>
      </c>
      <c r="F34" s="749"/>
      <c r="G34" s="700">
        <f>+ROUND(+SUM('TRIAL-BALANCE'!AA708:AA709)+SUM('TRIAL-BALANCE'!AA726:AA729)-SUM('TRIAL-BALANCE'!Z708:Z709)-SUM('TRIAL-BALANCE'!Z726:Z729),2)</f>
        <v>0</v>
      </c>
      <c r="H34" s="694">
        <f>+ROUND(+SUM('R &amp; E data-2019'!S341:S342)+SUM('R &amp; E data-2019'!S359:S362)-SUM('R &amp; E data-2019'!R341:R342)-SUM('R &amp; E data-2019'!R359:R362),2)</f>
        <v>0</v>
      </c>
      <c r="I34" s="749"/>
      <c r="J34" s="700">
        <f>+ROUND(+SUM('TRIAL-BALANCE'!AH708:AH709)+SUM('TRIAL-BALANCE'!AH726:AH729)-SUM('TRIAL-BALANCE'!AG708:AG709)-SUM('TRIAL-BALANCE'!AG726:AG729),2)</f>
        <v>0</v>
      </c>
      <c r="K34" s="694">
        <f>+ROUND(+SUM('R &amp; E data-2019'!V341:V342)+SUM('R &amp; E data-2019'!V359:V362)-SUM('R &amp; E data-2019'!U341:U342)-SUM('R &amp; E data-2019'!U359:U362),2)</f>
        <v>0</v>
      </c>
      <c r="L34" s="749"/>
      <c r="M34" s="700">
        <f t="shared" ref="M34:N37" si="4">+ROUND(+D34+G34+J34,2)</f>
        <v>0</v>
      </c>
      <c r="N34" s="694">
        <f t="shared" si="4"/>
        <v>0</v>
      </c>
      <c r="O34" s="152"/>
      <c r="P34" s="152"/>
      <c r="Q34" s="152"/>
      <c r="R34" s="152"/>
      <c r="S34" s="152"/>
      <c r="T34" s="152"/>
      <c r="U34" s="152"/>
      <c r="V34" s="152"/>
      <c r="W34" s="152"/>
      <c r="X34" s="152"/>
      <c r="Y34" s="152"/>
      <c r="Z34" s="152"/>
    </row>
    <row r="35" spans="1:26" ht="15.75">
      <c r="A35" s="334" t="s">
        <v>1032</v>
      </c>
      <c r="B35" s="335">
        <f>1+B34</f>
        <v>752</v>
      </c>
      <c r="C35" s="749"/>
      <c r="D35" s="700">
        <f>+ROUND(+SUM('TRIAL-BALANCE'!T710:T715)+SUM('TRIAL-BALANCE'!T722:T725)+SUM('TRIAL-BALANCE'!T730:T738)-SUM('TRIAL-BALANCE'!S710:S715)-SUM('TRIAL-BALANCE'!S722:S725)-SUM('TRIAL-BALANCE'!S730:S738),2)</f>
        <v>0</v>
      </c>
      <c r="E35" s="694">
        <f>+ROUND(+SUM('R &amp; E data-2019'!P343:P348)+SUM('R &amp; E data-2019'!P355:P358)+SUM('R &amp; E data-2019'!P363:P371)-SUM('R &amp; E data-2019'!O343:O348)-SUM('R &amp; E data-2019'!O355:O358)-SUM('R &amp; E data-2019'!O363:O371),2)</f>
        <v>0</v>
      </c>
      <c r="F35" s="749"/>
      <c r="G35" s="700">
        <f>+ROUND(+SUM('TRIAL-BALANCE'!AA710:AA715)+SUM('TRIAL-BALANCE'!AA722:AA725)+SUM('TRIAL-BALANCE'!AA730:AA738)-SUM('TRIAL-BALANCE'!Z710:Z715)-SUM('TRIAL-BALANCE'!Z722:Z725)-SUM('TRIAL-BALANCE'!Z730:Z738),2)</f>
        <v>0</v>
      </c>
      <c r="H35" s="694">
        <f>+ROUND(+SUM('R &amp; E data-2019'!S343:S348)+SUM('R &amp; E data-2019'!S355:S358)+SUM('R &amp; E data-2019'!S363:S371)-SUM('R &amp; E data-2019'!R343:R348)-SUM('R &amp; E data-2019'!R355:R358)-SUM('R &amp; E data-2019'!R363:R371),2)</f>
        <v>0</v>
      </c>
      <c r="I35" s="749"/>
      <c r="J35" s="700">
        <f>+ROUND(+SUM('TRIAL-BALANCE'!AH710:AH715)+SUM('TRIAL-BALANCE'!AH722:AH725)+SUM('TRIAL-BALANCE'!AH730:AH738)-SUM('TRIAL-BALANCE'!AG710:AG715)-SUM('TRIAL-BALANCE'!AG722:AG725)-SUM('TRIAL-BALANCE'!AG730:AG738),2)</f>
        <v>0</v>
      </c>
      <c r="K35" s="694">
        <f>+ROUND(+SUM('R &amp; E data-2019'!V343:V348)+SUM('R &amp; E data-2019'!V355:V358)+SUM('R &amp; E data-2019'!V363:V371)-SUM('R &amp; E data-2019'!U343:U348)-SUM('R &amp; E data-2019'!U355:U358)-SUM('R &amp; E data-2019'!U363:U371),2)</f>
        <v>0</v>
      </c>
      <c r="L35" s="749"/>
      <c r="M35" s="700">
        <f t="shared" si="4"/>
        <v>0</v>
      </c>
      <c r="N35" s="694">
        <f t="shared" si="4"/>
        <v>0</v>
      </c>
      <c r="O35" s="152"/>
      <c r="P35" s="152"/>
      <c r="Q35" s="152"/>
      <c r="R35" s="152"/>
      <c r="S35" s="152"/>
      <c r="T35" s="152"/>
      <c r="U35" s="152"/>
      <c r="V35" s="152"/>
      <c r="W35" s="152"/>
      <c r="X35" s="152"/>
      <c r="Y35" s="152"/>
      <c r="Z35" s="152"/>
    </row>
    <row r="36" spans="1:26" ht="15.75">
      <c r="A36" s="334" t="s">
        <v>2089</v>
      </c>
      <c r="B36" s="335">
        <f>1+B35</f>
        <v>753</v>
      </c>
      <c r="C36" s="749"/>
      <c r="D36" s="700">
        <f>+ROUND(+'TRIAL-BALANCE'!T721-'TRIAL-BALANCE'!S721,2)</f>
        <v>0</v>
      </c>
      <c r="E36" s="694">
        <f>+ROUND(+'R &amp; E data-2019'!P354-'R &amp; E data-2019'!O354,2)</f>
        <v>0</v>
      </c>
      <c r="F36" s="749"/>
      <c r="G36" s="700">
        <f>+ROUND(+'TRIAL-BALANCE'!AA721-'TRIAL-BALANCE'!Z721,2)</f>
        <v>0</v>
      </c>
      <c r="H36" s="694">
        <f>+ROUND(+'R &amp; E data-2019'!S354-'R &amp; E data-2019'!R354,2)</f>
        <v>0</v>
      </c>
      <c r="I36" s="749"/>
      <c r="J36" s="700">
        <f>+ROUND(+'TRIAL-BALANCE'!AH721-'TRIAL-BALANCE'!AG721,2)</f>
        <v>0</v>
      </c>
      <c r="K36" s="694">
        <f>+ROUND(+'R &amp; E data-2019'!V354-'R &amp; E data-2019'!U354,2)</f>
        <v>0</v>
      </c>
      <c r="L36" s="749"/>
      <c r="M36" s="700">
        <f>+ROUND(+D36+G36+J36,2)</f>
        <v>0</v>
      </c>
      <c r="N36" s="694">
        <f>+ROUND(+E36+H36+K36,2)</f>
        <v>0</v>
      </c>
      <c r="O36" s="152"/>
      <c r="P36" s="152"/>
      <c r="Q36" s="152"/>
      <c r="R36" s="152"/>
      <c r="S36" s="152"/>
      <c r="T36" s="152"/>
      <c r="U36" s="152"/>
      <c r="V36" s="152"/>
      <c r="W36" s="152"/>
      <c r="X36" s="152"/>
      <c r="Y36" s="152"/>
      <c r="Z36" s="152"/>
    </row>
    <row r="37" spans="1:26" ht="15.75">
      <c r="A37" s="336" t="s">
        <v>1146</v>
      </c>
      <c r="B37" s="337">
        <f>1+B36</f>
        <v>754</v>
      </c>
      <c r="C37" s="749"/>
      <c r="D37" s="701">
        <f>+ROUND(+SUM('TRIAL-BALANCE'!T706:T707)+SUM('TRIAL-BALANCE'!T716:T720)-SUM('TRIAL-BALANCE'!S706:S707)-SUM('TRIAL-BALANCE'!S716:S720),2)+ROUND(+'TRIAL-BALANCE'!T791,2)</f>
        <v>0</v>
      </c>
      <c r="E37" s="695">
        <f>+ROUND(+SUM('R &amp; E data-2019'!P339:P340)+SUM('R &amp; E data-2019'!P349:P353)-SUM('R &amp; E data-2019'!O339:O340)-SUM('R &amp; E data-2019'!O349:O353),2)+ROUND(+'R &amp; E data-2019'!P424,2)</f>
        <v>0</v>
      </c>
      <c r="F37" s="749"/>
      <c r="G37" s="701">
        <f>+ROUND(+SUM('TRIAL-BALANCE'!AA706:AA707)+SUM('TRIAL-BALANCE'!AA716:AA720)-SUM('TRIAL-BALANCE'!Z706:Z707)-SUM('TRIAL-BALANCE'!Z716:Z720),2)+ROUND(+'TRIAL-BALANCE'!AA791,2)</f>
        <v>0</v>
      </c>
      <c r="H37" s="695">
        <f>+ROUND(+SUM('R &amp; E data-2019'!S339:S340)+SUM('R &amp; E data-2019'!S349:S353)-SUM('R &amp; E data-2019'!R339:R340)-SUM('R &amp; E data-2019'!R349:R353),2)+ROUND(+'R &amp; E data-2019'!S424,2)</f>
        <v>0</v>
      </c>
      <c r="I37" s="749"/>
      <c r="J37" s="701">
        <f>+ROUND(+SUM('TRIAL-BALANCE'!AH706:AH707)+SUM('TRIAL-BALANCE'!AH716:AH720)-SUM('TRIAL-BALANCE'!AG706:AG707)-SUM('TRIAL-BALANCE'!AG716:AG720),2)+ROUND(+'TRIAL-BALANCE'!AH791,2)</f>
        <v>0</v>
      </c>
      <c r="K37" s="695">
        <f>+ROUND(+SUM('R &amp; E data-2019'!V339:V340)+SUM('R &amp; E data-2019'!V349:V353)-SUM('R &amp; E data-2019'!U339:U340)-SUM('R &amp; E data-2019'!U349:U353),2)+ROUND(+'R &amp; E data-2019'!V424,2)</f>
        <v>0</v>
      </c>
      <c r="L37" s="749"/>
      <c r="M37" s="701">
        <f t="shared" si="4"/>
        <v>0</v>
      </c>
      <c r="N37" s="695">
        <f t="shared" si="4"/>
        <v>0</v>
      </c>
      <c r="O37" s="152"/>
      <c r="P37" s="152"/>
      <c r="Q37" s="152"/>
      <c r="R37" s="152"/>
      <c r="S37" s="152"/>
      <c r="T37" s="152"/>
      <c r="U37" s="152"/>
      <c r="V37" s="152"/>
      <c r="W37" s="152"/>
      <c r="X37" s="152"/>
      <c r="Y37" s="152"/>
      <c r="Z37" s="152"/>
    </row>
    <row r="38" spans="1:26" ht="15.75">
      <c r="A38" s="177" t="s">
        <v>1054</v>
      </c>
      <c r="B38" s="178">
        <v>750</v>
      </c>
      <c r="C38" s="749"/>
      <c r="D38" s="702">
        <f>+ROUND(+SUM(D34:D37),2)</f>
        <v>0</v>
      </c>
      <c r="E38" s="693">
        <f>+ROUND(+SUM(E34:E37),2)</f>
        <v>0</v>
      </c>
      <c r="F38" s="749"/>
      <c r="G38" s="702">
        <f>+ROUND(+SUM(G34:G37),2)</f>
        <v>0</v>
      </c>
      <c r="H38" s="693">
        <f>+ROUND(+SUM(H34:H37),2)</f>
        <v>0</v>
      </c>
      <c r="I38" s="749"/>
      <c r="J38" s="702">
        <f>+ROUND(+SUM(J34:J37),2)</f>
        <v>0</v>
      </c>
      <c r="K38" s="693">
        <f>+ROUND(+SUM(K34:K37),2)</f>
        <v>0</v>
      </c>
      <c r="L38" s="749"/>
      <c r="M38" s="702">
        <f>+ROUND(+SUM(M34:M37),2)</f>
        <v>0</v>
      </c>
      <c r="N38" s="693">
        <f>+ROUND(+SUM(N34:N37),2)</f>
        <v>0</v>
      </c>
      <c r="O38" s="152"/>
      <c r="P38" s="152"/>
      <c r="Q38" s="152"/>
      <c r="R38" s="152"/>
      <c r="S38" s="152"/>
      <c r="T38" s="152"/>
      <c r="U38" s="152"/>
      <c r="V38" s="152"/>
      <c r="W38" s="152"/>
      <c r="X38" s="152"/>
      <c r="Y38" s="152"/>
      <c r="Z38" s="152"/>
    </row>
    <row r="39" spans="1:26" ht="6" customHeight="1">
      <c r="A39" s="172"/>
      <c r="B39" s="173"/>
      <c r="C39" s="749"/>
      <c r="D39" s="703"/>
      <c r="E39" s="696"/>
      <c r="F39" s="749"/>
      <c r="G39" s="703"/>
      <c r="H39" s="696"/>
      <c r="I39" s="749"/>
      <c r="J39" s="703"/>
      <c r="K39" s="696"/>
      <c r="L39" s="749"/>
      <c r="M39" s="703"/>
      <c r="N39" s="696"/>
      <c r="O39" s="152"/>
      <c r="P39" s="152"/>
      <c r="Q39" s="152"/>
      <c r="R39" s="152"/>
      <c r="S39" s="152"/>
      <c r="T39" s="152"/>
      <c r="U39" s="152"/>
      <c r="V39" s="152"/>
      <c r="W39" s="152"/>
      <c r="X39" s="152"/>
      <c r="Y39" s="152"/>
      <c r="Z39" s="152"/>
    </row>
    <row r="40" spans="1:26" ht="19.5" thickBot="1">
      <c r="A40" s="679" t="s">
        <v>1030</v>
      </c>
      <c r="B40" s="680">
        <v>700</v>
      </c>
      <c r="C40" s="749"/>
      <c r="D40" s="711">
        <f>+ROUND(+D22+D27+D29+D32+D38,2)</f>
        <v>0</v>
      </c>
      <c r="E40" s="712">
        <f>+ROUND(+E22+E27+E29+E32+E38,2)</f>
        <v>0</v>
      </c>
      <c r="F40" s="749"/>
      <c r="G40" s="711">
        <f>+ROUND(+G22+G27+G29+G32+G38,2)</f>
        <v>0</v>
      </c>
      <c r="H40" s="712">
        <f>+ROUND(+H22+H27+H29+H32+H38,2)</f>
        <v>0</v>
      </c>
      <c r="I40" s="749"/>
      <c r="J40" s="711">
        <f>+ROUND(+J22+J27+J29+J32+J38,2)</f>
        <v>0</v>
      </c>
      <c r="K40" s="712">
        <f>+ROUND(+K22+K27+K29+K32+K38,2)</f>
        <v>0</v>
      </c>
      <c r="L40" s="749"/>
      <c r="M40" s="711">
        <f>+ROUND(+M22+M27+M29+M32+M38,2)</f>
        <v>0</v>
      </c>
      <c r="N40" s="712">
        <f>+ROUND(+N22+N27+N29+N32+N38,2)</f>
        <v>0</v>
      </c>
      <c r="O40" s="152"/>
      <c r="P40" s="152"/>
      <c r="Q40" s="152"/>
      <c r="R40" s="152"/>
      <c r="S40" s="152"/>
      <c r="T40" s="152"/>
      <c r="U40" s="152"/>
      <c r="V40" s="152"/>
      <c r="W40" s="152"/>
      <c r="X40" s="152"/>
      <c r="Y40" s="152"/>
      <c r="Z40" s="152"/>
    </row>
    <row r="41" spans="1:26" ht="15.75">
      <c r="A41" s="170" t="s">
        <v>1036</v>
      </c>
      <c r="B41" s="171"/>
      <c r="C41" s="749"/>
      <c r="D41" s="704"/>
      <c r="E41" s="697"/>
      <c r="F41" s="749"/>
      <c r="G41" s="704"/>
      <c r="H41" s="697"/>
      <c r="I41" s="749"/>
      <c r="J41" s="704"/>
      <c r="K41" s="697"/>
      <c r="L41" s="749"/>
      <c r="M41" s="704"/>
      <c r="N41" s="697"/>
      <c r="O41" s="152"/>
      <c r="P41" s="152"/>
      <c r="Q41" s="152"/>
      <c r="R41" s="152"/>
      <c r="S41" s="152"/>
      <c r="T41" s="152"/>
      <c r="U41" s="152"/>
      <c r="V41" s="152"/>
      <c r="W41" s="152"/>
      <c r="X41" s="152"/>
      <c r="Y41" s="152"/>
      <c r="Z41" s="152"/>
    </row>
    <row r="42" spans="1:26" ht="15.75">
      <c r="A42" s="172" t="s">
        <v>1043</v>
      </c>
      <c r="B42" s="173"/>
      <c r="C42" s="749"/>
      <c r="D42" s="703"/>
      <c r="E42" s="696"/>
      <c r="F42" s="749"/>
      <c r="G42" s="703"/>
      <c r="H42" s="696"/>
      <c r="I42" s="749"/>
      <c r="J42" s="703"/>
      <c r="K42" s="696"/>
      <c r="L42" s="749"/>
      <c r="M42" s="703"/>
      <c r="N42" s="696"/>
      <c r="O42" s="152"/>
      <c r="P42" s="152"/>
      <c r="Q42" s="152"/>
      <c r="R42" s="152"/>
      <c r="S42" s="152"/>
      <c r="T42" s="152"/>
      <c r="U42" s="152"/>
      <c r="V42" s="152"/>
      <c r="W42" s="152"/>
      <c r="X42" s="152"/>
      <c r="Y42" s="152"/>
      <c r="Z42" s="152"/>
    </row>
    <row r="43" spans="1:26" ht="15.75">
      <c r="A43" s="334" t="s">
        <v>1037</v>
      </c>
      <c r="B43" s="335">
        <v>601</v>
      </c>
      <c r="C43" s="749"/>
      <c r="D43" s="700">
        <f>+ROUND(+SUM('TRIAL-BALANCE'!S384:S393)-SUM('TRIAL-BALANCE'!T384:T393),2)</f>
        <v>52805.83</v>
      </c>
      <c r="E43" s="694">
        <f>+ROUND(+SUM('R &amp; E data-2019'!O17:O26)-SUM('R &amp; E data-2019'!P17:P26),2)</f>
        <v>143971.97</v>
      </c>
      <c r="F43" s="749"/>
      <c r="G43" s="700">
        <f>+ROUND(+SUM('TRIAL-BALANCE'!Z384:Z393)-SUM('TRIAL-BALANCE'!AA384:AA393),2)</f>
        <v>0</v>
      </c>
      <c r="H43" s="694">
        <f>+ROUND(+SUM('R &amp; E data-2019'!R17:R26)-SUM('R &amp; E data-2019'!S17:S26),2)</f>
        <v>0</v>
      </c>
      <c r="I43" s="749"/>
      <c r="J43" s="700">
        <f>+ROUND(+SUM('TRIAL-BALANCE'!AG384:AG393)-SUM('TRIAL-BALANCE'!AH384:AH393),2)</f>
        <v>0</v>
      </c>
      <c r="K43" s="694">
        <f>+ROUND(+SUM('R &amp; E data-2019'!U17:U26)-SUM('R &amp; E data-2019'!V17:V26),2)</f>
        <v>0</v>
      </c>
      <c r="L43" s="749"/>
      <c r="M43" s="700">
        <f t="shared" ref="M43:M52" si="5">+ROUND(+D43+G43+J43,2)</f>
        <v>52805.83</v>
      </c>
      <c r="N43" s="694">
        <f t="shared" ref="N43:N50" si="6">+ROUND(+E43+H43+K43,2)</f>
        <v>143971.97</v>
      </c>
      <c r="O43" s="152"/>
      <c r="P43" s="152"/>
      <c r="Q43" s="152"/>
      <c r="R43" s="152"/>
      <c r="S43" s="152"/>
      <c r="T43" s="152"/>
      <c r="U43" s="152"/>
      <c r="V43" s="152"/>
      <c r="W43" s="152"/>
      <c r="X43" s="152"/>
      <c r="Y43" s="152"/>
      <c r="Z43" s="152"/>
    </row>
    <row r="44" spans="1:26" ht="15.75">
      <c r="A44" s="334" t="s">
        <v>1038</v>
      </c>
      <c r="B44" s="335">
        <f>1+B43</f>
        <v>602</v>
      </c>
      <c r="C44" s="749"/>
      <c r="D44" s="700">
        <f>+ROUND(+SUM('TRIAL-BALANCE'!S394:S401)+SUM('TRIAL-BALANCE'!S433:S436)+SUM('TRIAL-BALANCE'!S444:S445)-SUM('TRIAL-BALANCE'!T394:T401)-SUM('TRIAL-BALANCE'!T433:T436)-SUM('TRIAL-BALANCE'!T444:T445),2)</f>
        <v>253199.16</v>
      </c>
      <c r="E44" s="694">
        <f>+ROUND(+SUM('R &amp; E data-2019'!O27:O34)+SUM('R &amp; E data-2019'!O66:O69)+SUM('R &amp; E data-2019'!O77:O78)-SUM('R &amp; E data-2019'!P27:P34)-SUM('R &amp; E data-2019'!P66:P69)-SUM('R &amp; E data-2019'!P77:P78),2)</f>
        <v>263836.57</v>
      </c>
      <c r="F44" s="749"/>
      <c r="G44" s="700">
        <f>+ROUND(+SUM('TRIAL-BALANCE'!Z394:Z401)+SUM('TRIAL-BALANCE'!Z433:Z436)+SUM('TRIAL-BALANCE'!Z444:Z445)-SUM('TRIAL-BALANCE'!AA394:AA401)-SUM('TRIAL-BALANCE'!AA433:AA436)-SUM('TRIAL-BALANCE'!AA444:AA445),2)</f>
        <v>0</v>
      </c>
      <c r="H44" s="694">
        <f>+ROUND(+SUM('R &amp; E data-2019'!R27:R34)+SUM('R &amp; E data-2019'!R66:R69)+SUM('R &amp; E data-2019'!R77:R78)-SUM('R &amp; E data-2019'!S27:S34)-SUM('R &amp; E data-2019'!S66:S69)-SUM('R &amp; E data-2019'!S77:S78),2)</f>
        <v>0</v>
      </c>
      <c r="I44" s="749"/>
      <c r="J44" s="700">
        <f>+ROUND(+SUM('TRIAL-BALANCE'!AG394:AG401)+SUM('TRIAL-BALANCE'!AG433:AG436)+SUM('TRIAL-BALANCE'!AG444:AG445)-SUM('TRIAL-BALANCE'!AH394:AH401)-SUM('TRIAL-BALANCE'!AH433:AH436)-SUM('TRIAL-BALANCE'!AH444:AH445),2)</f>
        <v>0</v>
      </c>
      <c r="K44" s="694">
        <f>+ROUND(+SUM('R &amp; E data-2019'!U27:U34)+SUM('R &amp; E data-2019'!U66:U69)+SUM('R &amp; E data-2019'!U77:U78)-SUM('R &amp; E data-2019'!V27:V34)-SUM('R &amp; E data-2019'!V66:V69)-SUM('R &amp; E data-2019'!V77:V78),2)</f>
        <v>0</v>
      </c>
      <c r="L44" s="749"/>
      <c r="M44" s="700">
        <f t="shared" si="5"/>
        <v>253199.16</v>
      </c>
      <c r="N44" s="694">
        <f t="shared" si="6"/>
        <v>263836.57</v>
      </c>
      <c r="O44" s="152"/>
      <c r="P44" s="1883"/>
      <c r="Q44" s="1903" t="s">
        <v>1875</v>
      </c>
      <c r="R44" s="152"/>
      <c r="S44" s="152"/>
      <c r="T44" s="152"/>
      <c r="U44" s="152"/>
      <c r="V44" s="152"/>
      <c r="W44" s="152"/>
      <c r="X44" s="152"/>
      <c r="Y44" s="152"/>
      <c r="Z44" s="152"/>
    </row>
    <row r="45" spans="1:26" ht="15.75">
      <c r="A45" s="334" t="s">
        <v>1040</v>
      </c>
      <c r="B45" s="335">
        <f t="shared" ref="B45:B50" si="7">1+B44</f>
        <v>603</v>
      </c>
      <c r="C45" s="749"/>
      <c r="D45" s="700">
        <f>+ROUND(+SUM('TRIAL-BALANCE'!S402:S409)-SUM('TRIAL-BALANCE'!T402:T409),2)</f>
        <v>21267.7</v>
      </c>
      <c r="E45" s="694">
        <f>+ROUND(+SUM('R &amp; E data-2019'!O35:O42)-SUM('R &amp; E data-2019'!P35:P42),2)</f>
        <v>44294.879999999997</v>
      </c>
      <c r="F45" s="749"/>
      <c r="G45" s="700">
        <f>+ROUND(+SUM('TRIAL-BALANCE'!Z402:Z409)-SUM('TRIAL-BALANCE'!AA402:AA409),2)</f>
        <v>0</v>
      </c>
      <c r="H45" s="694">
        <f>+ROUND(+SUM('R &amp; E data-2019'!R35:R42)-SUM('R &amp; E data-2019'!S35:S42),2)</f>
        <v>0</v>
      </c>
      <c r="I45" s="749"/>
      <c r="J45" s="700">
        <f>+ROUND(+SUM('TRIAL-BALANCE'!AG402:AG409)-SUM('TRIAL-BALANCE'!AH402:AH409),2)</f>
        <v>0</v>
      </c>
      <c r="K45" s="694">
        <f>+ROUND(+SUM('R &amp; E data-2019'!U35:U42)-SUM('R &amp; E data-2019'!V35:V42),2)</f>
        <v>0</v>
      </c>
      <c r="L45" s="749"/>
      <c r="M45" s="700">
        <f t="shared" si="5"/>
        <v>21267.7</v>
      </c>
      <c r="N45" s="694">
        <f t="shared" si="6"/>
        <v>44294.879999999997</v>
      </c>
      <c r="O45" s="152"/>
      <c r="P45" s="1667" t="s">
        <v>1869</v>
      </c>
      <c r="Q45" s="1895" t="str">
        <f>+Q25</f>
        <v>'Municipal-Bal'</v>
      </c>
      <c r="R45" s="152"/>
      <c r="S45" s="152"/>
      <c r="T45" s="152"/>
      <c r="U45" s="152"/>
      <c r="V45" s="152"/>
      <c r="W45" s="152"/>
      <c r="X45" s="152"/>
      <c r="Y45" s="152"/>
      <c r="Z45" s="152"/>
    </row>
    <row r="46" spans="1:26" ht="15.75">
      <c r="A46" s="334" t="s">
        <v>1039</v>
      </c>
      <c r="B46" s="335">
        <f t="shared" si="7"/>
        <v>604</v>
      </c>
      <c r="C46" s="749"/>
      <c r="D46" s="700">
        <f>+ROUND(+SUM('TRIAL-BALANCE'!S410:S417)-SUM('TRIAL-BALANCE'!T410:T417),2)</f>
        <v>475333.94</v>
      </c>
      <c r="E46" s="694">
        <f>+ROUND(+SUM('R &amp; E data-2019'!O43:O50)-SUM('R &amp; E data-2019'!P43:P50),2)</f>
        <v>1004016.06</v>
      </c>
      <c r="F46" s="749"/>
      <c r="G46" s="700">
        <f>+ROUND(+SUM('TRIAL-BALANCE'!Z410:Z417)-SUM('TRIAL-BALANCE'!AA410:AA417),2)</f>
        <v>0</v>
      </c>
      <c r="H46" s="694">
        <f>+ROUND(+SUM('R &amp; E data-2019'!R43:R50)-SUM('R &amp; E data-2019'!S43:S50),2)</f>
        <v>0</v>
      </c>
      <c r="I46" s="749"/>
      <c r="J46" s="700">
        <f>+ROUND(+SUM('TRIAL-BALANCE'!AG410:AG417)-SUM('TRIAL-BALANCE'!AH410:AH417),2)</f>
        <v>0</v>
      </c>
      <c r="K46" s="694">
        <f>+ROUND(+SUM('R &amp; E data-2019'!U43:U50)-SUM('R &amp; E data-2019'!V43:V50),2)</f>
        <v>0</v>
      </c>
      <c r="L46" s="749"/>
      <c r="M46" s="700">
        <f t="shared" si="5"/>
        <v>475333.94</v>
      </c>
      <c r="N46" s="694">
        <f t="shared" si="6"/>
        <v>1004016.06</v>
      </c>
      <c r="O46" s="152"/>
      <c r="P46" s="1668" t="s">
        <v>1299</v>
      </c>
      <c r="Q46" s="1669"/>
      <c r="R46" s="152"/>
      <c r="S46" s="152"/>
      <c r="T46" s="152"/>
      <c r="U46" s="152"/>
      <c r="V46" s="152"/>
      <c r="W46" s="152"/>
      <c r="X46" s="152"/>
      <c r="Y46" s="152"/>
      <c r="Z46" s="152"/>
    </row>
    <row r="47" spans="1:26" ht="15.75">
      <c r="A47" s="334" t="s">
        <v>1041</v>
      </c>
      <c r="B47" s="335">
        <f t="shared" si="7"/>
        <v>605</v>
      </c>
      <c r="C47" s="749"/>
      <c r="D47" s="700">
        <f>+ROUND(+SUM('TRIAL-BALANCE'!S418:S424)-SUM('TRIAL-BALANCE'!T418:T424),2)</f>
        <v>111398.24</v>
      </c>
      <c r="E47" s="694">
        <f>+ROUND(+SUM('R &amp; E data-2019'!O51:O57)-SUM('R &amp; E data-2019'!P51:P57),2)</f>
        <v>211302.17</v>
      </c>
      <c r="F47" s="749"/>
      <c r="G47" s="700">
        <f>+ROUND(+SUM('TRIAL-BALANCE'!Z418:Z424)-SUM('TRIAL-BALANCE'!AA418:AA424),2)</f>
        <v>0</v>
      </c>
      <c r="H47" s="694">
        <f>+ROUND(+SUM('R &amp; E data-2019'!R51:R57)-SUM('R &amp; E data-2019'!S51:S57),2)</f>
        <v>0</v>
      </c>
      <c r="I47" s="749"/>
      <c r="J47" s="700">
        <f>+ROUND(+SUM('TRIAL-BALANCE'!AG418:AG424)-SUM('TRIAL-BALANCE'!AH418:AH424),2)</f>
        <v>0</v>
      </c>
      <c r="K47" s="694">
        <f>+ROUND(+SUM('R &amp; E data-2019'!U51:U57)-SUM('R &amp; E data-2019'!V51:V57),2)</f>
        <v>0</v>
      </c>
      <c r="L47" s="749"/>
      <c r="M47" s="700">
        <f t="shared" si="5"/>
        <v>111398.24</v>
      </c>
      <c r="N47" s="694">
        <f t="shared" si="6"/>
        <v>211302.17</v>
      </c>
      <c r="O47" s="152"/>
      <c r="P47" s="1666" t="s">
        <v>1295</v>
      </c>
      <c r="Q47" s="1444" t="s">
        <v>1296</v>
      </c>
      <c r="R47" s="152"/>
      <c r="S47" s="152"/>
      <c r="T47" s="152"/>
      <c r="U47" s="152"/>
      <c r="V47" s="152"/>
      <c r="W47" s="152"/>
      <c r="X47" s="152"/>
      <c r="Y47" s="152"/>
      <c r="Z47" s="152"/>
    </row>
    <row r="48" spans="1:26" ht="15.75">
      <c r="A48" s="334" t="s">
        <v>1042</v>
      </c>
      <c r="B48" s="335">
        <f t="shared" si="7"/>
        <v>606</v>
      </c>
      <c r="C48" s="749"/>
      <c r="D48" s="700">
        <f>+ROUND(+SUM('TRIAL-BALANCE'!S425:S432)-SUM('TRIAL-BALANCE'!T425:T432),2)</f>
        <v>11342.47</v>
      </c>
      <c r="E48" s="694">
        <f>+ROUND(+SUM('R &amp; E data-2019'!O58:O65)-SUM('R &amp; E data-2019'!P58:P65),2)</f>
        <v>12002.42</v>
      </c>
      <c r="F48" s="749"/>
      <c r="G48" s="700">
        <f>+ROUND(+SUM('TRIAL-BALANCE'!Z425:Z432)-SUM('TRIAL-BALANCE'!AA425:AA432),2)</f>
        <v>0</v>
      </c>
      <c r="H48" s="694">
        <f>+ROUND(+SUM('R &amp; E data-2019'!R58:R65)-SUM('R &amp; E data-2019'!S58:S65),2)</f>
        <v>0</v>
      </c>
      <c r="I48" s="749"/>
      <c r="J48" s="700">
        <f>+ROUND(+SUM('TRIAL-BALANCE'!AG425:AG432)-SUM('TRIAL-BALANCE'!AH425:AH432),2)</f>
        <v>0</v>
      </c>
      <c r="K48" s="694">
        <f>+ROUND(+SUM('R &amp; E data-2019'!U58:U65)-SUM('R &amp; E data-2019'!V58:V65),2)</f>
        <v>0</v>
      </c>
      <c r="L48" s="749"/>
      <c r="M48" s="700">
        <f>+ROUND(+D48+G48+J48,2)+ROUND(P48,2)</f>
        <v>11342.47</v>
      </c>
      <c r="N48" s="694">
        <f>+ROUND(+E48+H48+K48,2)+ROUND(Q48,2)</f>
        <v>12002.42</v>
      </c>
      <c r="O48" s="152"/>
      <c r="P48" s="1209">
        <f>+IF(+AND(Status!K4="ДА",+ROUND('Municipal-Bal'!K20,0)=1,+ROUND('Municipal-Bal'!V80,2)=+ROUND('Municipal-Bal'!V91,2)),+ROUND(+SUM('Municipal-Bal'!U85:U86),2),0)</f>
        <v>0</v>
      </c>
      <c r="Q48" s="1670">
        <f>+IF(+AND(Status!K4="ДА",+ROUND('Municipal-Bal'!K20,0)=1,+ROUND('Municipal-Bal'!V110,2)=+ROUND('Municipal-Bal'!V121,2)),+ROUND(+SUM('Municipal-Bal'!U115:U116)+'Municipal-Bal'!V117,2),0)</f>
        <v>0</v>
      </c>
      <c r="R48" s="152"/>
      <c r="S48" s="152"/>
      <c r="T48" s="152"/>
      <c r="U48" s="152"/>
      <c r="V48" s="152"/>
      <c r="W48" s="152"/>
      <c r="X48" s="152"/>
      <c r="Y48" s="152"/>
      <c r="Z48" s="152"/>
    </row>
    <row r="49" spans="1:26" ht="15.75">
      <c r="A49" s="334" t="s">
        <v>1044</v>
      </c>
      <c r="B49" s="335">
        <f t="shared" si="7"/>
        <v>607</v>
      </c>
      <c r="C49" s="749"/>
      <c r="D49" s="700">
        <f>+ROUND(+SUM('TRIAL-BALANCE'!S450:S451)-SUM('TRIAL-BALANCE'!T450:T451),2)</f>
        <v>415.36</v>
      </c>
      <c r="E49" s="694">
        <f>+ROUND(+SUM('R &amp; E data-2019'!O83:O84)-SUM('R &amp; E data-2019'!P83:P84),2)</f>
        <v>4582.8</v>
      </c>
      <c r="F49" s="749"/>
      <c r="G49" s="700">
        <f>+ROUND(+SUM('TRIAL-BALANCE'!Z450:Z451)-SUM('TRIAL-BALANCE'!AA450:AA451),2)</f>
        <v>0</v>
      </c>
      <c r="H49" s="694">
        <f>+ROUND(+SUM('R &amp; E data-2019'!R83:R84)-SUM('R &amp; E data-2019'!S83:S84),2)</f>
        <v>0</v>
      </c>
      <c r="I49" s="749"/>
      <c r="J49" s="700">
        <f>+ROUND(+SUM('TRIAL-BALANCE'!AG450:AG451)-SUM('TRIAL-BALANCE'!AH450:AH451),2)</f>
        <v>0</v>
      </c>
      <c r="K49" s="694">
        <f>+ROUND(+SUM('R &amp; E data-2019'!U83:U84)-SUM('R &amp; E data-2019'!V83:V84),2)</f>
        <v>0</v>
      </c>
      <c r="L49" s="749"/>
      <c r="M49" s="700">
        <f t="shared" si="5"/>
        <v>415.36</v>
      </c>
      <c r="N49" s="694">
        <f t="shared" si="6"/>
        <v>4582.8</v>
      </c>
      <c r="O49" s="152"/>
      <c r="P49" s="1671"/>
      <c r="Q49" s="1672"/>
      <c r="R49" s="152"/>
      <c r="S49" s="152"/>
      <c r="T49" s="152"/>
      <c r="U49" s="152"/>
      <c r="V49" s="152"/>
      <c r="W49" s="152"/>
      <c r="X49" s="152"/>
      <c r="Y49" s="152"/>
      <c r="Z49" s="152"/>
    </row>
    <row r="50" spans="1:26" ht="15.75">
      <c r="A50" s="334" t="s">
        <v>1094</v>
      </c>
      <c r="B50" s="335">
        <f t="shared" si="7"/>
        <v>608</v>
      </c>
      <c r="C50" s="749"/>
      <c r="D50" s="700">
        <f>+ROUND(+SUM('TRIAL-BALANCE'!S478:S481)-SUM('TRIAL-BALANCE'!T478:T481),2)</f>
        <v>0</v>
      </c>
      <c r="E50" s="694">
        <f>+ROUND(+SUM('R &amp; E data-2019'!O111:O114)-SUM('R &amp; E data-2019'!P111:P114),2)</f>
        <v>1457.82</v>
      </c>
      <c r="F50" s="749"/>
      <c r="G50" s="700">
        <f>+ROUND(+SUM('TRIAL-BALANCE'!Z478:Z481)-SUM('TRIAL-BALANCE'!AA478:AA481),2)</f>
        <v>0</v>
      </c>
      <c r="H50" s="694">
        <f>+ROUND(+SUM('R &amp; E data-2019'!R111:R114)-SUM('R &amp; E data-2019'!S111:S114),2)</f>
        <v>0</v>
      </c>
      <c r="I50" s="749"/>
      <c r="J50" s="700">
        <f>+ROUND(+SUM('TRIAL-BALANCE'!AG478:AG481)-SUM('TRIAL-BALANCE'!AH478:AH481),2)</f>
        <v>0</v>
      </c>
      <c r="K50" s="694">
        <f>+ROUND(+SUM('R &amp; E data-2019'!U111:U114)-SUM('R &amp; E data-2019'!V111:V114),2)</f>
        <v>0</v>
      </c>
      <c r="L50" s="749"/>
      <c r="M50" s="700">
        <f t="shared" si="5"/>
        <v>0</v>
      </c>
      <c r="N50" s="694">
        <f t="shared" si="6"/>
        <v>1457.82</v>
      </c>
      <c r="O50" s="152"/>
      <c r="P50" s="1671"/>
      <c r="Q50" s="1672"/>
      <c r="R50" s="152"/>
      <c r="S50" s="152"/>
      <c r="T50" s="152"/>
      <c r="U50" s="152"/>
      <c r="V50" s="152"/>
      <c r="W50" s="152"/>
      <c r="X50" s="152"/>
      <c r="Y50" s="152"/>
      <c r="Z50" s="152"/>
    </row>
    <row r="51" spans="1:26" ht="15.75">
      <c r="A51" s="687" t="s">
        <v>1867</v>
      </c>
      <c r="B51" s="335">
        <f>1+B50</f>
        <v>609</v>
      </c>
      <c r="C51" s="749"/>
      <c r="D51" s="700">
        <f>+ROUND(+SUM('TRIAL-BALANCE'!S446:S449)+SUM('TRIAL-BALANCE'!S452:S455)+SUM('TRIAL-BALANCE'!S579:S580)-SUM('TRIAL-BALANCE'!T446:T449)-SUM('TRIAL-BALANCE'!T452:T455)-SUM('TRIAL-BALANCE'!T579:T580),2)</f>
        <v>0</v>
      </c>
      <c r="E51" s="694">
        <f>+ROUND(+SUM('R &amp; E data-2019'!O79:O82)+SUM('R &amp; E data-2019'!O85:O88)+SUM('R &amp; E data-2019'!O212:O213)-SUM('R &amp; E data-2019'!P79:P82)-SUM('R &amp; E data-2019'!P85:P88)-SUM('R &amp; E data-2019'!P212:P213),2)</f>
        <v>173</v>
      </c>
      <c r="F51" s="749"/>
      <c r="G51" s="700">
        <f>+ROUND(+SUM('TRIAL-BALANCE'!Z446:Z449)+SUM('TRIAL-BALANCE'!Z452:Z455)+SUM('TRIAL-BALANCE'!Z579:Z580)-SUM('TRIAL-BALANCE'!AA446:AA449)-SUM('TRIAL-BALANCE'!AA452:AA455)-SUM('TRIAL-BALANCE'!AA579:AA580),2)</f>
        <v>0</v>
      </c>
      <c r="H51" s="694">
        <f>+ROUND(+SUM('R &amp; E data-2019'!R79:R82)+SUM('R &amp; E data-2019'!R85:R88)+SUM('R &amp; E data-2019'!R212:R213)-SUM('R &amp; E data-2019'!S79:S82)-SUM('R &amp; E data-2019'!S85:S88)-SUM('R &amp; E data-2019'!S212:S213),2)</f>
        <v>0</v>
      </c>
      <c r="I51" s="749"/>
      <c r="J51" s="700">
        <f>+ROUND(+SUM('TRIAL-BALANCE'!AG446:AG449)+SUM('TRIAL-BALANCE'!AG452:AG455)+SUM('TRIAL-BALANCE'!AG579:AG580)-SUM('TRIAL-BALANCE'!AH446:AH449)-SUM('TRIAL-BALANCE'!AH452:AH455)-SUM('TRIAL-BALANCE'!AH579:AH580),2)</f>
        <v>0</v>
      </c>
      <c r="K51" s="694">
        <f>+ROUND(+SUM('R &amp; E data-2019'!U79:U82)+SUM('R &amp; E data-2019'!U85:U88)+SUM('R &amp; E data-2019'!U212:U213)-SUM('R &amp; E data-2019'!V79:V82)-SUM('R &amp; E data-2019'!V85:V88)-SUM('R &amp; E data-2019'!V212:V213),2)</f>
        <v>0</v>
      </c>
      <c r="L51" s="749"/>
      <c r="M51" s="1943">
        <f>+ROUND(+D51+G51+J51,2)</f>
        <v>0</v>
      </c>
      <c r="N51" s="1944">
        <f>+ROUND(+E51+H51+K51,2)</f>
        <v>173</v>
      </c>
      <c r="O51" s="152"/>
      <c r="P51" s="1939"/>
      <c r="Q51" s="1940"/>
      <c r="R51" s="152"/>
      <c r="S51" s="152"/>
      <c r="T51" s="152"/>
      <c r="U51" s="152"/>
      <c r="V51" s="152"/>
      <c r="W51" s="152"/>
      <c r="X51" s="152"/>
      <c r="Y51" s="152"/>
      <c r="Z51" s="152"/>
    </row>
    <row r="52" spans="1:26" ht="15.75">
      <c r="A52" s="336" t="s">
        <v>1111</v>
      </c>
      <c r="B52" s="337">
        <v>611</v>
      </c>
      <c r="C52" s="749"/>
      <c r="D52" s="701">
        <f>+ROUND(+SUM('TRIAL-BALANCE'!S573:S578)-SUM('TRIAL-BALANCE'!T573:T578),2)</f>
        <v>0</v>
      </c>
      <c r="E52" s="695">
        <f>+ROUND(+SUM('R &amp; E data-2019'!O206:O211)-SUM('R &amp; E data-2019'!P206:P211),2)</f>
        <v>0</v>
      </c>
      <c r="F52" s="749"/>
      <c r="G52" s="701">
        <f>+ROUND(+SUM('TRIAL-BALANCE'!Z573:Z578)-SUM('TRIAL-BALANCE'!AA573:AA578),2)</f>
        <v>0</v>
      </c>
      <c r="H52" s="695">
        <f>+ROUND(+SUM('R &amp; E data-2019'!R206:R211)-SUM('R &amp; E data-2019'!S206:S211),2)</f>
        <v>0</v>
      </c>
      <c r="I52" s="749"/>
      <c r="J52" s="701">
        <f>+ROUND(+SUM('TRIAL-BALANCE'!AG573:AG578)-SUM('TRIAL-BALANCE'!AH573:AH578),2)</f>
        <v>0</v>
      </c>
      <c r="K52" s="695">
        <f>+ROUND(+SUM('R &amp; E data-2019'!U206:U211)-SUM('R &amp; E data-2019'!V206:V211),2)</f>
        <v>0</v>
      </c>
      <c r="L52" s="749"/>
      <c r="M52" s="701">
        <f t="shared" si="5"/>
        <v>0</v>
      </c>
      <c r="N52" s="695">
        <f>+ROUND(+E52+H52+K52,2)</f>
        <v>0</v>
      </c>
      <c r="O52" s="152"/>
      <c r="P52" s="1666" t="s">
        <v>1301</v>
      </c>
      <c r="Q52" s="1444" t="s">
        <v>1301</v>
      </c>
      <c r="R52" s="152"/>
      <c r="S52" s="152"/>
      <c r="T52" s="152"/>
      <c r="U52" s="152"/>
      <c r="V52" s="152"/>
      <c r="W52" s="152"/>
      <c r="X52" s="152"/>
      <c r="Y52" s="152"/>
      <c r="Z52" s="152"/>
    </row>
    <row r="53" spans="1:26" ht="15.75">
      <c r="A53" s="691" t="s">
        <v>1025</v>
      </c>
      <c r="B53" s="692">
        <v>610</v>
      </c>
      <c r="C53" s="749"/>
      <c r="D53" s="705">
        <f>+ROUND(+SUM(D43:D52),2)</f>
        <v>925762.7</v>
      </c>
      <c r="E53" s="698">
        <f>+ROUND(+SUM(E43:E52),2)</f>
        <v>1685637.69</v>
      </c>
      <c r="F53" s="749"/>
      <c r="G53" s="705">
        <f>+ROUND(+SUM(G43:G52),2)</f>
        <v>0</v>
      </c>
      <c r="H53" s="698">
        <f>+ROUND(+SUM(H43:H52),2)</f>
        <v>0</v>
      </c>
      <c r="I53" s="749"/>
      <c r="J53" s="705">
        <f>+ROUND(+SUM(J43:J52),2)</f>
        <v>0</v>
      </c>
      <c r="K53" s="698">
        <f>+ROUND(+SUM(K43:K52),2)</f>
        <v>0</v>
      </c>
      <c r="L53" s="749"/>
      <c r="M53" s="705">
        <f>+ROUND(+SUM(M43:M52),2)</f>
        <v>925762.7</v>
      </c>
      <c r="N53" s="698">
        <f>+ROUND(+SUM(N43:N52),2)</f>
        <v>1685637.69</v>
      </c>
      <c r="O53" s="152"/>
      <c r="P53" s="1680">
        <f>+ROUND(SUM(P48:P51),2)</f>
        <v>0</v>
      </c>
      <c r="Q53" s="1680">
        <f>+ROUND(SUM(Q48:Q51),2)</f>
        <v>0</v>
      </c>
      <c r="R53" s="152"/>
      <c r="S53" s="152"/>
      <c r="T53" s="152"/>
      <c r="U53" s="152"/>
      <c r="V53" s="152"/>
      <c r="W53" s="152"/>
      <c r="X53" s="152"/>
      <c r="Y53" s="152"/>
      <c r="Z53" s="152"/>
    </row>
    <row r="54" spans="1:26" ht="15.75">
      <c r="A54" s="172" t="s">
        <v>2170</v>
      </c>
      <c r="B54" s="173"/>
      <c r="C54" s="749"/>
      <c r="D54" s="703"/>
      <c r="E54" s="696"/>
      <c r="F54" s="749"/>
      <c r="G54" s="703"/>
      <c r="H54" s="696"/>
      <c r="I54" s="749"/>
      <c r="J54" s="703"/>
      <c r="K54" s="696"/>
      <c r="L54" s="749"/>
      <c r="M54" s="703"/>
      <c r="N54" s="696"/>
      <c r="O54" s="152"/>
      <c r="P54" s="2562" t="str">
        <f>+IF(+AND(+Status!K4="ДА",+ROUND('Municipal-Bal'!K20,0)=1),+IF(+ROUND('Municipal-Bal'!V80,2)=+ROUND('Municipal-Bal'!V91,2),"O K","неспазено изискване NA-BAL = NA-OPR в 'Municipal-Bal'"),"O K")</f>
        <v>O K</v>
      </c>
      <c r="Q54" s="2562"/>
      <c r="R54" s="152"/>
      <c r="S54" s="152"/>
      <c r="T54" s="152"/>
      <c r="U54" s="152"/>
      <c r="V54" s="152"/>
      <c r="W54" s="152"/>
      <c r="X54" s="152"/>
      <c r="Y54" s="152"/>
      <c r="Z54" s="152"/>
    </row>
    <row r="55" spans="1:26" ht="15.75">
      <c r="A55" s="334" t="s">
        <v>1060</v>
      </c>
      <c r="B55" s="335">
        <v>621</v>
      </c>
      <c r="C55" s="749"/>
      <c r="D55" s="700">
        <f>+ROUND(+SUM('TRIAL-BALANCE'!S456:S460)+SUM('TRIAL-BALANCE'!S473:S474)-SUM('TRIAL-BALANCE'!T456:T460)-SUM('TRIAL-BALANCE'!T473:T474),2)</f>
        <v>0</v>
      </c>
      <c r="E55" s="694">
        <f>+ROUND(+SUM('R &amp; E data-2019'!O89:O93)+SUM('R &amp; E data-2019'!O106:O107)-SUM('R &amp; E data-2019'!P89:P93)-SUM('R &amp; E data-2019'!P106:P107),2)</f>
        <v>0</v>
      </c>
      <c r="F55" s="749"/>
      <c r="G55" s="700">
        <f>+ROUND(+SUM('TRIAL-BALANCE'!Z456:Z460)+SUM('TRIAL-BALANCE'!Z473:Z474)-SUM('TRIAL-BALANCE'!AA456:AA460)-SUM('TRIAL-BALANCE'!AA473:AA474),2)</f>
        <v>0</v>
      </c>
      <c r="H55" s="694">
        <f>+ROUND(+SUM('R &amp; E data-2019'!R89:R93)+SUM('R &amp; E data-2019'!R106:R107)-SUM('R &amp; E data-2019'!S89:S93)-SUM('R &amp; E data-2019'!S106:S107),2)</f>
        <v>0</v>
      </c>
      <c r="I55" s="749"/>
      <c r="J55" s="700">
        <f>+ROUND(+SUM('TRIAL-BALANCE'!AG456:AG460)+SUM('TRIAL-BALANCE'!AG473:AG474)-SUM('TRIAL-BALANCE'!AH456:AH460)-SUM('TRIAL-BALANCE'!AH473:AH474),2)</f>
        <v>0</v>
      </c>
      <c r="K55" s="694">
        <f>+ROUND(+SUM('R &amp; E data-2019'!U89:U93)+SUM('R &amp; E data-2019'!U106:U107)-SUM('R &amp; E data-2019'!V89:V93)-SUM('R &amp; E data-2019'!V106:V107),2)</f>
        <v>0</v>
      </c>
      <c r="L55" s="749"/>
      <c r="M55" s="700">
        <f t="shared" ref="M55:N57" si="8">+ROUND(+D55+G55+J55,2)</f>
        <v>0</v>
      </c>
      <c r="N55" s="694">
        <f t="shared" si="8"/>
        <v>0</v>
      </c>
      <c r="O55" s="152"/>
      <c r="P55" s="2598" t="str">
        <f>+IF(+AND(+Status!K4="ДА",+ROUND('Municipal-Bal'!K20,0)=1),+IF(+ROUND('Municipal-Bal'!V110,2)=+ROUND('Municipal-Bal'!V121,2),"O K","неспазено изискване NA-BAL = NA-OPR в 'Municipal-Bal'"),"O K")</f>
        <v>O K</v>
      </c>
      <c r="Q55" s="2598"/>
      <c r="R55" s="152"/>
      <c r="S55" s="152"/>
      <c r="T55" s="152"/>
      <c r="U55" s="152"/>
      <c r="V55" s="152"/>
      <c r="W55" s="152"/>
      <c r="X55" s="152"/>
      <c r="Y55" s="152"/>
      <c r="Z55" s="152"/>
    </row>
    <row r="56" spans="1:26" ht="15.75">
      <c r="A56" s="334" t="s">
        <v>1061</v>
      </c>
      <c r="B56" s="335">
        <f>1+B55</f>
        <v>622</v>
      </c>
      <c r="C56" s="749"/>
      <c r="D56" s="700">
        <f>+ROUND(+SUM('TRIAL-BALANCE'!S461:S472)-SUM('TRIAL-BALANCE'!T461:T472),2)</f>
        <v>0</v>
      </c>
      <c r="E56" s="694">
        <f>+ROUND(+SUM('R &amp; E data-2019'!O94:O105)-SUM('R &amp; E data-2019'!P94:P105),2)</f>
        <v>0</v>
      </c>
      <c r="F56" s="749"/>
      <c r="G56" s="700">
        <f>+ROUND(+SUM('TRIAL-BALANCE'!Z461:Z472)-SUM('TRIAL-BALANCE'!AA461:AA472),2)</f>
        <v>0</v>
      </c>
      <c r="H56" s="694">
        <f>+ROUND(+SUM('R &amp; E data-2019'!R94:R105)-SUM('R &amp; E data-2019'!S94:S105),2)</f>
        <v>0</v>
      </c>
      <c r="I56" s="749"/>
      <c r="J56" s="700">
        <f>+ROUND(+SUM('TRIAL-BALANCE'!AG461:AG472)-SUM('TRIAL-BALANCE'!AH461:AH472),2)</f>
        <v>0</v>
      </c>
      <c r="K56" s="694">
        <f>+ROUND(+SUM('R &amp; E data-2019'!U94:U105)-SUM('R &amp; E data-2019'!V94:V105),2)</f>
        <v>0</v>
      </c>
      <c r="L56" s="749"/>
      <c r="M56" s="700">
        <f t="shared" si="8"/>
        <v>0</v>
      </c>
      <c r="N56" s="694">
        <f t="shared" si="8"/>
        <v>0</v>
      </c>
      <c r="O56" s="152"/>
      <c r="P56" s="152"/>
      <c r="Q56" s="152"/>
      <c r="R56" s="152"/>
      <c r="S56" s="152"/>
      <c r="T56" s="152"/>
      <c r="U56" s="152"/>
      <c r="V56" s="152"/>
      <c r="W56" s="152"/>
      <c r="X56" s="152"/>
      <c r="Y56" s="152"/>
      <c r="Z56" s="152"/>
    </row>
    <row r="57" spans="1:26" ht="15.75">
      <c r="A57" s="336" t="s">
        <v>1138</v>
      </c>
      <c r="B57" s="337">
        <f>1+B56</f>
        <v>623</v>
      </c>
      <c r="C57" s="749"/>
      <c r="D57" s="701">
        <f>+ROUND(+SUM('TRIAL-BALANCE'!S475:S476)-SUM('TRIAL-BALANCE'!T475:T476),2)</f>
        <v>0</v>
      </c>
      <c r="E57" s="695">
        <f>+ROUND(+SUM('R &amp; E data-2019'!O108:O109)-SUM('R &amp; E data-2019'!P108:P109),2)</f>
        <v>0</v>
      </c>
      <c r="F57" s="749"/>
      <c r="G57" s="701">
        <f>+ROUND(+SUM('TRIAL-BALANCE'!Z475:Z476)-SUM('TRIAL-BALANCE'!AA475:AA476),2)</f>
        <v>0</v>
      </c>
      <c r="H57" s="695">
        <f>+ROUND(+SUM('R &amp; E data-2019'!R108:R109)-SUM('R &amp; E data-2019'!S108:S109),2)</f>
        <v>0</v>
      </c>
      <c r="I57" s="749"/>
      <c r="J57" s="701">
        <f>+ROUND(+SUM('TRIAL-BALANCE'!AG475:AG476)-SUM('TRIAL-BALANCE'!AH475:AH476),2)</f>
        <v>0</v>
      </c>
      <c r="K57" s="695">
        <f>+ROUND(+SUM('R &amp; E data-2019'!U108:U109)-SUM('R &amp; E data-2019'!V108:V109),2)</f>
        <v>0</v>
      </c>
      <c r="L57" s="749"/>
      <c r="M57" s="701">
        <f t="shared" si="8"/>
        <v>0</v>
      </c>
      <c r="N57" s="695">
        <f t="shared" si="8"/>
        <v>0</v>
      </c>
      <c r="O57" s="152"/>
      <c r="P57" s="152"/>
      <c r="Q57" s="152"/>
      <c r="R57" s="152"/>
      <c r="S57" s="152"/>
      <c r="T57" s="152"/>
      <c r="U57" s="152"/>
      <c r="V57" s="152"/>
      <c r="W57" s="152"/>
      <c r="X57" s="152"/>
      <c r="Y57" s="152"/>
      <c r="Z57" s="152"/>
    </row>
    <row r="58" spans="1:26" ht="15.75">
      <c r="A58" s="691" t="s">
        <v>1024</v>
      </c>
      <c r="B58" s="692">
        <v>620</v>
      </c>
      <c r="C58" s="749"/>
      <c r="D58" s="705">
        <f>+ROUND(+SUM(D55:D57),2)</f>
        <v>0</v>
      </c>
      <c r="E58" s="698">
        <f>+ROUND(+SUM(E55:E57),2)</f>
        <v>0</v>
      </c>
      <c r="F58" s="749"/>
      <c r="G58" s="705">
        <f>+ROUND(+SUM(G55:G57),2)</f>
        <v>0</v>
      </c>
      <c r="H58" s="698">
        <f>+ROUND(+SUM(H55:H57),2)</f>
        <v>0</v>
      </c>
      <c r="I58" s="749"/>
      <c r="J58" s="705">
        <f>+ROUND(+SUM(J55:J57),2)</f>
        <v>0</v>
      </c>
      <c r="K58" s="698">
        <f>+ROUND(+SUM(K55:K57),2)</f>
        <v>0</v>
      </c>
      <c r="L58" s="749"/>
      <c r="M58" s="705">
        <f>+ROUND(+SUM(M55:M57),2)</f>
        <v>0</v>
      </c>
      <c r="N58" s="698">
        <f>+ROUND(+SUM(N55:N57),2)</f>
        <v>0</v>
      </c>
      <c r="O58" s="152"/>
      <c r="P58" s="152"/>
      <c r="Q58" s="152"/>
      <c r="R58" s="152"/>
      <c r="S58" s="152"/>
      <c r="T58" s="152"/>
      <c r="U58" s="152"/>
      <c r="V58" s="152"/>
      <c r="W58" s="152"/>
      <c r="X58" s="152"/>
      <c r="Y58" s="152"/>
      <c r="Z58" s="152"/>
    </row>
    <row r="59" spans="1:26" ht="15.75">
      <c r="A59" s="172" t="s">
        <v>1062</v>
      </c>
      <c r="B59" s="173"/>
      <c r="C59" s="749"/>
      <c r="D59" s="703"/>
      <c r="E59" s="696"/>
      <c r="F59" s="749"/>
      <c r="G59" s="703"/>
      <c r="H59" s="696"/>
      <c r="I59" s="749"/>
      <c r="J59" s="703"/>
      <c r="K59" s="696"/>
      <c r="L59" s="749"/>
      <c r="M59" s="703"/>
      <c r="N59" s="696"/>
      <c r="O59" s="152"/>
      <c r="P59" s="152"/>
      <c r="Q59" s="152"/>
      <c r="R59" s="152"/>
      <c r="S59" s="152"/>
      <c r="T59" s="152"/>
      <c r="U59" s="152"/>
      <c r="V59" s="152"/>
      <c r="W59" s="152"/>
      <c r="X59" s="152"/>
      <c r="Y59" s="152"/>
      <c r="Z59" s="152"/>
    </row>
    <row r="60" spans="1:26" ht="15.75">
      <c r="A60" s="334" t="s">
        <v>1045</v>
      </c>
      <c r="B60" s="335">
        <v>631</v>
      </c>
      <c r="C60" s="749"/>
      <c r="D60" s="700">
        <f>+ROUND(+SUM('TRIAL-BALANCE'!S482:S493)-SUM('TRIAL-BALANCE'!T482:T493),2)</f>
        <v>0</v>
      </c>
      <c r="E60" s="694">
        <f>+ROUND(+SUM('R &amp; E data-2019'!O115:O126)-SUM('R &amp; E data-2019'!P115:P126),2)</f>
        <v>0</v>
      </c>
      <c r="F60" s="749"/>
      <c r="G60" s="700">
        <f>+ROUND(+SUM('TRIAL-BALANCE'!Z482:Z493)-SUM('TRIAL-BALANCE'!AA482:AA493),2)</f>
        <v>0</v>
      </c>
      <c r="H60" s="694">
        <f>+ROUND(+SUM('R &amp; E data-2019'!R115:R126)-SUM('R &amp; E data-2019'!S115:S126),2)</f>
        <v>0</v>
      </c>
      <c r="I60" s="749"/>
      <c r="J60" s="700">
        <f>+ROUND(+SUM('TRIAL-BALANCE'!AG482:AG493)-SUM('TRIAL-BALANCE'!AH482:AH493),2)</f>
        <v>0</v>
      </c>
      <c r="K60" s="694">
        <f>+ROUND(+SUM('R &amp; E data-2019'!U115:U126)-SUM('R &amp; E data-2019'!V115:V126),2)</f>
        <v>0</v>
      </c>
      <c r="L60" s="749"/>
      <c r="M60" s="700">
        <f>+ROUND(+D60+G60+J60,2)</f>
        <v>0</v>
      </c>
      <c r="N60" s="694">
        <f>+ROUND(+E60+H60+K60,2)</f>
        <v>0</v>
      </c>
      <c r="O60" s="152"/>
      <c r="P60" s="152"/>
      <c r="Q60" s="152"/>
      <c r="R60" s="152"/>
      <c r="S60" s="152"/>
      <c r="T60" s="152"/>
      <c r="U60" s="152"/>
      <c r="V60" s="152"/>
      <c r="W60" s="152"/>
      <c r="X60" s="152"/>
      <c r="Y60" s="152"/>
      <c r="Z60" s="152"/>
    </row>
    <row r="61" spans="1:26" ht="15.75">
      <c r="A61" s="336" t="s">
        <v>1046</v>
      </c>
      <c r="B61" s="335">
        <v>632</v>
      </c>
      <c r="C61" s="749"/>
      <c r="D61" s="701">
        <f>+ROUND(+SUM('TRIAL-BALANCE'!S494:S507)-SUM('TRIAL-BALANCE'!T494:T507),2)</f>
        <v>0</v>
      </c>
      <c r="E61" s="695">
        <f>+ROUND(+SUM('R &amp; E data-2019'!O127:O140)-SUM('R &amp; E data-2019'!P127:P140),2)</f>
        <v>0</v>
      </c>
      <c r="F61" s="749"/>
      <c r="G61" s="701">
        <f>+ROUND(+SUM('TRIAL-BALANCE'!Z494:Z507)-SUM('TRIAL-BALANCE'!AA494:AA507),2)</f>
        <v>0</v>
      </c>
      <c r="H61" s="695">
        <f>+ROUND(+SUM('R &amp; E data-2019'!R127:R140)-SUM('R &amp; E data-2019'!S127:S140),2)</f>
        <v>0</v>
      </c>
      <c r="I61" s="749"/>
      <c r="J61" s="701">
        <f>+ROUND(+SUM('TRIAL-BALANCE'!AG494:AG507)-SUM('TRIAL-BALANCE'!AH494:AH507),2)</f>
        <v>0</v>
      </c>
      <c r="K61" s="695">
        <f>+ROUND(+SUM('R &amp; E data-2019'!U127:U140)-SUM('R &amp; E data-2019'!V127:V140),2)</f>
        <v>0</v>
      </c>
      <c r="L61" s="749"/>
      <c r="M61" s="701">
        <f>+ROUND(+D61+G61+J61,2)</f>
        <v>0</v>
      </c>
      <c r="N61" s="695">
        <f>+ROUND(+E61+H61+K61,2)</f>
        <v>0</v>
      </c>
      <c r="O61" s="152"/>
      <c r="P61" s="152"/>
      <c r="Q61" s="152"/>
      <c r="R61" s="152"/>
      <c r="S61" s="152"/>
      <c r="T61" s="152"/>
      <c r="U61" s="152"/>
      <c r="V61" s="152"/>
      <c r="W61" s="152"/>
      <c r="X61" s="152"/>
      <c r="Y61" s="152"/>
      <c r="Z61" s="152"/>
    </row>
    <row r="62" spans="1:26" ht="15.75">
      <c r="A62" s="691" t="s">
        <v>1026</v>
      </c>
      <c r="B62" s="692">
        <v>630</v>
      </c>
      <c r="C62" s="749"/>
      <c r="D62" s="705">
        <f>+ROUND(+SUM(D60:D61),2)</f>
        <v>0</v>
      </c>
      <c r="E62" s="698">
        <f>+ROUND(+SUM(E60:E61),2)</f>
        <v>0</v>
      </c>
      <c r="F62" s="749"/>
      <c r="G62" s="705">
        <f>+ROUND(+SUM(G60:G61),2)</f>
        <v>0</v>
      </c>
      <c r="H62" s="698">
        <f>+ROUND(+SUM(H60:H61),2)</f>
        <v>0</v>
      </c>
      <c r="I62" s="749"/>
      <c r="J62" s="705">
        <f>+ROUND(+SUM(J60:J61),2)</f>
        <v>0</v>
      </c>
      <c r="K62" s="698">
        <f>+ROUND(+SUM(K60:K61),2)</f>
        <v>0</v>
      </c>
      <c r="L62" s="749"/>
      <c r="M62" s="705">
        <f>+ROUND(+SUM(M60:M61),2)</f>
        <v>0</v>
      </c>
      <c r="N62" s="698">
        <f>+ROUND(+SUM(N60:N61),2)</f>
        <v>0</v>
      </c>
      <c r="O62" s="152"/>
      <c r="P62" s="152"/>
      <c r="Q62" s="152"/>
      <c r="R62" s="152"/>
      <c r="S62" s="152"/>
      <c r="T62" s="152"/>
      <c r="U62" s="152"/>
      <c r="V62" s="152"/>
      <c r="W62" s="152"/>
      <c r="X62" s="152"/>
      <c r="Y62" s="152"/>
      <c r="Z62" s="152"/>
    </row>
    <row r="63" spans="1:26" ht="15.75">
      <c r="A63" s="172" t="s">
        <v>1063</v>
      </c>
      <c r="B63" s="173"/>
      <c r="C63" s="749"/>
      <c r="D63" s="703"/>
      <c r="E63" s="696"/>
      <c r="F63" s="749"/>
      <c r="G63" s="703"/>
      <c r="H63" s="696"/>
      <c r="I63" s="749"/>
      <c r="J63" s="703"/>
      <c r="K63" s="696"/>
      <c r="L63" s="749"/>
      <c r="M63" s="703"/>
      <c r="N63" s="696"/>
      <c r="O63" s="152"/>
      <c r="P63" s="152"/>
      <c r="Q63" s="152"/>
      <c r="R63" s="152"/>
      <c r="S63" s="152"/>
      <c r="T63" s="152"/>
      <c r="U63" s="152"/>
      <c r="V63" s="152"/>
      <c r="W63" s="152"/>
      <c r="X63" s="152"/>
      <c r="Y63" s="152"/>
      <c r="Z63" s="152"/>
    </row>
    <row r="64" spans="1:26" ht="15.75">
      <c r="A64" s="334" t="s">
        <v>1106</v>
      </c>
      <c r="B64" s="335">
        <v>641</v>
      </c>
      <c r="C64" s="749"/>
      <c r="D64" s="700">
        <f>+ROUND(+SUM('TRIAL-BALANCE'!S509:S516)+SUM('TRIAL-BALANCE'!S521:S522)-SUM('TRIAL-BALANCE'!T509:T516)-SUM('TRIAL-BALANCE'!T521:T522),2)</f>
        <v>0</v>
      </c>
      <c r="E64" s="694">
        <f>+ROUND(+SUM('R &amp; E data-2019'!O142:O149)+SUM('R &amp; E data-2019'!O154:O155)-SUM('R &amp; E data-2019'!P142:P149)-SUM('R &amp; E data-2019'!P154:P155),2)</f>
        <v>0</v>
      </c>
      <c r="F64" s="749"/>
      <c r="G64" s="700">
        <f>+ROUND(+SUM('TRIAL-BALANCE'!Z509:Z516)+SUM('TRIAL-BALANCE'!Z521:Z522)-SUM('TRIAL-BALANCE'!AA509:AA516)-SUM('TRIAL-BALANCE'!AA521:AA522),2)</f>
        <v>0</v>
      </c>
      <c r="H64" s="694">
        <f>+ROUND(+SUM('R &amp; E data-2019'!R142:R149)+SUM('R &amp; E data-2019'!R154:R155)-SUM('R &amp; E data-2019'!S142:S149)-SUM('R &amp; E data-2019'!S154:S155),2)</f>
        <v>0</v>
      </c>
      <c r="I64" s="749"/>
      <c r="J64" s="700">
        <f>+ROUND(+SUM('TRIAL-BALANCE'!AG509:AG516)+SUM('TRIAL-BALANCE'!AG521:AG522)-SUM('TRIAL-BALANCE'!AH509:AH516)-SUM('TRIAL-BALANCE'!AH521:AH522),2)</f>
        <v>0</v>
      </c>
      <c r="K64" s="694">
        <f>+ROUND(+SUM('R &amp; E data-2019'!U142:U149)+SUM('R &amp; E data-2019'!U154:U155)-SUM('R &amp; E data-2019'!V142:V149)-SUM('R &amp; E data-2019'!V154:V155),2)</f>
        <v>0</v>
      </c>
      <c r="L64" s="749"/>
      <c r="M64" s="700">
        <f>+ROUND(+D64+G64+J64,2)</f>
        <v>0</v>
      </c>
      <c r="N64" s="694">
        <f>+ROUND(+E64+H64+K64,2)</f>
        <v>0</v>
      </c>
      <c r="O64" s="152"/>
      <c r="P64" s="152"/>
      <c r="Q64" s="152"/>
      <c r="R64" s="152"/>
      <c r="S64" s="152"/>
      <c r="T64" s="152"/>
      <c r="U64" s="152"/>
      <c r="V64" s="152"/>
      <c r="W64" s="152"/>
      <c r="X64" s="152"/>
      <c r="Y64" s="152"/>
      <c r="Z64" s="152"/>
    </row>
    <row r="65" spans="1:26" ht="15.75">
      <c r="A65" s="334" t="s">
        <v>1107</v>
      </c>
      <c r="B65" s="335">
        <f>1+B64</f>
        <v>642</v>
      </c>
      <c r="C65" s="749"/>
      <c r="D65" s="700">
        <f>+ROUND(+SUM('TRIAL-BALANCE'!S517:S520)-SUM('TRIAL-BALANCE'!T517:T520),2)</f>
        <v>0</v>
      </c>
      <c r="E65" s="694">
        <f>+ROUND(+SUM('R &amp; E data-2019'!O150:O153)-SUM('R &amp; E data-2019'!P150:P153),2)</f>
        <v>0</v>
      </c>
      <c r="F65" s="749"/>
      <c r="G65" s="700">
        <f>+ROUND(+SUM('TRIAL-BALANCE'!Z517:Z520)-SUM('TRIAL-BALANCE'!AA517:AA520),2)</f>
        <v>0</v>
      </c>
      <c r="H65" s="694">
        <f>+ROUND(+SUM('R &amp; E data-2019'!R150:R153)-SUM('R &amp; E data-2019'!S150:S153),2)</f>
        <v>0</v>
      </c>
      <c r="I65" s="749"/>
      <c r="J65" s="700">
        <f>+ROUND(+SUM('TRIAL-BALANCE'!AG517:AG520)-SUM('TRIAL-BALANCE'!AH517:AH520),2)</f>
        <v>0</v>
      </c>
      <c r="K65" s="694">
        <f>+ROUND(+SUM('R &amp; E data-2019'!U150:U153)-SUM('R &amp; E data-2019'!V150:V153),2)</f>
        <v>0</v>
      </c>
      <c r="L65" s="749"/>
      <c r="M65" s="700">
        <f>+ROUND(+D65+G65+J65,2)</f>
        <v>0</v>
      </c>
      <c r="N65" s="694">
        <f>+ROUND(+E65+H65+K65,2)</f>
        <v>0</v>
      </c>
      <c r="O65" s="152"/>
      <c r="P65" s="152"/>
      <c r="Q65" s="152"/>
      <c r="R65" s="152"/>
      <c r="S65" s="152"/>
      <c r="T65" s="152"/>
      <c r="U65" s="152"/>
      <c r="V65" s="152"/>
      <c r="W65" s="152"/>
      <c r="X65" s="152"/>
      <c r="Y65" s="152"/>
      <c r="Z65" s="152"/>
    </row>
    <row r="66" spans="1:26" ht="15.75">
      <c r="A66" s="691" t="s">
        <v>1027</v>
      </c>
      <c r="B66" s="692">
        <v>640</v>
      </c>
      <c r="C66" s="749"/>
      <c r="D66" s="705">
        <f>+ROUND(+SUM(D64:D65),2)</f>
        <v>0</v>
      </c>
      <c r="E66" s="698">
        <f>+ROUND(+SUM(E64:E65),2)</f>
        <v>0</v>
      </c>
      <c r="F66" s="749"/>
      <c r="G66" s="705">
        <f>+ROUND(+SUM(G64:G65),2)</f>
        <v>0</v>
      </c>
      <c r="H66" s="698">
        <f>+ROUND(+SUM(H64:H65),2)</f>
        <v>0</v>
      </c>
      <c r="I66" s="749"/>
      <c r="J66" s="705">
        <f>+ROUND(+SUM(J64:J65),2)</f>
        <v>0</v>
      </c>
      <c r="K66" s="698">
        <f>+ROUND(+SUM(K64:K65),2)</f>
        <v>0</v>
      </c>
      <c r="L66" s="749"/>
      <c r="M66" s="705">
        <f>+ROUND(+SUM(M64:M65),2)</f>
        <v>0</v>
      </c>
      <c r="N66" s="698">
        <f>+ROUND(+SUM(N64:N65),2)</f>
        <v>0</v>
      </c>
      <c r="O66" s="152"/>
      <c r="P66" s="152"/>
      <c r="Q66" s="152"/>
      <c r="R66" s="152"/>
      <c r="S66" s="152"/>
      <c r="T66" s="152"/>
      <c r="U66" s="152"/>
      <c r="V66" s="152"/>
      <c r="W66" s="152"/>
      <c r="X66" s="152"/>
      <c r="Y66" s="152"/>
      <c r="Z66" s="152"/>
    </row>
    <row r="67" spans="1:26" ht="15.75">
      <c r="A67" s="172" t="s">
        <v>1053</v>
      </c>
      <c r="B67" s="173"/>
      <c r="C67" s="749"/>
      <c r="D67" s="703"/>
      <c r="E67" s="696"/>
      <c r="F67" s="749"/>
      <c r="G67" s="703"/>
      <c r="H67" s="696"/>
      <c r="I67" s="749"/>
      <c r="J67" s="703"/>
      <c r="K67" s="696"/>
      <c r="L67" s="749"/>
      <c r="M67" s="703"/>
      <c r="N67" s="696"/>
      <c r="O67" s="152"/>
      <c r="P67" s="152"/>
      <c r="Q67" s="152"/>
      <c r="R67" s="152"/>
      <c r="S67" s="152"/>
      <c r="T67" s="152"/>
      <c r="U67" s="152"/>
      <c r="V67" s="152"/>
      <c r="W67" s="152"/>
      <c r="X67" s="152"/>
      <c r="Y67" s="152"/>
      <c r="Z67" s="152"/>
    </row>
    <row r="68" spans="1:26" ht="15.75">
      <c r="A68" s="334" t="s">
        <v>1051</v>
      </c>
      <c r="B68" s="335">
        <v>651</v>
      </c>
      <c r="C68" s="749"/>
      <c r="D68" s="700">
        <f>+ROUND(+SUM('TRIAL-BALANCE'!S524:S528)+SUM('TRIAL-BALANCE'!S533:S536)+SUM('TRIAL-BALANCE'!S540:S543)+SUM('TRIAL-BALANCE'!S548:S551)+SUM('TRIAL-BALANCE'!S554:S557)+SUM('TRIAL-BALANCE'!S560:S562)+'TRIAL-BALANCE'!S565-SUM('TRIAL-BALANCE'!T524:T528)-SUM('TRIAL-BALANCE'!T533:T536)-SUM('TRIAL-BALANCE'!T540:T543)-SUM('TRIAL-BALANCE'!T548:T551)-SUM('TRIAL-BALANCE'!T554:T557)-SUM('TRIAL-BALANCE'!T560:T562)-'TRIAL-BALANCE'!T565,2)+ROUND(+'TRIAL-BALANCE'!S791,2)</f>
        <v>0</v>
      </c>
      <c r="E68" s="694">
        <f>+ROUND(+SUM('R &amp; E data-2019'!O157:O161)+SUM('R &amp; E data-2019'!O166:O169)+SUM('R &amp; E data-2019'!O173:O176)+SUM('R &amp; E data-2019'!O181:O184)+SUM('R &amp; E data-2019'!O187:O190)+SUM('R &amp; E data-2019'!O193:O195)+'R &amp; E data-2019'!O198-SUM('R &amp; E data-2019'!P157:P161)-SUM('R &amp; E data-2019'!P166:P169)-SUM('R &amp; E data-2019'!P173:P176)-SUM('R &amp; E data-2019'!P181:P184)-SUM('R &amp; E data-2019'!P187:P190)-SUM('R &amp; E data-2019'!P193:P195)-'R &amp; E data-2019'!P198,2)+ROUND(+'R &amp; E data-2019'!O424,2)</f>
        <v>0</v>
      </c>
      <c r="F68" s="749"/>
      <c r="G68" s="700">
        <f>+ROUND(+SUM('TRIAL-BALANCE'!Z524:Z528)+SUM('TRIAL-BALANCE'!Z533:Z536)+SUM('TRIAL-BALANCE'!Z540:Z543)+SUM('TRIAL-BALANCE'!Z548:Z551)+SUM('TRIAL-BALANCE'!Z554:Z557)+SUM('TRIAL-BALANCE'!Z560:Z562)+'TRIAL-BALANCE'!Z565-SUM('TRIAL-BALANCE'!AA524:AA528)-SUM('TRIAL-BALANCE'!AA533:AA536)-SUM('TRIAL-BALANCE'!AA540:AA543)-SUM('TRIAL-BALANCE'!AA548:AA551)-SUM('TRIAL-BALANCE'!AA554:AA557)-SUM('TRIAL-BALANCE'!AA560:AA562)-'TRIAL-BALANCE'!AA565,2)+ROUND(+'TRIAL-BALANCE'!Z791,2)</f>
        <v>0</v>
      </c>
      <c r="H68" s="694">
        <f>+ROUND(+SUM('R &amp; E data-2019'!R157:R161)+SUM('R &amp; E data-2019'!R166:R169)+SUM('R &amp; E data-2019'!R173:R176)+SUM('R &amp; E data-2019'!R181:R184)+SUM('R &amp; E data-2019'!R187:R190)+SUM('R &amp; E data-2019'!R193:R195)+'R &amp; E data-2019'!R198-SUM('R &amp; E data-2019'!S157:S161)-SUM('R &amp; E data-2019'!S166:S169)-SUM('R &amp; E data-2019'!S173:S176)-SUM('R &amp; E data-2019'!S181:S184)-SUM('R &amp; E data-2019'!S187:S190)-SUM('R &amp; E data-2019'!S193:S195)-'R &amp; E data-2019'!S198,2)+ROUND(+'R &amp; E data-2019'!R424,2)</f>
        <v>0</v>
      </c>
      <c r="I68" s="749"/>
      <c r="J68" s="700">
        <f>+ROUND(+SUM('TRIAL-BALANCE'!AG524:AG528)+SUM('TRIAL-BALANCE'!AG533:AG536)+SUM('TRIAL-BALANCE'!AG540:AG543)+SUM('TRIAL-BALANCE'!AG548:AG551)+SUM('TRIAL-BALANCE'!AG554:AG557)+SUM('TRIAL-BALANCE'!AG560:AG562)+'TRIAL-BALANCE'!AG565-SUM('TRIAL-BALANCE'!AH524:AH528)-SUM('TRIAL-BALANCE'!AH533:AH536)-SUM('TRIAL-BALANCE'!AH540:AH543)-SUM('TRIAL-BALANCE'!AH548:AH551)-SUM('TRIAL-BALANCE'!AH554:AH557)-SUM('TRIAL-BALANCE'!AH560:AH562)-'TRIAL-BALANCE'!AH565,2)+ROUND(+'TRIAL-BALANCE'!AG791,2)</f>
        <v>0</v>
      </c>
      <c r="K68" s="694">
        <f>+ROUND(+SUM('R &amp; E data-2019'!U157:U161)+SUM('R &amp; E data-2019'!U166:U169)+SUM('R &amp; E data-2019'!U173:U176)+SUM('R &amp; E data-2019'!U181:U184)+SUM('R &amp; E data-2019'!U187:U190)+SUM('R &amp; E data-2019'!U193:U195)+'R &amp; E data-2019'!U198-SUM('R &amp; E data-2019'!V157:V161)-SUM('R &amp; E data-2019'!V166:V169)-SUM('R &amp; E data-2019'!V173:V176)-SUM('R &amp; E data-2019'!V181:V184)-SUM('R &amp; E data-2019'!V187:V190)-SUM('R &amp; E data-2019'!V193:V195)-'R &amp; E data-2019'!V198,2)+ROUND(+'R &amp; E data-2019'!U424,2)</f>
        <v>0</v>
      </c>
      <c r="L68" s="749"/>
      <c r="M68" s="700">
        <f>+ROUND(+D68+G68+J68,2)</f>
        <v>0</v>
      </c>
      <c r="N68" s="694">
        <f>+ROUND(+E68+H68+K68,2)</f>
        <v>0</v>
      </c>
      <c r="O68" s="152"/>
      <c r="P68" s="1883"/>
      <c r="Q68" s="1903" t="s">
        <v>1875</v>
      </c>
      <c r="R68" s="152"/>
      <c r="S68" s="152"/>
      <c r="T68" s="152"/>
      <c r="U68" s="152"/>
      <c r="V68" s="152"/>
      <c r="W68" s="152"/>
      <c r="X68" s="152"/>
      <c r="Y68" s="152"/>
      <c r="Z68" s="152"/>
    </row>
    <row r="69" spans="1:26" ht="15.75">
      <c r="A69" s="334" t="s">
        <v>1052</v>
      </c>
      <c r="B69" s="335">
        <f>1+B68</f>
        <v>652</v>
      </c>
      <c r="C69" s="749"/>
      <c r="D69" s="700">
        <f>+ROUND(+SUM('TRIAL-BALANCE'!S529:S532)+SUM('TRIAL-BALANCE'!S537:S539)+SUM('TRIAL-BALANCE'!S544:S547)+SUM('TRIAL-BALANCE'!S552:S553)+SUM('TRIAL-BALANCE'!S558:S559)+SUM('TRIAL-BALANCE'!S563:S564)-SUM('TRIAL-BALANCE'!T529:T532)-SUM('TRIAL-BALANCE'!T537:T539)-SUM('TRIAL-BALANCE'!T544:T547)-SUM('TRIAL-BALANCE'!T552:T553)-SUM('TRIAL-BALANCE'!T558:T559)-SUM('TRIAL-BALANCE'!T563:T564),2)</f>
        <v>0</v>
      </c>
      <c r="E69" s="694">
        <f>+ROUND(+SUM('R &amp; E data-2019'!O162:O165)+SUM('R &amp; E data-2019'!O170:O172)+SUM('R &amp; E data-2019'!O177:O180)+SUM('R &amp; E data-2019'!O185:O186)+SUM('R &amp; E data-2019'!O191:O192)+SUM('R &amp; E data-2019'!O196:O197)-SUM('R &amp; E data-2019'!P162:P165)-SUM('R &amp; E data-2019'!P170:P172)-SUM('R &amp; E data-2019'!P177:P180)-SUM('R &amp; E data-2019'!P185:P186)-SUM('R &amp; E data-2019'!P191:P192)-SUM('R &amp; E data-2019'!P196:P197),2)</f>
        <v>0</v>
      </c>
      <c r="F69" s="749"/>
      <c r="G69" s="700">
        <f>+ROUND(+SUM('TRIAL-BALANCE'!Z529:Z532)+SUM('TRIAL-BALANCE'!Z537:Z539)+SUM('TRIAL-BALANCE'!Z544:Z547)+SUM('TRIAL-BALANCE'!Z552:Z553)+SUM('TRIAL-BALANCE'!Z558:Z559)+SUM('TRIAL-BALANCE'!Z563:Z564)-SUM('TRIAL-BALANCE'!AA529:AA532)-SUM('TRIAL-BALANCE'!AA537:AA539)-SUM('TRIAL-BALANCE'!AA544:AA547)-SUM('TRIAL-BALANCE'!AA552:AA553)-SUM('TRIAL-BALANCE'!AA558:AA559)-SUM('TRIAL-BALANCE'!AA563:AA564),2)</f>
        <v>0</v>
      </c>
      <c r="H69" s="694">
        <f>+ROUND(+SUM('R &amp; E data-2019'!R162:R165)+SUM('R &amp; E data-2019'!R170:R172)+SUM('R &amp; E data-2019'!R177:R180)+SUM('R &amp; E data-2019'!R185:R186)+SUM('R &amp; E data-2019'!R191:R192)+SUM('R &amp; E data-2019'!R196:R197)-SUM('R &amp; E data-2019'!S162:S165)-SUM('R &amp; E data-2019'!S170:S172)-SUM('R &amp; E data-2019'!S177:S180)-SUM('R &amp; E data-2019'!S185:S186)-SUM('R &amp; E data-2019'!S191:S192)-SUM('R &amp; E data-2019'!S196:S197),2)</f>
        <v>0</v>
      </c>
      <c r="I69" s="749"/>
      <c r="J69" s="700">
        <f>+ROUND(+SUM('TRIAL-BALANCE'!AG529:AG532)+SUM('TRIAL-BALANCE'!AG537:AG539)+SUM('TRIAL-BALANCE'!AG544:AG547)+SUM('TRIAL-BALANCE'!AG552:AG553)+SUM('TRIAL-BALANCE'!AG558:AG559)+SUM('TRIAL-BALANCE'!AG563:AG564)-SUM('TRIAL-BALANCE'!AH529:AH532)-SUM('TRIAL-BALANCE'!AH537:AH539)-SUM('TRIAL-BALANCE'!AH544:AH547)-SUM('TRIAL-BALANCE'!AH552:AH553)-SUM('TRIAL-BALANCE'!AH558:AH559)-SUM('TRIAL-BALANCE'!AH563:AH564),2)</f>
        <v>0</v>
      </c>
      <c r="K69" s="694">
        <f>+ROUND(+SUM('R &amp; E data-2019'!U162:U165)+SUM('R &amp; E data-2019'!U170:U172)+SUM('R &amp; E data-2019'!U177:U180)+SUM('R &amp; E data-2019'!U185:U186)+SUM('R &amp; E data-2019'!U191:U192)+SUM('R &amp; E data-2019'!U196:U197)-SUM('R &amp; E data-2019'!V162:V165)-SUM('R &amp; E data-2019'!V170:V172)-SUM('R &amp; E data-2019'!V177:V180)-SUM('R &amp; E data-2019'!V185:V186)-SUM('R &amp; E data-2019'!V191:V192)-SUM('R &amp; E data-2019'!V196:V197),2)</f>
        <v>0</v>
      </c>
      <c r="L69" s="749"/>
      <c r="M69" s="700">
        <f>+ROUND(+D69+G69+J69,2)</f>
        <v>0</v>
      </c>
      <c r="N69" s="694">
        <f>+ROUND(+E69+H69+K69,2)</f>
        <v>0</v>
      </c>
      <c r="O69" s="152"/>
      <c r="P69" s="1667" t="s">
        <v>1869</v>
      </c>
      <c r="Q69" s="1895" t="str">
        <f>+Q45</f>
        <v>'Municipal-Bal'</v>
      </c>
      <c r="R69" s="152"/>
      <c r="S69" s="152"/>
      <c r="T69" s="152"/>
      <c r="U69" s="152"/>
      <c r="V69" s="152"/>
      <c r="W69" s="152"/>
      <c r="X69" s="152"/>
      <c r="Y69" s="152"/>
      <c r="Z69" s="152"/>
    </row>
    <row r="70" spans="1:26" ht="15.75">
      <c r="A70" s="691" t="s">
        <v>1054</v>
      </c>
      <c r="B70" s="692">
        <v>659</v>
      </c>
      <c r="C70" s="749"/>
      <c r="D70" s="705">
        <f>+ROUND(+SUM(D68:D69),2)</f>
        <v>0</v>
      </c>
      <c r="E70" s="698">
        <f>+ROUND(+SUM(E68:E69),2)</f>
        <v>0</v>
      </c>
      <c r="F70" s="749"/>
      <c r="G70" s="705">
        <f>+ROUND(+SUM(G68:G69),2)</f>
        <v>0</v>
      </c>
      <c r="H70" s="698">
        <f>+ROUND(+SUM(H68:H69),2)</f>
        <v>0</v>
      </c>
      <c r="I70" s="749"/>
      <c r="J70" s="705">
        <f>+ROUND(+SUM(J68:J69),2)</f>
        <v>0</v>
      </c>
      <c r="K70" s="698">
        <f>+ROUND(+SUM(K68:K69),2)</f>
        <v>0</v>
      </c>
      <c r="L70" s="749"/>
      <c r="M70" s="705">
        <f>+ROUND(+SUM(M68:M69),2)</f>
        <v>0</v>
      </c>
      <c r="N70" s="698">
        <f>+ROUND(+SUM(N68:N69),2)</f>
        <v>0</v>
      </c>
      <c r="O70" s="152"/>
      <c r="P70" s="1668" t="s">
        <v>1299</v>
      </c>
      <c r="Q70" s="1669"/>
      <c r="R70" s="152"/>
      <c r="S70" s="152"/>
      <c r="T70" s="152"/>
      <c r="U70" s="152"/>
      <c r="V70" s="152"/>
      <c r="W70" s="152"/>
      <c r="X70" s="152"/>
      <c r="Y70" s="152"/>
      <c r="Z70" s="152"/>
    </row>
    <row r="71" spans="1:26" s="1398" customFormat="1" ht="6" customHeight="1">
      <c r="A71" s="172"/>
      <c r="B71" s="173"/>
      <c r="C71" s="749"/>
      <c r="D71" s="665"/>
      <c r="E71" s="666"/>
      <c r="F71" s="749"/>
      <c r="G71" s="665"/>
      <c r="H71" s="666"/>
      <c r="I71" s="749"/>
      <c r="J71" s="665"/>
      <c r="K71" s="666"/>
      <c r="L71" s="749"/>
      <c r="M71" s="665"/>
      <c r="N71" s="666"/>
      <c r="O71" s="303"/>
      <c r="P71" s="1902"/>
      <c r="Q71" s="1902"/>
      <c r="R71" s="303"/>
      <c r="S71" s="303"/>
      <c r="T71" s="303"/>
      <c r="U71" s="303"/>
      <c r="V71" s="303"/>
      <c r="W71" s="303"/>
      <c r="X71" s="303"/>
      <c r="Y71" s="303"/>
      <c r="Z71" s="303"/>
    </row>
    <row r="72" spans="1:26" ht="15.75">
      <c r="A72" s="691" t="s">
        <v>1064</v>
      </c>
      <c r="B72" s="692">
        <v>660</v>
      </c>
      <c r="C72" s="749"/>
      <c r="D72" s="705">
        <f>+ROUND(+SUM('TRIAL-BALANCE'!S437:S441)-SUM('TRIAL-BALANCE'!T437:T441),2)</f>
        <v>0</v>
      </c>
      <c r="E72" s="698">
        <f>+ROUND(+SUM('R &amp; E data-2019'!O70:O74)-SUM('R &amp; E data-2019'!P70:P74),2)</f>
        <v>622.45000000000005</v>
      </c>
      <c r="F72" s="749"/>
      <c r="G72" s="705">
        <f>+ROUND(+SUM('TRIAL-BALANCE'!Z437:Z441)-SUM('TRIAL-BALANCE'!AA437:AA441),2)</f>
        <v>0</v>
      </c>
      <c r="H72" s="698">
        <f>+ROUND(+SUM('R &amp; E data-2019'!R70:R74)-SUM('R &amp; E data-2019'!S70:S74),2)</f>
        <v>0</v>
      </c>
      <c r="I72" s="749"/>
      <c r="J72" s="705">
        <f>-ROUND(+'TRIAL-BALANCE'!AH763-'TRIAL-BALANCE'!AG763,2)+ROUND(+SUM('TRIAL-BALANCE'!AG437:AG441)-SUM('TRIAL-BALANCE'!AH437:AH441),2)</f>
        <v>0</v>
      </c>
      <c r="K72" s="698">
        <f>-ROUND('R &amp; E data-2019'!V396-'R &amp; E data-2019'!U396,2)</f>
        <v>-622.45000000000005</v>
      </c>
      <c r="L72" s="749"/>
      <c r="M72" s="705">
        <f>+ROUND(+D72+G72+J72,2)</f>
        <v>0</v>
      </c>
      <c r="N72" s="698">
        <f>+ROUND(+E72+H72+K72,2)</f>
        <v>0</v>
      </c>
      <c r="O72" s="152"/>
      <c r="P72" s="1898" t="s">
        <v>1295</v>
      </c>
      <c r="Q72" s="1899" t="s">
        <v>1296</v>
      </c>
      <c r="R72" s="152"/>
      <c r="S72" s="152"/>
      <c r="T72" s="152"/>
      <c r="U72" s="152"/>
      <c r="V72" s="152"/>
      <c r="W72" s="152"/>
      <c r="X72" s="152"/>
      <c r="Y72" s="152"/>
      <c r="Z72" s="152"/>
    </row>
    <row r="73" spans="1:26" s="1398" customFormat="1" ht="6" customHeight="1">
      <c r="A73" s="172"/>
      <c r="B73" s="173"/>
      <c r="C73" s="749"/>
      <c r="D73" s="665"/>
      <c r="E73" s="666"/>
      <c r="F73" s="749"/>
      <c r="G73" s="665"/>
      <c r="H73" s="666"/>
      <c r="I73" s="749"/>
      <c r="J73" s="665"/>
      <c r="K73" s="666"/>
      <c r="L73" s="749"/>
      <c r="M73" s="665"/>
      <c r="N73" s="666"/>
      <c r="O73" s="303"/>
      <c r="P73" s="1901"/>
      <c r="Q73" s="1900"/>
      <c r="R73" s="303"/>
      <c r="S73" s="303"/>
      <c r="T73" s="303"/>
      <c r="U73" s="303"/>
      <c r="V73" s="303"/>
      <c r="W73" s="303"/>
      <c r="X73" s="303"/>
      <c r="Y73" s="303"/>
      <c r="Z73" s="303"/>
    </row>
    <row r="74" spans="1:26" ht="15.75">
      <c r="A74" s="691" t="s">
        <v>1866</v>
      </c>
      <c r="B74" s="692">
        <v>670</v>
      </c>
      <c r="C74" s="749"/>
      <c r="D74" s="705">
        <f>+ROUND(+SUM('TRIAL-BALANCE'!S442:S443)-SUM('TRIAL-BALANCE'!T442:T443)+('TRIAL-BALANCE'!S508-'TRIAL-BALANCE'!T508)+('TRIAL-BALANCE'!S523-'TRIAL-BALANCE'!T523)+SUM('TRIAL-BALANCE'!S566:S572)-SUM('TRIAL-BALANCE'!T566:T572),2)</f>
        <v>0</v>
      </c>
      <c r="E74" s="698">
        <f>+ROUND(+SUM('R &amp; E data-2019'!O75:O76)-SUM('R &amp; E data-2019'!P75:P76)+('R &amp; E data-2019'!O141-'R &amp; E data-2019'!P141)+('R &amp; E data-2019'!O156-'R &amp; E data-2019'!P156)+SUM('R &amp; E data-2019'!O199:O205)-SUM('R &amp; E data-2019'!P199:P205),2)</f>
        <v>0</v>
      </c>
      <c r="F74" s="749"/>
      <c r="G74" s="705">
        <f>+ROUND(+SUM('TRIAL-BALANCE'!Z442:Z443)-SUM('TRIAL-BALANCE'!AA442:AA443)+('TRIAL-BALANCE'!Z508-'TRIAL-BALANCE'!AA508)+('TRIAL-BALANCE'!Z523-'TRIAL-BALANCE'!AA523)+SUM('TRIAL-BALANCE'!Z566:Z572)-SUM('TRIAL-BALANCE'!AA566:AA572),2)</f>
        <v>0</v>
      </c>
      <c r="H74" s="698">
        <f>+ROUND(+SUM('R &amp; E data-2019'!R75:R76)-SUM('R &amp; E data-2019'!S75:S76)+('R &amp; E data-2019'!R141-'R &amp; E data-2019'!S141)+('R &amp; E data-2019'!R156-'R &amp; E data-2019'!S156)+SUM('R &amp; E data-2019'!R199:R205)-SUM('R &amp; E data-2019'!S199:S205),2)</f>
        <v>0</v>
      </c>
      <c r="I74" s="749"/>
      <c r="J74" s="705">
        <f>+ROUND(+SUM('TRIAL-BALANCE'!AG442:AG443)-SUM('TRIAL-BALANCE'!AH442:AH443)+('TRIAL-BALANCE'!AG508-'TRIAL-BALANCE'!AH508)+('TRIAL-BALANCE'!AG523-'TRIAL-BALANCE'!AH523)+SUM('TRIAL-BALANCE'!AG566:AG572)-SUM('TRIAL-BALANCE'!AH566:AH572),2)</f>
        <v>0</v>
      </c>
      <c r="K74" s="698">
        <f>+ROUND(+SUM('R &amp; E data-2019'!U75:U76)-SUM('R &amp; E data-2019'!V75:V76)+('R &amp; E data-2019'!U141-'R &amp; E data-2019'!V141)+('R &amp; E data-2019'!U156-'R &amp; E data-2019'!V156)+SUM('R &amp; E data-2019'!U199:U205)-SUM('R &amp; E data-2019'!V199:V205),2)</f>
        <v>0</v>
      </c>
      <c r="L74" s="749"/>
      <c r="M74" s="705">
        <f>+ROUND(+D74+G74+J74,2)+ROUND(P74,2)</f>
        <v>0</v>
      </c>
      <c r="N74" s="698">
        <f>+ROUND(+E74+H74+K74,2)+ROUND(Q74,2)</f>
        <v>0</v>
      </c>
      <c r="O74" s="152"/>
      <c r="P74" s="1935">
        <f>+IF(+AND(Status!K4="ДА",+ROUND('Municipal-Bal'!K20,0)=1,+ROUND('Municipal-Bal'!V80,2)=+ROUND('Municipal-Bal'!V91,2)),+ROUND(+SUM('Municipal-Bal'!U88:U89),2),0)</f>
        <v>0</v>
      </c>
      <c r="Q74" s="1936">
        <f>+IF(+AND(Status!K4="ДА",+ROUND('Municipal-Bal'!K20,0)=1,+ROUND('Municipal-Bal'!V110,2)=+ROUND('Municipal-Bal'!V121,2)),+ROUND(+SUM('Municipal-Bal'!U118:U119),2),0)</f>
        <v>0</v>
      </c>
      <c r="R74" s="152"/>
      <c r="S74" s="152"/>
      <c r="T74" s="152"/>
      <c r="U74" s="152"/>
      <c r="V74" s="152"/>
      <c r="W74" s="152"/>
      <c r="X74" s="152"/>
      <c r="Y74" s="152"/>
      <c r="Z74" s="152"/>
    </row>
    <row r="75" spans="1:26" ht="15.75">
      <c r="A75" s="1888" t="s">
        <v>1865</v>
      </c>
      <c r="B75" s="1889">
        <v>679</v>
      </c>
      <c r="C75" s="749"/>
      <c r="D75" s="1890">
        <f>+ROUND(+SUM('TRIAL-BALANCE'!S566:S572)-SUM('TRIAL-BALANCE'!T566:T572),2)</f>
        <v>0</v>
      </c>
      <c r="E75" s="1891">
        <f>+ROUND(+SUM('R &amp; E data-2019'!O199:O205)-SUM('R &amp; E data-2019'!P199:P205),2)</f>
        <v>0</v>
      </c>
      <c r="F75" s="749"/>
      <c r="G75" s="1890">
        <f>+ROUND(+SUM('TRIAL-BALANCE'!Z566:Z572)-SUM('TRIAL-BALANCE'!AA566:AA572),2)</f>
        <v>0</v>
      </c>
      <c r="H75" s="1891">
        <f>+ROUND(+SUM('R &amp; E data-2019'!R199:R205)-SUM('R &amp; E data-2019'!S199:S205),2)</f>
        <v>0</v>
      </c>
      <c r="I75" s="749"/>
      <c r="J75" s="1890">
        <f>+ROUND(+SUM('TRIAL-BALANCE'!AG566:AG572)-SUM('TRIAL-BALANCE'!AH566:AH572),2)</f>
        <v>0</v>
      </c>
      <c r="K75" s="1891">
        <f>+ROUND(+SUM('R &amp; E data-2019'!U199:U205)-SUM('R &amp; E data-2019'!V199:V205),2)</f>
        <v>0</v>
      </c>
      <c r="L75" s="749"/>
      <c r="M75" s="1890">
        <f>+ROUND(+D75+G75+J75,2)</f>
        <v>0</v>
      </c>
      <c r="N75" s="1891">
        <f>+ROUND(+E75+H75+K75,2)</f>
        <v>0</v>
      </c>
      <c r="O75" s="152"/>
      <c r="P75" s="2562" t="str">
        <f>+IF(+AND(+Status!K4="ДА",+ROUND('Municipal-Bal'!K20,0)=1),+IF(+ROUND('Municipal-Bal'!V80,2)=+ROUND('Municipal-Bal'!V91,2),"O K","неспазено изискване NA-BAL = NA-OPR в 'Municipal-Bal'"),"O K")</f>
        <v>O K</v>
      </c>
      <c r="Q75" s="2562"/>
      <c r="R75" s="152"/>
      <c r="S75" s="152"/>
      <c r="T75" s="152"/>
      <c r="U75" s="152"/>
      <c r="V75" s="152"/>
      <c r="W75" s="152"/>
      <c r="X75" s="152"/>
      <c r="Y75" s="152"/>
      <c r="Z75" s="152"/>
    </row>
    <row r="76" spans="1:26" ht="4.5" customHeight="1">
      <c r="A76" s="172"/>
      <c r="B76" s="173"/>
      <c r="C76" s="749"/>
      <c r="D76" s="703"/>
      <c r="E76" s="696"/>
      <c r="F76" s="749"/>
      <c r="G76" s="703"/>
      <c r="H76" s="696"/>
      <c r="I76" s="749"/>
      <c r="J76" s="703"/>
      <c r="K76" s="696"/>
      <c r="L76" s="749"/>
      <c r="M76" s="703"/>
      <c r="N76" s="696"/>
      <c r="O76" s="152"/>
      <c r="P76" s="2603">
        <f>+IF(P75="O K",0,"N o ")</f>
        <v>0</v>
      </c>
      <c r="Q76" s="2603"/>
      <c r="R76" s="152"/>
      <c r="S76" s="152"/>
      <c r="T76" s="152"/>
      <c r="U76" s="152"/>
      <c r="V76" s="152"/>
      <c r="W76" s="152"/>
      <c r="X76" s="152"/>
      <c r="Y76" s="152"/>
      <c r="Z76" s="152"/>
    </row>
    <row r="77" spans="1:26" ht="19.5" thickBot="1">
      <c r="A77" s="717" t="s">
        <v>415</v>
      </c>
      <c r="B77" s="720">
        <v>699</v>
      </c>
      <c r="C77" s="749"/>
      <c r="D77" s="718">
        <f>+ROUND(+D53+D58+D62+D66+D70+D72+D74,2)</f>
        <v>925762.7</v>
      </c>
      <c r="E77" s="719">
        <f>+ROUND(+E53+E58+E62+E66+E70+E72+E74,2)</f>
        <v>1686260.14</v>
      </c>
      <c r="F77" s="749"/>
      <c r="G77" s="718">
        <f>+ROUND(+G53+G58+G62+G66+G70+G72+G74,2)</f>
        <v>0</v>
      </c>
      <c r="H77" s="719">
        <f>+ROUND(+H53+H58+H62+H66+H70+H72+H74,2)</f>
        <v>0</v>
      </c>
      <c r="I77" s="749"/>
      <c r="J77" s="718">
        <f>+ROUND(+J53+J58+J62+J66+J70+J72+J74,2)</f>
        <v>0</v>
      </c>
      <c r="K77" s="719">
        <f>+ROUND(+K53+K58+K62+K66+K70+K72+K74,2)</f>
        <v>-622.45000000000005</v>
      </c>
      <c r="L77" s="749"/>
      <c r="M77" s="718">
        <f>+ROUND(+M53+M58+M62+M66+M70+M72+M74,2)</f>
        <v>925762.7</v>
      </c>
      <c r="N77" s="719">
        <f>+ROUND(+N53+N58+N62+N66+N70+N72+N74,2)</f>
        <v>1685637.69</v>
      </c>
      <c r="O77" s="152"/>
      <c r="P77" s="2598" t="str">
        <f>+IF(+AND(+Status!K4="ДА",+ROUND('Municipal-Bal'!K20,0)=1),+IF(+ROUND('Municipal-Bal'!V110,2)=+ROUND('Municipal-Bal'!V121,2),"O K","неспазено изискване NA-BAL = NA-OPR в 'Municipal-Bal'"),"O K")</f>
        <v>O K</v>
      </c>
      <c r="Q77" s="2598"/>
      <c r="R77" s="152"/>
      <c r="S77" s="152"/>
      <c r="T77" s="152"/>
      <c r="U77" s="152"/>
      <c r="V77" s="152"/>
      <c r="W77" s="152"/>
      <c r="X77" s="152"/>
      <c r="Y77" s="152"/>
      <c r="Z77" s="152"/>
    </row>
    <row r="78" spans="1:26" ht="15.75">
      <c r="A78" s="170" t="s">
        <v>1147</v>
      </c>
      <c r="B78" s="171"/>
      <c r="C78" s="753"/>
      <c r="D78" s="709"/>
      <c r="E78" s="707"/>
      <c r="F78" s="753"/>
      <c r="G78" s="709"/>
      <c r="H78" s="707"/>
      <c r="I78" s="753"/>
      <c r="J78" s="709"/>
      <c r="K78" s="707"/>
      <c r="L78" s="753"/>
      <c r="M78" s="709"/>
      <c r="N78" s="707"/>
      <c r="O78" s="152"/>
      <c r="P78" s="152"/>
      <c r="Q78" s="152"/>
      <c r="R78" s="152"/>
      <c r="S78" s="152"/>
      <c r="T78" s="152"/>
      <c r="U78" s="152"/>
      <c r="V78" s="152"/>
      <c r="W78" s="152"/>
      <c r="X78" s="152"/>
      <c r="Y78" s="152"/>
      <c r="Z78" s="152"/>
    </row>
    <row r="79" spans="1:26" ht="15.75">
      <c r="A79" s="334" t="s">
        <v>1115</v>
      </c>
      <c r="B79" s="335">
        <v>681</v>
      </c>
      <c r="C79" s="749"/>
      <c r="D79" s="700">
        <f>+ROUND(+SUM('TRIAL-BALANCE'!T739:T758)-SUM('TRIAL-BALANCE'!S739:S758),2)</f>
        <v>1061484.18</v>
      </c>
      <c r="E79" s="694">
        <f>+ROUND(+SUM('R &amp; E data-2019'!P372:P391)-SUM('R &amp; E data-2019'!O372:O391),2)</f>
        <v>1597357.7</v>
      </c>
      <c r="F79" s="749"/>
      <c r="G79" s="700">
        <f>+ROUND(+SUM('TRIAL-BALANCE'!AA739:AA758)-SUM('TRIAL-BALANCE'!Z739:Z758),2)</f>
        <v>0</v>
      </c>
      <c r="H79" s="694">
        <f>+ROUND(+SUM('R &amp; E data-2019'!S372:S391)-SUM('R &amp; E data-2019'!R372:R391),2)</f>
        <v>0</v>
      </c>
      <c r="I79" s="749"/>
      <c r="J79" s="700">
        <f>+ROUND(+SUM('TRIAL-BALANCE'!AH739:AH758)-SUM('TRIAL-BALANCE'!AG739:AG758),2)</f>
        <v>0</v>
      </c>
      <c r="K79" s="694">
        <f>+ROUND(+SUM('R &amp; E data-2019'!V372:V391)-SUM('R &amp; E data-2019'!U372:U391),2)</f>
        <v>0</v>
      </c>
      <c r="L79" s="749"/>
      <c r="M79" s="700">
        <f>+ROUND(+D79+G79+J79,2)</f>
        <v>1061484.18</v>
      </c>
      <c r="N79" s="694">
        <f>+ROUND(+E79+H79+K79,2)</f>
        <v>1597357.7</v>
      </c>
      <c r="O79" s="152"/>
      <c r="P79" s="152"/>
      <c r="Q79" s="152"/>
      <c r="R79" s="152"/>
      <c r="S79" s="152"/>
      <c r="T79" s="152"/>
      <c r="U79" s="152"/>
      <c r="V79" s="152"/>
      <c r="W79" s="152"/>
      <c r="X79" s="152"/>
      <c r="Y79" s="152"/>
      <c r="Z79" s="152"/>
    </row>
    <row r="80" spans="1:26" ht="15.75">
      <c r="A80" s="334" t="s">
        <v>1116</v>
      </c>
      <c r="B80" s="335">
        <v>682</v>
      </c>
      <c r="C80" s="749"/>
      <c r="D80" s="700">
        <f>+ROUND(+SUM('TRIAL-BALANCE'!T788:T790)-SUM('TRIAL-BALANCE'!S788:S790),2)</f>
        <v>0</v>
      </c>
      <c r="E80" s="694">
        <f>+ROUND(+SUM('R &amp; E data-2019'!P421:P423)-SUM('R &amp; E data-2019'!O421:O423),2)</f>
        <v>0</v>
      </c>
      <c r="F80" s="749"/>
      <c r="G80" s="700">
        <f>+ROUND(+SUM('TRIAL-BALANCE'!AA788:AA790)-SUM('TRIAL-BALANCE'!Z788:Z790),2)</f>
        <v>0</v>
      </c>
      <c r="H80" s="694">
        <f>+ROUND(+SUM('R &amp; E data-2019'!S421:S423)-SUM('R &amp; E data-2019'!R421:R423),2)</f>
        <v>0</v>
      </c>
      <c r="I80" s="749"/>
      <c r="J80" s="700">
        <f>+ROUND(+SUM('TRIAL-BALANCE'!AH788:AH790)-SUM('TRIAL-BALANCE'!AG788:AG790),2)</f>
        <v>0</v>
      </c>
      <c r="K80" s="694">
        <f>+ROUND(+SUM('R &amp; E data-2019'!V421:V423)-SUM('R &amp; E data-2019'!U421:U423),2)</f>
        <v>0</v>
      </c>
      <c r="L80" s="749"/>
      <c r="M80" s="700">
        <f>+ROUND(+D80+G80+J80,2)</f>
        <v>0</v>
      </c>
      <c r="N80" s="694">
        <f>+ROUND(+E80+H80+K80,2)</f>
        <v>0</v>
      </c>
      <c r="O80" s="152"/>
      <c r="P80" s="152"/>
      <c r="Q80" s="152"/>
      <c r="R80" s="152"/>
      <c r="S80" s="152"/>
      <c r="T80" s="152"/>
      <c r="U80" s="152"/>
      <c r="V80" s="152"/>
      <c r="W80" s="152"/>
      <c r="X80" s="152"/>
      <c r="Y80" s="152"/>
      <c r="Z80" s="152"/>
    </row>
    <row r="81" spans="1:26" ht="19.5" thickBot="1">
      <c r="A81" s="713" t="s">
        <v>1069</v>
      </c>
      <c r="B81" s="714">
        <v>680</v>
      </c>
      <c r="C81" s="749"/>
      <c r="D81" s="715">
        <f>+ROUND(+SUM(D79:D80),2)</f>
        <v>1061484.18</v>
      </c>
      <c r="E81" s="716">
        <f>+ROUND(+SUM(E79:E80),2)</f>
        <v>1597357.7</v>
      </c>
      <c r="F81" s="749"/>
      <c r="G81" s="715">
        <f>+ROUND(+SUM(G79:G80),2)</f>
        <v>0</v>
      </c>
      <c r="H81" s="716">
        <f>+ROUND(+SUM(H79:H80),2)</f>
        <v>0</v>
      </c>
      <c r="I81" s="749"/>
      <c r="J81" s="715">
        <f>+ROUND(+SUM(J79:J80),2)</f>
        <v>0</v>
      </c>
      <c r="K81" s="716">
        <f>+ROUND(+SUM(K79:K80),2)</f>
        <v>0</v>
      </c>
      <c r="L81" s="749"/>
      <c r="M81" s="715">
        <f>+ROUND(+SUM(M79:M80),2)</f>
        <v>1061484.18</v>
      </c>
      <c r="N81" s="716">
        <f>+ROUND(+SUM(N79:N80),2)</f>
        <v>1597357.7</v>
      </c>
      <c r="O81" s="152"/>
      <c r="P81" s="152"/>
      <c r="Q81" s="152"/>
      <c r="R81" s="152"/>
      <c r="S81" s="152"/>
      <c r="T81" s="152"/>
      <c r="U81" s="152"/>
      <c r="V81" s="152"/>
      <c r="W81" s="152"/>
      <c r="X81" s="152"/>
      <c r="Y81" s="152"/>
      <c r="Z81" s="152"/>
    </row>
    <row r="82" spans="1:26" ht="15.75">
      <c r="A82" s="170" t="s">
        <v>1065</v>
      </c>
      <c r="B82" s="171"/>
      <c r="C82" s="753"/>
      <c r="D82" s="709"/>
      <c r="E82" s="707"/>
      <c r="F82" s="753"/>
      <c r="G82" s="709"/>
      <c r="H82" s="707"/>
      <c r="I82" s="753"/>
      <c r="J82" s="709"/>
      <c r="K82" s="707"/>
      <c r="L82" s="753"/>
      <c r="M82" s="709"/>
      <c r="N82" s="707"/>
      <c r="O82" s="152"/>
      <c r="P82" s="152"/>
      <c r="Q82" s="152"/>
      <c r="R82" s="152"/>
      <c r="S82" s="152"/>
      <c r="T82" s="152"/>
      <c r="U82" s="152"/>
      <c r="V82" s="152"/>
      <c r="W82" s="152"/>
      <c r="X82" s="152"/>
      <c r="Y82" s="152"/>
      <c r="Z82" s="152"/>
    </row>
    <row r="83" spans="1:26" ht="15.75">
      <c r="A83" s="334" t="s">
        <v>1067</v>
      </c>
      <c r="B83" s="335">
        <v>761</v>
      </c>
      <c r="C83" s="749"/>
      <c r="D83" s="700">
        <f>+ROUND(+'TRIAL-BALANCE'!T477+'TRIAL-BALANCE'!T639+SUM('TRIAL-BALANCE'!T693:T703)-'TRIAL-BALANCE'!S477-'TRIAL-BALANCE'!S639-SUM('TRIAL-BALANCE'!S693:S703),2)</f>
        <v>0</v>
      </c>
      <c r="E83" s="694">
        <f>+ROUND(+'R &amp; E data-2019'!P110+'R &amp; E data-2019'!P272+SUM('R &amp; E data-2019'!P326:P336)-'R &amp; E data-2019'!O110-'R &amp; E data-2019'!O272-SUM('R &amp; E data-2019'!O326:O336),2)</f>
        <v>0</v>
      </c>
      <c r="F83" s="749"/>
      <c r="G83" s="700">
        <f>+ROUND(+'TRIAL-BALANCE'!AA477+'TRIAL-BALANCE'!AA639+SUM('TRIAL-BALANCE'!AA693:AA703)-'TRIAL-BALANCE'!Z477-'TRIAL-BALANCE'!Z639-SUM('TRIAL-BALANCE'!Z693:Z703),2)</f>
        <v>0</v>
      </c>
      <c r="H83" s="694">
        <f>+ROUND(+'R &amp; E data-2019'!S110+'R &amp; E data-2019'!S272+SUM('R &amp; E data-2019'!S326:S336)-'R &amp; E data-2019'!R110-'R &amp; E data-2019'!R272-SUM('R &amp; E data-2019'!R326:R336),2)</f>
        <v>0</v>
      </c>
      <c r="I83" s="749"/>
      <c r="J83" s="700">
        <f>+ROUND(+'TRIAL-BALANCE'!AH477+'TRIAL-BALANCE'!AH639+SUM('TRIAL-BALANCE'!AH693:AH703)-'TRIAL-BALANCE'!AG477-'TRIAL-BALANCE'!AG639-SUM('TRIAL-BALANCE'!AG693:AG703),2)</f>
        <v>0</v>
      </c>
      <c r="K83" s="694">
        <f>+ROUND(+'R &amp; E data-2019'!V110+'R &amp; E data-2019'!V272+SUM('R &amp; E data-2019'!V326:V336)-'R &amp; E data-2019'!U110-'R &amp; E data-2019'!U272-SUM('R &amp; E data-2019'!U326:U336),2)</f>
        <v>0</v>
      </c>
      <c r="L83" s="749"/>
      <c r="M83" s="700">
        <f>+ROUND(+D83+G83+J83,2)</f>
        <v>0</v>
      </c>
      <c r="N83" s="694">
        <f>+ROUND(+E83+H83+K83,2)</f>
        <v>0</v>
      </c>
      <c r="O83" s="152"/>
      <c r="P83" s="152"/>
      <c r="Q83" s="152"/>
      <c r="R83" s="152"/>
      <c r="S83" s="152"/>
      <c r="T83" s="152"/>
      <c r="U83" s="152"/>
      <c r="V83" s="152"/>
      <c r="W83" s="152"/>
      <c r="X83" s="152"/>
      <c r="Y83" s="152"/>
      <c r="Z83" s="152"/>
    </row>
    <row r="84" spans="1:26" ht="15.75">
      <c r="A84" s="334" t="s">
        <v>1068</v>
      </c>
      <c r="B84" s="335">
        <f>1+B83</f>
        <v>762</v>
      </c>
      <c r="C84" s="749"/>
      <c r="D84" s="700">
        <f>+ROUND(+SUM('TRIAL-BALANCE'!T704:T705)-SUM('TRIAL-BALANCE'!S704:S705),2)</f>
        <v>0</v>
      </c>
      <c r="E84" s="694">
        <f>+ROUND(+SUM('R &amp; E data-2019'!P337:P338)-SUM('R &amp; E data-2019'!O337:O338),2)</f>
        <v>0</v>
      </c>
      <c r="F84" s="749"/>
      <c r="G84" s="700">
        <f>+ROUND(+SUM('TRIAL-BALANCE'!AA704:AA705)-SUM('TRIAL-BALANCE'!Z704:Z705),2)</f>
        <v>0</v>
      </c>
      <c r="H84" s="694">
        <f>+ROUND(+SUM('R &amp; E data-2019'!S337:S338)-SUM('R &amp; E data-2019'!R337:R338),2)</f>
        <v>0</v>
      </c>
      <c r="I84" s="749"/>
      <c r="J84" s="700">
        <f>+ROUND(+SUM('TRIAL-BALANCE'!AH704:AH705)-SUM('TRIAL-BALANCE'!AG704:AG705),2)</f>
        <v>0</v>
      </c>
      <c r="K84" s="694">
        <f>+ROUND(+SUM('R &amp; E data-2019'!V337:V338)-SUM('R &amp; E data-2019'!U337:U338),2)</f>
        <v>0</v>
      </c>
      <c r="L84" s="749"/>
      <c r="M84" s="700">
        <f>+ROUND(+D84+G84+J84,2)</f>
        <v>0</v>
      </c>
      <c r="N84" s="694">
        <f>+ROUND(+E84+H84+K84,2)</f>
        <v>0</v>
      </c>
      <c r="O84" s="152"/>
      <c r="P84" s="152"/>
      <c r="Q84" s="152"/>
      <c r="R84" s="152"/>
      <c r="S84" s="152"/>
      <c r="T84" s="152"/>
      <c r="U84" s="152"/>
      <c r="V84" s="152"/>
      <c r="W84" s="152"/>
      <c r="X84" s="152"/>
      <c r="Y84" s="152"/>
      <c r="Z84" s="152"/>
    </row>
    <row r="85" spans="1:26" ht="19.5" thickBot="1">
      <c r="A85" s="730" t="s">
        <v>1066</v>
      </c>
      <c r="B85" s="731">
        <v>760</v>
      </c>
      <c r="C85" s="749"/>
      <c r="D85" s="732">
        <f>+ROUND(+SUM(D83:D84),2)</f>
        <v>0</v>
      </c>
      <c r="E85" s="733">
        <f>+ROUND(+SUM(E83:E84),2)</f>
        <v>0</v>
      </c>
      <c r="F85" s="749"/>
      <c r="G85" s="732">
        <f>+ROUND(+SUM(G83:G84),2)</f>
        <v>0</v>
      </c>
      <c r="H85" s="733">
        <f>+ROUND(+SUM(H83:H84),2)</f>
        <v>0</v>
      </c>
      <c r="I85" s="749"/>
      <c r="J85" s="732">
        <f>+ROUND(+SUM(J83:J84),2)</f>
        <v>0</v>
      </c>
      <c r="K85" s="733">
        <f>+ROUND(+SUM(K83:K84),2)</f>
        <v>0</v>
      </c>
      <c r="L85" s="749"/>
      <c r="M85" s="732">
        <f>+ROUND(+SUM(M83:M84),2)</f>
        <v>0</v>
      </c>
      <c r="N85" s="733">
        <f>+ROUND(+SUM(N83:N84),2)</f>
        <v>0</v>
      </c>
      <c r="O85" s="152"/>
      <c r="P85" s="152"/>
      <c r="Q85" s="152"/>
      <c r="R85" s="152"/>
      <c r="S85" s="152"/>
      <c r="T85" s="152"/>
      <c r="U85" s="152"/>
      <c r="V85" s="152"/>
      <c r="W85" s="152"/>
      <c r="X85" s="152"/>
      <c r="Y85" s="152"/>
      <c r="Z85" s="152"/>
    </row>
    <row r="86" spans="1:26" ht="15.75">
      <c r="A86" s="170" t="s">
        <v>1070</v>
      </c>
      <c r="B86" s="171"/>
      <c r="C86" s="753"/>
      <c r="D86" s="709"/>
      <c r="E86" s="707"/>
      <c r="F86" s="753"/>
      <c r="G86" s="709"/>
      <c r="H86" s="707"/>
      <c r="I86" s="753"/>
      <c r="J86" s="709"/>
      <c r="K86" s="707"/>
      <c r="L86" s="753"/>
      <c r="M86" s="709"/>
      <c r="N86" s="707"/>
      <c r="O86" s="152"/>
      <c r="P86" s="152"/>
      <c r="Q86" s="152"/>
      <c r="R86" s="152"/>
      <c r="S86" s="152"/>
      <c r="T86" s="152"/>
      <c r="U86" s="152"/>
      <c r="V86" s="152"/>
      <c r="W86" s="152"/>
      <c r="X86" s="152"/>
      <c r="Y86" s="152"/>
      <c r="Z86" s="152"/>
    </row>
    <row r="87" spans="1:26" ht="15.75">
      <c r="A87" s="172" t="s">
        <v>1083</v>
      </c>
      <c r="B87" s="173"/>
      <c r="C87" s="749"/>
      <c r="D87" s="710"/>
      <c r="E87" s="708"/>
      <c r="F87" s="749"/>
      <c r="G87" s="710"/>
      <c r="H87" s="708"/>
      <c r="I87" s="749"/>
      <c r="J87" s="710"/>
      <c r="K87" s="708"/>
      <c r="L87" s="749"/>
      <c r="M87" s="710"/>
      <c r="N87" s="708"/>
      <c r="O87" s="152"/>
      <c r="P87" s="152"/>
      <c r="Q87" s="152"/>
      <c r="R87" s="152"/>
      <c r="S87" s="152"/>
      <c r="T87" s="152"/>
      <c r="U87" s="152"/>
      <c r="V87" s="152"/>
      <c r="W87" s="152"/>
      <c r="X87" s="152"/>
      <c r="Y87" s="152"/>
      <c r="Z87" s="152"/>
    </row>
    <row r="88" spans="1:26" ht="15.75">
      <c r="A88" s="334" t="s">
        <v>1289</v>
      </c>
      <c r="B88" s="335">
        <v>771</v>
      </c>
      <c r="C88" s="749"/>
      <c r="D88" s="700">
        <f>+ROUND(+SUM('TRIAL-BALANCE'!T759:T762)+SUM('TRIAL-BALANCE'!T764:T781)-SUM('TRIAL-BALANCE'!S759:S762)-SUM('TRIAL-BALANCE'!S764:S781),2)+ROUND('TRIAL-BALANCE'!T763-'TRIAL-BALANCE'!S763,2)</f>
        <v>7591.2</v>
      </c>
      <c r="E88" s="694">
        <f>+ROUND(+SUM('R &amp; E data-2019'!P392:P395)+SUM('R &amp; E data-2019'!P397:P414)-SUM('R &amp; E data-2019'!O392:O395)-SUM('R &amp; E data-2019'!O397:O414),2)+ROUND('R &amp; E data-2019'!P396-'R &amp; E data-2019'!O396,2)</f>
        <v>0</v>
      </c>
      <c r="F88" s="749"/>
      <c r="G88" s="700">
        <f>+ROUND(+SUM('TRIAL-BALANCE'!AA759:AA762)+SUM('TRIAL-BALANCE'!AA764:AA781)-SUM('TRIAL-BALANCE'!Z759:Z762)-SUM('TRIAL-BALANCE'!Z764:Z781),2)+ROUND('TRIAL-BALANCE'!AA763-'TRIAL-BALANCE'!Z763,2)</f>
        <v>0</v>
      </c>
      <c r="H88" s="694">
        <f>+ROUND(+SUM('R &amp; E data-2019'!S392:S395)+SUM('R &amp; E data-2019'!S397:S414)-SUM('R &amp; E data-2019'!R392:R395)-SUM('R &amp; E data-2019'!R397:R414),2)+ROUND('R &amp; E data-2019'!S396-'R &amp; E data-2019'!R396,2)</f>
        <v>0</v>
      </c>
      <c r="I88" s="749"/>
      <c r="J88" s="700">
        <f>+ROUND(+SUM('TRIAL-BALANCE'!AH759:AH762)+SUM('TRIAL-BALANCE'!AH764:AH781)-SUM('TRIAL-BALANCE'!AG759:AG762)-SUM('TRIAL-BALANCE'!AG764:AG781),2)</f>
        <v>0</v>
      </c>
      <c r="K88" s="694">
        <f>+ROUND(+SUM('R &amp; E data-2019'!V392:V395)+SUM('R &amp; E data-2019'!V397:V414)-SUM('R &amp; E data-2019'!U392:U395)-SUM('R &amp; E data-2019'!U397:U414),2)</f>
        <v>0</v>
      </c>
      <c r="L88" s="749"/>
      <c r="M88" s="700">
        <f>+ROUND(+D88+G88+J88,2)</f>
        <v>7591.2</v>
      </c>
      <c r="N88" s="694">
        <f>+ROUND(+E88+H88+K88,2)</f>
        <v>0</v>
      </c>
      <c r="O88" s="152"/>
      <c r="P88" s="152"/>
      <c r="Q88" s="152"/>
      <c r="R88" s="152"/>
      <c r="S88" s="152"/>
      <c r="T88" s="152"/>
      <c r="U88" s="152"/>
      <c r="V88" s="152"/>
      <c r="W88" s="152"/>
      <c r="X88" s="152"/>
      <c r="Y88" s="152"/>
      <c r="Z88" s="152"/>
    </row>
    <row r="89" spans="1:26" ht="15.75">
      <c r="A89" s="334" t="s">
        <v>1080</v>
      </c>
      <c r="B89" s="335">
        <f>1+B88</f>
        <v>772</v>
      </c>
      <c r="C89" s="749"/>
      <c r="D89" s="700">
        <f>+ROUND(+SUM('TRIAL-BALANCE'!T782:T787)+SUM('TRIAL-BALANCE'!T792:T798)-SUM('TRIAL-BALANCE'!S782:S787)-SUM('TRIAL-BALANCE'!S792:S798),2)</f>
        <v>0</v>
      </c>
      <c r="E89" s="694">
        <f>+ROUND(+SUM('R &amp; E data-2019'!P415:P420)+SUM('R &amp; E data-2019'!P425:P431)-SUM('R &amp; E data-2019'!O415:O420)-SUM('R &amp; E data-2019'!O425:O431),2)</f>
        <v>0</v>
      </c>
      <c r="F89" s="749"/>
      <c r="G89" s="700">
        <f>+ROUND(+SUM('TRIAL-BALANCE'!AA782:AA787)+SUM('TRIAL-BALANCE'!AA792:AA798)-SUM('TRIAL-BALANCE'!Z782:Z787)-SUM('TRIAL-BALANCE'!Z792:Z798),2)</f>
        <v>0</v>
      </c>
      <c r="H89" s="694">
        <f>+ROUND(+SUM('R &amp; E data-2019'!S415:S420)+SUM('R &amp; E data-2019'!S425:S431)-SUM('R &amp; E data-2019'!R415:R420)-SUM('R &amp; E data-2019'!R425:R431),2)</f>
        <v>0</v>
      </c>
      <c r="I89" s="749"/>
      <c r="J89" s="700">
        <f>+ROUND(+SUM('TRIAL-BALANCE'!AH782:AH787)+SUM('TRIAL-BALANCE'!AH792:AH798)-SUM('TRIAL-BALANCE'!AG782:AG787)-SUM('TRIAL-BALANCE'!AG792:AG798),2)</f>
        <v>0</v>
      </c>
      <c r="K89" s="694">
        <f>+ROUND(+SUM('R &amp; E data-2019'!V415:V420)+SUM('R &amp; E data-2019'!V425:V431)-SUM('R &amp; E data-2019'!U415:U420)-SUM('R &amp; E data-2019'!U425:U431),2)</f>
        <v>0</v>
      </c>
      <c r="L89" s="749"/>
      <c r="M89" s="700">
        <f>+ROUND(+D89+G89+J89,2)</f>
        <v>0</v>
      </c>
      <c r="N89" s="694">
        <f>+ROUND(+E89+H89+K89,2)</f>
        <v>0</v>
      </c>
      <c r="O89" s="152"/>
      <c r="P89" s="152"/>
      <c r="Q89" s="152"/>
      <c r="R89" s="152"/>
      <c r="S89" s="152"/>
      <c r="T89" s="152"/>
      <c r="U89" s="152"/>
      <c r="V89" s="152"/>
      <c r="W89" s="152"/>
      <c r="X89" s="152"/>
      <c r="Y89" s="152"/>
      <c r="Z89" s="152"/>
    </row>
    <row r="90" spans="1:26" ht="15.75">
      <c r="A90" s="734" t="s">
        <v>1025</v>
      </c>
      <c r="B90" s="735">
        <v>770</v>
      </c>
      <c r="C90" s="749"/>
      <c r="D90" s="736">
        <f>+ROUND(+SUM(D88:D89),2)</f>
        <v>7591.2</v>
      </c>
      <c r="E90" s="737">
        <f>+ROUND(+SUM(E88:E89),2)</f>
        <v>0</v>
      </c>
      <c r="F90" s="749"/>
      <c r="G90" s="736">
        <f>+ROUND(+SUM(G88:G89),2)</f>
        <v>0</v>
      </c>
      <c r="H90" s="737">
        <f>+ROUND(+SUM(H88:H89),2)</f>
        <v>0</v>
      </c>
      <c r="I90" s="749"/>
      <c r="J90" s="736">
        <f>+ROUND(+SUM(J88:J89),2)</f>
        <v>0</v>
      </c>
      <c r="K90" s="737">
        <f>+ROUND(+SUM(K88:K89),2)</f>
        <v>0</v>
      </c>
      <c r="L90" s="749"/>
      <c r="M90" s="736">
        <f>+ROUND(+SUM(M88:M89),2)</f>
        <v>7591.2</v>
      </c>
      <c r="N90" s="737">
        <f>+ROUND(+SUM(N88:N89),2)</f>
        <v>0</v>
      </c>
      <c r="O90" s="152"/>
      <c r="P90" s="152"/>
      <c r="Q90" s="152"/>
      <c r="R90" s="152"/>
      <c r="S90" s="152"/>
      <c r="T90" s="152"/>
      <c r="U90" s="152"/>
      <c r="V90" s="152"/>
      <c r="W90" s="152"/>
      <c r="X90" s="152"/>
      <c r="Y90" s="152"/>
      <c r="Z90" s="152"/>
    </row>
    <row r="91" spans="1:26" ht="15.75">
      <c r="A91" s="172" t="s">
        <v>1081</v>
      </c>
      <c r="B91" s="173"/>
      <c r="C91" s="749"/>
      <c r="D91" s="710"/>
      <c r="E91" s="708"/>
      <c r="F91" s="749"/>
      <c r="G91" s="710"/>
      <c r="H91" s="708"/>
      <c r="I91" s="749"/>
      <c r="J91" s="710"/>
      <c r="K91" s="708"/>
      <c r="L91" s="749"/>
      <c r="M91" s="710"/>
      <c r="N91" s="708"/>
      <c r="O91" s="152"/>
      <c r="P91" s="152"/>
      <c r="Q91" s="152"/>
      <c r="R91" s="152"/>
      <c r="S91" s="152"/>
      <c r="T91" s="152"/>
      <c r="U91" s="152"/>
      <c r="V91" s="152"/>
      <c r="W91" s="152"/>
      <c r="X91" s="152"/>
      <c r="Y91" s="152"/>
      <c r="Z91" s="152"/>
    </row>
    <row r="92" spans="1:26" ht="15.75">
      <c r="A92" s="334" t="s">
        <v>1073</v>
      </c>
      <c r="B92" s="335">
        <v>781</v>
      </c>
      <c r="C92" s="749"/>
      <c r="D92" s="700">
        <f>+ROUND(+SUM('TRIAL-BALANCE'!T799:T800)-SUM('TRIAL-BALANCE'!S799:S800),2)</f>
        <v>0</v>
      </c>
      <c r="E92" s="694">
        <f>+ROUND(+SUM('R &amp; E data-2019'!P432:P433)-SUM('R &amp; E data-2019'!O432:O433),2)</f>
        <v>-22674.97</v>
      </c>
      <c r="F92" s="749"/>
      <c r="G92" s="700">
        <f>+ROUND(+SUM('TRIAL-BALANCE'!AA799:AA800)-SUM('TRIAL-BALANCE'!Z799:Z800),2)</f>
        <v>0</v>
      </c>
      <c r="H92" s="694">
        <f>+ROUND(+SUM('R &amp; E data-2019'!S432:S433)-SUM('R &amp; E data-2019'!R432:R433),2)</f>
        <v>0</v>
      </c>
      <c r="I92" s="749"/>
      <c r="J92" s="700">
        <f>+ROUND(+SUM('TRIAL-BALANCE'!AH799:AH800)-SUM('TRIAL-BALANCE'!AG799:AG800),2)</f>
        <v>0</v>
      </c>
      <c r="K92" s="694">
        <f>+ROUND(+SUM('R &amp; E data-2019'!V432:V433)-SUM('R &amp; E data-2019'!U432:U433),2)</f>
        <v>0</v>
      </c>
      <c r="L92" s="749"/>
      <c r="M92" s="700">
        <f t="shared" ref="M92:N94" si="9">+ROUND(+D92+G92+J92,2)</f>
        <v>0</v>
      </c>
      <c r="N92" s="694">
        <f t="shared" si="9"/>
        <v>-22674.97</v>
      </c>
      <c r="O92" s="152"/>
      <c r="P92" s="152"/>
      <c r="Q92" s="152"/>
      <c r="R92" s="152"/>
      <c r="S92" s="152"/>
      <c r="T92" s="152"/>
      <c r="U92" s="152"/>
      <c r="V92" s="152"/>
      <c r="W92" s="152"/>
      <c r="X92" s="152"/>
      <c r="Y92" s="152"/>
      <c r="Z92" s="152"/>
    </row>
    <row r="93" spans="1:26" ht="15.75">
      <c r="A93" s="334" t="s">
        <v>1072</v>
      </c>
      <c r="B93" s="335">
        <f>1+B92</f>
        <v>782</v>
      </c>
      <c r="C93" s="749"/>
      <c r="D93" s="700">
        <f>+ROUND(+SUM('TRIAL-BALANCE'!T801:T802)-SUM('TRIAL-BALANCE'!S801:S802),2)</f>
        <v>0</v>
      </c>
      <c r="E93" s="694">
        <f>+ROUND(+SUM('R &amp; E data-2019'!P434:P435)-SUM('R &amp; E data-2019'!O434:O435),2)</f>
        <v>0</v>
      </c>
      <c r="F93" s="749"/>
      <c r="G93" s="700">
        <f>+ROUND(+SUM('TRIAL-BALANCE'!AA801:AA802)-SUM('TRIAL-BALANCE'!Z801:Z802),2)</f>
        <v>0</v>
      </c>
      <c r="H93" s="694">
        <f>+ROUND(+SUM('R &amp; E data-2019'!S434:S435)-SUM('R &amp; E data-2019'!R434:R435),2)</f>
        <v>0</v>
      </c>
      <c r="I93" s="749"/>
      <c r="J93" s="700">
        <f>+ROUND(+SUM('TRIAL-BALANCE'!AH801:AH802)-SUM('TRIAL-BALANCE'!AG801:AG802),2)</f>
        <v>0</v>
      </c>
      <c r="K93" s="694">
        <f>+ROUND(+SUM('R &amp; E data-2019'!V434:V435)-SUM('R &amp; E data-2019'!U434:U435),2)</f>
        <v>0</v>
      </c>
      <c r="L93" s="749"/>
      <c r="M93" s="700">
        <f t="shared" si="9"/>
        <v>0</v>
      </c>
      <c r="N93" s="694">
        <f t="shared" si="9"/>
        <v>0</v>
      </c>
      <c r="O93" s="152"/>
      <c r="P93" s="152"/>
      <c r="Q93" s="152"/>
      <c r="R93" s="152"/>
      <c r="S93" s="152"/>
      <c r="T93" s="152"/>
      <c r="U93" s="152"/>
      <c r="V93" s="152"/>
      <c r="W93" s="152"/>
      <c r="X93" s="152"/>
      <c r="Y93" s="152"/>
      <c r="Z93" s="152"/>
    </row>
    <row r="94" spans="1:26" ht="15.75">
      <c r="A94" s="334" t="s">
        <v>1071</v>
      </c>
      <c r="B94" s="335">
        <f>1+B93</f>
        <v>783</v>
      </c>
      <c r="C94" s="749"/>
      <c r="D94" s="700">
        <f>+ROUND(+SUM('TRIAL-BALANCE'!T803:T804)-SUM('TRIAL-BALANCE'!S803:S804),2)</f>
        <v>0</v>
      </c>
      <c r="E94" s="694">
        <f>+ROUND(+SUM('R &amp; E data-2019'!P436:P437)-SUM('R &amp; E data-2019'!O436:O437),2)</f>
        <v>0</v>
      </c>
      <c r="F94" s="749"/>
      <c r="G94" s="700">
        <f>+ROUND(+SUM('TRIAL-BALANCE'!AA803:AA804)-SUM('TRIAL-BALANCE'!Z803:Z804),2)</f>
        <v>0</v>
      </c>
      <c r="H94" s="694">
        <f>+ROUND(+SUM('R &amp; E data-2019'!S436:S437)-SUM('R &amp; E data-2019'!R436:R437),2)</f>
        <v>0</v>
      </c>
      <c r="I94" s="749"/>
      <c r="J94" s="700">
        <f>+ROUND(+SUM('TRIAL-BALANCE'!AH803:AH804)-SUM('TRIAL-BALANCE'!AG803:AG804),2)</f>
        <v>0</v>
      </c>
      <c r="K94" s="694">
        <f>+ROUND(+SUM('R &amp; E data-2019'!V436:V437)-SUM('R &amp; E data-2019'!U436:U437),2)</f>
        <v>0</v>
      </c>
      <c r="L94" s="749"/>
      <c r="M94" s="700">
        <f t="shared" si="9"/>
        <v>0</v>
      </c>
      <c r="N94" s="694">
        <f t="shared" si="9"/>
        <v>0</v>
      </c>
      <c r="O94" s="152"/>
      <c r="P94" s="152"/>
      <c r="Q94" s="152"/>
      <c r="R94" s="152"/>
      <c r="S94" s="152"/>
      <c r="T94" s="152"/>
      <c r="U94" s="152"/>
      <c r="V94" s="152"/>
      <c r="W94" s="152"/>
      <c r="X94" s="152"/>
      <c r="Y94" s="152"/>
      <c r="Z94" s="152"/>
    </row>
    <row r="95" spans="1:26" ht="15.75">
      <c r="A95" s="734" t="s">
        <v>1024</v>
      </c>
      <c r="B95" s="735">
        <v>780</v>
      </c>
      <c r="C95" s="749"/>
      <c r="D95" s="736">
        <f>+ROUND(+SUM(D92:D94),2)</f>
        <v>0</v>
      </c>
      <c r="E95" s="737">
        <f>+ROUND(+SUM(E92:E94),2)</f>
        <v>-22674.97</v>
      </c>
      <c r="F95" s="749"/>
      <c r="G95" s="736">
        <f>+ROUND(+SUM(G92:G94),2)</f>
        <v>0</v>
      </c>
      <c r="H95" s="737">
        <f>+ROUND(+SUM(H92:H94),2)</f>
        <v>0</v>
      </c>
      <c r="I95" s="749"/>
      <c r="J95" s="736">
        <f>+ROUND(+SUM(J92:J94),2)</f>
        <v>0</v>
      </c>
      <c r="K95" s="737">
        <f>+ROUND(+SUM(K92:K94),2)</f>
        <v>0</v>
      </c>
      <c r="L95" s="749"/>
      <c r="M95" s="736">
        <f>+ROUND(+SUM(M92:M94),2)</f>
        <v>0</v>
      </c>
      <c r="N95" s="737">
        <f>+ROUND(+SUM(N92:N94),2)</f>
        <v>-22674.97</v>
      </c>
      <c r="O95" s="152"/>
      <c r="P95" s="152"/>
      <c r="Q95" s="152"/>
      <c r="R95" s="152"/>
      <c r="S95" s="152"/>
      <c r="T95" s="152"/>
      <c r="U95" s="152"/>
      <c r="V95" s="152"/>
      <c r="W95" s="152"/>
      <c r="X95" s="152"/>
      <c r="Y95" s="152"/>
      <c r="Z95" s="152"/>
    </row>
    <row r="96" spans="1:26" ht="15.75">
      <c r="A96" s="172" t="s">
        <v>1082</v>
      </c>
      <c r="B96" s="173"/>
      <c r="C96" s="749"/>
      <c r="D96" s="703"/>
      <c r="E96" s="696"/>
      <c r="F96" s="749"/>
      <c r="G96" s="703"/>
      <c r="H96" s="696"/>
      <c r="I96" s="749"/>
      <c r="J96" s="703"/>
      <c r="K96" s="696"/>
      <c r="L96" s="749"/>
      <c r="M96" s="703"/>
      <c r="N96" s="696"/>
      <c r="O96" s="152"/>
      <c r="P96" s="152"/>
      <c r="Q96" s="152"/>
      <c r="R96" s="152"/>
      <c r="S96" s="152"/>
      <c r="T96" s="152"/>
      <c r="U96" s="152"/>
      <c r="V96" s="152"/>
      <c r="W96" s="152"/>
      <c r="X96" s="152"/>
      <c r="Y96" s="152"/>
      <c r="Z96" s="152"/>
    </row>
    <row r="97" spans="1:26" ht="15.75">
      <c r="A97" s="334" t="s">
        <v>1075</v>
      </c>
      <c r="B97" s="335">
        <v>791</v>
      </c>
      <c r="C97" s="749"/>
      <c r="D97" s="700">
        <f>+ROUND(+SUM('TRIAL-BALANCE'!T817:T821)-SUM('TRIAL-BALANCE'!S817:S821),2)</f>
        <v>0</v>
      </c>
      <c r="E97" s="694">
        <f>+ROUND(+SUM('R &amp; E data-2019'!P450:P454)-SUM('R &amp; E data-2019'!O450:O454),2)</f>
        <v>0</v>
      </c>
      <c r="F97" s="749"/>
      <c r="G97" s="700">
        <f>+ROUND(+SUM('TRIAL-BALANCE'!AA817:AA821)-SUM('TRIAL-BALANCE'!Z817:Z821),2)</f>
        <v>0</v>
      </c>
      <c r="H97" s="694">
        <f>+ROUND(+SUM('R &amp; E data-2019'!S450:S454)-SUM('R &amp; E data-2019'!R450:R454),2)</f>
        <v>0</v>
      </c>
      <c r="I97" s="749"/>
      <c r="J97" s="700">
        <f>+ROUND(+SUM('TRIAL-BALANCE'!AH817:AH821)-SUM('TRIAL-BALANCE'!AG817:AG821),2)</f>
        <v>0</v>
      </c>
      <c r="K97" s="694">
        <f>+ROUND(+SUM('R &amp; E data-2019'!V450:V454)-SUM('R &amp; E data-2019'!U450:U454),2)</f>
        <v>0</v>
      </c>
      <c r="L97" s="749"/>
      <c r="M97" s="700">
        <f t="shared" ref="M97:N101" si="10">+ROUND(+D97+G97+J97,2)</f>
        <v>0</v>
      </c>
      <c r="N97" s="694">
        <f t="shared" si="10"/>
        <v>0</v>
      </c>
      <c r="O97" s="152"/>
      <c r="P97" s="152"/>
      <c r="Q97" s="152"/>
      <c r="R97" s="152"/>
      <c r="S97" s="152"/>
      <c r="T97" s="152"/>
      <c r="U97" s="152"/>
      <c r="V97" s="152"/>
      <c r="W97" s="152"/>
      <c r="X97" s="152"/>
      <c r="Y97" s="152"/>
      <c r="Z97" s="152"/>
    </row>
    <row r="98" spans="1:26" ht="15.75">
      <c r="A98" s="334" t="s">
        <v>1074</v>
      </c>
      <c r="B98" s="335">
        <f>1+B97</f>
        <v>792</v>
      </c>
      <c r="C98" s="749"/>
      <c r="D98" s="700">
        <f>+ROUND(+SUM('TRIAL-BALANCE'!T805:T816)-SUM('TRIAL-BALANCE'!S805:S816),2)</f>
        <v>0</v>
      </c>
      <c r="E98" s="694">
        <f>+ROUND(+SUM('R &amp; E data-2019'!P438:P449)-SUM('R &amp; E data-2019'!O438:O449),2)</f>
        <v>0</v>
      </c>
      <c r="F98" s="749"/>
      <c r="G98" s="700">
        <f>+ROUND(+SUM('TRIAL-BALANCE'!AA805:AA816)-SUM('TRIAL-BALANCE'!Z805:Z816),2)</f>
        <v>0</v>
      </c>
      <c r="H98" s="694">
        <f>+ROUND(+SUM('R &amp; E data-2019'!S438:S449)-SUM('R &amp; E data-2019'!R438:R449),2)</f>
        <v>0</v>
      </c>
      <c r="I98" s="749"/>
      <c r="J98" s="700">
        <f>+ROUND(+SUM('TRIAL-BALANCE'!AH805:AH816)-SUM('TRIAL-BALANCE'!AG805:AG816),2)</f>
        <v>0</v>
      </c>
      <c r="K98" s="694">
        <f>+ROUND(+SUM('R &amp; E data-2019'!V438:V449)-SUM('R &amp; E data-2019'!U438:U449),2)</f>
        <v>0</v>
      </c>
      <c r="L98" s="749"/>
      <c r="M98" s="700">
        <f t="shared" si="10"/>
        <v>0</v>
      </c>
      <c r="N98" s="694">
        <f t="shared" si="10"/>
        <v>0</v>
      </c>
      <c r="O98" s="152"/>
      <c r="P98" s="152"/>
      <c r="Q98" s="152"/>
      <c r="R98" s="152"/>
      <c r="S98" s="152"/>
      <c r="T98" s="152"/>
      <c r="U98" s="152"/>
      <c r="V98" s="152"/>
      <c r="W98" s="152"/>
      <c r="X98" s="152"/>
      <c r="Y98" s="152"/>
      <c r="Z98" s="152"/>
    </row>
    <row r="99" spans="1:26" ht="15.75">
      <c r="A99" s="334" t="s">
        <v>1090</v>
      </c>
      <c r="B99" s="335">
        <f>1+B98</f>
        <v>793</v>
      </c>
      <c r="C99" s="749"/>
      <c r="D99" s="700">
        <f>+ROUND(+SUM('TRIAL-BALANCE'!T822:T823)-SUM('TRIAL-BALANCE'!S822:S823),2)</f>
        <v>0</v>
      </c>
      <c r="E99" s="694">
        <f>+ROUND(+SUM('R &amp; E data-2019'!P455:P456)-SUM('R &amp; E data-2019'!O455:O456),2)</f>
        <v>0</v>
      </c>
      <c r="F99" s="749"/>
      <c r="G99" s="700">
        <f>+ROUND(+SUM('TRIAL-BALANCE'!AA822:AA823)-SUM('TRIAL-BALANCE'!Z822:Z823),2)</f>
        <v>0</v>
      </c>
      <c r="H99" s="694">
        <f>+ROUND(+SUM('R &amp; E data-2019'!S455:S456)-SUM('R &amp; E data-2019'!R455:R456),2)</f>
        <v>0</v>
      </c>
      <c r="I99" s="749"/>
      <c r="J99" s="700">
        <f>+ROUND(+SUM('TRIAL-BALANCE'!AH822:AH823)-SUM('TRIAL-BALANCE'!AG822:AG823),2)</f>
        <v>0</v>
      </c>
      <c r="K99" s="694">
        <f>+ROUND(+SUM('R &amp; E data-2019'!V455:V456)-SUM('R &amp; E data-2019'!U455:U456),2)</f>
        <v>0</v>
      </c>
      <c r="L99" s="749"/>
      <c r="M99" s="700">
        <f t="shared" si="10"/>
        <v>0</v>
      </c>
      <c r="N99" s="694">
        <f t="shared" si="10"/>
        <v>0</v>
      </c>
      <c r="O99" s="152"/>
      <c r="P99" s="152"/>
      <c r="Q99" s="152"/>
      <c r="R99" s="152"/>
      <c r="S99" s="152"/>
      <c r="T99" s="152"/>
      <c r="U99" s="152"/>
      <c r="V99" s="152"/>
      <c r="W99" s="152"/>
      <c r="X99" s="152"/>
      <c r="Y99" s="152"/>
      <c r="Z99" s="152"/>
    </row>
    <row r="100" spans="1:26" ht="15.75">
      <c r="A100" s="334" t="s">
        <v>1091</v>
      </c>
      <c r="B100" s="335">
        <f>1+B99</f>
        <v>794</v>
      </c>
      <c r="C100" s="749"/>
      <c r="D100" s="700">
        <f>+ROUND(+SUM('TRIAL-BALANCE'!T824:T826)-SUM('TRIAL-BALANCE'!S824:S826),2)</f>
        <v>0</v>
      </c>
      <c r="E100" s="694">
        <f>+ROUND(+SUM('R &amp; E data-2019'!P457:P459)-SUM('R &amp; E data-2019'!O457:O459),2)</f>
        <v>0</v>
      </c>
      <c r="F100" s="749"/>
      <c r="G100" s="700">
        <f>+ROUND(+SUM('TRIAL-BALANCE'!AA824:AA826)-SUM('TRIAL-BALANCE'!Z824:Z826),2)</f>
        <v>0</v>
      </c>
      <c r="H100" s="694">
        <f>+ROUND(+SUM('R &amp; E data-2019'!S457:S459)-SUM('R &amp; E data-2019'!R457:R459),2)</f>
        <v>0</v>
      </c>
      <c r="I100" s="749"/>
      <c r="J100" s="700">
        <f>+ROUND(+SUM('TRIAL-BALANCE'!AH824:AH826)-SUM('TRIAL-BALANCE'!AG824:AG826),2)</f>
        <v>0</v>
      </c>
      <c r="K100" s="694">
        <f>+ROUND(+SUM('R &amp; E data-2019'!V457:V459)-SUM('R &amp; E data-2019'!U457:U459),2)</f>
        <v>0</v>
      </c>
      <c r="L100" s="749"/>
      <c r="M100" s="700">
        <f t="shared" si="10"/>
        <v>0</v>
      </c>
      <c r="N100" s="694">
        <f t="shared" si="10"/>
        <v>0</v>
      </c>
      <c r="O100" s="152"/>
      <c r="P100" s="152"/>
      <c r="Q100" s="152"/>
      <c r="R100" s="152"/>
      <c r="S100" s="152"/>
      <c r="T100" s="152"/>
      <c r="U100" s="152"/>
      <c r="V100" s="152"/>
      <c r="W100" s="152"/>
      <c r="X100" s="152"/>
      <c r="Y100" s="152"/>
      <c r="Z100" s="152"/>
    </row>
    <row r="101" spans="1:26" ht="15.75">
      <c r="A101" s="336" t="s">
        <v>1076</v>
      </c>
      <c r="B101" s="337">
        <f>1+B100</f>
        <v>795</v>
      </c>
      <c r="C101" s="749"/>
      <c r="D101" s="701">
        <f>+ROUND(+SUM('TRIAL-BALANCE'!T827:T828)-SUM('TRIAL-BALANCE'!S827:S828),2)</f>
        <v>0</v>
      </c>
      <c r="E101" s="695">
        <f>+ROUND(+SUM('R &amp; E data-2019'!P460:P461)-SUM('R &amp; E data-2019'!O460:O461),2)</f>
        <v>0</v>
      </c>
      <c r="F101" s="749"/>
      <c r="G101" s="701">
        <f>+ROUND(+SUM('TRIAL-BALANCE'!AA827:AA828)-SUM('TRIAL-BALANCE'!Z827:Z828),2)</f>
        <v>0</v>
      </c>
      <c r="H101" s="695">
        <f>+ROUND(+SUM('R &amp; E data-2019'!S460:S461)-SUM('R &amp; E data-2019'!R460:R461),2)</f>
        <v>0</v>
      </c>
      <c r="I101" s="749"/>
      <c r="J101" s="701">
        <f>+ROUND(+SUM('TRIAL-BALANCE'!AH827:AH828)-SUM('TRIAL-BALANCE'!AG827:AG828),2)</f>
        <v>0</v>
      </c>
      <c r="K101" s="695">
        <f>+ROUND(+SUM('R &amp; E data-2019'!V460:V461)-SUM('R &amp; E data-2019'!U460:U461),2)</f>
        <v>0</v>
      </c>
      <c r="L101" s="749"/>
      <c r="M101" s="701">
        <f t="shared" si="10"/>
        <v>0</v>
      </c>
      <c r="N101" s="695">
        <f t="shared" si="10"/>
        <v>0</v>
      </c>
      <c r="O101" s="152"/>
      <c r="P101" s="152"/>
      <c r="Q101" s="152"/>
      <c r="R101" s="152"/>
      <c r="S101" s="152"/>
      <c r="T101" s="152"/>
      <c r="U101" s="152"/>
      <c r="V101" s="152"/>
      <c r="W101" s="152"/>
      <c r="X101" s="152"/>
      <c r="Y101" s="152"/>
      <c r="Z101" s="152"/>
    </row>
    <row r="102" spans="1:26" ht="15.75">
      <c r="A102" s="734" t="s">
        <v>1026</v>
      </c>
      <c r="B102" s="735">
        <v>790</v>
      </c>
      <c r="C102" s="749"/>
      <c r="D102" s="736">
        <f>+ROUND(+SUM(D97:D101),2)</f>
        <v>0</v>
      </c>
      <c r="E102" s="737">
        <f>+ROUND(+SUM(E97:E101),2)</f>
        <v>0</v>
      </c>
      <c r="F102" s="749"/>
      <c r="G102" s="736">
        <f>+ROUND(+SUM(G97:G101),2)</f>
        <v>0</v>
      </c>
      <c r="H102" s="737">
        <f>+ROUND(+SUM(H97:H101),2)</f>
        <v>0</v>
      </c>
      <c r="I102" s="749"/>
      <c r="J102" s="736">
        <f>+ROUND(+SUM(J97:J101),2)</f>
        <v>0</v>
      </c>
      <c r="K102" s="737">
        <f>+ROUND(+SUM(K97:K101),2)</f>
        <v>0</v>
      </c>
      <c r="L102" s="749"/>
      <c r="M102" s="736">
        <f>+ROUND(+SUM(M97:M101),2)</f>
        <v>0</v>
      </c>
      <c r="N102" s="737">
        <f>+ROUND(+SUM(N97:N101),2)</f>
        <v>0</v>
      </c>
      <c r="O102" s="152"/>
      <c r="P102" s="152"/>
      <c r="Q102" s="152"/>
      <c r="R102" s="152"/>
      <c r="S102" s="152"/>
      <c r="T102" s="152"/>
      <c r="U102" s="152"/>
      <c r="V102" s="152"/>
      <c r="W102" s="152"/>
      <c r="X102" s="152"/>
      <c r="Y102" s="152"/>
      <c r="Z102" s="152"/>
    </row>
    <row r="103" spans="1:26" ht="15.75">
      <c r="A103" s="172" t="s">
        <v>1101</v>
      </c>
      <c r="B103" s="173"/>
      <c r="C103" s="749"/>
      <c r="D103" s="703"/>
      <c r="E103" s="696"/>
      <c r="F103" s="749"/>
      <c r="G103" s="703"/>
      <c r="H103" s="696"/>
      <c r="I103" s="749"/>
      <c r="J103" s="703"/>
      <c r="K103" s="696"/>
      <c r="L103" s="749"/>
      <c r="M103" s="703"/>
      <c r="N103" s="696"/>
      <c r="O103" s="152"/>
      <c r="P103" s="152"/>
      <c r="Q103" s="152"/>
      <c r="R103" s="152"/>
      <c r="S103" s="152"/>
      <c r="T103" s="152"/>
      <c r="U103" s="152"/>
      <c r="V103" s="152"/>
      <c r="W103" s="152"/>
      <c r="X103" s="152"/>
      <c r="Y103" s="152"/>
      <c r="Z103" s="152"/>
    </row>
    <row r="104" spans="1:26" ht="15.75">
      <c r="A104" s="334" t="s">
        <v>1078</v>
      </c>
      <c r="B104" s="335">
        <v>691</v>
      </c>
      <c r="C104" s="749"/>
      <c r="D104" s="700">
        <f>+ROUND(+'TRIAL-BALANCE'!S587-'TRIAL-BALANCE'!T587,2)</f>
        <v>0</v>
      </c>
      <c r="E104" s="694">
        <f>+ROUND(+'R &amp; E data-2019'!O220-'R &amp; E data-2019'!P220,2)</f>
        <v>0</v>
      </c>
      <c r="F104" s="749"/>
      <c r="G104" s="700">
        <f>+ROUND(+'TRIAL-BALANCE'!Z587-'TRIAL-BALANCE'!AA587,2)</f>
        <v>0</v>
      </c>
      <c r="H104" s="694">
        <f>+ROUND(+'R &amp; E data-2019'!R220-'R &amp; E data-2019'!S220,2)</f>
        <v>0</v>
      </c>
      <c r="I104" s="749"/>
      <c r="J104" s="700">
        <f>+ROUND(+'TRIAL-BALANCE'!AG587-'TRIAL-BALANCE'!AH587,2)</f>
        <v>0</v>
      </c>
      <c r="K104" s="694">
        <f>+ROUND(+'R &amp; E data-2019'!U220-'R &amp; E data-2019'!V220,2)</f>
        <v>0</v>
      </c>
      <c r="L104" s="749"/>
      <c r="M104" s="700">
        <f t="shared" ref="M104:N108" si="11">+ROUND(+D104+G104+J104,2)</f>
        <v>0</v>
      </c>
      <c r="N104" s="694">
        <f t="shared" si="11"/>
        <v>0</v>
      </c>
      <c r="O104" s="152"/>
      <c r="P104" s="152"/>
      <c r="Q104" s="152"/>
      <c r="R104" s="152"/>
      <c r="S104" s="152"/>
      <c r="T104" s="152"/>
      <c r="U104" s="152"/>
      <c r="V104" s="152"/>
      <c r="W104" s="152"/>
      <c r="X104" s="152"/>
      <c r="Y104" s="152"/>
      <c r="Z104" s="152"/>
    </row>
    <row r="105" spans="1:26" ht="15.75">
      <c r="A105" s="334" t="s">
        <v>1077</v>
      </c>
      <c r="B105" s="335">
        <f>1+B104</f>
        <v>692</v>
      </c>
      <c r="C105" s="749"/>
      <c r="D105" s="700">
        <f>+ROUND(+SUM('TRIAL-BALANCE'!S581:S586)+SUM('TRIAL-BALANCE'!S588:S593)-SUM('TRIAL-BALANCE'!T581:T586)-SUM('TRIAL-BALANCE'!T588:T593),2)</f>
        <v>0</v>
      </c>
      <c r="E105" s="694">
        <f>+ROUND(+SUM('R &amp; E data-2019'!O214:O219)+SUM('R &amp; E data-2019'!O221:O226)-SUM('R &amp; E data-2019'!P214:P219)-SUM('R &amp; E data-2019'!P221:P226),2)</f>
        <v>0</v>
      </c>
      <c r="F105" s="749"/>
      <c r="G105" s="700">
        <f>+ROUND(+SUM('TRIAL-BALANCE'!Z581:Z586)+SUM('TRIAL-BALANCE'!Z588:Z593)-SUM('TRIAL-BALANCE'!AA581:AA586)-SUM('TRIAL-BALANCE'!AA588:AA593),2)</f>
        <v>0</v>
      </c>
      <c r="H105" s="694">
        <f>+ROUND(+SUM('R &amp; E data-2019'!R214:R219)+SUM('R &amp; E data-2019'!R221:R226)-SUM('R &amp; E data-2019'!S214:S219)-SUM('R &amp; E data-2019'!S221:S226),2)</f>
        <v>0</v>
      </c>
      <c r="I105" s="749"/>
      <c r="J105" s="700">
        <f>+ROUND(+SUM('TRIAL-BALANCE'!AG581:AG586)+SUM('TRIAL-BALANCE'!AG588:AG593)-SUM('TRIAL-BALANCE'!AH581:AH586)-SUM('TRIAL-BALANCE'!AH588:AH593),2)</f>
        <v>0</v>
      </c>
      <c r="K105" s="694">
        <f>+ROUND(+SUM('R &amp; E data-2019'!U214:U219)+SUM('R &amp; E data-2019'!U221:U226)-SUM('R &amp; E data-2019'!V214:V219)-SUM('R &amp; E data-2019'!V221:V226),2)</f>
        <v>0</v>
      </c>
      <c r="L105" s="749"/>
      <c r="M105" s="700">
        <f t="shared" si="11"/>
        <v>0</v>
      </c>
      <c r="N105" s="694">
        <f t="shared" si="11"/>
        <v>0</v>
      </c>
      <c r="O105" s="152"/>
      <c r="P105" s="152"/>
      <c r="Q105" s="152"/>
      <c r="R105" s="152"/>
      <c r="S105" s="152"/>
      <c r="T105" s="152"/>
      <c r="U105" s="152"/>
      <c r="V105" s="152"/>
      <c r="W105" s="152"/>
      <c r="X105" s="152"/>
      <c r="Y105" s="152"/>
      <c r="Z105" s="152"/>
    </row>
    <row r="106" spans="1:26" ht="15.75">
      <c r="A106" s="334" t="s">
        <v>1092</v>
      </c>
      <c r="B106" s="335">
        <f>1+B105</f>
        <v>693</v>
      </c>
      <c r="C106" s="749"/>
      <c r="D106" s="700">
        <f>+ROUND(+SUM('TRIAL-BALANCE'!S594:S595)-SUM('TRIAL-BALANCE'!T594:T595),2)</f>
        <v>0</v>
      </c>
      <c r="E106" s="694">
        <f>+ROUND(+SUM('R &amp; E data-2019'!O227:O228)-SUM('R &amp; E data-2019'!P227:P228),2)</f>
        <v>0</v>
      </c>
      <c r="F106" s="749"/>
      <c r="G106" s="700">
        <f>+ROUND(+SUM('TRIAL-BALANCE'!Z594:Z595)-SUM('TRIAL-BALANCE'!AA594:AA595),2)</f>
        <v>0</v>
      </c>
      <c r="H106" s="694">
        <f>+ROUND(+SUM('R &amp; E data-2019'!R227:R228)-SUM('R &amp; E data-2019'!S227:S228),2)</f>
        <v>0</v>
      </c>
      <c r="I106" s="749"/>
      <c r="J106" s="700">
        <f>+ROUND(+SUM('TRIAL-BALANCE'!AG594:AG595)-SUM('TRIAL-BALANCE'!AH594:AH595),2)</f>
        <v>0</v>
      </c>
      <c r="K106" s="694">
        <f>+ROUND(+SUM('R &amp; E data-2019'!U227:U228)-SUM('R &amp; E data-2019'!V227:V228),2)</f>
        <v>0</v>
      </c>
      <c r="L106" s="749"/>
      <c r="M106" s="700">
        <f t="shared" si="11"/>
        <v>0</v>
      </c>
      <c r="N106" s="694">
        <f t="shared" si="11"/>
        <v>0</v>
      </c>
      <c r="O106" s="152"/>
      <c r="P106" s="152"/>
      <c r="Q106" s="152"/>
      <c r="R106" s="152"/>
      <c r="S106" s="152"/>
      <c r="T106" s="152"/>
      <c r="U106" s="152"/>
      <c r="V106" s="152"/>
      <c r="W106" s="152"/>
      <c r="X106" s="152"/>
      <c r="Y106" s="152"/>
      <c r="Z106" s="152"/>
    </row>
    <row r="107" spans="1:26" ht="15.75">
      <c r="A107" s="334" t="s">
        <v>1093</v>
      </c>
      <c r="B107" s="335">
        <f>1+B106</f>
        <v>694</v>
      </c>
      <c r="C107" s="749"/>
      <c r="D107" s="700">
        <f>+ROUND(+SUM('TRIAL-BALANCE'!S596:S598)-SUM('TRIAL-BALANCE'!T596:T598),2)</f>
        <v>0</v>
      </c>
      <c r="E107" s="694">
        <f>+ROUND(+SUM('R &amp; E data-2019'!O229:O231)-SUM('R &amp; E data-2019'!P229:P231),2)</f>
        <v>0</v>
      </c>
      <c r="F107" s="749"/>
      <c r="G107" s="700">
        <f>+ROUND(+SUM('TRIAL-BALANCE'!Z596:Z598)-SUM('TRIAL-BALANCE'!AA596:AA598),2)</f>
        <v>0</v>
      </c>
      <c r="H107" s="694">
        <f>+ROUND(+SUM('R &amp; E data-2019'!R229:R231)-SUM('R &amp; E data-2019'!S229:S231),2)</f>
        <v>0</v>
      </c>
      <c r="I107" s="749"/>
      <c r="J107" s="700">
        <f>+ROUND(+SUM('TRIAL-BALANCE'!AG596:AG598)-SUM('TRIAL-BALANCE'!AH596:AH598),2)</f>
        <v>0</v>
      </c>
      <c r="K107" s="694">
        <f>+ROUND(+SUM('R &amp; E data-2019'!U229:U231)-SUM('R &amp; E data-2019'!V229:V231),2)</f>
        <v>0</v>
      </c>
      <c r="L107" s="749"/>
      <c r="M107" s="700">
        <f t="shared" si="11"/>
        <v>0</v>
      </c>
      <c r="N107" s="694">
        <f t="shared" si="11"/>
        <v>0</v>
      </c>
      <c r="O107" s="152"/>
      <c r="P107" s="1883"/>
      <c r="Q107" s="1903" t="s">
        <v>1875</v>
      </c>
      <c r="R107" s="152"/>
      <c r="S107" s="152"/>
      <c r="T107" s="152"/>
      <c r="U107" s="152"/>
      <c r="V107" s="152"/>
      <c r="W107" s="152"/>
      <c r="X107" s="152"/>
      <c r="Y107" s="152"/>
      <c r="Z107" s="152"/>
    </row>
    <row r="108" spans="1:26" ht="15.75">
      <c r="A108" s="336" t="s">
        <v>1079</v>
      </c>
      <c r="B108" s="337">
        <f>1+B107</f>
        <v>695</v>
      </c>
      <c r="C108" s="749"/>
      <c r="D108" s="701">
        <f>+ROUND(+SUM('TRIAL-BALANCE'!S599:S600)-SUM('TRIAL-BALANCE'!T599:T600),2)</f>
        <v>0</v>
      </c>
      <c r="E108" s="695">
        <f>+ROUND(+SUM('R &amp; E data-2019'!O232:O233)-SUM('R &amp; E data-2019'!P232:P233),2)</f>
        <v>0</v>
      </c>
      <c r="F108" s="749"/>
      <c r="G108" s="701">
        <f>+ROUND(+SUM('TRIAL-BALANCE'!Z599:Z600)-SUM('TRIAL-BALANCE'!AA599:AA600),2)</f>
        <v>0</v>
      </c>
      <c r="H108" s="695">
        <f>+ROUND(+SUM('R &amp; E data-2019'!R232:R233)-SUM('R &amp; E data-2019'!S232:S233),2)</f>
        <v>0</v>
      </c>
      <c r="I108" s="749"/>
      <c r="J108" s="701">
        <f>+ROUND(+SUM('TRIAL-BALANCE'!AG599:AG600)-SUM('TRIAL-BALANCE'!AH599:AH600),2)</f>
        <v>0</v>
      </c>
      <c r="K108" s="695">
        <f>+ROUND(+SUM('R &amp; E data-2019'!U232:U233)-SUM('R &amp; E data-2019'!V232:V233),2)</f>
        <v>0</v>
      </c>
      <c r="L108" s="749"/>
      <c r="M108" s="701">
        <f t="shared" si="11"/>
        <v>0</v>
      </c>
      <c r="N108" s="695">
        <f t="shared" si="11"/>
        <v>0</v>
      </c>
      <c r="O108" s="152"/>
      <c r="P108" s="1667" t="s">
        <v>1869</v>
      </c>
      <c r="Q108" s="1895" t="str">
        <f>+Q25</f>
        <v>'Municipal-Bal'</v>
      </c>
      <c r="R108" s="152"/>
      <c r="S108" s="152"/>
      <c r="T108" s="152"/>
      <c r="U108" s="152"/>
      <c r="V108" s="152"/>
      <c r="W108" s="152"/>
      <c r="X108" s="152"/>
      <c r="Y108" s="152"/>
      <c r="Z108" s="152"/>
    </row>
    <row r="109" spans="1:26" ht="15.75">
      <c r="A109" s="734" t="s">
        <v>1027</v>
      </c>
      <c r="B109" s="735">
        <v>690</v>
      </c>
      <c r="C109" s="749"/>
      <c r="D109" s="736">
        <f>+ROUND(+SUM(D104:D108),2)</f>
        <v>0</v>
      </c>
      <c r="E109" s="737">
        <f>+ROUND(+SUM(E104:E108),2)</f>
        <v>0</v>
      </c>
      <c r="F109" s="749"/>
      <c r="G109" s="736">
        <f>+ROUND(+SUM(G104:G108),2)</f>
        <v>0</v>
      </c>
      <c r="H109" s="737">
        <f>+ROUND(+SUM(H104:H108),2)</f>
        <v>0</v>
      </c>
      <c r="I109" s="749"/>
      <c r="J109" s="736">
        <f>+ROUND(+SUM(J104:J108),2)</f>
        <v>0</v>
      </c>
      <c r="K109" s="737">
        <f>+ROUND(+SUM(K104:K108),2)</f>
        <v>0</v>
      </c>
      <c r="L109" s="749"/>
      <c r="M109" s="736">
        <f>+ROUND(+SUM(M104:M108),2)</f>
        <v>0</v>
      </c>
      <c r="N109" s="737">
        <f>+ROUND(+SUM(N104:N108),2)</f>
        <v>0</v>
      </c>
      <c r="O109" s="152"/>
      <c r="P109" s="2599" t="s">
        <v>1300</v>
      </c>
      <c r="Q109" s="2600"/>
      <c r="R109" s="152"/>
      <c r="S109" s="152"/>
      <c r="T109" s="152"/>
      <c r="U109" s="152"/>
      <c r="V109" s="152"/>
      <c r="W109" s="152"/>
      <c r="X109" s="152"/>
      <c r="Y109" s="152"/>
      <c r="Z109" s="152"/>
    </row>
    <row r="110" spans="1:26" ht="6" customHeight="1">
      <c r="A110" s="172"/>
      <c r="B110" s="173"/>
      <c r="C110" s="749"/>
      <c r="D110" s="703"/>
      <c r="E110" s="696"/>
      <c r="F110" s="749"/>
      <c r="G110" s="703"/>
      <c r="H110" s="696"/>
      <c r="I110" s="749"/>
      <c r="J110" s="703"/>
      <c r="K110" s="696"/>
      <c r="L110" s="749"/>
      <c r="M110" s="703"/>
      <c r="N110" s="696"/>
      <c r="O110" s="152"/>
      <c r="P110" s="2601"/>
      <c r="Q110" s="2602"/>
      <c r="R110" s="152"/>
      <c r="S110" s="152"/>
      <c r="T110" s="152"/>
      <c r="U110" s="152"/>
      <c r="V110" s="152"/>
      <c r="W110" s="152"/>
      <c r="X110" s="152"/>
      <c r="Y110" s="152"/>
      <c r="Z110" s="152"/>
    </row>
    <row r="111" spans="1:26" ht="19.5" thickBot="1">
      <c r="A111" s="738" t="s">
        <v>1084</v>
      </c>
      <c r="B111" s="739">
        <v>799</v>
      </c>
      <c r="C111" s="749"/>
      <c r="D111" s="740">
        <f>+D90+D95+D102-D109</f>
        <v>7591.2</v>
      </c>
      <c r="E111" s="741">
        <f>+E90+E95+E102-E109</f>
        <v>-22674.97</v>
      </c>
      <c r="F111" s="749"/>
      <c r="G111" s="740">
        <f>+G90+G95+G102-G109</f>
        <v>0</v>
      </c>
      <c r="H111" s="741">
        <f>+H90+H95+H102-H109</f>
        <v>0</v>
      </c>
      <c r="I111" s="749"/>
      <c r="J111" s="740">
        <f>+J90+J95+J102-J109</f>
        <v>0</v>
      </c>
      <c r="K111" s="741">
        <f>+K90+K95+K102-K109</f>
        <v>0</v>
      </c>
      <c r="L111" s="749"/>
      <c r="M111" s="740">
        <f>+M90+M95+M102-M109</f>
        <v>7591.2</v>
      </c>
      <c r="N111" s="741">
        <f>+N90+N95+N102-N109</f>
        <v>-22674.97</v>
      </c>
      <c r="O111" s="152"/>
      <c r="P111" s="1675" t="s">
        <v>1295</v>
      </c>
      <c r="Q111" s="1676" t="s">
        <v>1296</v>
      </c>
      <c r="R111" s="152"/>
      <c r="S111" s="152"/>
      <c r="T111" s="152"/>
      <c r="U111" s="152"/>
      <c r="V111" s="152"/>
      <c r="W111" s="152"/>
      <c r="X111" s="152"/>
      <c r="Y111" s="152"/>
      <c r="Z111" s="152"/>
    </row>
    <row r="112" spans="1:26" ht="6" customHeight="1">
      <c r="A112" s="172"/>
      <c r="B112" s="173"/>
      <c r="C112" s="749"/>
      <c r="D112" s="703"/>
      <c r="E112" s="696"/>
      <c r="F112" s="749"/>
      <c r="G112" s="703"/>
      <c r="H112" s="696"/>
      <c r="I112" s="749"/>
      <c r="J112" s="703"/>
      <c r="K112" s="696"/>
      <c r="L112" s="749"/>
      <c r="M112" s="703"/>
      <c r="N112" s="696"/>
      <c r="O112" s="152"/>
      <c r="P112" s="1677"/>
      <c r="Q112" s="1677"/>
      <c r="R112" s="152"/>
      <c r="S112" s="152"/>
      <c r="T112" s="152"/>
      <c r="U112" s="152"/>
      <c r="V112" s="152"/>
      <c r="W112" s="152"/>
      <c r="X112" s="152"/>
      <c r="Y112" s="152"/>
      <c r="Z112" s="152"/>
    </row>
    <row r="113" spans="1:26" ht="19.5" customHeight="1" thickBot="1">
      <c r="A113" s="742" t="s">
        <v>955</v>
      </c>
      <c r="B113" s="683">
        <v>1000</v>
      </c>
      <c r="C113" s="749"/>
      <c r="D113" s="706">
        <f>+ROUND(+D40+D81+D85+D111-D77,2)</f>
        <v>143312.68</v>
      </c>
      <c r="E113" s="699">
        <f>+ROUND(+E40+E81+E85+E111-E77,2)</f>
        <v>-111577.41</v>
      </c>
      <c r="F113" s="749"/>
      <c r="G113" s="706">
        <f>+ROUND(+G40+G81+G85+G111-G77,2)</f>
        <v>0</v>
      </c>
      <c r="H113" s="699">
        <f>+ROUND(+H40+H81+H85+H111-H77,2)</f>
        <v>0</v>
      </c>
      <c r="I113" s="749"/>
      <c r="J113" s="706">
        <f>+ROUND(+J40+J81+J85+J111-J77,2)</f>
        <v>0</v>
      </c>
      <c r="K113" s="699">
        <f>+ROUND(+K40+K81+K85+K111-K77,2)</f>
        <v>622.45000000000005</v>
      </c>
      <c r="L113" s="749"/>
      <c r="M113" s="706">
        <f>+ROUND(+M40+M81+M85+M111-M77,2)</f>
        <v>143312.68</v>
      </c>
      <c r="N113" s="699">
        <f>+ROUND(+N40+N81+N85+N111-N77,2)</f>
        <v>-110954.96</v>
      </c>
      <c r="O113" s="152"/>
      <c r="P113" s="1678">
        <f>+ROUND(P29,2)-ROUND(P53,2)-ROUND(P74,2)</f>
        <v>0</v>
      </c>
      <c r="Q113" s="1679">
        <f>+ROUND(Q29,2)-ROUND(Q53,2)-ROUND(Q74,2)</f>
        <v>0</v>
      </c>
      <c r="R113" s="152"/>
      <c r="S113" s="152"/>
      <c r="T113" s="152"/>
      <c r="U113" s="152"/>
      <c r="V113" s="152"/>
      <c r="W113" s="152"/>
      <c r="X113" s="152"/>
      <c r="Y113" s="152"/>
      <c r="Z113" s="152"/>
    </row>
    <row r="114" spans="1:26" ht="15.75" customHeight="1" thickTop="1">
      <c r="A114" s="759"/>
      <c r="B114" s="753"/>
      <c r="C114" s="749"/>
      <c r="D114" s="760"/>
      <c r="E114" s="760"/>
      <c r="F114" s="749"/>
      <c r="G114" s="760"/>
      <c r="H114" s="760"/>
      <c r="I114" s="749"/>
      <c r="J114" s="760"/>
      <c r="K114" s="760"/>
      <c r="L114" s="749"/>
      <c r="M114" s="760"/>
      <c r="N114" s="760"/>
      <c r="O114" s="152"/>
      <c r="P114" s="2562" t="str">
        <f>+IF(+AND(+Status!K4="ДА",+ROUND('Municipal-Bal'!K20,0)=1),+IF(+ROUND('Municipal-Bal'!V80,2)=+ROUND('Municipal-Bal'!V91,2),"O K","неспазено изискване NA-BAL = NA-OPR в 'Municipal-Bal'"),"O K")</f>
        <v>O K</v>
      </c>
      <c r="Q114" s="2562"/>
      <c r="R114" s="152"/>
      <c r="S114" s="152"/>
      <c r="T114" s="152"/>
      <c r="U114" s="152"/>
      <c r="V114" s="152"/>
      <c r="W114" s="152"/>
      <c r="X114" s="152"/>
      <c r="Y114" s="152"/>
      <c r="Z114" s="152"/>
    </row>
    <row r="115" spans="1:26" ht="18.75">
      <c r="A115" s="761" t="s">
        <v>695</v>
      </c>
      <c r="B115" s="762"/>
      <c r="C115" s="749"/>
      <c r="D115" s="2033">
        <f>+'TRIAL-BALANCE'!K10</f>
        <v>0</v>
      </c>
      <c r="E115" s="2017" t="s">
        <v>1974</v>
      </c>
      <c r="F115" s="749"/>
      <c r="G115" s="763"/>
      <c r="H115" s="767"/>
      <c r="I115" s="767"/>
      <c r="J115" s="767"/>
      <c r="K115" s="2016" t="s">
        <v>1972</v>
      </c>
      <c r="L115" s="749"/>
      <c r="M115" s="768"/>
      <c r="N115" s="769"/>
      <c r="O115" s="152"/>
      <c r="P115" s="2598" t="str">
        <f>+IF(+AND(+Status!K4="ДА",+ROUND('Municipal-Bal'!K20,0)=1),+IF(+ROUND('Municipal-Bal'!V110,2)=+ROUND('Municipal-Bal'!V121,2),"O K","неспазено изискване NA-BAL = NA-OPR в 'Municipal-Bal'"),"O K")</f>
        <v>O K</v>
      </c>
      <c r="Q115" s="2598"/>
      <c r="R115" s="152"/>
      <c r="S115" s="152"/>
      <c r="T115" s="152"/>
      <c r="U115" s="152"/>
      <c r="V115" s="152"/>
      <c r="W115" s="152"/>
      <c r="X115" s="152"/>
      <c r="Y115" s="152"/>
      <c r="Z115" s="152"/>
    </row>
    <row r="116" spans="1:26" ht="18" customHeight="1">
      <c r="A116" s="764"/>
      <c r="B116" s="764"/>
      <c r="C116" s="749"/>
      <c r="D116" s="764"/>
      <c r="E116" s="764"/>
      <c r="F116" s="749"/>
      <c r="G116" s="763"/>
      <c r="H116" s="2586">
        <f>+'BALANCE-SHEET-2020-leva'!H97:J97</f>
        <v>0</v>
      </c>
      <c r="I116" s="2586"/>
      <c r="J116" s="2586"/>
      <c r="K116" s="763"/>
      <c r="L116" s="749"/>
      <c r="M116" s="2585">
        <f>+'BALANCE-SHEET-2020-leva'!M97:N97</f>
        <v>0</v>
      </c>
      <c r="N116" s="2585"/>
      <c r="O116" s="152"/>
      <c r="P116" s="152"/>
      <c r="Q116" s="152"/>
      <c r="R116" s="152"/>
      <c r="S116" s="152"/>
      <c r="T116" s="152"/>
      <c r="U116" s="152"/>
      <c r="V116" s="152"/>
      <c r="W116" s="152"/>
      <c r="X116" s="152"/>
      <c r="Y116" s="152"/>
      <c r="Z116" s="152"/>
    </row>
    <row r="117" spans="1:26" ht="4.5" customHeight="1">
      <c r="A117" s="764"/>
      <c r="B117" s="764"/>
      <c r="C117" s="749"/>
      <c r="D117" s="764"/>
      <c r="E117" s="764"/>
      <c r="F117" s="749"/>
      <c r="G117" s="763"/>
      <c r="H117" s="765"/>
      <c r="I117" s="749"/>
      <c r="J117" s="766"/>
      <c r="K117" s="763"/>
      <c r="L117" s="749"/>
      <c r="M117" s="766"/>
      <c r="N117" s="763"/>
      <c r="O117" s="152"/>
      <c r="P117" s="152"/>
      <c r="Q117" s="152"/>
      <c r="R117" s="152"/>
      <c r="S117" s="152"/>
      <c r="T117" s="152"/>
      <c r="U117" s="152"/>
      <c r="V117" s="152"/>
      <c r="W117" s="152"/>
      <c r="X117" s="152"/>
      <c r="Y117" s="152"/>
      <c r="Z117" s="152"/>
    </row>
    <row r="118" spans="1:26" ht="18.75">
      <c r="A118" s="1881"/>
      <c r="B118" s="1886"/>
      <c r="C118" s="1886"/>
      <c r="D118" s="1886"/>
      <c r="E118" s="1886"/>
      <c r="F118" s="1886"/>
      <c r="G118" s="1882"/>
      <c r="H118" s="1887"/>
      <c r="I118" s="1884"/>
      <c r="J118" s="1881"/>
      <c r="K118" s="1883"/>
      <c r="L118" s="1883"/>
      <c r="M118" s="1883"/>
      <c r="N118" s="1883"/>
      <c r="O118" s="152"/>
      <c r="P118" s="1883"/>
      <c r="Q118" s="1903" t="s">
        <v>1875</v>
      </c>
      <c r="R118" s="152"/>
      <c r="S118" s="152"/>
      <c r="T118" s="152"/>
      <c r="U118" s="152"/>
      <c r="V118" s="152"/>
      <c r="W118" s="152"/>
      <c r="X118" s="152"/>
      <c r="Y118" s="152"/>
      <c r="Z118" s="152"/>
    </row>
    <row r="119" spans="1:26" ht="16.5" thickBot="1">
      <c r="A119" s="152"/>
      <c r="B119" s="152"/>
      <c r="C119" s="198"/>
      <c r="D119" s="152"/>
      <c r="E119" s="152"/>
      <c r="F119" s="198"/>
      <c r="G119" s="152"/>
      <c r="H119" s="152"/>
      <c r="I119" s="152"/>
      <c r="J119" s="152"/>
      <c r="K119" s="152"/>
      <c r="L119" s="198"/>
      <c r="M119" s="152"/>
      <c r="N119" s="152"/>
      <c r="O119" s="152"/>
      <c r="P119" s="1673" t="s">
        <v>1302</v>
      </c>
      <c r="Q119" s="1674"/>
      <c r="R119" s="152"/>
      <c r="S119" s="152"/>
      <c r="T119" s="152"/>
      <c r="U119" s="198"/>
      <c r="V119" s="152"/>
      <c r="W119" s="152"/>
      <c r="X119" s="152"/>
      <c r="Y119" s="152"/>
      <c r="Z119" s="152"/>
    </row>
    <row r="120" spans="1:26" ht="15.75">
      <c r="A120" s="937" t="s">
        <v>1144</v>
      </c>
      <c r="B120" s="938"/>
      <c r="C120" s="198"/>
      <c r="D120" s="929" t="str">
        <f>+IF(+ROUND(D123,2)=0,"O K","НЕРАВНЕНИЕ !")</f>
        <v>O K</v>
      </c>
      <c r="E120" s="1966" t="str">
        <f>+IF(+ROUND(E123,2)=0,"O K","НЕРАВНЕНИЕ !")</f>
        <v>O K</v>
      </c>
      <c r="F120" s="198"/>
      <c r="G120" s="931" t="str">
        <f>+IF(+ROUND(G123,2)=0,"O K","НЕРАВНЕНИЕ !")</f>
        <v>O K</v>
      </c>
      <c r="H120" s="1968" t="str">
        <f>+IF(+ROUND(H123,2)=0,"O K","НЕРАВНЕНИЕ !")</f>
        <v>O K</v>
      </c>
      <c r="I120" s="152"/>
      <c r="J120" s="933" t="str">
        <f>+IF(+ROUND(J123,2)=0,"O K","НЕРАВНЕНИЕ !")</f>
        <v>O K</v>
      </c>
      <c r="K120" s="1970" t="str">
        <f>+IF(+ROUND(K123,2)=0,"O K","НЕРАВНЕНИЕ !")</f>
        <v>O K</v>
      </c>
      <c r="L120" s="198"/>
      <c r="M120" s="935" t="str">
        <f>+IF(+ROUND(M123,2)=0,"O K","НЕРАВНЕНИЕ !")</f>
        <v>O K</v>
      </c>
      <c r="N120" s="1972" t="str">
        <f>+IF(+ROUND(N123,2)=0,"O K","НЕРАВНЕНИЕ !")</f>
        <v>O K</v>
      </c>
      <c r="O120" s="152"/>
      <c r="P120" s="1237" t="str">
        <f>+IF(ROUND(+P121,2)=0,"O K","НЕРАВНЕНИЕ !")</f>
        <v>O K</v>
      </c>
      <c r="Q120" s="1237" t="str">
        <f>+IF(ROUND(+Q121,2)=0,"O K","НЕРАВНЕНИЕ !")</f>
        <v>O K</v>
      </c>
      <c r="R120" s="152"/>
      <c r="S120" s="152"/>
      <c r="T120" s="152"/>
      <c r="U120" s="198"/>
      <c r="V120" s="152"/>
      <c r="W120" s="152"/>
      <c r="X120" s="152"/>
      <c r="Y120" s="152"/>
      <c r="Z120" s="152"/>
    </row>
    <row r="121" spans="1:26" ht="16.5" thickBot="1">
      <c r="A121" s="939" t="s">
        <v>1145</v>
      </c>
      <c r="B121" s="940"/>
      <c r="C121" s="198"/>
      <c r="D121" s="930" t="str">
        <f>+IF(+ROUND(D124,2)=0,"O K","НЕРАВНЕНИЕ !")</f>
        <v>O K</v>
      </c>
      <c r="E121" s="1967" t="str">
        <f>+IF(+ROUND(E124,2)=0,"O K","НЕРАВНЕНИЕ !")</f>
        <v>O K</v>
      </c>
      <c r="F121" s="198"/>
      <c r="G121" s="932" t="str">
        <f>+IF(+ROUND(G124,2)=0,"O K","НЕРАВНЕНИЕ !")</f>
        <v>O K</v>
      </c>
      <c r="H121" s="1969" t="str">
        <f>+IF(+ROUND(H124,2)=0,"O K","НЕРАВНЕНИЕ !")</f>
        <v>O K</v>
      </c>
      <c r="I121" s="152"/>
      <c r="J121" s="934" t="str">
        <f>+IF(+ROUND(J124,2)=0,"O K","НЕРАВНЕНИЕ !")</f>
        <v>O K</v>
      </c>
      <c r="K121" s="1971" t="str">
        <f>+IF(+ROUND(K124,2)=0,"O K","НЕРАВНЕНИЕ !")</f>
        <v>O K</v>
      </c>
      <c r="L121" s="198"/>
      <c r="M121" s="936" t="str">
        <f>+IF(+ROUND(M124,2)=0,"O K","НЕРАВНЕНИЕ !")</f>
        <v>O K</v>
      </c>
      <c r="N121" s="1973" t="str">
        <f>+IF(+ROUND(N124,2)=0,"O K","НЕРАВНЕНИЕ !")</f>
        <v>O K</v>
      </c>
      <c r="O121" s="152"/>
      <c r="P121" s="1704">
        <f>+ROUND(+P113,2)-ROUND('BALANCE-SHEET-2020-leva'!P65,2)</f>
        <v>0</v>
      </c>
      <c r="Q121" s="1704">
        <f>+ROUND(+Q113,2)-ROUND('BALANCE-SHEET-2020-leva'!Q65,2)</f>
        <v>0</v>
      </c>
      <c r="R121" s="152"/>
      <c r="S121" s="152"/>
      <c r="T121" s="152"/>
      <c r="U121" s="198"/>
      <c r="V121" s="152"/>
      <c r="W121" s="152"/>
      <c r="X121" s="152"/>
      <c r="Y121" s="152"/>
      <c r="Z121" s="152"/>
    </row>
    <row r="122" spans="1:26" ht="16.5" thickBot="1">
      <c r="A122" s="152"/>
      <c r="B122" s="152"/>
      <c r="C122" s="198"/>
      <c r="D122" s="152"/>
      <c r="E122" s="152"/>
      <c r="F122" s="198"/>
      <c r="G122" s="152"/>
      <c r="H122" s="152"/>
      <c r="I122" s="152"/>
      <c r="J122" s="152"/>
      <c r="K122" s="152"/>
      <c r="L122" s="198"/>
      <c r="M122" s="152"/>
      <c r="N122" s="152"/>
      <c r="O122" s="152"/>
      <c r="P122" s="1705" t="s">
        <v>1870</v>
      </c>
      <c r="Q122" s="1706"/>
      <c r="R122" s="152"/>
      <c r="S122" s="152"/>
      <c r="T122" s="152"/>
      <c r="U122" s="198"/>
      <c r="V122" s="152"/>
      <c r="W122" s="152"/>
      <c r="X122" s="152"/>
      <c r="Y122" s="152"/>
      <c r="Z122" s="152"/>
    </row>
    <row r="123" spans="1:26" ht="15.75">
      <c r="A123" s="937" t="s">
        <v>1131</v>
      </c>
      <c r="B123" s="938"/>
      <c r="C123" s="198"/>
      <c r="D123" s="929">
        <f>+ROUND(D113-'BALANCE-SHEET-2020-leva'!D65,2)</f>
        <v>0</v>
      </c>
      <c r="E123" s="1966">
        <f>+ROUND(E113-'BALANCE-SHEET-2020-leva'!E65,2)</f>
        <v>0</v>
      </c>
      <c r="F123" s="198"/>
      <c r="G123" s="931">
        <f>+ROUND(G113-'BALANCE-SHEET-2020-leva'!G65,2)</f>
        <v>0</v>
      </c>
      <c r="H123" s="1968">
        <f>+ROUND(H113-'BALANCE-SHEET-2020-leva'!H65,2)</f>
        <v>0</v>
      </c>
      <c r="I123" s="152"/>
      <c r="J123" s="933">
        <f>+ROUND(J113-'BALANCE-SHEET-2020-leva'!J65,2)</f>
        <v>0</v>
      </c>
      <c r="K123" s="1970">
        <f>+ROUND(K113-'BALANCE-SHEET-2020-leva'!K65,2)</f>
        <v>0</v>
      </c>
      <c r="L123" s="198"/>
      <c r="M123" s="967">
        <f>+ROUND(M113,2)-ROUND('BALANCE-SHEET-2020-leva'!M65,2)</f>
        <v>0</v>
      </c>
      <c r="N123" s="1974">
        <f>+ROUND(N113,2)-ROUND('BALANCE-SHEET-2020-leva'!N65,2)</f>
        <v>0</v>
      </c>
      <c r="O123" s="152"/>
      <c r="P123" s="1707" t="s">
        <v>1871</v>
      </c>
      <c r="Q123" s="1708"/>
      <c r="R123" s="152"/>
      <c r="S123" s="152"/>
      <c r="T123" s="152"/>
      <c r="U123" s="198"/>
      <c r="V123" s="152"/>
      <c r="W123" s="152"/>
      <c r="X123" s="152"/>
      <c r="Y123" s="152"/>
      <c r="Z123" s="152"/>
    </row>
    <row r="124" spans="1:26" ht="16.5" thickBot="1">
      <c r="A124" s="939" t="s">
        <v>1140</v>
      </c>
      <c r="B124" s="940"/>
      <c r="C124" s="198"/>
      <c r="D124" s="930">
        <f>+ROUND(D113-(SUM('TRIAL-BALANCE'!T384:T828)-SUM('TRIAL-BALANCE'!S384:S828)),2)</f>
        <v>0</v>
      </c>
      <c r="E124" s="1967">
        <f>+ROUND(E113-'R &amp; E data-2019'!P464,2)</f>
        <v>0</v>
      </c>
      <c r="F124" s="198"/>
      <c r="G124" s="932">
        <f>+ROUND(G113-(SUM('TRIAL-BALANCE'!AA384:AA828)-SUM('TRIAL-BALANCE'!Z384:Z828)),2)</f>
        <v>0</v>
      </c>
      <c r="H124" s="1969">
        <f>+ROUND(H113-'R &amp; E data-2019'!S464,2)</f>
        <v>0</v>
      </c>
      <c r="I124" s="152"/>
      <c r="J124" s="934">
        <f>+ROUND(J113-(SUM('TRIAL-BALANCE'!AH384:AH828)-SUM('TRIAL-BALANCE'!AG384:AG828)),2)</f>
        <v>0</v>
      </c>
      <c r="K124" s="1971">
        <f>+ROUND(K113-'R &amp; E data-2019'!V464,2)</f>
        <v>0</v>
      </c>
      <c r="L124" s="198"/>
      <c r="M124" s="968">
        <f>+ROUND(M113-P113,2)-ROUND(SUM('TRIAL-BALANCE'!AP384:AP828)-SUM('TRIAL-BALANCE'!AO384:AO828),2)</f>
        <v>0</v>
      </c>
      <c r="N124" s="1975">
        <f>+ROUND(N113-Q113,2)-ROUND('R &amp; E data-2019'!Y464,2)</f>
        <v>0</v>
      </c>
      <c r="O124" s="152"/>
      <c r="P124" s="1709" t="s">
        <v>1872</v>
      </c>
      <c r="Q124" s="1896" t="str">
        <f>+Q69</f>
        <v>'Municipal-Bal'</v>
      </c>
      <c r="R124" s="152"/>
      <c r="S124" s="152"/>
      <c r="T124" s="152"/>
      <c r="U124" s="198"/>
      <c r="V124" s="152"/>
      <c r="W124" s="152"/>
      <c r="X124" s="152"/>
      <c r="Y124" s="152"/>
      <c r="Z124" s="152"/>
    </row>
    <row r="125" spans="1:26" ht="15.75">
      <c r="A125" s="152"/>
      <c r="B125" s="152"/>
      <c r="C125" s="198"/>
      <c r="D125" s="152"/>
      <c r="E125" s="152"/>
      <c r="F125" s="198"/>
      <c r="G125" s="152"/>
      <c r="H125" s="152"/>
      <c r="I125" s="198"/>
      <c r="J125" s="152"/>
      <c r="K125" s="152"/>
      <c r="L125" s="198"/>
      <c r="M125" s="152"/>
      <c r="N125" s="152"/>
      <c r="O125" s="152"/>
      <c r="P125" s="1710" t="s">
        <v>1305</v>
      </c>
      <c r="Q125" s="1711"/>
      <c r="R125" s="152"/>
      <c r="S125" s="152"/>
      <c r="T125" s="152"/>
      <c r="U125" s="152"/>
      <c r="V125" s="152"/>
      <c r="W125" s="152"/>
      <c r="X125" s="152"/>
      <c r="Y125" s="152"/>
      <c r="Z125" s="152"/>
    </row>
    <row r="126" spans="1:26" ht="15.75">
      <c r="A126" s="152"/>
      <c r="B126" s="152"/>
      <c r="C126" s="198"/>
      <c r="D126" s="152"/>
      <c r="E126" s="152"/>
      <c r="F126" s="198"/>
      <c r="G126" s="152"/>
      <c r="H126" s="152"/>
      <c r="I126" s="198"/>
      <c r="J126" s="152"/>
      <c r="K126" s="152"/>
      <c r="L126" s="198"/>
      <c r="M126" s="152"/>
      <c r="N126" s="152"/>
      <c r="O126" s="152"/>
      <c r="P126" s="152"/>
      <c r="Q126" s="152"/>
      <c r="R126" s="152"/>
      <c r="S126" s="152"/>
      <c r="T126" s="152"/>
      <c r="U126" s="152"/>
      <c r="V126" s="152"/>
      <c r="W126" s="152"/>
      <c r="X126" s="152"/>
      <c r="Y126" s="152"/>
      <c r="Z126" s="152"/>
    </row>
    <row r="127" spans="1:26">
      <c r="A127" s="152"/>
      <c r="B127" s="152"/>
      <c r="C127" s="152"/>
      <c r="D127" s="152"/>
      <c r="E127" s="152"/>
      <c r="F127" s="152"/>
      <c r="G127" s="152"/>
      <c r="H127" s="152"/>
      <c r="I127" s="152"/>
      <c r="J127" s="152"/>
      <c r="K127" s="152"/>
      <c r="L127" s="152"/>
      <c r="M127" s="152"/>
      <c r="N127" s="152"/>
      <c r="O127" s="152"/>
      <c r="P127" s="152"/>
      <c r="Q127" s="152"/>
      <c r="R127" s="152"/>
      <c r="S127" s="152"/>
      <c r="T127" s="152"/>
      <c r="U127" s="152"/>
      <c r="V127" s="152"/>
      <c r="W127" s="152"/>
      <c r="X127" s="152"/>
      <c r="Y127" s="152"/>
      <c r="Z127" s="152"/>
    </row>
    <row r="128" spans="1:26">
      <c r="A128" s="152"/>
      <c r="B128" s="152"/>
      <c r="C128" s="152"/>
      <c r="D128" s="152"/>
      <c r="E128" s="152"/>
      <c r="F128" s="152"/>
      <c r="G128" s="152"/>
      <c r="H128" s="152"/>
      <c r="I128" s="152"/>
      <c r="J128" s="152"/>
      <c r="K128" s="152"/>
      <c r="L128" s="152"/>
      <c r="M128" s="152"/>
      <c r="N128" s="152"/>
      <c r="O128" s="152"/>
      <c r="P128" s="152"/>
      <c r="Q128" s="152"/>
      <c r="R128" s="152"/>
      <c r="S128" s="152"/>
      <c r="T128" s="152"/>
      <c r="U128" s="152"/>
      <c r="V128" s="152"/>
      <c r="W128" s="152"/>
      <c r="X128" s="152"/>
      <c r="Y128" s="152"/>
      <c r="Z128" s="152"/>
    </row>
    <row r="129" spans="1:26">
      <c r="A129" s="152"/>
      <c r="B129" s="152"/>
      <c r="C129" s="152"/>
      <c r="D129" s="152"/>
      <c r="E129" s="152"/>
      <c r="F129" s="152"/>
      <c r="G129" s="152"/>
      <c r="H129" s="342"/>
      <c r="I129" s="152"/>
      <c r="J129" s="152"/>
      <c r="K129" s="152"/>
      <c r="L129" s="152"/>
      <c r="M129" s="152"/>
      <c r="N129" s="152"/>
      <c r="O129" s="152"/>
      <c r="P129" s="152"/>
      <c r="Q129" s="152"/>
      <c r="R129" s="152"/>
      <c r="S129" s="152"/>
      <c r="T129" s="152"/>
      <c r="U129" s="152"/>
      <c r="V129" s="152"/>
      <c r="W129" s="152"/>
      <c r="X129" s="152"/>
      <c r="Y129" s="152"/>
      <c r="Z129" s="152"/>
    </row>
    <row r="130" spans="1:26">
      <c r="A130" s="152"/>
      <c r="B130" s="152"/>
      <c r="C130" s="152"/>
      <c r="D130" s="152"/>
      <c r="E130" s="152"/>
      <c r="F130" s="152"/>
      <c r="G130" s="152"/>
      <c r="H130" s="342"/>
      <c r="I130" s="152"/>
      <c r="J130" s="152"/>
      <c r="K130" s="152"/>
      <c r="L130" s="152"/>
      <c r="M130" s="152"/>
      <c r="N130" s="152"/>
      <c r="O130" s="152"/>
      <c r="P130" s="152"/>
      <c r="Q130" s="152"/>
      <c r="R130" s="152"/>
      <c r="S130" s="152"/>
      <c r="T130" s="152"/>
      <c r="U130" s="152"/>
      <c r="V130" s="152"/>
      <c r="W130" s="152"/>
      <c r="X130" s="152"/>
      <c r="Y130" s="152"/>
      <c r="Z130" s="152"/>
    </row>
    <row r="131" spans="1:26">
      <c r="A131" s="152"/>
      <c r="B131" s="152"/>
      <c r="C131" s="152"/>
      <c r="D131" s="152"/>
      <c r="E131" s="152"/>
      <c r="F131" s="152"/>
      <c r="G131" s="152"/>
      <c r="H131" s="343"/>
      <c r="I131" s="152"/>
      <c r="J131" s="152"/>
      <c r="K131" s="152"/>
      <c r="L131" s="152"/>
      <c r="M131" s="152"/>
      <c r="N131" s="152"/>
      <c r="O131" s="152"/>
      <c r="P131" s="152"/>
      <c r="Q131" s="152"/>
      <c r="R131" s="152"/>
      <c r="S131" s="152"/>
      <c r="T131" s="152"/>
      <c r="U131" s="152"/>
      <c r="V131" s="152"/>
      <c r="W131" s="152"/>
      <c r="X131" s="152"/>
      <c r="Y131" s="152"/>
      <c r="Z131" s="152"/>
    </row>
    <row r="132" spans="1:26">
      <c r="A132" s="152"/>
      <c r="B132" s="152"/>
      <c r="C132" s="152"/>
      <c r="D132" s="152"/>
      <c r="E132" s="152"/>
      <c r="F132" s="152"/>
      <c r="G132" s="152"/>
      <c r="H132" s="152"/>
      <c r="I132" s="152"/>
      <c r="J132" s="152"/>
      <c r="K132" s="152"/>
      <c r="L132" s="152"/>
      <c r="M132" s="152"/>
      <c r="N132" s="152"/>
      <c r="O132" s="152"/>
      <c r="P132" s="152"/>
      <c r="Q132" s="152"/>
      <c r="R132" s="152"/>
      <c r="S132" s="152"/>
      <c r="T132" s="152"/>
      <c r="U132" s="152"/>
      <c r="V132" s="152"/>
      <c r="W132" s="152"/>
      <c r="X132" s="152"/>
      <c r="Y132" s="152"/>
      <c r="Z132" s="152"/>
    </row>
    <row r="133" spans="1:26">
      <c r="A133" s="152"/>
      <c r="B133" s="152"/>
      <c r="C133" s="152"/>
      <c r="D133" s="152"/>
      <c r="E133" s="152"/>
      <c r="F133" s="152"/>
      <c r="G133" s="152"/>
      <c r="H133" s="152"/>
      <c r="I133" s="152"/>
      <c r="J133" s="152"/>
      <c r="K133" s="152"/>
      <c r="L133" s="152"/>
      <c r="M133" s="152"/>
      <c r="N133" s="152"/>
      <c r="O133" s="152"/>
      <c r="P133" s="152"/>
      <c r="Q133" s="152"/>
      <c r="R133" s="152"/>
      <c r="S133" s="152"/>
      <c r="T133" s="152"/>
      <c r="U133" s="152"/>
      <c r="V133" s="152"/>
      <c r="W133" s="152"/>
      <c r="X133" s="152"/>
      <c r="Y133" s="152"/>
      <c r="Z133" s="152"/>
    </row>
    <row r="134" spans="1:26">
      <c r="A134" s="152"/>
      <c r="B134" s="152"/>
      <c r="C134" s="152"/>
      <c r="D134" s="152"/>
      <c r="E134" s="152"/>
      <c r="F134" s="152"/>
      <c r="G134" s="152"/>
      <c r="H134" s="152"/>
      <c r="I134" s="152"/>
      <c r="J134" s="152"/>
      <c r="K134" s="152"/>
      <c r="L134" s="152"/>
      <c r="M134" s="152"/>
      <c r="N134" s="152"/>
      <c r="O134" s="152"/>
      <c r="P134" s="152"/>
      <c r="Q134" s="152"/>
      <c r="R134" s="152"/>
      <c r="S134" s="152"/>
      <c r="T134" s="152"/>
      <c r="U134" s="152"/>
      <c r="V134" s="152"/>
      <c r="W134" s="152"/>
      <c r="X134" s="152"/>
      <c r="Y134" s="152"/>
      <c r="Z134" s="152"/>
    </row>
    <row r="135" spans="1:26">
      <c r="A135" s="152"/>
      <c r="B135" s="152"/>
      <c r="C135" s="152"/>
      <c r="D135" s="152"/>
      <c r="E135" s="152"/>
      <c r="F135" s="152"/>
      <c r="G135" s="152"/>
      <c r="H135" s="152"/>
      <c r="I135" s="152"/>
      <c r="J135" s="152"/>
      <c r="K135" s="152"/>
      <c r="L135" s="152"/>
      <c r="M135" s="152"/>
      <c r="N135" s="152"/>
      <c r="O135" s="152"/>
      <c r="P135" s="152"/>
      <c r="Q135" s="152"/>
      <c r="R135" s="152"/>
      <c r="S135" s="152"/>
      <c r="T135" s="152"/>
      <c r="U135" s="152"/>
      <c r="V135" s="152"/>
      <c r="W135" s="152"/>
      <c r="X135" s="152"/>
      <c r="Y135" s="152"/>
      <c r="Z135" s="152"/>
    </row>
    <row r="136" spans="1:26">
      <c r="A136" s="152"/>
      <c r="B136" s="152"/>
      <c r="C136" s="152"/>
      <c r="D136" s="152"/>
      <c r="E136" s="152"/>
      <c r="F136" s="152"/>
      <c r="G136" s="152"/>
      <c r="H136" s="152"/>
      <c r="I136" s="152"/>
      <c r="J136" s="152"/>
      <c r="K136" s="152"/>
      <c r="L136" s="152"/>
      <c r="M136" s="152"/>
      <c r="N136" s="152"/>
      <c r="O136" s="152"/>
      <c r="P136" s="152"/>
      <c r="Q136" s="152"/>
      <c r="R136" s="152"/>
      <c r="S136" s="152"/>
      <c r="T136" s="152"/>
      <c r="U136" s="152"/>
      <c r="V136" s="152"/>
      <c r="W136" s="152"/>
      <c r="X136" s="152"/>
      <c r="Y136" s="152"/>
      <c r="Z136" s="152"/>
    </row>
    <row r="137" spans="1:26">
      <c r="A137" s="152"/>
      <c r="B137" s="152"/>
      <c r="C137" s="152"/>
      <c r="D137" s="152"/>
      <c r="E137" s="152"/>
      <c r="F137" s="152"/>
      <c r="G137" s="152"/>
      <c r="H137" s="152"/>
      <c r="I137" s="152"/>
      <c r="J137" s="152"/>
      <c r="K137" s="152"/>
      <c r="L137" s="152"/>
      <c r="M137" s="152"/>
      <c r="N137" s="152"/>
      <c r="O137" s="152"/>
      <c r="P137" s="152"/>
      <c r="Q137" s="152"/>
      <c r="R137" s="152"/>
      <c r="S137" s="152"/>
      <c r="T137" s="152"/>
      <c r="U137" s="152"/>
      <c r="V137" s="152"/>
      <c r="W137" s="152"/>
      <c r="X137" s="152"/>
      <c r="Y137" s="152"/>
      <c r="Z137" s="152"/>
    </row>
    <row r="138" spans="1:26">
      <c r="A138" s="152"/>
      <c r="B138" s="152"/>
      <c r="C138" s="152"/>
      <c r="D138" s="152"/>
      <c r="E138" s="152"/>
      <c r="F138" s="152"/>
      <c r="G138" s="152"/>
      <c r="H138" s="152"/>
      <c r="I138" s="152"/>
      <c r="J138" s="152"/>
      <c r="K138" s="152"/>
      <c r="L138" s="152"/>
      <c r="M138" s="152"/>
      <c r="N138" s="152"/>
      <c r="O138" s="152"/>
      <c r="P138" s="152"/>
      <c r="Q138" s="152"/>
      <c r="R138" s="152"/>
      <c r="S138" s="152"/>
      <c r="T138" s="152"/>
      <c r="U138" s="152"/>
      <c r="V138" s="152"/>
      <c r="W138" s="152"/>
      <c r="X138" s="152"/>
      <c r="Y138" s="152"/>
      <c r="Z138" s="152"/>
    </row>
    <row r="139" spans="1:26">
      <c r="A139" s="152"/>
      <c r="B139" s="152"/>
      <c r="C139" s="152"/>
      <c r="D139" s="152"/>
      <c r="E139" s="152"/>
      <c r="F139" s="152"/>
      <c r="G139" s="152"/>
      <c r="H139" s="152"/>
      <c r="I139" s="152"/>
      <c r="J139" s="152"/>
      <c r="K139" s="152"/>
      <c r="L139" s="152"/>
      <c r="M139" s="152"/>
      <c r="N139" s="152"/>
      <c r="O139" s="152"/>
      <c r="P139" s="152"/>
      <c r="Q139" s="152"/>
      <c r="R139" s="152"/>
      <c r="S139" s="152"/>
      <c r="T139" s="152"/>
      <c r="U139" s="152"/>
      <c r="V139" s="152"/>
      <c r="W139" s="152"/>
      <c r="X139" s="152"/>
      <c r="Y139" s="152"/>
      <c r="Z139" s="152"/>
    </row>
    <row r="140" spans="1:26">
      <c r="A140" s="152"/>
      <c r="B140" s="152"/>
      <c r="C140" s="152"/>
      <c r="D140" s="152"/>
      <c r="E140" s="152"/>
      <c r="F140" s="152"/>
      <c r="G140" s="152"/>
      <c r="H140" s="152"/>
      <c r="I140" s="152"/>
      <c r="J140" s="152"/>
      <c r="K140" s="152"/>
      <c r="L140" s="152"/>
      <c r="M140" s="152"/>
      <c r="N140" s="152"/>
      <c r="O140" s="152"/>
      <c r="P140" s="152"/>
      <c r="Q140" s="152"/>
      <c r="R140" s="152"/>
      <c r="S140" s="152"/>
      <c r="T140" s="152"/>
      <c r="U140" s="152"/>
      <c r="V140" s="152"/>
      <c r="W140" s="152"/>
      <c r="X140" s="152"/>
      <c r="Y140" s="152"/>
      <c r="Z140" s="152"/>
    </row>
    <row r="141" spans="1:26">
      <c r="A141" s="152"/>
      <c r="B141" s="152"/>
      <c r="C141" s="152"/>
      <c r="D141" s="152"/>
      <c r="E141" s="152"/>
      <c r="F141" s="152"/>
      <c r="G141" s="152"/>
      <c r="H141" s="152"/>
      <c r="I141" s="152"/>
      <c r="J141" s="152"/>
      <c r="K141" s="152"/>
      <c r="L141" s="152"/>
      <c r="M141" s="152"/>
      <c r="N141" s="152"/>
      <c r="O141" s="152"/>
      <c r="P141" s="152"/>
      <c r="Q141" s="152"/>
      <c r="R141" s="152"/>
      <c r="S141" s="152"/>
      <c r="T141" s="152"/>
      <c r="U141" s="152"/>
      <c r="V141" s="152"/>
      <c r="W141" s="152"/>
      <c r="X141" s="152"/>
      <c r="Y141" s="152"/>
      <c r="Z141" s="152"/>
    </row>
    <row r="142" spans="1:26">
      <c r="A142" s="152"/>
      <c r="B142" s="152"/>
      <c r="C142" s="152"/>
      <c r="D142" s="152"/>
      <c r="E142" s="152"/>
      <c r="F142" s="152"/>
      <c r="G142" s="152"/>
      <c r="H142" s="152"/>
      <c r="I142" s="152"/>
      <c r="J142" s="152"/>
      <c r="K142" s="152"/>
      <c r="L142" s="152"/>
      <c r="M142" s="152"/>
      <c r="N142" s="152"/>
      <c r="O142" s="152"/>
      <c r="P142" s="152"/>
      <c r="Q142" s="152"/>
      <c r="R142" s="152"/>
      <c r="S142" s="152"/>
      <c r="T142" s="152"/>
      <c r="U142" s="152"/>
      <c r="V142" s="152"/>
      <c r="W142" s="152"/>
      <c r="X142" s="152"/>
      <c r="Y142" s="152"/>
      <c r="Z142" s="152"/>
    </row>
    <row r="143" spans="1:26">
      <c r="A143" s="152"/>
      <c r="B143" s="152"/>
      <c r="C143" s="152"/>
      <c r="D143" s="152"/>
      <c r="E143" s="152"/>
      <c r="F143" s="152"/>
      <c r="G143" s="152"/>
      <c r="H143" s="152"/>
      <c r="I143" s="152"/>
      <c r="J143" s="152"/>
      <c r="K143" s="152"/>
      <c r="L143" s="152"/>
      <c r="M143" s="152"/>
      <c r="N143" s="152"/>
      <c r="O143" s="152"/>
      <c r="P143" s="152"/>
      <c r="Q143" s="152"/>
      <c r="R143" s="152"/>
      <c r="S143" s="152"/>
      <c r="T143" s="152"/>
      <c r="U143" s="152"/>
      <c r="V143" s="152"/>
      <c r="W143" s="152"/>
      <c r="X143" s="152"/>
      <c r="Y143" s="152"/>
      <c r="Z143" s="152"/>
    </row>
    <row r="144" spans="1:26">
      <c r="A144" s="152"/>
      <c r="B144" s="152"/>
      <c r="C144" s="152"/>
      <c r="D144" s="152"/>
      <c r="E144" s="152"/>
      <c r="F144" s="152"/>
      <c r="G144" s="152"/>
      <c r="H144" s="152"/>
      <c r="I144" s="152"/>
      <c r="J144" s="152"/>
      <c r="K144" s="152"/>
      <c r="L144" s="152"/>
      <c r="M144" s="152"/>
      <c r="N144" s="152"/>
      <c r="O144" s="152"/>
      <c r="P144" s="152"/>
      <c r="Q144" s="152"/>
      <c r="R144" s="152"/>
      <c r="S144" s="152"/>
      <c r="T144" s="152"/>
      <c r="U144" s="152"/>
      <c r="V144" s="152"/>
      <c r="W144" s="152"/>
      <c r="X144" s="152"/>
      <c r="Y144" s="152"/>
      <c r="Z144" s="152"/>
    </row>
    <row r="145" spans="1:26">
      <c r="A145" s="152"/>
      <c r="B145" s="152"/>
      <c r="C145" s="152"/>
      <c r="D145" s="152"/>
      <c r="E145" s="152"/>
      <c r="F145" s="152"/>
      <c r="G145" s="152"/>
      <c r="H145" s="152"/>
      <c r="I145" s="152"/>
      <c r="J145" s="152"/>
      <c r="K145" s="152"/>
      <c r="L145" s="152"/>
      <c r="M145" s="152"/>
      <c r="N145" s="152"/>
      <c r="O145" s="152"/>
      <c r="P145" s="152"/>
      <c r="Q145" s="152"/>
      <c r="R145" s="152"/>
      <c r="S145" s="152"/>
      <c r="T145" s="152"/>
      <c r="U145" s="152"/>
      <c r="V145" s="152"/>
      <c r="W145" s="152"/>
      <c r="X145" s="152"/>
      <c r="Y145" s="152"/>
      <c r="Z145" s="152"/>
    </row>
    <row r="146" spans="1:26">
      <c r="A146" s="152"/>
      <c r="B146" s="152"/>
      <c r="C146" s="152"/>
      <c r="D146" s="152"/>
      <c r="E146" s="152"/>
      <c r="F146" s="152"/>
      <c r="G146" s="152"/>
      <c r="H146" s="152"/>
      <c r="I146" s="152"/>
      <c r="J146" s="152"/>
      <c r="K146" s="152"/>
      <c r="L146" s="152"/>
      <c r="M146" s="152"/>
      <c r="N146" s="152"/>
      <c r="O146" s="152"/>
      <c r="P146" s="152"/>
      <c r="Q146" s="152"/>
      <c r="R146" s="152"/>
      <c r="S146" s="152"/>
      <c r="T146" s="152"/>
      <c r="U146" s="152"/>
      <c r="V146" s="152"/>
      <c r="W146" s="152"/>
      <c r="X146" s="152"/>
      <c r="Y146" s="152"/>
      <c r="Z146" s="152"/>
    </row>
    <row r="147" spans="1:26">
      <c r="A147" s="152"/>
      <c r="B147" s="152"/>
      <c r="C147" s="152"/>
      <c r="D147" s="152"/>
      <c r="E147" s="152"/>
      <c r="F147" s="152"/>
      <c r="G147" s="152"/>
      <c r="H147" s="152"/>
      <c r="I147" s="152"/>
      <c r="J147" s="152"/>
      <c r="K147" s="152"/>
      <c r="L147" s="152"/>
      <c r="M147" s="152"/>
      <c r="N147" s="152"/>
      <c r="O147" s="152"/>
      <c r="P147" s="152"/>
      <c r="Q147" s="152"/>
      <c r="R147" s="152"/>
      <c r="S147" s="152"/>
      <c r="T147" s="152"/>
      <c r="U147" s="152"/>
      <c r="V147" s="152"/>
      <c r="W147" s="152"/>
      <c r="X147" s="152"/>
      <c r="Y147" s="152"/>
      <c r="Z147" s="152"/>
    </row>
    <row r="148" spans="1:26">
      <c r="A148" s="152"/>
      <c r="B148" s="152"/>
      <c r="C148" s="152"/>
      <c r="D148" s="152"/>
      <c r="E148" s="152"/>
      <c r="F148" s="152"/>
      <c r="G148" s="152"/>
      <c r="H148" s="152"/>
      <c r="I148" s="152"/>
      <c r="J148" s="152"/>
      <c r="K148" s="152"/>
      <c r="L148" s="152"/>
      <c r="M148" s="152"/>
      <c r="N148" s="152"/>
      <c r="O148" s="152"/>
      <c r="P148" s="152"/>
      <c r="Q148" s="152"/>
      <c r="R148" s="152"/>
      <c r="S148" s="152"/>
      <c r="T148" s="152"/>
      <c r="U148" s="152"/>
      <c r="V148" s="152"/>
      <c r="W148" s="152"/>
      <c r="X148" s="152"/>
      <c r="Y148" s="152"/>
      <c r="Z148" s="152"/>
    </row>
    <row r="149" spans="1:26">
      <c r="A149" s="152"/>
      <c r="B149" s="152"/>
      <c r="C149" s="152"/>
      <c r="D149" s="152"/>
      <c r="E149" s="152"/>
      <c r="F149" s="152"/>
      <c r="G149" s="152"/>
      <c r="H149" s="152"/>
      <c r="I149" s="152"/>
      <c r="J149" s="152"/>
      <c r="K149" s="152"/>
      <c r="L149" s="152"/>
      <c r="M149" s="152"/>
      <c r="N149" s="152"/>
      <c r="O149" s="152"/>
      <c r="P149" s="152"/>
      <c r="Q149" s="152"/>
      <c r="R149" s="152"/>
      <c r="S149" s="152"/>
      <c r="T149" s="152"/>
      <c r="U149" s="152"/>
      <c r="V149" s="152"/>
      <c r="W149" s="152"/>
      <c r="X149" s="152"/>
      <c r="Y149" s="152"/>
      <c r="Z149" s="152"/>
    </row>
    <row r="150" spans="1:26">
      <c r="A150" s="152"/>
      <c r="B150" s="152"/>
      <c r="C150" s="152"/>
      <c r="D150" s="152"/>
      <c r="E150" s="152"/>
      <c r="F150" s="152"/>
      <c r="G150" s="152"/>
      <c r="H150" s="152"/>
      <c r="I150" s="152"/>
      <c r="J150" s="152"/>
      <c r="K150" s="152"/>
      <c r="L150" s="152"/>
      <c r="M150" s="152"/>
      <c r="N150" s="152"/>
      <c r="O150" s="152"/>
      <c r="P150" s="152"/>
      <c r="Q150" s="152"/>
      <c r="R150" s="152"/>
      <c r="S150" s="152"/>
      <c r="T150" s="152"/>
      <c r="U150" s="152"/>
      <c r="V150" s="152"/>
      <c r="W150" s="152"/>
      <c r="X150" s="152"/>
      <c r="Y150" s="152"/>
      <c r="Z150" s="152"/>
    </row>
    <row r="151" spans="1:26">
      <c r="A151" s="152"/>
      <c r="B151" s="152"/>
      <c r="C151" s="152"/>
      <c r="D151" s="152"/>
      <c r="E151" s="152"/>
      <c r="F151" s="152"/>
      <c r="G151" s="152"/>
      <c r="H151" s="152"/>
      <c r="I151" s="152"/>
      <c r="J151" s="152"/>
      <c r="K151" s="152"/>
      <c r="L151" s="152"/>
      <c r="M151" s="152"/>
      <c r="N151" s="152"/>
      <c r="O151" s="152"/>
      <c r="P151" s="152"/>
      <c r="Q151" s="152"/>
      <c r="R151" s="152"/>
      <c r="S151" s="152"/>
      <c r="T151" s="152"/>
      <c r="U151" s="152"/>
      <c r="V151" s="152"/>
      <c r="W151" s="152"/>
      <c r="X151" s="152"/>
      <c r="Y151" s="152"/>
      <c r="Z151" s="152"/>
    </row>
  </sheetData>
  <sheetProtection password="889B" sheet="1" objects="1" scenarios="1"/>
  <mergeCells count="26">
    <mergeCell ref="J2:K2"/>
    <mergeCell ref="K3:N3"/>
    <mergeCell ref="P30:Q30"/>
    <mergeCell ref="P32:Q32"/>
    <mergeCell ref="P31:Q31"/>
    <mergeCell ref="M2:N2"/>
    <mergeCell ref="P115:Q115"/>
    <mergeCell ref="P54:Q54"/>
    <mergeCell ref="P55:Q55"/>
    <mergeCell ref="P109:Q110"/>
    <mergeCell ref="P114:Q114"/>
    <mergeCell ref="P75:Q75"/>
    <mergeCell ref="P76:Q76"/>
    <mergeCell ref="P77:Q77"/>
    <mergeCell ref="A1:D1"/>
    <mergeCell ref="G1:H1"/>
    <mergeCell ref="A2:D2"/>
    <mergeCell ref="A3:D3"/>
    <mergeCell ref="G3:H3"/>
    <mergeCell ref="E2:H2"/>
    <mergeCell ref="M116:N116"/>
    <mergeCell ref="H116:J116"/>
    <mergeCell ref="J5:K5"/>
    <mergeCell ref="B7:B9"/>
    <mergeCell ref="M7:N8"/>
    <mergeCell ref="B5:G5"/>
  </mergeCells>
  <conditionalFormatting sqref="G123:H124 J123:K124 D123:E124 M123:N124">
    <cfRule type="cellIs" dxfId="1284" priority="422" stopIfTrue="1" operator="notEqual">
      <formula>0</formula>
    </cfRule>
  </conditionalFormatting>
  <conditionalFormatting sqref="M5">
    <cfRule type="cellIs" dxfId="1283" priority="423" stopIfTrue="1" operator="equal">
      <formula>0</formula>
    </cfRule>
  </conditionalFormatting>
  <conditionalFormatting sqref="A1:D1 G1:H1 G3:H3 K1">
    <cfRule type="cellIs" dxfId="1282" priority="424" stopIfTrue="1" operator="equal">
      <formula>0</formula>
    </cfRule>
  </conditionalFormatting>
  <conditionalFormatting sqref="D120:E121">
    <cfRule type="cellIs" dxfId="1281" priority="83" stopIfTrue="1" operator="equal">
      <formula>"НЕРАВНЕНИЕ !"</formula>
    </cfRule>
    <cfRule type="cellIs" priority="84" stopIfTrue="1" operator="equal">
      <formula>"НЕРАВНЕНИЕ !"</formula>
    </cfRule>
  </conditionalFormatting>
  <conditionalFormatting sqref="G120:H121">
    <cfRule type="cellIs" dxfId="1280" priority="82" stopIfTrue="1" operator="equal">
      <formula>"НЕРАВНЕНИЕ !"</formula>
    </cfRule>
  </conditionalFormatting>
  <conditionalFormatting sqref="J120:K121 M120:N121">
    <cfRule type="cellIs" dxfId="1279" priority="79" stopIfTrue="1" operator="equal">
      <formula>"НЕРАВНЕНИЕ !"</formula>
    </cfRule>
  </conditionalFormatting>
  <conditionalFormatting sqref="K3">
    <cfRule type="cellIs" dxfId="1278" priority="78" stopIfTrue="1" operator="equal">
      <formula>0</formula>
    </cfRule>
  </conditionalFormatting>
  <conditionalFormatting sqref="N1">
    <cfRule type="cellIs" dxfId="1277" priority="77" stopIfTrue="1" operator="equal">
      <formula>0</formula>
    </cfRule>
  </conditionalFormatting>
  <conditionalFormatting sqref="P54">
    <cfRule type="cellIs" dxfId="1276" priority="60" stopIfTrue="1" operator="notEqual">
      <formula>"O K"</formula>
    </cfRule>
  </conditionalFormatting>
  <conditionalFormatting sqref="P55">
    <cfRule type="cellIs" dxfId="1275" priority="59" stopIfTrue="1" operator="notEqual">
      <formula>"O K"</formula>
    </cfRule>
  </conditionalFormatting>
  <conditionalFormatting sqref="P54:Q55">
    <cfRule type="cellIs" dxfId="1274" priority="58" stopIfTrue="1" operator="equal">
      <formula>"O K"</formula>
    </cfRule>
  </conditionalFormatting>
  <conditionalFormatting sqref="P120">
    <cfRule type="cellIs" dxfId="1273" priority="45" stopIfTrue="1" operator="equal">
      <formula>"НЕРАВНЕНИЕ !"</formula>
    </cfRule>
  </conditionalFormatting>
  <conditionalFormatting sqref="P121">
    <cfRule type="cellIs" dxfId="1272" priority="44" stopIfTrue="1" operator="notEqual">
      <formula>0</formula>
    </cfRule>
  </conditionalFormatting>
  <conditionalFormatting sqref="Q121">
    <cfRule type="cellIs" dxfId="1271" priority="43" stopIfTrue="1" operator="notEqual">
      <formula>0</formula>
    </cfRule>
  </conditionalFormatting>
  <conditionalFormatting sqref="Q120">
    <cfRule type="cellIs" dxfId="1270" priority="42" stopIfTrue="1" operator="equal">
      <formula>"НЕРАВНЕНИЕ !"</formula>
    </cfRule>
  </conditionalFormatting>
  <conditionalFormatting sqref="P114">
    <cfRule type="cellIs" dxfId="1269" priority="19" stopIfTrue="1" operator="notEqual">
      <formula>"O K"</formula>
    </cfRule>
  </conditionalFormatting>
  <conditionalFormatting sqref="P115">
    <cfRule type="cellIs" dxfId="1268" priority="18" stopIfTrue="1" operator="notEqual">
      <formula>"O K"</formula>
    </cfRule>
  </conditionalFormatting>
  <conditionalFormatting sqref="P114:Q115">
    <cfRule type="cellIs" dxfId="1267" priority="17" stopIfTrue="1" operator="equal">
      <formula>"O K"</formula>
    </cfRule>
  </conditionalFormatting>
  <conditionalFormatting sqref="A9">
    <cfRule type="cellIs" dxfId="1266" priority="16" operator="equal">
      <formula>"Непопълнен ред в таблица 'Cash-deficit'!"</formula>
    </cfRule>
  </conditionalFormatting>
  <conditionalFormatting sqref="A3:D3">
    <cfRule type="cellIs" dxfId="1265" priority="15" stopIfTrue="1" operator="equal">
      <formula>0</formula>
    </cfRule>
  </conditionalFormatting>
  <conditionalFormatting sqref="P75">
    <cfRule type="cellIs" dxfId="1264" priority="14" stopIfTrue="1" operator="notEqual">
      <formula>"O K"</formula>
    </cfRule>
  </conditionalFormatting>
  <conditionalFormatting sqref="P75:Q75">
    <cfRule type="cellIs" dxfId="1263" priority="13" stopIfTrue="1" operator="equal">
      <formula>"O K"</formula>
    </cfRule>
  </conditionalFormatting>
  <conditionalFormatting sqref="P77">
    <cfRule type="cellIs" dxfId="1262" priority="12" stopIfTrue="1" operator="notEqual">
      <formula>"O K"</formula>
    </cfRule>
  </conditionalFormatting>
  <conditionalFormatting sqref="P77:Q77">
    <cfRule type="cellIs" dxfId="1261" priority="11" stopIfTrue="1" operator="equal">
      <formula>"O K"</formula>
    </cfRule>
  </conditionalFormatting>
  <conditionalFormatting sqref="P76:Q76">
    <cfRule type="cellIs" dxfId="1260" priority="10" operator="notEqual">
      <formula>0</formula>
    </cfRule>
  </conditionalFormatting>
  <conditionalFormatting sqref="P30">
    <cfRule type="cellIs" dxfId="1259" priority="9" stopIfTrue="1" operator="notEqual">
      <formula>"O K"</formula>
    </cfRule>
  </conditionalFormatting>
  <conditionalFormatting sqref="P30:Q30">
    <cfRule type="cellIs" dxfId="1258" priority="8" stopIfTrue="1" operator="equal">
      <formula>"O K"</formula>
    </cfRule>
  </conditionalFormatting>
  <conditionalFormatting sqref="P32">
    <cfRule type="cellIs" dxfId="1257" priority="7" stopIfTrue="1" operator="notEqual">
      <formula>"O K"</formula>
    </cfRule>
  </conditionalFormatting>
  <conditionalFormatting sqref="P32:Q32">
    <cfRule type="cellIs" dxfId="1256" priority="6" stopIfTrue="1" operator="equal">
      <formula>"O K"</formula>
    </cfRule>
  </conditionalFormatting>
  <conditionalFormatting sqref="P31:Q31">
    <cfRule type="cellIs" dxfId="1255" priority="5" operator="notEqual">
      <formula>0</formula>
    </cfRule>
  </conditionalFormatting>
  <conditionalFormatting sqref="E2:H2">
    <cfRule type="cellIs" dxfId="1254" priority="3" operator="equal">
      <formula>"отчетено НЕРАВНЕНИЕ в таблица 'Status'!"</formula>
    </cfRule>
    <cfRule type="cellIs" dxfId="1253" priority="4" operator="equal">
      <formula>0</formula>
    </cfRule>
  </conditionalFormatting>
  <conditionalFormatting sqref="J2:K2">
    <cfRule type="cellIs" dxfId="1252" priority="2" operator="notEqual">
      <formula>0</formula>
    </cfRule>
  </conditionalFormatting>
  <conditionalFormatting sqref="M2:N2">
    <cfRule type="cellIs" dxfId="1251" priority="1" operator="notEqual">
      <formula>0</formula>
    </cfRule>
  </conditionalFormatting>
  <pageMargins left="0.17" right="0.15748031496062992" top="0.35" bottom="0.15748031496062992" header="0.2" footer="0.15748031496062992"/>
  <pageSetup paperSize="9" scale="61" orientation="landscape" r:id="rId1"/>
  <headerFooter alignWithMargins="0">
    <oddHeader>&amp;C&amp;"Times New Roman CYR,Bold"&amp;12- &amp;P / &amp;N -</oddHeader>
  </headerFooter>
  <ignoredErrors>
    <ignoredError sqref="E19:K19 E20:J92 K75 K20:K74 K76:K103 H105 E105" formulaRange="1"/>
    <ignoredError sqref="M48:N48" formula="1"/>
  </ignoredErrors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rgb="FFA50021"/>
  </sheetPr>
  <dimension ref="A1:Z152"/>
  <sheetViews>
    <sheetView showZeros="0" zoomScaleNormal="10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2.75"/>
  <cols>
    <col min="1" max="1" width="69.85546875" style="1397" customWidth="1"/>
    <col min="2" max="2" width="6.7109375" style="1397" customWidth="1"/>
    <col min="3" max="3" width="0.85546875" style="1397" customWidth="1"/>
    <col min="4" max="5" width="19.5703125" style="1397" customWidth="1"/>
    <col min="6" max="6" width="1" style="1397" customWidth="1"/>
    <col min="7" max="8" width="19.5703125" style="1397" customWidth="1"/>
    <col min="9" max="9" width="1" style="1397" customWidth="1"/>
    <col min="10" max="11" width="19.5703125" style="1397" customWidth="1"/>
    <col min="12" max="12" width="1" style="1397" customWidth="1"/>
    <col min="13" max="14" width="19.5703125" style="1397" customWidth="1"/>
    <col min="15" max="15" width="3.42578125" style="1397" customWidth="1"/>
    <col min="16" max="17" width="26.5703125" style="1397" customWidth="1"/>
    <col min="18" max="18" width="0.85546875" style="1397" customWidth="1"/>
    <col min="19" max="20" width="21.28515625" style="1397" customWidth="1"/>
    <col min="21" max="21" width="1" style="1397" customWidth="1"/>
    <col min="22" max="23" width="21.28515625" style="1397" customWidth="1"/>
    <col min="24" max="24" width="1" style="1397" customWidth="1"/>
    <col min="25" max="26" width="21.28515625" style="1397" customWidth="1"/>
    <col min="27" max="16384" width="9.140625" style="1397"/>
  </cols>
  <sheetData>
    <row r="1" spans="1:26" ht="16.5" customHeight="1">
      <c r="A1" s="2606" t="str">
        <f>+'TRIAL-BALANCE'!E2</f>
        <v>ОУ "ПРОФЕСОР МАРИН ДРИНОВ"</v>
      </c>
      <c r="B1" s="2607"/>
      <c r="C1" s="2607"/>
      <c r="D1" s="2608"/>
      <c r="E1" s="800" t="s">
        <v>1087</v>
      </c>
      <c r="F1" s="801"/>
      <c r="G1" s="2609">
        <f>+'TRIAL-BALANCE'!C6</f>
        <v>341731</v>
      </c>
      <c r="H1" s="2610"/>
      <c r="I1" s="801"/>
      <c r="J1" s="802" t="s">
        <v>1088</v>
      </c>
      <c r="K1" s="1264">
        <f>+'TRIAL-BALANCE'!C8</f>
        <v>0</v>
      </c>
      <c r="L1" s="801"/>
      <c r="M1" s="153" t="s">
        <v>1209</v>
      </c>
      <c r="N1" s="2214">
        <f>+'TRIAL-BALANCE'!H8</f>
        <v>0</v>
      </c>
      <c r="O1" s="152"/>
      <c r="P1" s="152"/>
      <c r="Q1" s="152"/>
      <c r="R1" s="152"/>
      <c r="S1" s="152"/>
      <c r="T1" s="152"/>
      <c r="U1" s="152"/>
      <c r="V1" s="152"/>
      <c r="W1" s="152"/>
      <c r="X1" s="152"/>
      <c r="Y1" s="152"/>
      <c r="Z1" s="152"/>
    </row>
    <row r="2" spans="1:26" ht="15.75" customHeight="1">
      <c r="A2" s="2592" t="str">
        <f>+'BALANCE-SHEET-2020'!A2:D2</f>
        <v>(бюджетна организация, предприятие по чл. 165, ал. 1 от ЗПФ, поделение)</v>
      </c>
      <c r="B2" s="2593"/>
      <c r="C2" s="2593"/>
      <c r="D2" s="2594"/>
      <c r="E2" s="2584" t="str">
        <f>+'BALANCE-SHEET-2020-leva'!E2</f>
        <v>отчетено НЕРАВНЕНИЕ в таблица 'Status'!</v>
      </c>
      <c r="F2" s="2584"/>
      <c r="G2" s="2584"/>
      <c r="H2" s="2584"/>
      <c r="I2" s="801"/>
      <c r="J2" s="2572">
        <f>+'BALANCE-SHEET-2020-leva'!J2:K2</f>
        <v>0</v>
      </c>
      <c r="K2" s="2572"/>
      <c r="L2" s="801"/>
      <c r="M2" s="2572">
        <f>+'BALANCE-SHEET-2020-leva'!M2:N2</f>
        <v>0</v>
      </c>
      <c r="N2" s="2572"/>
      <c r="O2" s="152"/>
      <c r="P2" s="152"/>
      <c r="Q2" s="152"/>
      <c r="R2" s="152"/>
      <c r="S2" s="152"/>
      <c r="T2" s="152"/>
      <c r="U2" s="152"/>
      <c r="V2" s="152"/>
      <c r="W2" s="152"/>
      <c r="X2" s="152"/>
      <c r="Y2" s="152"/>
      <c r="Z2" s="152"/>
    </row>
    <row r="3" spans="1:26" ht="18" customHeight="1">
      <c r="A3" s="2470">
        <f>+'TRIAL-BALANCE'!G4</f>
        <v>0</v>
      </c>
      <c r="B3" s="2471"/>
      <c r="C3" s="2471"/>
      <c r="D3" s="2472"/>
      <c r="E3" s="804" t="s">
        <v>1205</v>
      </c>
      <c r="F3" s="803"/>
      <c r="G3" s="2611">
        <f>+'TRIAL-BALANCE'!J8</f>
        <v>0</v>
      </c>
      <c r="H3" s="2612"/>
      <c r="I3" s="801"/>
      <c r="J3" s="2213" t="s">
        <v>2105</v>
      </c>
      <c r="K3" s="2475">
        <f>+'TRIAL-BALANCE'!J8</f>
        <v>0</v>
      </c>
      <c r="L3" s="2491"/>
      <c r="M3" s="2491"/>
      <c r="N3" s="2476"/>
      <c r="O3" s="152"/>
      <c r="P3" s="152"/>
      <c r="Q3" s="152"/>
      <c r="R3" s="152"/>
      <c r="S3" s="152"/>
      <c r="T3" s="152"/>
      <c r="U3" s="152"/>
      <c r="V3" s="152"/>
      <c r="W3" s="152"/>
      <c r="X3" s="152"/>
      <c r="Y3" s="152"/>
      <c r="Z3" s="152"/>
    </row>
    <row r="4" spans="1:26" ht="3" customHeight="1">
      <c r="A4" s="801"/>
      <c r="B4" s="801"/>
      <c r="C4" s="801"/>
      <c r="D4" s="801"/>
      <c r="E4" s="805"/>
      <c r="F4" s="801"/>
      <c r="G4" s="805"/>
      <c r="H4" s="806"/>
      <c r="I4" s="801"/>
      <c r="J4" s="803"/>
      <c r="K4" s="803"/>
      <c r="L4" s="801"/>
      <c r="M4" s="803"/>
      <c r="N4" s="803"/>
      <c r="O4" s="152"/>
      <c r="P4" s="152"/>
      <c r="Q4" s="152"/>
      <c r="R4" s="152"/>
      <c r="S4" s="152"/>
      <c r="T4" s="152"/>
      <c r="U4" s="152"/>
      <c r="V4" s="152"/>
      <c r="W4" s="152"/>
      <c r="X4" s="152"/>
      <c r="Y4" s="152"/>
      <c r="Z4" s="152"/>
    </row>
    <row r="5" spans="1:26" ht="19.5">
      <c r="A5" s="807" t="s">
        <v>1105</v>
      </c>
      <c r="B5" s="2613" t="str">
        <f>+A1</f>
        <v>ОУ "ПРОФЕСОР МАРИН ДРИНОВ"</v>
      </c>
      <c r="C5" s="2613"/>
      <c r="D5" s="2613"/>
      <c r="E5" s="2613"/>
      <c r="F5" s="2613"/>
      <c r="G5" s="2613"/>
      <c r="H5" s="808" t="s">
        <v>1004</v>
      </c>
      <c r="I5" s="809"/>
      <c r="J5" s="1265" t="str">
        <f>+'TRIAL-BALANCE'!H12</f>
        <v>31 март 2020 г.</v>
      </c>
      <c r="K5" s="519"/>
      <c r="L5" s="810"/>
      <c r="M5" s="811" t="str">
        <f>+'TRIAL-BALANCE'!C10</f>
        <v>/с б о р е н/</v>
      </c>
      <c r="N5" s="811" t="str">
        <f>+'BALANCE-SHEET-2020'!N5</f>
        <v xml:space="preserve">(в хил. лева) </v>
      </c>
      <c r="O5" s="152"/>
      <c r="P5" s="152"/>
      <c r="Q5" s="152"/>
      <c r="R5" s="152"/>
      <c r="S5" s="152"/>
      <c r="T5" s="152"/>
      <c r="U5" s="152"/>
      <c r="V5" s="152"/>
      <c r="W5" s="152"/>
      <c r="X5" s="152"/>
      <c r="Y5" s="152"/>
      <c r="Z5" s="152"/>
    </row>
    <row r="6" spans="1:26" ht="6" customHeight="1" thickBot="1">
      <c r="A6" s="812"/>
      <c r="B6" s="813"/>
      <c r="C6" s="658"/>
      <c r="D6" s="814"/>
      <c r="E6" s="815"/>
      <c r="F6" s="658"/>
      <c r="G6" s="815"/>
      <c r="H6" s="816"/>
      <c r="I6" s="817"/>
      <c r="J6" s="816"/>
      <c r="K6" s="816"/>
      <c r="L6" s="658"/>
      <c r="M6" s="812"/>
      <c r="N6" s="818"/>
      <c r="O6" s="152"/>
      <c r="P6" s="152"/>
      <c r="Q6" s="152"/>
      <c r="R6" s="152"/>
      <c r="S6" s="152"/>
      <c r="T6" s="152"/>
      <c r="U6" s="152"/>
      <c r="V6" s="152"/>
      <c r="W6" s="152"/>
      <c r="X6" s="152"/>
      <c r="Y6" s="152"/>
      <c r="Z6" s="152"/>
    </row>
    <row r="7" spans="1:26" ht="12.75" customHeight="1" thickTop="1">
      <c r="A7" s="721"/>
      <c r="B7" s="2588" t="s">
        <v>2191</v>
      </c>
      <c r="C7" s="817"/>
      <c r="D7" s="638" t="s">
        <v>1102</v>
      </c>
      <c r="E7" s="644"/>
      <c r="F7" s="817"/>
      <c r="G7" s="634" t="s">
        <v>1099</v>
      </c>
      <c r="H7" s="635"/>
      <c r="I7" s="817"/>
      <c r="J7" s="638" t="s">
        <v>1098</v>
      </c>
      <c r="K7" s="639"/>
      <c r="L7" s="817"/>
      <c r="M7" s="2552" t="s">
        <v>398</v>
      </c>
      <c r="N7" s="2553"/>
      <c r="O7" s="152"/>
      <c r="P7" s="152"/>
      <c r="Q7" s="152"/>
      <c r="R7" s="152"/>
      <c r="S7" s="152"/>
      <c r="T7" s="152"/>
      <c r="U7" s="152"/>
      <c r="V7" s="152"/>
      <c r="W7" s="152"/>
      <c r="X7" s="152"/>
      <c r="Y7" s="152"/>
      <c r="Z7" s="152"/>
    </row>
    <row r="8" spans="1:26" ht="16.5" customHeight="1" thickBot="1">
      <c r="A8" s="722" t="s">
        <v>399</v>
      </c>
      <c r="B8" s="2589"/>
      <c r="C8" s="817"/>
      <c r="D8" s="645" t="s">
        <v>1103</v>
      </c>
      <c r="E8" s="646"/>
      <c r="F8" s="817"/>
      <c r="G8" s="636" t="s">
        <v>1096</v>
      </c>
      <c r="H8" s="637"/>
      <c r="I8" s="817"/>
      <c r="J8" s="640" t="s">
        <v>1097</v>
      </c>
      <c r="K8" s="641"/>
      <c r="L8" s="817"/>
      <c r="M8" s="2554"/>
      <c r="N8" s="2555"/>
      <c r="O8" s="152"/>
      <c r="P8" s="152"/>
      <c r="Q8" s="152"/>
      <c r="R8" s="152"/>
      <c r="S8" s="152"/>
      <c r="T8" s="152"/>
      <c r="U8" s="152"/>
      <c r="V8" s="152"/>
      <c r="W8" s="152"/>
      <c r="X8" s="152"/>
      <c r="Y8" s="152"/>
      <c r="Z8" s="152"/>
    </row>
    <row r="9" spans="1:26" ht="30.75" customHeight="1" thickBot="1">
      <c r="A9" s="1915" t="str">
        <f>+'Income-2020-leva'!A9</f>
        <v>Непопълнен ред в таблица 'Cash-deficit'!</v>
      </c>
      <c r="B9" s="2590"/>
      <c r="C9" s="658"/>
      <c r="D9" s="725" t="s">
        <v>1086</v>
      </c>
      <c r="E9" s="770" t="s">
        <v>1148</v>
      </c>
      <c r="F9" s="658"/>
      <c r="G9" s="725" t="str">
        <f>+D9</f>
        <v xml:space="preserve">Текуща година           </v>
      </c>
      <c r="H9" s="771" t="str">
        <f>+E9</f>
        <v xml:space="preserve">Предходна година                          (31 декември) </v>
      </c>
      <c r="I9" s="658"/>
      <c r="J9" s="725" t="str">
        <f>+G9</f>
        <v xml:space="preserve">Текуща година           </v>
      </c>
      <c r="K9" s="771" t="str">
        <f>+H9</f>
        <v xml:space="preserve">Предходна година                          (31 декември) </v>
      </c>
      <c r="L9" s="658"/>
      <c r="M9" s="725" t="str">
        <f>+J9</f>
        <v xml:space="preserve">Текуща година           </v>
      </c>
      <c r="N9" s="771" t="str">
        <f>+K9</f>
        <v xml:space="preserve">Предходна година                          (31 декември) </v>
      </c>
      <c r="O9" s="152"/>
      <c r="P9" s="152"/>
      <c r="Q9" s="152"/>
      <c r="R9" s="152"/>
      <c r="S9" s="152"/>
      <c r="T9" s="152"/>
      <c r="U9" s="152"/>
      <c r="V9" s="152"/>
      <c r="W9" s="152"/>
      <c r="X9" s="152"/>
      <c r="Y9" s="152"/>
      <c r="Z9" s="152"/>
    </row>
    <row r="10" spans="1:26" ht="15" customHeight="1" thickBot="1">
      <c r="A10" s="723" t="s">
        <v>150</v>
      </c>
      <c r="B10" s="724" t="s">
        <v>151</v>
      </c>
      <c r="C10" s="658"/>
      <c r="D10" s="727">
        <v>1</v>
      </c>
      <c r="E10" s="728">
        <f>1+D10</f>
        <v>2</v>
      </c>
      <c r="F10" s="658"/>
      <c r="G10" s="727">
        <f>1+E10</f>
        <v>3</v>
      </c>
      <c r="H10" s="728">
        <f>1+G10</f>
        <v>4</v>
      </c>
      <c r="I10" s="658"/>
      <c r="J10" s="727">
        <f>1+H10</f>
        <v>5</v>
      </c>
      <c r="K10" s="728">
        <f>1+J10</f>
        <v>6</v>
      </c>
      <c r="L10" s="658"/>
      <c r="M10" s="727">
        <f>1+K10</f>
        <v>7</v>
      </c>
      <c r="N10" s="728">
        <f>1+M10</f>
        <v>8</v>
      </c>
      <c r="O10" s="152"/>
      <c r="P10" s="152"/>
      <c r="Q10" s="152"/>
      <c r="R10" s="152"/>
      <c r="S10" s="152"/>
      <c r="T10" s="152"/>
      <c r="U10" s="152"/>
      <c r="V10" s="152"/>
      <c r="W10" s="152"/>
      <c r="X10" s="152"/>
      <c r="Y10" s="152"/>
      <c r="Z10" s="152"/>
    </row>
    <row r="11" spans="1:26" ht="15.75">
      <c r="A11" s="170" t="s">
        <v>1017</v>
      </c>
      <c r="B11" s="171"/>
      <c r="C11" s="817"/>
      <c r="D11" s="709"/>
      <c r="E11" s="707"/>
      <c r="F11" s="817"/>
      <c r="G11" s="709"/>
      <c r="H11" s="707"/>
      <c r="I11" s="817"/>
      <c r="J11" s="709"/>
      <c r="K11" s="707"/>
      <c r="L11" s="817"/>
      <c r="M11" s="709"/>
      <c r="N11" s="707"/>
      <c r="O11" s="152"/>
      <c r="P11" s="152"/>
      <c r="Q11" s="152"/>
      <c r="R11" s="152"/>
      <c r="S11" s="152"/>
      <c r="T11" s="152"/>
      <c r="U11" s="152"/>
      <c r="V11" s="152"/>
      <c r="W11" s="152"/>
      <c r="X11" s="152"/>
      <c r="Y11" s="152"/>
      <c r="Z11" s="152"/>
    </row>
    <row r="12" spans="1:26" ht="15.75">
      <c r="A12" s="172" t="s">
        <v>1018</v>
      </c>
      <c r="B12" s="173"/>
      <c r="C12" s="658"/>
      <c r="D12" s="772"/>
      <c r="E12" s="773"/>
      <c r="F12" s="658"/>
      <c r="G12" s="772"/>
      <c r="H12" s="773"/>
      <c r="I12" s="658"/>
      <c r="J12" s="772"/>
      <c r="K12" s="773"/>
      <c r="L12" s="658"/>
      <c r="M12" s="772"/>
      <c r="N12" s="773"/>
      <c r="O12" s="152"/>
      <c r="P12" s="152"/>
      <c r="Q12" s="152"/>
      <c r="R12" s="152"/>
      <c r="S12" s="152"/>
      <c r="T12" s="152"/>
      <c r="U12" s="152"/>
      <c r="V12" s="152"/>
      <c r="W12" s="152"/>
      <c r="X12" s="152"/>
      <c r="Y12" s="152"/>
      <c r="Z12" s="152"/>
    </row>
    <row r="13" spans="1:26" ht="15.75">
      <c r="A13" s="687" t="s">
        <v>1994</v>
      </c>
      <c r="B13" s="335">
        <v>711</v>
      </c>
      <c r="C13" s="658"/>
      <c r="D13" s="774">
        <f>+'Income-2020-leva'!D13/1000+IF(+Rounding!$C$131=$B13,+Rounding!D$131,0)+IF(+Rounding!$C$132=$B13,+Rounding!D$132,0)+IF(+Rounding!$C$133=$B13,+Rounding!D$133,0)</f>
        <v>0</v>
      </c>
      <c r="E13" s="775">
        <f>+'Income-2020-leva'!E13/1000+IF(+Rounding!$C$131=$B13,+Rounding!E$131,0)+IF(+Rounding!$C$132=$B13,+Rounding!E$132,0)+IF(+Rounding!$C$133=$B13,+Rounding!E$133,0)</f>
        <v>0</v>
      </c>
      <c r="F13" s="658"/>
      <c r="G13" s="774">
        <f>+'Income-2020-leva'!G13/1000+IF(+Rounding!$G$131=$B13,+Rounding!H$131,0)+IF(+Rounding!$G$132=$B13,+Rounding!H$132,0)+IF(+Rounding!$G$133=$B13,+Rounding!H$133,0)</f>
        <v>0</v>
      </c>
      <c r="H13" s="775">
        <f>+'Income-2020-leva'!H13/1000+IF(+Rounding!$G$131=$B13,+Rounding!I$131,0)+IF(+Rounding!$G$132=$B13,+Rounding!I$132,0)+IF(+Rounding!$G$133=$B13,+Rounding!I$133,0)</f>
        <v>0</v>
      </c>
      <c r="I13" s="658"/>
      <c r="J13" s="774">
        <f>+'Income-2020-leva'!J13/1000+IF(+Rounding!$K$131=$B13,+Rounding!L$131,0)+IF(+Rounding!$K$132=$B13,+Rounding!L$132,0)+IF(+Rounding!$K$133=$B13,+Rounding!L$133,0)</f>
        <v>0</v>
      </c>
      <c r="K13" s="775">
        <f>+'Income-2020-leva'!K13/1000+IF(+Rounding!$K$131=$B13,+Rounding!M$131,0)+IF(+Rounding!$K$132=$B13,+Rounding!M$132,0)+IF(+Rounding!$K$133=$B13,+Rounding!M$133,0)</f>
        <v>0</v>
      </c>
      <c r="L13" s="658"/>
      <c r="M13" s="774">
        <f>++D13+G13+J13+IF(+Rounding!$O$131=$B13,+Rounding!P$131,0)+IF(+Rounding!$O$132=$B13,+Rounding!P$132,0)+IF(+Rounding!$O$133=$B13,+Rounding!P$133,0)</f>
        <v>0</v>
      </c>
      <c r="N13" s="775">
        <f>++E13+H13+K13+IF(+Rounding!$O$131=$B13,+Rounding!Q$131,0)+IF(+Rounding!$O$132=$B13,+Rounding!Q$132,0)+IF(+Rounding!$O$133=$B13,+Rounding!Q$133,0)</f>
        <v>0</v>
      </c>
      <c r="O13" s="152"/>
      <c r="P13" s="152"/>
      <c r="Q13" s="152"/>
      <c r="R13" s="152"/>
      <c r="S13" s="152"/>
      <c r="T13" s="152"/>
      <c r="U13" s="152"/>
      <c r="V13" s="152"/>
      <c r="W13" s="152"/>
      <c r="X13" s="152"/>
      <c r="Y13" s="152"/>
      <c r="Z13" s="152"/>
    </row>
    <row r="14" spans="1:26" ht="15.75">
      <c r="A14" s="687" t="s">
        <v>2145</v>
      </c>
      <c r="B14" s="335">
        <f>1+B13</f>
        <v>712</v>
      </c>
      <c r="C14" s="658"/>
      <c r="D14" s="774">
        <f>+'Income-2020-leva'!D14/1000+IF(+Rounding!$C$131=$B14,+Rounding!D$131,0)+IF(+Rounding!$C$132=$B14,+Rounding!D$132,0)+IF(+Rounding!$C$133=$B14,+Rounding!D$133,0)</f>
        <v>0</v>
      </c>
      <c r="E14" s="775">
        <f>+'Income-2020-leva'!E14/1000+IF(+Rounding!$C$131=$B14,+Rounding!E$131,0)+IF(+Rounding!$C$132=$B14,+Rounding!E$132,0)+IF(+Rounding!$C$133=$B14,+Rounding!E$133,0)</f>
        <v>0</v>
      </c>
      <c r="F14" s="658"/>
      <c r="G14" s="774">
        <f>+'Income-2020-leva'!G14/1000+IF(+Rounding!$G$131=$B14,+Rounding!H$131,0)+IF(+Rounding!$G$132=$B14,+Rounding!H$132,0)+IF(+Rounding!$G$133=$B14,+Rounding!H$133,0)</f>
        <v>0</v>
      </c>
      <c r="H14" s="775">
        <f>+'Income-2020-leva'!H14/1000+IF(+Rounding!$G$131=$B14,+Rounding!I$131,0)+IF(+Rounding!$G$132=$B14,+Rounding!I$132,0)+IF(+Rounding!$G$133=$B14,+Rounding!I$133,0)</f>
        <v>0</v>
      </c>
      <c r="I14" s="658"/>
      <c r="J14" s="774">
        <f>+'Income-2020-leva'!J14/1000+IF(+Rounding!$K$131=$B14,+Rounding!L$131,0)+IF(+Rounding!$K$132=$B14,+Rounding!L$132,0)+IF(+Rounding!$K$133=$B14,+Rounding!L$133,0)</f>
        <v>0</v>
      </c>
      <c r="K14" s="775">
        <f>+'Income-2020-leva'!K14/1000+IF(+Rounding!$K$131=$B14,+Rounding!M$131,0)+IF(+Rounding!$K$132=$B14,+Rounding!M$132,0)+IF(+Rounding!$K$133=$B14,+Rounding!M$133,0)</f>
        <v>0</v>
      </c>
      <c r="L14" s="658"/>
      <c r="M14" s="774">
        <f>++D14+G14+J14+IF(+Rounding!$O$131=$B14,+Rounding!P$131,0)+IF(+Rounding!$O$132=$B14,+Rounding!P$132,0)+IF(+Rounding!$O$133=$B14,+Rounding!P$133,0)</f>
        <v>0</v>
      </c>
      <c r="N14" s="775">
        <f>++E14+H14+K14+IF(+Rounding!$O$131=$B14,+Rounding!Q$131,0)+IF(+Rounding!$O$132=$B14,+Rounding!Q$132,0)+IF(+Rounding!$O$133=$B14,+Rounding!Q$133,0)</f>
        <v>0</v>
      </c>
      <c r="O14" s="152"/>
      <c r="P14" s="152"/>
      <c r="Q14" s="152"/>
      <c r="R14" s="152"/>
      <c r="S14" s="152"/>
      <c r="T14" s="152"/>
      <c r="U14" s="152"/>
      <c r="V14" s="152"/>
      <c r="W14" s="152"/>
      <c r="X14" s="152"/>
      <c r="Y14" s="152"/>
      <c r="Z14" s="152"/>
    </row>
    <row r="15" spans="1:26" ht="15.75">
      <c r="A15" s="687" t="s">
        <v>1108</v>
      </c>
      <c r="B15" s="335">
        <f t="shared" ref="B15:B21" si="0">1+B14</f>
        <v>713</v>
      </c>
      <c r="C15" s="658"/>
      <c r="D15" s="774">
        <f>+'Income-2020-leva'!D15/1000+IF(+Rounding!$C$131=$B15,+Rounding!D$131,0)+IF(+Rounding!$C$132=$B15,+Rounding!D$132,0)+IF(+Rounding!$C$133=$B15,+Rounding!D$133,0)</f>
        <v>0</v>
      </c>
      <c r="E15" s="775">
        <f>+'Income-2020-leva'!E15/1000+IF(+Rounding!$C$131=$B15,+Rounding!E$131,0)+IF(+Rounding!$C$132=$B15,+Rounding!E$132,0)+IF(+Rounding!$C$133=$B15,+Rounding!E$133,0)</f>
        <v>0</v>
      </c>
      <c r="F15" s="658"/>
      <c r="G15" s="774">
        <f>+'Income-2020-leva'!G15/1000+IF(+Rounding!$G$131=$B15,+Rounding!H$131,0)+IF(+Rounding!$G$132=$B15,+Rounding!H$132,0)+IF(+Rounding!$G$133=$B15,+Rounding!H$133,0)</f>
        <v>0</v>
      </c>
      <c r="H15" s="775">
        <f>+'Income-2020-leva'!H15/1000+IF(+Rounding!$G$131=$B15,+Rounding!I$131,0)+IF(+Rounding!$G$132=$B15,+Rounding!I$132,0)+IF(+Rounding!$G$133=$B15,+Rounding!I$133,0)</f>
        <v>0</v>
      </c>
      <c r="I15" s="658"/>
      <c r="J15" s="774">
        <f>+'Income-2020-leva'!J15/1000+IF(+Rounding!$K$131=$B15,+Rounding!L$131,0)+IF(+Rounding!$K$132=$B15,+Rounding!L$132,0)+IF(+Rounding!$K$133=$B15,+Rounding!L$133,0)</f>
        <v>0</v>
      </c>
      <c r="K15" s="775">
        <f>+'Income-2020-leva'!K15/1000+IF(+Rounding!$K$131=$B15,+Rounding!M$131,0)+IF(+Rounding!$K$132=$B15,+Rounding!M$132,0)+IF(+Rounding!$K$133=$B15,+Rounding!M$133,0)</f>
        <v>0</v>
      </c>
      <c r="L15" s="658"/>
      <c r="M15" s="774">
        <f>++D15+G15+J15+IF(+Rounding!$O$131=$B15,+Rounding!P$131,0)+IF(+Rounding!$O$132=$B15,+Rounding!P$132,0)+IF(+Rounding!$O$133=$B15,+Rounding!P$133,0)</f>
        <v>0</v>
      </c>
      <c r="N15" s="775">
        <f>++E15+H15+K15+IF(+Rounding!$O$131=$B15,+Rounding!Q$131,0)+IF(+Rounding!$O$132=$B15,+Rounding!Q$132,0)+IF(+Rounding!$O$133=$B15,+Rounding!Q$133,0)</f>
        <v>0</v>
      </c>
      <c r="O15" s="152"/>
      <c r="P15" s="152"/>
      <c r="Q15" s="152"/>
      <c r="R15" s="152"/>
      <c r="S15" s="152"/>
      <c r="T15" s="152"/>
      <c r="U15" s="152"/>
      <c r="V15" s="152"/>
      <c r="W15" s="152"/>
      <c r="X15" s="152"/>
      <c r="Y15" s="152"/>
      <c r="Z15" s="152"/>
    </row>
    <row r="16" spans="1:26" ht="15.75">
      <c r="A16" s="334" t="s">
        <v>1059</v>
      </c>
      <c r="B16" s="335">
        <f t="shared" si="0"/>
        <v>714</v>
      </c>
      <c r="C16" s="658"/>
      <c r="D16" s="774">
        <f>+'Income-2020-leva'!D16/1000+IF(+Rounding!$C$131=$B16,+Rounding!D$131,0)+IF(+Rounding!$C$132=$B16,+Rounding!D$132,0)+IF(+Rounding!$C$133=$B16,+Rounding!D$133,0)</f>
        <v>0</v>
      </c>
      <c r="E16" s="775">
        <f>+'Income-2020-leva'!E16/1000+IF(+Rounding!$C$131=$B16,+Rounding!E$131,0)+IF(+Rounding!$C$132=$B16,+Rounding!E$132,0)+IF(+Rounding!$C$133=$B16,+Rounding!E$133,0)</f>
        <v>0</v>
      </c>
      <c r="F16" s="658"/>
      <c r="G16" s="774">
        <f>+'Income-2020-leva'!G16/1000+IF(+Rounding!$G$131=$B16,+Rounding!H$131,0)+IF(+Rounding!$G$132=$B16,+Rounding!H$132,0)+IF(+Rounding!$G$133=$B16,+Rounding!H$133,0)</f>
        <v>0</v>
      </c>
      <c r="H16" s="775">
        <f>+'Income-2020-leva'!H16/1000+IF(+Rounding!$G$131=$B16,+Rounding!I$131,0)+IF(+Rounding!$G$132=$B16,+Rounding!I$132,0)+IF(+Rounding!$G$133=$B16,+Rounding!I$133,0)</f>
        <v>0</v>
      </c>
      <c r="I16" s="658"/>
      <c r="J16" s="774">
        <f>+'Income-2020-leva'!J16/1000+IF(+Rounding!$K$131=$B16,+Rounding!L$131,0)+IF(+Rounding!$K$132=$B16,+Rounding!L$132,0)+IF(+Rounding!$K$133=$B16,+Rounding!L$133,0)</f>
        <v>0</v>
      </c>
      <c r="K16" s="775">
        <f>+'Income-2020-leva'!K16/1000+IF(+Rounding!$K$131=$B16,+Rounding!M$131,0)+IF(+Rounding!$K$132=$B16,+Rounding!M$132,0)+IF(+Rounding!$K$133=$B16,+Rounding!M$133,0)</f>
        <v>0</v>
      </c>
      <c r="L16" s="658"/>
      <c r="M16" s="774">
        <f>++D16+G16+J16+IF(+Rounding!$O$131=$B16,+Rounding!P$131,0)+IF(+Rounding!$O$132=$B16,+Rounding!P$132,0)+IF(+Rounding!$O$133=$B16,+Rounding!P$133,0)</f>
        <v>0</v>
      </c>
      <c r="N16" s="775">
        <f>++E16+H16+K16+IF(+Rounding!$O$131=$B16,+Rounding!Q$131,0)+IF(+Rounding!$O$132=$B16,+Rounding!Q$132,0)+IF(+Rounding!$O$133=$B16,+Rounding!Q$133,0)</f>
        <v>0</v>
      </c>
      <c r="O16" s="152"/>
      <c r="P16" s="152"/>
      <c r="Q16" s="152"/>
      <c r="R16" s="152"/>
      <c r="S16" s="152"/>
      <c r="T16" s="152"/>
      <c r="U16" s="152"/>
      <c r="V16" s="152"/>
      <c r="W16" s="152"/>
      <c r="X16" s="152"/>
      <c r="Y16" s="152"/>
      <c r="Z16" s="152"/>
    </row>
    <row r="17" spans="1:26" ht="15.75">
      <c r="A17" s="334" t="s">
        <v>1020</v>
      </c>
      <c r="B17" s="335">
        <f t="shared" si="0"/>
        <v>715</v>
      </c>
      <c r="C17" s="658"/>
      <c r="D17" s="774">
        <f>+'Income-2020-leva'!D17/1000+IF(+Rounding!$C$131=$B17,+Rounding!D$131,0)+IF(+Rounding!$C$132=$B17,+Rounding!D$132,0)+IF(+Rounding!$C$133=$B17,+Rounding!D$133,0)</f>
        <v>0</v>
      </c>
      <c r="E17" s="775">
        <f>+'Income-2020-leva'!E17/1000+IF(+Rounding!$C$131=$B17,+Rounding!E$131,0)+IF(+Rounding!$C$132=$B17,+Rounding!E$132,0)+IF(+Rounding!$C$133=$B17,+Rounding!E$133,0)</f>
        <v>0</v>
      </c>
      <c r="F17" s="658"/>
      <c r="G17" s="774">
        <f>+'Income-2020-leva'!G17/1000+IF(+Rounding!$G$131=$B17,+Rounding!H$131,0)+IF(+Rounding!$G$132=$B17,+Rounding!H$132,0)+IF(+Rounding!$G$133=$B17,+Rounding!H$133,0)</f>
        <v>0</v>
      </c>
      <c r="H17" s="775">
        <f>+'Income-2020-leva'!H17/1000+IF(+Rounding!$G$131=$B17,+Rounding!I$131,0)+IF(+Rounding!$G$132=$B17,+Rounding!I$132,0)+IF(+Rounding!$G$133=$B17,+Rounding!I$133,0)</f>
        <v>0</v>
      </c>
      <c r="I17" s="658"/>
      <c r="J17" s="774">
        <f>+'Income-2020-leva'!J17/1000+IF(+Rounding!$K$131=$B17,+Rounding!L$131,0)+IF(+Rounding!$K$132=$B17,+Rounding!L$132,0)+IF(+Rounding!$K$133=$B17,+Rounding!L$133,0)</f>
        <v>0</v>
      </c>
      <c r="K17" s="775">
        <f>+'Income-2020-leva'!K17/1000+IF(+Rounding!$K$131=$B17,+Rounding!M$131,0)+IF(+Rounding!$K$132=$B17,+Rounding!M$132,0)+IF(+Rounding!$K$133=$B17,+Rounding!M$133,0)</f>
        <v>0</v>
      </c>
      <c r="L17" s="658"/>
      <c r="M17" s="774">
        <f>++D17+G17+J17+IF(+Rounding!$O$131=$B17,+Rounding!P$131,0)+IF(+Rounding!$O$132=$B17,+Rounding!P$132,0)+IF(+Rounding!$O$133=$B17,+Rounding!P$133,0)</f>
        <v>0</v>
      </c>
      <c r="N17" s="775">
        <f>++E17+H17+K17+IF(+Rounding!$O$131=$B17,+Rounding!Q$131,0)+IF(+Rounding!$O$132=$B17,+Rounding!Q$132,0)+IF(+Rounding!$O$133=$B17,+Rounding!Q$133,0)</f>
        <v>0</v>
      </c>
      <c r="O17" s="152"/>
      <c r="P17" s="152"/>
      <c r="Q17" s="152"/>
      <c r="R17" s="152"/>
      <c r="S17" s="152"/>
      <c r="T17" s="152"/>
      <c r="U17" s="152"/>
      <c r="V17" s="152"/>
      <c r="W17" s="152"/>
      <c r="X17" s="152"/>
      <c r="Y17" s="152"/>
      <c r="Z17" s="152"/>
    </row>
    <row r="18" spans="1:26" ht="15.75">
      <c r="A18" s="334" t="s">
        <v>1019</v>
      </c>
      <c r="B18" s="335">
        <f t="shared" si="0"/>
        <v>716</v>
      </c>
      <c r="C18" s="658"/>
      <c r="D18" s="774">
        <f>+'Income-2020-leva'!D18/1000+IF(+Rounding!$C$131=$B18,+Rounding!D$131,0)+IF(+Rounding!$C$132=$B18,+Rounding!D$132,0)+IF(+Rounding!$C$133=$B18,+Rounding!D$133,0)</f>
        <v>0</v>
      </c>
      <c r="E18" s="775">
        <f>+'Income-2020-leva'!E18/1000+IF(+Rounding!$C$131=$B18,+Rounding!E$131,0)+IF(+Rounding!$C$132=$B18,+Rounding!E$132,0)+IF(+Rounding!$C$133=$B18,+Rounding!E$133,0)</f>
        <v>0</v>
      </c>
      <c r="F18" s="658"/>
      <c r="G18" s="774">
        <f>+'Income-2020-leva'!G18/1000+IF(+Rounding!$G$131=$B18,+Rounding!H$131,0)+IF(+Rounding!$G$132=$B18,+Rounding!H$132,0)+IF(+Rounding!$G$133=$B18,+Rounding!H$133,0)</f>
        <v>0</v>
      </c>
      <c r="H18" s="775">
        <f>+'Income-2020-leva'!H18/1000+IF(+Rounding!$G$131=$B18,+Rounding!I$131,0)+IF(+Rounding!$G$132=$B18,+Rounding!I$132,0)+IF(+Rounding!$G$133=$B18,+Rounding!I$133,0)</f>
        <v>0</v>
      </c>
      <c r="I18" s="658"/>
      <c r="J18" s="774">
        <f>+'Income-2020-leva'!J18/1000+IF(+Rounding!$K$131=$B18,+Rounding!L$131,0)+IF(+Rounding!$K$132=$B18,+Rounding!L$132,0)+IF(+Rounding!$K$133=$B18,+Rounding!L$133,0)</f>
        <v>0</v>
      </c>
      <c r="K18" s="775">
        <f>+'Income-2020-leva'!K18/1000+IF(+Rounding!$K$131=$B18,+Rounding!M$131,0)+IF(+Rounding!$K$132=$B18,+Rounding!M$132,0)+IF(+Rounding!$K$133=$B18,+Rounding!M$133,0)</f>
        <v>0</v>
      </c>
      <c r="L18" s="658"/>
      <c r="M18" s="774">
        <f>++D18+G18+J18+IF(+Rounding!$O$131=$B18,+Rounding!P$131,0)+IF(+Rounding!$O$132=$B18,+Rounding!P$132,0)+IF(+Rounding!$O$133=$B18,+Rounding!P$133,0)</f>
        <v>0</v>
      </c>
      <c r="N18" s="775">
        <f>++E18+H18+K18+IF(+Rounding!$O$131=$B18,+Rounding!Q$131,0)+IF(+Rounding!$O$132=$B18,+Rounding!Q$132,0)+IF(+Rounding!$O$133=$B18,+Rounding!Q$133,0)</f>
        <v>0</v>
      </c>
      <c r="O18" s="152"/>
      <c r="P18" s="152"/>
      <c r="Q18" s="152"/>
      <c r="R18" s="152"/>
      <c r="S18" s="152"/>
      <c r="T18" s="152"/>
      <c r="U18" s="152"/>
      <c r="V18" s="152"/>
      <c r="W18" s="152"/>
      <c r="X18" s="152"/>
      <c r="Y18" s="152"/>
      <c r="Z18" s="152"/>
    </row>
    <row r="19" spans="1:26" ht="15.75">
      <c r="A19" s="334" t="s">
        <v>1021</v>
      </c>
      <c r="B19" s="335">
        <f t="shared" si="0"/>
        <v>717</v>
      </c>
      <c r="C19" s="658"/>
      <c r="D19" s="774">
        <f>+'Income-2020-leva'!D19/1000+IF(+Rounding!$C$131=$B19,+Rounding!D$131,0)+IF(+Rounding!$C$132=$B19,+Rounding!D$132,0)+IF(+Rounding!$C$133=$B19,+Rounding!D$133,0)</f>
        <v>0</v>
      </c>
      <c r="E19" s="775">
        <f>+'Income-2020-leva'!E19/1000+IF(+Rounding!$C$131=$B19,+Rounding!E$131,0)+IF(+Rounding!$C$132=$B19,+Rounding!E$132,0)+IF(+Rounding!$C$133=$B19,+Rounding!E$133,0)</f>
        <v>0</v>
      </c>
      <c r="F19" s="658"/>
      <c r="G19" s="774">
        <f>+'Income-2020-leva'!G19/1000+IF(+Rounding!$G$131=$B19,+Rounding!H$131,0)+IF(+Rounding!$G$132=$B19,+Rounding!H$132,0)+IF(+Rounding!$G$133=$B19,+Rounding!H$133,0)</f>
        <v>0</v>
      </c>
      <c r="H19" s="775">
        <f>+'Income-2020-leva'!H19/1000+IF(+Rounding!$G$131=$B19,+Rounding!I$131,0)+IF(+Rounding!$G$132=$B19,+Rounding!I$132,0)+IF(+Rounding!$G$133=$B19,+Rounding!I$133,0)</f>
        <v>0</v>
      </c>
      <c r="I19" s="658"/>
      <c r="J19" s="774">
        <f>+'Income-2020-leva'!J19/1000+IF(+Rounding!$K$131=$B19,+Rounding!L$131,0)+IF(+Rounding!$K$132=$B19,+Rounding!L$132,0)+IF(+Rounding!$K$133=$B19,+Rounding!L$133,0)</f>
        <v>0</v>
      </c>
      <c r="K19" s="775">
        <f>+'Income-2020-leva'!K19/1000+IF(+Rounding!$K$131=$B19,+Rounding!M$131,0)+IF(+Rounding!$K$132=$B19,+Rounding!M$132,0)+IF(+Rounding!$K$133=$B19,+Rounding!M$133,0)</f>
        <v>0</v>
      </c>
      <c r="L19" s="658"/>
      <c r="M19" s="774">
        <f>++D19+G19+J19+IF(+Rounding!$O$131=$B19,+Rounding!P$131,0)+IF(+Rounding!$O$132=$B19,+Rounding!P$132,0)+IF(+Rounding!$O$133=$B19,+Rounding!P$133,0)</f>
        <v>0</v>
      </c>
      <c r="N19" s="775">
        <f>++E19+H19+K19+IF(+Rounding!$O$131=$B19,+Rounding!Q$131,0)+IF(+Rounding!$O$132=$B19,+Rounding!Q$132,0)+IF(+Rounding!$O$133=$B19,+Rounding!Q$133,0)</f>
        <v>0</v>
      </c>
      <c r="O19" s="152"/>
      <c r="P19" s="152"/>
      <c r="Q19" s="152"/>
      <c r="R19" s="152"/>
      <c r="S19" s="152"/>
      <c r="T19" s="152"/>
      <c r="U19" s="152"/>
      <c r="V19" s="152"/>
      <c r="W19" s="152"/>
      <c r="X19" s="152"/>
      <c r="Y19" s="152"/>
      <c r="Z19" s="152"/>
    </row>
    <row r="20" spans="1:26" ht="15.75">
      <c r="A20" s="334" t="s">
        <v>1022</v>
      </c>
      <c r="B20" s="335">
        <f t="shared" si="0"/>
        <v>718</v>
      </c>
      <c r="C20" s="658"/>
      <c r="D20" s="774">
        <f>+'Income-2020-leva'!D20/1000+IF(+Rounding!$C$131=$B20,+Rounding!D$131,0)+IF(+Rounding!$C$132=$B20,+Rounding!D$132,0)+IF(+Rounding!$C$133=$B20,+Rounding!D$133,0)</f>
        <v>0</v>
      </c>
      <c r="E20" s="775">
        <f>+'Income-2020-leva'!E20/1000+IF(+Rounding!$C$131=$B20,+Rounding!E$131,0)+IF(+Rounding!$C$132=$B20,+Rounding!E$132,0)+IF(+Rounding!$C$133=$B20,+Rounding!E$133,0)</f>
        <v>0</v>
      </c>
      <c r="F20" s="658"/>
      <c r="G20" s="774">
        <f>+'Income-2020-leva'!G20/1000+IF(+Rounding!$G$131=$B20,+Rounding!H$131,0)+IF(+Rounding!$G$132=$B20,+Rounding!H$132,0)+IF(+Rounding!$G$133=$B20,+Rounding!H$133,0)</f>
        <v>0</v>
      </c>
      <c r="H20" s="775">
        <f>+'Income-2020-leva'!H20/1000+IF(+Rounding!$G$131=$B20,+Rounding!I$131,0)+IF(+Rounding!$G$132=$B20,+Rounding!I$132,0)+IF(+Rounding!$G$133=$B20,+Rounding!I$133,0)</f>
        <v>0</v>
      </c>
      <c r="I20" s="658"/>
      <c r="J20" s="774">
        <f>+'Income-2020-leva'!J20/1000+IF(+Rounding!$K$131=$B20,+Rounding!L$131,0)+IF(+Rounding!$K$132=$B20,+Rounding!L$132,0)+IF(+Rounding!$K$133=$B20,+Rounding!L$133,0)</f>
        <v>0</v>
      </c>
      <c r="K20" s="775">
        <f>+'Income-2020-leva'!K20/1000+IF(+Rounding!$K$131=$B20,+Rounding!M$131,0)+IF(+Rounding!$K$132=$B20,+Rounding!M$132,0)+IF(+Rounding!$K$133=$B20,+Rounding!M$133,0)</f>
        <v>0</v>
      </c>
      <c r="L20" s="658"/>
      <c r="M20" s="774">
        <f>++D20+G20+J20+IF(+Rounding!$O$131=$B20,+Rounding!P$131,0)+IF(+Rounding!$O$132=$B20,+Rounding!P$132,0)+IF(+Rounding!$O$133=$B20,+Rounding!P$133,0)</f>
        <v>0</v>
      </c>
      <c r="N20" s="775">
        <f>++E20+H20+K20+IF(+Rounding!$O$131=$B20,+Rounding!Q$131,0)+IF(+Rounding!$O$132=$B20,+Rounding!Q$132,0)+IF(+Rounding!$O$133=$B20,+Rounding!Q$133,0)</f>
        <v>0</v>
      </c>
      <c r="O20" s="152"/>
      <c r="P20" s="152"/>
      <c r="Q20" s="152"/>
      <c r="R20" s="152"/>
      <c r="S20" s="152"/>
      <c r="T20" s="152"/>
      <c r="U20" s="152"/>
      <c r="V20" s="152"/>
      <c r="W20" s="152"/>
      <c r="X20" s="152"/>
      <c r="Y20" s="152"/>
      <c r="Z20" s="152"/>
    </row>
    <row r="21" spans="1:26" ht="15.75">
      <c r="A21" s="336" t="s">
        <v>1023</v>
      </c>
      <c r="B21" s="337">
        <f t="shared" si="0"/>
        <v>719</v>
      </c>
      <c r="C21" s="658"/>
      <c r="D21" s="776">
        <f>+'Income-2020-leva'!D21/1000+IF(+Rounding!$C$131=$B21,+Rounding!D$131,0)+IF(+Rounding!$C$132=$B21,+Rounding!D$132,0)+IF(+Rounding!$C$133=$B21,+Rounding!D$133,0)</f>
        <v>0</v>
      </c>
      <c r="E21" s="777">
        <f>+'Income-2020-leva'!E21/1000+IF(+Rounding!$C$131=$B21,+Rounding!E$131,0)+IF(+Rounding!$C$132=$B21,+Rounding!E$132,0)+IF(+Rounding!$C$133=$B21,+Rounding!E$133,0)</f>
        <v>0</v>
      </c>
      <c r="F21" s="658"/>
      <c r="G21" s="776">
        <f>+'Income-2020-leva'!G21/1000+IF(+Rounding!$G$131=$B21,+Rounding!H$131,0)+IF(+Rounding!$G$132=$B21,+Rounding!H$132,0)+IF(+Rounding!$G$133=$B21,+Rounding!H$133,0)</f>
        <v>0</v>
      </c>
      <c r="H21" s="777">
        <f>+'Income-2020-leva'!H21/1000+IF(+Rounding!$G$131=$B21,+Rounding!I$131,0)+IF(+Rounding!$G$132=$B21,+Rounding!I$132,0)+IF(+Rounding!$G$133=$B21,+Rounding!I$133,0)</f>
        <v>0</v>
      </c>
      <c r="I21" s="658"/>
      <c r="J21" s="776">
        <f>+'Income-2020-leva'!J21/1000+IF(+Rounding!$K$131=$B21,+Rounding!L$131,0)+IF(+Rounding!$K$132=$B21,+Rounding!L$132,0)+IF(+Rounding!$K$133=$B21,+Rounding!L$133,0)</f>
        <v>0</v>
      </c>
      <c r="K21" s="777">
        <f>+'Income-2020-leva'!K21/1000+IF(+Rounding!$K$131=$B21,+Rounding!M$131,0)+IF(+Rounding!$K$132=$B21,+Rounding!M$132,0)+IF(+Rounding!$K$133=$B21,+Rounding!M$133,0)</f>
        <v>0</v>
      </c>
      <c r="L21" s="658"/>
      <c r="M21" s="776">
        <f>++D21+G21+J21+IF(+Rounding!$O$131=$B21,+Rounding!P$131,0)+IF(+Rounding!$O$132=$B21,+Rounding!P$132,0)+IF(+Rounding!$O$133=$B21,+Rounding!P$133,0)</f>
        <v>0</v>
      </c>
      <c r="N21" s="777">
        <f>++E21+H21+K21+IF(+Rounding!$O$131=$B21,+Rounding!Q$131,0)+IF(+Rounding!$O$132=$B21,+Rounding!Q$132,0)+IF(+Rounding!$O$133=$B21,+Rounding!Q$133,0)</f>
        <v>0</v>
      </c>
      <c r="O21" s="152"/>
      <c r="P21" s="152"/>
      <c r="Q21" s="152"/>
      <c r="R21" s="152"/>
      <c r="S21" s="152"/>
      <c r="T21" s="152"/>
      <c r="U21" s="152"/>
      <c r="V21" s="152"/>
      <c r="W21" s="152"/>
      <c r="X21" s="152"/>
      <c r="Y21" s="152"/>
      <c r="Z21" s="152"/>
    </row>
    <row r="22" spans="1:26" ht="15.75">
      <c r="A22" s="177" t="s">
        <v>1025</v>
      </c>
      <c r="B22" s="178">
        <v>710</v>
      </c>
      <c r="C22" s="658"/>
      <c r="D22" s="778">
        <f>+SUM(D13:D21)</f>
        <v>0</v>
      </c>
      <c r="E22" s="779">
        <f>+SUM(E13:E21)</f>
        <v>0</v>
      </c>
      <c r="F22" s="658"/>
      <c r="G22" s="778">
        <f>+SUM(G13:G21)</f>
        <v>0</v>
      </c>
      <c r="H22" s="779">
        <f>+SUM(H13:H21)</f>
        <v>0</v>
      </c>
      <c r="I22" s="658"/>
      <c r="J22" s="778">
        <f>+SUM(J13:J21)</f>
        <v>0</v>
      </c>
      <c r="K22" s="779">
        <f>+SUM(K13:K21)</f>
        <v>0</v>
      </c>
      <c r="L22" s="658"/>
      <c r="M22" s="778">
        <f>+SUM(M13:M21)</f>
        <v>0</v>
      </c>
      <c r="N22" s="779">
        <f>+SUM(N13:N21)</f>
        <v>0</v>
      </c>
      <c r="O22" s="152"/>
      <c r="P22" s="152"/>
      <c r="Q22" s="152"/>
      <c r="R22" s="152"/>
      <c r="S22" s="152"/>
      <c r="T22" s="152"/>
      <c r="U22" s="152"/>
      <c r="V22" s="152"/>
      <c r="W22" s="152"/>
      <c r="X22" s="152"/>
      <c r="Y22" s="152"/>
      <c r="Z22" s="152"/>
    </row>
    <row r="23" spans="1:26" ht="15.75">
      <c r="A23" s="172" t="s">
        <v>1058</v>
      </c>
      <c r="B23" s="173"/>
      <c r="C23" s="658"/>
      <c r="D23" s="780"/>
      <c r="E23" s="781"/>
      <c r="F23" s="658"/>
      <c r="G23" s="780"/>
      <c r="H23" s="781"/>
      <c r="I23" s="658"/>
      <c r="J23" s="780"/>
      <c r="K23" s="781"/>
      <c r="L23" s="658"/>
      <c r="M23" s="780"/>
      <c r="N23" s="781"/>
      <c r="O23" s="152"/>
      <c r="P23" s="152"/>
      <c r="Q23" s="152"/>
      <c r="R23" s="152"/>
      <c r="S23" s="152"/>
      <c r="T23" s="152"/>
      <c r="U23" s="152"/>
      <c r="V23" s="152"/>
      <c r="W23" s="152"/>
      <c r="X23" s="152"/>
      <c r="Y23" s="152"/>
      <c r="Z23" s="152"/>
    </row>
    <row r="24" spans="1:26" ht="15.75">
      <c r="A24" s="334" t="s">
        <v>1057</v>
      </c>
      <c r="B24" s="335">
        <v>721</v>
      </c>
      <c r="C24" s="658"/>
      <c r="D24" s="774">
        <f>+'Income-2020-leva'!D24/1000+IF(+Rounding!$C$131=$B24,+Rounding!D$131,0)+IF(+Rounding!$C$132=$B24,+Rounding!D$132,0)+IF(+Rounding!$C$133=$B24,+Rounding!D$133,0)</f>
        <v>0</v>
      </c>
      <c r="E24" s="775">
        <f>+'Income-2020-leva'!E24/1000+IF(+Rounding!$C$131=$B24,+Rounding!E$131,0)+IF(+Rounding!$C$132=$B24,+Rounding!E$132,0)+IF(+Rounding!$C$133=$B24,+Rounding!E$133,0)</f>
        <v>0</v>
      </c>
      <c r="F24" s="658"/>
      <c r="G24" s="774">
        <f>+'Income-2020-leva'!G24/1000+IF(+Rounding!$G$131=$B24,+Rounding!H$131,0)+IF(+Rounding!$G$132=$B24,+Rounding!H$132,0)+IF(+Rounding!$G$133=$B24,+Rounding!H$133,0)</f>
        <v>0</v>
      </c>
      <c r="H24" s="775">
        <f>+'Income-2020-leva'!H24/1000+IF(+Rounding!$G$131=$B24,+Rounding!I$131,0)+IF(+Rounding!$G$132=$B24,+Rounding!I$132,0)+IF(+Rounding!$G$133=$B24,+Rounding!I$133,0)</f>
        <v>0</v>
      </c>
      <c r="I24" s="658"/>
      <c r="J24" s="774">
        <f>+'Income-2020-leva'!J24/1000+IF(+Rounding!$K$131=$B24,+Rounding!L$131,0)+IF(+Rounding!$K$132=$B24,+Rounding!L$132,0)+IF(+Rounding!$K$133=$B24,+Rounding!L$133,0)</f>
        <v>0</v>
      </c>
      <c r="K24" s="775">
        <f>+'Income-2020-leva'!K24/1000+IF(+Rounding!$K$131=$B24,+Rounding!M$131,0)+IF(+Rounding!$K$132=$B24,+Rounding!M$132,0)+IF(+Rounding!$K$133=$B24,+Rounding!M$133,0)</f>
        <v>0</v>
      </c>
      <c r="L24" s="658"/>
      <c r="M24" s="774">
        <f>++D24+G24+J24+IF(+Rounding!$O$131=$B24,+Rounding!P$131,0)+IF(+Rounding!$O$132=$B24,+Rounding!P$132,0)+IF(+Rounding!$O$133=$B24,+Rounding!P$133,0)</f>
        <v>0</v>
      </c>
      <c r="N24" s="775">
        <f>++E24+H24+K24+IF(+Rounding!$O$131=$B24,+Rounding!Q$131,0)+IF(+Rounding!$O$132=$B24,+Rounding!Q$132,0)+IF(+Rounding!$O$133=$B24,+Rounding!Q$133,0)</f>
        <v>0</v>
      </c>
      <c r="O24" s="152"/>
      <c r="P24" s="152"/>
      <c r="Q24" s="1897" t="s">
        <v>1873</v>
      </c>
      <c r="R24" s="152"/>
      <c r="S24" s="152"/>
      <c r="T24" s="152"/>
      <c r="U24" s="152"/>
      <c r="V24" s="152"/>
      <c r="W24" s="152"/>
      <c r="X24" s="152"/>
      <c r="Y24" s="152"/>
      <c r="Z24" s="152"/>
    </row>
    <row r="25" spans="1:26" ht="15.75">
      <c r="A25" s="334" t="s">
        <v>1056</v>
      </c>
      <c r="B25" s="335">
        <f>1+B24</f>
        <v>722</v>
      </c>
      <c r="C25" s="658"/>
      <c r="D25" s="774">
        <f>+'Income-2020-leva'!D25/1000+IF(+Rounding!$C$131=$B25,+Rounding!D$131,0)+IF(+Rounding!$C$132=$B25,+Rounding!D$132,0)+IF(+Rounding!$C$133=$B25,+Rounding!D$133,0)</f>
        <v>0</v>
      </c>
      <c r="E25" s="775">
        <f>+'Income-2020-leva'!E25/1000+IF(+Rounding!$C$131=$B25,+Rounding!E$131,0)+IF(+Rounding!$C$132=$B25,+Rounding!E$132,0)+IF(+Rounding!$C$133=$B25,+Rounding!E$133,0)</f>
        <v>0</v>
      </c>
      <c r="F25" s="658"/>
      <c r="G25" s="774">
        <f>+'Income-2020-leva'!G25/1000+IF(+Rounding!$G$131=$B25,+Rounding!H$131,0)+IF(+Rounding!$G$132=$B25,+Rounding!H$132,0)+IF(+Rounding!$G$133=$B25,+Rounding!H$133,0)</f>
        <v>0</v>
      </c>
      <c r="H25" s="775">
        <f>+'Income-2020-leva'!H25/1000+IF(+Rounding!$G$131=$B25,+Rounding!I$131,0)+IF(+Rounding!$G$132=$B25,+Rounding!I$132,0)+IF(+Rounding!$G$133=$B25,+Rounding!I$133,0)</f>
        <v>0</v>
      </c>
      <c r="I25" s="658"/>
      <c r="J25" s="774">
        <f>+'Income-2020-leva'!J25/1000+IF(+Rounding!$K$131=$B25,+Rounding!L$131,0)+IF(+Rounding!$K$132=$B25,+Rounding!L$132,0)+IF(+Rounding!$K$133=$B25,+Rounding!L$133,0)</f>
        <v>0</v>
      </c>
      <c r="K25" s="775">
        <f>+'Income-2020-leva'!K25/1000+IF(+Rounding!$K$131=$B25,+Rounding!M$131,0)+IF(+Rounding!$K$132=$B25,+Rounding!M$132,0)+IF(+Rounding!$K$133=$B25,+Rounding!M$133,0)</f>
        <v>0</v>
      </c>
      <c r="L25" s="658"/>
      <c r="M25" s="774">
        <f>++D25+G25+J25+IF(+Rounding!$O$131=$B25,+Rounding!P$131,0)+IF(+Rounding!$O$132=$B25,+Rounding!P$132,0)+IF(+Rounding!$O$133=$B25,+Rounding!P$133,0)</f>
        <v>0</v>
      </c>
      <c r="N25" s="775">
        <f>++E25+H25+K25+IF(+Rounding!$O$131=$B25,+Rounding!Q$131,0)+IF(+Rounding!$O$132=$B25,+Rounding!Q$132,0)+IF(+Rounding!$O$133=$B25,+Rounding!Q$133,0)</f>
        <v>0</v>
      </c>
      <c r="O25" s="152"/>
      <c r="P25" s="1667" t="s">
        <v>1869</v>
      </c>
      <c r="Q25" s="1895" t="str">
        <f>+'Income-2020-leva'!Q25</f>
        <v>'Municipal-Bal'</v>
      </c>
      <c r="R25" s="152"/>
      <c r="S25" s="152"/>
      <c r="T25" s="152"/>
      <c r="U25" s="152"/>
      <c r="V25" s="152"/>
      <c r="W25" s="152"/>
      <c r="X25" s="152"/>
      <c r="Y25" s="152"/>
      <c r="Z25" s="152"/>
    </row>
    <row r="26" spans="1:26" ht="15.75">
      <c r="A26" s="336" t="s">
        <v>1139</v>
      </c>
      <c r="B26" s="337">
        <f>1+B25</f>
        <v>723</v>
      </c>
      <c r="C26" s="658"/>
      <c r="D26" s="776">
        <f>+'Income-2020-leva'!D26/1000+IF(+Rounding!$C$131=$B26,+Rounding!D$131,0)+IF(+Rounding!$C$132=$B26,+Rounding!D$132,0)+IF(+Rounding!$C$133=$B26,+Rounding!D$133,0)</f>
        <v>0</v>
      </c>
      <c r="E26" s="777">
        <f>+'Income-2020-leva'!E26/1000+IF(+Rounding!$C$131=$B26,+Rounding!E$131,0)+IF(+Rounding!$C$132=$B26,+Rounding!E$132,0)+IF(+Rounding!$C$133=$B26,+Rounding!E$133,0)</f>
        <v>0</v>
      </c>
      <c r="F26" s="658"/>
      <c r="G26" s="776">
        <f>+'Income-2020-leva'!G26/1000+IF(+Rounding!$G$131=$B26,+Rounding!H$131,0)+IF(+Rounding!$G$132=$B26,+Rounding!H$132,0)+IF(+Rounding!$G$133=$B26,+Rounding!H$133,0)</f>
        <v>0</v>
      </c>
      <c r="H26" s="777">
        <f>+'Income-2020-leva'!H26/1000+IF(+Rounding!$G$131=$B26,+Rounding!I$131,0)+IF(+Rounding!$G$132=$B26,+Rounding!I$132,0)+IF(+Rounding!$G$133=$B26,+Rounding!I$133,0)</f>
        <v>0</v>
      </c>
      <c r="I26" s="658"/>
      <c r="J26" s="776">
        <f>+'Income-2020-leva'!J26/1000+IF(+Rounding!$K$131=$B26,+Rounding!L$131,0)+IF(+Rounding!$K$132=$B26,+Rounding!L$132,0)+IF(+Rounding!$K$133=$B26,+Rounding!L$133,0)</f>
        <v>0</v>
      </c>
      <c r="K26" s="777">
        <f>+'Income-2020-leva'!K26/1000+IF(+Rounding!$K$131=$B26,+Rounding!M$131,0)+IF(+Rounding!$K$132=$B26,+Rounding!M$132,0)+IF(+Rounding!$K$133=$B26,+Rounding!M$133,0)</f>
        <v>0</v>
      </c>
      <c r="L26" s="658"/>
      <c r="M26" s="776">
        <f>++D26+G26+J26+IF(+Rounding!$O$131=$B26,+Rounding!P$131,0)+IF(+Rounding!$O$132=$B26,+Rounding!P$132,0)+IF(+Rounding!$O$133=$B26,+Rounding!P$133,0)</f>
        <v>0</v>
      </c>
      <c r="N26" s="777">
        <f>++E26+H26+K26+IF(+Rounding!$O$131=$B26,+Rounding!Q$131,0)+IF(+Rounding!$O$132=$B26,+Rounding!Q$132,0)+IF(+Rounding!$O$133=$B26,+Rounding!Q$133,0)</f>
        <v>0</v>
      </c>
      <c r="O26" s="152"/>
      <c r="P26" s="1664" t="s">
        <v>1297</v>
      </c>
      <c r="Q26" s="1665"/>
      <c r="R26" s="152"/>
      <c r="S26" s="152"/>
      <c r="T26" s="152"/>
      <c r="U26" s="152"/>
      <c r="V26" s="152"/>
      <c r="W26" s="152"/>
      <c r="X26" s="152"/>
      <c r="Y26" s="152"/>
      <c r="Z26" s="152"/>
    </row>
    <row r="27" spans="1:26" ht="15.75">
      <c r="A27" s="177" t="s">
        <v>1024</v>
      </c>
      <c r="B27" s="178">
        <v>720</v>
      </c>
      <c r="C27" s="658"/>
      <c r="D27" s="778">
        <f>+SUM(D24:D26)</f>
        <v>0</v>
      </c>
      <c r="E27" s="779">
        <f>+SUM(E24:E26)</f>
        <v>0</v>
      </c>
      <c r="F27" s="658"/>
      <c r="G27" s="778">
        <f>+SUM(G24:G26)</f>
        <v>0</v>
      </c>
      <c r="H27" s="779">
        <f>+SUM(H24:H26)</f>
        <v>0</v>
      </c>
      <c r="I27" s="658"/>
      <c r="J27" s="778">
        <f>+SUM(J24:J26)</f>
        <v>0</v>
      </c>
      <c r="K27" s="779">
        <f>+SUM(K24:K26)</f>
        <v>0</v>
      </c>
      <c r="L27" s="658"/>
      <c r="M27" s="778">
        <f>+SUM(M24:M26)</f>
        <v>0</v>
      </c>
      <c r="N27" s="779">
        <f>+SUM(N24:N26)</f>
        <v>0</v>
      </c>
      <c r="O27" s="152"/>
      <c r="P27" s="1898" t="s">
        <v>1295</v>
      </c>
      <c r="Q27" s="1899" t="s">
        <v>1296</v>
      </c>
      <c r="R27" s="152"/>
      <c r="S27" s="152"/>
      <c r="T27" s="152"/>
      <c r="U27" s="152"/>
      <c r="V27" s="152"/>
      <c r="W27" s="152"/>
      <c r="X27" s="152"/>
      <c r="Y27" s="152"/>
      <c r="Z27" s="152"/>
    </row>
    <row r="28" spans="1:26" ht="6" customHeight="1">
      <c r="A28" s="172"/>
      <c r="B28" s="173"/>
      <c r="C28" s="658"/>
      <c r="D28" s="780"/>
      <c r="E28" s="781"/>
      <c r="F28" s="658"/>
      <c r="G28" s="780"/>
      <c r="H28" s="781"/>
      <c r="I28" s="658"/>
      <c r="J28" s="780"/>
      <c r="K28" s="781"/>
      <c r="L28" s="658"/>
      <c r="M28" s="780"/>
      <c r="N28" s="781"/>
      <c r="O28" s="152"/>
      <c r="P28" s="1901"/>
      <c r="Q28" s="1901"/>
      <c r="R28" s="152"/>
      <c r="S28" s="152"/>
      <c r="T28" s="152"/>
      <c r="U28" s="152"/>
      <c r="V28" s="152"/>
      <c r="W28" s="152"/>
      <c r="X28" s="152"/>
      <c r="Y28" s="152"/>
      <c r="Z28" s="152"/>
    </row>
    <row r="29" spans="1:26" ht="15.75">
      <c r="A29" s="177" t="s">
        <v>1868</v>
      </c>
      <c r="B29" s="178">
        <v>730</v>
      </c>
      <c r="C29" s="658"/>
      <c r="D29" s="778">
        <f>+'Income-2020-leva'!D29/1000+IF(+Rounding!$C$131=$B29,+Rounding!D$131,0)+IF(+Rounding!$C$132=$B29,+Rounding!D$132,0)+IF(+Rounding!$C$133=$B29,+Rounding!D$133,0)</f>
        <v>0</v>
      </c>
      <c r="E29" s="779">
        <f>+'Income-2020-leva'!E29/1000+IF(+Rounding!$C$131=$B29,+Rounding!E$131,0)+IF(+Rounding!$C$132=$B29,+Rounding!E$132,0)+IF(+Rounding!$C$133=$B29,+Rounding!E$133,0)</f>
        <v>0</v>
      </c>
      <c r="F29" s="658"/>
      <c r="G29" s="778">
        <f>+'Income-2020-leva'!G29/1000+IF(+Rounding!$G$131=$B29,+Rounding!H$131,0)+IF(+Rounding!$G$132=$B29,+Rounding!H$132,0)+IF(+Rounding!$G$133=$B29,+Rounding!H$133,0)</f>
        <v>0</v>
      </c>
      <c r="H29" s="779">
        <f>+'Income-2020-leva'!H29/1000+IF(+Rounding!$G$131=$B29,+Rounding!I$131,0)+IF(+Rounding!$G$132=$B29,+Rounding!I$132,0)+IF(+Rounding!$G$133=$B29,+Rounding!I$133,0)</f>
        <v>0</v>
      </c>
      <c r="I29" s="658"/>
      <c r="J29" s="778">
        <f>+'Income-2020-leva'!J29/1000+IF(+Rounding!$K$131=$B29,+Rounding!L$131,0)+IF(+Rounding!$K$132=$B29,+Rounding!L$132,0)+IF(+Rounding!$K$133=$B29,+Rounding!L$133,0)</f>
        <v>0</v>
      </c>
      <c r="K29" s="779">
        <f>+'Income-2020-leva'!K29/1000+IF(+Rounding!$K$131=$B29,+Rounding!M$131,0)+IF(+Rounding!$K$132=$B29,+Rounding!M$132,0)+IF(+Rounding!$K$133=$B29,+Rounding!M$133,0)</f>
        <v>0</v>
      </c>
      <c r="L29" s="658"/>
      <c r="M29" s="778">
        <f>++D29+G29+J29+IF(+Rounding!$O$131=$B29,+Rounding!P$131,0)+IF(+Rounding!$O$132=$B29,+Rounding!P$132,0)+IF(+Rounding!$O$133=$B29,+Rounding!P$133,0)+P29</f>
        <v>0</v>
      </c>
      <c r="N29" s="779">
        <f>+E29+H29+K29+IF(+Rounding!$O$131=$B29,+Rounding!Q$131,0)+IF(+Rounding!$O$132=$B29,+Rounding!Q$132,0)+IF(+Rounding!$O$133=$B29,+Rounding!Q$133,0)+Q29</f>
        <v>0</v>
      </c>
      <c r="O29" s="152"/>
      <c r="P29" s="1221">
        <f>+'Income-2020-leva'!P29/1000</f>
        <v>0</v>
      </c>
      <c r="Q29" s="2094">
        <f>+'Income-2020-leva'!Q29/1000</f>
        <v>0</v>
      </c>
      <c r="R29" s="152"/>
      <c r="S29" s="152"/>
      <c r="T29" s="152"/>
      <c r="U29" s="152"/>
      <c r="V29" s="152"/>
      <c r="W29" s="152"/>
      <c r="X29" s="152"/>
      <c r="Y29" s="152"/>
      <c r="Z29" s="152"/>
    </row>
    <row r="30" spans="1:26" ht="15.75">
      <c r="A30" s="1888" t="s">
        <v>1863</v>
      </c>
      <c r="B30" s="1889">
        <v>739</v>
      </c>
      <c r="C30" s="658"/>
      <c r="D30" s="1892">
        <f>+'Income-2020-leva'!D30/1000</f>
        <v>0</v>
      </c>
      <c r="E30" s="1893">
        <f>+'Income-2020-leva'!E30/1000</f>
        <v>0</v>
      </c>
      <c r="F30" s="658"/>
      <c r="G30" s="1892">
        <f>+'Income-2020-leva'!G30/1000</f>
        <v>0</v>
      </c>
      <c r="H30" s="1893">
        <f>+'Income-2020-leva'!H30/1000</f>
        <v>0</v>
      </c>
      <c r="I30" s="658"/>
      <c r="J30" s="1892">
        <f>+'Income-2020-leva'!J30/1000</f>
        <v>0</v>
      </c>
      <c r="K30" s="1893">
        <f>+'Income-2020-leva'!K30/1000</f>
        <v>0</v>
      </c>
      <c r="L30" s="658"/>
      <c r="M30" s="1892">
        <f>++D30+G30+J30</f>
        <v>0</v>
      </c>
      <c r="N30" s="1893">
        <f>+E30+H30+K30</f>
        <v>0</v>
      </c>
      <c r="O30" s="152"/>
      <c r="P30" s="2562" t="str">
        <f>+'Income-2020-leva'!P30:Q30</f>
        <v>O K</v>
      </c>
      <c r="Q30" s="2562"/>
      <c r="R30" s="152"/>
      <c r="S30" s="152"/>
      <c r="T30" s="152"/>
      <c r="U30" s="152"/>
      <c r="V30" s="152"/>
      <c r="W30" s="152"/>
      <c r="X30" s="152"/>
      <c r="Y30" s="152"/>
      <c r="Z30" s="152"/>
    </row>
    <row r="31" spans="1:26" ht="6" customHeight="1">
      <c r="A31" s="172"/>
      <c r="B31" s="173"/>
      <c r="C31" s="658"/>
      <c r="D31" s="780"/>
      <c r="E31" s="781"/>
      <c r="F31" s="658"/>
      <c r="G31" s="780"/>
      <c r="H31" s="781"/>
      <c r="I31" s="658"/>
      <c r="J31" s="780"/>
      <c r="K31" s="781"/>
      <c r="L31" s="658"/>
      <c r="M31" s="780"/>
      <c r="N31" s="781"/>
      <c r="O31" s="152"/>
      <c r="P31" s="2603">
        <f>+IF(P30="O K",0,"N o ")</f>
        <v>0</v>
      </c>
      <c r="Q31" s="2603"/>
      <c r="R31" s="152"/>
      <c r="S31" s="152"/>
      <c r="T31" s="152"/>
      <c r="U31" s="152"/>
      <c r="V31" s="152"/>
      <c r="W31" s="152"/>
      <c r="X31" s="152"/>
      <c r="Y31" s="152"/>
      <c r="Z31" s="152"/>
    </row>
    <row r="32" spans="1:26" ht="15.75">
      <c r="A32" s="177" t="s">
        <v>1109</v>
      </c>
      <c r="B32" s="178">
        <v>740</v>
      </c>
      <c r="C32" s="658"/>
      <c r="D32" s="778">
        <f>+'Income-2020-leva'!D32/1000+IF(+Rounding!$C$131=$B32,+Rounding!D$131,0)+IF(+Rounding!$C$132=$B32,+Rounding!D$132,0)+IF(+Rounding!$C$133=$B32,+Rounding!D$133,0)</f>
        <v>0</v>
      </c>
      <c r="E32" s="779">
        <f>+'Income-2020-leva'!E32/1000+IF(+Rounding!$C$131=$B32,+Rounding!E$131,0)+IF(+Rounding!$C$132=$B32,+Rounding!E$132,0)+IF(+Rounding!$C$133=$B32,+Rounding!E$133,0)</f>
        <v>0</v>
      </c>
      <c r="F32" s="658"/>
      <c r="G32" s="778">
        <f>+'Income-2020-leva'!G32/1000+IF(+Rounding!$G$131=$B32,+Rounding!H$131,0)+IF(+Rounding!$G$132=$B32,+Rounding!H$132,0)+IF(+Rounding!$G$133=$B32,+Rounding!H$133,0)</f>
        <v>0</v>
      </c>
      <c r="H32" s="779">
        <f>+'Income-2020-leva'!H32/1000+IF(+Rounding!$G$131=$B32,+Rounding!I$131,0)+IF(+Rounding!$G$132=$B32,+Rounding!I$132,0)+IF(+Rounding!$G$133=$B32,+Rounding!I$133,0)</f>
        <v>0</v>
      </c>
      <c r="I32" s="658"/>
      <c r="J32" s="778">
        <f>+'Income-2020-leva'!J32/1000+IF(+Rounding!$K$131=$B32,+Rounding!L$131,0)+IF(+Rounding!$K$132=$B32,+Rounding!L$132,0)+IF(+Rounding!$K$133=$B32,+Rounding!L$133,0)</f>
        <v>0</v>
      </c>
      <c r="K32" s="779">
        <f>+'Income-2020-leva'!K32/1000+IF(+Rounding!$K$131=$B32,+Rounding!M$131,0)+IF(+Rounding!$K$132=$B32,+Rounding!M$132,0)+IF(+Rounding!$K$133=$B32,+Rounding!M$133,0)</f>
        <v>0</v>
      </c>
      <c r="L32" s="658"/>
      <c r="M32" s="778">
        <f>++D32+G32+J32+IF(+Rounding!$O$131=$B32,+Rounding!P$131,0)+IF(+Rounding!$O$132=$B32,+Rounding!P$132,0)+IF(+Rounding!$O$133=$B32,+Rounding!P$133,0)</f>
        <v>0</v>
      </c>
      <c r="N32" s="779">
        <f>++E32+H32+K32+IF(+Rounding!$O$131=$B32,+Rounding!Q$131,0)+IF(+Rounding!$O$132=$B32,+Rounding!Q$132,0)+IF(+Rounding!$O$133=$B32,+Rounding!Q$133,0)</f>
        <v>0</v>
      </c>
      <c r="O32" s="152"/>
      <c r="P32" s="2598" t="str">
        <f>+'Income-2020-leva'!P32:Q32</f>
        <v>O K</v>
      </c>
      <c r="Q32" s="2598"/>
      <c r="R32" s="152"/>
      <c r="S32" s="152"/>
      <c r="T32" s="152"/>
      <c r="U32" s="152"/>
      <c r="V32" s="152"/>
      <c r="W32" s="152"/>
      <c r="X32" s="152"/>
      <c r="Y32" s="152"/>
      <c r="Z32" s="152"/>
    </row>
    <row r="33" spans="1:26" ht="15.75">
      <c r="A33" s="172" t="s">
        <v>1110</v>
      </c>
      <c r="B33" s="173"/>
      <c r="C33" s="658"/>
      <c r="D33" s="780"/>
      <c r="E33" s="781"/>
      <c r="F33" s="658"/>
      <c r="G33" s="780"/>
      <c r="H33" s="781"/>
      <c r="I33" s="658"/>
      <c r="J33" s="780"/>
      <c r="K33" s="781"/>
      <c r="L33" s="658"/>
      <c r="M33" s="780"/>
      <c r="N33" s="781"/>
      <c r="O33" s="152"/>
      <c r="P33" s="152"/>
      <c r="Q33" s="152"/>
      <c r="R33" s="152"/>
      <c r="S33" s="152"/>
      <c r="T33" s="152"/>
      <c r="U33" s="152"/>
      <c r="V33" s="152"/>
      <c r="W33" s="152"/>
      <c r="X33" s="152"/>
      <c r="Y33" s="152"/>
      <c r="Z33" s="152"/>
    </row>
    <row r="34" spans="1:26" ht="15.75">
      <c r="A34" s="334" t="s">
        <v>1031</v>
      </c>
      <c r="B34" s="335">
        <v>751</v>
      </c>
      <c r="C34" s="658"/>
      <c r="D34" s="774">
        <f>+'Income-2020-leva'!D34/1000+IF(+Rounding!$C$131=$B34,+Rounding!D$131,0)+IF(+Rounding!$C$132=$B34,+Rounding!D$132,0)+IF(+Rounding!$C$133=$B34,+Rounding!D$133,0)</f>
        <v>0</v>
      </c>
      <c r="E34" s="775">
        <f>+'Income-2020-leva'!E34/1000+IF(+Rounding!$C$131=$B34,+Rounding!E$131,0)+IF(+Rounding!$C$132=$B34,+Rounding!E$132,0)+IF(+Rounding!$C$133=$B34,+Rounding!E$133,0)</f>
        <v>0</v>
      </c>
      <c r="F34" s="658"/>
      <c r="G34" s="774">
        <f>+'Income-2020-leva'!G34/1000+IF(+Rounding!$G$131=$B34,+Rounding!H$131,0)+IF(+Rounding!$G$132=$B34,+Rounding!H$132,0)+IF(+Rounding!$G$133=$B34,+Rounding!H$133,0)</f>
        <v>0</v>
      </c>
      <c r="H34" s="775">
        <f>+'Income-2020-leva'!H34/1000+IF(+Rounding!$G$131=$B34,+Rounding!I$131,0)+IF(+Rounding!$G$132=$B34,+Rounding!I$132,0)+IF(+Rounding!$G$133=$B34,+Rounding!I$133,0)</f>
        <v>0</v>
      </c>
      <c r="I34" s="658"/>
      <c r="J34" s="774">
        <f>+'Income-2020-leva'!J34/1000+IF(+Rounding!$K$131=$B34,+Rounding!L$131,0)+IF(+Rounding!$K$132=$B34,+Rounding!L$132,0)+IF(+Rounding!$K$133=$B34,+Rounding!L$133,0)</f>
        <v>0</v>
      </c>
      <c r="K34" s="775">
        <f>+'Income-2020-leva'!K34/1000+IF(+Rounding!$K$131=$B34,+Rounding!M$131,0)+IF(+Rounding!$K$132=$B34,+Rounding!M$132,0)+IF(+Rounding!$K$133=$B34,+Rounding!M$133,0)</f>
        <v>0</v>
      </c>
      <c r="L34" s="658"/>
      <c r="M34" s="774">
        <f>++D34+G34+J34+IF(+Rounding!$O$131=$B34,+Rounding!P$131,0)+IF(+Rounding!$O$132=$B34,+Rounding!P$132,0)+IF(+Rounding!$O$133=$B34,+Rounding!P$133,0)</f>
        <v>0</v>
      </c>
      <c r="N34" s="775">
        <f>++E34+H34+K34+IF(+Rounding!$O$131=$B34,+Rounding!Q$131,0)+IF(+Rounding!$O$132=$B34,+Rounding!Q$132,0)+IF(+Rounding!$O$133=$B34,+Rounding!Q$133,0)</f>
        <v>0</v>
      </c>
      <c r="O34" s="152"/>
      <c r="P34" s="152"/>
      <c r="Q34" s="152"/>
      <c r="R34" s="152"/>
      <c r="S34" s="152"/>
      <c r="T34" s="152"/>
      <c r="U34" s="152"/>
      <c r="V34" s="152"/>
      <c r="W34" s="152"/>
      <c r="X34" s="152"/>
      <c r="Y34" s="152"/>
      <c r="Z34" s="152"/>
    </row>
    <row r="35" spans="1:26" ht="15.75">
      <c r="A35" s="334" t="s">
        <v>1032</v>
      </c>
      <c r="B35" s="335">
        <f>1+B34</f>
        <v>752</v>
      </c>
      <c r="C35" s="658"/>
      <c r="D35" s="774">
        <f>+'Income-2020-leva'!D35/1000+IF(+Rounding!$C$131=$B35,+Rounding!D$131,0)+IF(+Rounding!$C$132=$B35,+Rounding!D$132,0)+IF(+Rounding!$C$133=$B35,+Rounding!D$133,0)</f>
        <v>0</v>
      </c>
      <c r="E35" s="775">
        <f>+'Income-2020-leva'!E35/1000+IF(+Rounding!$C$131=$B35,+Rounding!E$131,0)+IF(+Rounding!$C$132=$B35,+Rounding!E$132,0)+IF(+Rounding!$C$133=$B35,+Rounding!E$133,0)</f>
        <v>0</v>
      </c>
      <c r="F35" s="658"/>
      <c r="G35" s="774">
        <f>+'Income-2020-leva'!G35/1000+IF(+Rounding!$G$131=$B35,+Rounding!H$131,0)+IF(+Rounding!$G$132=$B35,+Rounding!H$132,0)+IF(+Rounding!$G$133=$B35,+Rounding!H$133,0)</f>
        <v>0</v>
      </c>
      <c r="H35" s="775">
        <f>+'Income-2020-leva'!H35/1000+IF(+Rounding!$G$131=$B35,+Rounding!I$131,0)+IF(+Rounding!$G$132=$B35,+Rounding!I$132,0)+IF(+Rounding!$G$133=$B35,+Rounding!I$133,0)</f>
        <v>0</v>
      </c>
      <c r="I35" s="658"/>
      <c r="J35" s="774">
        <f>+'Income-2020-leva'!J35/1000+IF(+Rounding!$K$131=$B35,+Rounding!L$131,0)+IF(+Rounding!$K$132=$B35,+Rounding!L$132,0)+IF(+Rounding!$K$133=$B35,+Rounding!L$133,0)</f>
        <v>0</v>
      </c>
      <c r="K35" s="775">
        <f>+'Income-2020-leva'!K35/1000+IF(+Rounding!$K$131=$B35,+Rounding!M$131,0)+IF(+Rounding!$K$132=$B35,+Rounding!M$132,0)+IF(+Rounding!$K$133=$B35,+Rounding!M$133,0)</f>
        <v>0</v>
      </c>
      <c r="L35" s="658"/>
      <c r="M35" s="774">
        <f>++D35+G35+J35+IF(+Rounding!$O$131=$B35,+Rounding!P$131,0)+IF(+Rounding!$O$132=$B35,+Rounding!P$132,0)+IF(+Rounding!$O$133=$B35,+Rounding!P$133,0)</f>
        <v>0</v>
      </c>
      <c r="N35" s="775">
        <f>++E35+H35+K35+IF(+Rounding!$O$131=$B35,+Rounding!Q$131,0)+IF(+Rounding!$O$132=$B35,+Rounding!Q$132,0)+IF(+Rounding!$O$133=$B35,+Rounding!Q$133,0)</f>
        <v>0</v>
      </c>
      <c r="O35" s="152"/>
      <c r="P35" s="152"/>
      <c r="Q35" s="152"/>
      <c r="R35" s="152"/>
      <c r="S35" s="152"/>
      <c r="T35" s="152"/>
      <c r="U35" s="152"/>
      <c r="V35" s="152"/>
      <c r="W35" s="152"/>
      <c r="X35" s="152"/>
      <c r="Y35" s="152"/>
      <c r="Z35" s="152"/>
    </row>
    <row r="36" spans="1:26" ht="15.75">
      <c r="A36" s="334" t="s">
        <v>2090</v>
      </c>
      <c r="B36" s="335">
        <f>1+B35</f>
        <v>753</v>
      </c>
      <c r="C36" s="658"/>
      <c r="D36" s="774">
        <f>+'Income-2020-leva'!D36/1000+IF(+Rounding!$C$131=$B36,+Rounding!D$131,0)+IF(+Rounding!$C$132=$B36,+Rounding!D$132,0)+IF(+Rounding!$C$133=$B36,+Rounding!D$133,0)</f>
        <v>0</v>
      </c>
      <c r="E36" s="775">
        <f>+'Income-2020-leva'!E36/1000+IF(+Rounding!$C$131=$B36,+Rounding!E$131,0)+IF(+Rounding!$C$132=$B36,+Rounding!E$132,0)+IF(+Rounding!$C$133=$B36,+Rounding!E$133,0)</f>
        <v>0</v>
      </c>
      <c r="F36" s="658"/>
      <c r="G36" s="774">
        <f>+'Income-2020-leva'!G36/1000+IF(+Rounding!$G$131=$B36,+Rounding!H$131,0)+IF(+Rounding!$G$132=$B36,+Rounding!H$132,0)+IF(+Rounding!$G$133=$B36,+Rounding!H$133,0)</f>
        <v>0</v>
      </c>
      <c r="H36" s="775">
        <f>+'Income-2020-leva'!H36/1000+IF(+Rounding!$G$131=$B36,+Rounding!I$131,0)+IF(+Rounding!$G$132=$B36,+Rounding!I$132,0)+IF(+Rounding!$G$133=$B36,+Rounding!I$133,0)</f>
        <v>0</v>
      </c>
      <c r="I36" s="658"/>
      <c r="J36" s="774">
        <f>+'Income-2020-leva'!J36/1000+IF(+Rounding!$K$131=$B36,+Rounding!L$131,0)+IF(+Rounding!$K$132=$B36,+Rounding!L$132,0)+IF(+Rounding!$K$133=$B36,+Rounding!L$133,0)</f>
        <v>0</v>
      </c>
      <c r="K36" s="775">
        <f>+'Income-2020-leva'!K36/1000+IF(+Rounding!$K$131=$B36,+Rounding!M$131,0)+IF(+Rounding!$K$132=$B36,+Rounding!M$132,0)+IF(+Rounding!$K$133=$B36,+Rounding!M$133,0)</f>
        <v>0</v>
      </c>
      <c r="L36" s="658"/>
      <c r="M36" s="774">
        <f>++D36+G36+J36+IF(+Rounding!$O$131=$B36,+Rounding!P$131,0)+IF(+Rounding!$O$132=$B36,+Rounding!P$132,0)+IF(+Rounding!$O$133=$B36,+Rounding!P$133,0)</f>
        <v>0</v>
      </c>
      <c r="N36" s="775">
        <f>++E36+H36+K36+IF(+Rounding!$O$131=$B36,+Rounding!Q$131,0)+IF(+Rounding!$O$132=$B36,+Rounding!Q$132,0)+IF(+Rounding!$O$133=$B36,+Rounding!Q$133,0)</f>
        <v>0</v>
      </c>
      <c r="O36" s="152"/>
      <c r="P36" s="152"/>
      <c r="Q36" s="152"/>
      <c r="R36" s="152"/>
      <c r="S36" s="152"/>
      <c r="T36" s="152"/>
      <c r="U36" s="152"/>
      <c r="V36" s="152"/>
      <c r="W36" s="152"/>
      <c r="X36" s="152"/>
      <c r="Y36" s="152"/>
      <c r="Z36" s="152"/>
    </row>
    <row r="37" spans="1:26" ht="15.75">
      <c r="A37" s="336" t="s">
        <v>1146</v>
      </c>
      <c r="B37" s="337">
        <f>1+B36</f>
        <v>754</v>
      </c>
      <c r="C37" s="658"/>
      <c r="D37" s="776">
        <f>+'Income-2020-leva'!D37/1000+IF(+Rounding!$C$131=$B37,+Rounding!D$131,0)+IF(+Rounding!$C$132=$B37,+Rounding!D$132,0)+IF(+Rounding!$C$133=$B37,+Rounding!D$133,0)</f>
        <v>0</v>
      </c>
      <c r="E37" s="777">
        <f>+'Income-2020-leva'!E37/1000+IF(+Rounding!$C$131=$B37,+Rounding!E$131,0)+IF(+Rounding!$C$132=$B37,+Rounding!E$132,0)+IF(+Rounding!$C$133=$B37,+Rounding!E$133,0)</f>
        <v>0</v>
      </c>
      <c r="F37" s="658"/>
      <c r="G37" s="776">
        <f>+'Income-2020-leva'!G37/1000+IF(+Rounding!$G$131=$B37,+Rounding!H$131,0)+IF(+Rounding!$G$132=$B37,+Rounding!H$132,0)+IF(+Rounding!$G$133=$B37,+Rounding!H$133,0)</f>
        <v>0</v>
      </c>
      <c r="H37" s="777">
        <f>+'Income-2020-leva'!H37/1000+IF(+Rounding!$G$131=$B37,+Rounding!I$131,0)+IF(+Rounding!$G$132=$B37,+Rounding!I$132,0)+IF(+Rounding!$G$133=$B37,+Rounding!I$133,0)</f>
        <v>0</v>
      </c>
      <c r="I37" s="658"/>
      <c r="J37" s="776">
        <f>+'Income-2020-leva'!J37/1000+IF(+Rounding!$K$131=$B37,+Rounding!L$131,0)+IF(+Rounding!$K$132=$B37,+Rounding!L$132,0)+IF(+Rounding!$K$133=$B37,+Rounding!L$133,0)</f>
        <v>0</v>
      </c>
      <c r="K37" s="777">
        <f>+'Income-2020-leva'!K37/1000+IF(+Rounding!$K$131=$B37,+Rounding!M$131,0)+IF(+Rounding!$K$132=$B37,+Rounding!M$132,0)+IF(+Rounding!$K$133=$B37,+Rounding!M$133,0)</f>
        <v>0</v>
      </c>
      <c r="L37" s="658"/>
      <c r="M37" s="776">
        <f>++D37+G37+J37+IF(+Rounding!$O$131=$B37,+Rounding!P$131,0)+IF(+Rounding!$O$132=$B37,+Rounding!P$132,0)+IF(+Rounding!$O$133=$B37,+Rounding!P$133,0)</f>
        <v>0</v>
      </c>
      <c r="N37" s="777">
        <f>++E37+H37+K37+IF(+Rounding!$O$131=$B37,+Rounding!Q$131,0)+IF(+Rounding!$O$132=$B37,+Rounding!Q$132,0)+IF(+Rounding!$O$133=$B37,+Rounding!Q$133,0)</f>
        <v>0</v>
      </c>
      <c r="O37" s="152"/>
      <c r="P37" s="152"/>
      <c r="Q37" s="152"/>
      <c r="R37" s="152"/>
      <c r="S37" s="152"/>
      <c r="T37" s="152"/>
      <c r="U37" s="152"/>
      <c r="V37" s="152"/>
      <c r="W37" s="152"/>
      <c r="X37" s="152"/>
      <c r="Y37" s="152"/>
      <c r="Z37" s="152"/>
    </row>
    <row r="38" spans="1:26" ht="15.75">
      <c r="A38" s="177" t="s">
        <v>1054</v>
      </c>
      <c r="B38" s="178">
        <v>750</v>
      </c>
      <c r="C38" s="658"/>
      <c r="D38" s="778">
        <f>+SUM(D34:D37)</f>
        <v>0</v>
      </c>
      <c r="E38" s="779">
        <f>+SUM(E34:E37)</f>
        <v>0</v>
      </c>
      <c r="F38" s="658"/>
      <c r="G38" s="778">
        <f>+SUM(G34:G37)</f>
        <v>0</v>
      </c>
      <c r="H38" s="779">
        <f>+SUM(H34:H37)</f>
        <v>0</v>
      </c>
      <c r="I38" s="658"/>
      <c r="J38" s="778">
        <f>+SUM(J34:J37)</f>
        <v>0</v>
      </c>
      <c r="K38" s="779">
        <f>+SUM(K34:K37)</f>
        <v>0</v>
      </c>
      <c r="L38" s="658"/>
      <c r="M38" s="778">
        <f>+SUM(M34:M37)</f>
        <v>0</v>
      </c>
      <c r="N38" s="779">
        <f>+SUM(N34:N37)</f>
        <v>0</v>
      </c>
      <c r="O38" s="152"/>
      <c r="P38" s="152"/>
      <c r="Q38" s="152"/>
      <c r="R38" s="152"/>
      <c r="S38" s="152"/>
      <c r="T38" s="152"/>
      <c r="U38" s="152"/>
      <c r="V38" s="152"/>
      <c r="W38" s="152"/>
      <c r="X38" s="152"/>
      <c r="Y38" s="152"/>
      <c r="Z38" s="152"/>
    </row>
    <row r="39" spans="1:26" ht="6" customHeight="1">
      <c r="A39" s="172"/>
      <c r="B39" s="173"/>
      <c r="C39" s="658"/>
      <c r="D39" s="780"/>
      <c r="E39" s="781"/>
      <c r="F39" s="658"/>
      <c r="G39" s="780"/>
      <c r="H39" s="781"/>
      <c r="I39" s="658"/>
      <c r="J39" s="780"/>
      <c r="K39" s="781"/>
      <c r="L39" s="658"/>
      <c r="M39" s="780"/>
      <c r="N39" s="781"/>
      <c r="O39" s="152"/>
      <c r="P39" s="152"/>
      <c r="Q39" s="152"/>
      <c r="R39" s="152"/>
      <c r="S39" s="152"/>
      <c r="T39" s="152"/>
      <c r="U39" s="152"/>
      <c r="V39" s="152"/>
      <c r="W39" s="152"/>
      <c r="X39" s="152"/>
      <c r="Y39" s="152"/>
      <c r="Z39" s="152"/>
    </row>
    <row r="40" spans="1:26" ht="19.5" thickBot="1">
      <c r="A40" s="679" t="s">
        <v>1030</v>
      </c>
      <c r="B40" s="680">
        <v>700</v>
      </c>
      <c r="C40" s="658"/>
      <c r="D40" s="782">
        <f>+D22+D27+D29+D32+D38</f>
        <v>0</v>
      </c>
      <c r="E40" s="783">
        <f>+E22+E27+E29+E32+E38</f>
        <v>0</v>
      </c>
      <c r="F40" s="658"/>
      <c r="G40" s="782">
        <f>+G22+G27+G29+G32+G38</f>
        <v>0</v>
      </c>
      <c r="H40" s="783">
        <f>+H22+H27+H29+H32+H38</f>
        <v>0</v>
      </c>
      <c r="I40" s="658"/>
      <c r="J40" s="782">
        <f>+J22+J27+J29+J32+J38</f>
        <v>0</v>
      </c>
      <c r="K40" s="783">
        <f>+K22+K27+K29+K32+K38</f>
        <v>0</v>
      </c>
      <c r="L40" s="658"/>
      <c r="M40" s="782">
        <f>+M22+M27+M29+M32+M38</f>
        <v>0</v>
      </c>
      <c r="N40" s="783">
        <f>+N22+N27+N29+N32+N38</f>
        <v>0</v>
      </c>
      <c r="O40" s="152"/>
      <c r="P40" s="152"/>
      <c r="Q40" s="152"/>
      <c r="R40" s="152"/>
      <c r="S40" s="152"/>
      <c r="T40" s="152"/>
      <c r="U40" s="152"/>
      <c r="V40" s="152"/>
      <c r="W40" s="152"/>
      <c r="X40" s="152"/>
      <c r="Y40" s="152"/>
      <c r="Z40" s="152"/>
    </row>
    <row r="41" spans="1:26" ht="15.75">
      <c r="A41" s="170" t="s">
        <v>1036</v>
      </c>
      <c r="B41" s="171"/>
      <c r="C41" s="658"/>
      <c r="D41" s="784"/>
      <c r="E41" s="785"/>
      <c r="F41" s="658"/>
      <c r="G41" s="784"/>
      <c r="H41" s="785"/>
      <c r="I41" s="658"/>
      <c r="J41" s="784"/>
      <c r="K41" s="785"/>
      <c r="L41" s="658"/>
      <c r="M41" s="784"/>
      <c r="N41" s="785"/>
      <c r="O41" s="152"/>
      <c r="P41" s="152"/>
      <c r="Q41" s="152"/>
      <c r="R41" s="152"/>
      <c r="S41" s="152"/>
      <c r="T41" s="152"/>
      <c r="U41" s="152"/>
      <c r="V41" s="152"/>
      <c r="W41" s="152"/>
      <c r="X41" s="152"/>
      <c r="Y41" s="152"/>
      <c r="Z41" s="152"/>
    </row>
    <row r="42" spans="1:26" ht="15.75">
      <c r="A42" s="172" t="s">
        <v>1043</v>
      </c>
      <c r="B42" s="173"/>
      <c r="C42" s="658"/>
      <c r="D42" s="780"/>
      <c r="E42" s="781"/>
      <c r="F42" s="658"/>
      <c r="G42" s="780"/>
      <c r="H42" s="781"/>
      <c r="I42" s="658"/>
      <c r="J42" s="780"/>
      <c r="K42" s="781"/>
      <c r="L42" s="658"/>
      <c r="M42" s="780"/>
      <c r="N42" s="781"/>
      <c r="O42" s="152"/>
      <c r="P42" s="152"/>
      <c r="Q42" s="152"/>
      <c r="R42" s="152"/>
      <c r="S42" s="152"/>
      <c r="T42" s="152"/>
      <c r="U42" s="152"/>
      <c r="V42" s="152"/>
      <c r="W42" s="152"/>
      <c r="X42" s="152"/>
      <c r="Y42" s="152"/>
      <c r="Z42" s="152"/>
    </row>
    <row r="43" spans="1:26" ht="15.75">
      <c r="A43" s="334" t="s">
        <v>1037</v>
      </c>
      <c r="B43" s="335">
        <v>601</v>
      </c>
      <c r="C43" s="658"/>
      <c r="D43" s="774">
        <f>+'Income-2020-leva'!D43/1000+IF(+Rounding!$C$131=$B43,+Rounding!D$131,0)+IF(+Rounding!$C$132=$B43,+Rounding!D$132,0)+IF(+Rounding!$C$133=$B43,+Rounding!D$133,0)</f>
        <v>52.80583</v>
      </c>
      <c r="E43" s="775">
        <f>+'Income-2020-leva'!E43/1000+IF(+Rounding!$C$131=$B43,+Rounding!E$131,0)+IF(+Rounding!$C$132=$B43,+Rounding!E$132,0)+IF(+Rounding!$C$133=$B43,+Rounding!E$133,0)</f>
        <v>143.97197</v>
      </c>
      <c r="F43" s="658"/>
      <c r="G43" s="774">
        <f>+'Income-2020-leva'!G43/1000+IF(+Rounding!$G$131=$B43,+Rounding!H$131,0)+IF(+Rounding!$G$132=$B43,+Rounding!H$132,0)+IF(+Rounding!$G$133=$B43,+Rounding!H$133,0)</f>
        <v>0</v>
      </c>
      <c r="H43" s="775">
        <f>+'Income-2020-leva'!H43/1000+IF(+Rounding!$G$131=$B43,+Rounding!I$131,0)+IF(+Rounding!$G$132=$B43,+Rounding!I$132,0)+IF(+Rounding!$G$133=$B43,+Rounding!I$133,0)</f>
        <v>0</v>
      </c>
      <c r="I43" s="658"/>
      <c r="J43" s="774">
        <f>+'Income-2020-leva'!J43/1000+IF(+Rounding!$K$131=$B43,+Rounding!L$131,0)+IF(+Rounding!$K$132=$B43,+Rounding!L$132,0)+IF(+Rounding!$K$133=$B43,+Rounding!L$133,0)</f>
        <v>0</v>
      </c>
      <c r="K43" s="775">
        <f>+'Income-2020-leva'!K43/1000+IF(+Rounding!$K$131=$B43,+Rounding!M$131,0)+IF(+Rounding!$K$132=$B43,+Rounding!M$132,0)+IF(+Rounding!$K$133=$B43,+Rounding!M$133,0)</f>
        <v>0</v>
      </c>
      <c r="L43" s="658"/>
      <c r="M43" s="774">
        <f>++D43+G43+J43+IF(+Rounding!$O$131=$B43,+Rounding!P$131,0)+IF(+Rounding!$O$132=$B43,+Rounding!P$132,0)+IF(+Rounding!$O$133=$B43,+Rounding!P$133,0)</f>
        <v>52.80583</v>
      </c>
      <c r="N43" s="775">
        <f>++E43+H43+K43+IF(+Rounding!$O$131=$B43,+Rounding!Q$131,0)+IF(+Rounding!$O$132=$B43,+Rounding!Q$132,0)+IF(+Rounding!$O$133=$B43,+Rounding!Q$133,0)</f>
        <v>143.97197</v>
      </c>
      <c r="O43" s="152"/>
      <c r="P43" s="152"/>
      <c r="Q43" s="152"/>
      <c r="R43" s="152"/>
      <c r="S43" s="152"/>
      <c r="T43" s="152"/>
      <c r="U43" s="152"/>
      <c r="V43" s="152"/>
      <c r="W43" s="152"/>
      <c r="X43" s="152"/>
      <c r="Y43" s="152"/>
      <c r="Z43" s="152"/>
    </row>
    <row r="44" spans="1:26" ht="15.75">
      <c r="A44" s="334" t="s">
        <v>1038</v>
      </c>
      <c r="B44" s="335">
        <f>1+B43</f>
        <v>602</v>
      </c>
      <c r="C44" s="658"/>
      <c r="D44" s="774">
        <f>+'Income-2020-leva'!D44/1000+IF(+Rounding!$C$131=$B44,+Rounding!D$131,0)+IF(+Rounding!$C$132=$B44,+Rounding!D$132,0)+IF(+Rounding!$C$133=$B44,+Rounding!D$133,0)</f>
        <v>253.19916000000001</v>
      </c>
      <c r="E44" s="775">
        <f>+'Income-2020-leva'!E44/1000+IF(+Rounding!$C$131=$B44,+Rounding!E$131,0)+IF(+Rounding!$C$132=$B44,+Rounding!E$132,0)+IF(+Rounding!$C$133=$B44,+Rounding!E$133,0)</f>
        <v>263.83656999999999</v>
      </c>
      <c r="F44" s="658"/>
      <c r="G44" s="774">
        <f>+'Income-2020-leva'!G44/1000+IF(+Rounding!$G$131=$B44,+Rounding!H$131,0)+IF(+Rounding!$G$132=$B44,+Rounding!H$132,0)+IF(+Rounding!$G$133=$B44,+Rounding!H$133,0)</f>
        <v>0</v>
      </c>
      <c r="H44" s="775">
        <f>+'Income-2020-leva'!H44/1000+IF(+Rounding!$G$131=$B44,+Rounding!I$131,0)+IF(+Rounding!$G$132=$B44,+Rounding!I$132,0)+IF(+Rounding!$G$133=$B44,+Rounding!I$133,0)</f>
        <v>0</v>
      </c>
      <c r="I44" s="658"/>
      <c r="J44" s="774">
        <f>+'Income-2020-leva'!J44/1000+IF(+Rounding!$K$131=$B44,+Rounding!L$131,0)+IF(+Rounding!$K$132=$B44,+Rounding!L$132,0)+IF(+Rounding!$K$133=$B44,+Rounding!L$133,0)</f>
        <v>0</v>
      </c>
      <c r="K44" s="775">
        <f>+'Income-2020-leva'!K44/1000+IF(+Rounding!$K$131=$B44,+Rounding!M$131,0)+IF(+Rounding!$K$132=$B44,+Rounding!M$132,0)+IF(+Rounding!$K$133=$B44,+Rounding!M$133,0)</f>
        <v>0</v>
      </c>
      <c r="L44" s="658"/>
      <c r="M44" s="774">
        <f>++D44+G44+J44+IF(+Rounding!$O$131=$B44,+Rounding!P$131,0)+IF(+Rounding!$O$132=$B44,+Rounding!P$132,0)+IF(+Rounding!$O$133=$B44,+Rounding!P$133,0)</f>
        <v>253.19916000000001</v>
      </c>
      <c r="N44" s="775">
        <f>++E44+H44+K44+IF(+Rounding!$O$131=$B44,+Rounding!Q$131,0)+IF(+Rounding!$O$132=$B44,+Rounding!Q$132,0)+IF(+Rounding!$O$133=$B44,+Rounding!Q$133,0)</f>
        <v>263.83656999999999</v>
      </c>
      <c r="O44" s="152"/>
      <c r="P44" s="152"/>
      <c r="Q44" s="1897" t="s">
        <v>1873</v>
      </c>
      <c r="R44" s="152"/>
      <c r="S44" s="152"/>
      <c r="T44" s="152"/>
      <c r="U44" s="152"/>
      <c r="V44" s="152"/>
      <c r="W44" s="152"/>
      <c r="X44" s="152"/>
      <c r="Y44" s="152"/>
      <c r="Z44" s="152"/>
    </row>
    <row r="45" spans="1:26" ht="15.75">
      <c r="A45" s="334" t="s">
        <v>1040</v>
      </c>
      <c r="B45" s="335">
        <f t="shared" ref="B45:B50" si="1">1+B44</f>
        <v>603</v>
      </c>
      <c r="C45" s="658"/>
      <c r="D45" s="774">
        <f>+'Income-2020-leva'!D45/1000+IF(+Rounding!$C$131=$B45,+Rounding!D$131,0)+IF(+Rounding!$C$132=$B45,+Rounding!D$132,0)+IF(+Rounding!$C$133=$B45,+Rounding!D$133,0)</f>
        <v>21.267700000000001</v>
      </c>
      <c r="E45" s="775">
        <f>+'Income-2020-leva'!E45/1000+IF(+Rounding!$C$131=$B45,+Rounding!E$131,0)+IF(+Rounding!$C$132=$B45,+Rounding!E$132,0)+IF(+Rounding!$C$133=$B45,+Rounding!E$133,0)</f>
        <v>44.294879999999999</v>
      </c>
      <c r="F45" s="658"/>
      <c r="G45" s="774">
        <f>+'Income-2020-leva'!G45/1000+IF(+Rounding!$G$131=$B45,+Rounding!H$131,0)+IF(+Rounding!$G$132=$B45,+Rounding!H$132,0)+IF(+Rounding!$G$133=$B45,+Rounding!H$133,0)</f>
        <v>0</v>
      </c>
      <c r="H45" s="775">
        <f>+'Income-2020-leva'!H45/1000+IF(+Rounding!$G$131=$B45,+Rounding!I$131,0)+IF(+Rounding!$G$132=$B45,+Rounding!I$132,0)+IF(+Rounding!$G$133=$B45,+Rounding!I$133,0)</f>
        <v>0</v>
      </c>
      <c r="I45" s="658"/>
      <c r="J45" s="774">
        <f>+'Income-2020-leva'!J45/1000+IF(+Rounding!$K$131=$B45,+Rounding!L$131,0)+IF(+Rounding!$K$132=$B45,+Rounding!L$132,0)+IF(+Rounding!$K$133=$B45,+Rounding!L$133,0)</f>
        <v>0</v>
      </c>
      <c r="K45" s="775">
        <f>+'Income-2020-leva'!K45/1000+IF(+Rounding!$K$131=$B45,+Rounding!M$131,0)+IF(+Rounding!$K$132=$B45,+Rounding!M$132,0)+IF(+Rounding!$K$133=$B45,+Rounding!M$133,0)</f>
        <v>0</v>
      </c>
      <c r="L45" s="658"/>
      <c r="M45" s="774">
        <f>++D45+G45+J45+IF(+Rounding!$O$131=$B45,+Rounding!P$131,0)+IF(+Rounding!$O$132=$B45,+Rounding!P$132,0)+IF(+Rounding!$O$133=$B45,+Rounding!P$133,0)</f>
        <v>21.267700000000001</v>
      </c>
      <c r="N45" s="775">
        <f>++E45+H45+K45+IF(+Rounding!$O$131=$B45,+Rounding!Q$131,0)+IF(+Rounding!$O$132=$B45,+Rounding!Q$132,0)+IF(+Rounding!$O$133=$B45,+Rounding!Q$133,0)</f>
        <v>44.294879999999999</v>
      </c>
      <c r="O45" s="152"/>
      <c r="P45" s="1667" t="s">
        <v>1869</v>
      </c>
      <c r="Q45" s="1895" t="str">
        <f>+Q25</f>
        <v>'Municipal-Bal'</v>
      </c>
      <c r="R45" s="152"/>
      <c r="S45" s="152"/>
      <c r="T45" s="152"/>
      <c r="U45" s="152"/>
      <c r="V45" s="152"/>
      <c r="W45" s="152"/>
      <c r="X45" s="152"/>
      <c r="Y45" s="152"/>
      <c r="Z45" s="152"/>
    </row>
    <row r="46" spans="1:26" ht="15.75">
      <c r="A46" s="334" t="s">
        <v>1039</v>
      </c>
      <c r="B46" s="335">
        <f t="shared" si="1"/>
        <v>604</v>
      </c>
      <c r="C46" s="658"/>
      <c r="D46" s="774">
        <f>+'Income-2020-leva'!D46/1000+IF(+Rounding!$C$131=$B46,+Rounding!D$131,0)+IF(+Rounding!$C$132=$B46,+Rounding!D$132,0)+IF(+Rounding!$C$133=$B46,+Rounding!D$133,0)</f>
        <v>475.33393999999998</v>
      </c>
      <c r="E46" s="775">
        <f>+'Income-2020-leva'!E46/1000+IF(+Rounding!$C$131=$B46,+Rounding!E$131,0)+IF(+Rounding!$C$132=$B46,+Rounding!E$132,0)+IF(+Rounding!$C$133=$B46,+Rounding!E$133,0)</f>
        <v>1004.01606</v>
      </c>
      <c r="F46" s="658"/>
      <c r="G46" s="774">
        <f>+'Income-2020-leva'!G46/1000+IF(+Rounding!$G$131=$B46,+Rounding!H$131,0)+IF(+Rounding!$G$132=$B46,+Rounding!H$132,0)+IF(+Rounding!$G$133=$B46,+Rounding!H$133,0)</f>
        <v>0</v>
      </c>
      <c r="H46" s="775">
        <f>+'Income-2020-leva'!H46/1000+IF(+Rounding!$G$131=$B46,+Rounding!I$131,0)+IF(+Rounding!$G$132=$B46,+Rounding!I$132,0)+IF(+Rounding!$G$133=$B46,+Rounding!I$133,0)</f>
        <v>0</v>
      </c>
      <c r="I46" s="658"/>
      <c r="J46" s="774">
        <f>+'Income-2020-leva'!J46/1000+IF(+Rounding!$K$131=$B46,+Rounding!L$131,0)+IF(+Rounding!$K$132=$B46,+Rounding!L$132,0)+IF(+Rounding!$K$133=$B46,+Rounding!L$133,0)</f>
        <v>0</v>
      </c>
      <c r="K46" s="775">
        <f>+'Income-2020-leva'!K46/1000+IF(+Rounding!$K$131=$B46,+Rounding!M$131,0)+IF(+Rounding!$K$132=$B46,+Rounding!M$132,0)+IF(+Rounding!$K$133=$B46,+Rounding!M$133,0)</f>
        <v>0</v>
      </c>
      <c r="L46" s="658"/>
      <c r="M46" s="774">
        <f>++D46+G46+J46+IF(+Rounding!$O$131=$B46,+Rounding!P$131,0)+IF(+Rounding!$O$132=$B46,+Rounding!P$132,0)+IF(+Rounding!$O$133=$B46,+Rounding!P$133,0)</f>
        <v>475.33393999999998</v>
      </c>
      <c r="N46" s="775">
        <f>++E46+H46+K46+IF(+Rounding!$O$131=$B46,+Rounding!Q$131,0)+IF(+Rounding!$O$132=$B46,+Rounding!Q$132,0)+IF(+Rounding!$O$133=$B46,+Rounding!Q$133,0)</f>
        <v>1004.01606</v>
      </c>
      <c r="O46" s="152"/>
      <c r="P46" s="1668" t="s">
        <v>1299</v>
      </c>
      <c r="Q46" s="1669"/>
      <c r="R46" s="152"/>
      <c r="S46" s="152"/>
      <c r="T46" s="152"/>
      <c r="U46" s="152"/>
      <c r="V46" s="152"/>
      <c r="W46" s="152"/>
      <c r="X46" s="152"/>
      <c r="Y46" s="152"/>
      <c r="Z46" s="152"/>
    </row>
    <row r="47" spans="1:26" ht="15.75">
      <c r="A47" s="334" t="s">
        <v>1041</v>
      </c>
      <c r="B47" s="335">
        <f t="shared" si="1"/>
        <v>605</v>
      </c>
      <c r="C47" s="658"/>
      <c r="D47" s="774">
        <f>+'Income-2020-leva'!D47/1000+IF(+Rounding!$C$131=$B47,+Rounding!D$131,0)+IF(+Rounding!$C$132=$B47,+Rounding!D$132,0)+IF(+Rounding!$C$133=$B47,+Rounding!D$133,0)</f>
        <v>111.39824</v>
      </c>
      <c r="E47" s="775">
        <f>+'Income-2020-leva'!E47/1000+IF(+Rounding!$C$131=$B47,+Rounding!E$131,0)+IF(+Rounding!$C$132=$B47,+Rounding!E$132,0)+IF(+Rounding!$C$133=$B47,+Rounding!E$133,0)</f>
        <v>211.30217000000002</v>
      </c>
      <c r="F47" s="658"/>
      <c r="G47" s="774">
        <f>+'Income-2020-leva'!G47/1000+IF(+Rounding!$G$131=$B47,+Rounding!H$131,0)+IF(+Rounding!$G$132=$B47,+Rounding!H$132,0)+IF(+Rounding!$G$133=$B47,+Rounding!H$133,0)</f>
        <v>0</v>
      </c>
      <c r="H47" s="775">
        <f>+'Income-2020-leva'!H47/1000+IF(+Rounding!$G$131=$B47,+Rounding!I$131,0)+IF(+Rounding!$G$132=$B47,+Rounding!I$132,0)+IF(+Rounding!$G$133=$B47,+Rounding!I$133,0)</f>
        <v>0</v>
      </c>
      <c r="I47" s="658"/>
      <c r="J47" s="774">
        <f>+'Income-2020-leva'!J47/1000+IF(+Rounding!$K$131=$B47,+Rounding!L$131,0)+IF(+Rounding!$K$132=$B47,+Rounding!L$132,0)+IF(+Rounding!$K$133=$B47,+Rounding!L$133,0)</f>
        <v>0</v>
      </c>
      <c r="K47" s="775">
        <f>+'Income-2020-leva'!K47/1000+IF(+Rounding!$K$131=$B47,+Rounding!M$131,0)+IF(+Rounding!$K$132=$B47,+Rounding!M$132,0)+IF(+Rounding!$K$133=$B47,+Rounding!M$133,0)</f>
        <v>0</v>
      </c>
      <c r="L47" s="658"/>
      <c r="M47" s="774">
        <f>++D47+G47+J47+IF(+Rounding!$O$131=$B47,+Rounding!P$131,0)+IF(+Rounding!$O$132=$B47,+Rounding!P$132,0)+IF(+Rounding!$O$133=$B47,+Rounding!P$133,0)</f>
        <v>111.39824</v>
      </c>
      <c r="N47" s="775">
        <f>++E47+H47+K47+IF(+Rounding!$O$131=$B47,+Rounding!Q$131,0)+IF(+Rounding!$O$132=$B47,+Rounding!Q$132,0)+IF(+Rounding!$O$133=$B47,+Rounding!Q$133,0)</f>
        <v>211.30217000000002</v>
      </c>
      <c r="O47" s="152"/>
      <c r="P47" s="1666" t="s">
        <v>1295</v>
      </c>
      <c r="Q47" s="1444" t="s">
        <v>1296</v>
      </c>
      <c r="R47" s="152"/>
      <c r="S47" s="152"/>
      <c r="T47" s="152"/>
      <c r="U47" s="152"/>
      <c r="V47" s="152"/>
      <c r="W47" s="152"/>
      <c r="X47" s="152"/>
      <c r="Y47" s="152"/>
      <c r="Z47" s="152"/>
    </row>
    <row r="48" spans="1:26" ht="15.75">
      <c r="A48" s="334" t="s">
        <v>1042</v>
      </c>
      <c r="B48" s="335">
        <f t="shared" si="1"/>
        <v>606</v>
      </c>
      <c r="C48" s="658"/>
      <c r="D48" s="774">
        <f>+'Income-2020-leva'!D48/1000+IF(+Rounding!$C$131=$B48,+Rounding!D$131,0)+IF(+Rounding!$C$132=$B48,+Rounding!D$132,0)+IF(+Rounding!$C$133=$B48,+Rounding!D$133,0)</f>
        <v>11.342469999999999</v>
      </c>
      <c r="E48" s="775">
        <f>+'Income-2020-leva'!E48/1000+IF(+Rounding!$C$131=$B48,+Rounding!E$131,0)+IF(+Rounding!$C$132=$B48,+Rounding!E$132,0)+IF(+Rounding!$C$133=$B48,+Rounding!E$133,0)</f>
        <v>12.002420000000001</v>
      </c>
      <c r="F48" s="658"/>
      <c r="G48" s="774">
        <f>+'Income-2020-leva'!G48/1000+IF(+Rounding!$G$131=$B48,+Rounding!H$131,0)+IF(+Rounding!$G$132=$B48,+Rounding!H$132,0)+IF(+Rounding!$G$133=$B48,+Rounding!H$133,0)</f>
        <v>0</v>
      </c>
      <c r="H48" s="775">
        <f>+'Income-2020-leva'!H48/1000+IF(+Rounding!$G$131=$B48,+Rounding!I$131,0)+IF(+Rounding!$G$132=$B48,+Rounding!I$132,0)+IF(+Rounding!$G$133=$B48,+Rounding!I$133,0)</f>
        <v>0</v>
      </c>
      <c r="I48" s="658"/>
      <c r="J48" s="774">
        <f>+'Income-2020-leva'!J48/1000+IF(+Rounding!$K$131=$B48,+Rounding!L$131,0)+IF(+Rounding!$K$132=$B48,+Rounding!L$132,0)+IF(+Rounding!$K$133=$B48,+Rounding!L$133,0)</f>
        <v>0</v>
      </c>
      <c r="K48" s="775">
        <f>+'Income-2020-leva'!K48/1000+IF(+Rounding!$K$131=$B48,+Rounding!M$131,0)+IF(+Rounding!$K$132=$B48,+Rounding!M$132,0)+IF(+Rounding!$K$133=$B48,+Rounding!M$133,0)</f>
        <v>0</v>
      </c>
      <c r="L48" s="658"/>
      <c r="M48" s="774">
        <f>++D48+G48+J48+IF(+Rounding!$O$131=$B48,+Rounding!P$131,0)+IF(+Rounding!$O$132=$B48,+Rounding!P$132,0)+IF(+Rounding!$O$133=$B48,+Rounding!P$133,0)+P48</f>
        <v>11.342469999999999</v>
      </c>
      <c r="N48" s="775">
        <f>+E48+H48+K48+IF(+Rounding!$O$131=$B48,+Rounding!Q$131,0)+IF(+Rounding!$O$132=$B48,+Rounding!Q$132,0)+IF(+Rounding!$O$133=$B48,+Rounding!Q$133,0)+Q48</f>
        <v>12.002420000000001</v>
      </c>
      <c r="O48" s="152"/>
      <c r="P48" s="1220">
        <f>+'Income-2020-leva'!P48/1000</f>
        <v>0</v>
      </c>
      <c r="Q48" s="1682">
        <f>+'Income-2020-leva'!Q48/1000</f>
        <v>0</v>
      </c>
      <c r="R48" s="152"/>
      <c r="S48" s="152"/>
      <c r="T48" s="152"/>
      <c r="U48" s="152"/>
      <c r="V48" s="152"/>
      <c r="W48" s="152"/>
      <c r="X48" s="152"/>
      <c r="Y48" s="152"/>
      <c r="Z48" s="152"/>
    </row>
    <row r="49" spans="1:26" ht="15.75">
      <c r="A49" s="334" t="s">
        <v>1044</v>
      </c>
      <c r="B49" s="335">
        <f t="shared" si="1"/>
        <v>607</v>
      </c>
      <c r="C49" s="658"/>
      <c r="D49" s="774">
        <f>+'Income-2020-leva'!D49/1000+IF(+Rounding!$C$131=$B49,+Rounding!D$131,0)+IF(+Rounding!$C$132=$B49,+Rounding!D$132,0)+IF(+Rounding!$C$133=$B49,+Rounding!D$133,0)</f>
        <v>0.41536000000000001</v>
      </c>
      <c r="E49" s="775">
        <f>+'Income-2020-leva'!E49/1000+IF(+Rounding!$C$131=$B49,+Rounding!E$131,0)+IF(+Rounding!$C$132=$B49,+Rounding!E$132,0)+IF(+Rounding!$C$133=$B49,+Rounding!E$133,0)</f>
        <v>4.5827999999999998</v>
      </c>
      <c r="F49" s="658"/>
      <c r="G49" s="774">
        <f>+'Income-2020-leva'!G49/1000+IF(+Rounding!$G$131=$B49,+Rounding!H$131,0)+IF(+Rounding!$G$132=$B49,+Rounding!H$132,0)+IF(+Rounding!$G$133=$B49,+Rounding!H$133,0)</f>
        <v>0</v>
      </c>
      <c r="H49" s="775">
        <f>+'Income-2020-leva'!H49/1000+IF(+Rounding!$G$131=$B49,+Rounding!I$131,0)+IF(+Rounding!$G$132=$B49,+Rounding!I$132,0)+IF(+Rounding!$G$133=$B49,+Rounding!I$133,0)</f>
        <v>0</v>
      </c>
      <c r="I49" s="658"/>
      <c r="J49" s="774">
        <f>+'Income-2020-leva'!J49/1000+IF(+Rounding!$K$131=$B49,+Rounding!L$131,0)+IF(+Rounding!$K$132=$B49,+Rounding!L$132,0)+IF(+Rounding!$K$133=$B49,+Rounding!L$133,0)</f>
        <v>0</v>
      </c>
      <c r="K49" s="775">
        <f>+'Income-2020-leva'!K49/1000+IF(+Rounding!$K$131=$B49,+Rounding!M$131,0)+IF(+Rounding!$K$132=$B49,+Rounding!M$132,0)+IF(+Rounding!$K$133=$B49,+Rounding!M$133,0)</f>
        <v>0</v>
      </c>
      <c r="L49" s="658"/>
      <c r="M49" s="774">
        <f>++D49+G49+J49+IF(+Rounding!$O$131=$B49,+Rounding!P$131,0)+IF(+Rounding!$O$132=$B49,+Rounding!P$132,0)+IF(+Rounding!$O$133=$B49,+Rounding!P$133,0)</f>
        <v>0.41536000000000001</v>
      </c>
      <c r="N49" s="775">
        <f>++E49+H49+K49+IF(+Rounding!$O$131=$B49,+Rounding!Q$131,0)+IF(+Rounding!$O$132=$B49,+Rounding!Q$132,0)+IF(+Rounding!$O$133=$B49,+Rounding!Q$133,0)</f>
        <v>4.5827999999999998</v>
      </c>
      <c r="O49" s="152"/>
      <c r="P49" s="1683"/>
      <c r="Q49" s="1684"/>
      <c r="R49" s="152"/>
      <c r="S49" s="152"/>
      <c r="T49" s="152"/>
      <c r="U49" s="152"/>
      <c r="V49" s="152"/>
      <c r="W49" s="152"/>
      <c r="X49" s="152"/>
      <c r="Y49" s="152"/>
      <c r="Z49" s="152"/>
    </row>
    <row r="50" spans="1:26" ht="15.75">
      <c r="A50" s="334" t="s">
        <v>1094</v>
      </c>
      <c r="B50" s="335">
        <f t="shared" si="1"/>
        <v>608</v>
      </c>
      <c r="C50" s="658"/>
      <c r="D50" s="774">
        <f>+'Income-2020-leva'!D50/1000+IF(+Rounding!$C$131=$B50,+Rounding!D$131,0)+IF(+Rounding!$C$132=$B50,+Rounding!D$132,0)+IF(+Rounding!$C$133=$B50,+Rounding!D$133,0)</f>
        <v>0</v>
      </c>
      <c r="E50" s="775">
        <f>+'Income-2020-leva'!E50/1000+IF(+Rounding!$C$131=$B50,+Rounding!E$131,0)+IF(+Rounding!$C$132=$B50,+Rounding!E$132,0)+IF(+Rounding!$C$133=$B50,+Rounding!E$133,0)</f>
        <v>1.4578199999999999</v>
      </c>
      <c r="F50" s="658"/>
      <c r="G50" s="774">
        <f>+'Income-2020-leva'!G50/1000+IF(+Rounding!$G$131=$B50,+Rounding!H$131,0)+IF(+Rounding!$G$132=$B50,+Rounding!H$132,0)+IF(+Rounding!$G$133=$B50,+Rounding!H$133,0)</f>
        <v>0</v>
      </c>
      <c r="H50" s="775">
        <f>+'Income-2020-leva'!H50/1000+IF(+Rounding!$G$131=$B50,+Rounding!I$131,0)+IF(+Rounding!$G$132=$B50,+Rounding!I$132,0)+IF(+Rounding!$G$133=$B50,+Rounding!I$133,0)</f>
        <v>0</v>
      </c>
      <c r="I50" s="658"/>
      <c r="J50" s="774">
        <f>+'Income-2020-leva'!J50/1000+IF(+Rounding!$K$131=$B50,+Rounding!L$131,0)+IF(+Rounding!$K$132=$B50,+Rounding!L$132,0)+IF(+Rounding!$K$133=$B50,+Rounding!L$133,0)</f>
        <v>0</v>
      </c>
      <c r="K50" s="775">
        <f>+'Income-2020-leva'!K50/1000+IF(+Rounding!$K$131=$B50,+Rounding!M$131,0)+IF(+Rounding!$K$132=$B50,+Rounding!M$132,0)+IF(+Rounding!$K$133=$B50,+Rounding!M$133,0)</f>
        <v>0</v>
      </c>
      <c r="L50" s="658"/>
      <c r="M50" s="774">
        <f>++D50+G50+J50+IF(+Rounding!$O$131=$B50,+Rounding!P$131,0)+IF(+Rounding!$O$132=$B50,+Rounding!P$132,0)+IF(+Rounding!$O$133=$B50,+Rounding!P$133,0)</f>
        <v>0</v>
      </c>
      <c r="N50" s="775">
        <f>++E50+H50+K50+IF(+Rounding!$O$131=$B50,+Rounding!Q$131,0)+IF(+Rounding!$O$132=$B50,+Rounding!Q$132,0)+IF(+Rounding!$O$133=$B50,+Rounding!Q$133,0)</f>
        <v>1.4578199999999999</v>
      </c>
      <c r="O50" s="152"/>
      <c r="P50" s="1683"/>
      <c r="Q50" s="1684"/>
      <c r="R50" s="152"/>
      <c r="S50" s="152"/>
      <c r="T50" s="152"/>
      <c r="U50" s="152"/>
      <c r="V50" s="152"/>
      <c r="W50" s="152"/>
      <c r="X50" s="152"/>
      <c r="Y50" s="152"/>
      <c r="Z50" s="152"/>
    </row>
    <row r="51" spans="1:26" ht="15.75">
      <c r="A51" s="334" t="s">
        <v>1867</v>
      </c>
      <c r="B51" s="335">
        <f>1+B50</f>
        <v>609</v>
      </c>
      <c r="C51" s="658"/>
      <c r="D51" s="774">
        <f>+'Income-2020-leva'!D51/1000+IF(+Rounding!$C$131=$B51,+Rounding!D$131,0)+IF(+Rounding!$C$132=$B51,+Rounding!D$132,0)+IF(+Rounding!$C$133=$B51,+Rounding!D$133,0)</f>
        <v>0</v>
      </c>
      <c r="E51" s="775">
        <f>+'Income-2020-leva'!E51/1000+IF(+Rounding!$C$131=$B51,+Rounding!E$131,0)+IF(+Rounding!$C$132=$B51,+Rounding!E$132,0)+IF(+Rounding!$C$133=$B51,+Rounding!E$133,0)</f>
        <v>0.17299999999999999</v>
      </c>
      <c r="F51" s="658"/>
      <c r="G51" s="774">
        <f>+'Income-2020-leva'!G51/1000+IF(+Rounding!$G$131=$B51,+Rounding!H$131,0)+IF(+Rounding!$G$132=$B51,+Rounding!H$132,0)+IF(+Rounding!$G$133=$B51,+Rounding!H$133,0)</f>
        <v>0</v>
      </c>
      <c r="H51" s="775">
        <f>+'Income-2020-leva'!H51/1000+IF(+Rounding!$G$131=$B51,+Rounding!I$131,0)+IF(+Rounding!$G$132=$B51,+Rounding!I$132,0)+IF(+Rounding!$G$133=$B51,+Rounding!I$133,0)</f>
        <v>0</v>
      </c>
      <c r="I51" s="658"/>
      <c r="J51" s="774">
        <f>+'Income-2020-leva'!J51/1000+IF(+Rounding!$K$131=$B51,+Rounding!L$131,0)+IF(+Rounding!$K$132=$B51,+Rounding!L$132,0)+IF(+Rounding!$K$133=$B51,+Rounding!L$133,0)</f>
        <v>0</v>
      </c>
      <c r="K51" s="775">
        <f>+'Income-2020-leva'!K51/1000+IF(+Rounding!$K$131=$B51,+Rounding!M$131,0)+IF(+Rounding!$K$132=$B51,+Rounding!M$132,0)+IF(+Rounding!$K$133=$B51,+Rounding!M$133,0)</f>
        <v>0</v>
      </c>
      <c r="L51" s="658"/>
      <c r="M51" s="774">
        <f>++D51+G51+J51+IF(+Rounding!$O$131=$B51,+Rounding!P$131,0)+IF(+Rounding!$O$132=$B51,+Rounding!P$132,0)+IF(+Rounding!$O$133=$B51,+Rounding!P$133,0)</f>
        <v>0</v>
      </c>
      <c r="N51" s="775">
        <f>++E51+H51+K51+IF(+Rounding!$O$131=$B51,+Rounding!Q$131,0)+IF(+Rounding!$O$132=$B51,+Rounding!Q$132,0)+IF(+Rounding!$O$133=$B51,+Rounding!Q$133,0)</f>
        <v>0.17299999999999999</v>
      </c>
      <c r="O51" s="152"/>
      <c r="P51" s="1939"/>
      <c r="Q51" s="1940"/>
      <c r="R51" s="152"/>
      <c r="S51" s="152"/>
      <c r="T51" s="152"/>
      <c r="U51" s="152"/>
      <c r="V51" s="152"/>
      <c r="W51" s="152"/>
      <c r="X51" s="152"/>
      <c r="Y51" s="152"/>
      <c r="Z51" s="152"/>
    </row>
    <row r="52" spans="1:26" ht="15.75">
      <c r="A52" s="336" t="s">
        <v>1111</v>
      </c>
      <c r="B52" s="337">
        <v>611</v>
      </c>
      <c r="C52" s="658"/>
      <c r="D52" s="776">
        <f>+'Income-2020-leva'!D52/1000+IF(+Rounding!$C$131=$B52,+Rounding!D$131,0)+IF(+Rounding!$C$132=$B52,+Rounding!D$132,0)+IF(+Rounding!$C$133=$B52,+Rounding!D$133,0)</f>
        <v>0</v>
      </c>
      <c r="E52" s="777">
        <f>+'Income-2020-leva'!E52/1000+IF(+Rounding!$C$131=$B52,+Rounding!E$131,0)+IF(+Rounding!$C$132=$B52,+Rounding!E$132,0)+IF(+Rounding!$C$133=$B52,+Rounding!E$133,0)</f>
        <v>0</v>
      </c>
      <c r="F52" s="658"/>
      <c r="G52" s="776">
        <f>+'Income-2020-leva'!G52/1000+IF(+Rounding!$G$131=$B52,+Rounding!H$131,0)+IF(+Rounding!$G$132=$B52,+Rounding!H$132,0)+IF(+Rounding!$G$133=$B52,+Rounding!H$133,0)</f>
        <v>0</v>
      </c>
      <c r="H52" s="777">
        <f>+'Income-2020-leva'!H52/1000+IF(+Rounding!$G$131=$B52,+Rounding!I$131,0)+IF(+Rounding!$G$132=$B52,+Rounding!I$132,0)+IF(+Rounding!$G$133=$B52,+Rounding!I$133,0)</f>
        <v>0</v>
      </c>
      <c r="I52" s="658"/>
      <c r="J52" s="776">
        <f>+'Income-2020-leva'!J52/1000+IF(+Rounding!$K$131=$B52,+Rounding!L$131,0)+IF(+Rounding!$K$132=$B52,+Rounding!L$132,0)+IF(+Rounding!$K$133=$B52,+Rounding!L$133,0)</f>
        <v>0</v>
      </c>
      <c r="K52" s="777">
        <f>+'Income-2020-leva'!K52/1000+IF(+Rounding!$K$131=$B52,+Rounding!M$131,0)+IF(+Rounding!$K$132=$B52,+Rounding!M$132,0)+IF(+Rounding!$K$133=$B52,+Rounding!M$133,0)</f>
        <v>0</v>
      </c>
      <c r="L52" s="658"/>
      <c r="M52" s="776">
        <f>++D52+G52+J52+IF(+Rounding!$O$131=$B52,+Rounding!P$131,0)+IF(+Rounding!$O$132=$B52,+Rounding!P$132,0)+IF(+Rounding!$O$133=$B52,+Rounding!P$133,0)</f>
        <v>0</v>
      </c>
      <c r="N52" s="777">
        <f>++E52+H52+K52+IF(+Rounding!$O$131=$B52,+Rounding!Q$131,0)+IF(+Rounding!$O$132=$B52,+Rounding!Q$132,0)+IF(+Rounding!$O$133=$B52,+Rounding!Q$133,0)</f>
        <v>0</v>
      </c>
      <c r="O52" s="152"/>
      <c r="P52" s="1666" t="s">
        <v>1301</v>
      </c>
      <c r="Q52" s="1444" t="s">
        <v>1301</v>
      </c>
      <c r="R52" s="152"/>
      <c r="S52" s="152"/>
      <c r="T52" s="152"/>
      <c r="U52" s="152"/>
      <c r="V52" s="152"/>
      <c r="W52" s="152"/>
      <c r="X52" s="152"/>
      <c r="Y52" s="152"/>
      <c r="Z52" s="152"/>
    </row>
    <row r="53" spans="1:26" ht="15.75">
      <c r="A53" s="691" t="s">
        <v>1025</v>
      </c>
      <c r="B53" s="692">
        <v>610</v>
      </c>
      <c r="C53" s="658"/>
      <c r="D53" s="786">
        <f>+SUM(D43:D52)</f>
        <v>925.7627</v>
      </c>
      <c r="E53" s="787">
        <f>+SUM(E43:E52)</f>
        <v>1685.63769</v>
      </c>
      <c r="F53" s="658"/>
      <c r="G53" s="786">
        <f>+SUM(G43:G52)</f>
        <v>0</v>
      </c>
      <c r="H53" s="787">
        <f>+SUM(H43:H52)</f>
        <v>0</v>
      </c>
      <c r="I53" s="658"/>
      <c r="J53" s="786">
        <f>+SUM(J43:J52)</f>
        <v>0</v>
      </c>
      <c r="K53" s="787">
        <f>+SUM(K43:K52)</f>
        <v>0</v>
      </c>
      <c r="L53" s="658"/>
      <c r="M53" s="786">
        <f>+SUM(M43:M52)</f>
        <v>925.7627</v>
      </c>
      <c r="N53" s="787">
        <f>+SUM(N43:N52)</f>
        <v>1685.63769</v>
      </c>
      <c r="O53" s="152"/>
      <c r="P53" s="1681">
        <f>+SUM(P48:P51)</f>
        <v>0</v>
      </c>
      <c r="Q53" s="1681">
        <f>+SUM(Q48:Q51)</f>
        <v>0</v>
      </c>
      <c r="R53" s="152"/>
      <c r="S53" s="152"/>
      <c r="T53" s="152"/>
      <c r="U53" s="152"/>
      <c r="V53" s="152"/>
      <c r="W53" s="152"/>
      <c r="X53" s="152"/>
      <c r="Y53" s="152"/>
      <c r="Z53" s="152"/>
    </row>
    <row r="54" spans="1:26" ht="15.75">
      <c r="A54" s="172" t="s">
        <v>2171</v>
      </c>
      <c r="B54" s="173"/>
      <c r="C54" s="658"/>
      <c r="D54" s="780"/>
      <c r="E54" s="781"/>
      <c r="F54" s="658"/>
      <c r="G54" s="780"/>
      <c r="H54" s="781"/>
      <c r="I54" s="658"/>
      <c r="J54" s="780"/>
      <c r="K54" s="781"/>
      <c r="L54" s="658"/>
      <c r="M54" s="780"/>
      <c r="N54" s="781"/>
      <c r="O54" s="152"/>
      <c r="P54" s="2562" t="str">
        <f>+'Income-2020-leva'!P54:Q54</f>
        <v>O K</v>
      </c>
      <c r="Q54" s="2562"/>
      <c r="R54" s="152"/>
      <c r="S54" s="152"/>
      <c r="T54" s="152"/>
      <c r="U54" s="152"/>
      <c r="V54" s="152"/>
      <c r="W54" s="152"/>
      <c r="X54" s="152"/>
      <c r="Y54" s="152"/>
      <c r="Z54" s="152"/>
    </row>
    <row r="55" spans="1:26" ht="15.75">
      <c r="A55" s="334" t="s">
        <v>1060</v>
      </c>
      <c r="B55" s="335">
        <v>621</v>
      </c>
      <c r="C55" s="658"/>
      <c r="D55" s="774">
        <f>+'Income-2020-leva'!D55/1000+IF(+Rounding!$C$131=$B55,+Rounding!D$131,0)+IF(+Rounding!$C$132=$B55,+Rounding!D$132,0)+IF(+Rounding!$C$133=$B55,+Rounding!D$133,0)</f>
        <v>0</v>
      </c>
      <c r="E55" s="775">
        <f>+'Income-2020-leva'!E55/1000+IF(+Rounding!$C$131=$B55,+Rounding!E$131,0)+IF(+Rounding!$C$132=$B55,+Rounding!E$132,0)+IF(+Rounding!$C$133=$B55,+Rounding!E$133,0)</f>
        <v>0</v>
      </c>
      <c r="F55" s="658"/>
      <c r="G55" s="774">
        <f>+'Income-2020-leva'!G55/1000+IF(+Rounding!$G$131=$B55,+Rounding!H$131,0)+IF(+Rounding!$G$132=$B55,+Rounding!H$132,0)+IF(+Rounding!$G$133=$B55,+Rounding!H$133,0)</f>
        <v>0</v>
      </c>
      <c r="H55" s="775">
        <f>+'Income-2020-leva'!H55/1000+IF(+Rounding!$G$131=$B55,+Rounding!I$131,0)+IF(+Rounding!$G$132=$B55,+Rounding!I$132,0)+IF(+Rounding!$G$133=$B55,+Rounding!I$133,0)</f>
        <v>0</v>
      </c>
      <c r="I55" s="658"/>
      <c r="J55" s="774">
        <f>+'Income-2020-leva'!J55/1000+IF(+Rounding!$K$131=$B55,+Rounding!L$131,0)+IF(+Rounding!$K$132=$B55,+Rounding!L$132,0)+IF(+Rounding!$K$133=$B55,+Rounding!L$133,0)</f>
        <v>0</v>
      </c>
      <c r="K55" s="775">
        <f>+'Income-2020-leva'!K55/1000+IF(+Rounding!$K$131=$B55,+Rounding!M$131,0)+IF(+Rounding!$K$132=$B55,+Rounding!M$132,0)+IF(+Rounding!$K$133=$B55,+Rounding!M$133,0)</f>
        <v>0</v>
      </c>
      <c r="L55" s="658"/>
      <c r="M55" s="774">
        <f>++D55+G55+J55+IF(+Rounding!$O$131=$B55,+Rounding!P$131,0)+IF(+Rounding!$O$132=$B55,+Rounding!P$132,0)+IF(+Rounding!$O$133=$B55,+Rounding!P$133,0)</f>
        <v>0</v>
      </c>
      <c r="N55" s="775">
        <f>++E55+H55+K55+IF(+Rounding!$O$131=$B55,+Rounding!Q$131,0)+IF(+Rounding!$O$132=$B55,+Rounding!Q$132,0)+IF(+Rounding!$O$133=$B55,+Rounding!Q$133,0)</f>
        <v>0</v>
      </c>
      <c r="O55" s="152"/>
      <c r="P55" s="2598" t="str">
        <f>+'Income-2020-leva'!P55:Q55</f>
        <v>O K</v>
      </c>
      <c r="Q55" s="2598"/>
      <c r="R55" s="152"/>
      <c r="S55" s="152"/>
      <c r="T55" s="152"/>
      <c r="U55" s="152"/>
      <c r="V55" s="152"/>
      <c r="W55" s="152"/>
      <c r="X55" s="152"/>
      <c r="Y55" s="152"/>
      <c r="Z55" s="152"/>
    </row>
    <row r="56" spans="1:26" ht="15.75">
      <c r="A56" s="334" t="s">
        <v>1061</v>
      </c>
      <c r="B56" s="335">
        <f>1+B55</f>
        <v>622</v>
      </c>
      <c r="C56" s="658"/>
      <c r="D56" s="774">
        <f>+'Income-2020-leva'!D56/1000+IF(+Rounding!$C$131=$B56,+Rounding!D$131,0)+IF(+Rounding!$C$132=$B56,+Rounding!D$132,0)+IF(+Rounding!$C$133=$B56,+Rounding!D$133,0)</f>
        <v>0</v>
      </c>
      <c r="E56" s="775">
        <f>+'Income-2020-leva'!E56/1000+IF(+Rounding!$C$131=$B56,+Rounding!E$131,0)+IF(+Rounding!$C$132=$B56,+Rounding!E$132,0)+IF(+Rounding!$C$133=$B56,+Rounding!E$133,0)</f>
        <v>0</v>
      </c>
      <c r="F56" s="658"/>
      <c r="G56" s="774">
        <f>+'Income-2020-leva'!G56/1000+IF(+Rounding!$G$131=$B56,+Rounding!H$131,0)+IF(+Rounding!$G$132=$B56,+Rounding!H$132,0)+IF(+Rounding!$G$133=$B56,+Rounding!H$133,0)</f>
        <v>0</v>
      </c>
      <c r="H56" s="775">
        <f>+'Income-2020-leva'!H56/1000+IF(+Rounding!$G$131=$B56,+Rounding!I$131,0)+IF(+Rounding!$G$132=$B56,+Rounding!I$132,0)+IF(+Rounding!$G$133=$B56,+Rounding!I$133,0)</f>
        <v>0</v>
      </c>
      <c r="I56" s="658"/>
      <c r="J56" s="774">
        <f>+'Income-2020-leva'!J56/1000+IF(+Rounding!$K$131=$B56,+Rounding!L$131,0)+IF(+Rounding!$K$132=$B56,+Rounding!L$132,0)+IF(+Rounding!$K$133=$B56,+Rounding!L$133,0)</f>
        <v>0</v>
      </c>
      <c r="K56" s="775">
        <f>+'Income-2020-leva'!K56/1000+IF(+Rounding!$K$131=$B56,+Rounding!M$131,0)+IF(+Rounding!$K$132=$B56,+Rounding!M$132,0)+IF(+Rounding!$K$133=$B56,+Rounding!M$133,0)</f>
        <v>0</v>
      </c>
      <c r="L56" s="658"/>
      <c r="M56" s="774">
        <f>++D56+G56+J56+IF(+Rounding!$O$131=$B56,+Rounding!P$131,0)+IF(+Rounding!$O$132=$B56,+Rounding!P$132,0)+IF(+Rounding!$O$133=$B56,+Rounding!P$133,0)</f>
        <v>0</v>
      </c>
      <c r="N56" s="775">
        <f>++E56+H56+K56+IF(+Rounding!$O$131=$B56,+Rounding!Q$131,0)+IF(+Rounding!$O$132=$B56,+Rounding!Q$132,0)+IF(+Rounding!$O$133=$B56,+Rounding!Q$133,0)</f>
        <v>0</v>
      </c>
      <c r="O56" s="152"/>
      <c r="P56" s="152"/>
      <c r="Q56" s="152"/>
      <c r="R56" s="152"/>
      <c r="S56" s="152"/>
      <c r="T56" s="152"/>
      <c r="U56" s="152"/>
      <c r="V56" s="152"/>
      <c r="W56" s="152"/>
      <c r="X56" s="152"/>
      <c r="Y56" s="152"/>
      <c r="Z56" s="152"/>
    </row>
    <row r="57" spans="1:26" ht="15.75">
      <c r="A57" s="336" t="s">
        <v>1138</v>
      </c>
      <c r="B57" s="337">
        <f>1+B56</f>
        <v>623</v>
      </c>
      <c r="C57" s="658"/>
      <c r="D57" s="776">
        <f>+'Income-2020-leva'!D57/1000+IF(+Rounding!$C$131=$B57,+Rounding!D$131,0)+IF(+Rounding!$C$132=$B57,+Rounding!D$132,0)+IF(+Rounding!$C$133=$B57,+Rounding!D$133,0)</f>
        <v>0</v>
      </c>
      <c r="E57" s="777">
        <f>+'Income-2020-leva'!E57/1000+IF(+Rounding!$C$131=$B57,+Rounding!E$131,0)+IF(+Rounding!$C$132=$B57,+Rounding!E$132,0)+IF(+Rounding!$C$133=$B57,+Rounding!E$133,0)</f>
        <v>0</v>
      </c>
      <c r="F57" s="658"/>
      <c r="G57" s="776">
        <f>+'Income-2020-leva'!G57/1000+IF(+Rounding!$G$131=$B57,+Rounding!H$131,0)+IF(+Rounding!$G$132=$B57,+Rounding!H$132,0)+IF(+Rounding!$G$133=$B57,+Rounding!H$133,0)</f>
        <v>0</v>
      </c>
      <c r="H57" s="777">
        <f>+'Income-2020-leva'!H57/1000+IF(+Rounding!$G$131=$B57,+Rounding!I$131,0)+IF(+Rounding!$G$132=$B57,+Rounding!I$132,0)+IF(+Rounding!$G$133=$B57,+Rounding!I$133,0)</f>
        <v>0</v>
      </c>
      <c r="I57" s="658"/>
      <c r="J57" s="776">
        <f>+'Income-2020-leva'!J57/1000+IF(+Rounding!$K$131=$B57,+Rounding!L$131,0)+IF(+Rounding!$K$132=$B57,+Rounding!L$132,0)+IF(+Rounding!$K$133=$B57,+Rounding!L$133,0)</f>
        <v>0</v>
      </c>
      <c r="K57" s="777">
        <f>+'Income-2020-leva'!K57/1000+IF(+Rounding!$K$131=$B57,+Rounding!M$131,0)+IF(+Rounding!$K$132=$B57,+Rounding!M$132,0)+IF(+Rounding!$K$133=$B57,+Rounding!M$133,0)</f>
        <v>0</v>
      </c>
      <c r="L57" s="658"/>
      <c r="M57" s="776">
        <f>++D57+G57+J57+IF(+Rounding!$O$131=$B57,+Rounding!P$131,0)+IF(+Rounding!$O$132=$B57,+Rounding!P$132,0)+IF(+Rounding!$O$133=$B57,+Rounding!P$133,0)</f>
        <v>0</v>
      </c>
      <c r="N57" s="777">
        <f>++E57+H57+K57+IF(+Rounding!$O$131=$B57,+Rounding!Q$131,0)+IF(+Rounding!$O$132=$B57,+Rounding!Q$132,0)+IF(+Rounding!$O$133=$B57,+Rounding!Q$133,0)</f>
        <v>0</v>
      </c>
      <c r="O57" s="152"/>
      <c r="P57" s="152"/>
      <c r="Q57" s="152"/>
      <c r="R57" s="152"/>
      <c r="S57" s="152"/>
      <c r="T57" s="152"/>
      <c r="U57" s="152"/>
      <c r="V57" s="152"/>
      <c r="W57" s="152"/>
      <c r="X57" s="152"/>
      <c r="Y57" s="152"/>
      <c r="Z57" s="152"/>
    </row>
    <row r="58" spans="1:26" ht="15.75">
      <c r="A58" s="691" t="s">
        <v>1024</v>
      </c>
      <c r="B58" s="692">
        <v>620</v>
      </c>
      <c r="C58" s="658"/>
      <c r="D58" s="786">
        <f>+SUM(D55:D57)</f>
        <v>0</v>
      </c>
      <c r="E58" s="787">
        <f>+SUM(E55:E57)</f>
        <v>0</v>
      </c>
      <c r="F58" s="658"/>
      <c r="G58" s="786">
        <f>+SUM(G55:G57)</f>
        <v>0</v>
      </c>
      <c r="H58" s="787">
        <f>+SUM(H55:H57)</f>
        <v>0</v>
      </c>
      <c r="I58" s="658"/>
      <c r="J58" s="786">
        <f>+SUM(J55:J57)</f>
        <v>0</v>
      </c>
      <c r="K58" s="787">
        <f>+SUM(K55:K57)</f>
        <v>0</v>
      </c>
      <c r="L58" s="658"/>
      <c r="M58" s="786">
        <f>+SUM(M55:M57)</f>
        <v>0</v>
      </c>
      <c r="N58" s="787">
        <f>+SUM(N55:N57)</f>
        <v>0</v>
      </c>
      <c r="O58" s="152"/>
      <c r="P58" s="152"/>
      <c r="Q58" s="152"/>
      <c r="R58" s="152"/>
      <c r="S58" s="152"/>
      <c r="T58" s="152"/>
      <c r="U58" s="152"/>
      <c r="V58" s="152"/>
      <c r="W58" s="152"/>
      <c r="X58" s="152"/>
      <c r="Y58" s="152"/>
      <c r="Z58" s="152"/>
    </row>
    <row r="59" spans="1:26" ht="15.75">
      <c r="A59" s="172" t="s">
        <v>1062</v>
      </c>
      <c r="B59" s="173"/>
      <c r="C59" s="658"/>
      <c r="D59" s="780"/>
      <c r="E59" s="781"/>
      <c r="F59" s="658"/>
      <c r="G59" s="780"/>
      <c r="H59" s="781"/>
      <c r="I59" s="658"/>
      <c r="J59" s="780"/>
      <c r="K59" s="781"/>
      <c r="L59" s="658"/>
      <c r="M59" s="780"/>
      <c r="N59" s="781"/>
      <c r="O59" s="152"/>
      <c r="P59" s="152"/>
      <c r="Q59" s="152"/>
      <c r="R59" s="152"/>
      <c r="S59" s="152"/>
      <c r="T59" s="152"/>
      <c r="U59" s="152"/>
      <c r="V59" s="152"/>
      <c r="W59" s="152"/>
      <c r="X59" s="152"/>
      <c r="Y59" s="152"/>
      <c r="Z59" s="152"/>
    </row>
    <row r="60" spans="1:26" ht="15.75">
      <c r="A60" s="334" t="s">
        <v>1045</v>
      </c>
      <c r="B60" s="335">
        <v>631</v>
      </c>
      <c r="C60" s="658"/>
      <c r="D60" s="774">
        <f>+'Income-2020-leva'!D60/1000+IF(+Rounding!$C$131=$B60,+Rounding!D$131,0)+IF(+Rounding!$C$132=$B60,+Rounding!D$132,0)+IF(+Rounding!$C$133=$B60,+Rounding!D$133,0)</f>
        <v>0</v>
      </c>
      <c r="E60" s="775">
        <f>+'Income-2020-leva'!E60/1000+IF(+Rounding!$C$131=$B60,+Rounding!E$131,0)+IF(+Rounding!$C$132=$B60,+Rounding!E$132,0)+IF(+Rounding!$C$133=$B60,+Rounding!E$133,0)</f>
        <v>0</v>
      </c>
      <c r="F60" s="658"/>
      <c r="G60" s="774">
        <f>+'Income-2020-leva'!G60/1000+IF(+Rounding!$G$131=$B60,+Rounding!H$131,0)+IF(+Rounding!$G$132=$B60,+Rounding!H$132,0)+IF(+Rounding!$G$133=$B60,+Rounding!H$133,0)</f>
        <v>0</v>
      </c>
      <c r="H60" s="775">
        <f>+'Income-2020-leva'!H60/1000+IF(+Rounding!$G$131=$B60,+Rounding!I$131,0)+IF(+Rounding!$G$132=$B60,+Rounding!I$132,0)+IF(+Rounding!$G$133=$B60,+Rounding!I$133,0)</f>
        <v>0</v>
      </c>
      <c r="I60" s="658"/>
      <c r="J60" s="774">
        <f>+'Income-2020-leva'!J60/1000+IF(+Rounding!$K$131=$B60,+Rounding!L$131,0)+IF(+Rounding!$K$132=$B60,+Rounding!L$132,0)+IF(+Rounding!$K$133=$B60,+Rounding!L$133,0)</f>
        <v>0</v>
      </c>
      <c r="K60" s="775">
        <f>+'Income-2020-leva'!K60/1000+IF(+Rounding!$K$131=$B60,+Rounding!M$131,0)+IF(+Rounding!$K$132=$B60,+Rounding!M$132,0)+IF(+Rounding!$K$133=$B60,+Rounding!M$133,0)</f>
        <v>0</v>
      </c>
      <c r="L60" s="658"/>
      <c r="M60" s="774">
        <f>++D60+G60+J60+IF(+Rounding!$O$131=$B60,+Rounding!P$131,0)+IF(+Rounding!$O$132=$B60,+Rounding!P$132,0)+IF(+Rounding!$O$133=$B60,+Rounding!P$133,0)</f>
        <v>0</v>
      </c>
      <c r="N60" s="775">
        <f>++E60+H60+K60+IF(+Rounding!$O$131=$B60,+Rounding!Q$131,0)+IF(+Rounding!$O$132=$B60,+Rounding!Q$132,0)+IF(+Rounding!$O$133=$B60,+Rounding!Q$133,0)</f>
        <v>0</v>
      </c>
      <c r="O60" s="152"/>
      <c r="P60" s="152"/>
      <c r="Q60" s="152"/>
      <c r="R60" s="152"/>
      <c r="S60" s="152"/>
      <c r="T60" s="152"/>
      <c r="U60" s="152"/>
      <c r="V60" s="152"/>
      <c r="W60" s="152"/>
      <c r="X60" s="152"/>
      <c r="Y60" s="152"/>
      <c r="Z60" s="152"/>
    </row>
    <row r="61" spans="1:26" ht="15.75">
      <c r="A61" s="336" t="s">
        <v>1046</v>
      </c>
      <c r="B61" s="335">
        <v>632</v>
      </c>
      <c r="C61" s="658"/>
      <c r="D61" s="776">
        <f>+'Income-2020-leva'!D61/1000+IF(+Rounding!$C$131=$B61,+Rounding!D$131,0)+IF(+Rounding!$C$132=$B61,+Rounding!D$132,0)+IF(+Rounding!$C$133=$B61,+Rounding!D$133,0)</f>
        <v>0</v>
      </c>
      <c r="E61" s="777">
        <f>+'Income-2020-leva'!E61/1000+IF(+Rounding!$C$131=$B61,+Rounding!E$131,0)+IF(+Rounding!$C$132=$B61,+Rounding!E$132,0)+IF(+Rounding!$C$133=$B61,+Rounding!E$133,0)</f>
        <v>0</v>
      </c>
      <c r="F61" s="658"/>
      <c r="G61" s="776">
        <f>+'Income-2020-leva'!G61/1000+IF(+Rounding!$G$131=$B61,+Rounding!H$131,0)+IF(+Rounding!$G$132=$B61,+Rounding!H$132,0)+IF(+Rounding!$G$133=$B61,+Rounding!H$133,0)</f>
        <v>0</v>
      </c>
      <c r="H61" s="777">
        <f>+'Income-2020-leva'!H61/1000+IF(+Rounding!$G$131=$B61,+Rounding!I$131,0)+IF(+Rounding!$G$132=$B61,+Rounding!I$132,0)+IF(+Rounding!$G$133=$B61,+Rounding!I$133,0)</f>
        <v>0</v>
      </c>
      <c r="I61" s="658"/>
      <c r="J61" s="776">
        <f>+'Income-2020-leva'!J61/1000+IF(+Rounding!$K$131=$B61,+Rounding!L$131,0)+IF(+Rounding!$K$132=$B61,+Rounding!L$132,0)+IF(+Rounding!$K$133=$B61,+Rounding!L$133,0)</f>
        <v>0</v>
      </c>
      <c r="K61" s="777">
        <f>+'Income-2020-leva'!K61/1000+IF(+Rounding!$K$131=$B61,+Rounding!M$131,0)+IF(+Rounding!$K$132=$B61,+Rounding!M$132,0)+IF(+Rounding!$K$133=$B61,+Rounding!M$133,0)</f>
        <v>0</v>
      </c>
      <c r="L61" s="658"/>
      <c r="M61" s="776">
        <f>++D61+G61+J61+IF(+Rounding!$O$131=$B61,+Rounding!P$131,0)+IF(+Rounding!$O$132=$B61,+Rounding!P$132,0)+IF(+Rounding!$O$133=$B61,+Rounding!P$133,0)</f>
        <v>0</v>
      </c>
      <c r="N61" s="777">
        <f>++E61+H61+K61+IF(+Rounding!$O$131=$B61,+Rounding!Q$131,0)+IF(+Rounding!$O$132=$B61,+Rounding!Q$132,0)+IF(+Rounding!$O$133=$B61,+Rounding!Q$133,0)</f>
        <v>0</v>
      </c>
      <c r="O61" s="152"/>
      <c r="P61" s="152"/>
      <c r="Q61" s="152"/>
      <c r="R61" s="152"/>
      <c r="S61" s="152"/>
      <c r="T61" s="152"/>
      <c r="U61" s="152"/>
      <c r="V61" s="152"/>
      <c r="W61" s="152"/>
      <c r="X61" s="152"/>
      <c r="Y61" s="152"/>
      <c r="Z61" s="152"/>
    </row>
    <row r="62" spans="1:26" ht="15.75">
      <c r="A62" s="691" t="s">
        <v>1026</v>
      </c>
      <c r="B62" s="692">
        <v>630</v>
      </c>
      <c r="C62" s="658"/>
      <c r="D62" s="786">
        <f>++SUM(D60:D61)</f>
        <v>0</v>
      </c>
      <c r="E62" s="787">
        <f>++SUM(E60:E61)</f>
        <v>0</v>
      </c>
      <c r="F62" s="658"/>
      <c r="G62" s="786">
        <f>++SUM(G60:G61)</f>
        <v>0</v>
      </c>
      <c r="H62" s="787">
        <f>++SUM(H60:H61)</f>
        <v>0</v>
      </c>
      <c r="I62" s="658"/>
      <c r="J62" s="786">
        <f>++SUM(J60:J61)</f>
        <v>0</v>
      </c>
      <c r="K62" s="787">
        <f>++SUM(K60:K61)</f>
        <v>0</v>
      </c>
      <c r="L62" s="658"/>
      <c r="M62" s="786">
        <f>++SUM(M60:M61)</f>
        <v>0</v>
      </c>
      <c r="N62" s="787">
        <f>++SUM(N60:N61)</f>
        <v>0</v>
      </c>
      <c r="O62" s="152"/>
      <c r="P62" s="152"/>
      <c r="Q62" s="152"/>
      <c r="R62" s="152"/>
      <c r="S62" s="152"/>
      <c r="T62" s="152"/>
      <c r="U62" s="152"/>
      <c r="V62" s="152"/>
      <c r="W62" s="152"/>
      <c r="X62" s="152"/>
      <c r="Y62" s="152"/>
      <c r="Z62" s="152"/>
    </row>
    <row r="63" spans="1:26" ht="15.75">
      <c r="A63" s="172" t="s">
        <v>1063</v>
      </c>
      <c r="B63" s="173"/>
      <c r="C63" s="658"/>
      <c r="D63" s="780"/>
      <c r="E63" s="781"/>
      <c r="F63" s="658"/>
      <c r="G63" s="780"/>
      <c r="H63" s="781"/>
      <c r="I63" s="658"/>
      <c r="J63" s="780"/>
      <c r="K63" s="781"/>
      <c r="L63" s="658"/>
      <c r="M63" s="780"/>
      <c r="N63" s="781"/>
      <c r="O63" s="152"/>
      <c r="P63" s="152"/>
      <c r="Q63" s="152"/>
      <c r="R63" s="152"/>
      <c r="S63" s="152"/>
      <c r="T63" s="152"/>
      <c r="U63" s="152"/>
      <c r="V63" s="152"/>
      <c r="W63" s="152"/>
      <c r="X63" s="152"/>
      <c r="Y63" s="152"/>
      <c r="Z63" s="152"/>
    </row>
    <row r="64" spans="1:26" ht="15.75">
      <c r="A64" s="334" t="s">
        <v>1106</v>
      </c>
      <c r="B64" s="335">
        <v>641</v>
      </c>
      <c r="C64" s="658"/>
      <c r="D64" s="774">
        <f>+'Income-2020-leva'!D64/1000+IF(+Rounding!$C$131=$B64,+Rounding!D$131,0)+IF(+Rounding!$C$132=$B64,+Rounding!D$132,0)+IF(+Rounding!$C$133=$B64,+Rounding!D$133,0)</f>
        <v>0</v>
      </c>
      <c r="E64" s="775">
        <f>+'Income-2020-leva'!E64/1000+IF(+Rounding!$C$131=$B64,+Rounding!E$131,0)+IF(+Rounding!$C$132=$B64,+Rounding!E$132,0)+IF(+Rounding!$C$133=$B64,+Rounding!E$133,0)</f>
        <v>0</v>
      </c>
      <c r="F64" s="658"/>
      <c r="G64" s="774">
        <f>+'Income-2020-leva'!G64/1000+IF(+Rounding!$G$131=$B64,+Rounding!H$131,0)+IF(+Rounding!$G$132=$B64,+Rounding!H$132,0)+IF(+Rounding!$G$133=$B64,+Rounding!H$133,0)</f>
        <v>0</v>
      </c>
      <c r="H64" s="775">
        <f>+'Income-2020-leva'!H64/1000+IF(+Rounding!$G$131=$B64,+Rounding!I$131,0)+IF(+Rounding!$G$132=$B64,+Rounding!I$132,0)+IF(+Rounding!$G$133=$B64,+Rounding!I$133,0)</f>
        <v>0</v>
      </c>
      <c r="I64" s="658"/>
      <c r="J64" s="774">
        <f>+'Income-2020-leva'!J64/1000+IF(+Rounding!$K$131=$B64,+Rounding!L$131,0)+IF(+Rounding!$K$132=$B64,+Rounding!L$132,0)+IF(+Rounding!$K$133=$B64,+Rounding!L$133,0)</f>
        <v>0</v>
      </c>
      <c r="K64" s="775">
        <f>+'Income-2020-leva'!K64/1000+IF(+Rounding!$K$131=$B64,+Rounding!M$131,0)+IF(+Rounding!$K$132=$B64,+Rounding!M$132,0)+IF(+Rounding!$K$133=$B64,+Rounding!M$133,0)</f>
        <v>0</v>
      </c>
      <c r="L64" s="658"/>
      <c r="M64" s="774">
        <f>++D64+G64+J64+IF(+Rounding!$O$131=$B64,+Rounding!P$131,0)+IF(+Rounding!$O$132=$B64,+Rounding!P$132,0)+IF(+Rounding!$O$133=$B64,+Rounding!P$133,0)</f>
        <v>0</v>
      </c>
      <c r="N64" s="775">
        <f>++E64+H64+K64+IF(+Rounding!$O$131=$B64,+Rounding!Q$131,0)+IF(+Rounding!$O$132=$B64,+Rounding!Q$132,0)+IF(+Rounding!$O$133=$B64,+Rounding!Q$133,0)</f>
        <v>0</v>
      </c>
      <c r="O64" s="152"/>
      <c r="P64" s="152"/>
      <c r="Q64" s="152"/>
      <c r="R64" s="152"/>
      <c r="S64" s="152"/>
      <c r="T64" s="152"/>
      <c r="U64" s="152"/>
      <c r="V64" s="152"/>
      <c r="W64" s="152"/>
      <c r="X64" s="152"/>
      <c r="Y64" s="152"/>
      <c r="Z64" s="152"/>
    </row>
    <row r="65" spans="1:26" ht="15.75">
      <c r="A65" s="334" t="s">
        <v>1107</v>
      </c>
      <c r="B65" s="335">
        <f>1+B64</f>
        <v>642</v>
      </c>
      <c r="C65" s="658"/>
      <c r="D65" s="774">
        <f>+'Income-2020-leva'!D65/1000+IF(+Rounding!$C$131=$B65,+Rounding!D$131,0)+IF(+Rounding!$C$132=$B65,+Rounding!D$132,0)+IF(+Rounding!$C$133=$B65,+Rounding!D$133,0)</f>
        <v>0</v>
      </c>
      <c r="E65" s="775">
        <f>+'Income-2020-leva'!E65/1000+IF(+Rounding!$C$131=$B65,+Rounding!E$131,0)+IF(+Rounding!$C$132=$B65,+Rounding!E$132,0)+IF(+Rounding!$C$133=$B65,+Rounding!E$133,0)</f>
        <v>0</v>
      </c>
      <c r="F65" s="658"/>
      <c r="G65" s="774">
        <f>+'Income-2020-leva'!G65/1000+IF(+Rounding!$G$131=$B65,+Rounding!H$131,0)+IF(+Rounding!$G$132=$B65,+Rounding!H$132,0)+IF(+Rounding!$G$133=$B65,+Rounding!H$133,0)</f>
        <v>0</v>
      </c>
      <c r="H65" s="775">
        <f>+'Income-2020-leva'!H65/1000+IF(+Rounding!$G$131=$B65,+Rounding!I$131,0)+IF(+Rounding!$G$132=$B65,+Rounding!I$132,0)+IF(+Rounding!$G$133=$B65,+Rounding!I$133,0)</f>
        <v>0</v>
      </c>
      <c r="I65" s="658"/>
      <c r="J65" s="774">
        <f>+'Income-2020-leva'!J65/1000+IF(+Rounding!$K$131=$B65,+Rounding!L$131,0)+IF(+Rounding!$K$132=$B65,+Rounding!L$132,0)+IF(+Rounding!$K$133=$B65,+Rounding!L$133,0)</f>
        <v>0</v>
      </c>
      <c r="K65" s="775">
        <f>+'Income-2020-leva'!K65/1000+IF(+Rounding!$K$131=$B65,+Rounding!M$131,0)+IF(+Rounding!$K$132=$B65,+Rounding!M$132,0)+IF(+Rounding!$K$133=$B65,+Rounding!M$133,0)</f>
        <v>0</v>
      </c>
      <c r="L65" s="658"/>
      <c r="M65" s="774">
        <f>++D65+G65+J65+IF(+Rounding!$O$131=$B65,+Rounding!P$131,0)+IF(+Rounding!$O$132=$B65,+Rounding!P$132,0)+IF(+Rounding!$O$133=$B65,+Rounding!P$133,0)</f>
        <v>0</v>
      </c>
      <c r="N65" s="775">
        <f>++E65+H65+K65+IF(+Rounding!$O$131=$B65,+Rounding!Q$131,0)+IF(+Rounding!$O$132=$B65,+Rounding!Q$132,0)+IF(+Rounding!$O$133=$B65,+Rounding!Q$133,0)</f>
        <v>0</v>
      </c>
      <c r="O65" s="152"/>
      <c r="P65" s="152"/>
      <c r="Q65" s="152"/>
      <c r="R65" s="152"/>
      <c r="S65" s="152"/>
      <c r="T65" s="152"/>
      <c r="U65" s="152"/>
      <c r="V65" s="152"/>
      <c r="W65" s="152"/>
      <c r="X65" s="152"/>
      <c r="Y65" s="152"/>
      <c r="Z65" s="152"/>
    </row>
    <row r="66" spans="1:26" ht="15.75">
      <c r="A66" s="691" t="s">
        <v>1027</v>
      </c>
      <c r="B66" s="692">
        <v>640</v>
      </c>
      <c r="C66" s="658"/>
      <c r="D66" s="786">
        <f>++SUM(D64:D65)</f>
        <v>0</v>
      </c>
      <c r="E66" s="787">
        <f>++SUM(E64:E65)</f>
        <v>0</v>
      </c>
      <c r="F66" s="658"/>
      <c r="G66" s="786">
        <f>++SUM(G64:G65)</f>
        <v>0</v>
      </c>
      <c r="H66" s="787">
        <f>++SUM(H64:H65)</f>
        <v>0</v>
      </c>
      <c r="I66" s="658"/>
      <c r="J66" s="786">
        <f>++SUM(J64:J65)</f>
        <v>0</v>
      </c>
      <c r="K66" s="787">
        <f>++SUM(K64:K65)</f>
        <v>0</v>
      </c>
      <c r="L66" s="658"/>
      <c r="M66" s="786">
        <f>++SUM(M64:M65)</f>
        <v>0</v>
      </c>
      <c r="N66" s="787">
        <f>++SUM(N64:N65)</f>
        <v>0</v>
      </c>
      <c r="O66" s="152"/>
      <c r="P66" s="152"/>
      <c r="Q66" s="152"/>
      <c r="R66" s="152"/>
      <c r="S66" s="152"/>
      <c r="T66" s="152"/>
      <c r="U66" s="152"/>
      <c r="V66" s="152"/>
      <c r="W66" s="152"/>
      <c r="X66" s="152"/>
      <c r="Y66" s="152"/>
      <c r="Z66" s="152"/>
    </row>
    <row r="67" spans="1:26" ht="15.75">
      <c r="A67" s="172" t="s">
        <v>1053</v>
      </c>
      <c r="B67" s="173"/>
      <c r="C67" s="658"/>
      <c r="D67" s="780"/>
      <c r="E67" s="781"/>
      <c r="F67" s="658"/>
      <c r="G67" s="780"/>
      <c r="H67" s="781"/>
      <c r="I67" s="658"/>
      <c r="J67" s="780"/>
      <c r="K67" s="781"/>
      <c r="L67" s="658"/>
      <c r="M67" s="780"/>
      <c r="N67" s="781"/>
      <c r="O67" s="152"/>
      <c r="P67" s="152"/>
      <c r="Q67" s="152"/>
      <c r="R67" s="152"/>
      <c r="S67" s="152"/>
      <c r="T67" s="152"/>
      <c r="U67" s="152"/>
      <c r="V67" s="152"/>
      <c r="W67" s="152"/>
      <c r="X67" s="152"/>
      <c r="Y67" s="152"/>
      <c r="Z67" s="152"/>
    </row>
    <row r="68" spans="1:26" ht="15.75">
      <c r="A68" s="334" t="s">
        <v>1051</v>
      </c>
      <c r="B68" s="335">
        <v>651</v>
      </c>
      <c r="C68" s="658"/>
      <c r="D68" s="774">
        <f>+'Income-2020-leva'!D68/1000+IF(+Rounding!$C$131=$B68,+Rounding!D$131,0)+IF(+Rounding!$C$132=$B68,+Rounding!D$132,0)+IF(+Rounding!$C$133=$B68,+Rounding!D$133,0)</f>
        <v>0</v>
      </c>
      <c r="E68" s="775">
        <f>+'Income-2020-leva'!E68/1000+IF(+Rounding!$C$131=$B68,+Rounding!E$131,0)+IF(+Rounding!$C$132=$B68,+Rounding!E$132,0)+IF(+Rounding!$C$133=$B68,+Rounding!E$133,0)</f>
        <v>0</v>
      </c>
      <c r="F68" s="658"/>
      <c r="G68" s="774">
        <f>+'Income-2020-leva'!G68/1000+IF(+Rounding!$G$131=$B68,+Rounding!H$131,0)+IF(+Rounding!$G$132=$B68,+Rounding!H$132,0)+IF(+Rounding!$G$133=$B68,+Rounding!H$133,0)</f>
        <v>0</v>
      </c>
      <c r="H68" s="775">
        <f>+'Income-2020-leva'!H68/1000+IF(+Rounding!$G$131=$B68,+Rounding!I$131,0)+IF(+Rounding!$G$132=$B68,+Rounding!I$132,0)+IF(+Rounding!$G$133=$B68,+Rounding!I$133,0)</f>
        <v>0</v>
      </c>
      <c r="I68" s="658"/>
      <c r="J68" s="774">
        <f>+'Income-2020-leva'!J68/1000+IF(+Rounding!$K$131=$B68,+Rounding!L$131,0)+IF(+Rounding!$K$132=$B68,+Rounding!L$132,0)+IF(+Rounding!$K$133=$B68,+Rounding!L$133,0)</f>
        <v>0</v>
      </c>
      <c r="K68" s="775">
        <f>+'Income-2020-leva'!K68/1000+IF(+Rounding!$K$131=$B68,+Rounding!M$131,0)+IF(+Rounding!$K$132=$B68,+Rounding!M$132,0)+IF(+Rounding!$K$133=$B68,+Rounding!M$133,0)</f>
        <v>0</v>
      </c>
      <c r="L68" s="658"/>
      <c r="M68" s="774">
        <f>++D68+G68+J68+IF(+Rounding!$O$131=$B68,+Rounding!P$131,0)+IF(+Rounding!$O$132=$B68,+Rounding!P$132,0)+IF(+Rounding!$O$133=$B68,+Rounding!P$133,0)</f>
        <v>0</v>
      </c>
      <c r="N68" s="775">
        <f>++E68+H68+K68+IF(+Rounding!$O$131=$B68,+Rounding!Q$131,0)+IF(+Rounding!$O$132=$B68,+Rounding!Q$132,0)+IF(+Rounding!$O$133=$B68,+Rounding!Q$133,0)</f>
        <v>0</v>
      </c>
      <c r="O68" s="152"/>
      <c r="P68" s="152"/>
      <c r="Q68" s="1897" t="s">
        <v>1873</v>
      </c>
      <c r="R68" s="152"/>
      <c r="S68" s="152"/>
      <c r="T68" s="152"/>
      <c r="U68" s="152"/>
      <c r="V68" s="152"/>
      <c r="W68" s="152"/>
      <c r="X68" s="152"/>
      <c r="Y68" s="152"/>
      <c r="Z68" s="152"/>
    </row>
    <row r="69" spans="1:26" ht="15.75">
      <c r="A69" s="334" t="s">
        <v>1052</v>
      </c>
      <c r="B69" s="335">
        <f>1+B68</f>
        <v>652</v>
      </c>
      <c r="C69" s="658"/>
      <c r="D69" s="774">
        <f>+'Income-2020-leva'!D69/1000+IF(+Rounding!$C$131=$B69,+Rounding!D$131,0)+IF(+Rounding!$C$132=$B69,+Rounding!D$132,0)+IF(+Rounding!$C$133=$B69,+Rounding!D$133,0)</f>
        <v>0</v>
      </c>
      <c r="E69" s="775">
        <f>+'Income-2020-leva'!E69/1000+IF(+Rounding!$C$131=$B69,+Rounding!E$131,0)+IF(+Rounding!$C$132=$B69,+Rounding!E$132,0)+IF(+Rounding!$C$133=$B69,+Rounding!E$133,0)</f>
        <v>0</v>
      </c>
      <c r="F69" s="658"/>
      <c r="G69" s="774">
        <f>+'Income-2020-leva'!G69/1000+IF(+Rounding!$G$131=$B69,+Rounding!H$131,0)+IF(+Rounding!$G$132=$B69,+Rounding!H$132,0)+IF(+Rounding!$G$133=$B69,+Rounding!H$133,0)</f>
        <v>0</v>
      </c>
      <c r="H69" s="775">
        <f>+'Income-2020-leva'!H69/1000+IF(+Rounding!$G$131=$B69,+Rounding!I$131,0)+IF(+Rounding!$G$132=$B69,+Rounding!I$132,0)+IF(+Rounding!$G$133=$B69,+Rounding!I$133,0)</f>
        <v>0</v>
      </c>
      <c r="I69" s="658"/>
      <c r="J69" s="774">
        <f>+'Income-2020-leva'!J69/1000+IF(+Rounding!$K$131=$B69,+Rounding!L$131,0)+IF(+Rounding!$K$132=$B69,+Rounding!L$132,0)+IF(+Rounding!$K$133=$B69,+Rounding!L$133,0)</f>
        <v>0</v>
      </c>
      <c r="K69" s="775">
        <f>+'Income-2020-leva'!K69/1000+IF(+Rounding!$K$131=$B69,+Rounding!M$131,0)+IF(+Rounding!$K$132=$B69,+Rounding!M$132,0)+IF(+Rounding!$K$133=$B69,+Rounding!M$133,0)</f>
        <v>0</v>
      </c>
      <c r="L69" s="658"/>
      <c r="M69" s="774">
        <f>++D69+G69+J69+IF(+Rounding!$O$131=$B69,+Rounding!P$131,0)+IF(+Rounding!$O$132=$B69,+Rounding!P$132,0)+IF(+Rounding!$O$133=$B69,+Rounding!P$133,0)</f>
        <v>0</v>
      </c>
      <c r="N69" s="775">
        <f>++E69+H69+K69+IF(+Rounding!$O$131=$B69,+Rounding!Q$131,0)+IF(+Rounding!$O$132=$B69,+Rounding!Q$132,0)+IF(+Rounding!$O$133=$B69,+Rounding!Q$133,0)</f>
        <v>0</v>
      </c>
      <c r="O69" s="152"/>
      <c r="P69" s="1667" t="s">
        <v>1869</v>
      </c>
      <c r="Q69" s="1895" t="str">
        <f>+Q45</f>
        <v>'Municipal-Bal'</v>
      </c>
      <c r="R69" s="152"/>
      <c r="S69" s="152"/>
      <c r="T69" s="152"/>
      <c r="U69" s="152"/>
      <c r="V69" s="152"/>
      <c r="W69" s="152"/>
      <c r="X69" s="152"/>
      <c r="Y69" s="152"/>
      <c r="Z69" s="152"/>
    </row>
    <row r="70" spans="1:26" ht="15.75">
      <c r="A70" s="691" t="s">
        <v>1054</v>
      </c>
      <c r="B70" s="692">
        <v>659</v>
      </c>
      <c r="C70" s="658"/>
      <c r="D70" s="786">
        <f>++SUM(D68:D69)</f>
        <v>0</v>
      </c>
      <c r="E70" s="787">
        <f>++SUM(E68:E69)</f>
        <v>0</v>
      </c>
      <c r="F70" s="658"/>
      <c r="G70" s="786">
        <f>++SUM(G68:G69)</f>
        <v>0</v>
      </c>
      <c r="H70" s="787">
        <f>++SUM(H68:H69)</f>
        <v>0</v>
      </c>
      <c r="I70" s="658">
        <f>++SUM(I68:I69)</f>
        <v>0</v>
      </c>
      <c r="J70" s="786">
        <f>++SUM(J68:J69)</f>
        <v>0</v>
      </c>
      <c r="K70" s="787">
        <f>++SUM(K68:K69)</f>
        <v>0</v>
      </c>
      <c r="L70" s="658"/>
      <c r="M70" s="786">
        <f>++SUM(M68:M69)</f>
        <v>0</v>
      </c>
      <c r="N70" s="787">
        <f>++SUM(N68:N69)</f>
        <v>0</v>
      </c>
      <c r="O70" s="152"/>
      <c r="P70" s="1668" t="s">
        <v>1299</v>
      </c>
      <c r="Q70" s="1669"/>
      <c r="R70" s="152"/>
      <c r="S70" s="152"/>
      <c r="T70" s="152"/>
      <c r="U70" s="152"/>
      <c r="V70" s="152"/>
      <c r="W70" s="152"/>
      <c r="X70" s="152"/>
      <c r="Y70" s="152"/>
      <c r="Z70" s="152"/>
    </row>
    <row r="71" spans="1:26" s="1398" customFormat="1" ht="6" customHeight="1">
      <c r="A71" s="172"/>
      <c r="B71" s="173"/>
      <c r="C71" s="658"/>
      <c r="D71" s="665"/>
      <c r="E71" s="666"/>
      <c r="F71" s="658"/>
      <c r="G71" s="665"/>
      <c r="H71" s="666"/>
      <c r="I71" s="658"/>
      <c r="J71" s="665"/>
      <c r="K71" s="666"/>
      <c r="L71" s="658"/>
      <c r="M71" s="665"/>
      <c r="N71" s="666"/>
      <c r="O71" s="303"/>
      <c r="P71" s="1902"/>
      <c r="Q71" s="1902"/>
      <c r="R71" s="303"/>
      <c r="S71" s="303"/>
      <c r="T71" s="303"/>
      <c r="U71" s="303"/>
      <c r="V71" s="303"/>
      <c r="W71" s="303"/>
      <c r="X71" s="303"/>
      <c r="Y71" s="303"/>
      <c r="Z71" s="303"/>
    </row>
    <row r="72" spans="1:26" ht="15.75">
      <c r="A72" s="691" t="s">
        <v>1095</v>
      </c>
      <c r="B72" s="692">
        <v>660</v>
      </c>
      <c r="C72" s="658"/>
      <c r="D72" s="786">
        <f>+'Income-2020-leva'!D72/1000+IF(+Rounding!$C$131=$B72,+Rounding!D$131,0)+IF(+Rounding!$C$132=$B72,+Rounding!D$132,0)+IF(+Rounding!$C$133=$B72,+Rounding!D$133,0)</f>
        <v>0</v>
      </c>
      <c r="E72" s="787">
        <f>+'Income-2020-leva'!E72/1000+IF(+Rounding!$C$131=$B72,+Rounding!E$131,0)+IF(+Rounding!$C$132=$B72,+Rounding!E$132,0)+IF(+Rounding!$C$133=$B72,+Rounding!E$133,0)</f>
        <v>0.62245000000000006</v>
      </c>
      <c r="F72" s="658"/>
      <c r="G72" s="786">
        <f>+'Income-2020-leva'!G72/1000+IF(+Rounding!$G$131=$B72,+Rounding!H$131,0)+IF(+Rounding!$G$132=$B72,+Rounding!H$132,0)+IF(+Rounding!$G$133=$B72,+Rounding!H$133,0)</f>
        <v>0</v>
      </c>
      <c r="H72" s="787">
        <f>+'Income-2020-leva'!H72/1000+IF(+Rounding!$G$131=$B72,+Rounding!I$131,0)+IF(+Rounding!$G$132=$B72,+Rounding!I$132,0)+IF(+Rounding!$G$133=$B72,+Rounding!I$133,0)</f>
        <v>0</v>
      </c>
      <c r="I72" s="658"/>
      <c r="J72" s="786">
        <f>+'Income-2020-leva'!J72/1000+IF(+Rounding!$K$131=$B72,+Rounding!L$131,0)+IF(+Rounding!$K$132=$B72,+Rounding!L$132,0)+IF(+Rounding!$K$133=$B72,+Rounding!L$133,0)</f>
        <v>0</v>
      </c>
      <c r="K72" s="787">
        <f>+'Income-2020-leva'!K72/1000+IF(+Rounding!$K$131=$B72,+Rounding!M$131,0)+IF(+Rounding!$K$132=$B72,+Rounding!M$132,0)+IF(+Rounding!$K$133=$B72,+Rounding!M$133,0)</f>
        <v>-0.62245000000000006</v>
      </c>
      <c r="L72" s="658"/>
      <c r="M72" s="786">
        <f>++D72+G72+J72+IF(+Rounding!$O$131=$B72,+Rounding!P$131,0)+IF(+Rounding!$O$132=$B72,+Rounding!P$132,0)+IF(+Rounding!$O$133=$B72,+Rounding!P$133,0)</f>
        <v>0</v>
      </c>
      <c r="N72" s="787">
        <f>++E72+H72+K72+IF(+Rounding!$O$131=$B72,+Rounding!Q$131,0)+IF(+Rounding!$O$132=$B72,+Rounding!Q$132,0)+IF(+Rounding!$O$133=$B72,+Rounding!Q$133,0)</f>
        <v>0</v>
      </c>
      <c r="O72" s="152"/>
      <c r="P72" s="1898" t="s">
        <v>1295</v>
      </c>
      <c r="Q72" s="1899" t="s">
        <v>1296</v>
      </c>
      <c r="R72" s="152"/>
      <c r="S72" s="152"/>
      <c r="T72" s="152"/>
      <c r="U72" s="152"/>
      <c r="V72" s="152"/>
      <c r="W72" s="152"/>
      <c r="X72" s="152"/>
      <c r="Y72" s="152"/>
      <c r="Z72" s="152"/>
    </row>
    <row r="73" spans="1:26" s="1398" customFormat="1" ht="6" customHeight="1">
      <c r="A73" s="172"/>
      <c r="B73" s="173"/>
      <c r="C73" s="658"/>
      <c r="D73" s="665"/>
      <c r="E73" s="666"/>
      <c r="F73" s="658"/>
      <c r="G73" s="665"/>
      <c r="H73" s="666"/>
      <c r="I73" s="658"/>
      <c r="J73" s="665"/>
      <c r="K73" s="666"/>
      <c r="L73" s="658"/>
      <c r="M73" s="665"/>
      <c r="N73" s="666"/>
      <c r="O73" s="303"/>
      <c r="P73" s="1901"/>
      <c r="Q73" s="1900"/>
      <c r="R73" s="303"/>
      <c r="S73" s="303"/>
      <c r="T73" s="303"/>
      <c r="U73" s="303"/>
      <c r="V73" s="303"/>
      <c r="W73" s="303"/>
      <c r="X73" s="303"/>
      <c r="Y73" s="303"/>
      <c r="Z73" s="303"/>
    </row>
    <row r="74" spans="1:26" ht="15.75">
      <c r="A74" s="691" t="s">
        <v>1866</v>
      </c>
      <c r="B74" s="692">
        <v>670</v>
      </c>
      <c r="C74" s="658"/>
      <c r="D74" s="786">
        <f>+'Income-2020-leva'!D74/1000+IF(+Rounding!$C$131=$B74,+Rounding!D$131,0)+IF(+Rounding!$C$132=$B74,+Rounding!D$132,0)+IF(+Rounding!$C$133=$B74,+Rounding!D$133,0)</f>
        <v>0</v>
      </c>
      <c r="E74" s="787">
        <f>+'Income-2020-leva'!E74/1000+IF(+Rounding!$C$131=$B74,+Rounding!E$131,0)+IF(+Rounding!$C$132=$B74,+Rounding!E$132,0)+IF(+Rounding!$C$133=$B74,+Rounding!E$133,0)</f>
        <v>0</v>
      </c>
      <c r="F74" s="658"/>
      <c r="G74" s="786">
        <f>+'Income-2020-leva'!G74/1000+IF(+Rounding!$G$131=$B74,+Rounding!H$131,0)+IF(+Rounding!$G$132=$B74,+Rounding!H$132,0)+IF(+Rounding!$G$133=$B74,+Rounding!H$133,0)</f>
        <v>0</v>
      </c>
      <c r="H74" s="787">
        <f>+'Income-2020-leva'!H74/1000+IF(+Rounding!$G$131=$B74,+Rounding!I$131,0)+IF(+Rounding!$G$132=$B74,+Rounding!I$132,0)+IF(+Rounding!$G$133=$B74,+Rounding!I$133,0)</f>
        <v>0</v>
      </c>
      <c r="I74" s="658"/>
      <c r="J74" s="786">
        <f>+'Income-2020-leva'!J74/1000+IF(+Rounding!$K$131=$B74,+Rounding!L$131,0)+IF(+Rounding!$K$132=$B74,+Rounding!L$132,0)+IF(+Rounding!$K$133=$B74,+Rounding!L$133,0)</f>
        <v>0</v>
      </c>
      <c r="K74" s="787">
        <f>+'Income-2020-leva'!K74/1000+IF(+Rounding!$K$131=$B74,+Rounding!M$131,0)+IF(+Rounding!$K$132=$B74,+Rounding!M$132,0)+IF(+Rounding!$K$133=$B74,+Rounding!M$133,0)</f>
        <v>0</v>
      </c>
      <c r="L74" s="658"/>
      <c r="M74" s="786">
        <f>++D74+G74+J74+IF(+Rounding!$O$131=$B74,+Rounding!P$131,0)+IF(+Rounding!$O$132=$B74,+Rounding!P$132,0)+IF(+Rounding!$O$133=$B74,+Rounding!P$133,0)+P74</f>
        <v>0</v>
      </c>
      <c r="N74" s="787">
        <f>+E74+H74+K74+IF(+Rounding!$O$131=$B74,+Rounding!Q$131,0)+IF(+Rounding!$O$132=$B74,+Rounding!Q$132,0)+IF(+Rounding!$O$133=$B74,+Rounding!Q$133,0)+Q74</f>
        <v>0</v>
      </c>
      <c r="O74" s="152"/>
      <c r="P74" s="1221">
        <f>+'Income-2020-leva'!P74/1000</f>
        <v>0</v>
      </c>
      <c r="Q74" s="1945">
        <f>+'Income-2020-leva'!Q74/1000</f>
        <v>0</v>
      </c>
      <c r="R74" s="152"/>
      <c r="S74" s="152"/>
      <c r="T74" s="152"/>
      <c r="U74" s="152"/>
      <c r="V74" s="152"/>
      <c r="W74" s="152"/>
      <c r="X74" s="152"/>
      <c r="Y74" s="152"/>
      <c r="Z74" s="152"/>
    </row>
    <row r="75" spans="1:26" ht="15.75">
      <c r="A75" s="1888" t="s">
        <v>1865</v>
      </c>
      <c r="B75" s="1889">
        <v>679</v>
      </c>
      <c r="C75" s="658"/>
      <c r="D75" s="1892">
        <f>+'Income-2020-leva'!D75/1000</f>
        <v>0</v>
      </c>
      <c r="E75" s="1893">
        <f>+'Income-2020-leva'!E75/1000</f>
        <v>0</v>
      </c>
      <c r="F75" s="658"/>
      <c r="G75" s="1892">
        <f>+'Income-2020-leva'!G75/1000</f>
        <v>0</v>
      </c>
      <c r="H75" s="1893">
        <f>+'Income-2020-leva'!H75/1000</f>
        <v>0</v>
      </c>
      <c r="I75" s="658"/>
      <c r="J75" s="1892">
        <f>+'Income-2020-leva'!J75/1000</f>
        <v>0</v>
      </c>
      <c r="K75" s="1893">
        <f>+'Income-2020-leva'!K75/1000</f>
        <v>0</v>
      </c>
      <c r="L75" s="658"/>
      <c r="M75" s="1892">
        <f>++D75+G75+J75</f>
        <v>0</v>
      </c>
      <c r="N75" s="1893">
        <f>+E75+H75+K75</f>
        <v>0</v>
      </c>
      <c r="O75" s="152"/>
      <c r="P75" s="2562" t="str">
        <f>+'Income-2020-leva'!P75:Q75</f>
        <v>O K</v>
      </c>
      <c r="Q75" s="2562"/>
      <c r="R75" s="152"/>
      <c r="S75" s="152"/>
      <c r="T75" s="152"/>
      <c r="U75" s="152"/>
      <c r="V75" s="152"/>
      <c r="W75" s="152"/>
      <c r="X75" s="152"/>
      <c r="Y75" s="152"/>
      <c r="Z75" s="152"/>
    </row>
    <row r="76" spans="1:26" ht="4.5" customHeight="1">
      <c r="A76" s="172"/>
      <c r="B76" s="173"/>
      <c r="C76" s="658"/>
      <c r="D76" s="780"/>
      <c r="E76" s="781"/>
      <c r="F76" s="658"/>
      <c r="G76" s="780"/>
      <c r="H76" s="781"/>
      <c r="I76" s="658"/>
      <c r="J76" s="780"/>
      <c r="K76" s="781"/>
      <c r="L76" s="658"/>
      <c r="M76" s="780"/>
      <c r="N76" s="781"/>
      <c r="O76" s="152"/>
      <c r="P76" s="2603">
        <f>+IF(P75="O K",0,"N o ")</f>
        <v>0</v>
      </c>
      <c r="Q76" s="2603"/>
      <c r="R76" s="152"/>
      <c r="S76" s="152"/>
      <c r="T76" s="152"/>
      <c r="U76" s="152"/>
      <c r="V76" s="152"/>
      <c r="W76" s="152"/>
      <c r="X76" s="152"/>
      <c r="Y76" s="152"/>
      <c r="Z76" s="152"/>
    </row>
    <row r="77" spans="1:26" ht="19.5" thickBot="1">
      <c r="A77" s="717" t="s">
        <v>415</v>
      </c>
      <c r="B77" s="720">
        <v>699</v>
      </c>
      <c r="C77" s="658"/>
      <c r="D77" s="788">
        <f>+D53+D58+D62+D66+D70+D72+D74</f>
        <v>925.7627</v>
      </c>
      <c r="E77" s="789">
        <f>+E53+E58+E62+E66+E70+E72+E74</f>
        <v>1686.2601400000001</v>
      </c>
      <c r="F77" s="658"/>
      <c r="G77" s="788">
        <f>+G53+G58+G62+G66+G70+G72+G74</f>
        <v>0</v>
      </c>
      <c r="H77" s="789">
        <f>+H53+H58+H62+H66+H70+H72+H74</f>
        <v>0</v>
      </c>
      <c r="I77" s="658"/>
      <c r="J77" s="788">
        <f>+J53+J58+J62+J66+J70+J72+J74</f>
        <v>0</v>
      </c>
      <c r="K77" s="789">
        <f>+K53+K58+K62+K66+K70+K72+K74</f>
        <v>-0.62245000000000006</v>
      </c>
      <c r="L77" s="658"/>
      <c r="M77" s="788">
        <f>+M53+M58+M62+M66+M70+M72+M74</f>
        <v>925.7627</v>
      </c>
      <c r="N77" s="789">
        <f>+N53+N58+N62+N66+N70+N72+N74</f>
        <v>1685.63769</v>
      </c>
      <c r="O77" s="152"/>
      <c r="P77" s="2598" t="str">
        <f>+'Income-2020-leva'!P77:Q77</f>
        <v>O K</v>
      </c>
      <c r="Q77" s="2598"/>
      <c r="R77" s="152"/>
      <c r="S77" s="152"/>
      <c r="T77" s="152"/>
      <c r="U77" s="152"/>
      <c r="V77" s="152"/>
      <c r="W77" s="152"/>
      <c r="X77" s="152"/>
      <c r="Y77" s="152"/>
      <c r="Z77" s="152"/>
    </row>
    <row r="78" spans="1:26" ht="15.75">
      <c r="A78" s="170" t="s">
        <v>1114</v>
      </c>
      <c r="B78" s="171"/>
      <c r="C78" s="817"/>
      <c r="D78" s="709"/>
      <c r="E78" s="707"/>
      <c r="F78" s="817"/>
      <c r="G78" s="709"/>
      <c r="H78" s="707"/>
      <c r="I78" s="817"/>
      <c r="J78" s="709"/>
      <c r="K78" s="707"/>
      <c r="L78" s="817"/>
      <c r="M78" s="709"/>
      <c r="N78" s="707"/>
      <c r="O78" s="152"/>
      <c r="P78" s="152"/>
      <c r="Q78" s="152"/>
      <c r="R78" s="152"/>
      <c r="S78" s="152"/>
      <c r="T78" s="152"/>
      <c r="U78" s="152"/>
      <c r="V78" s="152"/>
      <c r="W78" s="152"/>
      <c r="X78" s="152"/>
      <c r="Y78" s="152"/>
      <c r="Z78" s="152"/>
    </row>
    <row r="79" spans="1:26" ht="15.75">
      <c r="A79" s="334" t="s">
        <v>1112</v>
      </c>
      <c r="B79" s="335">
        <v>681</v>
      </c>
      <c r="C79" s="658"/>
      <c r="D79" s="774">
        <f>+'Income-2020-leva'!D79/1000+IF(+Rounding!$C$131=$B79,+Rounding!D$131,0)+IF(+Rounding!$C$132=$B79,+Rounding!D$132,0)+IF(+Rounding!$C$133=$B79,+Rounding!D$133,0)</f>
        <v>1061.4841799999999</v>
      </c>
      <c r="E79" s="775">
        <f>+'Income-2020-leva'!E79/1000+IF(+Rounding!$C$131=$B79,+Rounding!E$131,0)+IF(+Rounding!$C$132=$B79,+Rounding!E$132,0)+IF(+Rounding!$C$133=$B79,+Rounding!E$133,0)</f>
        <v>1597.3577</v>
      </c>
      <c r="F79" s="658"/>
      <c r="G79" s="774">
        <f>+'Income-2020-leva'!G79/1000+IF(+Rounding!$G$131=$B79,+Rounding!H$131,0)+IF(+Rounding!$G$132=$B79,+Rounding!H$132,0)+IF(+Rounding!$G$133=$B79,+Rounding!H$133,0)</f>
        <v>0</v>
      </c>
      <c r="H79" s="775">
        <f>+'Income-2020-leva'!H79/1000+IF(+Rounding!$G$131=$B79,+Rounding!I$131,0)+IF(+Rounding!$G$132=$B79,+Rounding!I$132,0)+IF(+Rounding!$G$133=$B79,+Rounding!I$133,0)</f>
        <v>0</v>
      </c>
      <c r="I79" s="658"/>
      <c r="J79" s="774">
        <f>+'Income-2020-leva'!J79/1000+IF(+Rounding!$K$131=$B79,+Rounding!L$131,0)+IF(+Rounding!$K$132=$B79,+Rounding!L$132,0)+IF(+Rounding!$K$133=$B79,+Rounding!L$133,0)</f>
        <v>0</v>
      </c>
      <c r="K79" s="775">
        <f>+'Income-2020-leva'!K79/1000+IF(+Rounding!$K$131=$B79,+Rounding!M$131,0)+IF(+Rounding!$K$132=$B79,+Rounding!M$132,0)+IF(+Rounding!$K$133=$B79,+Rounding!M$133,0)</f>
        <v>0</v>
      </c>
      <c r="L79" s="658"/>
      <c r="M79" s="774">
        <f>++D79+G79+J79+IF(+Rounding!$O$131=$B79,+Rounding!P$131,0)+IF(+Rounding!$O$132=$B79,+Rounding!P$132,0)+IF(+Rounding!$O$133=$B79,+Rounding!P$133,0)</f>
        <v>1061.4841799999999</v>
      </c>
      <c r="N79" s="775">
        <f>++E79+H79+K79+IF(+Rounding!$O$131=$B79,+Rounding!Q$131,0)+IF(+Rounding!$O$132=$B79,+Rounding!Q$132,0)+IF(+Rounding!$O$133=$B79,+Rounding!Q$133,0)</f>
        <v>1597.3577</v>
      </c>
      <c r="O79" s="152"/>
      <c r="P79" s="152"/>
      <c r="Q79" s="152"/>
      <c r="R79" s="152"/>
      <c r="S79" s="152"/>
      <c r="T79" s="152"/>
      <c r="U79" s="152"/>
      <c r="V79" s="152"/>
      <c r="W79" s="152"/>
      <c r="X79" s="152"/>
      <c r="Y79" s="152"/>
      <c r="Z79" s="152"/>
    </row>
    <row r="80" spans="1:26" ht="15.75">
      <c r="A80" s="334" t="s">
        <v>1113</v>
      </c>
      <c r="B80" s="335">
        <v>682</v>
      </c>
      <c r="C80" s="658"/>
      <c r="D80" s="774">
        <f>+'Income-2020-leva'!D80/1000+IF(+Rounding!$C$131=$B80,+Rounding!D$131,0)+IF(+Rounding!$C$132=$B80,+Rounding!D$132,0)+IF(+Rounding!$C$133=$B80,+Rounding!D$133,0)</f>
        <v>0</v>
      </c>
      <c r="E80" s="775">
        <f>+'Income-2020-leva'!E80/1000+IF(+Rounding!$C$131=$B80,+Rounding!E$131,0)+IF(+Rounding!$C$132=$B80,+Rounding!E$132,0)+IF(+Rounding!$C$133=$B80,+Rounding!E$133,0)</f>
        <v>0</v>
      </c>
      <c r="F80" s="658"/>
      <c r="G80" s="774">
        <f>+'Income-2020-leva'!G80/1000+IF(+Rounding!$G$131=$B80,+Rounding!H$131,0)+IF(+Rounding!$G$132=$B80,+Rounding!H$132,0)+IF(+Rounding!$G$133=$B80,+Rounding!H$133,0)</f>
        <v>0</v>
      </c>
      <c r="H80" s="775">
        <f>+'Income-2020-leva'!H80/1000+IF(+Rounding!$G$131=$B80,+Rounding!I$131,0)+IF(+Rounding!$G$132=$B80,+Rounding!I$132,0)+IF(+Rounding!$G$133=$B80,+Rounding!I$133,0)</f>
        <v>0</v>
      </c>
      <c r="I80" s="658"/>
      <c r="J80" s="774">
        <f>+'Income-2020-leva'!J80/1000+IF(+Rounding!$K$131=$B80,+Rounding!L$131,0)+IF(+Rounding!$K$132=$B80,+Rounding!L$132,0)+IF(+Rounding!$K$133=$B80,+Rounding!L$133,0)</f>
        <v>0</v>
      </c>
      <c r="K80" s="775">
        <f>+'Income-2020-leva'!K80/1000+IF(+Rounding!$K$131=$B80,+Rounding!M$131,0)+IF(+Rounding!$K$132=$B80,+Rounding!M$132,0)+IF(+Rounding!$K$133=$B80,+Rounding!M$133,0)</f>
        <v>0</v>
      </c>
      <c r="L80" s="658"/>
      <c r="M80" s="774">
        <f>++D80+G80+J80+IF(+Rounding!$O$131=$B80,+Rounding!P$131,0)+IF(+Rounding!$O$132=$B80,+Rounding!P$132,0)+IF(+Rounding!$O$133=$B80,+Rounding!P$133,0)</f>
        <v>0</v>
      </c>
      <c r="N80" s="775">
        <f>++E80+H80+K80+IF(+Rounding!$O$131=$B80,+Rounding!Q$131,0)+IF(+Rounding!$O$132=$B80,+Rounding!Q$132,0)+IF(+Rounding!$O$133=$B80,+Rounding!Q$133,0)</f>
        <v>0</v>
      </c>
      <c r="O80" s="152"/>
      <c r="P80" s="152"/>
      <c r="Q80" s="152"/>
      <c r="R80" s="152"/>
      <c r="S80" s="152"/>
      <c r="T80" s="152"/>
      <c r="U80" s="152"/>
      <c r="V80" s="152"/>
      <c r="W80" s="152"/>
      <c r="X80" s="152"/>
      <c r="Y80" s="152"/>
      <c r="Z80" s="152"/>
    </row>
    <row r="81" spans="1:26" ht="19.5" thickBot="1">
      <c r="A81" s="713" t="s">
        <v>1069</v>
      </c>
      <c r="B81" s="714">
        <v>680</v>
      </c>
      <c r="C81" s="658"/>
      <c r="D81" s="790">
        <f>+SUM(D79:D80)</f>
        <v>1061.4841799999999</v>
      </c>
      <c r="E81" s="791">
        <f>+SUM(E79:E80)</f>
        <v>1597.3577</v>
      </c>
      <c r="F81" s="658"/>
      <c r="G81" s="790">
        <f>+SUM(G79:G80)</f>
        <v>0</v>
      </c>
      <c r="H81" s="791">
        <f>+SUM(H79:H80)</f>
        <v>0</v>
      </c>
      <c r="I81" s="658"/>
      <c r="J81" s="790">
        <f>+SUM(J79:J80)</f>
        <v>0</v>
      </c>
      <c r="K81" s="791">
        <f>+SUM(K79:K80)</f>
        <v>0</v>
      </c>
      <c r="L81" s="658"/>
      <c r="M81" s="790">
        <f>+SUM(M79:M80)</f>
        <v>1061.4841799999999</v>
      </c>
      <c r="N81" s="791">
        <f>+SUM(N79:N80)</f>
        <v>1597.3577</v>
      </c>
      <c r="O81" s="152"/>
      <c r="P81" s="152"/>
      <c r="Q81" s="152"/>
      <c r="R81" s="152"/>
      <c r="S81" s="152"/>
      <c r="T81" s="152"/>
      <c r="U81" s="152"/>
      <c r="V81" s="152"/>
      <c r="W81" s="152"/>
      <c r="X81" s="152"/>
      <c r="Y81" s="152"/>
      <c r="Z81" s="152"/>
    </row>
    <row r="82" spans="1:26" ht="15.75">
      <c r="A82" s="170" t="s">
        <v>1065</v>
      </c>
      <c r="B82" s="171"/>
      <c r="C82" s="817"/>
      <c r="D82" s="709"/>
      <c r="E82" s="707"/>
      <c r="F82" s="817"/>
      <c r="G82" s="709"/>
      <c r="H82" s="707"/>
      <c r="I82" s="817"/>
      <c r="J82" s="709"/>
      <c r="K82" s="707"/>
      <c r="L82" s="817"/>
      <c r="M82" s="709"/>
      <c r="N82" s="707"/>
      <c r="O82" s="152"/>
      <c r="P82" s="152"/>
      <c r="Q82" s="152"/>
      <c r="R82" s="152"/>
      <c r="S82" s="152"/>
      <c r="T82" s="152"/>
      <c r="U82" s="152"/>
      <c r="V82" s="152"/>
      <c r="W82" s="152"/>
      <c r="X82" s="152"/>
      <c r="Y82" s="152"/>
      <c r="Z82" s="152"/>
    </row>
    <row r="83" spans="1:26" ht="15.75">
      <c r="A83" s="334" t="s">
        <v>1067</v>
      </c>
      <c r="B83" s="335">
        <v>761</v>
      </c>
      <c r="C83" s="658"/>
      <c r="D83" s="774">
        <f>+'Income-2020-leva'!D83/1000+IF(+Rounding!$C$131=$B83,+Rounding!D$131,0)+IF(+Rounding!$C$132=$B83,+Rounding!D$132,0)+IF(+Rounding!$C$133=$B83,+Rounding!D$133,0)</f>
        <v>0</v>
      </c>
      <c r="E83" s="775">
        <f>+'Income-2020-leva'!E83/1000+IF(+Rounding!$C$131=$B83,+Rounding!E$131,0)+IF(+Rounding!$C$132=$B83,+Rounding!E$132,0)+IF(+Rounding!$C$133=$B83,+Rounding!E$133,0)</f>
        <v>0</v>
      </c>
      <c r="F83" s="658"/>
      <c r="G83" s="774">
        <f>+'Income-2020-leva'!G83/1000+IF(+Rounding!$G$131=$B83,+Rounding!H$131,0)+IF(+Rounding!$G$132=$B83,+Rounding!H$132,0)+IF(+Rounding!$G$133=$B83,+Rounding!H$133,0)</f>
        <v>0</v>
      </c>
      <c r="H83" s="775">
        <f>+'Income-2020-leva'!H83/1000+IF(+Rounding!$G$131=$B83,+Rounding!I$131,0)+IF(+Rounding!$G$132=$B83,+Rounding!I$132,0)+IF(+Rounding!$G$133=$B83,+Rounding!I$133,0)</f>
        <v>0</v>
      </c>
      <c r="I83" s="658"/>
      <c r="J83" s="774">
        <f>+'Income-2020-leva'!J83/1000+IF(+Rounding!$K$131=$B83,+Rounding!L$131,0)+IF(+Rounding!$K$132=$B83,+Rounding!L$132,0)+IF(+Rounding!$K$133=$B83,+Rounding!L$133,0)</f>
        <v>0</v>
      </c>
      <c r="K83" s="775">
        <f>+'Income-2020-leva'!K83/1000+IF(+Rounding!$K$131=$B83,+Rounding!M$131,0)+IF(+Rounding!$K$132=$B83,+Rounding!M$132,0)+IF(+Rounding!$K$133=$B83,+Rounding!M$133,0)</f>
        <v>0</v>
      </c>
      <c r="L83" s="658"/>
      <c r="M83" s="774">
        <f>++D83+G83+J83+IF(+Rounding!$O$131=$B83,+Rounding!P$131,0)+IF(+Rounding!$O$132=$B83,+Rounding!P$132,0)+IF(+Rounding!$O$133=$B83,+Rounding!P$133,0)</f>
        <v>0</v>
      </c>
      <c r="N83" s="775">
        <f>++E83+H83+K83+IF(+Rounding!$O$131=$B83,+Rounding!Q$131,0)+IF(+Rounding!$O$132=$B83,+Rounding!Q$132,0)+IF(+Rounding!$O$133=$B83,+Rounding!Q$133,0)</f>
        <v>0</v>
      </c>
      <c r="O83" s="152"/>
      <c r="P83" s="152"/>
      <c r="Q83" s="152"/>
      <c r="R83" s="152"/>
      <c r="S83" s="152"/>
      <c r="T83" s="152"/>
      <c r="U83" s="152"/>
      <c r="V83" s="152"/>
      <c r="W83" s="152"/>
      <c r="X83" s="152"/>
      <c r="Y83" s="152"/>
      <c r="Z83" s="152"/>
    </row>
    <row r="84" spans="1:26" ht="15.75">
      <c r="A84" s="334" t="s">
        <v>1068</v>
      </c>
      <c r="B84" s="335">
        <f>1+B83</f>
        <v>762</v>
      </c>
      <c r="C84" s="658"/>
      <c r="D84" s="774">
        <f>+'Income-2020-leva'!D84/1000+IF(+Rounding!$C$131=$B84,+Rounding!D$131,0)+IF(+Rounding!$C$132=$B84,+Rounding!D$132,0)+IF(+Rounding!$C$133=$B84,+Rounding!D$133,0)</f>
        <v>0</v>
      </c>
      <c r="E84" s="775">
        <f>+'Income-2020-leva'!E84/1000+IF(+Rounding!$C$131=$B84,+Rounding!E$131,0)+IF(+Rounding!$C$132=$B84,+Rounding!E$132,0)+IF(+Rounding!$C$133=$B84,+Rounding!E$133,0)</f>
        <v>0</v>
      </c>
      <c r="F84" s="658"/>
      <c r="G84" s="774">
        <f>+'Income-2020-leva'!G84/1000+IF(+Rounding!$G$131=$B84,+Rounding!H$131,0)+IF(+Rounding!$G$132=$B84,+Rounding!H$132,0)+IF(+Rounding!$G$133=$B84,+Rounding!H$133,0)</f>
        <v>0</v>
      </c>
      <c r="H84" s="775">
        <f>+'Income-2020-leva'!H84/1000+IF(+Rounding!$G$131=$B84,+Rounding!I$131,0)+IF(+Rounding!$G$132=$B84,+Rounding!I$132,0)+IF(+Rounding!$G$133=$B84,+Rounding!I$133,0)</f>
        <v>0</v>
      </c>
      <c r="I84" s="658"/>
      <c r="J84" s="774">
        <f>+'Income-2020-leva'!J84/1000+IF(+Rounding!$K$131=$B84,+Rounding!L$131,0)+IF(+Rounding!$K$132=$B84,+Rounding!L$132,0)+IF(+Rounding!$K$133=$B84,+Rounding!L$133,0)</f>
        <v>0</v>
      </c>
      <c r="K84" s="775">
        <f>+'Income-2020-leva'!K84/1000+IF(+Rounding!$K$131=$B84,+Rounding!M$131,0)+IF(+Rounding!$K$132=$B84,+Rounding!M$132,0)+IF(+Rounding!$K$133=$B84,+Rounding!M$133,0)</f>
        <v>0</v>
      </c>
      <c r="L84" s="658"/>
      <c r="M84" s="774">
        <f>++D84+G84+J84+IF(+Rounding!$O$131=$B84,+Rounding!P$131,0)+IF(+Rounding!$O$132=$B84,+Rounding!P$132,0)+IF(+Rounding!$O$133=$B84,+Rounding!P$133,0)</f>
        <v>0</v>
      </c>
      <c r="N84" s="775">
        <f>++E84+H84+K84+IF(+Rounding!$O$131=$B84,+Rounding!Q$131,0)+IF(+Rounding!$O$132=$B84,+Rounding!Q$132,0)+IF(+Rounding!$O$133=$B84,+Rounding!Q$133,0)</f>
        <v>0</v>
      </c>
      <c r="O84" s="152"/>
      <c r="P84" s="152"/>
      <c r="Q84" s="152"/>
      <c r="R84" s="152"/>
      <c r="S84" s="152"/>
      <c r="T84" s="152"/>
      <c r="U84" s="152"/>
      <c r="V84" s="152"/>
      <c r="W84" s="152"/>
      <c r="X84" s="152"/>
      <c r="Y84" s="152"/>
      <c r="Z84" s="152"/>
    </row>
    <row r="85" spans="1:26" ht="19.5" thickBot="1">
      <c r="A85" s="730" t="s">
        <v>1066</v>
      </c>
      <c r="B85" s="731">
        <v>760</v>
      </c>
      <c r="C85" s="658"/>
      <c r="D85" s="792">
        <f>+SUM(D83:D84)</f>
        <v>0</v>
      </c>
      <c r="E85" s="793">
        <f>+SUM(E83:E84)</f>
        <v>0</v>
      </c>
      <c r="F85" s="658"/>
      <c r="G85" s="792">
        <f>+SUM(G83:G84)</f>
        <v>0</v>
      </c>
      <c r="H85" s="793">
        <f>+SUM(H83:H84)</f>
        <v>0</v>
      </c>
      <c r="I85" s="658"/>
      <c r="J85" s="792">
        <f>+SUM(J83:J84)</f>
        <v>0</v>
      </c>
      <c r="K85" s="793">
        <f>+SUM(K83:K84)</f>
        <v>0</v>
      </c>
      <c r="L85" s="658"/>
      <c r="M85" s="792">
        <f>+SUM(M83:M84)</f>
        <v>0</v>
      </c>
      <c r="N85" s="793">
        <f>+SUM(N83:N84)</f>
        <v>0</v>
      </c>
      <c r="O85" s="152"/>
      <c r="P85" s="152"/>
      <c r="Q85" s="152"/>
      <c r="R85" s="152"/>
      <c r="S85" s="152"/>
      <c r="T85" s="152"/>
      <c r="U85" s="152"/>
      <c r="V85" s="152"/>
      <c r="W85" s="152"/>
      <c r="X85" s="152"/>
      <c r="Y85" s="152"/>
      <c r="Z85" s="152"/>
    </row>
    <row r="86" spans="1:26" ht="15.75">
      <c r="A86" s="170" t="s">
        <v>1070</v>
      </c>
      <c r="B86" s="171"/>
      <c r="C86" s="817"/>
      <c r="D86" s="709"/>
      <c r="E86" s="707"/>
      <c r="F86" s="817"/>
      <c r="G86" s="709"/>
      <c r="H86" s="707"/>
      <c r="I86" s="817"/>
      <c r="J86" s="709"/>
      <c r="K86" s="707"/>
      <c r="L86" s="817"/>
      <c r="M86" s="709"/>
      <c r="N86" s="707"/>
      <c r="O86" s="152"/>
      <c r="P86" s="152"/>
      <c r="Q86" s="152"/>
      <c r="R86" s="152"/>
      <c r="S86" s="152"/>
      <c r="T86" s="152"/>
      <c r="U86" s="152"/>
      <c r="V86" s="152"/>
      <c r="W86" s="152"/>
      <c r="X86" s="152"/>
      <c r="Y86" s="152"/>
      <c r="Z86" s="152"/>
    </row>
    <row r="87" spans="1:26" ht="15.75">
      <c r="A87" s="172" t="s">
        <v>1083</v>
      </c>
      <c r="B87" s="173"/>
      <c r="C87" s="658"/>
      <c r="D87" s="772"/>
      <c r="E87" s="773"/>
      <c r="F87" s="658"/>
      <c r="G87" s="772"/>
      <c r="H87" s="773"/>
      <c r="I87" s="658"/>
      <c r="J87" s="772"/>
      <c r="K87" s="773"/>
      <c r="L87" s="658"/>
      <c r="M87" s="772"/>
      <c r="N87" s="773"/>
      <c r="O87" s="152"/>
      <c r="P87" s="152"/>
      <c r="Q87" s="152"/>
      <c r="R87" s="152"/>
      <c r="S87" s="152"/>
      <c r="T87" s="152"/>
      <c r="U87" s="152"/>
      <c r="V87" s="152"/>
      <c r="W87" s="152"/>
      <c r="X87" s="152"/>
      <c r="Y87" s="152"/>
      <c r="Z87" s="152"/>
    </row>
    <row r="88" spans="1:26" ht="15.75">
      <c r="A88" s="334" t="s">
        <v>1089</v>
      </c>
      <c r="B88" s="335">
        <v>771</v>
      </c>
      <c r="C88" s="658"/>
      <c r="D88" s="774">
        <f>+'Income-2020-leva'!D88/1000+IF(+Rounding!$C$131=$B88,+Rounding!D$131,0)+IF(+Rounding!$C$132=$B88,+Rounding!D$132,0)+IF(+Rounding!$C$133=$B88,+Rounding!D$133,0)</f>
        <v>7.5911999999999997</v>
      </c>
      <c r="E88" s="775">
        <f>+'Income-2020-leva'!E88/1000+IF(+Rounding!$C$131=$B88,+Rounding!E$131,0)+IF(+Rounding!$C$132=$B88,+Rounding!E$132,0)+IF(+Rounding!$C$133=$B88,+Rounding!E$133,0)</f>
        <v>0</v>
      </c>
      <c r="F88" s="658"/>
      <c r="G88" s="774">
        <f>+'Income-2020-leva'!G88/1000+IF(+Rounding!$G$131=$B88,+Rounding!H$131,0)+IF(+Rounding!$G$132=$B88,+Rounding!H$132,0)+IF(+Rounding!$G$133=$B88,+Rounding!H$133,0)</f>
        <v>0</v>
      </c>
      <c r="H88" s="775">
        <f>+'Income-2020-leva'!H88/1000+IF(+Rounding!$G$131=$B88,+Rounding!I$131,0)+IF(+Rounding!$G$132=$B88,+Rounding!I$132,0)+IF(+Rounding!$G$133=$B88,+Rounding!I$133,0)</f>
        <v>0</v>
      </c>
      <c r="I88" s="658"/>
      <c r="J88" s="774">
        <f>+'Income-2020-leva'!J88/1000+IF(+Rounding!$K$131=$B88,+Rounding!L$131,0)+IF(+Rounding!$K$132=$B88,+Rounding!L$132,0)+IF(+Rounding!$K$133=$B88,+Rounding!L$133,0)</f>
        <v>0</v>
      </c>
      <c r="K88" s="775">
        <f>+'Income-2020-leva'!K88/1000+IF(+Rounding!$K$131=$B88,+Rounding!M$131,0)+IF(+Rounding!$K$132=$B88,+Rounding!M$132,0)+IF(+Rounding!$K$133=$B88,+Rounding!M$133,0)</f>
        <v>0</v>
      </c>
      <c r="L88" s="658"/>
      <c r="M88" s="774">
        <f>++D88+G88+J88+IF(+Rounding!$O$131=$B88,+Rounding!P$131,0)+IF(+Rounding!$O$132=$B88,+Rounding!P$132,0)+IF(+Rounding!$O$133=$B88,+Rounding!P$133,0)</f>
        <v>7.5911999999999997</v>
      </c>
      <c r="N88" s="775">
        <f>++E88+H88+K88+IF(+Rounding!$O$131=$B88,+Rounding!Q$131,0)+IF(+Rounding!$O$132=$B88,+Rounding!Q$132,0)+IF(+Rounding!$O$133=$B88,+Rounding!Q$133,0)</f>
        <v>0</v>
      </c>
      <c r="O88" s="152"/>
      <c r="P88" s="152"/>
      <c r="Q88" s="152"/>
      <c r="R88" s="152"/>
      <c r="S88" s="152"/>
      <c r="T88" s="152"/>
      <c r="U88" s="152"/>
      <c r="V88" s="152"/>
      <c r="W88" s="152"/>
      <c r="X88" s="152"/>
      <c r="Y88" s="152"/>
      <c r="Z88" s="152"/>
    </row>
    <row r="89" spans="1:26" ht="15.75">
      <c r="A89" s="334" t="s">
        <v>1080</v>
      </c>
      <c r="B89" s="335">
        <f>1+B88</f>
        <v>772</v>
      </c>
      <c r="C89" s="658"/>
      <c r="D89" s="774">
        <f>+'Income-2020-leva'!D89/1000+IF(+Rounding!$C$131=$B89,+Rounding!D$131,0)+IF(+Rounding!$C$132=$B89,+Rounding!D$132,0)+IF(+Rounding!$C$133=$B89,+Rounding!D$133,0)</f>
        <v>0</v>
      </c>
      <c r="E89" s="775">
        <f>+'Income-2020-leva'!E89/1000+IF(+Rounding!$C$131=$B89,+Rounding!E$131,0)+IF(+Rounding!$C$132=$B89,+Rounding!E$132,0)+IF(+Rounding!$C$133=$B89,+Rounding!E$133,0)</f>
        <v>0</v>
      </c>
      <c r="F89" s="658"/>
      <c r="G89" s="774">
        <f>+'Income-2020-leva'!G89/1000+IF(+Rounding!$G$131=$B89,+Rounding!H$131,0)+IF(+Rounding!$G$132=$B89,+Rounding!H$132,0)+IF(+Rounding!$G$133=$B89,+Rounding!H$133,0)</f>
        <v>0</v>
      </c>
      <c r="H89" s="775">
        <f>+'Income-2020-leva'!H89/1000+IF(+Rounding!$G$131=$B89,+Rounding!I$131,0)+IF(+Rounding!$G$132=$B89,+Rounding!I$132,0)+IF(+Rounding!$G$133=$B89,+Rounding!I$133,0)</f>
        <v>0</v>
      </c>
      <c r="I89" s="658"/>
      <c r="J89" s="774">
        <f>+'Income-2020-leva'!J89/1000+IF(+Rounding!$K$131=$B89,+Rounding!L$131,0)+IF(+Rounding!$K$132=$B89,+Rounding!L$132,0)+IF(+Rounding!$K$133=$B89,+Rounding!L$133,0)</f>
        <v>0</v>
      </c>
      <c r="K89" s="775">
        <f>+'Income-2020-leva'!K89/1000+IF(+Rounding!$K$131=$B89,+Rounding!M$131,0)+IF(+Rounding!$K$132=$B89,+Rounding!M$132,0)+IF(+Rounding!$K$133=$B89,+Rounding!M$133,0)</f>
        <v>0</v>
      </c>
      <c r="L89" s="658"/>
      <c r="M89" s="774">
        <f>++D89+G89+J89+IF(+Rounding!$O$131=$B89,+Rounding!P$131,0)+IF(+Rounding!$O$132=$B89,+Rounding!P$132,0)+IF(+Rounding!$O$133=$B89,+Rounding!P$133,0)</f>
        <v>0</v>
      </c>
      <c r="N89" s="775">
        <f>++E89+H89+K89+IF(+Rounding!$O$131=$B89,+Rounding!Q$131,0)+IF(+Rounding!$O$132=$B89,+Rounding!Q$132,0)+IF(+Rounding!$O$133=$B89,+Rounding!Q$133,0)</f>
        <v>0</v>
      </c>
      <c r="O89" s="152"/>
      <c r="P89" s="152"/>
      <c r="Q89" s="152"/>
      <c r="R89" s="152"/>
      <c r="S89" s="152"/>
      <c r="T89" s="152"/>
      <c r="U89" s="152"/>
      <c r="V89" s="152"/>
      <c r="W89" s="152"/>
      <c r="X89" s="152"/>
      <c r="Y89" s="152"/>
      <c r="Z89" s="152"/>
    </row>
    <row r="90" spans="1:26" ht="15.75">
      <c r="A90" s="734" t="s">
        <v>1025</v>
      </c>
      <c r="B90" s="735">
        <v>770</v>
      </c>
      <c r="C90" s="658"/>
      <c r="D90" s="794">
        <f>+SUM(D88:D89)</f>
        <v>7.5911999999999997</v>
      </c>
      <c r="E90" s="795">
        <f>+SUM(E88:E89)</f>
        <v>0</v>
      </c>
      <c r="F90" s="658"/>
      <c r="G90" s="794">
        <f>+SUM(G88:G89)</f>
        <v>0</v>
      </c>
      <c r="H90" s="795">
        <f>+SUM(H88:H89)</f>
        <v>0</v>
      </c>
      <c r="I90" s="658"/>
      <c r="J90" s="794">
        <f>+SUM(J88:J89)</f>
        <v>0</v>
      </c>
      <c r="K90" s="795">
        <f>+SUM(K88:K89)</f>
        <v>0</v>
      </c>
      <c r="L90" s="658"/>
      <c r="M90" s="794">
        <f>+SUM(M88:M89)</f>
        <v>7.5911999999999997</v>
      </c>
      <c r="N90" s="795">
        <f>+SUM(N88:N89)</f>
        <v>0</v>
      </c>
      <c r="O90" s="152"/>
      <c r="P90" s="152"/>
      <c r="Q90" s="152"/>
      <c r="R90" s="152"/>
      <c r="S90" s="152"/>
      <c r="T90" s="152"/>
      <c r="U90" s="152"/>
      <c r="V90" s="152"/>
      <c r="W90" s="152"/>
      <c r="X90" s="152"/>
      <c r="Y90" s="152"/>
      <c r="Z90" s="152"/>
    </row>
    <row r="91" spans="1:26" ht="15.75">
      <c r="A91" s="172" t="s">
        <v>1081</v>
      </c>
      <c r="B91" s="173"/>
      <c r="C91" s="658"/>
      <c r="D91" s="772"/>
      <c r="E91" s="773"/>
      <c r="F91" s="658"/>
      <c r="G91" s="772"/>
      <c r="H91" s="773"/>
      <c r="I91" s="658"/>
      <c r="J91" s="772"/>
      <c r="K91" s="773"/>
      <c r="L91" s="658"/>
      <c r="M91" s="772"/>
      <c r="N91" s="773"/>
      <c r="O91" s="152"/>
      <c r="P91" s="152"/>
      <c r="Q91" s="152"/>
      <c r="R91" s="152"/>
      <c r="S91" s="152"/>
      <c r="T91" s="152"/>
      <c r="U91" s="152"/>
      <c r="V91" s="152"/>
      <c r="W91" s="152"/>
      <c r="X91" s="152"/>
      <c r="Y91" s="152"/>
      <c r="Z91" s="152"/>
    </row>
    <row r="92" spans="1:26" ht="15.75">
      <c r="A92" s="334" t="s">
        <v>1073</v>
      </c>
      <c r="B92" s="335">
        <v>781</v>
      </c>
      <c r="C92" s="658"/>
      <c r="D92" s="774">
        <f>+'Income-2020-leva'!D92/1000+IF(+Rounding!$C$131=$B92,+Rounding!D$131,0)+IF(+Rounding!$C$132=$B92,+Rounding!D$132,0)+IF(+Rounding!$C$133=$B92,+Rounding!D$133,0)</f>
        <v>0</v>
      </c>
      <c r="E92" s="775">
        <f>+'Income-2020-leva'!E92/1000+IF(+Rounding!$C$131=$B92,+Rounding!E$131,0)+IF(+Rounding!$C$132=$B92,+Rounding!E$132,0)+IF(+Rounding!$C$133=$B92,+Rounding!E$133,0)</f>
        <v>-22.674970000000002</v>
      </c>
      <c r="F92" s="658"/>
      <c r="G92" s="774">
        <f>+'Income-2020-leva'!G92/1000+IF(+Rounding!$G$131=$B92,+Rounding!H$131,0)+IF(+Rounding!$G$132=$B92,+Rounding!H$132,0)+IF(+Rounding!$G$133=$B92,+Rounding!H$133,0)</f>
        <v>0</v>
      </c>
      <c r="H92" s="775">
        <f>+'Income-2020-leva'!H92/1000+IF(+Rounding!$G$131=$B92,+Rounding!I$131,0)+IF(+Rounding!$G$132=$B92,+Rounding!I$132,0)+IF(+Rounding!$G$133=$B92,+Rounding!I$133,0)</f>
        <v>0</v>
      </c>
      <c r="I92" s="658"/>
      <c r="J92" s="774">
        <f>+'Income-2020-leva'!J92/1000+IF(+Rounding!$K$131=$B92,+Rounding!L$131,0)+IF(+Rounding!$K$132=$B92,+Rounding!L$132,0)+IF(+Rounding!$K$133=$B92,+Rounding!L$133,0)</f>
        <v>0</v>
      </c>
      <c r="K92" s="775">
        <f>+'Income-2020-leva'!K92/1000+IF(+Rounding!$K$131=$B92,+Rounding!M$131,0)+IF(+Rounding!$K$132=$B92,+Rounding!M$132,0)+IF(+Rounding!$K$133=$B92,+Rounding!M$133,0)</f>
        <v>0</v>
      </c>
      <c r="L92" s="658"/>
      <c r="M92" s="774">
        <f>++D92+G92+J92+IF(+Rounding!$O$131=$B92,+Rounding!P$131,0)+IF(+Rounding!$O$132=$B92,+Rounding!P$132,0)+IF(+Rounding!$O$133=$B92,+Rounding!P$133,0)</f>
        <v>0</v>
      </c>
      <c r="N92" s="775">
        <f>++E92+H92+K92+IF(+Rounding!$O$131=$B92,+Rounding!Q$131,0)+IF(+Rounding!$O$132=$B92,+Rounding!Q$132,0)+IF(+Rounding!$O$133=$B92,+Rounding!Q$133,0)</f>
        <v>-22.674970000000002</v>
      </c>
      <c r="O92" s="152"/>
      <c r="P92" s="152"/>
      <c r="Q92" s="152"/>
      <c r="R92" s="152"/>
      <c r="S92" s="152"/>
      <c r="T92" s="152"/>
      <c r="U92" s="152"/>
      <c r="V92" s="152"/>
      <c r="W92" s="152"/>
      <c r="X92" s="152"/>
      <c r="Y92" s="152"/>
      <c r="Z92" s="152"/>
    </row>
    <row r="93" spans="1:26" ht="15.75">
      <c r="A93" s="334" t="s">
        <v>1072</v>
      </c>
      <c r="B93" s="335">
        <f>1+B92</f>
        <v>782</v>
      </c>
      <c r="C93" s="658"/>
      <c r="D93" s="774">
        <f>+'Income-2020-leva'!D93/1000+IF(+Rounding!$C$131=$B93,+Rounding!D$131,0)+IF(+Rounding!$C$132=$B93,+Rounding!D$132,0)+IF(+Rounding!$C$133=$B93,+Rounding!D$133,0)</f>
        <v>0</v>
      </c>
      <c r="E93" s="775">
        <f>+'Income-2020-leva'!E93/1000+IF(+Rounding!$C$131=$B93,+Rounding!E$131,0)+IF(+Rounding!$C$132=$B93,+Rounding!E$132,0)+IF(+Rounding!$C$133=$B93,+Rounding!E$133,0)</f>
        <v>0</v>
      </c>
      <c r="F93" s="658"/>
      <c r="G93" s="774">
        <f>+'Income-2020-leva'!G93/1000+IF(+Rounding!$G$131=$B93,+Rounding!H$131,0)+IF(+Rounding!$G$132=$B93,+Rounding!H$132,0)+IF(+Rounding!$G$133=$B93,+Rounding!H$133,0)</f>
        <v>0</v>
      </c>
      <c r="H93" s="775">
        <f>+'Income-2020-leva'!H93/1000+IF(+Rounding!$G$131=$B93,+Rounding!I$131,0)+IF(+Rounding!$G$132=$B93,+Rounding!I$132,0)+IF(+Rounding!$G$133=$B93,+Rounding!I$133,0)</f>
        <v>0</v>
      </c>
      <c r="I93" s="658"/>
      <c r="J93" s="774">
        <f>+'Income-2020-leva'!J93/1000+IF(+Rounding!$K$131=$B93,+Rounding!L$131,0)+IF(+Rounding!$K$132=$B93,+Rounding!L$132,0)+IF(+Rounding!$K$133=$B93,+Rounding!L$133,0)</f>
        <v>0</v>
      </c>
      <c r="K93" s="775">
        <f>+'Income-2020-leva'!K93/1000+IF(+Rounding!$K$131=$B93,+Rounding!M$131,0)+IF(+Rounding!$K$132=$B93,+Rounding!M$132,0)+IF(+Rounding!$K$133=$B93,+Rounding!M$133,0)</f>
        <v>0</v>
      </c>
      <c r="L93" s="658"/>
      <c r="M93" s="774">
        <f>++D93+G93+J93+IF(+Rounding!$O$131=$B93,+Rounding!P$131,0)+IF(+Rounding!$O$132=$B93,+Rounding!P$132,0)+IF(+Rounding!$O$133=$B93,+Rounding!P$133,0)</f>
        <v>0</v>
      </c>
      <c r="N93" s="775">
        <f>++E93+H93+K93+IF(+Rounding!$O$131=$B93,+Rounding!Q$131,0)+IF(+Rounding!$O$132=$B93,+Rounding!Q$132,0)+IF(+Rounding!$O$133=$B93,+Rounding!Q$133,0)</f>
        <v>0</v>
      </c>
      <c r="O93" s="152"/>
      <c r="P93" s="152"/>
      <c r="Q93" s="152"/>
      <c r="R93" s="152"/>
      <c r="S93" s="152"/>
      <c r="T93" s="152"/>
      <c r="U93" s="152"/>
      <c r="V93" s="152"/>
      <c r="W93" s="152"/>
      <c r="X93" s="152"/>
      <c r="Y93" s="152"/>
      <c r="Z93" s="152"/>
    </row>
    <row r="94" spans="1:26" ht="15.75">
      <c r="A94" s="334" t="s">
        <v>1071</v>
      </c>
      <c r="B94" s="335">
        <f>1+B93</f>
        <v>783</v>
      </c>
      <c r="C94" s="658"/>
      <c r="D94" s="774">
        <f>+'Income-2020-leva'!D94/1000+IF(+Rounding!$C$131=$B94,+Rounding!D$131,0)+IF(+Rounding!$C$132=$B94,+Rounding!D$132,0)+IF(+Rounding!$C$133=$B94,+Rounding!D$133,0)</f>
        <v>0</v>
      </c>
      <c r="E94" s="775">
        <f>+'Income-2020-leva'!E94/1000+IF(+Rounding!$C$131=$B94,+Rounding!E$131,0)+IF(+Rounding!$C$132=$B94,+Rounding!E$132,0)+IF(+Rounding!$C$133=$B94,+Rounding!E$133,0)</f>
        <v>0</v>
      </c>
      <c r="F94" s="658"/>
      <c r="G94" s="774">
        <f>+'Income-2020-leva'!G94/1000+IF(+Rounding!$G$131=$B94,+Rounding!H$131,0)+IF(+Rounding!$G$132=$B94,+Rounding!H$132,0)+IF(+Rounding!$G$133=$B94,+Rounding!H$133,0)</f>
        <v>0</v>
      </c>
      <c r="H94" s="775">
        <f>+'Income-2020-leva'!H94/1000+IF(+Rounding!$G$131=$B94,+Rounding!I$131,0)+IF(+Rounding!$G$132=$B94,+Rounding!I$132,0)+IF(+Rounding!$G$133=$B94,+Rounding!I$133,0)</f>
        <v>0</v>
      </c>
      <c r="I94" s="658"/>
      <c r="J94" s="774">
        <f>+'Income-2020-leva'!J94/1000+IF(+Rounding!$K$131=$B94,+Rounding!L$131,0)+IF(+Rounding!$K$132=$B94,+Rounding!L$132,0)+IF(+Rounding!$K$133=$B94,+Rounding!L$133,0)</f>
        <v>0</v>
      </c>
      <c r="K94" s="775">
        <f>+'Income-2020-leva'!K94/1000+IF(+Rounding!$K$131=$B94,+Rounding!M$131,0)+IF(+Rounding!$K$132=$B94,+Rounding!M$132,0)+IF(+Rounding!$K$133=$B94,+Rounding!M$133,0)</f>
        <v>0</v>
      </c>
      <c r="L94" s="658"/>
      <c r="M94" s="774">
        <f>++D94+G94+J94+IF(+Rounding!$O$131=$B94,+Rounding!P$131,0)+IF(+Rounding!$O$132=$B94,+Rounding!P$132,0)+IF(+Rounding!$O$133=$B94,+Rounding!P$133,0)</f>
        <v>0</v>
      </c>
      <c r="N94" s="775">
        <f>++E94+H94+K94+IF(+Rounding!$O$131=$B94,+Rounding!Q$131,0)+IF(+Rounding!$O$132=$B94,+Rounding!Q$132,0)+IF(+Rounding!$O$133=$B94,+Rounding!Q$133,0)</f>
        <v>0</v>
      </c>
      <c r="O94" s="152"/>
      <c r="P94" s="152"/>
      <c r="Q94" s="152"/>
      <c r="R94" s="152"/>
      <c r="S94" s="152"/>
      <c r="T94" s="152"/>
      <c r="U94" s="152"/>
      <c r="V94" s="152"/>
      <c r="W94" s="152"/>
      <c r="X94" s="152"/>
      <c r="Y94" s="152"/>
      <c r="Z94" s="152"/>
    </row>
    <row r="95" spans="1:26" ht="15.75">
      <c r="A95" s="734" t="s">
        <v>1024</v>
      </c>
      <c r="B95" s="735">
        <v>780</v>
      </c>
      <c r="C95" s="658"/>
      <c r="D95" s="794">
        <f>+SUM(D92:D94)</f>
        <v>0</v>
      </c>
      <c r="E95" s="795">
        <f>+SUM(E92:E94)</f>
        <v>-22.674970000000002</v>
      </c>
      <c r="F95" s="658"/>
      <c r="G95" s="794">
        <f>+SUM(G92:G94)</f>
        <v>0</v>
      </c>
      <c r="H95" s="795">
        <f>+SUM(H92:H94)</f>
        <v>0</v>
      </c>
      <c r="I95" s="658"/>
      <c r="J95" s="794">
        <f>+SUM(J92:J94)</f>
        <v>0</v>
      </c>
      <c r="K95" s="795">
        <f>+SUM(K92:K94)</f>
        <v>0</v>
      </c>
      <c r="L95" s="658"/>
      <c r="M95" s="794">
        <f>+SUM(M92:M94)</f>
        <v>0</v>
      </c>
      <c r="N95" s="795">
        <f>+SUM(N92:N94)</f>
        <v>-22.674970000000002</v>
      </c>
      <c r="O95" s="152"/>
      <c r="P95" s="152"/>
      <c r="Q95" s="152"/>
      <c r="R95" s="152"/>
      <c r="S95" s="152"/>
      <c r="T95" s="152"/>
      <c r="U95" s="152"/>
      <c r="V95" s="152"/>
      <c r="W95" s="152"/>
      <c r="X95" s="152"/>
      <c r="Y95" s="152"/>
      <c r="Z95" s="152"/>
    </row>
    <row r="96" spans="1:26" ht="15.75">
      <c r="A96" s="172" t="s">
        <v>1082</v>
      </c>
      <c r="B96" s="173"/>
      <c r="C96" s="658"/>
      <c r="D96" s="780"/>
      <c r="E96" s="781"/>
      <c r="F96" s="658"/>
      <c r="G96" s="780"/>
      <c r="H96" s="781"/>
      <c r="I96" s="658"/>
      <c r="J96" s="780"/>
      <c r="K96" s="781"/>
      <c r="L96" s="658"/>
      <c r="M96" s="780"/>
      <c r="N96" s="781"/>
      <c r="O96" s="152"/>
      <c r="P96" s="152"/>
      <c r="Q96" s="152"/>
      <c r="R96" s="152"/>
      <c r="S96" s="152"/>
      <c r="T96" s="152"/>
      <c r="U96" s="152"/>
      <c r="V96" s="152"/>
      <c r="W96" s="152"/>
      <c r="X96" s="152"/>
      <c r="Y96" s="152"/>
      <c r="Z96" s="152"/>
    </row>
    <row r="97" spans="1:26" ht="15.75">
      <c r="A97" s="334" t="s">
        <v>1075</v>
      </c>
      <c r="B97" s="335">
        <v>791</v>
      </c>
      <c r="C97" s="658"/>
      <c r="D97" s="774">
        <f>+'Income-2020-leva'!D97/1000+IF(+Rounding!$C$131=$B97,+Rounding!D$131,0)+IF(+Rounding!$C$132=$B97,+Rounding!D$132,0)+IF(+Rounding!$C$133=$B97,+Rounding!D$133,0)</f>
        <v>0</v>
      </c>
      <c r="E97" s="775">
        <f>+'Income-2020-leva'!E97/1000+IF(+Rounding!$C$131=$B97,+Rounding!E$131,0)+IF(+Rounding!$C$132=$B97,+Rounding!E$132,0)+IF(+Rounding!$C$133=$B97,+Rounding!E$133,0)</f>
        <v>0</v>
      </c>
      <c r="F97" s="658"/>
      <c r="G97" s="774">
        <f>+'Income-2020-leva'!G97/1000+IF(+Rounding!$G$131=$B97,+Rounding!H$131,0)+IF(+Rounding!$G$132=$B97,+Rounding!H$132,0)+IF(+Rounding!$G$133=$B97,+Rounding!H$133,0)</f>
        <v>0</v>
      </c>
      <c r="H97" s="775">
        <f>+'Income-2020-leva'!H97/1000+IF(+Rounding!$G$131=$B97,+Rounding!I$131,0)+IF(+Rounding!$G$132=$B97,+Rounding!I$132,0)+IF(+Rounding!$G$133=$B97,+Rounding!I$133,0)</f>
        <v>0</v>
      </c>
      <c r="I97" s="658"/>
      <c r="J97" s="774">
        <f>+'Income-2020-leva'!J97/1000+IF(+Rounding!$K$131=$B97,+Rounding!L$131,0)+IF(+Rounding!$K$132=$B97,+Rounding!L$132,0)+IF(+Rounding!$K$133=$B97,+Rounding!L$133,0)</f>
        <v>0</v>
      </c>
      <c r="K97" s="775">
        <f>+'Income-2020-leva'!K97/1000+IF(+Rounding!$K$131=$B97,+Rounding!M$131,0)+IF(+Rounding!$K$132=$B97,+Rounding!M$132,0)+IF(+Rounding!$K$133=$B97,+Rounding!M$133,0)</f>
        <v>0</v>
      </c>
      <c r="L97" s="658"/>
      <c r="M97" s="774">
        <f>++D97+G97+J97+IF(+Rounding!$O$131=$B97,+Rounding!P$131,0)+IF(+Rounding!$O$132=$B97,+Rounding!P$132,0)+IF(+Rounding!$O$133=$B97,+Rounding!P$133,0)</f>
        <v>0</v>
      </c>
      <c r="N97" s="775">
        <f>++E97+H97+K97+IF(+Rounding!$O$131=$B97,+Rounding!Q$131,0)+IF(+Rounding!$O$132=$B97,+Rounding!Q$132,0)+IF(+Rounding!$O$133=$B97,+Rounding!Q$133,0)</f>
        <v>0</v>
      </c>
      <c r="O97" s="152"/>
      <c r="P97" s="152"/>
      <c r="Q97" s="152"/>
      <c r="R97" s="152"/>
      <c r="S97" s="152"/>
      <c r="T97" s="152"/>
      <c r="U97" s="152"/>
      <c r="V97" s="152"/>
      <c r="W97" s="152"/>
      <c r="X97" s="152"/>
      <c r="Y97" s="152"/>
      <c r="Z97" s="152"/>
    </row>
    <row r="98" spans="1:26" ht="15.75">
      <c r="A98" s="334" t="s">
        <v>1074</v>
      </c>
      <c r="B98" s="335">
        <f>1+B97</f>
        <v>792</v>
      </c>
      <c r="C98" s="658"/>
      <c r="D98" s="774">
        <f>+'Income-2020-leva'!D98/1000+IF(+Rounding!$C$131=$B98,+Rounding!D$131,0)+IF(+Rounding!$C$132=$B98,+Rounding!D$132,0)+IF(+Rounding!$C$133=$B98,+Rounding!D$133,0)</f>
        <v>0</v>
      </c>
      <c r="E98" s="775">
        <f>+'Income-2020-leva'!E98/1000+IF(+Rounding!$C$131=$B98,+Rounding!E$131,0)+IF(+Rounding!$C$132=$B98,+Rounding!E$132,0)+IF(+Rounding!$C$133=$B98,+Rounding!E$133,0)</f>
        <v>0</v>
      </c>
      <c r="F98" s="658"/>
      <c r="G98" s="774">
        <f>+'Income-2020-leva'!G98/1000+IF(+Rounding!$G$131=$B98,+Rounding!H$131,0)+IF(+Rounding!$G$132=$B98,+Rounding!H$132,0)+IF(+Rounding!$G$133=$B98,+Rounding!H$133,0)</f>
        <v>0</v>
      </c>
      <c r="H98" s="775">
        <f>+'Income-2020-leva'!H98/1000+IF(+Rounding!$G$131=$B98,+Rounding!I$131,0)+IF(+Rounding!$G$132=$B98,+Rounding!I$132,0)+IF(+Rounding!$G$133=$B98,+Rounding!I$133,0)</f>
        <v>0</v>
      </c>
      <c r="I98" s="658"/>
      <c r="J98" s="774">
        <f>+'Income-2020-leva'!J98/1000+IF(+Rounding!$K$131=$B98,+Rounding!L$131,0)+IF(+Rounding!$K$132=$B98,+Rounding!L$132,0)+IF(+Rounding!$K$133=$B98,+Rounding!L$133,0)</f>
        <v>0</v>
      </c>
      <c r="K98" s="775">
        <f>+'Income-2020-leva'!K98/1000+IF(+Rounding!$K$131=$B98,+Rounding!M$131,0)+IF(+Rounding!$K$132=$B98,+Rounding!M$132,0)+IF(+Rounding!$K$133=$B98,+Rounding!M$133,0)</f>
        <v>0</v>
      </c>
      <c r="L98" s="658"/>
      <c r="M98" s="774">
        <f>++D98+G98+J98+IF(+Rounding!$O$131=$B98,+Rounding!P$131,0)+IF(+Rounding!$O$132=$B98,+Rounding!P$132,0)+IF(+Rounding!$O$133=$B98,+Rounding!P$133,0)</f>
        <v>0</v>
      </c>
      <c r="N98" s="775">
        <f>++E98+H98+K98+IF(+Rounding!$O$131=$B98,+Rounding!Q$131,0)+IF(+Rounding!$O$132=$B98,+Rounding!Q$132,0)+IF(+Rounding!$O$133=$B98,+Rounding!Q$133,0)</f>
        <v>0</v>
      </c>
      <c r="O98" s="152"/>
      <c r="P98" s="152"/>
      <c r="Q98" s="152"/>
      <c r="R98" s="152"/>
      <c r="S98" s="152"/>
      <c r="T98" s="152"/>
      <c r="U98" s="152"/>
      <c r="V98" s="152"/>
      <c r="W98" s="152"/>
      <c r="X98" s="152"/>
      <c r="Y98" s="152"/>
      <c r="Z98" s="152"/>
    </row>
    <row r="99" spans="1:26" ht="15.75">
      <c r="A99" s="334" t="s">
        <v>1090</v>
      </c>
      <c r="B99" s="335">
        <f>1+B98</f>
        <v>793</v>
      </c>
      <c r="C99" s="658"/>
      <c r="D99" s="774">
        <f>+'Income-2020-leva'!D99/1000+IF(+Rounding!$C$131=$B99,+Rounding!D$131,0)+IF(+Rounding!$C$132=$B99,+Rounding!D$132,0)+IF(+Rounding!$C$133=$B99,+Rounding!D$133,0)</f>
        <v>0</v>
      </c>
      <c r="E99" s="775">
        <f>+'Income-2020-leva'!E99/1000+IF(+Rounding!$C$131=$B99,+Rounding!E$131,0)+IF(+Rounding!$C$132=$B99,+Rounding!E$132,0)+IF(+Rounding!$C$133=$B99,+Rounding!E$133,0)</f>
        <v>0</v>
      </c>
      <c r="F99" s="658"/>
      <c r="G99" s="774">
        <f>+'Income-2020-leva'!G99/1000+IF(+Rounding!$G$131=$B99,+Rounding!H$131,0)+IF(+Rounding!$G$132=$B99,+Rounding!H$132,0)+IF(+Rounding!$G$133=$B99,+Rounding!H$133,0)</f>
        <v>0</v>
      </c>
      <c r="H99" s="775">
        <f>+'Income-2020-leva'!H99/1000+IF(+Rounding!$G$131=$B99,+Rounding!I$131,0)+IF(+Rounding!$G$132=$B99,+Rounding!I$132,0)+IF(+Rounding!$G$133=$B99,+Rounding!I$133,0)</f>
        <v>0</v>
      </c>
      <c r="I99" s="658"/>
      <c r="J99" s="774">
        <f>+'Income-2020-leva'!J99/1000+IF(+Rounding!$K$131=$B99,+Rounding!L$131,0)+IF(+Rounding!$K$132=$B99,+Rounding!L$132,0)+IF(+Rounding!$K$133=$B99,+Rounding!L$133,0)</f>
        <v>0</v>
      </c>
      <c r="K99" s="775">
        <f>+'Income-2020-leva'!K99/1000+IF(+Rounding!$K$131=$B99,+Rounding!M$131,0)+IF(+Rounding!$K$132=$B99,+Rounding!M$132,0)+IF(+Rounding!$K$133=$B99,+Rounding!M$133,0)</f>
        <v>0</v>
      </c>
      <c r="L99" s="658"/>
      <c r="M99" s="774">
        <f>++D99+G99+J99+IF(+Rounding!$O$131=$B99,+Rounding!P$131,0)+IF(+Rounding!$O$132=$B99,+Rounding!P$132,0)+IF(+Rounding!$O$133=$B99,+Rounding!P$133,0)</f>
        <v>0</v>
      </c>
      <c r="N99" s="775">
        <f>++E99+H99+K99+IF(+Rounding!$O$131=$B99,+Rounding!Q$131,0)+IF(+Rounding!$O$132=$B99,+Rounding!Q$132,0)+IF(+Rounding!$O$133=$B99,+Rounding!Q$133,0)</f>
        <v>0</v>
      </c>
      <c r="O99" s="152"/>
      <c r="P99" s="152"/>
      <c r="Q99" s="152"/>
      <c r="R99" s="152"/>
      <c r="S99" s="152"/>
      <c r="T99" s="152"/>
      <c r="U99" s="152"/>
      <c r="V99" s="152"/>
      <c r="W99" s="152"/>
      <c r="X99" s="152"/>
      <c r="Y99" s="152"/>
      <c r="Z99" s="152"/>
    </row>
    <row r="100" spans="1:26" ht="15.75">
      <c r="A100" s="334" t="s">
        <v>1091</v>
      </c>
      <c r="B100" s="335">
        <f>1+B99</f>
        <v>794</v>
      </c>
      <c r="C100" s="658"/>
      <c r="D100" s="774">
        <f>+'Income-2020-leva'!D100/1000+IF(+Rounding!$C$131=$B100,+Rounding!D$131,0)+IF(+Rounding!$C$132=$B100,+Rounding!D$132,0)+IF(+Rounding!$C$133=$B100,+Rounding!D$133,0)</f>
        <v>0</v>
      </c>
      <c r="E100" s="775">
        <f>+'Income-2020-leva'!E100/1000+IF(+Rounding!$C$131=$B100,+Rounding!E$131,0)+IF(+Rounding!$C$132=$B100,+Rounding!E$132,0)+IF(+Rounding!$C$133=$B100,+Rounding!E$133,0)</f>
        <v>0</v>
      </c>
      <c r="F100" s="658"/>
      <c r="G100" s="774">
        <f>+'Income-2020-leva'!G100/1000+IF(+Rounding!$G$131=$B100,+Rounding!H$131,0)+IF(+Rounding!$G$132=$B100,+Rounding!H$132,0)+IF(+Rounding!$G$133=$B100,+Rounding!H$133,0)</f>
        <v>0</v>
      </c>
      <c r="H100" s="775">
        <f>+'Income-2020-leva'!H100/1000+IF(+Rounding!$G$131=$B100,+Rounding!I$131,0)+IF(+Rounding!$G$132=$B100,+Rounding!I$132,0)+IF(+Rounding!$G$133=$B100,+Rounding!I$133,0)</f>
        <v>0</v>
      </c>
      <c r="I100" s="658"/>
      <c r="J100" s="774">
        <f>+'Income-2020-leva'!J100/1000+IF(+Rounding!$K$131=$B100,+Rounding!L$131,0)+IF(+Rounding!$K$132=$B100,+Rounding!L$132,0)+IF(+Rounding!$K$133=$B100,+Rounding!L$133,0)</f>
        <v>0</v>
      </c>
      <c r="K100" s="775">
        <f>+'Income-2020-leva'!K100/1000+IF(+Rounding!$K$131=$B100,+Rounding!M$131,0)+IF(+Rounding!$K$132=$B100,+Rounding!M$132,0)+IF(+Rounding!$K$133=$B100,+Rounding!M$133,0)</f>
        <v>0</v>
      </c>
      <c r="L100" s="658"/>
      <c r="M100" s="774">
        <f>++D100+G100+J100+IF(+Rounding!$O$131=$B100,+Rounding!P$131,0)+IF(+Rounding!$O$132=$B100,+Rounding!P$132,0)+IF(+Rounding!$O$133=$B100,+Rounding!P$133,0)</f>
        <v>0</v>
      </c>
      <c r="N100" s="775">
        <f>++E100+H100+K100+IF(+Rounding!$O$131=$B100,+Rounding!Q$131,0)+IF(+Rounding!$O$132=$B100,+Rounding!Q$132,0)+IF(+Rounding!$O$133=$B100,+Rounding!Q$133,0)</f>
        <v>0</v>
      </c>
      <c r="O100" s="152"/>
      <c r="P100" s="152"/>
      <c r="Q100" s="152"/>
      <c r="R100" s="152"/>
      <c r="S100" s="152"/>
      <c r="T100" s="152"/>
      <c r="U100" s="152"/>
      <c r="V100" s="152"/>
      <c r="W100" s="152"/>
      <c r="X100" s="152"/>
      <c r="Y100" s="152"/>
      <c r="Z100" s="152"/>
    </row>
    <row r="101" spans="1:26" ht="15.75">
      <c r="A101" s="336" t="s">
        <v>1076</v>
      </c>
      <c r="B101" s="337">
        <f>1+B100</f>
        <v>795</v>
      </c>
      <c r="C101" s="658"/>
      <c r="D101" s="776">
        <f>+'Income-2020-leva'!D101/1000+IF(+Rounding!$C$131=$B101,+Rounding!D$131,0)+IF(+Rounding!$C$132=$B101,+Rounding!D$132,0)+IF(+Rounding!$C$133=$B101,+Rounding!D$133,0)</f>
        <v>0</v>
      </c>
      <c r="E101" s="777">
        <f>+'Income-2020-leva'!E101/1000+IF(+Rounding!$C$131=$B101,+Rounding!E$131,0)+IF(+Rounding!$C$132=$B101,+Rounding!E$132,0)+IF(+Rounding!$C$133=$B101,+Rounding!E$133,0)</f>
        <v>0</v>
      </c>
      <c r="F101" s="658"/>
      <c r="G101" s="776">
        <f>+'Income-2020-leva'!G101/1000+IF(+Rounding!$G$131=$B101,+Rounding!H$131,0)+IF(+Rounding!$G$132=$B101,+Rounding!H$132,0)+IF(+Rounding!$G$133=$B101,+Rounding!H$133,0)</f>
        <v>0</v>
      </c>
      <c r="H101" s="777">
        <f>+'Income-2020-leva'!H101/1000+IF(+Rounding!$G$131=$B101,+Rounding!I$131,0)+IF(+Rounding!$G$132=$B101,+Rounding!I$132,0)+IF(+Rounding!$G$133=$B101,+Rounding!I$133,0)</f>
        <v>0</v>
      </c>
      <c r="I101" s="658"/>
      <c r="J101" s="776">
        <f>+'Income-2020-leva'!J101/1000+IF(+Rounding!$K$131=$B101,+Rounding!L$131,0)+IF(+Rounding!$K$132=$B101,+Rounding!L$132,0)+IF(+Rounding!$K$133=$B101,+Rounding!L$133,0)</f>
        <v>0</v>
      </c>
      <c r="K101" s="777">
        <f>+'Income-2020-leva'!K101/1000+IF(+Rounding!$K$131=$B101,+Rounding!M$131,0)+IF(+Rounding!$K$132=$B101,+Rounding!M$132,0)+IF(+Rounding!$K$133=$B101,+Rounding!M$133,0)</f>
        <v>0</v>
      </c>
      <c r="L101" s="658"/>
      <c r="M101" s="776">
        <f>++D101+G101+J101+IF(+Rounding!$O$131=$B101,+Rounding!P$131,0)+IF(+Rounding!$O$132=$B101,+Rounding!P$132,0)+IF(+Rounding!$O$133=$B101,+Rounding!P$133,0)</f>
        <v>0</v>
      </c>
      <c r="N101" s="777">
        <f>++E101+H101+K101+IF(+Rounding!$O$131=$B101,+Rounding!Q$131,0)+IF(+Rounding!$O$132=$B101,+Rounding!Q$132,0)+IF(+Rounding!$O$133=$B101,+Rounding!Q$133,0)</f>
        <v>0</v>
      </c>
      <c r="O101" s="152"/>
      <c r="P101" s="152"/>
      <c r="Q101" s="152"/>
      <c r="R101" s="152"/>
      <c r="S101" s="152"/>
      <c r="T101" s="152"/>
      <c r="U101" s="152"/>
      <c r="V101" s="152"/>
      <c r="W101" s="152"/>
      <c r="X101" s="152"/>
      <c r="Y101" s="152"/>
      <c r="Z101" s="152"/>
    </row>
    <row r="102" spans="1:26" ht="15.75">
      <c r="A102" s="734" t="s">
        <v>1026</v>
      </c>
      <c r="B102" s="735">
        <v>790</v>
      </c>
      <c r="C102" s="658"/>
      <c r="D102" s="794">
        <f>++SUM(D97:D101)</f>
        <v>0</v>
      </c>
      <c r="E102" s="795">
        <f>++SUM(E97:E101)</f>
        <v>0</v>
      </c>
      <c r="F102" s="658"/>
      <c r="G102" s="794">
        <f>++SUM(G97:G101)</f>
        <v>0</v>
      </c>
      <c r="H102" s="795">
        <f>++SUM(H97:H101)</f>
        <v>0</v>
      </c>
      <c r="I102" s="658"/>
      <c r="J102" s="794">
        <f>++SUM(J97:J101)</f>
        <v>0</v>
      </c>
      <c r="K102" s="795">
        <f>++SUM(K97:K101)</f>
        <v>0</v>
      </c>
      <c r="L102" s="658"/>
      <c r="M102" s="794">
        <f>++SUM(M97:M101)</f>
        <v>0</v>
      </c>
      <c r="N102" s="795">
        <f>++SUM(N97:N101)</f>
        <v>0</v>
      </c>
      <c r="O102" s="152"/>
      <c r="P102" s="152"/>
      <c r="Q102" s="152"/>
      <c r="R102" s="152"/>
      <c r="S102" s="152"/>
      <c r="T102" s="152"/>
      <c r="U102" s="152"/>
      <c r="V102" s="152"/>
      <c r="W102" s="152"/>
      <c r="X102" s="152"/>
      <c r="Y102" s="152"/>
      <c r="Z102" s="152"/>
    </row>
    <row r="103" spans="1:26" ht="15.75">
      <c r="A103" s="172" t="s">
        <v>1101</v>
      </c>
      <c r="B103" s="173"/>
      <c r="C103" s="658"/>
      <c r="D103" s="780"/>
      <c r="E103" s="781"/>
      <c r="F103" s="658"/>
      <c r="G103" s="780"/>
      <c r="H103" s="781"/>
      <c r="I103" s="658"/>
      <c r="J103" s="780"/>
      <c r="K103" s="781"/>
      <c r="L103" s="658"/>
      <c r="M103" s="780"/>
      <c r="N103" s="781"/>
      <c r="O103" s="152"/>
      <c r="P103" s="152"/>
      <c r="Q103" s="152"/>
      <c r="R103" s="152"/>
      <c r="S103" s="152"/>
      <c r="T103" s="152"/>
      <c r="U103" s="152"/>
      <c r="V103" s="152"/>
      <c r="W103" s="152"/>
      <c r="X103" s="152"/>
      <c r="Y103" s="152"/>
      <c r="Z103" s="152"/>
    </row>
    <row r="104" spans="1:26" ht="15.75">
      <c r="A104" s="334" t="s">
        <v>1078</v>
      </c>
      <c r="B104" s="335">
        <v>691</v>
      </c>
      <c r="C104" s="658"/>
      <c r="D104" s="774">
        <f>+'Income-2020-leva'!D104/1000+IF(+Rounding!$C$131=$B104,+Rounding!D$131,0)+IF(+Rounding!$C$132=$B104,+Rounding!D$132,0)+IF(+Rounding!$C$133=$B104,+Rounding!D$133,0)</f>
        <v>0</v>
      </c>
      <c r="E104" s="775">
        <f>+'Income-2020-leva'!E104/1000+IF(+Rounding!$C$131=$B104,+Rounding!E$131,0)+IF(+Rounding!$C$132=$B104,+Rounding!E$132,0)+IF(+Rounding!$C$133=$B104,+Rounding!E$133,0)</f>
        <v>0</v>
      </c>
      <c r="F104" s="658"/>
      <c r="G104" s="774">
        <f>+'Income-2020-leva'!G104/1000+IF(+Rounding!$G$131=$B104,+Rounding!H$131,0)+IF(+Rounding!$G$132=$B104,+Rounding!H$132,0)+IF(+Rounding!$G$133=$B104,+Rounding!H$133,0)</f>
        <v>0</v>
      </c>
      <c r="H104" s="775">
        <f>+'Income-2020-leva'!H104/1000+IF(+Rounding!$G$131=$B104,+Rounding!I$131,0)+IF(+Rounding!$G$132=$B104,+Rounding!I$132,0)+IF(+Rounding!$G$133=$B104,+Rounding!I$133,0)</f>
        <v>0</v>
      </c>
      <c r="I104" s="658"/>
      <c r="J104" s="774">
        <f>+'Income-2020-leva'!J104/1000+IF(+Rounding!$K$131=$B104,+Rounding!L$131,0)+IF(+Rounding!$K$132=$B104,+Rounding!L$132,0)+IF(+Rounding!$K$133=$B104,+Rounding!L$133,0)</f>
        <v>0</v>
      </c>
      <c r="K104" s="775">
        <f>+'Income-2020-leva'!K104/1000+IF(+Rounding!$K$131=$B104,+Rounding!M$131,0)+IF(+Rounding!$K$132=$B104,+Rounding!M$132,0)+IF(+Rounding!$K$133=$B104,+Rounding!M$133,0)</f>
        <v>0</v>
      </c>
      <c r="L104" s="658"/>
      <c r="M104" s="774">
        <f>++D104+G104+J104+IF(+Rounding!$O$131=$B104,+Rounding!P$131,0)+IF(+Rounding!$O$132=$B104,+Rounding!P$132,0)+IF(+Rounding!$O$133=$B104,+Rounding!P$133,0)</f>
        <v>0</v>
      </c>
      <c r="N104" s="775">
        <f>++E104+H104+K104+IF(+Rounding!$O$131=$B104,+Rounding!Q$131,0)+IF(+Rounding!$O$132=$B104,+Rounding!Q$132,0)+IF(+Rounding!$O$133=$B104,+Rounding!Q$133,0)</f>
        <v>0</v>
      </c>
      <c r="O104" s="152"/>
      <c r="P104" s="152"/>
      <c r="Q104" s="152"/>
      <c r="R104" s="152"/>
      <c r="S104" s="152"/>
      <c r="T104" s="152"/>
      <c r="U104" s="152"/>
      <c r="V104" s="152"/>
      <c r="W104" s="152"/>
      <c r="X104" s="152"/>
      <c r="Y104" s="152"/>
      <c r="Z104" s="152"/>
    </row>
    <row r="105" spans="1:26" ht="15.75">
      <c r="A105" s="334" t="s">
        <v>1077</v>
      </c>
      <c r="B105" s="335">
        <f>1+B104</f>
        <v>692</v>
      </c>
      <c r="C105" s="658"/>
      <c r="D105" s="774">
        <f>+'Income-2020-leva'!D105/1000+IF(+Rounding!$C$131=$B105,+Rounding!D$131,0)+IF(+Rounding!$C$132=$B105,+Rounding!D$132,0)+IF(+Rounding!$C$133=$B105,+Rounding!D$133,0)</f>
        <v>0</v>
      </c>
      <c r="E105" s="775">
        <f>+'Income-2020-leva'!E105/1000+IF(+Rounding!$C$131=$B105,+Rounding!E$131,0)+IF(+Rounding!$C$132=$B105,+Rounding!E$132,0)+IF(+Rounding!$C$133=$B105,+Rounding!E$133,0)</f>
        <v>0</v>
      </c>
      <c r="F105" s="658"/>
      <c r="G105" s="774">
        <f>+'Income-2020-leva'!G105/1000+IF(+Rounding!$G$131=$B105,+Rounding!H$131,0)+IF(+Rounding!$G$132=$B105,+Rounding!H$132,0)+IF(+Rounding!$G$133=$B105,+Rounding!H$133,0)</f>
        <v>0</v>
      </c>
      <c r="H105" s="775">
        <f>+'Income-2020-leva'!H105/1000+IF(+Rounding!$G$131=$B105,+Rounding!I$131,0)+IF(+Rounding!$G$132=$B105,+Rounding!I$132,0)+IF(+Rounding!$G$133=$B105,+Rounding!I$133,0)</f>
        <v>0</v>
      </c>
      <c r="I105" s="658"/>
      <c r="J105" s="774">
        <f>+'Income-2020-leva'!J105/1000+IF(+Rounding!$K$131=$B105,+Rounding!L$131,0)+IF(+Rounding!$K$132=$B105,+Rounding!L$132,0)+IF(+Rounding!$K$133=$B105,+Rounding!L$133,0)</f>
        <v>0</v>
      </c>
      <c r="K105" s="775">
        <f>+'Income-2020-leva'!K105/1000+IF(+Rounding!$K$131=$B105,+Rounding!M$131,0)+IF(+Rounding!$K$132=$B105,+Rounding!M$132,0)+IF(+Rounding!$K$133=$B105,+Rounding!M$133,0)</f>
        <v>0</v>
      </c>
      <c r="L105" s="658"/>
      <c r="M105" s="774">
        <f>++D105+G105+J105+IF(+Rounding!$O$131=$B105,+Rounding!P$131,0)+IF(+Rounding!$O$132=$B105,+Rounding!P$132,0)+IF(+Rounding!$O$133=$B105,+Rounding!P$133,0)</f>
        <v>0</v>
      </c>
      <c r="N105" s="775">
        <f>++E105+H105+K105+IF(+Rounding!$O$131=$B105,+Rounding!Q$131,0)+IF(+Rounding!$O$132=$B105,+Rounding!Q$132,0)+IF(+Rounding!$O$133=$B105,+Rounding!Q$133,0)</f>
        <v>0</v>
      </c>
      <c r="O105" s="152"/>
      <c r="P105" s="152"/>
      <c r="Q105" s="152"/>
      <c r="R105" s="152"/>
      <c r="S105" s="152"/>
      <c r="T105" s="152"/>
      <c r="U105" s="152"/>
      <c r="V105" s="152"/>
      <c r="W105" s="152"/>
      <c r="X105" s="152"/>
      <c r="Y105" s="152"/>
      <c r="Z105" s="152"/>
    </row>
    <row r="106" spans="1:26" ht="15.75">
      <c r="A106" s="334" t="s">
        <v>1092</v>
      </c>
      <c r="B106" s="335">
        <f>1+B105</f>
        <v>693</v>
      </c>
      <c r="C106" s="658"/>
      <c r="D106" s="774">
        <f>+'Income-2020-leva'!D106/1000+IF(+Rounding!$C$131=$B106,+Rounding!D$131,0)+IF(+Rounding!$C$132=$B106,+Rounding!D$132,0)+IF(+Rounding!$C$133=$B106,+Rounding!D$133,0)</f>
        <v>0</v>
      </c>
      <c r="E106" s="775">
        <f>+'Income-2020-leva'!E106/1000+IF(+Rounding!$C$131=$B106,+Rounding!E$131,0)+IF(+Rounding!$C$132=$B106,+Rounding!E$132,0)+IF(+Rounding!$C$133=$B106,+Rounding!E$133,0)</f>
        <v>0</v>
      </c>
      <c r="F106" s="658"/>
      <c r="G106" s="774">
        <f>+'Income-2020-leva'!G106/1000+IF(+Rounding!$G$131=$B106,+Rounding!H$131,0)+IF(+Rounding!$G$132=$B106,+Rounding!H$132,0)+IF(+Rounding!$G$133=$B106,+Rounding!H$133,0)</f>
        <v>0</v>
      </c>
      <c r="H106" s="775">
        <f>+'Income-2020-leva'!H106/1000+IF(+Rounding!$G$131=$B106,+Rounding!I$131,0)+IF(+Rounding!$G$132=$B106,+Rounding!I$132,0)+IF(+Rounding!$G$133=$B106,+Rounding!I$133,0)</f>
        <v>0</v>
      </c>
      <c r="I106" s="658"/>
      <c r="J106" s="774">
        <f>+'Income-2020-leva'!J106/1000+IF(+Rounding!$K$131=$B106,+Rounding!L$131,0)+IF(+Rounding!$K$132=$B106,+Rounding!L$132,0)+IF(+Rounding!$K$133=$B106,+Rounding!L$133,0)</f>
        <v>0</v>
      </c>
      <c r="K106" s="775">
        <f>+'Income-2020-leva'!K106/1000+IF(+Rounding!$K$131=$B106,+Rounding!M$131,0)+IF(+Rounding!$K$132=$B106,+Rounding!M$132,0)+IF(+Rounding!$K$133=$B106,+Rounding!M$133,0)</f>
        <v>0</v>
      </c>
      <c r="L106" s="658"/>
      <c r="M106" s="774">
        <f>++D106+G106+J106+IF(+Rounding!$O$131=$B106,+Rounding!P$131,0)+IF(+Rounding!$O$132=$B106,+Rounding!P$132,0)+IF(+Rounding!$O$133=$B106,+Rounding!P$133,0)</f>
        <v>0</v>
      </c>
      <c r="N106" s="775">
        <f>++E106+H106+K106+IF(+Rounding!$O$131=$B106,+Rounding!Q$131,0)+IF(+Rounding!$O$132=$B106,+Rounding!Q$132,0)+IF(+Rounding!$O$133=$B106,+Rounding!Q$133,0)</f>
        <v>0</v>
      </c>
      <c r="O106" s="152"/>
      <c r="P106" s="152"/>
      <c r="Q106" s="152"/>
      <c r="R106" s="152"/>
      <c r="S106" s="152"/>
      <c r="T106" s="152"/>
      <c r="U106" s="152"/>
      <c r="V106" s="152"/>
      <c r="W106" s="152"/>
      <c r="X106" s="152"/>
      <c r="Y106" s="152"/>
      <c r="Z106" s="152"/>
    </row>
    <row r="107" spans="1:26" ht="15.75">
      <c r="A107" s="334" t="s">
        <v>1093</v>
      </c>
      <c r="B107" s="335">
        <f>1+B106</f>
        <v>694</v>
      </c>
      <c r="C107" s="658"/>
      <c r="D107" s="774">
        <f>+'Income-2020-leva'!D107/1000+IF(+Rounding!$C$131=$B107,+Rounding!D$131,0)+IF(+Rounding!$C$132=$B107,+Rounding!D$132,0)+IF(+Rounding!$C$133=$B107,+Rounding!D$133,0)</f>
        <v>0</v>
      </c>
      <c r="E107" s="775">
        <f>+'Income-2020-leva'!E107/1000+IF(+Rounding!$C$131=$B107,+Rounding!E$131,0)+IF(+Rounding!$C$132=$B107,+Rounding!E$132,0)+IF(+Rounding!$C$133=$B107,+Rounding!E$133,0)</f>
        <v>0</v>
      </c>
      <c r="F107" s="658"/>
      <c r="G107" s="774">
        <f>+'Income-2020-leva'!G107/1000+IF(+Rounding!$G$131=$B107,+Rounding!H$131,0)+IF(+Rounding!$G$132=$B107,+Rounding!H$132,0)+IF(+Rounding!$G$133=$B107,+Rounding!H$133,0)</f>
        <v>0</v>
      </c>
      <c r="H107" s="775">
        <f>+'Income-2020-leva'!H107/1000+IF(+Rounding!$G$131=$B107,+Rounding!I$131,0)+IF(+Rounding!$G$132=$B107,+Rounding!I$132,0)+IF(+Rounding!$G$133=$B107,+Rounding!I$133,0)</f>
        <v>0</v>
      </c>
      <c r="I107" s="658"/>
      <c r="J107" s="774">
        <f>+'Income-2020-leva'!J107/1000+IF(+Rounding!$K$131=$B107,+Rounding!L$131,0)+IF(+Rounding!$K$132=$B107,+Rounding!L$132,0)+IF(+Rounding!$K$133=$B107,+Rounding!L$133,0)</f>
        <v>0</v>
      </c>
      <c r="K107" s="775">
        <f>+'Income-2020-leva'!K107/1000+IF(+Rounding!$K$131=$B107,+Rounding!M$131,0)+IF(+Rounding!$K$132=$B107,+Rounding!M$132,0)+IF(+Rounding!$K$133=$B107,+Rounding!M$133,0)</f>
        <v>0</v>
      </c>
      <c r="L107" s="658"/>
      <c r="M107" s="774">
        <f>++D107+G107+J107+IF(+Rounding!$O$131=$B107,+Rounding!P$131,0)+IF(+Rounding!$O$132=$B107,+Rounding!P$132,0)+IF(+Rounding!$O$133=$B107,+Rounding!P$133,0)</f>
        <v>0</v>
      </c>
      <c r="N107" s="775">
        <f>++E107+H107+K107+IF(+Rounding!$O$131=$B107,+Rounding!Q$131,0)+IF(+Rounding!$O$132=$B107,+Rounding!Q$132,0)+IF(+Rounding!$O$133=$B107,+Rounding!Q$133,0)</f>
        <v>0</v>
      </c>
      <c r="O107" s="152"/>
      <c r="P107" s="152"/>
      <c r="Q107" s="1897" t="s">
        <v>1873</v>
      </c>
      <c r="R107" s="152"/>
      <c r="S107" s="152"/>
      <c r="T107" s="152"/>
      <c r="U107" s="152"/>
      <c r="V107" s="152"/>
      <c r="W107" s="152"/>
      <c r="X107" s="152"/>
      <c r="Y107" s="152"/>
      <c r="Z107" s="152"/>
    </row>
    <row r="108" spans="1:26" ht="15.75">
      <c r="A108" s="336" t="s">
        <v>1079</v>
      </c>
      <c r="B108" s="337">
        <f>1+B107</f>
        <v>695</v>
      </c>
      <c r="C108" s="658"/>
      <c r="D108" s="776">
        <f>+'Income-2020-leva'!D108/1000+IF(+Rounding!$C$131=$B108,+Rounding!D$131,0)+IF(+Rounding!$C$132=$B108,+Rounding!D$132,0)+IF(+Rounding!$C$133=$B108,+Rounding!D$133,0)</f>
        <v>0</v>
      </c>
      <c r="E108" s="777">
        <f>+'Income-2020-leva'!E108/1000+IF(+Rounding!$C$131=$B108,+Rounding!E$131,0)+IF(+Rounding!$C$132=$B108,+Rounding!E$132,0)+IF(+Rounding!$C$133=$B108,+Rounding!E$133,0)</f>
        <v>0</v>
      </c>
      <c r="F108" s="658"/>
      <c r="G108" s="776">
        <f>+'Income-2020-leva'!G108/1000+IF(+Rounding!$G$131=$B108,+Rounding!H$131,0)+IF(+Rounding!$G$132=$B108,+Rounding!H$132,0)+IF(+Rounding!$G$133=$B108,+Rounding!H$133,0)</f>
        <v>0</v>
      </c>
      <c r="H108" s="777">
        <f>+'Income-2020-leva'!H108/1000+IF(+Rounding!$G$131=$B108,+Rounding!I$131,0)+IF(+Rounding!$G$132=$B108,+Rounding!I$132,0)+IF(+Rounding!$G$133=$B108,+Rounding!I$133,0)</f>
        <v>0</v>
      </c>
      <c r="I108" s="658"/>
      <c r="J108" s="776">
        <f>+'Income-2020-leva'!J108/1000+IF(+Rounding!$K$131=$B108,+Rounding!L$131,0)+IF(+Rounding!$K$132=$B108,+Rounding!L$132,0)+IF(+Rounding!$K$133=$B108,+Rounding!L$133,0)</f>
        <v>0</v>
      </c>
      <c r="K108" s="777">
        <f>+'Income-2020-leva'!K108/1000+IF(+Rounding!$K$131=$B108,+Rounding!M$131,0)+IF(+Rounding!$K$132=$B108,+Rounding!M$132,0)+IF(+Rounding!$K$133=$B108,+Rounding!M$133,0)</f>
        <v>0</v>
      </c>
      <c r="L108" s="658"/>
      <c r="M108" s="776">
        <f>++D108+G108+J108+IF(+Rounding!$O$131=$B108,+Rounding!P$131,0)+IF(+Rounding!$O$132=$B108,+Rounding!P$132,0)+IF(+Rounding!$O$133=$B108,+Rounding!P$133,0)</f>
        <v>0</v>
      </c>
      <c r="N108" s="777">
        <f>++E108+H108+K108+IF(+Rounding!$O$131=$B108,+Rounding!Q$131,0)+IF(+Rounding!$O$132=$B108,+Rounding!Q$132,0)+IF(+Rounding!$O$133=$B108,+Rounding!Q$133,0)</f>
        <v>0</v>
      </c>
      <c r="O108" s="152"/>
      <c r="P108" s="1667" t="s">
        <v>1869</v>
      </c>
      <c r="Q108" s="1895" t="str">
        <f>+Q25</f>
        <v>'Municipal-Bal'</v>
      </c>
      <c r="R108" s="152"/>
      <c r="S108" s="152"/>
      <c r="T108" s="152"/>
      <c r="U108" s="152"/>
      <c r="V108" s="152"/>
      <c r="W108" s="152"/>
      <c r="X108" s="152"/>
      <c r="Y108" s="152"/>
      <c r="Z108" s="152"/>
    </row>
    <row r="109" spans="1:26" ht="15.75">
      <c r="A109" s="734" t="s">
        <v>1027</v>
      </c>
      <c r="B109" s="735">
        <v>690</v>
      </c>
      <c r="C109" s="658"/>
      <c r="D109" s="794">
        <f>++SUM(D104:D108)</f>
        <v>0</v>
      </c>
      <c r="E109" s="795">
        <f>++SUM(E104:E108)</f>
        <v>0</v>
      </c>
      <c r="F109" s="658"/>
      <c r="G109" s="794">
        <f>++SUM(G104:G108)</f>
        <v>0</v>
      </c>
      <c r="H109" s="795">
        <f>++SUM(H104:H108)</f>
        <v>0</v>
      </c>
      <c r="I109" s="658"/>
      <c r="J109" s="794">
        <f>++SUM(J104:J108)</f>
        <v>0</v>
      </c>
      <c r="K109" s="795">
        <f>++SUM(K104:K108)</f>
        <v>0</v>
      </c>
      <c r="L109" s="658"/>
      <c r="M109" s="794">
        <f>++SUM(M104:M108)</f>
        <v>0</v>
      </c>
      <c r="N109" s="795">
        <f>++SUM(N104:N108)</f>
        <v>0</v>
      </c>
      <c r="O109" s="152"/>
      <c r="P109" s="2599" t="s">
        <v>1300</v>
      </c>
      <c r="Q109" s="2600"/>
      <c r="R109" s="152"/>
      <c r="S109" s="152"/>
      <c r="T109" s="152"/>
      <c r="U109" s="152"/>
      <c r="V109" s="152"/>
      <c r="W109" s="152"/>
      <c r="X109" s="152"/>
      <c r="Y109" s="152"/>
      <c r="Z109" s="152"/>
    </row>
    <row r="110" spans="1:26" ht="6" customHeight="1">
      <c r="A110" s="172"/>
      <c r="B110" s="173"/>
      <c r="C110" s="658"/>
      <c r="D110" s="780"/>
      <c r="E110" s="781"/>
      <c r="F110" s="658"/>
      <c r="G110" s="780"/>
      <c r="H110" s="781"/>
      <c r="I110" s="658"/>
      <c r="J110" s="780"/>
      <c r="K110" s="781"/>
      <c r="L110" s="658"/>
      <c r="M110" s="780"/>
      <c r="N110" s="781"/>
      <c r="O110" s="152"/>
      <c r="P110" s="2601"/>
      <c r="Q110" s="2602"/>
      <c r="R110" s="152"/>
      <c r="S110" s="152"/>
      <c r="T110" s="152"/>
      <c r="U110" s="152"/>
      <c r="V110" s="152"/>
      <c r="W110" s="152"/>
      <c r="X110" s="152"/>
      <c r="Y110" s="152"/>
      <c r="Z110" s="152"/>
    </row>
    <row r="111" spans="1:26" ht="19.5" thickBot="1">
      <c r="A111" s="738" t="s">
        <v>1084</v>
      </c>
      <c r="B111" s="739">
        <v>799</v>
      </c>
      <c r="C111" s="658"/>
      <c r="D111" s="796">
        <f>+D90+D95+D102-D109</f>
        <v>7.5911999999999997</v>
      </c>
      <c r="E111" s="797">
        <f>+E90+E95+E102-E109</f>
        <v>-22.674970000000002</v>
      </c>
      <c r="F111" s="658"/>
      <c r="G111" s="796">
        <f>+G90+G95+G102-G109</f>
        <v>0</v>
      </c>
      <c r="H111" s="797">
        <f>+H90+H95+H102-H109</f>
        <v>0</v>
      </c>
      <c r="I111" s="658"/>
      <c r="J111" s="796">
        <f>+J90+J95+J102-J109</f>
        <v>0</v>
      </c>
      <c r="K111" s="797">
        <f>+K90+K95+K102-K109</f>
        <v>0</v>
      </c>
      <c r="L111" s="658"/>
      <c r="M111" s="796">
        <f>+M90+M95+M102-M109</f>
        <v>7.5911999999999997</v>
      </c>
      <c r="N111" s="797">
        <f>+N90+N95+N102-N109</f>
        <v>-22.674970000000002</v>
      </c>
      <c r="O111" s="152"/>
      <c r="P111" s="1675" t="s">
        <v>1295</v>
      </c>
      <c r="Q111" s="1676" t="s">
        <v>1296</v>
      </c>
      <c r="R111" s="152"/>
      <c r="S111" s="152"/>
      <c r="T111" s="152"/>
      <c r="U111" s="152"/>
      <c r="V111" s="152"/>
      <c r="W111" s="152"/>
      <c r="X111" s="152"/>
      <c r="Y111" s="152"/>
      <c r="Z111" s="152"/>
    </row>
    <row r="112" spans="1:26" ht="6" customHeight="1">
      <c r="A112" s="172"/>
      <c r="B112" s="173"/>
      <c r="C112" s="658"/>
      <c r="D112" s="780"/>
      <c r="E112" s="781"/>
      <c r="F112" s="658"/>
      <c r="G112" s="780"/>
      <c r="H112" s="781"/>
      <c r="I112" s="658"/>
      <c r="J112" s="780"/>
      <c r="K112" s="781"/>
      <c r="L112" s="658"/>
      <c r="M112" s="780"/>
      <c r="N112" s="781"/>
      <c r="O112" s="152"/>
      <c r="P112" s="1677"/>
      <c r="Q112" s="1677"/>
      <c r="R112" s="152"/>
      <c r="S112" s="152"/>
      <c r="T112" s="152"/>
      <c r="U112" s="152"/>
      <c r="V112" s="152"/>
      <c r="W112" s="152"/>
      <c r="X112" s="152"/>
      <c r="Y112" s="152"/>
      <c r="Z112" s="152"/>
    </row>
    <row r="113" spans="1:26" ht="19.5" customHeight="1" thickBot="1">
      <c r="A113" s="742" t="s">
        <v>955</v>
      </c>
      <c r="B113" s="683">
        <v>1000</v>
      </c>
      <c r="C113" s="658"/>
      <c r="D113" s="798">
        <f>+D40+D81+D85+D111-D77</f>
        <v>143.31268</v>
      </c>
      <c r="E113" s="799">
        <f>+E40+E81+E85+E111-E77</f>
        <v>-111.5774100000001</v>
      </c>
      <c r="F113" s="658"/>
      <c r="G113" s="798">
        <f>+G40+G81+G85+G111-G77</f>
        <v>0</v>
      </c>
      <c r="H113" s="799">
        <f>+H40+H81+H85+H111-H77</f>
        <v>0</v>
      </c>
      <c r="I113" s="658"/>
      <c r="J113" s="798">
        <f>+J40+J81+J85+J111-J77</f>
        <v>0</v>
      </c>
      <c r="K113" s="799">
        <f>+K40+K81+K85+K111-K77</f>
        <v>0.62245000000000006</v>
      </c>
      <c r="L113" s="658"/>
      <c r="M113" s="798">
        <f>+M40+M81+M85+M111-M77</f>
        <v>143.31268</v>
      </c>
      <c r="N113" s="799">
        <f>+N40+N81+N85+N111-N77</f>
        <v>-110.95496000000003</v>
      </c>
      <c r="O113" s="152"/>
      <c r="P113" s="1685">
        <f>+P29-P53-P74</f>
        <v>0</v>
      </c>
      <c r="Q113" s="1686">
        <f>+Q29-Q53-Q74</f>
        <v>0</v>
      </c>
      <c r="R113" s="152"/>
      <c r="S113" s="152"/>
      <c r="T113" s="152"/>
      <c r="U113" s="152"/>
      <c r="V113" s="152"/>
      <c r="W113" s="152"/>
      <c r="X113" s="152"/>
      <c r="Y113" s="152"/>
      <c r="Z113" s="152"/>
    </row>
    <row r="114" spans="1:26" ht="15.75" customHeight="1" thickTop="1">
      <c r="A114" s="819"/>
      <c r="B114" s="817"/>
      <c r="C114" s="658"/>
      <c r="D114" s="820"/>
      <c r="E114" s="820"/>
      <c r="F114" s="658"/>
      <c r="G114" s="820"/>
      <c r="H114" s="820"/>
      <c r="I114" s="658"/>
      <c r="J114" s="820"/>
      <c r="K114" s="820"/>
      <c r="L114" s="658"/>
      <c r="M114" s="820"/>
      <c r="N114" s="820"/>
      <c r="O114" s="152"/>
      <c r="P114" s="2562" t="str">
        <f>+'Income-2020-leva'!P114:Q114</f>
        <v>O K</v>
      </c>
      <c r="Q114" s="2562"/>
      <c r="R114" s="152"/>
      <c r="S114" s="152"/>
      <c r="T114" s="152"/>
      <c r="U114" s="152"/>
      <c r="V114" s="152"/>
      <c r="W114" s="152"/>
      <c r="X114" s="152"/>
      <c r="Y114" s="152"/>
      <c r="Z114" s="152"/>
    </row>
    <row r="115" spans="1:26" ht="18.75">
      <c r="A115" s="2018" t="s">
        <v>1977</v>
      </c>
      <c r="B115" s="821"/>
      <c r="C115" s="658"/>
      <c r="D115" s="2034">
        <f>+'Income-2020-leva'!D115</f>
        <v>0</v>
      </c>
      <c r="E115" s="2018" t="s">
        <v>1975</v>
      </c>
      <c r="F115" s="658"/>
      <c r="G115" s="823"/>
      <c r="H115" s="822"/>
      <c r="I115" s="822"/>
      <c r="J115" s="822"/>
      <c r="K115" s="2018" t="s">
        <v>1973</v>
      </c>
      <c r="L115" s="658"/>
      <c r="M115" s="826"/>
      <c r="N115" s="827"/>
      <c r="O115" s="152"/>
      <c r="P115" s="2598" t="str">
        <f>+'Income-2020-leva'!P115:Q115</f>
        <v>O K</v>
      </c>
      <c r="Q115" s="2598"/>
      <c r="R115" s="152"/>
      <c r="S115" s="152"/>
      <c r="T115" s="152"/>
      <c r="U115" s="152"/>
      <c r="V115" s="152"/>
      <c r="W115" s="152"/>
      <c r="X115" s="152"/>
      <c r="Y115" s="152"/>
      <c r="Z115" s="152"/>
    </row>
    <row r="116" spans="1:26" ht="16.5" customHeight="1">
      <c r="A116" s="818"/>
      <c r="B116" s="818"/>
      <c r="C116" s="658"/>
      <c r="D116" s="818"/>
      <c r="E116" s="818"/>
      <c r="F116" s="658"/>
      <c r="G116" s="823"/>
      <c r="H116" s="2564">
        <f>+'BALANCE-SHEET-2020-leva'!H97:J97</f>
        <v>0</v>
      </c>
      <c r="I116" s="2564"/>
      <c r="J116" s="2564"/>
      <c r="K116" s="823"/>
      <c r="L116" s="658"/>
      <c r="M116" s="2605">
        <f>+'BALANCE-SHEET-2020-leva'!M97</f>
        <v>0</v>
      </c>
      <c r="N116" s="2605"/>
      <c r="O116" s="152"/>
      <c r="P116" s="152"/>
      <c r="Q116" s="152"/>
      <c r="R116" s="152"/>
      <c r="S116" s="152"/>
      <c r="T116" s="152"/>
      <c r="U116" s="152"/>
      <c r="V116" s="152"/>
      <c r="W116" s="152"/>
      <c r="X116" s="152"/>
      <c r="Y116" s="152"/>
      <c r="Z116" s="152"/>
    </row>
    <row r="117" spans="1:26" ht="4.5" customHeight="1">
      <c r="A117" s="818"/>
      <c r="B117" s="818"/>
      <c r="C117" s="658"/>
      <c r="D117" s="818"/>
      <c r="E117" s="818"/>
      <c r="F117" s="658"/>
      <c r="G117" s="823"/>
      <c r="H117" s="824"/>
      <c r="I117" s="658"/>
      <c r="J117" s="825"/>
      <c r="K117" s="823"/>
      <c r="L117" s="658"/>
      <c r="M117" s="825"/>
      <c r="N117" s="823"/>
      <c r="O117" s="152"/>
      <c r="P117" s="152"/>
      <c r="Q117" s="152"/>
      <c r="R117" s="152"/>
      <c r="S117" s="152"/>
      <c r="T117" s="152"/>
      <c r="U117" s="152"/>
      <c r="V117" s="152"/>
      <c r="W117" s="152"/>
      <c r="X117" s="152"/>
      <c r="Y117" s="152"/>
      <c r="Z117" s="152"/>
    </row>
    <row r="118" spans="1:26" ht="18.75">
      <c r="A118" s="1881"/>
      <c r="B118" s="1881"/>
      <c r="C118" s="1881"/>
      <c r="D118" s="1881"/>
      <c r="E118" s="1881"/>
      <c r="F118" s="1881"/>
      <c r="G118" s="1881"/>
      <c r="H118" s="1881"/>
      <c r="I118" s="1881"/>
      <c r="J118" s="1881"/>
      <c r="K118" s="1881"/>
      <c r="L118" s="1881"/>
      <c r="M118" s="1881"/>
      <c r="N118" s="1881"/>
      <c r="O118" s="152"/>
      <c r="P118" s="152"/>
      <c r="Q118" s="1897" t="s">
        <v>1873</v>
      </c>
      <c r="R118" s="152"/>
      <c r="S118" s="152"/>
      <c r="T118" s="152"/>
      <c r="U118" s="152"/>
      <c r="V118" s="152"/>
      <c r="W118" s="152"/>
      <c r="X118" s="152"/>
      <c r="Y118" s="152"/>
      <c r="Z118" s="152"/>
    </row>
    <row r="119" spans="1:26" ht="6.75" customHeight="1">
      <c r="A119" s="1882"/>
      <c r="B119" s="1883"/>
      <c r="C119" s="1884"/>
      <c r="D119" s="1883"/>
      <c r="E119" s="1885"/>
      <c r="F119" s="1884"/>
      <c r="G119" s="1883"/>
      <c r="H119" s="1883"/>
      <c r="I119" s="1884"/>
      <c r="J119" s="1883"/>
      <c r="K119" s="1883"/>
      <c r="L119" s="1884"/>
      <c r="M119" s="1883"/>
      <c r="N119" s="1883"/>
      <c r="O119" s="152"/>
      <c r="P119" s="152"/>
      <c r="Q119" s="152"/>
      <c r="R119" s="152"/>
      <c r="S119" s="152"/>
      <c r="T119" s="152"/>
      <c r="U119" s="152"/>
      <c r="V119" s="152"/>
      <c r="W119" s="152"/>
      <c r="X119" s="152"/>
      <c r="Y119" s="152"/>
      <c r="Z119" s="152"/>
    </row>
    <row r="120" spans="1:26" ht="16.5" thickBot="1">
      <c r="A120" s="152"/>
      <c r="B120" s="152"/>
      <c r="C120" s="198"/>
      <c r="D120" s="152"/>
      <c r="E120" s="152"/>
      <c r="F120" s="198"/>
      <c r="G120" s="152"/>
      <c r="H120" s="152"/>
      <c r="I120" s="152"/>
      <c r="J120" s="152"/>
      <c r="K120" s="152"/>
      <c r="L120" s="198"/>
      <c r="M120" s="152"/>
      <c r="N120" s="152"/>
      <c r="O120" s="152"/>
      <c r="P120" s="1673" t="s">
        <v>1302</v>
      </c>
      <c r="Q120" s="1674"/>
      <c r="R120" s="152"/>
      <c r="S120" s="152"/>
      <c r="T120" s="152"/>
      <c r="U120" s="198"/>
      <c r="V120" s="152"/>
      <c r="W120" s="152"/>
      <c r="X120" s="152"/>
      <c r="Y120" s="152"/>
      <c r="Z120" s="152"/>
    </row>
    <row r="121" spans="1:26" ht="15.75">
      <c r="A121" s="937" t="s">
        <v>1143</v>
      </c>
      <c r="B121" s="938"/>
      <c r="C121" s="198"/>
      <c r="D121" s="929" t="str">
        <f>+IF(+ROUND(D124,2)=0,"O K","НЕРАВНЕНИЕ !")</f>
        <v>O K</v>
      </c>
      <c r="E121" s="1966" t="str">
        <f>+IF(+ROUND(E124,0)=0,"O K","НЕРАВНЕНИЕ !")</f>
        <v>O K</v>
      </c>
      <c r="F121" s="198"/>
      <c r="G121" s="931" t="str">
        <f>+IF(+ROUND(G124,2)=0,"O K","НЕРАВНЕНИЕ !")</f>
        <v>O K</v>
      </c>
      <c r="H121" s="1968" t="str">
        <f>+IF(+ROUND(H124,0)=0,"O K","НЕРАВНЕНИЕ !")</f>
        <v>O K</v>
      </c>
      <c r="I121" s="152"/>
      <c r="J121" s="933" t="str">
        <f>+IF(+ROUND(J124,2)=0,"O K","НЕРАВНЕНИЕ !")</f>
        <v>O K</v>
      </c>
      <c r="K121" s="1970" t="str">
        <f>+IF(+ROUND(K124,0)=0,"O K","НЕРАВНЕНИЕ !")</f>
        <v>O K</v>
      </c>
      <c r="L121" s="198"/>
      <c r="M121" s="935" t="str">
        <f>+IF(+ROUND(M124,2)=0,"O K","НЕРАВНЕНИЕ !")</f>
        <v>O K</v>
      </c>
      <c r="N121" s="1972" t="str">
        <f>+IF(+ROUND(N124,0)=0,"O K","НЕРАВНЕНИЕ !")</f>
        <v>O K</v>
      </c>
      <c r="O121" s="152"/>
      <c r="P121" s="1687" t="str">
        <f>+IF(ROUND(+P122,0)=0,"O K","НЕРАВНЕНИЕ !")</f>
        <v>O K</v>
      </c>
      <c r="Q121" s="1687" t="str">
        <f>+IF(ROUND(+Q122,0)=0,"O K","НЕРАВНЕНИЕ !")</f>
        <v>O K</v>
      </c>
      <c r="R121" s="152"/>
      <c r="S121" s="152"/>
      <c r="T121" s="152"/>
      <c r="U121" s="198"/>
      <c r="V121" s="152"/>
      <c r="W121" s="152"/>
      <c r="X121" s="152"/>
      <c r="Y121" s="152"/>
      <c r="Z121" s="152"/>
    </row>
    <row r="122" spans="1:26" ht="16.5" thickBot="1">
      <c r="A122" s="939" t="s">
        <v>1142</v>
      </c>
      <c r="B122" s="940"/>
      <c r="C122" s="198"/>
      <c r="D122" s="930" t="str">
        <f>+IF(+ROUND(D125,0)=0,"O K","НЕРАВНЕНИЕ !")</f>
        <v>O K</v>
      </c>
      <c r="E122" s="1967" t="str">
        <f>+IF(+ROUND(E125,0)=0,"O K","НЕРАВНЕНИЕ !")</f>
        <v>O K</v>
      </c>
      <c r="F122" s="198"/>
      <c r="G122" s="932" t="str">
        <f>+IF(+ROUND(G125,0)=0,"O K","НЕРАВНЕНИЕ !")</f>
        <v>O K</v>
      </c>
      <c r="H122" s="1969" t="str">
        <f>+IF(+ROUND(H125,0)=0,"O K","НЕРАВНЕНИЕ !")</f>
        <v>O K</v>
      </c>
      <c r="I122" s="152"/>
      <c r="J122" s="934" t="str">
        <f>+IF(+ROUND(J125,0)=0,"O K","НЕРАВНЕНИЕ !")</f>
        <v>O K</v>
      </c>
      <c r="K122" s="1971" t="str">
        <f>+IF(+ROUND(K125,0)=0,"O K","НЕРАВНЕНИЕ !")</f>
        <v>O K</v>
      </c>
      <c r="L122" s="198"/>
      <c r="M122" s="936" t="str">
        <f>+IF(+ROUND(M125,0)=0,"O K","НЕРАВНЕНИЕ !")</f>
        <v>O K</v>
      </c>
      <c r="N122" s="1973" t="str">
        <f>+IF(+ROUND(N125,0)=0,"O K","НЕРАВНЕНИЕ !")</f>
        <v>O K</v>
      </c>
      <c r="O122" s="152"/>
      <c r="P122" s="1687">
        <f>+P113-('BALANCE-SHEET-2020'!P65)</f>
        <v>0</v>
      </c>
      <c r="Q122" s="1687">
        <f>+Q113-('BALANCE-SHEET-2020'!Q65)</f>
        <v>0</v>
      </c>
      <c r="R122" s="152"/>
      <c r="S122" s="152"/>
      <c r="T122" s="152"/>
      <c r="U122" s="198"/>
      <c r="V122" s="152"/>
      <c r="W122" s="152"/>
      <c r="X122" s="152"/>
      <c r="Y122" s="152"/>
      <c r="Z122" s="152"/>
    </row>
    <row r="123" spans="1:26" ht="16.5" thickBot="1">
      <c r="A123" s="152"/>
      <c r="B123" s="152"/>
      <c r="C123" s="198"/>
      <c r="D123" s="152"/>
      <c r="E123" s="152"/>
      <c r="F123" s="198"/>
      <c r="G123" s="152"/>
      <c r="H123" s="152"/>
      <c r="I123" s="152"/>
      <c r="J123" s="152"/>
      <c r="K123" s="152"/>
      <c r="L123" s="198"/>
      <c r="M123" s="152"/>
      <c r="N123" s="152"/>
      <c r="O123" s="152"/>
      <c r="P123" s="1705" t="s">
        <v>1870</v>
      </c>
      <c r="Q123" s="1706"/>
      <c r="R123" s="152"/>
      <c r="S123" s="152"/>
      <c r="T123" s="152"/>
      <c r="U123" s="198"/>
      <c r="V123" s="152"/>
      <c r="W123" s="152"/>
      <c r="X123" s="152"/>
      <c r="Y123" s="152"/>
      <c r="Z123" s="152"/>
    </row>
    <row r="124" spans="1:26" ht="15.75">
      <c r="A124" s="937" t="s">
        <v>1131</v>
      </c>
      <c r="B124" s="938"/>
      <c r="C124" s="198"/>
      <c r="D124" s="941">
        <f>+ROUND(D113-'BALANCE-SHEET-2020'!D65,0)</f>
        <v>0</v>
      </c>
      <c r="E124" s="1976">
        <f>+ROUND(E113-'BALANCE-SHEET-2020'!E65,0)</f>
        <v>0</v>
      </c>
      <c r="F124" s="320"/>
      <c r="G124" s="942">
        <f>+ROUND(G113-'BALANCE-SHEET-2020'!G65,0)</f>
        <v>0</v>
      </c>
      <c r="H124" s="1978">
        <f>+ROUND(H113-'BALANCE-SHEET-2020'!H65,0)</f>
        <v>0</v>
      </c>
      <c r="I124" s="943"/>
      <c r="J124" s="944">
        <f>+ROUND(J113-'BALANCE-SHEET-2020'!J65,0)</f>
        <v>0</v>
      </c>
      <c r="K124" s="1980">
        <f>+ROUND(K113-'BALANCE-SHEET-2020'!K65,0)</f>
        <v>0</v>
      </c>
      <c r="L124" s="320"/>
      <c r="M124" s="948">
        <f>+ROUND(M113-'BALANCE-SHEET-2020'!M65,0)</f>
        <v>0</v>
      </c>
      <c r="N124" s="1982">
        <f>+ROUND(N113-'BALANCE-SHEET-2020'!N65,0)</f>
        <v>0</v>
      </c>
      <c r="O124" s="152"/>
      <c r="P124" s="1707" t="s">
        <v>1871</v>
      </c>
      <c r="Q124" s="1708"/>
      <c r="R124" s="152"/>
      <c r="S124" s="152"/>
      <c r="T124" s="152"/>
      <c r="U124" s="198"/>
      <c r="V124" s="152"/>
      <c r="W124" s="152"/>
      <c r="X124" s="152"/>
      <c r="Y124" s="152"/>
      <c r="Z124" s="152"/>
    </row>
    <row r="125" spans="1:26" ht="16.5" thickBot="1">
      <c r="A125" s="939" t="s">
        <v>1141</v>
      </c>
      <c r="B125" s="940"/>
      <c r="C125" s="198"/>
      <c r="D125" s="945">
        <f>+ROUND(D113-(SUM('TRIAL-BALANCE'!T384:T828)-SUM('TRIAL-BALANCE'!S384:S828))/1000,0)</f>
        <v>0</v>
      </c>
      <c r="E125" s="1977">
        <f>+ROUND(E113-'R &amp; E data-2019'!P464/1000,0)</f>
        <v>0</v>
      </c>
      <c r="F125" s="320"/>
      <c r="G125" s="946">
        <f>+ROUND(G113-(SUM('TRIAL-BALANCE'!AA384:AA828)-SUM('TRIAL-BALANCE'!Z384:Z828))/1000,0)</f>
        <v>0</v>
      </c>
      <c r="H125" s="1979">
        <f>+ROUND(H113-'R &amp; E data-2019'!S464/1000,0)</f>
        <v>0</v>
      </c>
      <c r="I125" s="943"/>
      <c r="J125" s="947">
        <f>+ROUND(J113-(SUM('TRIAL-BALANCE'!AH384:AH828)-SUM('TRIAL-BALANCE'!AG384:AG828))/1000,0)</f>
        <v>0</v>
      </c>
      <c r="K125" s="1981">
        <f>+ROUND(K113-'R &amp; E data-2019'!V464/1000,0)</f>
        <v>0</v>
      </c>
      <c r="L125" s="320"/>
      <c r="M125" s="949">
        <f>+ROUND(M113-P113,0)-ROUND((SUM('TRIAL-BALANCE'!AP384:AP828)-SUM('TRIAL-BALANCE'!AO384:AO828))/1000,0)</f>
        <v>0</v>
      </c>
      <c r="N125" s="1983">
        <f>+ROUND(N113-Q113,0)-ROUND('R &amp; E data-2019'!Y464/1000,0)</f>
        <v>0</v>
      </c>
      <c r="O125" s="152"/>
      <c r="P125" s="1709" t="s">
        <v>1872</v>
      </c>
      <c r="Q125" s="1896" t="str">
        <f>+Q25</f>
        <v>'Municipal-Bal'</v>
      </c>
      <c r="R125" s="152"/>
      <c r="S125" s="152"/>
      <c r="T125" s="152"/>
      <c r="U125" s="198"/>
      <c r="V125" s="152"/>
      <c r="W125" s="152"/>
      <c r="X125" s="152"/>
      <c r="Y125" s="152"/>
      <c r="Z125" s="152"/>
    </row>
    <row r="126" spans="1:26" ht="15.75">
      <c r="A126" s="152"/>
      <c r="B126" s="152"/>
      <c r="C126" s="198"/>
      <c r="D126" s="152"/>
      <c r="E126" s="152"/>
      <c r="F126" s="198"/>
      <c r="G126" s="152"/>
      <c r="H126" s="152"/>
      <c r="I126" s="198"/>
      <c r="J126" s="152"/>
      <c r="K126" s="152"/>
      <c r="L126" s="198"/>
      <c r="M126" s="152"/>
      <c r="N126" s="152"/>
      <c r="O126" s="152"/>
      <c r="P126" s="1710" t="s">
        <v>1305</v>
      </c>
      <c r="Q126" s="1711"/>
      <c r="R126" s="152"/>
      <c r="S126" s="152"/>
      <c r="T126" s="152"/>
      <c r="U126" s="152"/>
      <c r="V126" s="152"/>
      <c r="W126" s="152"/>
      <c r="X126" s="152"/>
      <c r="Y126" s="152"/>
      <c r="Z126" s="152"/>
    </row>
    <row r="127" spans="1:26" ht="15.75">
      <c r="A127" s="152"/>
      <c r="B127" s="152"/>
      <c r="C127" s="198"/>
      <c r="D127" s="152"/>
      <c r="E127" s="152"/>
      <c r="F127" s="198"/>
      <c r="G127" s="152"/>
      <c r="H127" s="152"/>
      <c r="I127" s="198"/>
      <c r="J127" s="152"/>
      <c r="K127" s="152"/>
      <c r="L127" s="198"/>
      <c r="M127" s="152"/>
      <c r="N127" s="152"/>
      <c r="O127" s="152"/>
      <c r="P127" s="152"/>
      <c r="Q127" s="152"/>
      <c r="R127" s="152"/>
      <c r="S127" s="152"/>
      <c r="T127" s="152"/>
      <c r="U127" s="152"/>
      <c r="V127" s="152"/>
      <c r="W127" s="152"/>
      <c r="X127" s="152"/>
      <c r="Y127" s="152"/>
      <c r="Z127" s="152"/>
    </row>
    <row r="128" spans="1:26">
      <c r="A128" s="152"/>
      <c r="B128" s="152"/>
      <c r="C128" s="152"/>
      <c r="D128" s="152"/>
      <c r="E128" s="152"/>
      <c r="F128" s="152"/>
      <c r="G128" s="152"/>
      <c r="H128" s="152"/>
      <c r="I128" s="152"/>
      <c r="J128" s="152"/>
      <c r="K128" s="152"/>
      <c r="L128" s="152"/>
      <c r="M128" s="152"/>
      <c r="N128" s="152"/>
      <c r="O128" s="152"/>
      <c r="P128" s="152"/>
      <c r="Q128" s="152"/>
      <c r="R128" s="152"/>
      <c r="S128" s="152"/>
      <c r="T128" s="152"/>
      <c r="U128" s="152"/>
      <c r="V128" s="152"/>
      <c r="W128" s="152"/>
      <c r="X128" s="152"/>
      <c r="Y128" s="152"/>
      <c r="Z128" s="152"/>
    </row>
    <row r="129" spans="1:26">
      <c r="A129" s="152"/>
      <c r="B129" s="152"/>
      <c r="C129" s="152"/>
      <c r="D129" s="152"/>
      <c r="E129" s="152"/>
      <c r="F129" s="152"/>
      <c r="G129" s="152"/>
      <c r="H129" s="152"/>
      <c r="I129" s="152"/>
      <c r="J129" s="152"/>
      <c r="K129" s="152"/>
      <c r="L129" s="152"/>
      <c r="M129" s="152"/>
      <c r="N129" s="152"/>
      <c r="O129" s="152"/>
      <c r="P129" s="152"/>
      <c r="Q129" s="152"/>
      <c r="R129" s="152"/>
      <c r="S129" s="152"/>
      <c r="T129" s="152"/>
      <c r="U129" s="152"/>
      <c r="V129" s="152"/>
      <c r="W129" s="152"/>
      <c r="X129" s="152"/>
      <c r="Y129" s="152"/>
      <c r="Z129" s="152"/>
    </row>
    <row r="130" spans="1:26">
      <c r="A130" s="152"/>
      <c r="B130" s="152"/>
      <c r="C130" s="152"/>
      <c r="D130" s="152"/>
      <c r="E130" s="152"/>
      <c r="F130" s="152"/>
      <c r="G130" s="152"/>
      <c r="H130" s="342"/>
      <c r="I130" s="152"/>
      <c r="J130" s="152"/>
      <c r="K130" s="152"/>
      <c r="L130" s="152"/>
      <c r="M130" s="152"/>
      <c r="N130" s="152"/>
      <c r="O130" s="152"/>
      <c r="P130" s="152"/>
      <c r="Q130" s="152"/>
      <c r="R130" s="152"/>
      <c r="S130" s="152"/>
      <c r="T130" s="152"/>
      <c r="U130" s="152"/>
      <c r="V130" s="152"/>
      <c r="W130" s="152"/>
      <c r="X130" s="152"/>
      <c r="Y130" s="152"/>
      <c r="Z130" s="152"/>
    </row>
    <row r="131" spans="1:26">
      <c r="A131" s="152"/>
      <c r="B131" s="152"/>
      <c r="C131" s="152"/>
      <c r="D131" s="152"/>
      <c r="E131" s="152"/>
      <c r="F131" s="152"/>
      <c r="G131" s="152"/>
      <c r="H131" s="342"/>
      <c r="I131" s="152"/>
      <c r="J131" s="152"/>
      <c r="K131" s="152"/>
      <c r="L131" s="152"/>
      <c r="M131" s="152"/>
      <c r="N131" s="152"/>
      <c r="O131" s="152"/>
      <c r="P131" s="152"/>
      <c r="Q131" s="152"/>
      <c r="R131" s="152"/>
      <c r="S131" s="152"/>
      <c r="T131" s="152"/>
      <c r="U131" s="152"/>
      <c r="V131" s="152"/>
      <c r="W131" s="152"/>
      <c r="X131" s="152"/>
      <c r="Y131" s="152"/>
      <c r="Z131" s="152"/>
    </row>
    <row r="132" spans="1:26">
      <c r="A132" s="152"/>
      <c r="B132" s="152"/>
      <c r="C132" s="152"/>
      <c r="D132" s="152"/>
      <c r="E132" s="152"/>
      <c r="F132" s="152"/>
      <c r="G132" s="152"/>
      <c r="H132" s="343"/>
      <c r="I132" s="152"/>
      <c r="J132" s="152"/>
      <c r="K132" s="152"/>
      <c r="L132" s="152"/>
      <c r="M132" s="152"/>
      <c r="N132" s="152"/>
      <c r="O132" s="152"/>
      <c r="P132" s="152"/>
      <c r="Q132" s="152"/>
      <c r="R132" s="152"/>
      <c r="S132" s="152"/>
      <c r="T132" s="152"/>
      <c r="U132" s="152"/>
      <c r="V132" s="152"/>
      <c r="W132" s="152"/>
      <c r="X132" s="152"/>
      <c r="Y132" s="152"/>
      <c r="Z132" s="152"/>
    </row>
    <row r="133" spans="1:26">
      <c r="A133" s="152"/>
      <c r="B133" s="152"/>
      <c r="C133" s="152"/>
      <c r="D133" s="152"/>
      <c r="E133" s="152"/>
      <c r="F133" s="152"/>
      <c r="G133" s="152"/>
      <c r="H133" s="152"/>
      <c r="I133" s="152"/>
      <c r="J133" s="152"/>
      <c r="K133" s="152"/>
      <c r="L133" s="152"/>
      <c r="M133" s="152"/>
      <c r="N133" s="152"/>
      <c r="O133" s="152"/>
      <c r="P133" s="152"/>
      <c r="Q133" s="152"/>
      <c r="R133" s="152"/>
      <c r="S133" s="152"/>
      <c r="T133" s="152"/>
      <c r="U133" s="152"/>
      <c r="V133" s="152"/>
      <c r="W133" s="152"/>
      <c r="X133" s="152"/>
      <c r="Y133" s="152"/>
      <c r="Z133" s="152"/>
    </row>
    <row r="134" spans="1:26">
      <c r="A134" s="152"/>
      <c r="B134" s="152"/>
      <c r="C134" s="152"/>
      <c r="D134" s="152"/>
      <c r="E134" s="152"/>
      <c r="F134" s="152"/>
      <c r="G134" s="152"/>
      <c r="H134" s="152"/>
      <c r="I134" s="152"/>
      <c r="J134" s="152"/>
      <c r="K134" s="152"/>
      <c r="L134" s="152"/>
      <c r="M134" s="152"/>
      <c r="N134" s="152"/>
      <c r="O134" s="152"/>
      <c r="P134" s="152"/>
      <c r="Q134" s="152"/>
      <c r="R134" s="152"/>
      <c r="S134" s="152"/>
      <c r="T134" s="152"/>
      <c r="U134" s="152"/>
      <c r="V134" s="152"/>
      <c r="W134" s="152"/>
      <c r="X134" s="152"/>
      <c r="Y134" s="152"/>
      <c r="Z134" s="152"/>
    </row>
    <row r="135" spans="1:26">
      <c r="A135" s="152"/>
      <c r="B135" s="152"/>
      <c r="C135" s="152"/>
      <c r="D135" s="152"/>
      <c r="E135" s="152"/>
      <c r="F135" s="152"/>
      <c r="G135" s="152"/>
      <c r="H135" s="152"/>
      <c r="I135" s="152"/>
      <c r="J135" s="152"/>
      <c r="K135" s="152"/>
      <c r="L135" s="152"/>
      <c r="M135" s="152"/>
      <c r="N135" s="152"/>
      <c r="O135" s="152"/>
      <c r="P135" s="152"/>
      <c r="Q135" s="152"/>
      <c r="R135" s="152"/>
      <c r="S135" s="152"/>
      <c r="T135" s="152"/>
      <c r="U135" s="152"/>
      <c r="V135" s="152"/>
      <c r="W135" s="152"/>
      <c r="X135" s="152"/>
      <c r="Y135" s="152"/>
      <c r="Z135" s="152"/>
    </row>
    <row r="136" spans="1:26">
      <c r="A136" s="152"/>
      <c r="B136" s="152"/>
      <c r="C136" s="152"/>
      <c r="D136" s="152"/>
      <c r="E136" s="152"/>
      <c r="F136" s="152"/>
      <c r="G136" s="152"/>
      <c r="H136" s="152"/>
      <c r="I136" s="152"/>
      <c r="J136" s="152"/>
      <c r="K136" s="152"/>
      <c r="L136" s="152"/>
      <c r="M136" s="152"/>
      <c r="N136" s="152"/>
      <c r="O136" s="152"/>
      <c r="P136" s="152"/>
      <c r="Q136" s="152"/>
      <c r="R136" s="152"/>
      <c r="S136" s="152"/>
      <c r="T136" s="152"/>
      <c r="U136" s="152"/>
      <c r="V136" s="152"/>
      <c r="W136" s="152"/>
      <c r="X136" s="152"/>
      <c r="Y136" s="152"/>
      <c r="Z136" s="152"/>
    </row>
    <row r="137" spans="1:26">
      <c r="A137" s="152"/>
      <c r="B137" s="152"/>
      <c r="C137" s="152"/>
      <c r="D137" s="152"/>
      <c r="E137" s="152"/>
      <c r="F137" s="152"/>
      <c r="G137" s="152"/>
      <c r="H137" s="152"/>
      <c r="I137" s="152"/>
      <c r="J137" s="152"/>
      <c r="K137" s="152"/>
      <c r="L137" s="152"/>
      <c r="M137" s="152"/>
      <c r="N137" s="152"/>
      <c r="O137" s="152"/>
      <c r="P137" s="152"/>
      <c r="Q137" s="152"/>
      <c r="R137" s="152"/>
      <c r="S137" s="152"/>
      <c r="T137" s="152"/>
      <c r="U137" s="152"/>
      <c r="V137" s="152"/>
      <c r="W137" s="152"/>
      <c r="X137" s="152"/>
      <c r="Y137" s="152"/>
      <c r="Z137" s="152"/>
    </row>
    <row r="138" spans="1:26">
      <c r="A138" s="152"/>
      <c r="B138" s="152"/>
      <c r="C138" s="152"/>
      <c r="D138" s="152"/>
      <c r="E138" s="152"/>
      <c r="F138" s="152"/>
      <c r="G138" s="152"/>
      <c r="H138" s="152"/>
      <c r="I138" s="152"/>
      <c r="J138" s="152"/>
      <c r="K138" s="152"/>
      <c r="L138" s="152"/>
      <c r="M138" s="152"/>
      <c r="N138" s="152"/>
      <c r="O138" s="152"/>
      <c r="P138" s="152"/>
      <c r="Q138" s="152"/>
      <c r="R138" s="152"/>
      <c r="S138" s="152"/>
      <c r="T138" s="152"/>
      <c r="U138" s="152"/>
      <c r="V138" s="152"/>
      <c r="W138" s="152"/>
      <c r="X138" s="152"/>
      <c r="Y138" s="152"/>
      <c r="Z138" s="152"/>
    </row>
    <row r="139" spans="1:26">
      <c r="A139" s="152"/>
      <c r="B139" s="152"/>
      <c r="C139" s="152"/>
      <c r="D139" s="152"/>
      <c r="E139" s="152"/>
      <c r="F139" s="152"/>
      <c r="G139" s="152"/>
      <c r="H139" s="152"/>
      <c r="I139" s="152"/>
      <c r="J139" s="152"/>
      <c r="K139" s="152"/>
      <c r="L139" s="152"/>
      <c r="M139" s="152"/>
      <c r="N139" s="152"/>
      <c r="O139" s="152"/>
      <c r="P139" s="152"/>
      <c r="Q139" s="152"/>
      <c r="R139" s="152"/>
      <c r="S139" s="152"/>
      <c r="T139" s="152"/>
      <c r="U139" s="152"/>
      <c r="V139" s="152"/>
      <c r="W139" s="152"/>
      <c r="X139" s="152"/>
      <c r="Y139" s="152"/>
      <c r="Z139" s="152"/>
    </row>
    <row r="140" spans="1:26">
      <c r="A140" s="152"/>
      <c r="B140" s="152"/>
      <c r="C140" s="152"/>
      <c r="D140" s="152"/>
      <c r="E140" s="152"/>
      <c r="F140" s="152"/>
      <c r="G140" s="152"/>
      <c r="H140" s="152"/>
      <c r="I140" s="152"/>
      <c r="J140" s="152"/>
      <c r="K140" s="152"/>
      <c r="L140" s="152"/>
      <c r="M140" s="152"/>
      <c r="N140" s="152"/>
      <c r="O140" s="152"/>
      <c r="P140" s="152"/>
      <c r="Q140" s="152"/>
      <c r="R140" s="152"/>
      <c r="S140" s="152"/>
      <c r="T140" s="152"/>
      <c r="U140" s="152"/>
      <c r="V140" s="152"/>
      <c r="W140" s="152"/>
      <c r="X140" s="152"/>
      <c r="Y140" s="152"/>
      <c r="Z140" s="152"/>
    </row>
    <row r="141" spans="1:26">
      <c r="A141" s="152"/>
      <c r="B141" s="152"/>
      <c r="C141" s="152"/>
      <c r="D141" s="152"/>
      <c r="E141" s="152"/>
      <c r="F141" s="152"/>
      <c r="G141" s="152"/>
      <c r="H141" s="152"/>
      <c r="I141" s="152"/>
      <c r="J141" s="152"/>
      <c r="K141" s="152"/>
      <c r="L141" s="152"/>
      <c r="M141" s="152"/>
      <c r="N141" s="152"/>
      <c r="O141" s="152"/>
      <c r="P141" s="152"/>
      <c r="Q141" s="152"/>
      <c r="R141" s="152"/>
      <c r="S141" s="152"/>
      <c r="T141" s="152"/>
      <c r="U141" s="152"/>
      <c r="V141" s="152"/>
      <c r="W141" s="152"/>
      <c r="X141" s="152"/>
      <c r="Y141" s="152"/>
      <c r="Z141" s="152"/>
    </row>
    <row r="142" spans="1:26">
      <c r="A142" s="152"/>
      <c r="B142" s="152"/>
      <c r="C142" s="152"/>
      <c r="D142" s="152"/>
      <c r="E142" s="152"/>
      <c r="F142" s="152"/>
      <c r="G142" s="152"/>
      <c r="H142" s="152"/>
      <c r="I142" s="152"/>
      <c r="J142" s="152"/>
      <c r="K142" s="152"/>
      <c r="L142" s="152"/>
      <c r="M142" s="152"/>
      <c r="N142" s="152"/>
      <c r="O142" s="152"/>
      <c r="P142" s="152"/>
      <c r="Q142" s="152"/>
      <c r="R142" s="152"/>
      <c r="S142" s="152"/>
      <c r="T142" s="152"/>
      <c r="U142" s="152"/>
      <c r="V142" s="152"/>
      <c r="W142" s="152"/>
      <c r="X142" s="152"/>
      <c r="Y142" s="152"/>
      <c r="Z142" s="152"/>
    </row>
    <row r="143" spans="1:26">
      <c r="A143" s="152"/>
      <c r="B143" s="152"/>
      <c r="C143" s="152"/>
      <c r="D143" s="152"/>
      <c r="E143" s="152"/>
      <c r="F143" s="152"/>
      <c r="G143" s="152"/>
      <c r="H143" s="152"/>
      <c r="I143" s="152"/>
      <c r="J143" s="152"/>
      <c r="K143" s="152"/>
      <c r="L143" s="152"/>
      <c r="M143" s="152"/>
      <c r="N143" s="152"/>
      <c r="O143" s="152"/>
      <c r="P143" s="152"/>
      <c r="Q143" s="152"/>
      <c r="R143" s="152"/>
      <c r="S143" s="152"/>
      <c r="T143" s="152"/>
      <c r="U143" s="152"/>
      <c r="V143" s="152"/>
      <c r="W143" s="152"/>
      <c r="X143" s="152"/>
      <c r="Y143" s="152"/>
      <c r="Z143" s="152"/>
    </row>
    <row r="144" spans="1:26">
      <c r="A144" s="152"/>
      <c r="B144" s="152"/>
      <c r="C144" s="152"/>
      <c r="D144" s="152"/>
      <c r="E144" s="152"/>
      <c r="F144" s="152"/>
      <c r="G144" s="152"/>
      <c r="H144" s="152"/>
      <c r="I144" s="152"/>
      <c r="J144" s="152"/>
      <c r="K144" s="152"/>
      <c r="L144" s="152"/>
      <c r="M144" s="152"/>
      <c r="N144" s="152"/>
      <c r="O144" s="152"/>
      <c r="P144" s="152"/>
      <c r="Q144" s="152"/>
      <c r="R144" s="152"/>
      <c r="S144" s="152"/>
      <c r="T144" s="152"/>
      <c r="U144" s="152"/>
      <c r="V144" s="152"/>
      <c r="W144" s="152"/>
      <c r="X144" s="152"/>
      <c r="Y144" s="152"/>
      <c r="Z144" s="152"/>
    </row>
    <row r="145" spans="1:26">
      <c r="A145" s="152"/>
      <c r="B145" s="152"/>
      <c r="C145" s="152"/>
      <c r="D145" s="152"/>
      <c r="E145" s="152"/>
      <c r="F145" s="152"/>
      <c r="G145" s="152"/>
      <c r="H145" s="152"/>
      <c r="I145" s="152"/>
      <c r="J145" s="152"/>
      <c r="K145" s="152"/>
      <c r="L145" s="152"/>
      <c r="M145" s="152"/>
      <c r="N145" s="152"/>
      <c r="O145" s="152"/>
      <c r="P145" s="152"/>
      <c r="Q145" s="152"/>
      <c r="R145" s="152"/>
      <c r="S145" s="152"/>
      <c r="T145" s="152"/>
      <c r="U145" s="152"/>
      <c r="V145" s="152"/>
      <c r="W145" s="152"/>
      <c r="X145" s="152"/>
      <c r="Y145" s="152"/>
      <c r="Z145" s="152"/>
    </row>
    <row r="146" spans="1:26">
      <c r="A146" s="152"/>
      <c r="B146" s="152"/>
      <c r="C146" s="152"/>
      <c r="D146" s="152"/>
      <c r="E146" s="152"/>
      <c r="F146" s="152"/>
      <c r="G146" s="152"/>
      <c r="H146" s="152"/>
      <c r="I146" s="152"/>
      <c r="J146" s="152"/>
      <c r="K146" s="152"/>
      <c r="L146" s="152"/>
      <c r="M146" s="152"/>
      <c r="N146" s="152"/>
      <c r="O146" s="152"/>
      <c r="P146" s="152"/>
      <c r="Q146" s="152"/>
      <c r="R146" s="152"/>
      <c r="S146" s="152"/>
      <c r="T146" s="152"/>
      <c r="U146" s="152"/>
      <c r="V146" s="152"/>
      <c r="W146" s="152"/>
      <c r="X146" s="152"/>
      <c r="Y146" s="152"/>
      <c r="Z146" s="152"/>
    </row>
    <row r="147" spans="1:26">
      <c r="A147" s="152"/>
      <c r="B147" s="152"/>
      <c r="C147" s="152"/>
      <c r="D147" s="152"/>
      <c r="E147" s="152"/>
      <c r="F147" s="152"/>
      <c r="G147" s="152"/>
      <c r="H147" s="152"/>
      <c r="I147" s="152"/>
      <c r="J147" s="152"/>
      <c r="K147" s="152"/>
      <c r="L147" s="152"/>
      <c r="M147" s="152"/>
      <c r="N147" s="152"/>
      <c r="O147" s="152"/>
      <c r="P147" s="152"/>
      <c r="Q147" s="152"/>
      <c r="R147" s="152"/>
      <c r="S147" s="152"/>
      <c r="T147" s="152"/>
      <c r="U147" s="152"/>
      <c r="V147" s="152"/>
      <c r="W147" s="152"/>
      <c r="X147" s="152"/>
      <c r="Y147" s="152"/>
      <c r="Z147" s="152"/>
    </row>
    <row r="148" spans="1:26">
      <c r="A148" s="152"/>
      <c r="B148" s="152"/>
      <c r="C148" s="152"/>
      <c r="D148" s="152"/>
      <c r="E148" s="152"/>
      <c r="F148" s="152"/>
      <c r="G148" s="152"/>
      <c r="H148" s="152"/>
      <c r="I148" s="152"/>
      <c r="J148" s="152"/>
      <c r="K148" s="152"/>
      <c r="L148" s="152"/>
      <c r="M148" s="152"/>
      <c r="N148" s="152"/>
      <c r="O148" s="152"/>
      <c r="P148" s="152"/>
      <c r="Q148" s="152"/>
      <c r="R148" s="152"/>
      <c r="S148" s="152"/>
      <c r="T148" s="152"/>
      <c r="U148" s="152"/>
      <c r="V148" s="152"/>
      <c r="W148" s="152"/>
      <c r="X148" s="152"/>
      <c r="Y148" s="152"/>
      <c r="Z148" s="152"/>
    </row>
    <row r="149" spans="1:26">
      <c r="A149" s="152"/>
      <c r="B149" s="152"/>
      <c r="C149" s="152"/>
      <c r="D149" s="152"/>
      <c r="E149" s="152"/>
      <c r="F149" s="152"/>
      <c r="G149" s="152"/>
      <c r="H149" s="152"/>
      <c r="I149" s="152"/>
      <c r="J149" s="152"/>
      <c r="K149" s="152"/>
      <c r="L149" s="152"/>
      <c r="M149" s="152"/>
      <c r="N149" s="152"/>
      <c r="O149" s="152"/>
      <c r="P149" s="152"/>
      <c r="Q149" s="152"/>
      <c r="R149" s="152"/>
      <c r="S149" s="152"/>
      <c r="T149" s="152"/>
      <c r="U149" s="152"/>
      <c r="V149" s="152"/>
      <c r="W149" s="152"/>
      <c r="X149" s="152"/>
      <c r="Y149" s="152"/>
      <c r="Z149" s="152"/>
    </row>
    <row r="150" spans="1:26">
      <c r="A150" s="152"/>
      <c r="B150" s="152"/>
      <c r="C150" s="152"/>
      <c r="D150" s="152"/>
      <c r="E150" s="152"/>
      <c r="F150" s="152"/>
      <c r="G150" s="152"/>
      <c r="H150" s="152"/>
      <c r="I150" s="152"/>
      <c r="J150" s="152"/>
      <c r="K150" s="152"/>
      <c r="L150" s="152"/>
      <c r="M150" s="152"/>
      <c r="N150" s="152"/>
      <c r="O150" s="152"/>
      <c r="P150" s="152"/>
      <c r="Q150" s="152"/>
      <c r="R150" s="152"/>
      <c r="S150" s="152"/>
      <c r="T150" s="152"/>
      <c r="U150" s="152"/>
      <c r="V150" s="152"/>
      <c r="W150" s="152"/>
      <c r="X150" s="152"/>
      <c r="Y150" s="152"/>
      <c r="Z150" s="152"/>
    </row>
    <row r="151" spans="1:26">
      <c r="A151" s="152"/>
      <c r="B151" s="152"/>
      <c r="C151" s="152"/>
      <c r="D151" s="152"/>
      <c r="E151" s="152"/>
      <c r="F151" s="152"/>
      <c r="G151" s="152"/>
      <c r="H151" s="152"/>
      <c r="I151" s="152"/>
      <c r="J151" s="152"/>
      <c r="K151" s="152"/>
      <c r="L151" s="152"/>
      <c r="M151" s="152"/>
      <c r="N151" s="152"/>
      <c r="O151" s="152"/>
      <c r="P151" s="152"/>
      <c r="Q151" s="152"/>
      <c r="R151" s="152"/>
      <c r="S151" s="152"/>
      <c r="T151" s="152"/>
      <c r="U151" s="152"/>
      <c r="V151" s="152"/>
      <c r="W151" s="152"/>
      <c r="X151" s="152"/>
      <c r="Y151" s="152"/>
      <c r="Z151" s="152"/>
    </row>
    <row r="152" spans="1:26">
      <c r="A152" s="152"/>
      <c r="B152" s="152"/>
      <c r="C152" s="152"/>
      <c r="D152" s="152"/>
      <c r="E152" s="152"/>
      <c r="F152" s="152"/>
      <c r="G152" s="152"/>
      <c r="H152" s="152"/>
      <c r="I152" s="152"/>
      <c r="J152" s="152"/>
      <c r="K152" s="152"/>
      <c r="L152" s="152"/>
      <c r="M152" s="152"/>
      <c r="N152" s="152"/>
      <c r="O152" s="152"/>
      <c r="P152" s="152"/>
      <c r="Q152" s="152"/>
      <c r="R152" s="152"/>
      <c r="S152" s="152"/>
      <c r="T152" s="152"/>
      <c r="U152" s="152"/>
      <c r="V152" s="152"/>
      <c r="W152" s="152"/>
      <c r="X152" s="152"/>
      <c r="Y152" s="152"/>
      <c r="Z152" s="152"/>
    </row>
  </sheetData>
  <sheetProtection password="889B" sheet="1" objects="1" scenarios="1"/>
  <mergeCells count="25">
    <mergeCell ref="P31:Q31"/>
    <mergeCell ref="P32:Q32"/>
    <mergeCell ref="P75:Q75"/>
    <mergeCell ref="P76:Q76"/>
    <mergeCell ref="K3:N3"/>
    <mergeCell ref="E2:H2"/>
    <mergeCell ref="J2:K2"/>
    <mergeCell ref="M2:N2"/>
    <mergeCell ref="P30:Q30"/>
    <mergeCell ref="P115:Q115"/>
    <mergeCell ref="P54:Q54"/>
    <mergeCell ref="P55:Q55"/>
    <mergeCell ref="P109:Q110"/>
    <mergeCell ref="P114:Q114"/>
    <mergeCell ref="P77:Q77"/>
    <mergeCell ref="H116:J116"/>
    <mergeCell ref="M116:N116"/>
    <mergeCell ref="B7:B9"/>
    <mergeCell ref="M7:N8"/>
    <mergeCell ref="A1:D1"/>
    <mergeCell ref="G1:H1"/>
    <mergeCell ref="A2:D2"/>
    <mergeCell ref="A3:D3"/>
    <mergeCell ref="G3:H3"/>
    <mergeCell ref="B5:G5"/>
  </mergeCells>
  <conditionalFormatting sqref="M5">
    <cfRule type="cellIs" dxfId="1250" priority="70" stopIfTrue="1" operator="equal">
      <formula>0</formula>
    </cfRule>
  </conditionalFormatting>
  <conditionalFormatting sqref="A1:D1 G1:H1 G3:H3 K1">
    <cfRule type="cellIs" dxfId="1249" priority="71" stopIfTrue="1" operator="equal">
      <formula>0</formula>
    </cfRule>
  </conditionalFormatting>
  <conditionalFormatting sqref="G124:H125 J124:K125 D124:E125 M124:N124">
    <cfRule type="cellIs" dxfId="1248" priority="66" stopIfTrue="1" operator="notEqual">
      <formula>0</formula>
    </cfRule>
  </conditionalFormatting>
  <conditionalFormatting sqref="D121:E122">
    <cfRule type="cellIs" dxfId="1247" priority="64" stopIfTrue="1" operator="equal">
      <formula>"НЕРАВНЕНИЕ !"</formula>
    </cfRule>
    <cfRule type="cellIs" priority="65" stopIfTrue="1" operator="equal">
      <formula>"НЕРАВНЕНИЕ !"</formula>
    </cfRule>
  </conditionalFormatting>
  <conditionalFormatting sqref="G121:H122">
    <cfRule type="cellIs" dxfId="1246" priority="63" stopIfTrue="1" operator="equal">
      <formula>"НЕРАВНЕНИЕ !"</formula>
    </cfRule>
  </conditionalFormatting>
  <conditionalFormatting sqref="J121:K122 M121:N122">
    <cfRule type="cellIs" dxfId="1245" priority="62" stopIfTrue="1" operator="equal">
      <formula>"НЕРАВНЕНИЕ !"</formula>
    </cfRule>
  </conditionalFormatting>
  <conditionalFormatting sqref="K3">
    <cfRule type="cellIs" dxfId="1244" priority="61" stopIfTrue="1" operator="equal">
      <formula>0</formula>
    </cfRule>
  </conditionalFormatting>
  <conditionalFormatting sqref="N1">
    <cfRule type="cellIs" dxfId="1243" priority="60" stopIfTrue="1" operator="equal">
      <formula>0</formula>
    </cfRule>
  </conditionalFormatting>
  <conditionalFormatting sqref="Q22:Q23">
    <cfRule type="cellIs" dxfId="1242" priority="55" stopIfTrue="1" operator="equal">
      <formula>"O K"</formula>
    </cfRule>
  </conditionalFormatting>
  <conditionalFormatting sqref="P121">
    <cfRule type="cellIs" dxfId="1241" priority="41" stopIfTrue="1" operator="equal">
      <formula>"НЕРАВНЕНИЕ !"</formula>
    </cfRule>
  </conditionalFormatting>
  <conditionalFormatting sqref="P122">
    <cfRule type="cellIs" dxfId="1240" priority="40" stopIfTrue="1" operator="notEqual">
      <formula>0</formula>
    </cfRule>
  </conditionalFormatting>
  <conditionalFormatting sqref="Q122">
    <cfRule type="cellIs" dxfId="1239" priority="39" stopIfTrue="1" operator="notEqual">
      <formula>0</formula>
    </cfRule>
  </conditionalFormatting>
  <conditionalFormatting sqref="Q121">
    <cfRule type="cellIs" dxfId="1238" priority="38" stopIfTrue="1" operator="equal">
      <formula>"НЕРАВНЕНИЕ !"</formula>
    </cfRule>
  </conditionalFormatting>
  <conditionalFormatting sqref="M125:N125">
    <cfRule type="cellIs" dxfId="1237" priority="25" stopIfTrue="1" operator="notEqual">
      <formula>0</formula>
    </cfRule>
  </conditionalFormatting>
  <conditionalFormatting sqref="A9">
    <cfRule type="cellIs" dxfId="1236" priority="24" operator="equal">
      <formula>"Непопълнен ред в таблица 'Cash-deficit'!"</formula>
    </cfRule>
  </conditionalFormatting>
  <conditionalFormatting sqref="A3:D3">
    <cfRule type="cellIs" dxfId="1235" priority="23" stopIfTrue="1" operator="equal">
      <formula>0</formula>
    </cfRule>
  </conditionalFormatting>
  <conditionalFormatting sqref="P30">
    <cfRule type="cellIs" dxfId="1234" priority="22" stopIfTrue="1" operator="notEqual">
      <formula>"O K"</formula>
    </cfRule>
  </conditionalFormatting>
  <conditionalFormatting sqref="P30:Q30">
    <cfRule type="cellIs" dxfId="1233" priority="21" stopIfTrue="1" operator="equal">
      <formula>"O K"</formula>
    </cfRule>
  </conditionalFormatting>
  <conditionalFormatting sqref="P31:Q31">
    <cfRule type="cellIs" dxfId="1232" priority="20" operator="notEqual">
      <formula>0</formula>
    </cfRule>
  </conditionalFormatting>
  <conditionalFormatting sqref="P32">
    <cfRule type="cellIs" dxfId="1231" priority="19" stopIfTrue="1" operator="notEqual">
      <formula>"O K"</formula>
    </cfRule>
  </conditionalFormatting>
  <conditionalFormatting sqref="P32:Q32">
    <cfRule type="cellIs" dxfId="1230" priority="18" stopIfTrue="1" operator="equal">
      <formula>"O K"</formula>
    </cfRule>
  </conditionalFormatting>
  <conditionalFormatting sqref="P75">
    <cfRule type="cellIs" dxfId="1229" priority="17" stopIfTrue="1" operator="notEqual">
      <formula>"O K"</formula>
    </cfRule>
  </conditionalFormatting>
  <conditionalFormatting sqref="P75:Q75">
    <cfRule type="cellIs" dxfId="1228" priority="16" stopIfTrue="1" operator="equal">
      <formula>"O K"</formula>
    </cfRule>
  </conditionalFormatting>
  <conditionalFormatting sqref="P76:Q76">
    <cfRule type="cellIs" dxfId="1227" priority="15" operator="notEqual">
      <formula>0</formula>
    </cfRule>
  </conditionalFormatting>
  <conditionalFormatting sqref="P77">
    <cfRule type="cellIs" dxfId="1226" priority="14" stopIfTrue="1" operator="notEqual">
      <formula>"O K"</formula>
    </cfRule>
  </conditionalFormatting>
  <conditionalFormatting sqref="P77:Q77">
    <cfRule type="cellIs" dxfId="1225" priority="13" stopIfTrue="1" operator="equal">
      <formula>"O K"</formula>
    </cfRule>
  </conditionalFormatting>
  <conditionalFormatting sqref="P54">
    <cfRule type="cellIs" dxfId="1224" priority="10" stopIfTrue="1" operator="notEqual">
      <formula>"O K"</formula>
    </cfRule>
  </conditionalFormatting>
  <conditionalFormatting sqref="P54:Q54">
    <cfRule type="cellIs" dxfId="1223" priority="9" stopIfTrue="1" operator="equal">
      <formula>"O K"</formula>
    </cfRule>
  </conditionalFormatting>
  <conditionalFormatting sqref="P55">
    <cfRule type="cellIs" dxfId="1222" priority="8" stopIfTrue="1" operator="notEqual">
      <formula>"O K"</formula>
    </cfRule>
  </conditionalFormatting>
  <conditionalFormatting sqref="P55:Q55">
    <cfRule type="cellIs" dxfId="1221" priority="7" stopIfTrue="1" operator="equal">
      <formula>"O K"</formula>
    </cfRule>
  </conditionalFormatting>
  <conditionalFormatting sqref="P114:P115">
    <cfRule type="cellIs" dxfId="1220" priority="6" stopIfTrue="1" operator="notEqual">
      <formula>"O K"</formula>
    </cfRule>
  </conditionalFormatting>
  <conditionalFormatting sqref="P114:Q115">
    <cfRule type="cellIs" dxfId="1219" priority="5" stopIfTrue="1" operator="equal">
      <formula>"O K"</formula>
    </cfRule>
  </conditionalFormatting>
  <conditionalFormatting sqref="E2:H2">
    <cfRule type="cellIs" dxfId="1218" priority="3" operator="equal">
      <formula>"отчетено НЕРАВНЕНИЕ в таблица 'Status'!"</formula>
    </cfRule>
    <cfRule type="cellIs" dxfId="1217" priority="4" operator="equal">
      <formula>0</formula>
    </cfRule>
  </conditionalFormatting>
  <conditionalFormatting sqref="J2:K2">
    <cfRule type="cellIs" dxfId="1216" priority="2" operator="notEqual">
      <formula>0</formula>
    </cfRule>
  </conditionalFormatting>
  <conditionalFormatting sqref="M2:N2">
    <cfRule type="cellIs" dxfId="1215" priority="1" operator="notEqual">
      <formula>0</formula>
    </cfRule>
  </conditionalFormatting>
  <pageMargins left="0.31496062992125984" right="0.15748031496062992" top="0.31" bottom="0.15748031496062992" header="0.16" footer="0.15748031496062992"/>
  <pageSetup paperSize="9" scale="60" orientation="landscape" horizontalDpi="1200" r:id="rId1"/>
  <headerFooter alignWithMargins="0">
    <oddHeader>&amp;C&amp;"Times New Roman CYR,Bold"&amp;12- &amp;P / &amp;N -</oddHeader>
  </headerFooter>
  <rowBreaks count="1" manualBreakCount="1">
    <brk id="60" max="13" man="1"/>
  </rowBreaks>
</worksheet>
</file>

<file path=xl/worksheets/sheet13.xml><?xml version="1.0" encoding="utf-8"?>
<worksheet xmlns="http://schemas.openxmlformats.org/spreadsheetml/2006/main" xmlns:r="http://schemas.openxmlformats.org/officeDocument/2006/relationships">
  <dimension ref="A1:W161"/>
  <sheetViews>
    <sheetView showZeros="0" zoomScaleNormal="100" workbookViewId="0"/>
  </sheetViews>
  <sheetFormatPr defaultRowHeight="12.75"/>
  <cols>
    <col min="1" max="1" width="70.42578125" style="1398" customWidth="1"/>
    <col min="2" max="2" width="1" style="1398" customWidth="1"/>
    <col min="3" max="3" width="7.28515625" style="1398" customWidth="1"/>
    <col min="4" max="5" width="17" style="1398" customWidth="1"/>
    <col min="6" max="6" width="1" style="1398" customWidth="1"/>
    <col min="7" max="7" width="7.28515625" style="1398" customWidth="1"/>
    <col min="8" max="9" width="17" style="1398" customWidth="1"/>
    <col min="10" max="10" width="1" style="1398" customWidth="1"/>
    <col min="11" max="11" width="7.28515625" style="1398" customWidth="1"/>
    <col min="12" max="13" width="17" style="1398" customWidth="1"/>
    <col min="14" max="14" width="1" style="1398" customWidth="1"/>
    <col min="15" max="15" width="7.28515625" style="1398" customWidth="1"/>
    <col min="16" max="17" width="17" style="1398" customWidth="1"/>
    <col min="18" max="18" width="3.42578125" style="1398" customWidth="1"/>
    <col min="19" max="23" width="26.5703125" style="1398" customWidth="1"/>
    <col min="24" max="16384" width="9.140625" style="1398"/>
  </cols>
  <sheetData>
    <row r="1" spans="1:23" ht="15.75">
      <c r="A1" s="303"/>
      <c r="B1" s="198"/>
      <c r="C1" s="303"/>
      <c r="D1" s="2201">
        <f>+IF(D2=0,0,"БЮДЖЕТ")</f>
        <v>0</v>
      </c>
      <c r="E1" s="2202">
        <f>+IF(E2=0,0,"БЮДЖЕТ")</f>
        <v>0</v>
      </c>
      <c r="F1" s="198"/>
      <c r="G1" s="303"/>
      <c r="H1" s="2203">
        <f>+IF(H2=0,0,"СЕС")</f>
        <v>0</v>
      </c>
      <c r="I1" s="2204">
        <f>+IF(I2=0,0,"СЕС")</f>
        <v>0</v>
      </c>
      <c r="J1" s="198"/>
      <c r="K1" s="303"/>
      <c r="L1" s="2205">
        <f>+IF(L2=0,0,"ДСД")</f>
        <v>0</v>
      </c>
      <c r="M1" s="2206">
        <f>+IF(M2=0,0,"ДСД")</f>
        <v>0</v>
      </c>
      <c r="N1" s="198"/>
      <c r="O1" s="303"/>
      <c r="P1" s="2207">
        <f>+IF(P2=0,0,"ОБЩО")</f>
        <v>0</v>
      </c>
      <c r="Q1" s="2208">
        <f>+IF(Q2=0,0,"ОБЩО")</f>
        <v>0</v>
      </c>
      <c r="R1" s="303"/>
      <c r="S1" s="303"/>
      <c r="T1" s="303"/>
      <c r="U1" s="303"/>
      <c r="V1" s="303"/>
      <c r="W1" s="303"/>
    </row>
    <row r="2" spans="1:23" ht="16.5" thickBot="1">
      <c r="A2" s="2071"/>
      <c r="B2" s="198"/>
      <c r="C2" s="2074">
        <f>+IF(AND(D$2=0,E$2=0),0,"Баланс")</f>
        <v>0</v>
      </c>
      <c r="D2" s="2031">
        <f>+IF(AND(D$3=0,D$5=0,D$53=0),0,"Текуща година")</f>
        <v>0</v>
      </c>
      <c r="E2" s="2032">
        <f>+IF(AND(E$3=0,E$5=0,E$53=0),0,"Предходна година")</f>
        <v>0</v>
      </c>
      <c r="F2" s="198"/>
      <c r="G2" s="2074">
        <f>+IF(AND(H$2=0,I$2=0),0,"Баланс")</f>
        <v>0</v>
      </c>
      <c r="H2" s="2031">
        <f>+IF(AND(H$3=0,H$5=0,H$53=0),0,"Текуща година")</f>
        <v>0</v>
      </c>
      <c r="I2" s="2032">
        <f>+IF(AND(I$3=0,I$5=0,I$53=0),0,"Предходна година")</f>
        <v>0</v>
      </c>
      <c r="J2" s="198"/>
      <c r="K2" s="2074">
        <f>+IF(AND(L$2=0,M$2=0),0,"Баланс")</f>
        <v>0</v>
      </c>
      <c r="L2" s="2031">
        <f>+IF(AND(L$3=0,L$5=0,L$53=0),0,"Текуща година")</f>
        <v>0</v>
      </c>
      <c r="M2" s="2032">
        <f>+IF(AND(M$3=0,M$5=0,M$53=0),0,"Предходна година")</f>
        <v>0</v>
      </c>
      <c r="N2" s="198"/>
      <c r="O2" s="2074">
        <f>+IF(AND(P$2=0,Q$2=0),0,"Баланс")</f>
        <v>0</v>
      </c>
      <c r="P2" s="2031">
        <f>+IF(AND(P$3=0,P$5=0,P$53=0),0,"Текуща година")</f>
        <v>0</v>
      </c>
      <c r="Q2" s="2032">
        <f>+IF(AND(Q$3=0,Q$5=0,Q$53=0),0,"Предходна година")</f>
        <v>0</v>
      </c>
      <c r="R2" s="303"/>
      <c r="S2" s="303"/>
      <c r="T2" s="303"/>
      <c r="U2" s="303"/>
      <c r="V2" s="303"/>
      <c r="W2" s="303"/>
    </row>
    <row r="3" spans="1:23" ht="16.5" thickBot="1">
      <c r="A3" s="2072" t="str">
        <f>+IF(AND(D3=0,E3=0,H3=0,I3=0,L3=0,M3=0,P3=0,Q3=0),"НЯМА отчетено неравнение от закръгления в БАЛАНСА!","Неравнение от ЗАКРЪГЛЕНИЯ за разпределение м/у АКТИВА и ПАСИВА")</f>
        <v>НЯМА отчетено неравнение от закръгления в БАЛАНСА!</v>
      </c>
      <c r="B3" s="198"/>
      <c r="C3" s="2025">
        <f>+IF(AND(D$2=0,E$2=0),0,"Бюджет")</f>
        <v>0</v>
      </c>
      <c r="D3" s="2005">
        <f>+IF(AND(ROUND('BALANCE-SHEET-2020'!D54,0)&lt;&gt;+ROUND('BALANCE-SHEET-2020'!D91,0),+ROUND('BALANCE-SHEET-2020-leva'!D54,2)=+ROUND('BALANCE-SHEET-2020-leva'!D91,2)),+ROUND('BALANCE-SHEET-2020'!D54,0)-+ROUND('BALANCE-SHEET-2020'!D91,0),0)</f>
        <v>0</v>
      </c>
      <c r="E3" s="2070">
        <f>+IF(AND(ROUND('BALANCE-SHEET-2020'!E54,0)&lt;&gt;+ROUND('BALANCE-SHEET-2020'!E91,0),+ROUND('BALANCE-SHEET-2020-leva'!E54,2)=+ROUND('BALANCE-SHEET-2020-leva'!E91,2)),+ROUND('BALANCE-SHEET-2020'!E54,0)-+ROUND('BALANCE-SHEET-2020'!E91,0),0)</f>
        <v>0</v>
      </c>
      <c r="F3" s="198"/>
      <c r="G3" s="2025">
        <f>+IF(AND(H$2=0,I$2=0),0,"СЕС")</f>
        <v>0</v>
      </c>
      <c r="H3" s="2010">
        <f>+IF(AND(ROUND('BALANCE-SHEET-2020'!G54,0)&lt;&gt;+ROUND('BALANCE-SHEET-2020'!G91,0),+ROUND('BALANCE-SHEET-2020-leva'!G54,2)=+ROUND('BALANCE-SHEET-2020-leva'!G91,2)),+ROUND('BALANCE-SHEET-2020'!G54,0)-+ROUND('BALANCE-SHEET-2020'!G91,0),0)</f>
        <v>0</v>
      </c>
      <c r="I3" s="2011">
        <f>+IF(AND(ROUND('BALANCE-SHEET-2020'!H54,0)&lt;&gt;+ROUND('BALANCE-SHEET-2020'!H91,0),+ROUND('BALANCE-SHEET-2020-leva'!H54,2)=+ROUND('BALANCE-SHEET-2020-leva'!H91,2)),+ROUND('BALANCE-SHEET-2020'!H54,0)-+ROUND('BALANCE-SHEET-2020'!H91,0),0)</f>
        <v>0</v>
      </c>
      <c r="J3" s="198"/>
      <c r="K3" s="2025">
        <f>+IF(AND(L$2=0,M$2=0),0,"ДСД")</f>
        <v>0</v>
      </c>
      <c r="L3" s="2008">
        <f>+IF(AND(ROUND('BALANCE-SHEET-2020'!J54,0)&lt;&gt;+ROUND('BALANCE-SHEET-2020'!J91,0),+ROUND('BALANCE-SHEET-2020-leva'!J54,2)=+ROUND('BALANCE-SHEET-2020-leva'!J91,2)),+ROUND('BALANCE-SHEET-2020'!J54,0)-+ROUND('BALANCE-SHEET-2020'!J91,0),0)</f>
        <v>0</v>
      </c>
      <c r="M3" s="2009">
        <f>+IF(AND(ROUND('BALANCE-SHEET-2020'!K54,0)&lt;&gt;+ROUND('BALANCE-SHEET-2020'!K91,0),+ROUND('BALANCE-SHEET-2020-leva'!K54,2)=+ROUND('BALANCE-SHEET-2020-leva'!K91,2)),+ROUND('BALANCE-SHEET-2020'!K54,0)-+ROUND('BALANCE-SHEET-2020'!K91,0),0)</f>
        <v>0</v>
      </c>
      <c r="N3" s="198"/>
      <c r="O3" s="2025">
        <f>+IF(AND(P$2=0,Q$2=0),0,"ОБЩО")</f>
        <v>0</v>
      </c>
      <c r="P3" s="2006">
        <f>+IF(AND(ROUND('BALANCE-SHEET-2020'!M54,0)&lt;&gt;+ROUND('BALANCE-SHEET-2020'!M91,0),+ROUND('BALANCE-SHEET-2020-leva'!M54,2)=+ROUND('BALANCE-SHEET-2020-leva'!M91,2)),+ROUND('BALANCE-SHEET-2020'!M54,0)-+ROUND('BALANCE-SHEET-2020'!M91,0),0)</f>
        <v>0</v>
      </c>
      <c r="Q3" s="2007">
        <f>+IF(AND(ROUND('BALANCE-SHEET-2020'!N54,0)&lt;&gt;+ROUND('BALANCE-SHEET-2020'!N91,0),+ROUND('BALANCE-SHEET-2020-leva'!N54,2)=+ROUND('BALANCE-SHEET-2020-leva'!N91,2)),+ROUND('BALANCE-SHEET-2020'!N54,0)-+ROUND('BALANCE-SHEET-2020'!N91,0),0)</f>
        <v>0</v>
      </c>
      <c r="R3" s="303"/>
      <c r="S3" s="303"/>
      <c r="T3" s="303"/>
      <c r="U3" s="303"/>
      <c r="V3" s="303"/>
      <c r="W3" s="303"/>
    </row>
    <row r="4" spans="1:23">
      <c r="A4" s="303" t="s">
        <v>265</v>
      </c>
      <c r="B4" s="303"/>
      <c r="C4" s="303"/>
      <c r="D4" s="303"/>
      <c r="E4" s="303"/>
      <c r="F4" s="303"/>
      <c r="G4" s="303"/>
      <c r="H4" s="303"/>
      <c r="I4" s="303"/>
      <c r="J4" s="303"/>
      <c r="K4" s="303"/>
      <c r="L4" s="303"/>
      <c r="M4" s="303"/>
      <c r="N4" s="303"/>
      <c r="O4" s="303"/>
      <c r="P4" s="303"/>
      <c r="Q4" s="303"/>
      <c r="R4" s="303"/>
      <c r="S4" s="303"/>
      <c r="T4" s="303"/>
      <c r="U4" s="303"/>
      <c r="V4" s="303"/>
      <c r="W4" s="303"/>
    </row>
    <row r="5" spans="1:23" ht="15.75">
      <c r="A5" s="2004">
        <f>+IF(AND(A$3="НЯМА отчетено неравнение от закръгления в БАЛАНСА!",D$2=0,E$2=0,H$2=0,I$2=0,L$2=0,M$2=0,P$2=0,Q$2=0),0,"Разпределен размер на неравнението от закръгления в АКТИВА (в хил. лв)")</f>
        <v>0</v>
      </c>
      <c r="B5" s="198"/>
      <c r="C5" s="2021">
        <f>+IF(AND(D$2=0,E$2=0),0,"Шифър")</f>
        <v>0</v>
      </c>
      <c r="D5" s="2052">
        <f>+SUM(D6:D7)</f>
        <v>0</v>
      </c>
      <c r="E5" s="2053">
        <f>+SUM(E6:E7)</f>
        <v>0</v>
      </c>
      <c r="F5" s="198"/>
      <c r="G5" s="1996">
        <f>+IF(AND(H$2=0,I$2=0),0,"Шифър")</f>
        <v>0</v>
      </c>
      <c r="H5" s="2052">
        <f>+SUM(H6:H7)</f>
        <v>0</v>
      </c>
      <c r="I5" s="2053">
        <f>+SUM(I6:I7)</f>
        <v>0</v>
      </c>
      <c r="J5" s="198"/>
      <c r="K5" s="1996">
        <f>+IF(AND(L$2=0,M$2=0),0,"Шифър")</f>
        <v>0</v>
      </c>
      <c r="L5" s="2052">
        <f>+SUM(L6:L7)</f>
        <v>0</v>
      </c>
      <c r="M5" s="2053">
        <f>+SUM(M6:M7)</f>
        <v>0</v>
      </c>
      <c r="N5" s="198"/>
      <c r="O5" s="1996">
        <f>+IF(AND(P$2=0,Q$2=0),0,"Шифър")</f>
        <v>0</v>
      </c>
      <c r="P5" s="2052">
        <f>+SUM(P6:P7)</f>
        <v>0</v>
      </c>
      <c r="Q5" s="2053">
        <f>+SUM(Q6:Q7)</f>
        <v>0</v>
      </c>
      <c r="R5" s="303"/>
      <c r="S5" s="303"/>
      <c r="T5" s="303"/>
      <c r="U5" s="303"/>
      <c r="V5" s="303"/>
      <c r="W5" s="303"/>
    </row>
    <row r="6" spans="1:23" ht="15.75">
      <c r="A6" s="2002">
        <f>+IF(AND(A$3="НЯМА отчетено неравнение от закръгления в БАЛАНСА!",D$2=0,E$2=0,H$2=0,I$2=0,L$2=0,M$2=0,P$2=0,Q$2=0),0,"разпределение на неравнението от закръгления - АКТИВ - позиция 1")</f>
        <v>0</v>
      </c>
      <c r="B6" s="303"/>
      <c r="C6" s="2022"/>
      <c r="D6" s="2048"/>
      <c r="E6" s="2049"/>
      <c r="F6" s="303"/>
      <c r="G6" s="1998"/>
      <c r="H6" s="2048"/>
      <c r="I6" s="2049"/>
      <c r="J6" s="303"/>
      <c r="K6" s="1998"/>
      <c r="L6" s="2048"/>
      <c r="M6" s="2049"/>
      <c r="N6" s="303"/>
      <c r="O6" s="1998"/>
      <c r="P6" s="2048"/>
      <c r="Q6" s="2049"/>
      <c r="R6" s="303"/>
      <c r="S6" s="303"/>
      <c r="T6" s="303"/>
      <c r="U6" s="303"/>
      <c r="V6" s="303"/>
      <c r="W6" s="303"/>
    </row>
    <row r="7" spans="1:23" ht="16.5" thickBot="1">
      <c r="A7" s="2003">
        <f>+IF(AND(A$3="НЯМА отчетено неравнение от закръгления в БАЛАНСА!",D$2=0,E$2=0,H$2=0,I$2=0,L$2=0,M$2=0,P$2=0,Q$2=0),0,"разпределение на неравнението от закръгления - АКТИВ - позиция 2")</f>
        <v>0</v>
      </c>
      <c r="B7" s="303"/>
      <c r="C7" s="2023"/>
      <c r="D7" s="2050"/>
      <c r="E7" s="2051"/>
      <c r="F7" s="303"/>
      <c r="G7" s="2024"/>
      <c r="H7" s="2050"/>
      <c r="I7" s="2051"/>
      <c r="J7" s="303"/>
      <c r="K7" s="2024"/>
      <c r="L7" s="2050"/>
      <c r="M7" s="2051"/>
      <c r="N7" s="303"/>
      <c r="O7" s="2024"/>
      <c r="P7" s="2050"/>
      <c r="Q7" s="2051"/>
      <c r="R7" s="303"/>
      <c r="S7" s="303"/>
      <c r="T7" s="303"/>
      <c r="U7" s="303"/>
      <c r="V7" s="303"/>
      <c r="W7" s="303"/>
    </row>
    <row r="8" spans="1:23" ht="14.25" hidden="1" thickTop="1" thickBot="1">
      <c r="A8" s="303" t="s">
        <v>265</v>
      </c>
      <c r="B8" s="303"/>
      <c r="C8" s="303"/>
      <c r="D8" s="303"/>
      <c r="E8" s="303"/>
      <c r="F8" s="303"/>
      <c r="G8" s="303"/>
      <c r="H8" s="303"/>
      <c r="I8" s="303"/>
      <c r="J8" s="303"/>
      <c r="K8" s="303"/>
      <c r="L8" s="303"/>
      <c r="M8" s="303"/>
      <c r="N8" s="303"/>
      <c r="O8" s="303"/>
      <c r="P8" s="303"/>
      <c r="Q8" s="303"/>
      <c r="R8" s="303"/>
      <c r="S8" s="303"/>
      <c r="T8" s="303"/>
      <c r="U8" s="303"/>
      <c r="V8" s="303"/>
      <c r="W8" s="303"/>
    </row>
    <row r="9" spans="1:23" ht="13.5" hidden="1" thickTop="1">
      <c r="A9" s="303"/>
      <c r="B9" s="303"/>
      <c r="C9" s="1992" t="s">
        <v>1970</v>
      </c>
      <c r="D9" s="303"/>
      <c r="E9" s="303"/>
      <c r="F9" s="303"/>
      <c r="G9" s="303"/>
      <c r="H9" s="303"/>
      <c r="I9" s="303"/>
      <c r="J9" s="303"/>
      <c r="K9" s="303"/>
      <c r="L9" s="303"/>
      <c r="M9" s="303"/>
      <c r="N9" s="303"/>
      <c r="O9" s="303"/>
      <c r="P9" s="303"/>
      <c r="Q9" s="303"/>
      <c r="R9" s="303"/>
      <c r="S9" s="303"/>
      <c r="T9" s="303"/>
      <c r="U9" s="303"/>
      <c r="V9" s="303"/>
      <c r="W9" s="303"/>
    </row>
    <row r="10" spans="1:23" ht="15.75" hidden="1">
      <c r="A10" s="303"/>
      <c r="B10" s="303"/>
      <c r="C10" s="1988">
        <v>11</v>
      </c>
      <c r="D10" s="303"/>
      <c r="E10" s="303"/>
      <c r="F10" s="303"/>
      <c r="G10" s="303"/>
      <c r="H10" s="303"/>
      <c r="I10" s="303"/>
      <c r="J10" s="303"/>
      <c r="K10" s="303"/>
      <c r="L10" s="303"/>
      <c r="M10" s="303"/>
      <c r="N10" s="303"/>
      <c r="O10" s="303"/>
      <c r="P10" s="303"/>
      <c r="Q10" s="303"/>
      <c r="R10" s="303"/>
      <c r="S10" s="303"/>
      <c r="T10" s="303"/>
      <c r="U10" s="303"/>
      <c r="V10" s="303"/>
      <c r="W10" s="303"/>
    </row>
    <row r="11" spans="1:23" ht="15.75" hidden="1">
      <c r="A11" s="303"/>
      <c r="B11" s="303"/>
      <c r="C11" s="1984">
        <v>12</v>
      </c>
      <c r="D11" s="303"/>
      <c r="E11" s="303"/>
      <c r="F11" s="303"/>
      <c r="G11" s="303"/>
      <c r="H11" s="303"/>
      <c r="I11" s="303"/>
      <c r="J11" s="303"/>
      <c r="K11" s="303"/>
      <c r="L11" s="303"/>
      <c r="M11" s="303"/>
      <c r="N11" s="303"/>
      <c r="O11" s="303"/>
      <c r="P11" s="303"/>
      <c r="Q11" s="303"/>
      <c r="R11" s="303"/>
      <c r="S11" s="303"/>
      <c r="T11" s="303"/>
      <c r="U11" s="303"/>
      <c r="V11" s="303"/>
      <c r="W11" s="303"/>
    </row>
    <row r="12" spans="1:23" ht="15.75" hidden="1">
      <c r="A12" s="303"/>
      <c r="B12" s="303"/>
      <c r="C12" s="1984">
        <v>13</v>
      </c>
      <c r="D12" s="303"/>
      <c r="E12" s="303"/>
      <c r="F12" s="303"/>
      <c r="G12" s="303"/>
      <c r="H12" s="303"/>
      <c r="I12" s="303"/>
      <c r="J12" s="303"/>
      <c r="K12" s="303"/>
      <c r="L12" s="303"/>
      <c r="M12" s="303"/>
      <c r="N12" s="303"/>
      <c r="O12" s="303"/>
      <c r="P12" s="303"/>
      <c r="Q12" s="303"/>
      <c r="R12" s="303"/>
      <c r="S12" s="303"/>
      <c r="T12" s="303"/>
      <c r="U12" s="303"/>
      <c r="V12" s="303"/>
      <c r="W12" s="303"/>
    </row>
    <row r="13" spans="1:23" ht="15.75" hidden="1">
      <c r="A13" s="303"/>
      <c r="B13" s="303"/>
      <c r="C13" s="1984">
        <v>14</v>
      </c>
      <c r="D13" s="303"/>
      <c r="E13" s="303"/>
      <c r="F13" s="303"/>
      <c r="G13" s="303"/>
      <c r="H13" s="303"/>
      <c r="I13" s="303"/>
      <c r="J13" s="303"/>
      <c r="K13" s="303"/>
      <c r="L13" s="303"/>
      <c r="M13" s="303"/>
      <c r="N13" s="303"/>
      <c r="O13" s="303"/>
      <c r="P13" s="303"/>
      <c r="Q13" s="303"/>
      <c r="R13" s="303"/>
      <c r="S13" s="303"/>
      <c r="T13" s="303"/>
      <c r="U13" s="303"/>
      <c r="V13" s="303"/>
      <c r="W13" s="303"/>
    </row>
    <row r="14" spans="1:23" ht="15.75" hidden="1">
      <c r="A14" s="303"/>
      <c r="B14" s="303"/>
      <c r="C14" s="1984">
        <v>15</v>
      </c>
      <c r="D14" s="303"/>
      <c r="E14" s="303"/>
      <c r="F14" s="303"/>
      <c r="G14" s="303"/>
      <c r="H14" s="303"/>
      <c r="I14" s="303"/>
      <c r="J14" s="303"/>
      <c r="K14" s="303"/>
      <c r="L14" s="303"/>
      <c r="M14" s="303"/>
      <c r="N14" s="303"/>
      <c r="O14" s="303"/>
      <c r="P14" s="303"/>
      <c r="Q14" s="303"/>
      <c r="R14" s="303"/>
      <c r="S14" s="303"/>
      <c r="T14" s="303"/>
      <c r="U14" s="303"/>
      <c r="V14" s="303"/>
      <c r="W14" s="303"/>
    </row>
    <row r="15" spans="1:23" ht="15.75" hidden="1">
      <c r="A15" s="303"/>
      <c r="B15" s="303"/>
      <c r="C15" s="1984">
        <v>16</v>
      </c>
      <c r="D15" s="303"/>
      <c r="E15" s="303"/>
      <c r="F15" s="303"/>
      <c r="G15" s="303"/>
      <c r="H15" s="303"/>
      <c r="I15" s="303"/>
      <c r="J15" s="303"/>
      <c r="K15" s="303"/>
      <c r="L15" s="303"/>
      <c r="M15" s="303"/>
      <c r="N15" s="303"/>
      <c r="O15" s="303"/>
      <c r="P15" s="303"/>
      <c r="Q15" s="303"/>
      <c r="R15" s="303"/>
      <c r="S15" s="303"/>
      <c r="T15" s="303"/>
      <c r="U15" s="303"/>
      <c r="V15" s="303"/>
      <c r="W15" s="303"/>
    </row>
    <row r="16" spans="1:23" ht="15.75" hidden="1">
      <c r="A16" s="303"/>
      <c r="B16" s="303"/>
      <c r="C16" s="1985">
        <v>17</v>
      </c>
      <c r="D16" s="303"/>
      <c r="E16" s="303"/>
      <c r="F16" s="303"/>
      <c r="G16" s="303"/>
      <c r="H16" s="303"/>
      <c r="I16" s="303"/>
      <c r="J16" s="303"/>
      <c r="K16" s="303"/>
      <c r="L16" s="303"/>
      <c r="M16" s="303"/>
      <c r="N16" s="303"/>
      <c r="O16" s="303"/>
      <c r="P16" s="303"/>
      <c r="Q16" s="303"/>
      <c r="R16" s="303"/>
      <c r="S16" s="303"/>
      <c r="T16" s="303"/>
      <c r="U16" s="303"/>
      <c r="V16" s="303"/>
      <c r="W16" s="303"/>
    </row>
    <row r="17" spans="1:23" ht="15.75" hidden="1">
      <c r="A17" s="303"/>
      <c r="B17" s="303"/>
      <c r="C17" s="1986">
        <v>20</v>
      </c>
      <c r="D17" s="303"/>
      <c r="E17" s="303"/>
      <c r="F17" s="303"/>
      <c r="G17" s="303"/>
      <c r="H17" s="303"/>
      <c r="I17" s="303"/>
      <c r="J17" s="303"/>
      <c r="K17" s="303"/>
      <c r="L17" s="303"/>
      <c r="M17" s="303"/>
      <c r="N17" s="303"/>
      <c r="O17" s="303"/>
      <c r="P17" s="303"/>
      <c r="Q17" s="303"/>
      <c r="R17" s="303"/>
      <c r="S17" s="303"/>
      <c r="T17" s="303"/>
      <c r="U17" s="303"/>
      <c r="V17" s="303"/>
      <c r="W17" s="303"/>
    </row>
    <row r="18" spans="1:23" ht="15.75" hidden="1">
      <c r="A18" s="303"/>
      <c r="B18" s="303"/>
      <c r="C18" s="1990">
        <v>31</v>
      </c>
      <c r="D18" s="303"/>
      <c r="E18" s="303"/>
      <c r="F18" s="303"/>
      <c r="G18" s="303"/>
      <c r="H18" s="303"/>
      <c r="I18" s="303"/>
      <c r="J18" s="303"/>
      <c r="K18" s="303"/>
      <c r="L18" s="303"/>
      <c r="M18" s="303"/>
      <c r="N18" s="303"/>
      <c r="O18" s="303"/>
      <c r="P18" s="303"/>
      <c r="Q18" s="303"/>
      <c r="R18" s="303"/>
      <c r="S18" s="303"/>
      <c r="T18" s="303"/>
      <c r="U18" s="303"/>
      <c r="V18" s="303"/>
      <c r="W18" s="303"/>
    </row>
    <row r="19" spans="1:23" ht="15.75" hidden="1">
      <c r="A19" s="303"/>
      <c r="B19" s="303"/>
      <c r="C19" s="1984">
        <v>32</v>
      </c>
      <c r="D19" s="303"/>
      <c r="E19" s="303"/>
      <c r="F19" s="303"/>
      <c r="G19" s="303"/>
      <c r="H19" s="303"/>
      <c r="I19" s="303"/>
      <c r="J19" s="303"/>
      <c r="K19" s="303"/>
      <c r="L19" s="303"/>
      <c r="M19" s="303"/>
      <c r="N19" s="303"/>
      <c r="O19" s="303"/>
      <c r="P19" s="303"/>
      <c r="Q19" s="303"/>
      <c r="R19" s="303"/>
      <c r="S19" s="303"/>
      <c r="T19" s="303"/>
      <c r="U19" s="303"/>
      <c r="V19" s="303"/>
      <c r="W19" s="303"/>
    </row>
    <row r="20" spans="1:23" ht="15.75" hidden="1">
      <c r="A20" s="303"/>
      <c r="B20" s="303"/>
      <c r="C20" s="1984">
        <v>51</v>
      </c>
      <c r="D20" s="303"/>
      <c r="E20" s="303"/>
      <c r="F20" s="303"/>
      <c r="G20" s="303"/>
      <c r="H20" s="303"/>
      <c r="I20" s="303"/>
      <c r="J20" s="303"/>
      <c r="K20" s="303"/>
      <c r="L20" s="303"/>
      <c r="M20" s="303"/>
      <c r="N20" s="303"/>
      <c r="O20" s="303"/>
      <c r="P20" s="303"/>
      <c r="Q20" s="303"/>
      <c r="R20" s="303"/>
      <c r="S20" s="303"/>
      <c r="T20" s="303"/>
      <c r="U20" s="303"/>
      <c r="V20" s="303"/>
      <c r="W20" s="303"/>
    </row>
    <row r="21" spans="1:23" ht="15.75" hidden="1">
      <c r="A21" s="303"/>
      <c r="B21" s="303"/>
      <c r="C21" s="1984">
        <v>52</v>
      </c>
      <c r="D21" s="303"/>
      <c r="E21" s="303"/>
      <c r="F21" s="303"/>
      <c r="G21" s="303"/>
      <c r="H21" s="303"/>
      <c r="I21" s="303"/>
      <c r="J21" s="303"/>
      <c r="K21" s="303"/>
      <c r="L21" s="303"/>
      <c r="M21" s="303"/>
      <c r="N21" s="303"/>
      <c r="O21" s="303"/>
      <c r="P21" s="303"/>
      <c r="Q21" s="303"/>
      <c r="R21" s="303"/>
      <c r="S21" s="303"/>
      <c r="T21" s="303"/>
      <c r="U21" s="303"/>
      <c r="V21" s="303"/>
      <c r="W21" s="303"/>
    </row>
    <row r="22" spans="1:23" ht="15.75" hidden="1">
      <c r="A22" s="303"/>
      <c r="B22" s="303"/>
      <c r="C22" s="1984">
        <v>53</v>
      </c>
      <c r="D22" s="303"/>
      <c r="E22" s="303"/>
      <c r="F22" s="303"/>
      <c r="G22" s="303"/>
      <c r="H22" s="303"/>
      <c r="I22" s="303"/>
      <c r="J22" s="303"/>
      <c r="K22" s="303"/>
      <c r="L22" s="303"/>
      <c r="M22" s="303"/>
      <c r="N22" s="303"/>
      <c r="O22" s="303"/>
      <c r="P22" s="303"/>
      <c r="Q22" s="303"/>
      <c r="R22" s="303"/>
      <c r="S22" s="303"/>
      <c r="T22" s="303"/>
      <c r="U22" s="303"/>
      <c r="V22" s="303"/>
      <c r="W22" s="303"/>
    </row>
    <row r="23" spans="1:23" ht="15.75" hidden="1">
      <c r="A23" s="303"/>
      <c r="B23" s="303"/>
      <c r="C23" s="1984">
        <v>61</v>
      </c>
      <c r="D23" s="303"/>
      <c r="E23" s="303"/>
      <c r="F23" s="303"/>
      <c r="G23" s="303"/>
      <c r="H23" s="303"/>
      <c r="I23" s="303"/>
      <c r="J23" s="303"/>
      <c r="K23" s="303"/>
      <c r="L23" s="303"/>
      <c r="M23" s="303"/>
      <c r="N23" s="303"/>
      <c r="O23" s="303"/>
      <c r="P23" s="303"/>
      <c r="Q23" s="303"/>
      <c r="R23" s="303"/>
      <c r="S23" s="303"/>
      <c r="T23" s="303"/>
      <c r="U23" s="303"/>
      <c r="V23" s="303"/>
      <c r="W23" s="303"/>
    </row>
    <row r="24" spans="1:23" ht="15.75" hidden="1">
      <c r="A24" s="303"/>
      <c r="B24" s="303"/>
      <c r="C24" s="1984">
        <v>62</v>
      </c>
      <c r="D24" s="303"/>
      <c r="E24" s="303"/>
      <c r="F24" s="303"/>
      <c r="G24" s="303"/>
      <c r="H24" s="303"/>
      <c r="I24" s="303"/>
      <c r="J24" s="303"/>
      <c r="K24" s="303"/>
      <c r="L24" s="303"/>
      <c r="M24" s="303"/>
      <c r="N24" s="303"/>
      <c r="O24" s="303"/>
      <c r="P24" s="303"/>
      <c r="Q24" s="303"/>
      <c r="R24" s="303"/>
      <c r="S24" s="303"/>
      <c r="T24" s="303"/>
      <c r="U24" s="303"/>
      <c r="V24" s="303"/>
      <c r="W24" s="303"/>
    </row>
    <row r="25" spans="1:23" ht="15.75" hidden="1">
      <c r="A25" s="303"/>
      <c r="B25" s="303"/>
      <c r="C25" s="1984">
        <v>71</v>
      </c>
      <c r="D25" s="303"/>
      <c r="E25" s="303"/>
      <c r="F25" s="303"/>
      <c r="G25" s="303"/>
      <c r="H25" s="303"/>
      <c r="I25" s="303"/>
      <c r="J25" s="303"/>
      <c r="K25" s="303"/>
      <c r="L25" s="303"/>
      <c r="M25" s="303"/>
      <c r="N25" s="303"/>
      <c r="O25" s="303"/>
      <c r="P25" s="303"/>
      <c r="Q25" s="303"/>
      <c r="R25" s="303"/>
      <c r="S25" s="303"/>
      <c r="T25" s="303"/>
      <c r="U25" s="303"/>
      <c r="V25" s="303"/>
      <c r="W25" s="303"/>
    </row>
    <row r="26" spans="1:23" ht="15.75" hidden="1">
      <c r="A26" s="303"/>
      <c r="B26" s="303"/>
      <c r="C26" s="1984">
        <v>72</v>
      </c>
      <c r="D26" s="303"/>
      <c r="E26" s="303"/>
      <c r="F26" s="303"/>
      <c r="G26" s="303"/>
      <c r="H26" s="303"/>
      <c r="I26" s="303"/>
      <c r="J26" s="303"/>
      <c r="K26" s="303"/>
      <c r="L26" s="303"/>
      <c r="M26" s="303"/>
      <c r="N26" s="303"/>
      <c r="O26" s="303"/>
      <c r="P26" s="303"/>
      <c r="Q26" s="303"/>
      <c r="R26" s="303"/>
      <c r="S26" s="303"/>
      <c r="T26" s="303"/>
      <c r="U26" s="303"/>
      <c r="V26" s="303"/>
      <c r="W26" s="303"/>
    </row>
    <row r="27" spans="1:23" ht="15.75" hidden="1">
      <c r="A27" s="303"/>
      <c r="B27" s="303"/>
      <c r="C27" s="1984">
        <v>73</v>
      </c>
      <c r="D27" s="303"/>
      <c r="E27" s="303"/>
      <c r="F27" s="303"/>
      <c r="G27" s="303"/>
      <c r="H27" s="303"/>
      <c r="I27" s="303"/>
      <c r="J27" s="303"/>
      <c r="K27" s="303"/>
      <c r="L27" s="303"/>
      <c r="M27" s="303"/>
      <c r="N27" s="303"/>
      <c r="O27" s="303"/>
      <c r="P27" s="303"/>
      <c r="Q27" s="303"/>
      <c r="R27" s="303"/>
      <c r="S27" s="303"/>
      <c r="T27" s="303"/>
      <c r="U27" s="303"/>
      <c r="V27" s="303"/>
      <c r="W27" s="303"/>
    </row>
    <row r="28" spans="1:23" ht="15.75" hidden="1">
      <c r="A28" s="303"/>
      <c r="B28" s="303"/>
      <c r="C28" s="1984">
        <v>74</v>
      </c>
      <c r="D28" s="303"/>
      <c r="E28" s="303"/>
      <c r="F28" s="303"/>
      <c r="G28" s="303"/>
      <c r="H28" s="303"/>
      <c r="I28" s="303"/>
      <c r="J28" s="303"/>
      <c r="K28" s="303"/>
      <c r="L28" s="303"/>
      <c r="M28" s="303"/>
      <c r="N28" s="303"/>
      <c r="O28" s="303"/>
      <c r="P28" s="303"/>
      <c r="Q28" s="303"/>
      <c r="R28" s="303"/>
      <c r="S28" s="303"/>
      <c r="T28" s="303"/>
      <c r="U28" s="303"/>
      <c r="V28" s="303"/>
      <c r="W28" s="303"/>
    </row>
    <row r="29" spans="1:23" ht="15.75" hidden="1">
      <c r="A29" s="303"/>
      <c r="B29" s="303"/>
      <c r="C29" s="1984">
        <v>75</v>
      </c>
      <c r="D29" s="303"/>
      <c r="E29" s="303"/>
      <c r="F29" s="303"/>
      <c r="G29" s="303"/>
      <c r="H29" s="303"/>
      <c r="I29" s="303"/>
      <c r="J29" s="303"/>
      <c r="K29" s="303"/>
      <c r="L29" s="303"/>
      <c r="M29" s="303"/>
      <c r="N29" s="303"/>
      <c r="O29" s="303"/>
      <c r="P29" s="303"/>
      <c r="Q29" s="303"/>
      <c r="R29" s="303"/>
      <c r="S29" s="303"/>
      <c r="T29" s="303"/>
      <c r="U29" s="303"/>
      <c r="V29" s="303"/>
      <c r="W29" s="303"/>
    </row>
    <row r="30" spans="1:23" ht="15.75" hidden="1">
      <c r="A30" s="303"/>
      <c r="B30" s="303"/>
      <c r="C30" s="1984">
        <v>76</v>
      </c>
      <c r="D30" s="303"/>
      <c r="E30" s="303"/>
      <c r="F30" s="303"/>
      <c r="G30" s="303"/>
      <c r="H30" s="303"/>
      <c r="I30" s="303"/>
      <c r="J30" s="303"/>
      <c r="K30" s="303"/>
      <c r="L30" s="303"/>
      <c r="M30" s="303"/>
      <c r="N30" s="303"/>
      <c r="O30" s="303"/>
      <c r="P30" s="303"/>
      <c r="Q30" s="303"/>
      <c r="R30" s="303"/>
      <c r="S30" s="303"/>
      <c r="T30" s="303"/>
      <c r="U30" s="303"/>
      <c r="V30" s="303"/>
      <c r="W30" s="303"/>
    </row>
    <row r="31" spans="1:23" ht="15.75" hidden="1">
      <c r="A31" s="1995"/>
      <c r="B31" s="1995"/>
      <c r="C31" s="1984">
        <v>81</v>
      </c>
      <c r="D31" s="1995"/>
      <c r="E31" s="303"/>
      <c r="F31" s="303"/>
      <c r="G31" s="303"/>
      <c r="H31" s="1995"/>
      <c r="I31" s="303"/>
      <c r="J31" s="303"/>
      <c r="K31" s="303"/>
      <c r="L31" s="1995"/>
      <c r="M31" s="303"/>
      <c r="N31" s="303"/>
      <c r="O31" s="303"/>
      <c r="P31" s="1995"/>
      <c r="Q31" s="303"/>
      <c r="R31" s="303"/>
      <c r="S31" s="303"/>
      <c r="T31" s="303"/>
      <c r="U31" s="303"/>
      <c r="V31" s="303"/>
      <c r="W31" s="303"/>
    </row>
    <row r="32" spans="1:23" ht="16.5" hidden="1" thickBot="1">
      <c r="A32" s="1995"/>
      <c r="B32" s="1995"/>
      <c r="C32" s="1989">
        <v>82</v>
      </c>
      <c r="D32" s="1995"/>
      <c r="E32" s="303"/>
      <c r="F32" s="303"/>
      <c r="G32" s="303"/>
      <c r="H32" s="1995"/>
      <c r="I32" s="303"/>
      <c r="J32" s="303"/>
      <c r="K32" s="303"/>
      <c r="L32" s="1995"/>
      <c r="M32" s="303"/>
      <c r="N32" s="303"/>
      <c r="O32" s="303"/>
      <c r="P32" s="1995"/>
      <c r="Q32" s="303"/>
      <c r="R32" s="303"/>
      <c r="S32" s="303"/>
      <c r="T32" s="303"/>
      <c r="U32" s="303"/>
      <c r="V32" s="303"/>
      <c r="W32" s="303"/>
    </row>
    <row r="33" spans="1:23" ht="14.25" hidden="1" thickTop="1" thickBot="1">
      <c r="A33" s="1995"/>
      <c r="B33" s="1995"/>
      <c r="C33" s="1995"/>
      <c r="D33" s="1995"/>
      <c r="E33" s="303"/>
      <c r="F33" s="303"/>
      <c r="G33" s="303"/>
      <c r="H33" s="1995"/>
      <c r="I33" s="303"/>
      <c r="J33" s="303"/>
      <c r="K33" s="303"/>
      <c r="L33" s="1995"/>
      <c r="M33" s="303"/>
      <c r="N33" s="303"/>
      <c r="O33" s="303"/>
      <c r="P33" s="1995"/>
      <c r="Q33" s="303"/>
      <c r="R33" s="303"/>
      <c r="S33" s="303"/>
      <c r="T33" s="303"/>
      <c r="U33" s="303"/>
      <c r="V33" s="303"/>
      <c r="W33" s="303"/>
    </row>
    <row r="34" spans="1:23" ht="13.5" hidden="1" thickTop="1">
      <c r="A34" s="1995"/>
      <c r="B34" s="1995"/>
      <c r="C34" s="1994" t="s">
        <v>1969</v>
      </c>
      <c r="D34" s="1995"/>
      <c r="E34" s="303"/>
      <c r="F34" s="303"/>
      <c r="G34" s="303"/>
      <c r="H34" s="1995"/>
      <c r="I34" s="303"/>
      <c r="J34" s="303"/>
      <c r="K34" s="303"/>
      <c r="L34" s="1995"/>
      <c r="M34" s="303"/>
      <c r="N34" s="303"/>
      <c r="O34" s="303"/>
      <c r="P34" s="1995"/>
      <c r="Q34" s="303"/>
      <c r="R34" s="303"/>
      <c r="S34" s="303"/>
      <c r="T34" s="303"/>
      <c r="U34" s="303"/>
      <c r="V34" s="303"/>
      <c r="W34" s="303"/>
    </row>
    <row r="35" spans="1:23" ht="15.75" hidden="1">
      <c r="A35" s="1995"/>
      <c r="B35" s="1995"/>
      <c r="C35" s="1993">
        <v>401</v>
      </c>
      <c r="D35" s="1995"/>
      <c r="E35" s="303"/>
      <c r="F35" s="303"/>
      <c r="G35" s="303"/>
      <c r="H35" s="1995"/>
      <c r="I35" s="303"/>
      <c r="J35" s="303"/>
      <c r="K35" s="303"/>
      <c r="L35" s="1995"/>
      <c r="M35" s="303"/>
      <c r="N35" s="303"/>
      <c r="O35" s="303"/>
      <c r="P35" s="1995"/>
      <c r="Q35" s="303"/>
      <c r="R35" s="303"/>
      <c r="S35" s="303"/>
      <c r="T35" s="303"/>
      <c r="U35" s="303"/>
      <c r="V35" s="303"/>
      <c r="W35" s="303"/>
    </row>
    <row r="36" spans="1:23" ht="15.75" hidden="1">
      <c r="A36" s="1995"/>
      <c r="B36" s="1995"/>
      <c r="C36" s="1987">
        <v>402</v>
      </c>
      <c r="D36" s="1995"/>
      <c r="E36" s="303"/>
      <c r="F36" s="303"/>
      <c r="G36" s="303"/>
      <c r="H36" s="1995"/>
      <c r="I36" s="303"/>
      <c r="J36" s="303"/>
      <c r="K36" s="303"/>
      <c r="L36" s="1995"/>
      <c r="M36" s="303"/>
      <c r="N36" s="303"/>
      <c r="O36" s="303"/>
      <c r="P36" s="1995"/>
      <c r="Q36" s="303"/>
      <c r="R36" s="303"/>
      <c r="S36" s="303"/>
      <c r="T36" s="303"/>
      <c r="U36" s="303"/>
      <c r="V36" s="303"/>
      <c r="W36" s="303"/>
    </row>
    <row r="37" spans="1:23" ht="15.75" hidden="1">
      <c r="A37" s="1995"/>
      <c r="B37" s="1995"/>
      <c r="C37" s="1987">
        <v>403</v>
      </c>
      <c r="D37" s="1995"/>
      <c r="E37" s="303"/>
      <c r="F37" s="303"/>
      <c r="G37" s="303"/>
      <c r="H37" s="1995"/>
      <c r="I37" s="303"/>
      <c r="J37" s="303"/>
      <c r="K37" s="303"/>
      <c r="L37" s="1995"/>
      <c r="M37" s="303"/>
      <c r="N37" s="303"/>
      <c r="O37" s="303"/>
      <c r="P37" s="1995"/>
      <c r="Q37" s="303"/>
      <c r="R37" s="303"/>
      <c r="S37" s="303"/>
      <c r="T37" s="303"/>
      <c r="U37" s="303"/>
      <c r="V37" s="303"/>
      <c r="W37" s="303"/>
    </row>
    <row r="38" spans="1:23" ht="15.75" hidden="1">
      <c r="A38" s="1995"/>
      <c r="B38" s="1995"/>
      <c r="C38" s="1993">
        <v>511</v>
      </c>
      <c r="D38" s="1995"/>
      <c r="E38" s="303"/>
      <c r="F38" s="303"/>
      <c r="G38" s="303"/>
      <c r="H38" s="1995"/>
      <c r="I38" s="303"/>
      <c r="J38" s="303"/>
      <c r="K38" s="303"/>
      <c r="L38" s="1995"/>
      <c r="M38" s="303"/>
      <c r="N38" s="303"/>
      <c r="O38" s="303"/>
      <c r="P38" s="1995"/>
      <c r="Q38" s="303"/>
      <c r="R38" s="303"/>
      <c r="S38" s="303"/>
      <c r="T38" s="303"/>
      <c r="U38" s="303"/>
      <c r="V38" s="303"/>
      <c r="W38" s="303"/>
    </row>
    <row r="39" spans="1:23" ht="15.75" hidden="1">
      <c r="A39" s="1995"/>
      <c r="B39" s="1995"/>
      <c r="C39" s="1987">
        <v>512</v>
      </c>
      <c r="D39" s="1995"/>
      <c r="E39" s="303"/>
      <c r="F39" s="303"/>
      <c r="G39" s="303"/>
      <c r="H39" s="1995"/>
      <c r="I39" s="303"/>
      <c r="J39" s="303"/>
      <c r="K39" s="303"/>
      <c r="L39" s="1995"/>
      <c r="M39" s="303"/>
      <c r="N39" s="303"/>
      <c r="O39" s="303"/>
      <c r="P39" s="1995"/>
      <c r="Q39" s="303"/>
      <c r="R39" s="303"/>
      <c r="S39" s="303"/>
      <c r="T39" s="303"/>
      <c r="U39" s="303"/>
      <c r="V39" s="303"/>
      <c r="W39" s="303"/>
    </row>
    <row r="40" spans="1:23" ht="15.75" hidden="1">
      <c r="A40" s="1995"/>
      <c r="B40" s="1995"/>
      <c r="C40" s="1987">
        <v>513</v>
      </c>
      <c r="D40" s="1995"/>
      <c r="E40" s="303"/>
      <c r="F40" s="303"/>
      <c r="G40" s="303"/>
      <c r="H40" s="1995"/>
      <c r="I40" s="303"/>
      <c r="J40" s="303"/>
      <c r="K40" s="303"/>
      <c r="L40" s="1995"/>
      <c r="M40" s="303"/>
      <c r="N40" s="303"/>
      <c r="O40" s="303"/>
      <c r="P40" s="1995"/>
      <c r="Q40" s="303"/>
      <c r="R40" s="303"/>
      <c r="S40" s="303"/>
      <c r="T40" s="303"/>
      <c r="U40" s="303"/>
      <c r="V40" s="303"/>
      <c r="W40" s="303"/>
    </row>
    <row r="41" spans="1:23" ht="15.75" hidden="1">
      <c r="A41" s="1995"/>
      <c r="B41" s="1995"/>
      <c r="C41" s="1987">
        <v>521</v>
      </c>
      <c r="D41" s="1995"/>
      <c r="E41" s="303"/>
      <c r="F41" s="303"/>
      <c r="G41" s="303"/>
      <c r="H41" s="1995"/>
      <c r="I41" s="303"/>
      <c r="J41" s="303"/>
      <c r="K41" s="303"/>
      <c r="L41" s="1995"/>
      <c r="M41" s="303"/>
      <c r="N41" s="303"/>
      <c r="O41" s="303"/>
      <c r="P41" s="1995"/>
      <c r="Q41" s="303"/>
      <c r="R41" s="303"/>
      <c r="S41" s="303"/>
      <c r="T41" s="303"/>
      <c r="U41" s="303"/>
      <c r="V41" s="303"/>
      <c r="W41" s="303"/>
    </row>
    <row r="42" spans="1:23" ht="15.75" hidden="1">
      <c r="A42" s="1995"/>
      <c r="B42" s="1995"/>
      <c r="C42" s="1987">
        <f t="shared" ref="C42:C49" si="0">1+C41</f>
        <v>522</v>
      </c>
      <c r="D42" s="1995"/>
      <c r="E42" s="303"/>
      <c r="F42" s="303"/>
      <c r="G42" s="303"/>
      <c r="H42" s="1995"/>
      <c r="I42" s="303"/>
      <c r="J42" s="303"/>
      <c r="K42" s="303"/>
      <c r="L42" s="1995"/>
      <c r="M42" s="303"/>
      <c r="N42" s="303"/>
      <c r="O42" s="303"/>
      <c r="P42" s="1995"/>
      <c r="Q42" s="303"/>
      <c r="R42" s="303"/>
      <c r="S42" s="303"/>
      <c r="T42" s="303"/>
      <c r="U42" s="303"/>
      <c r="V42" s="303"/>
      <c r="W42" s="303"/>
    </row>
    <row r="43" spans="1:23" ht="15.75" hidden="1">
      <c r="A43" s="1995"/>
      <c r="B43" s="1995"/>
      <c r="C43" s="1987">
        <f t="shared" si="0"/>
        <v>523</v>
      </c>
      <c r="D43" s="1995"/>
      <c r="E43" s="303"/>
      <c r="F43" s="303"/>
      <c r="G43" s="303"/>
      <c r="H43" s="1995"/>
      <c r="I43" s="303"/>
      <c r="J43" s="303"/>
      <c r="K43" s="303"/>
      <c r="L43" s="1995"/>
      <c r="M43" s="303"/>
      <c r="N43" s="303"/>
      <c r="O43" s="303"/>
      <c r="P43" s="1995"/>
      <c r="Q43" s="303"/>
      <c r="R43" s="303"/>
      <c r="S43" s="303"/>
      <c r="T43" s="303"/>
      <c r="U43" s="303"/>
      <c r="V43" s="303"/>
      <c r="W43" s="303"/>
    </row>
    <row r="44" spans="1:23" ht="15.75" hidden="1">
      <c r="A44" s="1995"/>
      <c r="B44" s="1995"/>
      <c r="C44" s="1987">
        <f t="shared" si="0"/>
        <v>524</v>
      </c>
      <c r="D44" s="1995"/>
      <c r="E44" s="303"/>
      <c r="F44" s="303"/>
      <c r="G44" s="303"/>
      <c r="H44" s="1995"/>
      <c r="I44" s="303"/>
      <c r="J44" s="303"/>
      <c r="K44" s="303"/>
      <c r="L44" s="1995"/>
      <c r="M44" s="303"/>
      <c r="N44" s="303"/>
      <c r="O44" s="303"/>
      <c r="P44" s="1995"/>
      <c r="Q44" s="303"/>
      <c r="R44" s="303"/>
      <c r="S44" s="303"/>
      <c r="T44" s="303"/>
      <c r="U44" s="303"/>
      <c r="V44" s="303"/>
      <c r="W44" s="303"/>
    </row>
    <row r="45" spans="1:23" ht="15.75" hidden="1">
      <c r="A45" s="1995"/>
      <c r="B45" s="1995"/>
      <c r="C45" s="1987">
        <f t="shared" si="0"/>
        <v>525</v>
      </c>
      <c r="D45" s="1995"/>
      <c r="E45" s="303"/>
      <c r="F45" s="303"/>
      <c r="G45" s="303"/>
      <c r="H45" s="1995"/>
      <c r="I45" s="303"/>
      <c r="J45" s="303"/>
      <c r="K45" s="303"/>
      <c r="L45" s="1995"/>
      <c r="M45" s="303"/>
      <c r="N45" s="303"/>
      <c r="O45" s="303"/>
      <c r="P45" s="1995"/>
      <c r="Q45" s="303"/>
      <c r="R45" s="303"/>
      <c r="S45" s="303"/>
      <c r="T45" s="303"/>
      <c r="U45" s="303"/>
      <c r="V45" s="303"/>
      <c r="W45" s="303"/>
    </row>
    <row r="46" spans="1:23" ht="15.75" hidden="1">
      <c r="A46" s="1995"/>
      <c r="B46" s="1995"/>
      <c r="C46" s="1987">
        <f t="shared" si="0"/>
        <v>526</v>
      </c>
      <c r="D46" s="1995"/>
      <c r="E46" s="303"/>
      <c r="F46" s="303"/>
      <c r="G46" s="303"/>
      <c r="H46" s="1995"/>
      <c r="I46" s="303"/>
      <c r="J46" s="303"/>
      <c r="K46" s="303"/>
      <c r="L46" s="1995"/>
      <c r="M46" s="303"/>
      <c r="N46" s="303"/>
      <c r="O46" s="303"/>
      <c r="P46" s="1995"/>
      <c r="Q46" s="303"/>
      <c r="R46" s="303"/>
      <c r="S46" s="303"/>
      <c r="T46" s="303"/>
      <c r="U46" s="303"/>
      <c r="V46" s="303"/>
      <c r="W46" s="303"/>
    </row>
    <row r="47" spans="1:23" ht="15.75" hidden="1">
      <c r="A47" s="1995"/>
      <c r="B47" s="1995"/>
      <c r="C47" s="1987">
        <f t="shared" si="0"/>
        <v>527</v>
      </c>
      <c r="D47" s="1995"/>
      <c r="E47" s="303"/>
      <c r="F47" s="303"/>
      <c r="G47" s="303"/>
      <c r="H47" s="1995"/>
      <c r="I47" s="303"/>
      <c r="J47" s="303"/>
      <c r="K47" s="303"/>
      <c r="L47" s="1995"/>
      <c r="M47" s="303"/>
      <c r="N47" s="303"/>
      <c r="O47" s="303"/>
      <c r="P47" s="1995"/>
      <c r="Q47" s="303"/>
      <c r="R47" s="303"/>
      <c r="S47" s="303"/>
      <c r="T47" s="303"/>
      <c r="U47" s="303"/>
      <c r="V47" s="303"/>
      <c r="W47" s="303"/>
    </row>
    <row r="48" spans="1:23" ht="15.75" hidden="1">
      <c r="A48" s="1995"/>
      <c r="B48" s="1995"/>
      <c r="C48" s="1987">
        <f t="shared" si="0"/>
        <v>528</v>
      </c>
      <c r="D48" s="1995"/>
      <c r="E48" s="303"/>
      <c r="F48" s="303"/>
      <c r="G48" s="303"/>
      <c r="H48" s="1995"/>
      <c r="I48" s="303"/>
      <c r="J48" s="303"/>
      <c r="K48" s="303"/>
      <c r="L48" s="1995"/>
      <c r="M48" s="303"/>
      <c r="N48" s="303"/>
      <c r="O48" s="303"/>
      <c r="P48" s="1995"/>
      <c r="Q48" s="303"/>
      <c r="R48" s="303"/>
      <c r="S48" s="303"/>
      <c r="T48" s="303"/>
      <c r="U48" s="303"/>
      <c r="V48" s="303"/>
      <c r="W48" s="303"/>
    </row>
    <row r="49" spans="1:23" ht="15.75" hidden="1">
      <c r="A49" s="1995"/>
      <c r="B49" s="1995"/>
      <c r="C49" s="1987">
        <f t="shared" si="0"/>
        <v>529</v>
      </c>
      <c r="D49" s="1995"/>
      <c r="E49" s="303"/>
      <c r="F49" s="303"/>
      <c r="G49" s="303"/>
      <c r="H49" s="1995"/>
      <c r="I49" s="303"/>
      <c r="J49" s="303"/>
      <c r="K49" s="303"/>
      <c r="L49" s="1995"/>
      <c r="M49" s="303"/>
      <c r="N49" s="303"/>
      <c r="O49" s="303"/>
      <c r="P49" s="1995"/>
      <c r="Q49" s="303"/>
      <c r="R49" s="303"/>
      <c r="S49" s="303"/>
      <c r="T49" s="303"/>
      <c r="U49" s="303"/>
      <c r="V49" s="303"/>
      <c r="W49" s="303"/>
    </row>
    <row r="50" spans="1:23" ht="15.75" hidden="1">
      <c r="A50" s="1995"/>
      <c r="B50" s="1995"/>
      <c r="C50" s="1987">
        <v>531</v>
      </c>
      <c r="D50" s="1995"/>
      <c r="E50" s="303"/>
      <c r="F50" s="303"/>
      <c r="G50" s="303"/>
      <c r="H50" s="1995"/>
      <c r="I50" s="303"/>
      <c r="J50" s="303"/>
      <c r="K50" s="303"/>
      <c r="L50" s="1995"/>
      <c r="M50" s="303"/>
      <c r="N50" s="303"/>
      <c r="O50" s="303"/>
      <c r="P50" s="1995"/>
      <c r="Q50" s="303"/>
      <c r="R50" s="303"/>
      <c r="S50" s="303"/>
      <c r="T50" s="303"/>
      <c r="U50" s="303"/>
      <c r="V50" s="303"/>
      <c r="W50" s="303"/>
    </row>
    <row r="51" spans="1:23" ht="16.5" hidden="1" thickBot="1">
      <c r="A51" s="1995"/>
      <c r="B51" s="1995"/>
      <c r="C51" s="1991">
        <v>532</v>
      </c>
      <c r="D51" s="1995"/>
      <c r="E51" s="303"/>
      <c r="F51" s="303"/>
      <c r="G51" s="303"/>
      <c r="H51" s="1995"/>
      <c r="I51" s="303"/>
      <c r="J51" s="303"/>
      <c r="K51" s="303"/>
      <c r="L51" s="1995"/>
      <c r="M51" s="303"/>
      <c r="N51" s="303"/>
      <c r="O51" s="303"/>
      <c r="P51" s="1995"/>
      <c r="Q51" s="303"/>
      <c r="R51" s="303"/>
      <c r="S51" s="303"/>
      <c r="T51" s="303"/>
      <c r="U51" s="303"/>
      <c r="V51" s="303"/>
      <c r="W51" s="303"/>
    </row>
    <row r="52" spans="1:23" ht="13.5" thickTop="1">
      <c r="A52" s="2073"/>
      <c r="B52" s="2073"/>
      <c r="C52" s="2073"/>
      <c r="D52" s="1995"/>
      <c r="E52" s="303"/>
      <c r="F52" s="303"/>
      <c r="G52" s="1995"/>
      <c r="H52" s="303"/>
      <c r="I52" s="303"/>
      <c r="J52" s="303"/>
      <c r="K52" s="1995"/>
      <c r="L52" s="303"/>
      <c r="M52" s="303"/>
      <c r="N52" s="303"/>
      <c r="O52" s="1995"/>
      <c r="P52" s="303"/>
      <c r="Q52" s="303"/>
      <c r="R52" s="303"/>
      <c r="S52" s="303"/>
      <c r="T52" s="303"/>
      <c r="U52" s="303"/>
      <c r="V52" s="303"/>
      <c r="W52" s="303"/>
    </row>
    <row r="53" spans="1:23" ht="16.5" customHeight="1">
      <c r="A53" s="2000">
        <f>+IF(AND(A$3="НЯМА отчетено неравнение от закръгления в БАЛАНСА!",D$2=0,E$2=0,H$2=0,I$2=0,L$2=0,M$2=0,P$2=0,Q$2=0),0,"Разпределен размер на неравнението от закръгления в ПАСИВА (в хил. лв)")</f>
        <v>0</v>
      </c>
      <c r="B53" s="2069"/>
      <c r="C53" s="2001">
        <f>+IF(AND(D$2=0,E$2=0),0,"Шифър")</f>
        <v>0</v>
      </c>
      <c r="D53" s="2056">
        <f>+SUM(D54:D55)</f>
        <v>0</v>
      </c>
      <c r="E53" s="2057">
        <f>+SUM(E54:E55)</f>
        <v>0</v>
      </c>
      <c r="F53" s="198"/>
      <c r="G53" s="2001">
        <f>+IF(AND(H$2=0,I$2=0),0,"Шифър")</f>
        <v>0</v>
      </c>
      <c r="H53" s="2056">
        <f>+SUM(H54:H55)</f>
        <v>0</v>
      </c>
      <c r="I53" s="2057">
        <f>+SUM(I54:I55)</f>
        <v>0</v>
      </c>
      <c r="J53" s="198"/>
      <c r="K53" s="2001">
        <f>+IF(AND(L$2=0,M$2=0),0,"Шифър")</f>
        <v>0</v>
      </c>
      <c r="L53" s="2056">
        <f>+SUM(L54:L55)</f>
        <v>0</v>
      </c>
      <c r="M53" s="2057">
        <f>+SUM(M54:M55)</f>
        <v>0</v>
      </c>
      <c r="N53" s="198"/>
      <c r="O53" s="2001">
        <f>+IF(AND(P$2=0,Q$2=0),0,"Шифър")</f>
        <v>0</v>
      </c>
      <c r="P53" s="2056">
        <f>+SUM(P54:P55)</f>
        <v>0</v>
      </c>
      <c r="Q53" s="2057">
        <f>+SUM(Q54:Q55)</f>
        <v>0</v>
      </c>
      <c r="R53" s="303"/>
      <c r="S53" s="303"/>
      <c r="T53" s="303"/>
      <c r="U53" s="303"/>
      <c r="V53" s="303"/>
      <c r="W53" s="303"/>
    </row>
    <row r="54" spans="1:23" ht="15.75">
      <c r="A54" s="1997">
        <f>+IF(AND(A$3="НЯМА отчетено неравнение от закръгления в БАЛАНСА!",D$2=0,E$2=0,H$2=0,I$2=0,L$2=0,M$2=0,P$2=0,Q$2=0),0,"разпределение на неравнението от закръгления - ПАСИВ - позиция 1")</f>
        <v>0</v>
      </c>
      <c r="B54" s="303"/>
      <c r="C54" s="1998"/>
      <c r="D54" s="2058"/>
      <c r="E54" s="2049"/>
      <c r="F54" s="303"/>
      <c r="G54" s="1998"/>
      <c r="H54" s="2058"/>
      <c r="I54" s="2049"/>
      <c r="J54" s="303"/>
      <c r="K54" s="1998"/>
      <c r="L54" s="2058"/>
      <c r="M54" s="2049"/>
      <c r="N54" s="303"/>
      <c r="O54" s="1998"/>
      <c r="P54" s="2058"/>
      <c r="Q54" s="2049"/>
      <c r="R54" s="303"/>
      <c r="S54" s="303"/>
      <c r="T54" s="303"/>
      <c r="U54" s="303"/>
      <c r="V54" s="303"/>
      <c r="W54" s="303"/>
    </row>
    <row r="55" spans="1:23" ht="16.5" thickBot="1">
      <c r="A55" s="1999">
        <f>+IF(AND(A$3="НЯМА отчетено неравнение от закръгления в БАЛАНСА!",D$2=0,E$2=0,H$2=0,I$2=0,L$2=0,M$2=0,P$2=0,Q$2=0),0,"разпределение на неравнението от закръгления - ПАСИВ - позиция 2")</f>
        <v>0</v>
      </c>
      <c r="B55" s="2069"/>
      <c r="C55" s="2024"/>
      <c r="D55" s="2059"/>
      <c r="E55" s="2051"/>
      <c r="F55" s="303"/>
      <c r="G55" s="2024"/>
      <c r="H55" s="2059"/>
      <c r="I55" s="2051"/>
      <c r="J55" s="303"/>
      <c r="K55" s="2024"/>
      <c r="L55" s="2059"/>
      <c r="M55" s="2051"/>
      <c r="N55" s="303"/>
      <c r="O55" s="2024"/>
      <c r="P55" s="2059"/>
      <c r="Q55" s="2051"/>
      <c r="R55" s="303"/>
      <c r="S55" s="303"/>
      <c r="T55" s="303"/>
      <c r="U55" s="303"/>
      <c r="V55" s="303"/>
      <c r="W55" s="303"/>
    </row>
    <row r="56" spans="1:23" ht="14.25" thickTop="1" thickBot="1">
      <c r="A56" s="2073"/>
      <c r="B56" s="2073"/>
      <c r="C56" s="2073"/>
      <c r="D56" s="1995"/>
      <c r="E56" s="303"/>
      <c r="F56" s="303"/>
      <c r="G56" s="1995"/>
      <c r="H56" s="303"/>
      <c r="I56" s="303"/>
      <c r="J56" s="303"/>
      <c r="K56" s="1995"/>
      <c r="L56" s="303"/>
      <c r="M56" s="303"/>
      <c r="N56" s="303"/>
      <c r="O56" s="1995"/>
      <c r="P56" s="303"/>
      <c r="Q56" s="303"/>
      <c r="R56" s="303"/>
      <c r="S56" s="303"/>
      <c r="T56" s="303"/>
      <c r="U56" s="303"/>
      <c r="V56" s="303"/>
      <c r="W56" s="303"/>
    </row>
    <row r="57" spans="1:23" ht="15.75">
      <c r="A57" s="2073"/>
      <c r="B57" s="2073"/>
      <c r="C57" s="2073"/>
      <c r="D57" s="2201">
        <f>+IF(D58=0,0,"БЮДЖЕТ")</f>
        <v>0</v>
      </c>
      <c r="E57" s="2202" t="str">
        <f>+IF(E58=0,0,"БЮДЖЕТ")</f>
        <v>БЮДЖЕТ</v>
      </c>
      <c r="F57" s="303"/>
      <c r="G57" s="1995"/>
      <c r="H57" s="2203">
        <f>+IF(H58=0,0,"СЕС")</f>
        <v>0</v>
      </c>
      <c r="I57" s="2204">
        <f>+IF(I58=0,0,"СЕС")</f>
        <v>0</v>
      </c>
      <c r="J57" s="303"/>
      <c r="K57" s="1995"/>
      <c r="L57" s="2205">
        <f>+IF(L58=0,0,"ДСД")</f>
        <v>0</v>
      </c>
      <c r="M57" s="2206">
        <f>+IF(M58=0,0,"ДСД")</f>
        <v>0</v>
      </c>
      <c r="N57" s="303"/>
      <c r="O57" s="1995"/>
      <c r="P57" s="2207">
        <f>+IF(P58=0,0,"ОБЩО")</f>
        <v>0</v>
      </c>
      <c r="Q57" s="2208" t="str">
        <f>+IF(Q58=0,0,"ОБЩО")</f>
        <v>ОБЩО</v>
      </c>
      <c r="R57" s="303"/>
      <c r="S57" s="303"/>
      <c r="T57" s="303"/>
      <c r="U57" s="303"/>
      <c r="V57" s="303"/>
      <c r="W57" s="303"/>
    </row>
    <row r="58" spans="1:23" ht="16.5" thickBot="1">
      <c r="A58" s="2071"/>
      <c r="B58" s="198"/>
      <c r="C58" s="2074" t="str">
        <f>+IF(AND(D$58=0,E$58=0),0,"Баланс")</f>
        <v>Баланс</v>
      </c>
      <c r="D58" s="2031">
        <f>+IF(AND(D$59=0,D$61=0),0,"Текуща година")</f>
        <v>0</v>
      </c>
      <c r="E58" s="2032" t="str">
        <f>+IF(AND(E$59=0,E$61=0),0,"Предходна година")</f>
        <v>Предходна година</v>
      </c>
      <c r="F58" s="198"/>
      <c r="G58" s="2074">
        <f>+IF(AND(H$58=0,I$58=0),0,"Баланс")</f>
        <v>0</v>
      </c>
      <c r="H58" s="2031">
        <f>+IF(AND(H$59=0,H$61=0),0,"Текуща година")</f>
        <v>0</v>
      </c>
      <c r="I58" s="2032">
        <f>+IF(AND(I$59=0,I$61=0),0,"Предходна година")</f>
        <v>0</v>
      </c>
      <c r="J58" s="198"/>
      <c r="K58" s="2074">
        <f>+IF(AND(L$58=0,M$58=0),0,"Баланс")</f>
        <v>0</v>
      </c>
      <c r="L58" s="2031">
        <f>+IF(AND(L$59=0,L$61=0),0,"Текуща година")</f>
        <v>0</v>
      </c>
      <c r="M58" s="2032">
        <f>+IF(AND(M$59=0,M$61=0),0,"Предходна година")</f>
        <v>0</v>
      </c>
      <c r="N58" s="198"/>
      <c r="O58" s="2074" t="str">
        <f>+IF(AND(P$58=0,Q$58=0),0,"Баланс")</f>
        <v>Баланс</v>
      </c>
      <c r="P58" s="2031">
        <f>+IF(AND(P$59=0,P$61=0),0,"Текуща година")</f>
        <v>0</v>
      </c>
      <c r="Q58" s="2032" t="str">
        <f>+IF(AND(Q$59=0,Q$61=0),0,"Предходна година")</f>
        <v>Предходна година</v>
      </c>
      <c r="R58" s="303"/>
      <c r="S58" s="303"/>
      <c r="T58" s="303"/>
      <c r="U58" s="303"/>
      <c r="V58" s="303"/>
      <c r="W58" s="303"/>
    </row>
    <row r="59" spans="1:23" ht="16.5" thickBot="1">
      <c r="A59" s="2072" t="str">
        <f>+IF(AND(D59=0,E59=0,H59=0,I59=0,L59=0,M59=0,P59=0,Q59=0),"НЯМА отчетено неравнение от закръгления в ЗАДБАЛАНСОВИТЕ позиции!","Неравнение от ЗАКРЪГЛЕНИЯ за разпределение м/у ЗАДБАЛАНСОВИ позиции")</f>
        <v>Неравнение от ЗАКРЪГЛЕНИЯ за разпределение м/у ЗАДБАЛАНСОВИ позиции</v>
      </c>
      <c r="B59" s="198"/>
      <c r="C59" s="2025" t="str">
        <f>+IF(AND(D$58=0,E$58=0),0,"Бюджет")</f>
        <v>Бюджет</v>
      </c>
      <c r="D59" s="2005">
        <f>+IF(AND('BALANCE-SHEET-2020'!D104&lt;&gt;0,+ROUND('BALANCE-SHEET-2020-leva'!D104,2)=0),+'BALANCE-SHEET-2020'!D104,0)</f>
        <v>0</v>
      </c>
      <c r="E59" s="2070">
        <f>+IF(AND('BALANCE-SHEET-2020'!E104&lt;&gt;0,+ROUND('BALANCE-SHEET-2020-leva'!E104,2)=0),+'BALANCE-SHEET-2020'!E104,0)</f>
        <v>-1</v>
      </c>
      <c r="F59" s="198"/>
      <c r="G59" s="2025">
        <f>+IF(AND(H$58=0,I$58=0),0,"СЕС")</f>
        <v>0</v>
      </c>
      <c r="H59" s="2010">
        <f>+IF(AND('BALANCE-SHEET-2020'!G104&lt;&gt;0,+ROUND('BALANCE-SHEET-2020-leva'!G104,2)=0),+'BALANCE-SHEET-2020'!G104,0)</f>
        <v>0</v>
      </c>
      <c r="I59" s="2011">
        <f>+IF(AND('BALANCE-SHEET-2020'!H104&lt;&gt;0,+ROUND('BALANCE-SHEET-2020-leva'!H104,2)=0),+'BALANCE-SHEET-2020'!H104,0)</f>
        <v>0</v>
      </c>
      <c r="J59" s="198"/>
      <c r="K59" s="2025">
        <f>+IF(AND(L$58=0,M$58=0),0,"ДСД")</f>
        <v>0</v>
      </c>
      <c r="L59" s="2008">
        <f>+IF(AND('BALANCE-SHEET-2020'!J104&lt;&gt;0,+ROUND('BALANCE-SHEET-2020-leva'!J104,2)=0),+'BALANCE-SHEET-2020'!J104,0)</f>
        <v>0</v>
      </c>
      <c r="M59" s="2009">
        <f>+IF(AND('BALANCE-SHEET-2020'!K104&lt;&gt;0,+ROUND('BALANCE-SHEET-2020-leva'!K104,2)=0),+'BALANCE-SHEET-2020'!K104,0)</f>
        <v>0</v>
      </c>
      <c r="N59" s="198"/>
      <c r="O59" s="2025" t="str">
        <f>+IF(AND(P$58=0,Q$58=0),0,"ОБЩО")</f>
        <v>ОБЩО</v>
      </c>
      <c r="P59" s="2006">
        <f>+IF(AND('BALANCE-SHEET-2020'!M104&lt;&gt;0,+ROUND('BALANCE-SHEET-2020-leva'!M104,2)=0),+'BALANCE-SHEET-2020'!M104,0)</f>
        <v>0</v>
      </c>
      <c r="Q59" s="2007">
        <f>+IF(AND('BALANCE-SHEET-2020'!N104&lt;&gt;0,+ROUND('BALANCE-SHEET-2020-leva'!N104,2)=0),+'BALANCE-SHEET-2020'!N104,0)</f>
        <v>-1</v>
      </c>
      <c r="R59" s="303"/>
      <c r="S59" s="303"/>
      <c r="T59" s="303"/>
      <c r="U59" s="303"/>
      <c r="V59" s="303"/>
      <c r="W59" s="303"/>
    </row>
    <row r="60" spans="1:23">
      <c r="A60" s="2073"/>
      <c r="B60" s="2073"/>
      <c r="C60" s="2073"/>
      <c r="D60" s="1995"/>
      <c r="E60" s="303"/>
      <c r="F60" s="303"/>
      <c r="G60" s="1995"/>
      <c r="H60" s="303"/>
      <c r="I60" s="303"/>
      <c r="J60" s="303"/>
      <c r="K60" s="1995"/>
      <c r="L60" s="303"/>
      <c r="M60" s="303"/>
      <c r="N60" s="303"/>
      <c r="O60" s="1995"/>
      <c r="P60" s="303"/>
      <c r="Q60" s="303"/>
      <c r="R60" s="303"/>
      <c r="S60" s="303"/>
      <c r="T60" s="303"/>
      <c r="U60" s="303"/>
      <c r="V60" s="303"/>
      <c r="W60" s="303"/>
    </row>
    <row r="61" spans="1:23" ht="16.5" customHeight="1">
      <c r="A61" s="2080" t="str">
        <f>+IF(AND(A$59="НЯМА отчетено неравнение от закръгления в ЗАДБАЛАНСОВИТЕ позиции!",D$58=0,E$58=0,H$58=0,I$58=0,L$58=0,M$58=0,P$58=0,Q$58=0),0,"Разпределен размер на неравнението в ЗАДБАЛАНСОВИТЕ ПОЗИЦИИ (в хил. лв)")</f>
        <v>Разпределен размер на неравнението в ЗАДБАЛАНСОВИТЕ ПОЗИЦИИ (в хил. лв)</v>
      </c>
      <c r="B61" s="2069"/>
      <c r="C61" s="2075" t="str">
        <f>+IF(AND(D$58=0,E$58=0),0,"Шифър")</f>
        <v>Шифър</v>
      </c>
      <c r="D61" s="2076">
        <f>+SUM(D62:D63)</f>
        <v>0</v>
      </c>
      <c r="E61" s="2077">
        <f>+SUM(E62:E63)</f>
        <v>0</v>
      </c>
      <c r="F61" s="198"/>
      <c r="G61" s="2075">
        <f>+IF(AND(H$58=0,I$58=0),0,"Шифър")</f>
        <v>0</v>
      </c>
      <c r="H61" s="2076">
        <f>+SUM(H62:H63)</f>
        <v>0</v>
      </c>
      <c r="I61" s="2077">
        <f>+SUM(I62:I63)</f>
        <v>0</v>
      </c>
      <c r="J61" s="198"/>
      <c r="K61" s="2075">
        <f>+IF(AND(L$58=0,M$58=0),0,"Шифър")</f>
        <v>0</v>
      </c>
      <c r="L61" s="2076">
        <f>+SUM(L62:L63)</f>
        <v>0</v>
      </c>
      <c r="M61" s="2077">
        <f>+SUM(M62:M63)</f>
        <v>0</v>
      </c>
      <c r="N61" s="198"/>
      <c r="O61" s="2075" t="str">
        <f>+IF(AND(P$58=0,Q$58=0),0,"Шифър")</f>
        <v>Шифър</v>
      </c>
      <c r="P61" s="2076">
        <f>+SUM(P62:P63)</f>
        <v>0</v>
      </c>
      <c r="Q61" s="2077">
        <f>+SUM(Q62:Q63)</f>
        <v>0</v>
      </c>
      <c r="R61" s="303"/>
      <c r="S61" s="303"/>
      <c r="T61" s="303"/>
      <c r="U61" s="303"/>
      <c r="V61" s="303"/>
      <c r="W61" s="303"/>
    </row>
    <row r="62" spans="1:23" ht="15.75">
      <c r="A62" s="2079" t="str">
        <f>+IF(AND(A$59="НЯМА отчетено неравнение от закръгления в ЗАДБАЛАНСОВИТЕ позиции!",D$58=0,E$58=0,H$58=0,I$58=0,L$58=0,M$58=0,P$58=0,Q$58=0),0,"разпределение на неравнението в ЗАДБАЛАНСОВИ АКТИВИ")</f>
        <v>разпределение на неравнението в ЗАДБАЛАНСОВИ АКТИВИ</v>
      </c>
      <c r="B62" s="303"/>
      <c r="C62" s="2081">
        <v>350</v>
      </c>
      <c r="D62" s="2058"/>
      <c r="E62" s="2049"/>
      <c r="F62" s="303"/>
      <c r="G62" s="2081">
        <f>+C62</f>
        <v>350</v>
      </c>
      <c r="H62" s="2058"/>
      <c r="I62" s="2049"/>
      <c r="J62" s="303"/>
      <c r="K62" s="2081">
        <f>+C62</f>
        <v>350</v>
      </c>
      <c r="L62" s="2058"/>
      <c r="M62" s="2049"/>
      <c r="N62" s="303"/>
      <c r="O62" s="2081">
        <f>+C62</f>
        <v>350</v>
      </c>
      <c r="P62" s="2058"/>
      <c r="Q62" s="2049"/>
      <c r="R62" s="303"/>
      <c r="S62" s="303"/>
      <c r="T62" s="303"/>
      <c r="U62" s="303"/>
      <c r="V62" s="303"/>
      <c r="W62" s="303"/>
    </row>
    <row r="63" spans="1:23" ht="16.5" thickBot="1">
      <c r="A63" s="2078" t="str">
        <f>+IF(AND(A$59="НЯМА отчетено неравнение от закръгления в ЗАДБАЛАНСОВИТЕ позиции!",D$58=0,E$58=0,H$58=0,I$58=0,L$58=0,M$58=0,P$58=0,Q$58=0),0,"разпределение на неравнението в ЗАДБАЛАНСОВИ ПАСИВИ")</f>
        <v>разпределение на неравнението в ЗАДБАЛАНСОВИ ПАСИВИ</v>
      </c>
      <c r="B63" s="2069"/>
      <c r="C63" s="2082">
        <v>650</v>
      </c>
      <c r="D63" s="2059"/>
      <c r="E63" s="2051"/>
      <c r="F63" s="303"/>
      <c r="G63" s="2082">
        <f>+C63</f>
        <v>650</v>
      </c>
      <c r="H63" s="2059"/>
      <c r="I63" s="2051"/>
      <c r="J63" s="303"/>
      <c r="K63" s="2082">
        <f>+C63</f>
        <v>650</v>
      </c>
      <c r="L63" s="2059"/>
      <c r="M63" s="2051"/>
      <c r="N63" s="303"/>
      <c r="O63" s="2082">
        <f>+C63</f>
        <v>650</v>
      </c>
      <c r="P63" s="2059"/>
      <c r="Q63" s="2051"/>
      <c r="R63" s="303"/>
      <c r="S63" s="303"/>
      <c r="T63" s="303"/>
      <c r="U63" s="303"/>
      <c r="V63" s="303"/>
      <c r="W63" s="303"/>
    </row>
    <row r="64" spans="1:23" ht="13.5" thickTop="1">
      <c r="A64" s="2073"/>
      <c r="B64" s="2073"/>
      <c r="C64" s="2073"/>
      <c r="D64" s="1995"/>
      <c r="E64" s="303"/>
      <c r="F64" s="303"/>
      <c r="G64" s="1995"/>
      <c r="H64" s="303"/>
      <c r="I64" s="303"/>
      <c r="J64" s="303"/>
      <c r="K64" s="1995"/>
      <c r="L64" s="303"/>
      <c r="M64" s="303"/>
      <c r="N64" s="303"/>
      <c r="O64" s="1995"/>
      <c r="P64" s="303"/>
      <c r="Q64" s="303"/>
      <c r="R64" s="303"/>
      <c r="S64" s="303"/>
      <c r="T64" s="303"/>
      <c r="U64" s="303"/>
      <c r="V64" s="303"/>
      <c r="W64" s="303"/>
    </row>
    <row r="65" spans="1:23" ht="13.5" thickBot="1">
      <c r="A65" s="2073"/>
      <c r="B65" s="2073"/>
      <c r="C65" s="2073"/>
      <c r="D65" s="1995"/>
      <c r="E65" s="303"/>
      <c r="F65" s="303"/>
      <c r="G65" s="1995"/>
      <c r="H65" s="303"/>
      <c r="I65" s="303"/>
      <c r="J65" s="303"/>
      <c r="K65" s="1995"/>
      <c r="L65" s="303"/>
      <c r="M65" s="303"/>
      <c r="N65" s="303"/>
      <c r="O65" s="1995"/>
      <c r="P65" s="303"/>
      <c r="Q65" s="303"/>
      <c r="R65" s="303"/>
      <c r="S65" s="303"/>
      <c r="T65" s="303"/>
      <c r="U65" s="303"/>
      <c r="V65" s="303"/>
      <c r="W65" s="303"/>
    </row>
    <row r="66" spans="1:23" ht="15.75">
      <c r="A66" s="1995"/>
      <c r="B66" s="1995"/>
      <c r="C66" s="1995"/>
      <c r="D66" s="2201">
        <f>+IF(D127=0,0,"БЮДЖЕТ")</f>
        <v>0</v>
      </c>
      <c r="E66" s="2202">
        <f>+IF(E127=0,0,"БЮДЖЕТ")</f>
        <v>0</v>
      </c>
      <c r="F66" s="303"/>
      <c r="G66" s="1995"/>
      <c r="H66" s="2203">
        <f>+IF(H127=0,0,"СЕС")</f>
        <v>0</v>
      </c>
      <c r="I66" s="2204">
        <f>+IF(I127=0,0,"СЕС")</f>
        <v>0</v>
      </c>
      <c r="J66" s="303"/>
      <c r="K66" s="1995"/>
      <c r="L66" s="2205">
        <f>+IF(L127=0,0,"ДСД")</f>
        <v>0</v>
      </c>
      <c r="M66" s="2206">
        <f>+IF(M127=0,0,"ДСД")</f>
        <v>0</v>
      </c>
      <c r="N66" s="303"/>
      <c r="O66" s="1995"/>
      <c r="P66" s="2207">
        <f>+IF(P127=0,0,"ОБЩО")</f>
        <v>0</v>
      </c>
      <c r="Q66" s="2208">
        <f>+IF(Q127=0,0,"ОБЩО")</f>
        <v>0</v>
      </c>
      <c r="R66" s="303"/>
      <c r="S66" s="303"/>
      <c r="T66" s="303"/>
      <c r="U66" s="303"/>
      <c r="V66" s="303"/>
      <c r="W66" s="303"/>
    </row>
    <row r="67" spans="1:23" ht="13.5" hidden="1" thickTop="1">
      <c r="A67" s="1995"/>
      <c r="B67" s="303"/>
      <c r="C67" s="2043" t="s">
        <v>1980</v>
      </c>
      <c r="D67" s="303"/>
      <c r="E67" s="303"/>
      <c r="F67" s="303"/>
      <c r="G67" s="303"/>
      <c r="H67" s="303"/>
      <c r="I67" s="303"/>
      <c r="J67" s="303"/>
      <c r="K67" s="303"/>
      <c r="L67" s="303"/>
      <c r="M67" s="303"/>
      <c r="N67" s="303"/>
      <c r="O67" s="303"/>
      <c r="P67" s="303"/>
      <c r="Q67" s="303"/>
      <c r="R67" s="303"/>
      <c r="S67" s="303"/>
      <c r="T67" s="303"/>
      <c r="U67" s="303"/>
      <c r="V67" s="303"/>
      <c r="W67" s="303"/>
    </row>
    <row r="68" spans="1:23" ht="15.75" hidden="1">
      <c r="A68" s="1995"/>
      <c r="B68" s="303"/>
      <c r="C68" s="2045">
        <v>711</v>
      </c>
      <c r="D68" s="303"/>
      <c r="E68" s="303"/>
      <c r="F68" s="303"/>
      <c r="G68" s="303"/>
      <c r="H68" s="303"/>
      <c r="I68" s="303"/>
      <c r="J68" s="303"/>
      <c r="K68" s="303"/>
      <c r="L68" s="303"/>
      <c r="M68" s="303"/>
      <c r="N68" s="303"/>
      <c r="O68" s="303"/>
      <c r="P68" s="303"/>
      <c r="Q68" s="303"/>
      <c r="R68" s="303"/>
      <c r="S68" s="303"/>
      <c r="T68" s="303"/>
      <c r="U68" s="303"/>
      <c r="V68" s="303"/>
      <c r="W68" s="303"/>
    </row>
    <row r="69" spans="1:23" ht="15.75" hidden="1">
      <c r="A69" s="1995"/>
      <c r="B69" s="303"/>
      <c r="C69" s="335">
        <f>1+C68</f>
        <v>712</v>
      </c>
      <c r="D69" s="303"/>
      <c r="E69" s="303"/>
      <c r="F69" s="303"/>
      <c r="G69" s="303"/>
      <c r="H69" s="303"/>
      <c r="I69" s="303"/>
      <c r="J69" s="303"/>
      <c r="K69" s="303"/>
      <c r="L69" s="303"/>
      <c r="M69" s="303"/>
      <c r="N69" s="303"/>
      <c r="O69" s="303"/>
      <c r="P69" s="303"/>
      <c r="Q69" s="303"/>
      <c r="R69" s="303"/>
      <c r="S69" s="303"/>
      <c r="T69" s="303"/>
      <c r="U69" s="303"/>
      <c r="V69" s="303"/>
      <c r="W69" s="303"/>
    </row>
    <row r="70" spans="1:23" ht="15.75" hidden="1">
      <c r="A70" s="1995"/>
      <c r="B70" s="303"/>
      <c r="C70" s="335">
        <f t="shared" ref="C70:C76" si="1">1+C69</f>
        <v>713</v>
      </c>
      <c r="D70" s="303"/>
      <c r="E70" s="303"/>
      <c r="F70" s="303"/>
      <c r="G70" s="303"/>
      <c r="H70" s="303"/>
      <c r="I70" s="303"/>
      <c r="J70" s="303"/>
      <c r="K70" s="303"/>
      <c r="L70" s="303"/>
      <c r="M70" s="303"/>
      <c r="N70" s="303"/>
      <c r="O70" s="303"/>
      <c r="P70" s="303"/>
      <c r="Q70" s="303"/>
      <c r="R70" s="303"/>
      <c r="S70" s="303"/>
      <c r="T70" s="303"/>
      <c r="U70" s="303"/>
      <c r="V70" s="303"/>
      <c r="W70" s="303"/>
    </row>
    <row r="71" spans="1:23" ht="15.75" hidden="1">
      <c r="A71" s="1995"/>
      <c r="B71" s="303"/>
      <c r="C71" s="335">
        <f t="shared" si="1"/>
        <v>714</v>
      </c>
      <c r="D71" s="303"/>
      <c r="E71" s="303"/>
      <c r="F71" s="303"/>
      <c r="G71" s="303"/>
      <c r="H71" s="303"/>
      <c r="I71" s="303"/>
      <c r="J71" s="303"/>
      <c r="K71" s="303"/>
      <c r="L71" s="303"/>
      <c r="M71" s="303"/>
      <c r="N71" s="303"/>
      <c r="O71" s="303"/>
      <c r="P71" s="303"/>
      <c r="Q71" s="303"/>
      <c r="R71" s="303"/>
      <c r="S71" s="303"/>
      <c r="T71" s="303"/>
      <c r="U71" s="303"/>
      <c r="V71" s="303"/>
      <c r="W71" s="303"/>
    </row>
    <row r="72" spans="1:23" ht="15.75" hidden="1">
      <c r="A72" s="1995"/>
      <c r="B72" s="303"/>
      <c r="C72" s="335">
        <f t="shared" si="1"/>
        <v>715</v>
      </c>
      <c r="D72" s="303"/>
      <c r="E72" s="303"/>
      <c r="F72" s="303"/>
      <c r="G72" s="303"/>
      <c r="H72" s="303"/>
      <c r="I72" s="303"/>
      <c r="J72" s="303"/>
      <c r="K72" s="303"/>
      <c r="L72" s="303"/>
      <c r="M72" s="303"/>
      <c r="N72" s="303"/>
      <c r="O72" s="303"/>
      <c r="P72" s="303"/>
      <c r="Q72" s="303"/>
      <c r="R72" s="303"/>
      <c r="S72" s="303"/>
      <c r="T72" s="303"/>
      <c r="U72" s="303"/>
      <c r="V72" s="303"/>
      <c r="W72" s="303"/>
    </row>
    <row r="73" spans="1:23" ht="15.75" hidden="1">
      <c r="A73" s="1995"/>
      <c r="B73" s="303"/>
      <c r="C73" s="335">
        <f t="shared" si="1"/>
        <v>716</v>
      </c>
      <c r="D73" s="303"/>
      <c r="E73" s="303"/>
      <c r="F73" s="303"/>
      <c r="G73" s="303"/>
      <c r="H73" s="303"/>
      <c r="I73" s="303"/>
      <c r="J73" s="303"/>
      <c r="K73" s="303"/>
      <c r="L73" s="303"/>
      <c r="M73" s="303"/>
      <c r="N73" s="303"/>
      <c r="O73" s="303"/>
      <c r="P73" s="303"/>
      <c r="Q73" s="303"/>
      <c r="R73" s="303"/>
      <c r="S73" s="303"/>
      <c r="T73" s="303"/>
      <c r="U73" s="303"/>
      <c r="V73" s="303"/>
      <c r="W73" s="303"/>
    </row>
    <row r="74" spans="1:23" ht="15.75" hidden="1">
      <c r="A74" s="1995"/>
      <c r="B74" s="303"/>
      <c r="C74" s="335">
        <f t="shared" si="1"/>
        <v>717</v>
      </c>
      <c r="D74" s="303"/>
      <c r="E74" s="303"/>
      <c r="F74" s="303"/>
      <c r="G74" s="303"/>
      <c r="H74" s="303"/>
      <c r="I74" s="303"/>
      <c r="J74" s="303"/>
      <c r="K74" s="303"/>
      <c r="L74" s="303"/>
      <c r="M74" s="303"/>
      <c r="N74" s="303"/>
      <c r="O74" s="303"/>
      <c r="P74" s="303"/>
      <c r="Q74" s="303"/>
      <c r="R74" s="303"/>
      <c r="S74" s="303"/>
      <c r="T74" s="303"/>
      <c r="U74" s="303"/>
      <c r="V74" s="303"/>
      <c r="W74" s="303"/>
    </row>
    <row r="75" spans="1:23" ht="15.75" hidden="1">
      <c r="A75" s="1995"/>
      <c r="B75" s="303"/>
      <c r="C75" s="335">
        <f t="shared" si="1"/>
        <v>718</v>
      </c>
      <c r="D75" s="303"/>
      <c r="E75" s="303"/>
      <c r="F75" s="303"/>
      <c r="G75" s="303"/>
      <c r="H75" s="303"/>
      <c r="I75" s="303"/>
      <c r="J75" s="303"/>
      <c r="K75" s="303"/>
      <c r="L75" s="303"/>
      <c r="M75" s="303"/>
      <c r="N75" s="303"/>
      <c r="O75" s="303"/>
      <c r="P75" s="303"/>
      <c r="Q75" s="303"/>
      <c r="R75" s="303"/>
      <c r="S75" s="303"/>
      <c r="T75" s="303"/>
      <c r="U75" s="303"/>
      <c r="V75" s="303"/>
      <c r="W75" s="303"/>
    </row>
    <row r="76" spans="1:23" ht="15.75" hidden="1">
      <c r="A76" s="1995"/>
      <c r="B76" s="303"/>
      <c r="C76" s="335">
        <f t="shared" si="1"/>
        <v>719</v>
      </c>
      <c r="D76" s="303"/>
      <c r="E76" s="303"/>
      <c r="F76" s="303"/>
      <c r="G76" s="303"/>
      <c r="H76" s="303"/>
      <c r="I76" s="303"/>
      <c r="J76" s="303"/>
      <c r="K76" s="303"/>
      <c r="L76" s="303"/>
      <c r="M76" s="303"/>
      <c r="N76" s="303"/>
      <c r="O76" s="303"/>
      <c r="P76" s="303"/>
      <c r="Q76" s="303"/>
      <c r="R76" s="303"/>
      <c r="S76" s="303"/>
      <c r="T76" s="303"/>
      <c r="U76" s="303"/>
      <c r="V76" s="303"/>
      <c r="W76" s="303"/>
    </row>
    <row r="77" spans="1:23" ht="15.75" hidden="1">
      <c r="A77" s="1995"/>
      <c r="B77" s="303"/>
      <c r="C77" s="335">
        <v>721</v>
      </c>
      <c r="D77" s="303"/>
      <c r="E77" s="303"/>
      <c r="F77" s="303"/>
      <c r="G77" s="303"/>
      <c r="H77" s="303"/>
      <c r="I77" s="303"/>
      <c r="J77" s="303"/>
      <c r="K77" s="303"/>
      <c r="L77" s="303"/>
      <c r="M77" s="303"/>
      <c r="N77" s="303"/>
      <c r="O77" s="303"/>
      <c r="P77" s="303"/>
      <c r="Q77" s="303"/>
      <c r="R77" s="303"/>
      <c r="S77" s="303"/>
      <c r="T77" s="303"/>
      <c r="U77" s="303"/>
      <c r="V77" s="303"/>
      <c r="W77" s="303"/>
    </row>
    <row r="78" spans="1:23" ht="15.75" hidden="1">
      <c r="A78" s="1995"/>
      <c r="B78" s="303"/>
      <c r="C78" s="335">
        <f>1+C77</f>
        <v>722</v>
      </c>
      <c r="D78" s="303"/>
      <c r="E78" s="303"/>
      <c r="F78" s="303"/>
      <c r="G78" s="303"/>
      <c r="H78" s="303"/>
      <c r="I78" s="303"/>
      <c r="J78" s="303"/>
      <c r="K78" s="303"/>
      <c r="L78" s="303"/>
      <c r="M78" s="303"/>
      <c r="N78" s="303"/>
      <c r="O78" s="303"/>
      <c r="P78" s="303"/>
      <c r="Q78" s="303"/>
      <c r="R78" s="303"/>
      <c r="S78" s="303"/>
      <c r="T78" s="303"/>
      <c r="U78" s="303"/>
      <c r="V78" s="303"/>
      <c r="W78" s="303"/>
    </row>
    <row r="79" spans="1:23" ht="15.75" hidden="1">
      <c r="A79" s="1995"/>
      <c r="B79" s="303"/>
      <c r="C79" s="337">
        <f>1+C78</f>
        <v>723</v>
      </c>
      <c r="D79" s="303"/>
      <c r="E79" s="303"/>
      <c r="F79" s="303"/>
      <c r="G79" s="303"/>
      <c r="H79" s="303"/>
      <c r="I79" s="303"/>
      <c r="J79" s="303"/>
      <c r="K79" s="303"/>
      <c r="L79" s="303"/>
      <c r="M79" s="303"/>
      <c r="N79" s="303"/>
      <c r="O79" s="303"/>
      <c r="P79" s="303"/>
      <c r="Q79" s="303"/>
      <c r="R79" s="303"/>
      <c r="S79" s="303"/>
      <c r="T79" s="303"/>
      <c r="U79" s="303"/>
      <c r="V79" s="303"/>
      <c r="W79" s="303"/>
    </row>
    <row r="80" spans="1:23" ht="15.75" hidden="1">
      <c r="A80" s="1995"/>
      <c r="B80" s="303"/>
      <c r="C80" s="178">
        <v>730</v>
      </c>
      <c r="D80" s="303"/>
      <c r="E80" s="303"/>
      <c r="F80" s="303"/>
      <c r="G80" s="303"/>
      <c r="H80" s="303"/>
      <c r="I80" s="303"/>
      <c r="J80" s="303"/>
      <c r="K80" s="303"/>
      <c r="L80" s="303"/>
      <c r="M80" s="303"/>
      <c r="N80" s="303"/>
      <c r="O80" s="303"/>
      <c r="P80" s="303"/>
      <c r="Q80" s="303"/>
      <c r="R80" s="303"/>
      <c r="S80" s="303"/>
      <c r="T80" s="303"/>
      <c r="U80" s="303"/>
      <c r="V80" s="303"/>
      <c r="W80" s="303"/>
    </row>
    <row r="81" spans="1:23" ht="15.75" hidden="1">
      <c r="A81" s="1995"/>
      <c r="B81" s="303"/>
      <c r="C81" s="178">
        <v>740</v>
      </c>
      <c r="D81" s="303"/>
      <c r="E81" s="303"/>
      <c r="F81" s="303"/>
      <c r="G81" s="303"/>
      <c r="H81" s="303"/>
      <c r="I81" s="303"/>
      <c r="J81" s="303"/>
      <c r="K81" s="303"/>
      <c r="L81" s="303"/>
      <c r="M81" s="303"/>
      <c r="N81" s="303"/>
      <c r="O81" s="303"/>
      <c r="P81" s="303"/>
      <c r="Q81" s="303"/>
      <c r="R81" s="303"/>
      <c r="S81" s="303"/>
      <c r="T81" s="303"/>
      <c r="U81" s="303"/>
      <c r="V81" s="303"/>
      <c r="W81" s="303"/>
    </row>
    <row r="82" spans="1:23" ht="15.75" hidden="1">
      <c r="A82" s="1995"/>
      <c r="B82" s="1995"/>
      <c r="C82" s="2045">
        <v>751</v>
      </c>
      <c r="D82" s="1995"/>
      <c r="E82" s="303"/>
      <c r="F82" s="303"/>
      <c r="G82" s="303"/>
      <c r="H82" s="303"/>
      <c r="I82" s="303"/>
      <c r="J82" s="303"/>
      <c r="K82" s="303"/>
      <c r="L82" s="303"/>
      <c r="M82" s="303"/>
      <c r="N82" s="303"/>
      <c r="O82" s="303"/>
      <c r="P82" s="303"/>
      <c r="Q82" s="303"/>
      <c r="R82" s="303"/>
      <c r="S82" s="303"/>
      <c r="T82" s="303"/>
      <c r="U82" s="303"/>
      <c r="V82" s="303"/>
      <c r="W82" s="303"/>
    </row>
    <row r="83" spans="1:23" ht="15.75" hidden="1">
      <c r="A83" s="1995"/>
      <c r="B83" s="1995"/>
      <c r="C83" s="335">
        <f>1+C82</f>
        <v>752</v>
      </c>
      <c r="D83" s="1995"/>
      <c r="E83" s="303"/>
      <c r="F83" s="303"/>
      <c r="G83" s="303"/>
      <c r="H83" s="303"/>
      <c r="I83" s="303"/>
      <c r="J83" s="303"/>
      <c r="K83" s="303"/>
      <c r="L83" s="303"/>
      <c r="M83" s="303"/>
      <c r="N83" s="303"/>
      <c r="O83" s="303"/>
      <c r="P83" s="303"/>
      <c r="Q83" s="303"/>
      <c r="R83" s="303"/>
      <c r="S83" s="303"/>
      <c r="T83" s="303"/>
      <c r="U83" s="303"/>
      <c r="V83" s="303"/>
      <c r="W83" s="303"/>
    </row>
    <row r="84" spans="1:23" ht="15.75" hidden="1">
      <c r="A84" s="1995"/>
      <c r="B84" s="1995"/>
      <c r="C84" s="335">
        <f>1+C83</f>
        <v>753</v>
      </c>
      <c r="D84" s="1995"/>
      <c r="E84" s="303"/>
      <c r="F84" s="303"/>
      <c r="G84" s="303"/>
      <c r="H84" s="303"/>
      <c r="I84" s="303"/>
      <c r="J84" s="303"/>
      <c r="K84" s="303"/>
      <c r="L84" s="303"/>
      <c r="M84" s="303"/>
      <c r="N84" s="303"/>
      <c r="O84" s="303"/>
      <c r="P84" s="303"/>
      <c r="Q84" s="303"/>
      <c r="R84" s="303"/>
      <c r="S84" s="303"/>
      <c r="T84" s="303"/>
      <c r="U84" s="303"/>
      <c r="V84" s="303"/>
      <c r="W84" s="303"/>
    </row>
    <row r="85" spans="1:23" ht="15.75" hidden="1">
      <c r="A85" s="1995"/>
      <c r="B85" s="1995"/>
      <c r="C85" s="335">
        <f>1+C84</f>
        <v>754</v>
      </c>
      <c r="D85" s="1995"/>
      <c r="E85" s="303"/>
      <c r="F85" s="303"/>
      <c r="G85" s="303"/>
      <c r="H85" s="303"/>
      <c r="I85" s="303"/>
      <c r="J85" s="303"/>
      <c r="K85" s="303"/>
      <c r="L85" s="303"/>
      <c r="M85" s="303"/>
      <c r="N85" s="303"/>
      <c r="O85" s="303"/>
      <c r="P85" s="303"/>
      <c r="Q85" s="303"/>
      <c r="R85" s="303"/>
      <c r="S85" s="303"/>
      <c r="T85" s="303"/>
      <c r="U85" s="303"/>
      <c r="V85" s="303"/>
      <c r="W85" s="303"/>
    </row>
    <row r="86" spans="1:23" ht="15.75" hidden="1">
      <c r="A86" s="1995"/>
      <c r="B86" s="1995"/>
      <c r="C86" s="335">
        <v>601</v>
      </c>
      <c r="D86" s="1995"/>
      <c r="E86" s="303"/>
      <c r="F86" s="303"/>
      <c r="G86" s="303"/>
      <c r="H86" s="303"/>
      <c r="I86" s="303"/>
      <c r="J86" s="303"/>
      <c r="K86" s="303"/>
      <c r="L86" s="303"/>
      <c r="M86" s="303"/>
      <c r="N86" s="303"/>
      <c r="O86" s="303"/>
      <c r="P86" s="303"/>
      <c r="Q86" s="303"/>
      <c r="R86" s="303"/>
      <c r="S86" s="303"/>
      <c r="T86" s="303"/>
      <c r="U86" s="303"/>
      <c r="V86" s="303"/>
      <c r="W86" s="303"/>
    </row>
    <row r="87" spans="1:23" ht="15.75" hidden="1">
      <c r="A87" s="1995"/>
      <c r="B87" s="1995"/>
      <c r="C87" s="335">
        <f>1+C86</f>
        <v>602</v>
      </c>
      <c r="D87" s="1995"/>
      <c r="E87" s="303"/>
      <c r="F87" s="303"/>
      <c r="G87" s="303"/>
      <c r="H87" s="303"/>
      <c r="I87" s="303"/>
      <c r="J87" s="303"/>
      <c r="K87" s="303"/>
      <c r="L87" s="303"/>
      <c r="M87" s="303"/>
      <c r="N87" s="303"/>
      <c r="O87" s="303"/>
      <c r="P87" s="303"/>
      <c r="Q87" s="303"/>
      <c r="R87" s="303"/>
      <c r="S87" s="303"/>
      <c r="T87" s="303"/>
      <c r="U87" s="303"/>
      <c r="V87" s="303"/>
      <c r="W87" s="303"/>
    </row>
    <row r="88" spans="1:23" ht="15.75" hidden="1">
      <c r="A88" s="1995"/>
      <c r="B88" s="1995"/>
      <c r="C88" s="335">
        <f t="shared" ref="C88:C93" si="2">1+C87</f>
        <v>603</v>
      </c>
      <c r="D88" s="1995"/>
      <c r="E88" s="303"/>
      <c r="F88" s="303"/>
      <c r="G88" s="303"/>
      <c r="H88" s="303"/>
      <c r="I88" s="303"/>
      <c r="J88" s="303"/>
      <c r="K88" s="303"/>
      <c r="L88" s="303"/>
      <c r="M88" s="303"/>
      <c r="N88" s="303"/>
      <c r="O88" s="303"/>
      <c r="P88" s="303"/>
      <c r="Q88" s="303"/>
      <c r="R88" s="303"/>
      <c r="S88" s="303"/>
      <c r="T88" s="303"/>
      <c r="U88" s="303"/>
      <c r="V88" s="303"/>
      <c r="W88" s="303"/>
    </row>
    <row r="89" spans="1:23" ht="15.75" hidden="1">
      <c r="A89" s="1995"/>
      <c r="B89" s="1995"/>
      <c r="C89" s="335">
        <f t="shared" si="2"/>
        <v>604</v>
      </c>
      <c r="D89" s="1995"/>
      <c r="E89" s="303"/>
      <c r="F89" s="303"/>
      <c r="G89" s="303"/>
      <c r="H89" s="303"/>
      <c r="I89" s="303"/>
      <c r="J89" s="303"/>
      <c r="K89" s="303"/>
      <c r="L89" s="303"/>
      <c r="M89" s="303"/>
      <c r="N89" s="303"/>
      <c r="O89" s="303"/>
      <c r="P89" s="303"/>
      <c r="Q89" s="303"/>
      <c r="R89" s="303"/>
      <c r="S89" s="303"/>
      <c r="T89" s="303"/>
      <c r="U89" s="303"/>
      <c r="V89" s="303"/>
      <c r="W89" s="303"/>
    </row>
    <row r="90" spans="1:23" ht="15.75" hidden="1">
      <c r="A90" s="1995"/>
      <c r="B90" s="1995"/>
      <c r="C90" s="335">
        <f t="shared" si="2"/>
        <v>605</v>
      </c>
      <c r="D90" s="1995"/>
      <c r="E90" s="303"/>
      <c r="F90" s="303"/>
      <c r="G90" s="303"/>
      <c r="H90" s="303"/>
      <c r="I90" s="303"/>
      <c r="J90" s="303"/>
      <c r="K90" s="303"/>
      <c r="L90" s="303"/>
      <c r="M90" s="303"/>
      <c r="N90" s="303"/>
      <c r="O90" s="303"/>
      <c r="P90" s="303"/>
      <c r="Q90" s="303"/>
      <c r="R90" s="303"/>
      <c r="S90" s="303"/>
      <c r="T90" s="303"/>
      <c r="U90" s="303"/>
      <c r="V90" s="303"/>
      <c r="W90" s="303"/>
    </row>
    <row r="91" spans="1:23" ht="15.75" hidden="1">
      <c r="A91" s="1995"/>
      <c r="B91" s="1995"/>
      <c r="C91" s="335">
        <f t="shared" si="2"/>
        <v>606</v>
      </c>
      <c r="D91" s="1995"/>
      <c r="E91" s="303"/>
      <c r="F91" s="303"/>
      <c r="G91" s="303"/>
      <c r="H91" s="303"/>
      <c r="I91" s="303"/>
      <c r="J91" s="303"/>
      <c r="K91" s="303"/>
      <c r="L91" s="303"/>
      <c r="M91" s="303"/>
      <c r="N91" s="303"/>
      <c r="O91" s="303"/>
      <c r="P91" s="303"/>
      <c r="Q91" s="303"/>
      <c r="R91" s="303"/>
      <c r="S91" s="303"/>
      <c r="T91" s="303"/>
      <c r="U91" s="303"/>
      <c r="V91" s="303"/>
      <c r="W91" s="303"/>
    </row>
    <row r="92" spans="1:23" ht="15.75" hidden="1">
      <c r="A92" s="1995"/>
      <c r="B92" s="1995"/>
      <c r="C92" s="335">
        <f t="shared" si="2"/>
        <v>607</v>
      </c>
      <c r="D92" s="1995"/>
      <c r="E92" s="303"/>
      <c r="F92" s="303"/>
      <c r="G92" s="303"/>
      <c r="H92" s="303"/>
      <c r="I92" s="303"/>
      <c r="J92" s="303"/>
      <c r="K92" s="303"/>
      <c r="L92" s="303"/>
      <c r="M92" s="303"/>
      <c r="N92" s="303"/>
      <c r="O92" s="303"/>
      <c r="P92" s="303"/>
      <c r="Q92" s="303"/>
      <c r="R92" s="303"/>
      <c r="S92" s="303"/>
      <c r="T92" s="303"/>
      <c r="U92" s="303"/>
      <c r="V92" s="303"/>
      <c r="W92" s="303"/>
    </row>
    <row r="93" spans="1:23" ht="15.75" hidden="1">
      <c r="A93" s="1995"/>
      <c r="B93" s="1995"/>
      <c r="C93" s="335">
        <f t="shared" si="2"/>
        <v>608</v>
      </c>
      <c r="D93" s="1995"/>
      <c r="E93" s="303"/>
      <c r="F93" s="303"/>
      <c r="G93" s="303"/>
      <c r="H93" s="303"/>
      <c r="I93" s="303"/>
      <c r="J93" s="303"/>
      <c r="K93" s="303"/>
      <c r="L93" s="303"/>
      <c r="M93" s="303"/>
      <c r="N93" s="303"/>
      <c r="O93" s="303"/>
      <c r="P93" s="303"/>
      <c r="Q93" s="303"/>
      <c r="R93" s="303"/>
      <c r="S93" s="303"/>
      <c r="T93" s="303"/>
      <c r="U93" s="303"/>
      <c r="V93" s="303"/>
      <c r="W93" s="303"/>
    </row>
    <row r="94" spans="1:23" ht="15.75" hidden="1">
      <c r="A94" s="1995"/>
      <c r="B94" s="1995"/>
      <c r="C94" s="335">
        <f>1+C93</f>
        <v>609</v>
      </c>
      <c r="D94" s="1995"/>
      <c r="E94" s="303"/>
      <c r="F94" s="303"/>
      <c r="G94" s="303"/>
      <c r="H94" s="303"/>
      <c r="I94" s="303"/>
      <c r="J94" s="303"/>
      <c r="K94" s="303"/>
      <c r="L94" s="303"/>
      <c r="M94" s="303"/>
      <c r="N94" s="303"/>
      <c r="O94" s="303"/>
      <c r="P94" s="303"/>
      <c r="Q94" s="303"/>
      <c r="R94" s="303"/>
      <c r="S94" s="303"/>
      <c r="T94" s="303"/>
      <c r="U94" s="303"/>
      <c r="V94" s="303"/>
      <c r="W94" s="303"/>
    </row>
    <row r="95" spans="1:23" ht="15.75" hidden="1">
      <c r="A95" s="1995"/>
      <c r="B95" s="1995"/>
      <c r="C95" s="335">
        <v>611</v>
      </c>
      <c r="D95" s="1995"/>
      <c r="E95" s="303"/>
      <c r="F95" s="303"/>
      <c r="G95" s="303"/>
      <c r="H95" s="303"/>
      <c r="I95" s="303"/>
      <c r="J95" s="303"/>
      <c r="K95" s="303"/>
      <c r="L95" s="303"/>
      <c r="M95" s="303"/>
      <c r="N95" s="303"/>
      <c r="O95" s="303"/>
      <c r="P95" s="303"/>
      <c r="Q95" s="303"/>
      <c r="R95" s="303"/>
      <c r="S95" s="303"/>
      <c r="T95" s="303"/>
      <c r="U95" s="303"/>
      <c r="V95" s="303"/>
      <c r="W95" s="303"/>
    </row>
    <row r="96" spans="1:23" ht="15.75" hidden="1">
      <c r="A96" s="1995"/>
      <c r="B96" s="1995"/>
      <c r="C96" s="335">
        <v>621</v>
      </c>
      <c r="D96" s="1995"/>
      <c r="E96" s="303"/>
      <c r="F96" s="303"/>
      <c r="G96" s="303"/>
      <c r="H96" s="303"/>
      <c r="I96" s="303"/>
      <c r="J96" s="303"/>
      <c r="K96" s="303"/>
      <c r="L96" s="303"/>
      <c r="M96" s="303"/>
      <c r="N96" s="303"/>
      <c r="O96" s="303"/>
      <c r="P96" s="303"/>
      <c r="Q96" s="303"/>
      <c r="R96" s="303"/>
      <c r="S96" s="303"/>
      <c r="T96" s="303"/>
      <c r="U96" s="303"/>
      <c r="V96" s="303"/>
      <c r="W96" s="303"/>
    </row>
    <row r="97" spans="1:23" ht="15.75" hidden="1">
      <c r="A97" s="1995"/>
      <c r="B97" s="1995"/>
      <c r="C97" s="335">
        <f>1+C96</f>
        <v>622</v>
      </c>
      <c r="D97" s="1995"/>
      <c r="E97" s="303"/>
      <c r="F97" s="303"/>
      <c r="G97" s="303"/>
      <c r="H97" s="303"/>
      <c r="I97" s="303"/>
      <c r="J97" s="303"/>
      <c r="K97" s="303"/>
      <c r="L97" s="303"/>
      <c r="M97" s="303"/>
      <c r="N97" s="303"/>
      <c r="O97" s="303"/>
      <c r="P97" s="303"/>
      <c r="Q97" s="303"/>
      <c r="R97" s="303"/>
      <c r="S97" s="303"/>
      <c r="T97" s="303"/>
      <c r="U97" s="303"/>
      <c r="V97" s="303"/>
      <c r="W97" s="303"/>
    </row>
    <row r="98" spans="1:23" ht="15.75" hidden="1">
      <c r="A98" s="1995"/>
      <c r="B98" s="1995"/>
      <c r="C98" s="335">
        <f>1+C97</f>
        <v>623</v>
      </c>
      <c r="D98" s="1995"/>
      <c r="E98" s="303"/>
      <c r="F98" s="303"/>
      <c r="G98" s="303"/>
      <c r="H98" s="303"/>
      <c r="I98" s="303"/>
      <c r="J98" s="303"/>
      <c r="K98" s="303"/>
      <c r="L98" s="303"/>
      <c r="M98" s="303"/>
      <c r="N98" s="303"/>
      <c r="O98" s="303"/>
      <c r="P98" s="303"/>
      <c r="Q98" s="303"/>
      <c r="R98" s="303"/>
      <c r="S98" s="303"/>
      <c r="T98" s="303"/>
      <c r="U98" s="303"/>
      <c r="V98" s="303"/>
      <c r="W98" s="303"/>
    </row>
    <row r="99" spans="1:23" ht="15.75" hidden="1">
      <c r="A99" s="1995"/>
      <c r="B99" s="1995"/>
      <c r="C99" s="335">
        <v>631</v>
      </c>
      <c r="D99" s="1995"/>
      <c r="E99" s="303"/>
      <c r="F99" s="303"/>
      <c r="G99" s="303"/>
      <c r="H99" s="303"/>
      <c r="I99" s="303"/>
      <c r="J99" s="303"/>
      <c r="K99" s="303"/>
      <c r="L99" s="303"/>
      <c r="M99" s="303"/>
      <c r="N99" s="303"/>
      <c r="O99" s="303"/>
      <c r="P99" s="303"/>
      <c r="Q99" s="303"/>
      <c r="R99" s="303"/>
      <c r="S99" s="303"/>
      <c r="T99" s="303"/>
      <c r="U99" s="303"/>
      <c r="V99" s="303"/>
      <c r="W99" s="303"/>
    </row>
    <row r="100" spans="1:23" ht="15.75" hidden="1">
      <c r="A100" s="1995"/>
      <c r="B100" s="1995"/>
      <c r="C100" s="335">
        <v>632</v>
      </c>
      <c r="D100" s="1995"/>
      <c r="E100" s="303"/>
      <c r="F100" s="303"/>
      <c r="G100" s="303"/>
      <c r="H100" s="303"/>
      <c r="I100" s="303"/>
      <c r="J100" s="303"/>
      <c r="K100" s="303"/>
      <c r="L100" s="303"/>
      <c r="M100" s="303"/>
      <c r="N100" s="303"/>
      <c r="O100" s="303"/>
      <c r="P100" s="303"/>
      <c r="Q100" s="303"/>
      <c r="R100" s="303"/>
      <c r="S100" s="303"/>
      <c r="T100" s="303"/>
      <c r="U100" s="303"/>
      <c r="V100" s="303"/>
      <c r="W100" s="303"/>
    </row>
    <row r="101" spans="1:23" ht="15.75" hidden="1">
      <c r="A101" s="1995"/>
      <c r="B101" s="1995"/>
      <c r="C101" s="335">
        <v>641</v>
      </c>
      <c r="D101" s="1995"/>
      <c r="E101" s="303"/>
      <c r="F101" s="303"/>
      <c r="G101" s="303"/>
      <c r="H101" s="303"/>
      <c r="I101" s="303"/>
      <c r="J101" s="303"/>
      <c r="K101" s="303"/>
      <c r="L101" s="303"/>
      <c r="M101" s="303"/>
      <c r="N101" s="303"/>
      <c r="O101" s="303"/>
      <c r="P101" s="303"/>
      <c r="Q101" s="303"/>
      <c r="R101" s="303"/>
      <c r="S101" s="303"/>
      <c r="T101" s="303"/>
      <c r="U101" s="303"/>
      <c r="V101" s="303"/>
      <c r="W101" s="303"/>
    </row>
    <row r="102" spans="1:23" ht="15.75" hidden="1">
      <c r="A102" s="1995"/>
      <c r="B102" s="1995"/>
      <c r="C102" s="335">
        <f>1+C101</f>
        <v>642</v>
      </c>
      <c r="D102" s="1995"/>
      <c r="E102" s="303"/>
      <c r="F102" s="303"/>
      <c r="G102" s="303"/>
      <c r="H102" s="303"/>
      <c r="I102" s="303"/>
      <c r="J102" s="303"/>
      <c r="K102" s="303"/>
      <c r="L102" s="303"/>
      <c r="M102" s="303"/>
      <c r="N102" s="303"/>
      <c r="O102" s="303"/>
      <c r="P102" s="303"/>
      <c r="Q102" s="303"/>
      <c r="R102" s="303"/>
      <c r="S102" s="303"/>
      <c r="T102" s="303"/>
      <c r="U102" s="303"/>
      <c r="V102" s="303"/>
      <c r="W102" s="303"/>
    </row>
    <row r="103" spans="1:23" ht="15.75" hidden="1">
      <c r="A103" s="1995"/>
      <c r="B103" s="1995"/>
      <c r="C103" s="335">
        <v>651</v>
      </c>
      <c r="D103" s="1995"/>
      <c r="E103" s="303"/>
      <c r="F103" s="303"/>
      <c r="G103" s="303"/>
      <c r="H103" s="303"/>
      <c r="I103" s="303"/>
      <c r="J103" s="303"/>
      <c r="K103" s="303"/>
      <c r="L103" s="303"/>
      <c r="M103" s="303"/>
      <c r="N103" s="303"/>
      <c r="O103" s="303"/>
      <c r="P103" s="303"/>
      <c r="Q103" s="303"/>
      <c r="R103" s="303"/>
      <c r="S103" s="303"/>
      <c r="T103" s="303"/>
      <c r="U103" s="303"/>
      <c r="V103" s="303"/>
      <c r="W103" s="303"/>
    </row>
    <row r="104" spans="1:23" ht="15.75" hidden="1">
      <c r="A104" s="1995"/>
      <c r="B104" s="1995"/>
      <c r="C104" s="337">
        <f>1+C103</f>
        <v>652</v>
      </c>
      <c r="D104" s="1995"/>
      <c r="E104" s="303"/>
      <c r="F104" s="303"/>
      <c r="G104" s="303"/>
      <c r="H104" s="303"/>
      <c r="I104" s="303"/>
      <c r="J104" s="303"/>
      <c r="K104" s="303"/>
      <c r="L104" s="303"/>
      <c r="M104" s="303"/>
      <c r="N104" s="303"/>
      <c r="O104" s="303"/>
      <c r="P104" s="303"/>
      <c r="Q104" s="303"/>
      <c r="R104" s="303"/>
      <c r="S104" s="303"/>
      <c r="T104" s="303"/>
      <c r="U104" s="303"/>
      <c r="V104" s="303"/>
      <c r="W104" s="303"/>
    </row>
    <row r="105" spans="1:23" ht="15.75" hidden="1">
      <c r="A105" s="1995"/>
      <c r="B105" s="1995"/>
      <c r="C105" s="692">
        <v>660</v>
      </c>
      <c r="D105" s="1995"/>
      <c r="E105" s="303"/>
      <c r="F105" s="303"/>
      <c r="G105" s="303"/>
      <c r="H105" s="303"/>
      <c r="I105" s="303"/>
      <c r="J105" s="303"/>
      <c r="K105" s="303"/>
      <c r="L105" s="303"/>
      <c r="M105" s="303"/>
      <c r="N105" s="303"/>
      <c r="O105" s="303"/>
      <c r="P105" s="303"/>
      <c r="Q105" s="303"/>
      <c r="R105" s="303"/>
      <c r="S105" s="303"/>
      <c r="T105" s="303"/>
      <c r="U105" s="303"/>
      <c r="V105" s="303"/>
      <c r="W105" s="303"/>
    </row>
    <row r="106" spans="1:23" ht="15.75" hidden="1">
      <c r="A106" s="1995"/>
      <c r="B106" s="1995"/>
      <c r="C106" s="692">
        <v>670</v>
      </c>
      <c r="D106" s="1995"/>
      <c r="E106" s="303"/>
      <c r="F106" s="303"/>
      <c r="G106" s="303"/>
      <c r="H106" s="303"/>
      <c r="I106" s="303"/>
      <c r="J106" s="303"/>
      <c r="K106" s="303"/>
      <c r="L106" s="303"/>
      <c r="M106" s="303"/>
      <c r="N106" s="303"/>
      <c r="O106" s="303"/>
      <c r="P106" s="303"/>
      <c r="Q106" s="303"/>
      <c r="R106" s="303"/>
      <c r="S106" s="303"/>
      <c r="T106" s="303"/>
      <c r="U106" s="303"/>
      <c r="V106" s="303"/>
      <c r="W106" s="303"/>
    </row>
    <row r="107" spans="1:23" ht="15.75" hidden="1">
      <c r="A107" s="1995"/>
      <c r="B107" s="1995"/>
      <c r="C107" s="2045">
        <v>681</v>
      </c>
      <c r="D107" s="1995"/>
      <c r="E107" s="303"/>
      <c r="F107" s="303"/>
      <c r="G107" s="303"/>
      <c r="H107" s="303"/>
      <c r="I107" s="303"/>
      <c r="J107" s="303"/>
      <c r="K107" s="303"/>
      <c r="L107" s="303"/>
      <c r="M107" s="303"/>
      <c r="N107" s="303"/>
      <c r="O107" s="303"/>
      <c r="P107" s="303"/>
      <c r="Q107" s="303"/>
      <c r="R107" s="303"/>
      <c r="S107" s="303"/>
      <c r="T107" s="303"/>
      <c r="U107" s="303"/>
      <c r="V107" s="303"/>
      <c r="W107" s="303"/>
    </row>
    <row r="108" spans="1:23" ht="15.75" hidden="1">
      <c r="A108" s="1995"/>
      <c r="B108" s="1995"/>
      <c r="C108" s="335">
        <v>682</v>
      </c>
      <c r="D108" s="1995"/>
      <c r="E108" s="303"/>
      <c r="F108" s="303"/>
      <c r="G108" s="303"/>
      <c r="H108" s="303"/>
      <c r="I108" s="303"/>
      <c r="J108" s="303"/>
      <c r="K108" s="303"/>
      <c r="L108" s="303"/>
      <c r="M108" s="303"/>
      <c r="N108" s="303"/>
      <c r="O108" s="303"/>
      <c r="P108" s="303"/>
      <c r="Q108" s="303"/>
      <c r="R108" s="303"/>
      <c r="S108" s="303"/>
      <c r="T108" s="303"/>
      <c r="U108" s="303"/>
      <c r="V108" s="303"/>
      <c r="W108" s="303"/>
    </row>
    <row r="109" spans="1:23" ht="15.75" hidden="1">
      <c r="A109" s="1995"/>
      <c r="B109" s="1995"/>
      <c r="C109" s="335">
        <v>761</v>
      </c>
      <c r="D109" s="1995"/>
      <c r="E109" s="303"/>
      <c r="F109" s="303"/>
      <c r="G109" s="303"/>
      <c r="H109" s="303"/>
      <c r="I109" s="303"/>
      <c r="J109" s="303"/>
      <c r="K109" s="303"/>
      <c r="L109" s="303"/>
      <c r="M109" s="303"/>
      <c r="N109" s="303"/>
      <c r="O109" s="303"/>
      <c r="P109" s="303"/>
      <c r="Q109" s="303"/>
      <c r="R109" s="303"/>
      <c r="S109" s="303"/>
      <c r="T109" s="303"/>
      <c r="U109" s="303"/>
      <c r="V109" s="303"/>
      <c r="W109" s="303"/>
    </row>
    <row r="110" spans="1:23" ht="15.75" hidden="1">
      <c r="A110" s="1995"/>
      <c r="B110" s="1995"/>
      <c r="C110" s="335">
        <f>1+C109</f>
        <v>762</v>
      </c>
      <c r="D110" s="1995"/>
      <c r="E110" s="303"/>
      <c r="F110" s="303"/>
      <c r="G110" s="303"/>
      <c r="H110" s="303"/>
      <c r="I110" s="303"/>
      <c r="J110" s="303"/>
      <c r="K110" s="303"/>
      <c r="L110" s="303"/>
      <c r="M110" s="303"/>
      <c r="N110" s="303"/>
      <c r="O110" s="303"/>
      <c r="P110" s="303"/>
      <c r="Q110" s="303"/>
      <c r="R110" s="303"/>
      <c r="S110" s="303"/>
      <c r="T110" s="303"/>
      <c r="U110" s="303"/>
      <c r="V110" s="303"/>
      <c r="W110" s="303"/>
    </row>
    <row r="111" spans="1:23" ht="15.75" hidden="1">
      <c r="A111" s="1995"/>
      <c r="B111" s="1995"/>
      <c r="C111" s="335">
        <v>771</v>
      </c>
      <c r="D111" s="1995"/>
      <c r="E111" s="303"/>
      <c r="F111" s="303"/>
      <c r="G111" s="303"/>
      <c r="H111" s="303"/>
      <c r="I111" s="303"/>
      <c r="J111" s="303"/>
      <c r="K111" s="303"/>
      <c r="L111" s="303"/>
      <c r="M111" s="303"/>
      <c r="N111" s="303"/>
      <c r="O111" s="303"/>
      <c r="P111" s="303"/>
      <c r="Q111" s="303"/>
      <c r="R111" s="303"/>
      <c r="S111" s="303"/>
      <c r="T111" s="303"/>
      <c r="U111" s="303"/>
      <c r="V111" s="303"/>
      <c r="W111" s="303"/>
    </row>
    <row r="112" spans="1:23" ht="15.75" hidden="1">
      <c r="A112" s="1995"/>
      <c r="B112" s="1995"/>
      <c r="C112" s="335">
        <f>1+C111</f>
        <v>772</v>
      </c>
      <c r="D112" s="1995"/>
      <c r="E112" s="303"/>
      <c r="F112" s="303"/>
      <c r="G112" s="303"/>
      <c r="H112" s="303"/>
      <c r="I112" s="303"/>
      <c r="J112" s="303"/>
      <c r="K112" s="303"/>
      <c r="L112" s="303"/>
      <c r="M112" s="303"/>
      <c r="N112" s="303"/>
      <c r="O112" s="303"/>
      <c r="P112" s="303"/>
      <c r="Q112" s="303"/>
      <c r="R112" s="303"/>
      <c r="S112" s="303"/>
      <c r="T112" s="303"/>
      <c r="U112" s="303"/>
      <c r="V112" s="303"/>
      <c r="W112" s="303"/>
    </row>
    <row r="113" spans="1:23" ht="15.75" hidden="1">
      <c r="A113" s="1995"/>
      <c r="B113" s="1995"/>
      <c r="C113" s="335">
        <v>781</v>
      </c>
      <c r="D113" s="1995"/>
      <c r="E113" s="303"/>
      <c r="F113" s="303"/>
      <c r="G113" s="303"/>
      <c r="H113" s="303"/>
      <c r="I113" s="303"/>
      <c r="J113" s="303"/>
      <c r="K113" s="303"/>
      <c r="L113" s="303"/>
      <c r="M113" s="303"/>
      <c r="N113" s="303"/>
      <c r="O113" s="303"/>
      <c r="P113" s="303"/>
      <c r="Q113" s="303"/>
      <c r="R113" s="303"/>
      <c r="S113" s="303"/>
      <c r="T113" s="303"/>
      <c r="U113" s="303"/>
      <c r="V113" s="303"/>
      <c r="W113" s="303"/>
    </row>
    <row r="114" spans="1:23" ht="15.75" hidden="1">
      <c r="A114" s="1995"/>
      <c r="B114" s="1995"/>
      <c r="C114" s="335">
        <f>1+C113</f>
        <v>782</v>
      </c>
      <c r="D114" s="1995"/>
      <c r="E114" s="303"/>
      <c r="F114" s="303"/>
      <c r="G114" s="303"/>
      <c r="H114" s="303"/>
      <c r="I114" s="303"/>
      <c r="J114" s="303"/>
      <c r="K114" s="303"/>
      <c r="L114" s="303"/>
      <c r="M114" s="303"/>
      <c r="N114" s="303"/>
      <c r="O114" s="303"/>
      <c r="P114" s="303"/>
      <c r="Q114" s="303"/>
      <c r="R114" s="303"/>
      <c r="S114" s="303"/>
      <c r="T114" s="303"/>
      <c r="U114" s="303"/>
      <c r="V114" s="303"/>
      <c r="W114" s="303"/>
    </row>
    <row r="115" spans="1:23" ht="15.75" hidden="1">
      <c r="A115" s="1995"/>
      <c r="B115" s="1995"/>
      <c r="C115" s="335">
        <f>1+C114</f>
        <v>783</v>
      </c>
      <c r="D115" s="1995"/>
      <c r="E115" s="303"/>
      <c r="F115" s="303"/>
      <c r="G115" s="303"/>
      <c r="H115" s="303"/>
      <c r="I115" s="303"/>
      <c r="J115" s="303"/>
      <c r="K115" s="303"/>
      <c r="L115" s="303"/>
      <c r="M115" s="303"/>
      <c r="N115" s="303"/>
      <c r="O115" s="303"/>
      <c r="P115" s="303"/>
      <c r="Q115" s="303"/>
      <c r="R115" s="303"/>
      <c r="S115" s="303"/>
      <c r="T115" s="303"/>
      <c r="U115" s="303"/>
      <c r="V115" s="303"/>
      <c r="W115" s="303"/>
    </row>
    <row r="116" spans="1:23" ht="15.75" hidden="1">
      <c r="A116" s="1995"/>
      <c r="B116" s="1995"/>
      <c r="C116" s="335">
        <v>791</v>
      </c>
      <c r="D116" s="1995"/>
      <c r="E116" s="303"/>
      <c r="F116" s="303"/>
      <c r="G116" s="303"/>
      <c r="H116" s="303"/>
      <c r="I116" s="303"/>
      <c r="J116" s="303"/>
      <c r="K116" s="303"/>
      <c r="L116" s="303"/>
      <c r="M116" s="303"/>
      <c r="N116" s="303"/>
      <c r="O116" s="303"/>
      <c r="P116" s="303"/>
      <c r="Q116" s="303"/>
      <c r="R116" s="303"/>
      <c r="S116" s="303"/>
      <c r="T116" s="303"/>
      <c r="U116" s="303"/>
      <c r="V116" s="303"/>
      <c r="W116" s="303"/>
    </row>
    <row r="117" spans="1:23" ht="15.75" hidden="1">
      <c r="A117" s="1995"/>
      <c r="B117" s="1995"/>
      <c r="C117" s="335">
        <f>1+C116</f>
        <v>792</v>
      </c>
      <c r="D117" s="1995"/>
      <c r="E117" s="303"/>
      <c r="F117" s="303"/>
      <c r="G117" s="303"/>
      <c r="H117" s="303"/>
      <c r="I117" s="303"/>
      <c r="J117" s="303"/>
      <c r="K117" s="303"/>
      <c r="L117" s="303"/>
      <c r="M117" s="303"/>
      <c r="N117" s="303"/>
      <c r="O117" s="303"/>
      <c r="P117" s="303"/>
      <c r="Q117" s="303"/>
      <c r="R117" s="303"/>
      <c r="S117" s="303"/>
      <c r="T117" s="303"/>
      <c r="U117" s="303"/>
      <c r="V117" s="303"/>
      <c r="W117" s="303"/>
    </row>
    <row r="118" spans="1:23" ht="15.75" hidden="1">
      <c r="A118" s="1995"/>
      <c r="B118" s="1995"/>
      <c r="C118" s="335">
        <f>1+C117</f>
        <v>793</v>
      </c>
      <c r="D118" s="1995"/>
      <c r="E118" s="303"/>
      <c r="F118" s="303"/>
      <c r="G118" s="303"/>
      <c r="H118" s="303"/>
      <c r="I118" s="303"/>
      <c r="J118" s="303"/>
      <c r="K118" s="303"/>
      <c r="L118" s="303"/>
      <c r="M118" s="303"/>
      <c r="N118" s="303"/>
      <c r="O118" s="303"/>
      <c r="P118" s="303"/>
      <c r="Q118" s="303"/>
      <c r="R118" s="303"/>
      <c r="S118" s="303"/>
      <c r="T118" s="303"/>
      <c r="U118" s="303"/>
      <c r="V118" s="303"/>
      <c r="W118" s="303"/>
    </row>
    <row r="119" spans="1:23" ht="15.75" hidden="1">
      <c r="A119" s="1995"/>
      <c r="B119" s="1995"/>
      <c r="C119" s="335">
        <f>1+C118</f>
        <v>794</v>
      </c>
      <c r="D119" s="1995"/>
      <c r="E119" s="303"/>
      <c r="F119" s="303"/>
      <c r="G119" s="303"/>
      <c r="H119" s="303"/>
      <c r="I119" s="303"/>
      <c r="J119" s="303"/>
      <c r="K119" s="303"/>
      <c r="L119" s="303"/>
      <c r="M119" s="303"/>
      <c r="N119" s="303"/>
      <c r="O119" s="303"/>
      <c r="P119" s="303"/>
      <c r="Q119" s="303"/>
      <c r="R119" s="303"/>
      <c r="S119" s="303"/>
      <c r="T119" s="303"/>
      <c r="U119" s="303"/>
      <c r="V119" s="303"/>
      <c r="W119" s="303"/>
    </row>
    <row r="120" spans="1:23" ht="15.75" hidden="1">
      <c r="A120" s="1995"/>
      <c r="B120" s="1995"/>
      <c r="C120" s="335">
        <f>1+C119</f>
        <v>795</v>
      </c>
      <c r="D120" s="1995"/>
      <c r="E120" s="303"/>
      <c r="F120" s="303"/>
      <c r="G120" s="303"/>
      <c r="H120" s="303"/>
      <c r="I120" s="303"/>
      <c r="J120" s="303"/>
      <c r="K120" s="303"/>
      <c r="L120" s="303"/>
      <c r="M120" s="303"/>
      <c r="N120" s="303"/>
      <c r="O120" s="303"/>
      <c r="P120" s="303"/>
      <c r="Q120" s="303"/>
      <c r="R120" s="303"/>
      <c r="S120" s="303"/>
      <c r="T120" s="303"/>
      <c r="U120" s="303"/>
      <c r="V120" s="303"/>
      <c r="W120" s="303"/>
    </row>
    <row r="121" spans="1:23" ht="15.75" hidden="1">
      <c r="A121" s="1995"/>
      <c r="B121" s="1995"/>
      <c r="C121" s="335">
        <v>691</v>
      </c>
      <c r="D121" s="1995"/>
      <c r="E121" s="303"/>
      <c r="F121" s="303"/>
      <c r="G121" s="303"/>
      <c r="H121" s="303"/>
      <c r="I121" s="303"/>
      <c r="J121" s="303"/>
      <c r="K121" s="303"/>
      <c r="L121" s="303"/>
      <c r="M121" s="303"/>
      <c r="N121" s="303"/>
      <c r="O121" s="303"/>
      <c r="P121" s="303"/>
      <c r="Q121" s="303"/>
      <c r="R121" s="303"/>
      <c r="S121" s="303"/>
      <c r="T121" s="303"/>
      <c r="U121" s="303"/>
      <c r="V121" s="303"/>
      <c r="W121" s="303"/>
    </row>
    <row r="122" spans="1:23" ht="15.75" hidden="1">
      <c r="A122" s="1995"/>
      <c r="B122" s="1995"/>
      <c r="C122" s="335">
        <f>1+C121</f>
        <v>692</v>
      </c>
      <c r="D122" s="1995"/>
      <c r="E122" s="303"/>
      <c r="F122" s="303"/>
      <c r="G122" s="303"/>
      <c r="H122" s="303"/>
      <c r="I122" s="303"/>
      <c r="J122" s="303"/>
      <c r="K122" s="303"/>
      <c r="L122" s="303"/>
      <c r="M122" s="303"/>
      <c r="N122" s="303"/>
      <c r="O122" s="303"/>
      <c r="P122" s="303"/>
      <c r="Q122" s="303"/>
      <c r="R122" s="303"/>
      <c r="S122" s="303"/>
      <c r="T122" s="303"/>
      <c r="U122" s="303"/>
      <c r="V122" s="303"/>
      <c r="W122" s="303"/>
    </row>
    <row r="123" spans="1:23" ht="15.75" hidden="1">
      <c r="A123" s="1995"/>
      <c r="B123" s="1995"/>
      <c r="C123" s="335">
        <f>1+C122</f>
        <v>693</v>
      </c>
      <c r="D123" s="1995"/>
      <c r="E123" s="303"/>
      <c r="F123" s="303"/>
      <c r="G123" s="303"/>
      <c r="H123" s="303"/>
      <c r="I123" s="303"/>
      <c r="J123" s="303"/>
      <c r="K123" s="303"/>
      <c r="L123" s="303"/>
      <c r="M123" s="303"/>
      <c r="N123" s="303"/>
      <c r="O123" s="303"/>
      <c r="P123" s="303"/>
      <c r="Q123" s="303"/>
      <c r="R123" s="303"/>
      <c r="S123" s="303"/>
      <c r="T123" s="303"/>
      <c r="U123" s="303"/>
      <c r="V123" s="303"/>
      <c r="W123" s="303"/>
    </row>
    <row r="124" spans="1:23" ht="15.75" hidden="1">
      <c r="A124" s="1995"/>
      <c r="B124" s="1995"/>
      <c r="C124" s="335">
        <f>1+C123</f>
        <v>694</v>
      </c>
      <c r="D124" s="1995"/>
      <c r="E124" s="303"/>
      <c r="F124" s="303"/>
      <c r="G124" s="303"/>
      <c r="H124" s="303"/>
      <c r="I124" s="303"/>
      <c r="J124" s="303"/>
      <c r="K124" s="303"/>
      <c r="L124" s="303"/>
      <c r="M124" s="303"/>
      <c r="N124" s="303"/>
      <c r="O124" s="303"/>
      <c r="P124" s="303"/>
      <c r="Q124" s="303"/>
      <c r="R124" s="303"/>
      <c r="S124" s="303"/>
      <c r="T124" s="303"/>
      <c r="U124" s="303"/>
      <c r="V124" s="303"/>
      <c r="W124" s="303"/>
    </row>
    <row r="125" spans="1:23" ht="16.5" hidden="1" thickBot="1">
      <c r="A125" s="1995"/>
      <c r="B125" s="1995"/>
      <c r="C125" s="2044">
        <f>1+C124</f>
        <v>695</v>
      </c>
      <c r="D125" s="1995"/>
      <c r="E125" s="303"/>
      <c r="F125" s="303"/>
      <c r="G125" s="303"/>
      <c r="H125" s="303"/>
      <c r="I125" s="303"/>
      <c r="J125" s="303"/>
      <c r="K125" s="303"/>
      <c r="L125" s="303"/>
      <c r="M125" s="303"/>
      <c r="N125" s="303"/>
      <c r="O125" s="303"/>
      <c r="P125" s="303"/>
      <c r="Q125" s="303"/>
      <c r="R125" s="303"/>
      <c r="S125" s="303"/>
      <c r="T125" s="303"/>
      <c r="U125" s="303"/>
      <c r="V125" s="303"/>
      <c r="W125" s="303"/>
    </row>
    <row r="126" spans="1:23" hidden="1">
      <c r="A126" s="1995"/>
      <c r="B126" s="1995"/>
      <c r="C126" s="1995"/>
      <c r="D126" s="1995"/>
      <c r="E126" s="303"/>
      <c r="F126" s="303"/>
      <c r="G126" s="1995"/>
      <c r="H126" s="303"/>
      <c r="I126" s="303"/>
      <c r="J126" s="303"/>
      <c r="K126" s="1995"/>
      <c r="L126" s="303"/>
      <c r="M126" s="303"/>
      <c r="N126" s="303"/>
      <c r="O126" s="1995"/>
      <c r="P126" s="303"/>
      <c r="Q126" s="303"/>
      <c r="R126" s="303"/>
      <c r="S126" s="303"/>
      <c r="T126" s="303"/>
      <c r="U126" s="303"/>
      <c r="V126" s="303"/>
      <c r="W126" s="303"/>
    </row>
    <row r="127" spans="1:23" ht="16.5" thickBot="1">
      <c r="A127" s="1995"/>
      <c r="B127" s="198"/>
      <c r="C127" s="2042">
        <f>+IF(AND(D$127=0,E$127=0),0,"ОПР")</f>
        <v>0</v>
      </c>
      <c r="D127" s="2031">
        <f>+IF(AND(D$128=0,D$130=0),0,"Текуща година")</f>
        <v>0</v>
      </c>
      <c r="E127" s="2032">
        <f>+IF(AND(E$128=0,E$130=0),0,"Предходна година")</f>
        <v>0</v>
      </c>
      <c r="F127" s="198"/>
      <c r="G127" s="2042">
        <f>+IF(AND(H$127=0,I$127=0),0,"ОПР")</f>
        <v>0</v>
      </c>
      <c r="H127" s="2031">
        <f>+IF(AND(H$128=0,H$130=0),0,"Текуща година")</f>
        <v>0</v>
      </c>
      <c r="I127" s="2032">
        <f>+IF(AND(I$128=0,I$130=0),0,"Предходна година")</f>
        <v>0</v>
      </c>
      <c r="J127" s="198"/>
      <c r="K127" s="2042">
        <f>+IF(AND(L$127=0,M$127=0),0,"ОПР")</f>
        <v>0</v>
      </c>
      <c r="L127" s="2031">
        <f>+IF(AND(L$128=0,L$130=0),0,"Текуща година")</f>
        <v>0</v>
      </c>
      <c r="M127" s="2032">
        <f>+IF(AND(M$128=0,M$130=0),0,"Предходна година")</f>
        <v>0</v>
      </c>
      <c r="N127" s="198"/>
      <c r="O127" s="2042">
        <f>+IF(AND(P$127=0,Q$127=0),0,"ОПР")</f>
        <v>0</v>
      </c>
      <c r="P127" s="2031">
        <f>+IF(AND(P$128=0,P$130=0),0,"Текуща година")</f>
        <v>0</v>
      </c>
      <c r="Q127" s="2032">
        <f>+IF(AND(Q$128=0,Q$130=0),0,"Предходна година")</f>
        <v>0</v>
      </c>
      <c r="R127" s="303"/>
      <c r="S127" s="303"/>
      <c r="T127" s="303"/>
      <c r="U127" s="303"/>
      <c r="V127" s="303"/>
      <c r="W127" s="303"/>
    </row>
    <row r="128" spans="1:23" ht="16.5" thickBot="1">
      <c r="A128" s="2072" t="str">
        <f>+IF(AND(D128=0,E128=0,H128=0,I128=0,L128=0,M128=0,P128=0,Q128=0),"НЯМА неравнение от закръгления в изменението на НЕТНИТЕ АКТИВИ за периода!","Неравнение от ЗАКРЪГЛЕНИЯ в изменението на НЕТНИТЕ АКТИВИ за периода")</f>
        <v>НЯМА неравнение от закръгления в изменението на НЕТНИТЕ АКТИВИ за периода!</v>
      </c>
      <c r="B128" s="198"/>
      <c r="C128" s="2025">
        <f>+IF(AND(D$127=0,E$127=0),0,"Бюджет")</f>
        <v>0</v>
      </c>
      <c r="D128" s="2005">
        <f>+IF(AND('Income-2020'!D124&lt;&gt;0,+'Income-2020-leva'!D123=0),+'BALANCE-SHEET-2020'!D65-'Income-2020'!D113,0)</f>
        <v>0</v>
      </c>
      <c r="E128" s="2070">
        <f>+IF(AND('Income-2020'!E124&lt;&gt;0,+'Income-2020-leva'!E123=0),+'BALANCE-SHEET-2020'!E65-'Income-2020'!E113,0)</f>
        <v>0</v>
      </c>
      <c r="F128" s="198"/>
      <c r="G128" s="2025">
        <f>+IF(AND(H$127=0,I$127=0),0,"СЕС")</f>
        <v>0</v>
      </c>
      <c r="H128" s="2010">
        <f>+IF(AND('Income-2020'!G124&lt;&gt;0,+'Income-2020-leva'!G123=0),+'BALANCE-SHEET-2020'!G65-'Income-2020'!G113,0)</f>
        <v>0</v>
      </c>
      <c r="I128" s="2011">
        <f>+IF(AND('Income-2020'!H124&lt;&gt;0,+'Income-2020-leva'!H123=0),+'BALANCE-SHEET-2020'!H65-'Income-2020'!H113,0)</f>
        <v>0</v>
      </c>
      <c r="J128" s="198"/>
      <c r="K128" s="2025">
        <f>+IF(AND(L$127=0,M$127=0),0,"ДСД")</f>
        <v>0</v>
      </c>
      <c r="L128" s="2008">
        <f>+IF(AND('Income-2020'!J124&lt;&gt;0,+'Income-2020-leva'!J123=0),+'BALANCE-SHEET-2020'!J65-'Income-2020'!J113,0)</f>
        <v>0</v>
      </c>
      <c r="M128" s="2009">
        <f>+IF(AND('Income-2020'!K124&lt;&gt;0,+'Income-2020-leva'!K123=0),+'BALANCE-SHEET-2020'!K65-'Income-2020'!K113,0)</f>
        <v>0</v>
      </c>
      <c r="N128" s="198"/>
      <c r="O128" s="2025">
        <f>+IF(AND(P$127=0,Q$127=0),0,"ОБЩО")</f>
        <v>0</v>
      </c>
      <c r="P128" s="2006">
        <f>+IF(AND('Income-2020'!M124&lt;&gt;0,+'Income-2020-leva'!M123=0),+'BALANCE-SHEET-2020'!M65-'Income-2020'!M113,0)</f>
        <v>0</v>
      </c>
      <c r="Q128" s="2007">
        <f>+IF(AND('Income-2020'!N124&lt;&gt;0,+'Income-2020-leva'!N123=0),+'BALANCE-SHEET-2020'!N65-'Income-2020'!N113,0)</f>
        <v>0</v>
      </c>
      <c r="R128" s="303"/>
      <c r="S128" s="303"/>
      <c r="T128" s="303"/>
      <c r="U128" s="303"/>
      <c r="V128" s="303"/>
      <c r="W128" s="303"/>
    </row>
    <row r="129" spans="1:23">
      <c r="A129" s="303" t="s">
        <v>265</v>
      </c>
      <c r="B129" s="303"/>
      <c r="C129" s="303"/>
      <c r="D129" s="303"/>
      <c r="E129" s="303"/>
      <c r="F129" s="303"/>
      <c r="G129" s="303"/>
      <c r="H129" s="303"/>
      <c r="I129" s="303"/>
      <c r="J129" s="303"/>
      <c r="K129" s="303"/>
      <c r="L129" s="303"/>
      <c r="M129" s="303"/>
      <c r="N129" s="303"/>
      <c r="O129" s="303"/>
      <c r="P129" s="303"/>
      <c r="Q129" s="303"/>
      <c r="R129" s="303"/>
      <c r="S129" s="303"/>
      <c r="T129" s="303"/>
      <c r="U129" s="303"/>
      <c r="V129" s="303"/>
      <c r="W129" s="303"/>
    </row>
    <row r="130" spans="1:23" ht="15.75">
      <c r="A130" s="2046">
        <f>+IF(AND(A$128="НЯМА неравнение от закръгления в изменението на нетните активи за периода!",D$127=0,E$127=0,H$127=0,I$127=0,L$127=0,M$127=0,P$127=0,Q$127=0),0,"Разпределен размер на неравнението от закръгления по позиции в ОПР (хил. лв)")</f>
        <v>0</v>
      </c>
      <c r="B130" s="198"/>
      <c r="C130" s="2047">
        <f>+IF(AND(D$127=0,E$127=0),0,"Шифър")</f>
        <v>0</v>
      </c>
      <c r="D130" s="2054">
        <f>+SUM(D131:D133)</f>
        <v>0</v>
      </c>
      <c r="E130" s="2055">
        <f>+SUM(E131:E133)</f>
        <v>0</v>
      </c>
      <c r="F130" s="198"/>
      <c r="G130" s="2047">
        <f>+IF(AND(H$127=0,I$127=0),0,"Шифър")</f>
        <v>0</v>
      </c>
      <c r="H130" s="2054">
        <f>+SUM(H131:H133)</f>
        <v>0</v>
      </c>
      <c r="I130" s="2055">
        <f>+SUM(I131:I133)</f>
        <v>0</v>
      </c>
      <c r="J130" s="198"/>
      <c r="K130" s="2047">
        <f>+IF(AND(L$127=0,M$127=0),0,"Шифър")</f>
        <v>0</v>
      </c>
      <c r="L130" s="2054">
        <f>+SUM(L131:L133)</f>
        <v>0</v>
      </c>
      <c r="M130" s="2055">
        <f>+SUM(M131:M133)</f>
        <v>0</v>
      </c>
      <c r="N130" s="198"/>
      <c r="O130" s="2047">
        <f>+IF(AND(P$127=0,Q$127=0),0,"Шифър")</f>
        <v>0</v>
      </c>
      <c r="P130" s="2054">
        <f>+SUM(P131:P133)</f>
        <v>0</v>
      </c>
      <c r="Q130" s="2055">
        <f>+SUM(Q131:Q133)</f>
        <v>0</v>
      </c>
      <c r="R130" s="303"/>
      <c r="S130" s="303"/>
      <c r="T130" s="303"/>
      <c r="U130" s="303"/>
      <c r="V130" s="303"/>
      <c r="W130" s="303"/>
    </row>
    <row r="131" spans="1:23" ht="15.75">
      <c r="A131" s="2083">
        <f>+IF(AND(A$128="НЯМА неравнение от закръгления в изменението на нетните активи за периода!",D$127=0,E$127=0,H$127=0,I$127=0,L$127=0,M$127=0,P$127=0,Q$127=0),0,"разпределение на неравнението от закръгления - позиция 1 на ОПР")</f>
        <v>0</v>
      </c>
      <c r="B131" s="303"/>
      <c r="C131" s="2022"/>
      <c r="D131" s="2063"/>
      <c r="E131" s="2064"/>
      <c r="F131" s="303"/>
      <c r="G131" s="2022"/>
      <c r="H131" s="2063"/>
      <c r="I131" s="2064"/>
      <c r="J131" s="303"/>
      <c r="K131" s="2022"/>
      <c r="L131" s="2063"/>
      <c r="M131" s="2064"/>
      <c r="N131" s="303"/>
      <c r="O131" s="2022"/>
      <c r="P131" s="2063"/>
      <c r="Q131" s="2064"/>
      <c r="R131" s="303"/>
      <c r="S131" s="303"/>
      <c r="T131" s="303"/>
      <c r="U131" s="303"/>
      <c r="V131" s="303"/>
      <c r="W131" s="303"/>
    </row>
    <row r="132" spans="1:23" ht="15.75">
      <c r="A132" s="2084">
        <f>+IF(AND(A$128="НЯМА неравнение от закръгления в изменението на нетните активи за периода!",D$127=0,E$127=0,H$127=0,I$127=0,L$127=0,M$127=0,P$127=0,Q$127=0),0,"разпределение на неравнението от закръгления - позиция 2 на ОПР")</f>
        <v>0</v>
      </c>
      <c r="B132" s="303"/>
      <c r="C132" s="2062"/>
      <c r="D132" s="2065"/>
      <c r="E132" s="2066"/>
      <c r="F132" s="303"/>
      <c r="G132" s="2062"/>
      <c r="H132" s="2065"/>
      <c r="I132" s="2066"/>
      <c r="J132" s="303"/>
      <c r="K132" s="2062"/>
      <c r="L132" s="2065"/>
      <c r="M132" s="2066"/>
      <c r="N132" s="303"/>
      <c r="O132" s="2062"/>
      <c r="P132" s="2065"/>
      <c r="Q132" s="2066"/>
      <c r="R132" s="303"/>
      <c r="S132" s="303"/>
      <c r="T132" s="303"/>
      <c r="U132" s="303"/>
      <c r="V132" s="303"/>
      <c r="W132" s="303"/>
    </row>
    <row r="133" spans="1:23" ht="16.5" thickBot="1">
      <c r="A133" s="2085">
        <f>+IF(AND(A$128="НЯМА неравнение от закръгления в изменението на нетните активи за периода!",D$127=0,E$127=0,H$127=0,I$127=0,L$127=0,M$127=0,P$127=0,Q$127=0),0,"разпределение на неравнението от закръгления - позиция 3 на ОПР")</f>
        <v>0</v>
      </c>
      <c r="B133" s="303"/>
      <c r="C133" s="2023"/>
      <c r="D133" s="2067"/>
      <c r="E133" s="2068"/>
      <c r="F133" s="303"/>
      <c r="G133" s="2023"/>
      <c r="H133" s="2067"/>
      <c r="I133" s="2068"/>
      <c r="J133" s="303"/>
      <c r="K133" s="2023"/>
      <c r="L133" s="2067"/>
      <c r="M133" s="2068"/>
      <c r="N133" s="303"/>
      <c r="O133" s="2023"/>
      <c r="P133" s="2067"/>
      <c r="Q133" s="2068"/>
      <c r="R133" s="303"/>
      <c r="S133" s="303"/>
      <c r="T133" s="303"/>
      <c r="U133" s="303"/>
      <c r="V133" s="303"/>
      <c r="W133" s="303"/>
    </row>
    <row r="134" spans="1:23" ht="13.5" thickTop="1">
      <c r="A134" s="1995"/>
      <c r="B134" s="1995"/>
      <c r="C134" s="1995"/>
      <c r="D134" s="1995"/>
      <c r="E134" s="1995"/>
      <c r="F134" s="1995"/>
      <c r="G134" s="1995"/>
      <c r="H134" s="1995"/>
      <c r="I134" s="1995"/>
      <c r="J134" s="1995"/>
      <c r="K134" s="1995"/>
      <c r="L134" s="1995"/>
      <c r="M134" s="1995"/>
      <c r="N134" s="1995"/>
      <c r="O134" s="1995"/>
      <c r="P134" s="1995"/>
      <c r="Q134" s="1995"/>
      <c r="R134" s="303"/>
      <c r="S134" s="303"/>
      <c r="T134" s="303"/>
      <c r="U134" s="303"/>
      <c r="V134" s="303"/>
      <c r="W134" s="303"/>
    </row>
    <row r="135" spans="1:23">
      <c r="A135" s="1995"/>
      <c r="B135" s="1995"/>
      <c r="C135" s="1995"/>
      <c r="D135" s="1995"/>
      <c r="E135" s="303"/>
      <c r="F135" s="303"/>
      <c r="G135" s="1995"/>
      <c r="H135" s="303"/>
      <c r="I135" s="303"/>
      <c r="J135" s="303"/>
      <c r="K135" s="1995"/>
      <c r="L135" s="303"/>
      <c r="M135" s="303"/>
      <c r="N135" s="303"/>
      <c r="O135" s="1995"/>
      <c r="P135" s="303"/>
      <c r="Q135" s="303"/>
      <c r="R135" s="303"/>
      <c r="S135" s="303"/>
      <c r="T135" s="303"/>
      <c r="U135" s="303"/>
      <c r="V135" s="303"/>
      <c r="W135" s="303"/>
    </row>
    <row r="136" spans="1:23">
      <c r="A136" s="1995"/>
      <c r="B136" s="1995"/>
      <c r="C136" s="1995"/>
      <c r="D136" s="1995"/>
      <c r="E136" s="303"/>
      <c r="F136" s="303"/>
      <c r="G136" s="1995"/>
      <c r="H136" s="303"/>
      <c r="I136" s="303"/>
      <c r="J136" s="303"/>
      <c r="K136" s="1995"/>
      <c r="L136" s="303"/>
      <c r="M136" s="303"/>
      <c r="N136" s="303"/>
      <c r="O136" s="1995"/>
      <c r="P136" s="303"/>
      <c r="Q136" s="303"/>
      <c r="R136" s="303"/>
      <c r="S136" s="303"/>
      <c r="T136" s="303"/>
      <c r="U136" s="303"/>
      <c r="V136" s="303"/>
      <c r="W136" s="303"/>
    </row>
    <row r="137" spans="1:23">
      <c r="A137" s="1995"/>
      <c r="B137" s="1995"/>
      <c r="C137" s="1995"/>
      <c r="D137" s="1995"/>
      <c r="E137" s="303"/>
      <c r="F137" s="303"/>
      <c r="G137" s="1995"/>
      <c r="H137" s="303"/>
      <c r="I137" s="303"/>
      <c r="J137" s="303"/>
      <c r="K137" s="1995"/>
      <c r="L137" s="303"/>
      <c r="M137" s="303"/>
      <c r="N137" s="303"/>
      <c r="O137" s="1995"/>
      <c r="P137" s="303"/>
      <c r="Q137" s="303"/>
      <c r="R137" s="303"/>
      <c r="S137" s="303"/>
      <c r="T137" s="303"/>
      <c r="U137" s="303"/>
      <c r="V137" s="303"/>
      <c r="W137" s="303"/>
    </row>
    <row r="138" spans="1:23">
      <c r="A138" s="2614"/>
      <c r="B138" s="2614"/>
      <c r="C138" s="2614"/>
      <c r="D138" s="2012"/>
      <c r="E138" s="2013"/>
      <c r="F138" s="303"/>
      <c r="G138" s="303"/>
      <c r="H138" s="2012"/>
      <c r="I138" s="2013"/>
      <c r="J138" s="303"/>
      <c r="K138" s="303"/>
      <c r="L138" s="2012"/>
      <c r="M138" s="2013"/>
      <c r="N138" s="303"/>
      <c r="O138" s="303"/>
      <c r="P138" s="2012"/>
      <c r="Q138" s="2013"/>
      <c r="R138" s="303"/>
      <c r="S138" s="303"/>
      <c r="T138" s="303"/>
      <c r="U138" s="303"/>
      <c r="V138" s="303"/>
      <c r="W138" s="303"/>
    </row>
    <row r="139" spans="1:23">
      <c r="A139" s="1995"/>
      <c r="B139" s="1995"/>
      <c r="C139" s="1995"/>
      <c r="D139" s="1995"/>
      <c r="E139" s="303"/>
      <c r="F139" s="303"/>
      <c r="G139" s="1995"/>
      <c r="H139" s="303"/>
      <c r="I139" s="303"/>
      <c r="J139" s="303"/>
      <c r="K139" s="1995"/>
      <c r="L139" s="303"/>
      <c r="M139" s="303"/>
      <c r="N139" s="303"/>
      <c r="O139" s="1995"/>
      <c r="P139" s="303"/>
      <c r="Q139" s="303"/>
      <c r="R139" s="303"/>
      <c r="S139" s="303"/>
      <c r="T139" s="303"/>
      <c r="U139" s="303"/>
      <c r="V139" s="303"/>
      <c r="W139" s="303"/>
    </row>
    <row r="140" spans="1:23">
      <c r="A140" s="1995"/>
      <c r="B140" s="1995"/>
      <c r="C140" s="1995"/>
      <c r="D140" s="1995"/>
      <c r="E140" s="303"/>
      <c r="F140" s="303"/>
      <c r="G140" s="1995"/>
      <c r="H140" s="303"/>
      <c r="I140" s="303"/>
      <c r="J140" s="303"/>
      <c r="K140" s="1995"/>
      <c r="L140" s="303"/>
      <c r="M140" s="303"/>
      <c r="N140" s="303"/>
      <c r="O140" s="1995"/>
      <c r="P140" s="303"/>
      <c r="Q140" s="303"/>
      <c r="R140" s="303"/>
      <c r="S140" s="303"/>
      <c r="T140" s="303"/>
      <c r="U140" s="303"/>
      <c r="V140" s="303"/>
      <c r="W140" s="303"/>
    </row>
    <row r="141" spans="1:23">
      <c r="A141" s="1995"/>
      <c r="B141" s="1995"/>
      <c r="C141" s="1995"/>
      <c r="D141" s="1995"/>
      <c r="E141" s="303"/>
      <c r="F141" s="303"/>
      <c r="G141" s="1995"/>
      <c r="H141" s="303"/>
      <c r="I141" s="303"/>
      <c r="J141" s="303"/>
      <c r="K141" s="1995"/>
      <c r="L141" s="303"/>
      <c r="M141" s="303"/>
      <c r="N141" s="303"/>
      <c r="O141" s="1995"/>
      <c r="P141" s="303"/>
      <c r="Q141" s="303"/>
      <c r="R141" s="303"/>
      <c r="S141" s="303"/>
      <c r="T141" s="303"/>
      <c r="U141" s="303"/>
      <c r="V141" s="303"/>
      <c r="W141" s="303"/>
    </row>
    <row r="142" spans="1:23">
      <c r="A142" s="1995"/>
      <c r="B142" s="1995"/>
      <c r="C142" s="1995"/>
      <c r="D142" s="1995"/>
      <c r="E142" s="303"/>
      <c r="F142" s="303"/>
      <c r="G142" s="1995"/>
      <c r="H142" s="303"/>
      <c r="I142" s="303"/>
      <c r="J142" s="303"/>
      <c r="K142" s="1995"/>
      <c r="L142" s="303"/>
      <c r="M142" s="303"/>
      <c r="N142" s="303"/>
      <c r="O142" s="1995"/>
      <c r="P142" s="303"/>
      <c r="Q142" s="303"/>
      <c r="R142" s="303"/>
      <c r="S142" s="303"/>
      <c r="T142" s="303"/>
      <c r="U142" s="303"/>
      <c r="V142" s="303"/>
      <c r="W142" s="303"/>
    </row>
    <row r="143" spans="1:23">
      <c r="A143" s="1995"/>
      <c r="B143" s="1995"/>
      <c r="C143" s="1995"/>
      <c r="D143" s="1995"/>
      <c r="E143" s="303"/>
      <c r="F143" s="303"/>
      <c r="G143" s="1995"/>
      <c r="H143" s="303"/>
      <c r="I143" s="303"/>
      <c r="J143" s="303"/>
      <c r="K143" s="1995"/>
      <c r="L143" s="303"/>
      <c r="M143" s="303"/>
      <c r="N143" s="303"/>
      <c r="O143" s="1995"/>
      <c r="P143" s="303"/>
      <c r="Q143" s="303"/>
      <c r="R143" s="303"/>
      <c r="S143" s="303"/>
      <c r="T143" s="303"/>
      <c r="U143" s="303"/>
      <c r="V143" s="303"/>
      <c r="W143" s="303"/>
    </row>
    <row r="144" spans="1:23">
      <c r="A144" s="1995"/>
      <c r="B144" s="1995"/>
      <c r="C144" s="1995"/>
      <c r="D144" s="1995"/>
      <c r="E144" s="303"/>
      <c r="F144" s="303"/>
      <c r="G144" s="1995"/>
      <c r="H144" s="303"/>
      <c r="I144" s="303"/>
      <c r="J144" s="303"/>
      <c r="K144" s="1995"/>
      <c r="L144" s="303"/>
      <c r="M144" s="303"/>
      <c r="N144" s="303"/>
      <c r="O144" s="1995"/>
      <c r="P144" s="303"/>
      <c r="Q144" s="303"/>
      <c r="R144" s="303"/>
      <c r="S144" s="303"/>
      <c r="T144" s="303"/>
      <c r="U144" s="303"/>
      <c r="V144" s="303"/>
      <c r="W144" s="303"/>
    </row>
    <row r="145" spans="1:23">
      <c r="A145" s="1995"/>
      <c r="B145" s="1995"/>
      <c r="C145" s="1995"/>
      <c r="D145" s="1995"/>
      <c r="E145" s="303"/>
      <c r="F145" s="303"/>
      <c r="G145" s="1995"/>
      <c r="H145" s="303"/>
      <c r="I145" s="303"/>
      <c r="J145" s="303"/>
      <c r="K145" s="1995"/>
      <c r="L145" s="303"/>
      <c r="M145" s="303"/>
      <c r="N145" s="303"/>
      <c r="O145" s="1995"/>
      <c r="P145" s="303"/>
      <c r="Q145" s="303"/>
      <c r="R145" s="303"/>
      <c r="S145" s="303"/>
      <c r="T145" s="303"/>
      <c r="U145" s="303"/>
      <c r="V145" s="303"/>
      <c r="W145" s="303"/>
    </row>
    <row r="146" spans="1:23">
      <c r="A146" s="1995"/>
      <c r="B146" s="1995"/>
      <c r="C146" s="1995"/>
      <c r="D146" s="1995"/>
      <c r="E146" s="303"/>
      <c r="F146" s="303"/>
      <c r="G146" s="1995"/>
      <c r="H146" s="303"/>
      <c r="I146" s="303"/>
      <c r="J146" s="303"/>
      <c r="K146" s="1995"/>
      <c r="L146" s="303"/>
      <c r="M146" s="303"/>
      <c r="N146" s="303"/>
      <c r="O146" s="1995"/>
      <c r="P146" s="303"/>
      <c r="Q146" s="303"/>
      <c r="R146" s="303"/>
      <c r="S146" s="303"/>
      <c r="T146" s="303"/>
      <c r="U146" s="303"/>
      <c r="V146" s="303"/>
      <c r="W146" s="303"/>
    </row>
    <row r="147" spans="1:23">
      <c r="A147" s="1995"/>
      <c r="B147" s="1995"/>
      <c r="C147" s="1995"/>
      <c r="D147" s="1995"/>
      <c r="E147" s="303"/>
      <c r="F147" s="303"/>
      <c r="G147" s="1995"/>
      <c r="H147" s="303"/>
      <c r="I147" s="303"/>
      <c r="J147" s="303"/>
      <c r="K147" s="1995"/>
      <c r="L147" s="303"/>
      <c r="M147" s="303"/>
      <c r="N147" s="303"/>
      <c r="O147" s="1995"/>
      <c r="P147" s="303"/>
      <c r="Q147" s="303"/>
      <c r="R147" s="303"/>
      <c r="S147" s="303"/>
      <c r="T147" s="303"/>
      <c r="U147" s="303"/>
      <c r="V147" s="303"/>
      <c r="W147" s="303"/>
    </row>
    <row r="148" spans="1:23">
      <c r="A148" s="1995"/>
      <c r="B148" s="1995"/>
      <c r="C148" s="1995"/>
      <c r="D148" s="1995"/>
      <c r="E148" s="303"/>
      <c r="F148" s="303"/>
      <c r="G148" s="1995"/>
      <c r="H148" s="303"/>
      <c r="I148" s="303"/>
      <c r="J148" s="303"/>
      <c r="K148" s="1995"/>
      <c r="L148" s="303"/>
      <c r="M148" s="303"/>
      <c r="N148" s="303"/>
      <c r="O148" s="1995"/>
      <c r="P148" s="303"/>
      <c r="Q148" s="303"/>
      <c r="R148" s="303"/>
      <c r="S148" s="303"/>
      <c r="T148" s="303"/>
      <c r="U148" s="303"/>
      <c r="V148" s="303"/>
      <c r="W148" s="303"/>
    </row>
    <row r="149" spans="1:23">
      <c r="A149" s="1995"/>
      <c r="B149" s="1995"/>
      <c r="C149" s="1995"/>
      <c r="D149" s="1995"/>
      <c r="E149" s="303"/>
      <c r="F149" s="303"/>
      <c r="G149" s="1995"/>
      <c r="H149" s="303"/>
      <c r="I149" s="303"/>
      <c r="J149" s="303"/>
      <c r="K149" s="1995"/>
      <c r="L149" s="303"/>
      <c r="M149" s="303"/>
      <c r="N149" s="303"/>
      <c r="O149" s="1995"/>
      <c r="P149" s="303"/>
      <c r="Q149" s="303"/>
      <c r="R149" s="303"/>
      <c r="S149" s="303"/>
      <c r="T149" s="303"/>
      <c r="U149" s="303"/>
      <c r="V149" s="303"/>
      <c r="W149" s="303"/>
    </row>
    <row r="150" spans="1:23">
      <c r="A150" s="1995"/>
      <c r="B150" s="1995"/>
      <c r="C150" s="1995"/>
      <c r="D150" s="1995"/>
      <c r="E150" s="303"/>
      <c r="F150" s="303"/>
      <c r="G150" s="1995"/>
      <c r="H150" s="303"/>
      <c r="I150" s="303"/>
      <c r="J150" s="303"/>
      <c r="K150" s="1995"/>
      <c r="L150" s="303"/>
      <c r="M150" s="303"/>
      <c r="N150" s="303"/>
      <c r="O150" s="1995"/>
      <c r="P150" s="303"/>
      <c r="Q150" s="303"/>
      <c r="R150" s="303"/>
      <c r="S150" s="303"/>
      <c r="T150" s="303"/>
      <c r="U150" s="303"/>
      <c r="V150" s="303"/>
      <c r="W150" s="303"/>
    </row>
    <row r="151" spans="1:23">
      <c r="A151" s="1995"/>
      <c r="B151" s="1995"/>
      <c r="C151" s="1995"/>
      <c r="D151" s="1995"/>
      <c r="E151" s="303"/>
      <c r="F151" s="303"/>
      <c r="G151" s="1995"/>
      <c r="H151" s="303"/>
      <c r="I151" s="303"/>
      <c r="J151" s="303"/>
      <c r="K151" s="1995"/>
      <c r="L151" s="303"/>
      <c r="M151" s="303"/>
      <c r="N151" s="303"/>
      <c r="O151" s="1995"/>
      <c r="P151" s="303"/>
      <c r="Q151" s="303"/>
      <c r="R151" s="303"/>
      <c r="S151" s="303"/>
      <c r="T151" s="303"/>
      <c r="U151" s="303"/>
      <c r="V151" s="303"/>
      <c r="W151" s="303"/>
    </row>
    <row r="152" spans="1:23">
      <c r="A152" s="1995"/>
      <c r="B152" s="1995"/>
      <c r="C152" s="1995"/>
      <c r="D152" s="1995"/>
      <c r="E152" s="303"/>
      <c r="F152" s="303"/>
      <c r="G152" s="1995"/>
      <c r="H152" s="303"/>
      <c r="I152" s="303"/>
      <c r="J152" s="303"/>
      <c r="K152" s="1995"/>
      <c r="L152" s="303"/>
      <c r="M152" s="303"/>
      <c r="N152" s="303"/>
      <c r="O152" s="1995"/>
      <c r="P152" s="303"/>
      <c r="Q152" s="303"/>
      <c r="R152" s="303"/>
      <c r="S152" s="303"/>
      <c r="T152" s="303"/>
      <c r="U152" s="303"/>
      <c r="V152" s="303"/>
      <c r="W152" s="303"/>
    </row>
    <row r="153" spans="1:23">
      <c r="A153" s="1995"/>
      <c r="B153" s="1995"/>
      <c r="C153" s="1995"/>
      <c r="D153" s="1995"/>
      <c r="E153" s="303"/>
      <c r="F153" s="303"/>
      <c r="G153" s="1995"/>
      <c r="H153" s="303"/>
      <c r="I153" s="303"/>
      <c r="J153" s="303"/>
      <c r="K153" s="1995"/>
      <c r="L153" s="303"/>
      <c r="M153" s="303"/>
      <c r="N153" s="303"/>
      <c r="O153" s="1995"/>
      <c r="P153" s="303"/>
      <c r="Q153" s="303"/>
      <c r="R153" s="303"/>
      <c r="S153" s="303"/>
      <c r="T153" s="303"/>
      <c r="U153" s="303"/>
      <c r="V153" s="303"/>
      <c r="W153" s="303"/>
    </row>
    <row r="154" spans="1:23">
      <c r="A154" s="1995"/>
      <c r="B154" s="1995"/>
      <c r="C154" s="1995"/>
      <c r="D154" s="1995"/>
      <c r="E154" s="303"/>
      <c r="F154" s="303"/>
      <c r="G154" s="1995"/>
      <c r="H154" s="303"/>
      <c r="I154" s="303"/>
      <c r="J154" s="303"/>
      <c r="K154" s="1995"/>
      <c r="L154" s="303"/>
      <c r="M154" s="303"/>
      <c r="N154" s="303"/>
      <c r="O154" s="1995"/>
      <c r="P154" s="303"/>
      <c r="Q154" s="303"/>
      <c r="R154" s="303"/>
      <c r="S154" s="303"/>
      <c r="T154" s="303"/>
      <c r="U154" s="303"/>
      <c r="V154" s="303"/>
      <c r="W154" s="303"/>
    </row>
    <row r="155" spans="1:23">
      <c r="A155" s="1995"/>
      <c r="B155" s="1995"/>
      <c r="C155" s="1995"/>
      <c r="D155" s="1995"/>
      <c r="E155" s="303"/>
      <c r="F155" s="303"/>
      <c r="G155" s="1995"/>
      <c r="H155" s="303"/>
      <c r="I155" s="303"/>
      <c r="J155" s="303"/>
      <c r="K155" s="1995"/>
      <c r="L155" s="303"/>
      <c r="M155" s="303"/>
      <c r="N155" s="303"/>
      <c r="O155" s="1995"/>
      <c r="P155" s="303"/>
      <c r="Q155" s="303"/>
      <c r="R155" s="303"/>
      <c r="S155" s="303"/>
      <c r="T155" s="303"/>
      <c r="U155" s="303"/>
      <c r="V155" s="303"/>
      <c r="W155" s="303"/>
    </row>
    <row r="156" spans="1:23">
      <c r="A156" s="1995"/>
      <c r="B156" s="1995"/>
      <c r="C156" s="1995"/>
      <c r="D156" s="1995"/>
      <c r="E156" s="303"/>
      <c r="F156" s="303"/>
      <c r="G156" s="1995"/>
      <c r="H156" s="303"/>
      <c r="I156" s="303"/>
      <c r="J156" s="303"/>
      <c r="K156" s="1995"/>
      <c r="L156" s="303"/>
      <c r="M156" s="303"/>
      <c r="N156" s="303"/>
      <c r="O156" s="1995"/>
      <c r="P156" s="303"/>
      <c r="Q156" s="303"/>
      <c r="R156" s="303"/>
      <c r="S156" s="303"/>
      <c r="T156" s="303"/>
      <c r="U156" s="303"/>
      <c r="V156" s="303"/>
      <c r="W156" s="303"/>
    </row>
    <row r="157" spans="1:23">
      <c r="A157" s="1995"/>
      <c r="B157" s="1995"/>
      <c r="C157" s="1995"/>
      <c r="D157" s="1995"/>
      <c r="E157" s="303"/>
      <c r="F157" s="303"/>
      <c r="G157" s="1995"/>
      <c r="H157" s="303"/>
      <c r="I157" s="303"/>
      <c r="J157" s="303"/>
      <c r="K157" s="1995"/>
      <c r="L157" s="303"/>
      <c r="M157" s="303"/>
      <c r="N157" s="303"/>
      <c r="O157" s="1995"/>
      <c r="P157" s="303"/>
      <c r="Q157" s="303"/>
      <c r="R157" s="303"/>
      <c r="S157" s="303"/>
      <c r="T157" s="303"/>
      <c r="U157" s="303"/>
      <c r="V157" s="303"/>
      <c r="W157" s="303"/>
    </row>
    <row r="158" spans="1:23">
      <c r="A158" s="1995"/>
      <c r="B158" s="1995"/>
      <c r="C158" s="1995"/>
      <c r="D158" s="1995"/>
      <c r="E158" s="303"/>
      <c r="F158" s="303"/>
      <c r="G158" s="1995"/>
      <c r="H158" s="303"/>
      <c r="I158" s="303"/>
      <c r="J158" s="303"/>
      <c r="K158" s="1995"/>
      <c r="L158" s="303"/>
      <c r="M158" s="303"/>
      <c r="N158" s="303"/>
      <c r="O158" s="1995"/>
      <c r="P158" s="303"/>
      <c r="Q158" s="303"/>
      <c r="R158" s="303"/>
      <c r="S158" s="303"/>
      <c r="T158" s="303"/>
      <c r="U158" s="303"/>
      <c r="V158" s="303"/>
      <c r="W158" s="303"/>
    </row>
    <row r="159" spans="1:23">
      <c r="A159" s="1995"/>
      <c r="B159" s="1995"/>
      <c r="C159" s="1995"/>
      <c r="D159" s="1995"/>
      <c r="E159" s="303"/>
      <c r="F159" s="303"/>
      <c r="G159" s="1995"/>
      <c r="H159" s="303"/>
      <c r="I159" s="303"/>
      <c r="J159" s="303"/>
      <c r="K159" s="1995"/>
      <c r="L159" s="303"/>
      <c r="M159" s="303"/>
      <c r="N159" s="303"/>
      <c r="O159" s="1995"/>
      <c r="P159" s="303"/>
      <c r="Q159" s="303"/>
      <c r="R159" s="303"/>
      <c r="S159" s="303"/>
      <c r="T159" s="303"/>
      <c r="U159" s="303"/>
      <c r="V159" s="303"/>
      <c r="W159" s="303"/>
    </row>
    <row r="160" spans="1:23">
      <c r="A160" s="1995"/>
      <c r="B160" s="1995"/>
      <c r="C160" s="1995"/>
      <c r="D160" s="1995"/>
      <c r="E160" s="303"/>
      <c r="F160" s="303"/>
      <c r="G160" s="1995"/>
      <c r="H160" s="303"/>
      <c r="I160" s="303"/>
      <c r="J160" s="303"/>
      <c r="K160" s="1995"/>
      <c r="L160" s="303"/>
      <c r="M160" s="303"/>
      <c r="N160" s="303"/>
      <c r="O160" s="1995"/>
      <c r="P160" s="303"/>
      <c r="Q160" s="303"/>
      <c r="R160" s="303"/>
      <c r="S160" s="303"/>
      <c r="T160" s="303"/>
      <c r="U160" s="303"/>
      <c r="V160" s="303"/>
      <c r="W160" s="303"/>
    </row>
    <row r="161" spans="1:23">
      <c r="A161" s="1995"/>
      <c r="B161" s="1995"/>
      <c r="C161" s="1995"/>
      <c r="D161" s="1995"/>
      <c r="E161" s="303"/>
      <c r="F161" s="303"/>
      <c r="G161" s="1995"/>
      <c r="H161" s="303"/>
      <c r="I161" s="303"/>
      <c r="J161" s="303"/>
      <c r="K161" s="1995"/>
      <c r="L161" s="303"/>
      <c r="M161" s="303"/>
      <c r="N161" s="303"/>
      <c r="O161" s="1995"/>
      <c r="P161" s="303"/>
      <c r="Q161" s="303"/>
      <c r="R161" s="303"/>
      <c r="S161" s="303"/>
      <c r="T161" s="303"/>
      <c r="U161" s="303"/>
      <c r="V161" s="303"/>
      <c r="W161" s="303"/>
    </row>
  </sheetData>
  <sheetProtection password="889B" sheet="1" objects="1" scenarios="1"/>
  <mergeCells count="1">
    <mergeCell ref="A138:C138"/>
  </mergeCells>
  <conditionalFormatting sqref="G67:G125 K67:K125 O67:O125">
    <cfRule type="cellIs" dxfId="1214" priority="158" operator="notEqual">
      <formula>0</formula>
    </cfRule>
  </conditionalFormatting>
  <conditionalFormatting sqref="A3">
    <cfRule type="cellIs" dxfId="1213" priority="105" operator="equal">
      <formula>"Неравнение от ЗАКРЪГЛЕНИЯ за разпределение м/у АКТИВА и ПАСИВА"</formula>
    </cfRule>
  </conditionalFormatting>
  <conditionalFormatting sqref="A5">
    <cfRule type="cellIs" dxfId="1212" priority="104" operator="equal">
      <formula>0</formula>
    </cfRule>
  </conditionalFormatting>
  <conditionalFormatting sqref="A6">
    <cfRule type="cellIs" dxfId="1211" priority="103" operator="equal">
      <formula>0</formula>
    </cfRule>
  </conditionalFormatting>
  <conditionalFormatting sqref="A7">
    <cfRule type="cellIs" dxfId="1210" priority="102" operator="equal">
      <formula>0</formula>
    </cfRule>
  </conditionalFormatting>
  <conditionalFormatting sqref="A53">
    <cfRule type="cellIs" dxfId="1209" priority="101" operator="equal">
      <formula>0</formula>
    </cfRule>
  </conditionalFormatting>
  <conditionalFormatting sqref="A54">
    <cfRule type="cellIs" dxfId="1208" priority="100" operator="equal">
      <formula>0</formula>
    </cfRule>
  </conditionalFormatting>
  <conditionalFormatting sqref="A55">
    <cfRule type="cellIs" dxfId="1207" priority="99" operator="equal">
      <formula>0</formula>
    </cfRule>
  </conditionalFormatting>
  <conditionalFormatting sqref="A128">
    <cfRule type="cellIs" dxfId="1206" priority="98" operator="equal">
      <formula>"Неравнение от ЗАКРЪГЛЕНИЯ в изменението на нетните активи за периода"</formula>
    </cfRule>
  </conditionalFormatting>
  <conditionalFormatting sqref="A130">
    <cfRule type="cellIs" dxfId="1205" priority="97" operator="equal">
      <formula>0</formula>
    </cfRule>
  </conditionalFormatting>
  <conditionalFormatting sqref="A131">
    <cfRule type="cellIs" dxfId="1204" priority="96" operator="equal">
      <formula>0</formula>
    </cfRule>
  </conditionalFormatting>
  <conditionalFormatting sqref="A132">
    <cfRule type="cellIs" dxfId="1203" priority="95" operator="equal">
      <formula>0</formula>
    </cfRule>
  </conditionalFormatting>
  <conditionalFormatting sqref="A133">
    <cfRule type="cellIs" dxfId="1202" priority="94" operator="equal">
      <formula>0</formula>
    </cfRule>
  </conditionalFormatting>
  <conditionalFormatting sqref="C2:Q3">
    <cfRule type="cellIs" dxfId="1201" priority="93" operator="equal">
      <formula>0</formula>
    </cfRule>
  </conditionalFormatting>
  <conditionalFormatting sqref="C5:E5 C53:E53 G5:I5 G53:I53 K5:M5 K53:M53 O5:Q5 O53:Q53">
    <cfRule type="cellIs" dxfId="1200" priority="92" operator="equal">
      <formula>0</formula>
    </cfRule>
  </conditionalFormatting>
  <conditionalFormatting sqref="D128">
    <cfRule type="cellIs" dxfId="1199" priority="91" operator="equal">
      <formula>0</formula>
    </cfRule>
  </conditionalFormatting>
  <conditionalFormatting sqref="E128">
    <cfRule type="cellIs" dxfId="1198" priority="90" operator="equal">
      <formula>0</formula>
    </cfRule>
  </conditionalFormatting>
  <conditionalFormatting sqref="D127">
    <cfRule type="cellIs" dxfId="1197" priority="89" operator="equal">
      <formula>0</formula>
    </cfRule>
  </conditionalFormatting>
  <conditionalFormatting sqref="E127">
    <cfRule type="cellIs" dxfId="1196" priority="88" operator="equal">
      <formula>0</formula>
    </cfRule>
  </conditionalFormatting>
  <conditionalFormatting sqref="C128">
    <cfRule type="cellIs" dxfId="1195" priority="87" operator="equal">
      <formula>0</formula>
    </cfRule>
  </conditionalFormatting>
  <conditionalFormatting sqref="D130">
    <cfRule type="cellIs" dxfId="1194" priority="86" operator="equal">
      <formula>0</formula>
    </cfRule>
  </conditionalFormatting>
  <conditionalFormatting sqref="E130">
    <cfRule type="cellIs" dxfId="1193" priority="85" operator="equal">
      <formula>0</formula>
    </cfRule>
  </conditionalFormatting>
  <conditionalFormatting sqref="C130">
    <cfRule type="cellIs" dxfId="1192" priority="84" operator="equal">
      <formula>0</formula>
    </cfRule>
  </conditionalFormatting>
  <conditionalFormatting sqref="G128">
    <cfRule type="cellIs" dxfId="1191" priority="83" operator="equal">
      <formula>0</formula>
    </cfRule>
  </conditionalFormatting>
  <conditionalFormatting sqref="G130:I130 H127:I128 K128:M128 O128:Q128 K130:M130 O130:Q130">
    <cfRule type="cellIs" dxfId="1190" priority="82" operator="equal">
      <formula>0</formula>
    </cfRule>
  </conditionalFormatting>
  <conditionalFormatting sqref="D138">
    <cfRule type="cellIs" dxfId="1189" priority="81" operator="notEqual">
      <formula>0</formula>
    </cfRule>
  </conditionalFormatting>
  <conditionalFormatting sqref="A138 C138">
    <cfRule type="cellIs" dxfId="1188" priority="80" operator="notEqual">
      <formula>0</formula>
    </cfRule>
  </conditionalFormatting>
  <conditionalFormatting sqref="E138">
    <cfRule type="cellIs" dxfId="1187" priority="79" operator="notEqual">
      <formula>0</formula>
    </cfRule>
  </conditionalFormatting>
  <conditionalFormatting sqref="G138">
    <cfRule type="cellIs" dxfId="1186" priority="78" operator="notEqual">
      <formula>0</formula>
    </cfRule>
  </conditionalFormatting>
  <conditionalFormatting sqref="K138">
    <cfRule type="cellIs" dxfId="1185" priority="77" operator="notEqual">
      <formula>0</formula>
    </cfRule>
  </conditionalFormatting>
  <conditionalFormatting sqref="O138">
    <cfRule type="cellIs" dxfId="1184" priority="76" operator="notEqual">
      <formula>0</formula>
    </cfRule>
  </conditionalFormatting>
  <conditionalFormatting sqref="H138">
    <cfRule type="cellIs" dxfId="1183" priority="75" operator="notEqual">
      <formula>0</formula>
    </cfRule>
  </conditionalFormatting>
  <conditionalFormatting sqref="I138">
    <cfRule type="cellIs" dxfId="1182" priority="74" operator="notEqual">
      <formula>0</formula>
    </cfRule>
  </conditionalFormatting>
  <conditionalFormatting sqref="L138">
    <cfRule type="cellIs" dxfId="1181" priority="73" operator="notEqual">
      <formula>0</formula>
    </cfRule>
  </conditionalFormatting>
  <conditionalFormatting sqref="M138">
    <cfRule type="cellIs" dxfId="1180" priority="72" operator="notEqual">
      <formula>0</formula>
    </cfRule>
  </conditionalFormatting>
  <conditionalFormatting sqref="P138">
    <cfRule type="cellIs" dxfId="1179" priority="71" operator="notEqual">
      <formula>0</formula>
    </cfRule>
  </conditionalFormatting>
  <conditionalFormatting sqref="Q138">
    <cfRule type="cellIs" dxfId="1178" priority="70" operator="notEqual">
      <formula>0</formula>
    </cfRule>
  </conditionalFormatting>
  <conditionalFormatting sqref="L127:M127">
    <cfRule type="cellIs" dxfId="1177" priority="69" operator="equal">
      <formula>0</formula>
    </cfRule>
  </conditionalFormatting>
  <conditionalFormatting sqref="P127:Q127">
    <cfRule type="cellIs" dxfId="1176" priority="68" operator="equal">
      <formula>0</formula>
    </cfRule>
  </conditionalFormatting>
  <conditionalFormatting sqref="D6:D7 D54:D55">
    <cfRule type="expression" dxfId="1175" priority="67">
      <formula>$D$2=0</formula>
    </cfRule>
  </conditionalFormatting>
  <conditionalFormatting sqref="E6:E7 E54:E55">
    <cfRule type="expression" dxfId="1174" priority="66">
      <formula>$E$2=0</formula>
    </cfRule>
  </conditionalFormatting>
  <conditionalFormatting sqref="H6:H7 H54:H55">
    <cfRule type="expression" dxfId="1173" priority="65">
      <formula>$H$2=0</formula>
    </cfRule>
  </conditionalFormatting>
  <conditionalFormatting sqref="I6:I7 I54:I55">
    <cfRule type="expression" dxfId="1172" priority="64">
      <formula>$I$2=0</formula>
    </cfRule>
  </conditionalFormatting>
  <conditionalFormatting sqref="L6:L7 L54:L55">
    <cfRule type="expression" dxfId="1171" priority="63">
      <formula>$L$2=0</formula>
    </cfRule>
  </conditionalFormatting>
  <conditionalFormatting sqref="M6:M7 M54:M55">
    <cfRule type="expression" dxfId="1170" priority="62">
      <formula>$M$2=0</formula>
    </cfRule>
  </conditionalFormatting>
  <conditionalFormatting sqref="P6:P7 P54:P55">
    <cfRule type="expression" dxfId="1169" priority="61">
      <formula>$P$2=0</formula>
    </cfRule>
  </conditionalFormatting>
  <conditionalFormatting sqref="Q6:Q7 Q54:Q55">
    <cfRule type="expression" dxfId="1168" priority="60">
      <formula>$Q$2=0</formula>
    </cfRule>
  </conditionalFormatting>
  <conditionalFormatting sqref="C6:C7">
    <cfRule type="expression" dxfId="1167" priority="59">
      <formula>$C$5=0</formula>
    </cfRule>
  </conditionalFormatting>
  <conditionalFormatting sqref="C54:C55">
    <cfRule type="expression" dxfId="1166" priority="58">
      <formula>$C$53=0</formula>
    </cfRule>
  </conditionalFormatting>
  <conditionalFormatting sqref="G6:G7">
    <cfRule type="expression" dxfId="1165" priority="57">
      <formula>$G$5=0</formula>
    </cfRule>
  </conditionalFormatting>
  <conditionalFormatting sqref="G54:G55">
    <cfRule type="expression" dxfId="1164" priority="56">
      <formula>$G$53=0</formula>
    </cfRule>
  </conditionalFormatting>
  <conditionalFormatting sqref="K6:K7">
    <cfRule type="expression" dxfId="1163" priority="55">
      <formula>$K$5=0</formula>
    </cfRule>
  </conditionalFormatting>
  <conditionalFormatting sqref="K54:K55">
    <cfRule type="expression" dxfId="1162" priority="54">
      <formula>$K$53=0</formula>
    </cfRule>
  </conditionalFormatting>
  <conditionalFormatting sqref="O6:O7">
    <cfRule type="expression" dxfId="1161" priority="53">
      <formula>$O$5=0</formula>
    </cfRule>
  </conditionalFormatting>
  <conditionalFormatting sqref="O54:O55">
    <cfRule type="expression" dxfId="1160" priority="52">
      <formula>$O$53=0</formula>
    </cfRule>
  </conditionalFormatting>
  <conditionalFormatting sqref="D131:D133">
    <cfRule type="expression" dxfId="1159" priority="51">
      <formula>$D$127=0</formula>
    </cfRule>
  </conditionalFormatting>
  <conditionalFormatting sqref="E131:E133">
    <cfRule type="expression" dxfId="1158" priority="50">
      <formula>$E$127=0</formula>
    </cfRule>
  </conditionalFormatting>
  <conditionalFormatting sqref="H131:H133">
    <cfRule type="expression" dxfId="1157" priority="49">
      <formula>$H$127=0</formula>
    </cfRule>
  </conditionalFormatting>
  <conditionalFormatting sqref="I131:I133">
    <cfRule type="expression" dxfId="1156" priority="47">
      <formula>$I$127=0</formula>
    </cfRule>
  </conditionalFormatting>
  <conditionalFormatting sqref="L131:L133">
    <cfRule type="expression" dxfId="1155" priority="46">
      <formula>$L$127=0</formula>
    </cfRule>
  </conditionalFormatting>
  <conditionalFormatting sqref="M131:M133">
    <cfRule type="expression" dxfId="1154" priority="45">
      <formula>$M$127=0</formula>
    </cfRule>
  </conditionalFormatting>
  <conditionalFormatting sqref="P131:P133">
    <cfRule type="expression" dxfId="1153" priority="44">
      <formula>$P$127=0</formula>
    </cfRule>
  </conditionalFormatting>
  <conditionalFormatting sqref="Q131:Q133">
    <cfRule type="expression" dxfId="1152" priority="43">
      <formula>$Q$127=0</formula>
    </cfRule>
  </conditionalFormatting>
  <conditionalFormatting sqref="C131:C133">
    <cfRule type="expression" dxfId="1151" priority="42">
      <formula>$C$130=0</formula>
    </cfRule>
  </conditionalFormatting>
  <conditionalFormatting sqref="G131:G133">
    <cfRule type="expression" dxfId="1150" priority="41">
      <formula>$G$130=0</formula>
    </cfRule>
  </conditionalFormatting>
  <conditionalFormatting sqref="K131:K133">
    <cfRule type="expression" dxfId="1149" priority="40">
      <formula>$K$130=0</formula>
    </cfRule>
  </conditionalFormatting>
  <conditionalFormatting sqref="O131:O133">
    <cfRule type="expression" dxfId="1148" priority="39">
      <formula>$O$130=0</formula>
    </cfRule>
  </conditionalFormatting>
  <conditionalFormatting sqref="A59">
    <cfRule type="cellIs" dxfId="1147" priority="38" operator="equal">
      <formula>"Неравнение от ЗАКРЪГЛЕНИЯ за разпределение м/у ЗАДБАЛАНСОВИ позиции"</formula>
    </cfRule>
  </conditionalFormatting>
  <conditionalFormatting sqref="C58:Q59">
    <cfRule type="cellIs" dxfId="1146" priority="37" operator="equal">
      <formula>0</formula>
    </cfRule>
  </conditionalFormatting>
  <conditionalFormatting sqref="A61">
    <cfRule type="cellIs" dxfId="1145" priority="36" operator="equal">
      <formula>0</formula>
    </cfRule>
  </conditionalFormatting>
  <conditionalFormatting sqref="A62">
    <cfRule type="cellIs" dxfId="1144" priority="35" operator="equal">
      <formula>0</formula>
    </cfRule>
  </conditionalFormatting>
  <conditionalFormatting sqref="A63">
    <cfRule type="cellIs" dxfId="1143" priority="34" operator="equal">
      <formula>0</formula>
    </cfRule>
  </conditionalFormatting>
  <conditionalFormatting sqref="C61:E61 G61:I61 K61:M61 O61:Q61">
    <cfRule type="cellIs" dxfId="1142" priority="33" operator="equal">
      <formula>0</formula>
    </cfRule>
  </conditionalFormatting>
  <conditionalFormatting sqref="D62:D63">
    <cfRule type="expression" dxfId="1141" priority="32">
      <formula>$D$58=0</formula>
    </cfRule>
  </conditionalFormatting>
  <conditionalFormatting sqref="E62:E63">
    <cfRule type="expression" dxfId="1140" priority="31">
      <formula>$E$58=0</formula>
    </cfRule>
  </conditionalFormatting>
  <conditionalFormatting sqref="H62:H63">
    <cfRule type="expression" dxfId="1139" priority="30">
      <formula>$H$58=0</formula>
    </cfRule>
  </conditionalFormatting>
  <conditionalFormatting sqref="I62:I63">
    <cfRule type="expression" dxfId="1138" priority="29">
      <formula>$I$58=0</formula>
    </cfRule>
  </conditionalFormatting>
  <conditionalFormatting sqref="L62:L63">
    <cfRule type="expression" dxfId="1137" priority="28">
      <formula>$L$58=0</formula>
    </cfRule>
  </conditionalFormatting>
  <conditionalFormatting sqref="M62:M63">
    <cfRule type="expression" dxfId="1136" priority="27">
      <formula>$M$58=0</formula>
    </cfRule>
  </conditionalFormatting>
  <conditionalFormatting sqref="P62:P63">
    <cfRule type="expression" dxfId="1135" priority="26">
      <formula>$P$58=0</formula>
    </cfRule>
  </conditionalFormatting>
  <conditionalFormatting sqref="Q62:Q63">
    <cfRule type="expression" dxfId="1134" priority="25">
      <formula>$Q$58=0</formula>
    </cfRule>
  </conditionalFormatting>
  <conditionalFormatting sqref="C62:C63">
    <cfRule type="expression" dxfId="1133" priority="24">
      <formula>$C$61=0</formula>
    </cfRule>
  </conditionalFormatting>
  <conditionalFormatting sqref="G62:G63">
    <cfRule type="expression" dxfId="1132" priority="23">
      <formula>$G$61=0</formula>
    </cfRule>
  </conditionalFormatting>
  <conditionalFormatting sqref="K62:K63">
    <cfRule type="expression" dxfId="1131" priority="22">
      <formula>$K$61=0</formula>
    </cfRule>
  </conditionalFormatting>
  <conditionalFormatting sqref="O62:O63">
    <cfRule type="expression" dxfId="1130" priority="21">
      <formula>$O$61=0</formula>
    </cfRule>
  </conditionalFormatting>
  <conditionalFormatting sqref="D57">
    <cfRule type="cellIs" dxfId="1129" priority="15" operator="equal">
      <formula>0</formula>
    </cfRule>
  </conditionalFormatting>
  <conditionalFormatting sqref="E57">
    <cfRule type="cellIs" dxfId="1128" priority="14" operator="equal">
      <formula>0</formula>
    </cfRule>
  </conditionalFormatting>
  <conditionalFormatting sqref="H57:I57">
    <cfRule type="cellIs" dxfId="1127" priority="13" operator="equal">
      <formula>0</formula>
    </cfRule>
  </conditionalFormatting>
  <conditionalFormatting sqref="L57:M57">
    <cfRule type="cellIs" dxfId="1126" priority="12" operator="equal">
      <formula>0</formula>
    </cfRule>
  </conditionalFormatting>
  <conditionalFormatting sqref="P57:Q57">
    <cfRule type="cellIs" dxfId="1125" priority="11" operator="equal">
      <formula>0</formula>
    </cfRule>
  </conditionalFormatting>
  <conditionalFormatting sqref="D66">
    <cfRule type="cellIs" dxfId="1124" priority="10" operator="equal">
      <formula>0</formula>
    </cfRule>
  </conditionalFormatting>
  <conditionalFormatting sqref="E66">
    <cfRule type="cellIs" dxfId="1123" priority="9" operator="equal">
      <formula>0</formula>
    </cfRule>
  </conditionalFormatting>
  <conditionalFormatting sqref="H66:I66">
    <cfRule type="cellIs" dxfId="1122" priority="8" operator="equal">
      <formula>0</formula>
    </cfRule>
  </conditionalFormatting>
  <conditionalFormatting sqref="L66:M66">
    <cfRule type="cellIs" dxfId="1121" priority="7" operator="equal">
      <formula>0</formula>
    </cfRule>
  </conditionalFormatting>
  <conditionalFormatting sqref="P66:Q66">
    <cfRule type="cellIs" dxfId="1120" priority="6" operator="equal">
      <formula>0</formula>
    </cfRule>
  </conditionalFormatting>
  <conditionalFormatting sqref="D1">
    <cfRule type="cellIs" dxfId="1119" priority="5" operator="equal">
      <formula>0</formula>
    </cfRule>
  </conditionalFormatting>
  <conditionalFormatting sqref="E1">
    <cfRule type="cellIs" dxfId="1118" priority="4" operator="equal">
      <formula>0</formula>
    </cfRule>
  </conditionalFormatting>
  <conditionalFormatting sqref="H1:I1">
    <cfRule type="cellIs" dxfId="1117" priority="3" operator="equal">
      <formula>0</formula>
    </cfRule>
  </conditionalFormatting>
  <conditionalFormatting sqref="L1:M1">
    <cfRule type="cellIs" dxfId="1116" priority="2" operator="equal">
      <formula>0</formula>
    </cfRule>
  </conditionalFormatting>
  <conditionalFormatting sqref="P1:Q1">
    <cfRule type="cellIs" dxfId="1115" priority="1" operator="equal">
      <formula>0</formula>
    </cfRule>
  </conditionalFormatting>
  <dataValidations count="5">
    <dataValidation type="whole" allowBlank="1" showInputMessage="1" showErrorMessage="1" error="Допустимите стойности са цели числа в интервала [-2;+2]!" sqref="D6:E7 D54:E55 D131:E133 H131:I133 L131:M133 P131:Q133 H6:I7 H54:I55 L6:M7 L54:M55 P6:Q7 P54:Q55 D62:E63 H62:I63 L62:M63 P62:Q63">
      <formula1>-2</formula1>
      <formula2>2</formula2>
    </dataValidation>
    <dataValidation type="list" allowBlank="1" showInputMessage="1" showErrorMessage="1" sqref="G6:G7 K6:K7 O6:O7 C6:C7">
      <formula1>$C$10:$C$32</formula1>
    </dataValidation>
    <dataValidation type="list" allowBlank="1" showInputMessage="1" showErrorMessage="1" sqref="O54:O55 K54:K55 G54:G55 C54:C55">
      <formula1>$C$35:$C$51</formula1>
    </dataValidation>
    <dataValidation type="list" allowBlank="1" showInputMessage="1" showErrorMessage="1" sqref="C131:C133 G131:G133 K131:K133 O131:O133">
      <formula1>$C$68:$C$125</formula1>
    </dataValidation>
    <dataValidation type="whole" allowBlank="1" showInputMessage="1" showErrorMessage="1" sqref="C62:C63 G62:G63 K62:K63 O62:O63">
      <formula1>0</formula1>
      <formula2>9999</formula2>
    </dataValidation>
  </dataValidations>
  <pageMargins left="0.17" right="0.17" top="0.19685039370078741" bottom="0.19685039370078741" header="0.15748031496062992" footer="0.15748031496062992"/>
  <pageSetup paperSize="9" scale="69" orientation="landscape" horizontalDpi="1200" r:id="rId1"/>
  <headerFooter alignWithMargins="0"/>
  <ignoredErrors>
    <ignoredError sqref="O62:O63 K62:K63 G62:G63" unlockedFormula="1"/>
  </ignoredErrors>
</worksheet>
</file>

<file path=xl/worksheets/sheet14.xml><?xml version="1.0" encoding="utf-8"?>
<worksheet xmlns="http://schemas.openxmlformats.org/spreadsheetml/2006/main" xmlns:r="http://schemas.openxmlformats.org/officeDocument/2006/relationships">
  <dimension ref="A1:Z949"/>
  <sheetViews>
    <sheetView zoomScaleNormal="100" workbookViewId="0">
      <pane xSplit="12" ySplit="13" topLeftCell="M14" activePane="bottomRight" state="frozen"/>
      <selection pane="topRight" activeCell="M1" sqref="M1"/>
      <selection pane="bottomLeft" activeCell="A14" sqref="A14"/>
      <selection pane="bottomRight" activeCell="M14" sqref="M14"/>
    </sheetView>
  </sheetViews>
  <sheetFormatPr defaultRowHeight="15.75"/>
  <cols>
    <col min="1" max="1" width="6.140625" style="1392" customWidth="1"/>
    <col min="2" max="2" width="8.7109375" style="1392" customWidth="1"/>
    <col min="3" max="3" width="9.7109375" style="1392" customWidth="1"/>
    <col min="4" max="4" width="9.42578125" style="1392" customWidth="1"/>
    <col min="5" max="5" width="9.140625" style="1392"/>
    <col min="6" max="6" width="9.85546875" style="1392" customWidth="1"/>
    <col min="7" max="7" width="9" style="1392" customWidth="1"/>
    <col min="8" max="8" width="8.140625" style="1392" customWidth="1"/>
    <col min="9" max="9" width="10.7109375" style="1392" customWidth="1"/>
    <col min="10" max="10" width="1.140625" style="1392" customWidth="1"/>
    <col min="11" max="11" width="11.140625" style="1392" customWidth="1"/>
    <col min="12" max="12" width="12" style="1392" customWidth="1"/>
    <col min="13" max="13" width="1" style="1395" customWidth="1"/>
    <col min="14" max="14" width="7.28515625" style="1396" customWidth="1"/>
    <col min="15" max="20" width="21" style="1393" customWidth="1"/>
    <col min="21" max="21" width="1" style="1395" customWidth="1"/>
    <col min="22" max="22" width="26.140625" style="2118" customWidth="1"/>
    <col min="23" max="16384" width="9.140625" style="1392"/>
  </cols>
  <sheetData>
    <row r="1" spans="1:26" ht="2.25" customHeight="1" thickBot="1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45"/>
      <c r="N1" s="110"/>
      <c r="O1" s="17"/>
      <c r="P1" s="17"/>
      <c r="Q1" s="17"/>
      <c r="R1" s="17"/>
      <c r="S1" s="17"/>
      <c r="T1" s="17"/>
      <c r="U1" s="45"/>
      <c r="V1" s="2116"/>
      <c r="W1" s="43"/>
      <c r="X1" s="43"/>
      <c r="Y1" s="43"/>
      <c r="Z1" s="43"/>
    </row>
    <row r="2" spans="1:26" ht="18" customHeight="1" thickBot="1">
      <c r="A2" s="439" t="s">
        <v>257</v>
      </c>
      <c r="B2" s="3"/>
      <c r="C2" s="4"/>
      <c r="D2" s="3"/>
      <c r="E2" s="2517" t="str">
        <f>+'TRIAL-BALANCE'!E2:L2</f>
        <v>ОУ "ПРОФЕСОР МАРИН ДРИНОВ"</v>
      </c>
      <c r="F2" s="2518"/>
      <c r="G2" s="2518"/>
      <c r="H2" s="2518"/>
      <c r="I2" s="2518"/>
      <c r="J2" s="2518"/>
      <c r="K2" s="2518"/>
      <c r="L2" s="2519"/>
      <c r="M2" s="46"/>
      <c r="N2" s="1950" t="str">
        <f>+LEFT(H12,6)</f>
        <v>31 мар</v>
      </c>
      <c r="O2" s="422" t="s">
        <v>191</v>
      </c>
      <c r="P2" s="423" t="str">
        <f>+IF(+P892=0,"O K","НЕРАВНЕНИЕ !")</f>
        <v>O K</v>
      </c>
      <c r="Q2" s="424" t="s">
        <v>188</v>
      </c>
      <c r="R2" s="425" t="str">
        <f>+IF(+R892=0,"O K","НЕРАВНЕНИЕ !")</f>
        <v>O K</v>
      </c>
      <c r="S2" s="426" t="s">
        <v>192</v>
      </c>
      <c r="T2" s="427" t="str">
        <f>+IF(+T892=0,"O K","НЕРАВНЕНИЕ !")</f>
        <v>O K</v>
      </c>
      <c r="U2" s="521"/>
      <c r="V2" s="2117"/>
      <c r="W2" s="522"/>
      <c r="X2" s="43"/>
      <c r="Y2" s="43"/>
      <c r="Z2" s="43"/>
    </row>
    <row r="3" spans="1:26" ht="3.75" customHeight="1" thickBot="1">
      <c r="A3" s="2459" t="str">
        <f>+IF('Local-&amp;-SSF'!E6&gt;0,"Код на общински разпоредител с бюджет","код от Регистъра на бюдж. организации в СЕБРА")</f>
        <v>код от Регистъра на бюдж. организации в СЕБРА</v>
      </c>
      <c r="B3" s="2459"/>
      <c r="C3" s="2459"/>
      <c r="D3" s="1918"/>
      <c r="E3" s="1918"/>
      <c r="F3" s="1918"/>
      <c r="G3" s="1918"/>
      <c r="H3" s="1918"/>
      <c r="I3" s="1918"/>
      <c r="J3" s="1918"/>
      <c r="K3" s="1918"/>
      <c r="L3" s="1918"/>
      <c r="M3" s="45"/>
      <c r="N3" s="110"/>
      <c r="O3" s="428"/>
      <c r="P3" s="428"/>
      <c r="Q3" s="428"/>
      <c r="R3" s="428"/>
      <c r="S3" s="428"/>
      <c r="T3" s="428"/>
      <c r="U3" s="523"/>
      <c r="V3" s="2117"/>
      <c r="W3" s="522"/>
      <c r="X3" s="43"/>
      <c r="Y3" s="43"/>
      <c r="Z3" s="43"/>
    </row>
    <row r="4" spans="1:26" ht="16.5" customHeight="1" thickBot="1">
      <c r="A4" s="2459"/>
      <c r="B4" s="2459"/>
      <c r="C4" s="2459"/>
      <c r="D4" s="2460">
        <f>+'TRIAL-BALANCE'!D4:E4</f>
        <v>0</v>
      </c>
      <c r="E4" s="2461"/>
      <c r="F4" s="1919" t="s">
        <v>1949</v>
      </c>
      <c r="G4" s="2462">
        <f>+'TRIAL-BALANCE'!G4:L4</f>
        <v>0</v>
      </c>
      <c r="H4" s="2463"/>
      <c r="I4" s="2463"/>
      <c r="J4" s="2463"/>
      <c r="K4" s="2463"/>
      <c r="L4" s="2464"/>
      <c r="M4" s="47"/>
      <c r="N4" s="1950" t="str">
        <f>+IF($N$2="31 дек","12",+IF($N$2="30 сеп","09",+IF($N$2="30 юни","06",+IF($N$2="31 мар","03",0))))</f>
        <v>03</v>
      </c>
      <c r="O4" s="422" t="s">
        <v>189</v>
      </c>
      <c r="P4" s="423" t="str">
        <f>+IF(+P894=0,"O K","НЕРАВНЕНИЕ !")</f>
        <v>O K</v>
      </c>
      <c r="Q4" s="424" t="s">
        <v>190</v>
      </c>
      <c r="R4" s="425" t="str">
        <f>+IF(+R894=0,"O K","НЕРАВНЕНИЕ !")</f>
        <v>O K</v>
      </c>
      <c r="S4" s="426" t="s">
        <v>193</v>
      </c>
      <c r="T4" s="429" t="str">
        <f>+IF(+T894=0,"O K","НЕРАВНЕНИЕ !")</f>
        <v>O K</v>
      </c>
      <c r="U4" s="524"/>
      <c r="V4" s="2117"/>
      <c r="W4" s="522"/>
      <c r="X4" s="43"/>
      <c r="Y4" s="43"/>
      <c r="Z4" s="43"/>
    </row>
    <row r="5" spans="1:26" ht="3.75" customHeight="1" thickBot="1">
      <c r="A5" s="2459"/>
      <c r="B5" s="2459"/>
      <c r="C5" s="2459"/>
      <c r="D5" s="1918"/>
      <c r="E5" s="1918"/>
      <c r="F5" s="1918"/>
      <c r="G5" s="1918"/>
      <c r="H5" s="1918"/>
      <c r="I5" s="1918"/>
      <c r="J5" s="1918"/>
      <c r="K5" s="1918"/>
      <c r="L5" s="1918"/>
      <c r="M5" s="45"/>
      <c r="N5" s="111"/>
      <c r="O5" s="428"/>
      <c r="P5" s="428"/>
      <c r="Q5" s="428"/>
      <c r="R5" s="428"/>
      <c r="S5" s="428"/>
      <c r="T5" s="428"/>
      <c r="U5" s="45"/>
      <c r="V5" s="2116"/>
      <c r="W5" s="43"/>
      <c r="X5" s="43"/>
      <c r="Y5" s="43"/>
      <c r="Z5" s="43"/>
    </row>
    <row r="6" spans="1:26" ht="18" customHeight="1">
      <c r="A6" s="518" t="s">
        <v>792</v>
      </c>
      <c r="B6" s="3"/>
      <c r="C6" s="2451">
        <f>+'TRIAL-BALANCE'!C6:E6</f>
        <v>341731</v>
      </c>
      <c r="D6" s="2452"/>
      <c r="E6" s="2453"/>
      <c r="F6" s="205" t="s">
        <v>534</v>
      </c>
      <c r="G6" s="2454" t="str">
        <f>+'TRIAL-BALANCE'!G6:L6</f>
        <v xml:space="preserve">                              </v>
      </c>
      <c r="H6" s="2455"/>
      <c r="I6" s="2455"/>
      <c r="J6" s="2455"/>
      <c r="K6" s="2455"/>
      <c r="L6" s="2456"/>
      <c r="M6" s="48"/>
      <c r="N6" s="111"/>
      <c r="O6" s="2426" t="s">
        <v>185</v>
      </c>
      <c r="P6" s="2427"/>
      <c r="Q6" s="2427"/>
      <c r="R6" s="2427"/>
      <c r="S6" s="2427"/>
      <c r="T6" s="2428"/>
      <c r="U6" s="48"/>
      <c r="V6" s="2116"/>
      <c r="W6" s="43"/>
      <c r="X6" s="43"/>
      <c r="Y6" s="43"/>
      <c r="Z6" s="43"/>
    </row>
    <row r="7" spans="1:26" ht="3.75" customHeight="1">
      <c r="A7" s="440"/>
      <c r="B7" s="2"/>
      <c r="C7" s="45"/>
      <c r="D7" s="45"/>
      <c r="E7" s="45"/>
      <c r="F7" s="45"/>
      <c r="G7" s="45"/>
      <c r="H7" s="45"/>
      <c r="I7" s="45"/>
      <c r="J7" s="45"/>
      <c r="K7" s="45"/>
      <c r="L7" s="45"/>
      <c r="M7" s="421"/>
      <c r="N7" s="1119"/>
      <c r="O7" s="2620"/>
      <c r="P7" s="2621"/>
      <c r="Q7" s="2621"/>
      <c r="R7" s="2621"/>
      <c r="S7" s="2621"/>
      <c r="T7" s="2622"/>
      <c r="U7" s="45"/>
      <c r="V7" s="2116"/>
      <c r="W7" s="43"/>
      <c r="X7" s="43"/>
      <c r="Y7" s="43"/>
      <c r="Z7" s="43"/>
    </row>
    <row r="8" spans="1:26" ht="18" customHeight="1">
      <c r="A8" s="441" t="s">
        <v>258</v>
      </c>
      <c r="B8" s="6"/>
      <c r="C8" s="1056">
        <f>+'TRIAL-BALANCE'!C8</f>
        <v>0</v>
      </c>
      <c r="D8" s="199" t="s">
        <v>1137</v>
      </c>
      <c r="E8" s="964">
        <f>+'TRIAL-BALANCE'!E8</f>
        <v>2020</v>
      </c>
      <c r="F8" s="443" t="s">
        <v>1204</v>
      </c>
      <c r="G8" s="2457" t="str">
        <f>+'TRIAL-BALANCE'!G8:H8</f>
        <v xml:space="preserve">;                             </v>
      </c>
      <c r="H8" s="2458"/>
      <c r="I8" s="1269" t="s">
        <v>1206</v>
      </c>
      <c r="J8" s="2454">
        <f>+'TRIAL-BALANCE'!J8:L8</f>
        <v>0</v>
      </c>
      <c r="K8" s="2455"/>
      <c r="L8" s="2456"/>
      <c r="M8" s="48"/>
      <c r="N8" s="1579" t="s">
        <v>378</v>
      </c>
      <c r="O8" s="1120" t="s">
        <v>498</v>
      </c>
      <c r="P8" s="1121"/>
      <c r="Q8" s="1122" t="str">
        <f>+O8</f>
        <v xml:space="preserve"> "Сметки за средства от ЕС" - NF-KSF</v>
      </c>
      <c r="R8" s="1123"/>
      <c r="S8" s="1124" t="str">
        <f>+O8</f>
        <v xml:space="preserve"> "Сметки за средства от ЕС" - NF-KSF</v>
      </c>
      <c r="T8" s="1125"/>
      <c r="U8" s="48"/>
      <c r="V8" s="2116"/>
      <c r="W8" s="43"/>
      <c r="X8" s="43"/>
      <c r="Y8" s="43"/>
      <c r="Z8" s="43"/>
    </row>
    <row r="9" spans="1:26" ht="3.75" customHeight="1">
      <c r="A9" s="440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45"/>
      <c r="N9" s="1566"/>
      <c r="O9" s="22"/>
      <c r="P9" s="23"/>
      <c r="Q9" s="24"/>
      <c r="R9" s="23"/>
      <c r="S9" s="1099"/>
      <c r="T9" s="25"/>
      <c r="U9" s="45"/>
      <c r="V9" s="2116"/>
      <c r="W9" s="43"/>
      <c r="X9" s="43"/>
      <c r="Y9" s="43"/>
      <c r="Z9" s="43"/>
    </row>
    <row r="10" spans="1:26" ht="18" customHeight="1">
      <c r="A10" s="199" t="s">
        <v>259</v>
      </c>
      <c r="B10" s="5"/>
      <c r="C10" s="965" t="str">
        <f>+'TRIAL-BALANCE'!C10</f>
        <v>/с б о р е н/</v>
      </c>
      <c r="D10" s="7" t="s">
        <v>261</v>
      </c>
      <c r="E10" s="5"/>
      <c r="F10" s="966" t="s">
        <v>490</v>
      </c>
      <c r="G10" s="199" t="s">
        <v>380</v>
      </c>
      <c r="H10" s="147"/>
      <c r="I10" s="5"/>
      <c r="J10" s="5"/>
      <c r="K10" s="2446">
        <f>+'TRIAL-BALANCE'!K10:L10</f>
        <v>0</v>
      </c>
      <c r="L10" s="2447"/>
      <c r="M10" s="49"/>
      <c r="N10" s="1567">
        <f>+C8</f>
        <v>0</v>
      </c>
      <c r="O10" s="142" t="s">
        <v>379</v>
      </c>
      <c r="P10" s="143"/>
      <c r="Q10" s="26" t="s">
        <v>262</v>
      </c>
      <c r="R10" s="144"/>
      <c r="S10" s="145" t="s">
        <v>263</v>
      </c>
      <c r="T10" s="146"/>
      <c r="U10" s="49"/>
      <c r="V10" s="2122">
        <f>+IF(V13&gt;0,"СЕС - NF-CSF",0)</f>
        <v>0</v>
      </c>
      <c r="W10" s="43"/>
      <c r="X10" s="43"/>
      <c r="Y10" s="43"/>
      <c r="Z10" s="43"/>
    </row>
    <row r="11" spans="1:26" ht="3.75" customHeight="1">
      <c r="A11" s="53"/>
      <c r="B11" s="45"/>
      <c r="C11" s="45"/>
      <c r="D11" s="45"/>
      <c r="E11" s="45"/>
      <c r="F11" s="45"/>
      <c r="G11" s="45"/>
      <c r="H11" s="45"/>
      <c r="I11" s="45"/>
      <c r="J11" s="45"/>
      <c r="K11" s="45"/>
      <c r="L11" s="45"/>
      <c r="M11" s="45"/>
      <c r="N11" s="1401"/>
      <c r="O11" s="132"/>
      <c r="P11" s="133"/>
      <c r="Q11" s="134"/>
      <c r="R11" s="135"/>
      <c r="S11" s="134"/>
      <c r="T11" s="136"/>
      <c r="U11" s="45"/>
      <c r="V11" s="2116"/>
      <c r="W11" s="43"/>
      <c r="X11" s="43"/>
      <c r="Y11" s="43"/>
      <c r="Z11" s="43"/>
    </row>
    <row r="12" spans="1:26" ht="19.5" customHeight="1">
      <c r="A12" s="1126" t="s">
        <v>1002</v>
      </c>
      <c r="B12" s="1127"/>
      <c r="C12" s="1128"/>
      <c r="D12" s="1129"/>
      <c r="E12" s="2624" t="str">
        <f>+F10</f>
        <v>NF-CSF</v>
      </c>
      <c r="F12" s="2624"/>
      <c r="G12" s="1130" t="s">
        <v>1003</v>
      </c>
      <c r="H12" s="2625" t="str">
        <f>+'TRIAL-BALANCE'!H12:K12</f>
        <v>31 март 2020 г.</v>
      </c>
      <c r="I12" s="2625"/>
      <c r="J12" s="2625"/>
      <c r="K12" s="2625"/>
      <c r="L12" s="1131" t="str">
        <f>+'TRIAL-BALANCE'!L12</f>
        <v xml:space="preserve"> (в левове)</v>
      </c>
      <c r="M12" s="50"/>
      <c r="N12" s="1568" t="s">
        <v>162</v>
      </c>
      <c r="O12" s="1059" t="s">
        <v>370</v>
      </c>
      <c r="P12" s="1088" t="s">
        <v>371</v>
      </c>
      <c r="Q12" s="1089" t="s">
        <v>46</v>
      </c>
      <c r="R12" s="1090" t="s">
        <v>386</v>
      </c>
      <c r="S12" s="1091" t="s">
        <v>370</v>
      </c>
      <c r="T12" s="1060" t="s">
        <v>371</v>
      </c>
      <c r="U12" s="50"/>
      <c r="V12" s="2121">
        <f>+IF(V13&gt;0,"брой грешни крайни с/да",0)</f>
        <v>0</v>
      </c>
      <c r="W12" s="43"/>
      <c r="X12" s="43"/>
      <c r="Y12" s="43"/>
      <c r="Z12" s="43"/>
    </row>
    <row r="13" spans="1:26">
      <c r="A13" s="515" t="s">
        <v>202</v>
      </c>
      <c r="B13" s="516" t="s">
        <v>372</v>
      </c>
      <c r="C13" s="517"/>
      <c r="D13" s="517"/>
      <c r="E13" s="517"/>
      <c r="F13" s="517"/>
      <c r="G13" s="517"/>
      <c r="H13" s="2617">
        <f>+IF(V13=0,0,"ИМА грешни КРАЙНИ салда - виж колона V")</f>
        <v>0</v>
      </c>
      <c r="I13" s="2617"/>
      <c r="J13" s="2617"/>
      <c r="K13" s="2617"/>
      <c r="L13" s="2618"/>
      <c r="M13" s="344"/>
      <c r="N13" s="1132" t="s">
        <v>202</v>
      </c>
      <c r="O13" s="1133">
        <f t="shared" ref="O13:T13" si="0">+O890</f>
        <v>0</v>
      </c>
      <c r="P13" s="1134">
        <f t="shared" si="0"/>
        <v>0</v>
      </c>
      <c r="Q13" s="1135">
        <f t="shared" si="0"/>
        <v>0</v>
      </c>
      <c r="R13" s="1134">
        <f t="shared" si="0"/>
        <v>0</v>
      </c>
      <c r="S13" s="1135">
        <f t="shared" si="0"/>
        <v>0</v>
      </c>
      <c r="T13" s="1136">
        <f t="shared" si="0"/>
        <v>0</v>
      </c>
      <c r="U13" s="344"/>
      <c r="V13" s="2122">
        <f>COUNTIF(V14:V887,"&gt;0")+COUNTIF(V14:V887,"&lt;0")</f>
        <v>0</v>
      </c>
      <c r="W13" s="43"/>
      <c r="X13" s="43"/>
      <c r="Y13" s="43"/>
      <c r="Z13" s="43"/>
    </row>
    <row r="14" spans="1:26">
      <c r="A14" s="85">
        <v>1001</v>
      </c>
      <c r="B14" s="377" t="s">
        <v>953</v>
      </c>
      <c r="C14" s="86"/>
      <c r="D14" s="86"/>
      <c r="E14" s="86"/>
      <c r="F14" s="86"/>
      <c r="G14" s="86"/>
      <c r="H14" s="86"/>
      <c r="I14" s="86"/>
      <c r="J14" s="86"/>
      <c r="K14" s="86"/>
      <c r="L14" s="87"/>
      <c r="M14" s="51"/>
      <c r="N14" s="112">
        <f t="shared" ref="N14:N26" si="1">+A14</f>
        <v>1001</v>
      </c>
      <c r="O14" s="323">
        <v>0</v>
      </c>
      <c r="P14" s="324">
        <v>0</v>
      </c>
      <c r="Q14" s="325">
        <v>0</v>
      </c>
      <c r="R14" s="324">
        <v>0</v>
      </c>
      <c r="S14" s="326">
        <f>+IF(ABS(+O14+Q14)&gt;=ABS(P14+R14),+O14-P14+Q14-R14,0)</f>
        <v>0</v>
      </c>
      <c r="T14" s="327">
        <f>+IF(ABS(+O14+Q14)&lt;=ABS(P14+R14),-O14+P14-Q14+R14,0)</f>
        <v>0</v>
      </c>
      <c r="U14" s="51"/>
      <c r="V14" s="2119"/>
      <c r="W14" s="43"/>
      <c r="X14" s="376"/>
      <c r="Y14" s="43"/>
      <c r="Z14" s="43"/>
    </row>
    <row r="15" spans="1:26">
      <c r="A15" s="88">
        <v>1101</v>
      </c>
      <c r="B15" s="378" t="s">
        <v>954</v>
      </c>
      <c r="C15" s="1033"/>
      <c r="D15" s="1033"/>
      <c r="E15" s="1033"/>
      <c r="F15" s="1033"/>
      <c r="G15" s="1033"/>
      <c r="H15" s="1033"/>
      <c r="I15" s="1033"/>
      <c r="J15" s="1033"/>
      <c r="K15" s="1033"/>
      <c r="L15" s="90"/>
      <c r="M15" s="51"/>
      <c r="N15" s="113">
        <f t="shared" si="1"/>
        <v>1101</v>
      </c>
      <c r="O15" s="323">
        <v>0</v>
      </c>
      <c r="P15" s="324">
        <v>0</v>
      </c>
      <c r="Q15" s="325">
        <v>0</v>
      </c>
      <c r="R15" s="324">
        <v>0</v>
      </c>
      <c r="S15" s="326">
        <f>+IF(ABS(+O15+Q15)&gt;=ABS(P15+R15),+O15-P15+Q15-R15,0)</f>
        <v>0</v>
      </c>
      <c r="T15" s="327">
        <f>+IF(ABS(+O15+Q15)&lt;=ABS(P15+R15),-O15+P15-Q15+R15,0)</f>
        <v>0</v>
      </c>
      <c r="U15" s="51"/>
      <c r="V15" s="2119"/>
      <c r="W15" s="43"/>
      <c r="X15" s="376"/>
      <c r="Y15" s="43"/>
      <c r="Z15" s="43"/>
    </row>
    <row r="16" spans="1:26">
      <c r="A16" s="88">
        <v>1201</v>
      </c>
      <c r="B16" s="378" t="s">
        <v>955</v>
      </c>
      <c r="C16" s="1033"/>
      <c r="D16" s="1033"/>
      <c r="E16" s="1033"/>
      <c r="F16" s="1033"/>
      <c r="G16" s="1033"/>
      <c r="H16" s="1033"/>
      <c r="I16" s="1033"/>
      <c r="J16" s="1033"/>
      <c r="K16" s="1033"/>
      <c r="L16" s="90"/>
      <c r="M16" s="51"/>
      <c r="N16" s="113">
        <f t="shared" si="1"/>
        <v>1201</v>
      </c>
      <c r="O16" s="575">
        <v>0</v>
      </c>
      <c r="P16" s="582">
        <v>0</v>
      </c>
      <c r="Q16" s="29">
        <v>0</v>
      </c>
      <c r="R16" s="9">
        <v>0</v>
      </c>
      <c r="S16" s="579">
        <v>0</v>
      </c>
      <c r="T16" s="584">
        <v>0</v>
      </c>
      <c r="U16" s="51"/>
      <c r="V16" s="2125">
        <f t="shared" ref="V16:V25" si="2">+IF(OR(O16&lt;&gt;0,P16&lt;&gt;0,Q16&lt;&gt;0,R16&lt;&gt;0,S16&lt;&gt;0,T16&lt;&gt;0),+IF(ABS(O16+Q16)-ABS(P16+R16)&lt;&gt;0,ABS(O16+Q16)-ABS(P16+R16),1),0)</f>
        <v>0</v>
      </c>
      <c r="W16" s="43"/>
      <c r="X16" s="43"/>
      <c r="Y16" s="43"/>
      <c r="Z16" s="43"/>
    </row>
    <row r="17" spans="1:26">
      <c r="A17" s="88">
        <v>1511</v>
      </c>
      <c r="B17" s="378" t="s">
        <v>956</v>
      </c>
      <c r="C17" s="1033"/>
      <c r="D17" s="1033"/>
      <c r="E17" s="1033"/>
      <c r="F17" s="1033"/>
      <c r="G17" s="1033"/>
      <c r="H17" s="1033"/>
      <c r="I17" s="1033"/>
      <c r="J17" s="1033"/>
      <c r="K17" s="1033"/>
      <c r="L17" s="90"/>
      <c r="M17" s="51"/>
      <c r="N17" s="113">
        <f t="shared" si="1"/>
        <v>1511</v>
      </c>
      <c r="O17" s="575">
        <v>0</v>
      </c>
      <c r="P17" s="582">
        <v>0</v>
      </c>
      <c r="Q17" s="29">
        <v>0</v>
      </c>
      <c r="R17" s="9">
        <v>0</v>
      </c>
      <c r="S17" s="579">
        <v>0</v>
      </c>
      <c r="T17" s="584">
        <v>0</v>
      </c>
      <c r="U17" s="51"/>
      <c r="V17" s="2125">
        <f t="shared" si="2"/>
        <v>0</v>
      </c>
      <c r="W17" s="43"/>
      <c r="X17" s="43"/>
      <c r="Y17" s="43"/>
      <c r="Z17" s="43"/>
    </row>
    <row r="18" spans="1:26">
      <c r="A18" s="88">
        <v>1517</v>
      </c>
      <c r="B18" s="378" t="s">
        <v>957</v>
      </c>
      <c r="C18" s="1033"/>
      <c r="D18" s="1033"/>
      <c r="E18" s="1033"/>
      <c r="F18" s="1033"/>
      <c r="G18" s="1033"/>
      <c r="H18" s="1033"/>
      <c r="I18" s="1033"/>
      <c r="J18" s="1033"/>
      <c r="K18" s="1033"/>
      <c r="L18" s="90"/>
      <c r="M18" s="51"/>
      <c r="N18" s="113">
        <f t="shared" si="1"/>
        <v>1517</v>
      </c>
      <c r="O18" s="575">
        <v>0</v>
      </c>
      <c r="P18" s="582">
        <v>0</v>
      </c>
      <c r="Q18" s="29">
        <v>0</v>
      </c>
      <c r="R18" s="9">
        <v>0</v>
      </c>
      <c r="S18" s="579">
        <v>0</v>
      </c>
      <c r="T18" s="584">
        <v>0</v>
      </c>
      <c r="U18" s="51"/>
      <c r="V18" s="2125">
        <f t="shared" si="2"/>
        <v>0</v>
      </c>
      <c r="W18" s="43"/>
      <c r="X18" s="43"/>
      <c r="Y18" s="43"/>
      <c r="Z18" s="43"/>
    </row>
    <row r="19" spans="1:26">
      <c r="A19" s="88">
        <v>1521</v>
      </c>
      <c r="B19" s="378" t="s">
        <v>958</v>
      </c>
      <c r="C19" s="1033"/>
      <c r="D19" s="1033"/>
      <c r="E19" s="1033"/>
      <c r="F19" s="1033"/>
      <c r="G19" s="1033"/>
      <c r="H19" s="1033"/>
      <c r="I19" s="1033"/>
      <c r="J19" s="1033"/>
      <c r="K19" s="1033"/>
      <c r="L19" s="90"/>
      <c r="M19" s="51"/>
      <c r="N19" s="113">
        <f t="shared" si="1"/>
        <v>1521</v>
      </c>
      <c r="O19" s="575">
        <v>0</v>
      </c>
      <c r="P19" s="582">
        <v>0</v>
      </c>
      <c r="Q19" s="29">
        <v>0</v>
      </c>
      <c r="R19" s="9">
        <v>0</v>
      </c>
      <c r="S19" s="579">
        <v>0</v>
      </c>
      <c r="T19" s="584">
        <v>0</v>
      </c>
      <c r="U19" s="51"/>
      <c r="V19" s="2125">
        <f t="shared" si="2"/>
        <v>0</v>
      </c>
      <c r="W19" s="43"/>
      <c r="X19" s="43"/>
      <c r="Y19" s="43"/>
      <c r="Z19" s="43"/>
    </row>
    <row r="20" spans="1:26">
      <c r="A20" s="88">
        <v>1523</v>
      </c>
      <c r="B20" s="378" t="s">
        <v>959</v>
      </c>
      <c r="C20" s="1033"/>
      <c r="D20" s="1033"/>
      <c r="E20" s="1033"/>
      <c r="F20" s="1033"/>
      <c r="G20" s="1033"/>
      <c r="H20" s="1033"/>
      <c r="I20" s="1033"/>
      <c r="J20" s="1033"/>
      <c r="K20" s="1033"/>
      <c r="L20" s="90"/>
      <c r="M20" s="51"/>
      <c r="N20" s="113">
        <f t="shared" si="1"/>
        <v>1523</v>
      </c>
      <c r="O20" s="575">
        <v>0</v>
      </c>
      <c r="P20" s="582">
        <v>0</v>
      </c>
      <c r="Q20" s="29">
        <v>0</v>
      </c>
      <c r="R20" s="9">
        <v>0</v>
      </c>
      <c r="S20" s="579">
        <v>0</v>
      </c>
      <c r="T20" s="584">
        <v>0</v>
      </c>
      <c r="U20" s="51"/>
      <c r="V20" s="2125">
        <f t="shared" si="2"/>
        <v>0</v>
      </c>
      <c r="W20" s="43"/>
      <c r="X20" s="43"/>
      <c r="Y20" s="43"/>
      <c r="Z20" s="43"/>
    </row>
    <row r="21" spans="1:26">
      <c r="A21" s="88">
        <v>1527</v>
      </c>
      <c r="B21" s="378" t="s">
        <v>960</v>
      </c>
      <c r="C21" s="1033"/>
      <c r="D21" s="1033"/>
      <c r="E21" s="1033"/>
      <c r="F21" s="1033"/>
      <c r="G21" s="1033"/>
      <c r="H21" s="1033"/>
      <c r="I21" s="1033"/>
      <c r="J21" s="1033"/>
      <c r="K21" s="1033"/>
      <c r="L21" s="90"/>
      <c r="M21" s="51"/>
      <c r="N21" s="113">
        <f t="shared" si="1"/>
        <v>1527</v>
      </c>
      <c r="O21" s="575">
        <v>0</v>
      </c>
      <c r="P21" s="582">
        <v>0</v>
      </c>
      <c r="Q21" s="579">
        <v>0</v>
      </c>
      <c r="R21" s="582">
        <v>0</v>
      </c>
      <c r="S21" s="579">
        <v>0</v>
      </c>
      <c r="T21" s="584">
        <v>0</v>
      </c>
      <c r="U21" s="51"/>
      <c r="V21" s="2125">
        <f t="shared" si="2"/>
        <v>0</v>
      </c>
      <c r="W21" s="43"/>
      <c r="X21" s="43"/>
      <c r="Y21" s="43"/>
      <c r="Z21" s="43"/>
    </row>
    <row r="22" spans="1:26">
      <c r="A22" s="88">
        <v>1581</v>
      </c>
      <c r="B22" s="378" t="s">
        <v>961</v>
      </c>
      <c r="C22" s="1033"/>
      <c r="D22" s="1033"/>
      <c r="E22" s="1033"/>
      <c r="F22" s="1033"/>
      <c r="G22" s="1033"/>
      <c r="H22" s="1033"/>
      <c r="I22" s="1033"/>
      <c r="J22" s="1033"/>
      <c r="K22" s="1033"/>
      <c r="L22" s="90"/>
      <c r="M22" s="51"/>
      <c r="N22" s="113">
        <f t="shared" si="1"/>
        <v>1581</v>
      </c>
      <c r="O22" s="575">
        <v>0</v>
      </c>
      <c r="P22" s="582">
        <v>0</v>
      </c>
      <c r="Q22" s="579">
        <v>0</v>
      </c>
      <c r="R22" s="582">
        <v>0</v>
      </c>
      <c r="S22" s="579">
        <v>0</v>
      </c>
      <c r="T22" s="584">
        <v>0</v>
      </c>
      <c r="U22" s="51"/>
      <c r="V22" s="2125">
        <f t="shared" si="2"/>
        <v>0</v>
      </c>
      <c r="W22" s="43"/>
      <c r="X22" s="43"/>
      <c r="Y22" s="43"/>
      <c r="Z22" s="43"/>
    </row>
    <row r="23" spans="1:26">
      <c r="A23" s="88">
        <v>1587</v>
      </c>
      <c r="B23" s="378" t="s">
        <v>962</v>
      </c>
      <c r="C23" s="1033"/>
      <c r="D23" s="1033"/>
      <c r="E23" s="1033"/>
      <c r="F23" s="1033"/>
      <c r="G23" s="1033"/>
      <c r="H23" s="1033"/>
      <c r="I23" s="1033"/>
      <c r="J23" s="1033"/>
      <c r="K23" s="1033"/>
      <c r="L23" s="90"/>
      <c r="M23" s="51"/>
      <c r="N23" s="113">
        <f t="shared" si="1"/>
        <v>1587</v>
      </c>
      <c r="O23" s="575">
        <v>0</v>
      </c>
      <c r="P23" s="582">
        <v>0</v>
      </c>
      <c r="Q23" s="579">
        <v>0</v>
      </c>
      <c r="R23" s="582">
        <v>0</v>
      </c>
      <c r="S23" s="579">
        <v>0</v>
      </c>
      <c r="T23" s="584">
        <v>0</v>
      </c>
      <c r="U23" s="51"/>
      <c r="V23" s="2125">
        <f t="shared" si="2"/>
        <v>0</v>
      </c>
      <c r="W23" s="43"/>
      <c r="X23" s="43"/>
      <c r="Y23" s="43"/>
      <c r="Z23" s="43"/>
    </row>
    <row r="24" spans="1:26">
      <c r="A24" s="88">
        <v>1591</v>
      </c>
      <c r="B24" s="378" t="s">
        <v>963</v>
      </c>
      <c r="C24" s="1033"/>
      <c r="D24" s="1033"/>
      <c r="E24" s="1033"/>
      <c r="F24" s="1033"/>
      <c r="G24" s="1033"/>
      <c r="H24" s="1033"/>
      <c r="I24" s="1033"/>
      <c r="J24" s="1033"/>
      <c r="K24" s="1033"/>
      <c r="L24" s="90"/>
      <c r="M24" s="51"/>
      <c r="N24" s="113">
        <f t="shared" si="1"/>
        <v>1591</v>
      </c>
      <c r="O24" s="575">
        <v>0</v>
      </c>
      <c r="P24" s="582">
        <v>0</v>
      </c>
      <c r="Q24" s="29">
        <v>0</v>
      </c>
      <c r="R24" s="9">
        <v>0</v>
      </c>
      <c r="S24" s="579">
        <v>0</v>
      </c>
      <c r="T24" s="584">
        <v>0</v>
      </c>
      <c r="U24" s="51"/>
      <c r="V24" s="2125">
        <f t="shared" si="2"/>
        <v>0</v>
      </c>
      <c r="W24" s="43"/>
      <c r="X24" s="43"/>
      <c r="Y24" s="43"/>
      <c r="Z24" s="43"/>
    </row>
    <row r="25" spans="1:26">
      <c r="A25" s="88">
        <v>1593</v>
      </c>
      <c r="B25" s="378" t="s">
        <v>964</v>
      </c>
      <c r="C25" s="1033"/>
      <c r="D25" s="1033"/>
      <c r="E25" s="1033"/>
      <c r="F25" s="1033"/>
      <c r="G25" s="1033"/>
      <c r="H25" s="1033"/>
      <c r="I25" s="1033"/>
      <c r="J25" s="1033"/>
      <c r="K25" s="1033"/>
      <c r="L25" s="90"/>
      <c r="M25" s="51"/>
      <c r="N25" s="113">
        <f t="shared" si="1"/>
        <v>1593</v>
      </c>
      <c r="O25" s="575">
        <v>0</v>
      </c>
      <c r="P25" s="582">
        <v>0</v>
      </c>
      <c r="Q25" s="29">
        <v>0</v>
      </c>
      <c r="R25" s="9">
        <v>0</v>
      </c>
      <c r="S25" s="579">
        <v>0</v>
      </c>
      <c r="T25" s="584">
        <v>0</v>
      </c>
      <c r="U25" s="51"/>
      <c r="V25" s="2125">
        <f t="shared" si="2"/>
        <v>0</v>
      </c>
      <c r="W25" s="43"/>
      <c r="X25" s="43"/>
      <c r="Y25" s="43"/>
      <c r="Z25" s="43"/>
    </row>
    <row r="26" spans="1:26">
      <c r="A26" s="88">
        <v>1621</v>
      </c>
      <c r="B26" s="378" t="s">
        <v>938</v>
      </c>
      <c r="C26" s="1033"/>
      <c r="D26" s="1033"/>
      <c r="E26" s="1033"/>
      <c r="F26" s="1033"/>
      <c r="G26" s="1033"/>
      <c r="H26" s="1033"/>
      <c r="I26" s="1033"/>
      <c r="J26" s="1033"/>
      <c r="K26" s="1033"/>
      <c r="L26" s="90"/>
      <c r="M26" s="51"/>
      <c r="N26" s="113">
        <f t="shared" si="1"/>
        <v>1621</v>
      </c>
      <c r="O26" s="575">
        <v>0</v>
      </c>
      <c r="P26" s="576"/>
      <c r="Q26" s="122"/>
      <c r="R26" s="121"/>
      <c r="S26" s="579">
        <v>0</v>
      </c>
      <c r="T26" s="580">
        <f t="shared" ref="T26:T53" si="3">+IF(ABS(+O26+Q26)&lt;=ABS(P26+R26),-O26+P26-Q26+R26,0)</f>
        <v>0</v>
      </c>
      <c r="U26" s="51"/>
      <c r="V26" s="2119">
        <f>+IF(OR(+ROUND(O26,2)+ROUND(Q26,2)&gt;ROUND(P26,2)+ROUND(R26,2),+ABS(ROUND(O26,2)+ROUND(Q26,2))&gt;+ABS(ROUND(P26,2)+ROUND(R26,2))),+(ROUND(O26,2)+ROUND(Q26,2))-(ROUND(P26,2)+ROUND(R26,2)),0)</f>
        <v>0</v>
      </c>
      <c r="W26" s="43"/>
      <c r="X26" s="43"/>
      <c r="Y26" s="43"/>
      <c r="Z26" s="43"/>
    </row>
    <row r="27" spans="1:26">
      <c r="A27" s="88">
        <v>1623</v>
      </c>
      <c r="B27" s="378" t="s">
        <v>939</v>
      </c>
      <c r="C27" s="1033"/>
      <c r="D27" s="1033"/>
      <c r="E27" s="1033"/>
      <c r="F27" s="1033"/>
      <c r="G27" s="1033"/>
      <c r="H27" s="1033"/>
      <c r="I27" s="1033"/>
      <c r="J27" s="1033"/>
      <c r="K27" s="1033"/>
      <c r="L27" s="90"/>
      <c r="M27" s="51"/>
      <c r="N27" s="113">
        <f t="shared" ref="N27:N57" si="4">+A27</f>
        <v>1623</v>
      </c>
      <c r="O27" s="575">
        <v>0</v>
      </c>
      <c r="P27" s="576"/>
      <c r="Q27" s="122"/>
      <c r="R27" s="121"/>
      <c r="S27" s="579">
        <v>0</v>
      </c>
      <c r="T27" s="580">
        <f t="shared" si="3"/>
        <v>0</v>
      </c>
      <c r="U27" s="51"/>
      <c r="V27" s="2119">
        <f t="shared" ref="V27:V52" si="5">+IF(OR(+ROUND(O27,2)+ROUND(Q27,2)&gt;ROUND(P27,2)+ROUND(R27,2),+ABS(ROUND(O27,2)+ROUND(Q27,2))&gt;+ABS(ROUND(P27,2)+ROUND(R27,2))),+(ROUND(O27,2)+ROUND(Q27,2))-(ROUND(P27,2)+ROUND(R27,2)),0)</f>
        <v>0</v>
      </c>
      <c r="W27" s="43"/>
      <c r="X27" s="43"/>
      <c r="Y27" s="43"/>
      <c r="Z27" s="43"/>
    </row>
    <row r="28" spans="1:26">
      <c r="A28" s="88">
        <v>1625</v>
      </c>
      <c r="B28" s="378" t="s">
        <v>940</v>
      </c>
      <c r="C28" s="1033"/>
      <c r="D28" s="1033"/>
      <c r="E28" s="1033"/>
      <c r="F28" s="1033"/>
      <c r="G28" s="1033"/>
      <c r="H28" s="1033"/>
      <c r="I28" s="1033"/>
      <c r="J28" s="1033"/>
      <c r="K28" s="1033"/>
      <c r="L28" s="90"/>
      <c r="M28" s="51"/>
      <c r="N28" s="113">
        <f t="shared" si="4"/>
        <v>1625</v>
      </c>
      <c r="O28" s="575">
        <v>0</v>
      </c>
      <c r="P28" s="576"/>
      <c r="Q28" s="122"/>
      <c r="R28" s="121"/>
      <c r="S28" s="579">
        <v>0</v>
      </c>
      <c r="T28" s="580">
        <f t="shared" si="3"/>
        <v>0</v>
      </c>
      <c r="U28" s="51"/>
      <c r="V28" s="2119">
        <f t="shared" si="5"/>
        <v>0</v>
      </c>
      <c r="W28" s="43"/>
      <c r="X28" s="43"/>
      <c r="Y28" s="43"/>
      <c r="Z28" s="43"/>
    </row>
    <row r="29" spans="1:26">
      <c r="A29" s="88">
        <v>1651</v>
      </c>
      <c r="B29" s="378" t="s">
        <v>941</v>
      </c>
      <c r="C29" s="1033"/>
      <c r="D29" s="1033"/>
      <c r="E29" s="1033"/>
      <c r="F29" s="1033"/>
      <c r="G29" s="1033"/>
      <c r="H29" s="1033"/>
      <c r="I29" s="1033"/>
      <c r="J29" s="1033"/>
      <c r="K29" s="1033"/>
      <c r="L29" s="90"/>
      <c r="M29" s="51"/>
      <c r="N29" s="113">
        <f t="shared" si="4"/>
        <v>1651</v>
      </c>
      <c r="O29" s="575">
        <v>0</v>
      </c>
      <c r="P29" s="576"/>
      <c r="Q29" s="122"/>
      <c r="R29" s="121"/>
      <c r="S29" s="579">
        <v>0</v>
      </c>
      <c r="T29" s="580">
        <f t="shared" si="3"/>
        <v>0</v>
      </c>
      <c r="U29" s="51"/>
      <c r="V29" s="2119">
        <f t="shared" si="5"/>
        <v>0</v>
      </c>
      <c r="W29" s="43"/>
      <c r="X29" s="43"/>
      <c r="Y29" s="43"/>
      <c r="Z29" s="43"/>
    </row>
    <row r="30" spans="1:26">
      <c r="A30" s="88">
        <v>1652</v>
      </c>
      <c r="B30" s="378" t="s">
        <v>942</v>
      </c>
      <c r="C30" s="1033"/>
      <c r="D30" s="1033"/>
      <c r="E30" s="1033"/>
      <c r="F30" s="1033"/>
      <c r="G30" s="1033"/>
      <c r="H30" s="1033"/>
      <c r="I30" s="1033"/>
      <c r="J30" s="1033"/>
      <c r="K30" s="1033"/>
      <c r="L30" s="90"/>
      <c r="M30" s="51"/>
      <c r="N30" s="113">
        <f t="shared" si="4"/>
        <v>1652</v>
      </c>
      <c r="O30" s="575">
        <v>0</v>
      </c>
      <c r="P30" s="576"/>
      <c r="Q30" s="122"/>
      <c r="R30" s="121"/>
      <c r="S30" s="579">
        <v>0</v>
      </c>
      <c r="T30" s="580">
        <f t="shared" si="3"/>
        <v>0</v>
      </c>
      <c r="U30" s="51"/>
      <c r="V30" s="2119">
        <f t="shared" si="5"/>
        <v>0</v>
      </c>
      <c r="W30" s="43"/>
      <c r="X30" s="43"/>
      <c r="Y30" s="43"/>
      <c r="Z30" s="43"/>
    </row>
    <row r="31" spans="1:26">
      <c r="A31" s="88">
        <v>1654</v>
      </c>
      <c r="B31" s="378" t="s">
        <v>943</v>
      </c>
      <c r="C31" s="1033"/>
      <c r="D31" s="1033"/>
      <c r="E31" s="1033"/>
      <c r="F31" s="1033"/>
      <c r="G31" s="1033"/>
      <c r="H31" s="1033"/>
      <c r="I31" s="1033"/>
      <c r="J31" s="1033"/>
      <c r="K31" s="1033"/>
      <c r="L31" s="90"/>
      <c r="M31" s="51"/>
      <c r="N31" s="113">
        <f t="shared" si="4"/>
        <v>1654</v>
      </c>
      <c r="O31" s="575">
        <v>0</v>
      </c>
      <c r="P31" s="576"/>
      <c r="Q31" s="122"/>
      <c r="R31" s="121"/>
      <c r="S31" s="579">
        <v>0</v>
      </c>
      <c r="T31" s="580">
        <f t="shared" si="3"/>
        <v>0</v>
      </c>
      <c r="U31" s="51"/>
      <c r="V31" s="2119">
        <f t="shared" si="5"/>
        <v>0</v>
      </c>
      <c r="W31" s="43"/>
      <c r="X31" s="43"/>
      <c r="Y31" s="43"/>
      <c r="Z31" s="43"/>
    </row>
    <row r="32" spans="1:26">
      <c r="A32" s="88">
        <v>1655</v>
      </c>
      <c r="B32" s="378" t="s">
        <v>944</v>
      </c>
      <c r="C32" s="1033"/>
      <c r="D32" s="1033"/>
      <c r="E32" s="1033"/>
      <c r="F32" s="1033"/>
      <c r="G32" s="1033"/>
      <c r="H32" s="1033"/>
      <c r="I32" s="1033"/>
      <c r="J32" s="1033"/>
      <c r="K32" s="1033"/>
      <c r="L32" s="90"/>
      <c r="M32" s="51"/>
      <c r="N32" s="113">
        <f t="shared" si="4"/>
        <v>1655</v>
      </c>
      <c r="O32" s="575">
        <v>0</v>
      </c>
      <c r="P32" s="576"/>
      <c r="Q32" s="122"/>
      <c r="R32" s="121"/>
      <c r="S32" s="579">
        <v>0</v>
      </c>
      <c r="T32" s="580">
        <f t="shared" si="3"/>
        <v>0</v>
      </c>
      <c r="U32" s="51"/>
      <c r="V32" s="2119">
        <f t="shared" si="5"/>
        <v>0</v>
      </c>
      <c r="W32" s="43"/>
      <c r="X32" s="43"/>
      <c r="Y32" s="43"/>
      <c r="Z32" s="43"/>
    </row>
    <row r="33" spans="1:26">
      <c r="A33" s="88">
        <v>1657</v>
      </c>
      <c r="B33" s="378" t="s">
        <v>945</v>
      </c>
      <c r="C33" s="1033"/>
      <c r="D33" s="1033"/>
      <c r="E33" s="1033"/>
      <c r="F33" s="1033"/>
      <c r="G33" s="1033"/>
      <c r="H33" s="1033"/>
      <c r="I33" s="1033"/>
      <c r="J33" s="1033"/>
      <c r="K33" s="1033"/>
      <c r="L33" s="90"/>
      <c r="M33" s="51"/>
      <c r="N33" s="113">
        <f t="shared" si="4"/>
        <v>1657</v>
      </c>
      <c r="O33" s="575">
        <v>0</v>
      </c>
      <c r="P33" s="576"/>
      <c r="Q33" s="122"/>
      <c r="R33" s="121"/>
      <c r="S33" s="579">
        <v>0</v>
      </c>
      <c r="T33" s="580">
        <f t="shared" si="3"/>
        <v>0</v>
      </c>
      <c r="U33" s="51"/>
      <c r="V33" s="2119">
        <f t="shared" si="5"/>
        <v>0</v>
      </c>
      <c r="W33" s="43"/>
      <c r="X33" s="43"/>
      <c r="Y33" s="43"/>
      <c r="Z33" s="43"/>
    </row>
    <row r="34" spans="1:26">
      <c r="A34" s="88">
        <v>1658</v>
      </c>
      <c r="B34" s="378" t="s">
        <v>946</v>
      </c>
      <c r="C34" s="1033"/>
      <c r="D34" s="1033"/>
      <c r="E34" s="1033"/>
      <c r="F34" s="1033"/>
      <c r="G34" s="1033"/>
      <c r="H34" s="1033"/>
      <c r="I34" s="1033"/>
      <c r="J34" s="1033"/>
      <c r="K34" s="1033"/>
      <c r="L34" s="90"/>
      <c r="M34" s="51"/>
      <c r="N34" s="113">
        <f t="shared" si="4"/>
        <v>1658</v>
      </c>
      <c r="O34" s="575">
        <v>0</v>
      </c>
      <c r="P34" s="576"/>
      <c r="Q34" s="122"/>
      <c r="R34" s="121"/>
      <c r="S34" s="579">
        <v>0</v>
      </c>
      <c r="T34" s="580">
        <f t="shared" si="3"/>
        <v>0</v>
      </c>
      <c r="U34" s="51"/>
      <c r="V34" s="2119">
        <f t="shared" si="5"/>
        <v>0</v>
      </c>
      <c r="W34" s="43"/>
      <c r="X34" s="43"/>
      <c r="Y34" s="43"/>
      <c r="Z34" s="43"/>
    </row>
    <row r="35" spans="1:26">
      <c r="A35" s="88">
        <v>1661</v>
      </c>
      <c r="B35" s="378" t="s">
        <v>947</v>
      </c>
      <c r="C35" s="1033"/>
      <c r="D35" s="1033"/>
      <c r="E35" s="1033"/>
      <c r="F35" s="1033"/>
      <c r="G35" s="1033"/>
      <c r="H35" s="1033"/>
      <c r="I35" s="1033"/>
      <c r="J35" s="1033"/>
      <c r="K35" s="1033"/>
      <c r="L35" s="90"/>
      <c r="M35" s="51"/>
      <c r="N35" s="113">
        <f t="shared" si="4"/>
        <v>1661</v>
      </c>
      <c r="O35" s="575">
        <v>0</v>
      </c>
      <c r="P35" s="576"/>
      <c r="Q35" s="122"/>
      <c r="R35" s="121"/>
      <c r="S35" s="579">
        <v>0</v>
      </c>
      <c r="T35" s="580">
        <f t="shared" si="3"/>
        <v>0</v>
      </c>
      <c r="U35" s="51"/>
      <c r="V35" s="2119">
        <f t="shared" si="5"/>
        <v>0</v>
      </c>
      <c r="W35" s="43"/>
      <c r="X35" s="43"/>
      <c r="Y35" s="43"/>
      <c r="Z35" s="43"/>
    </row>
    <row r="36" spans="1:26">
      <c r="A36" s="88">
        <v>1663</v>
      </c>
      <c r="B36" s="378" t="s">
        <v>948</v>
      </c>
      <c r="C36" s="1033"/>
      <c r="D36" s="1033"/>
      <c r="E36" s="1033"/>
      <c r="F36" s="1033"/>
      <c r="G36" s="1033"/>
      <c r="H36" s="1033"/>
      <c r="I36" s="1033"/>
      <c r="J36" s="1033"/>
      <c r="K36" s="1033"/>
      <c r="L36" s="90"/>
      <c r="M36" s="51"/>
      <c r="N36" s="113">
        <f t="shared" si="4"/>
        <v>1663</v>
      </c>
      <c r="O36" s="575">
        <v>0</v>
      </c>
      <c r="P36" s="576"/>
      <c r="Q36" s="122"/>
      <c r="R36" s="121"/>
      <c r="S36" s="579">
        <v>0</v>
      </c>
      <c r="T36" s="580">
        <f t="shared" si="3"/>
        <v>0</v>
      </c>
      <c r="U36" s="51"/>
      <c r="V36" s="2119">
        <f t="shared" si="5"/>
        <v>0</v>
      </c>
      <c r="W36" s="43"/>
      <c r="X36" s="43"/>
      <c r="Y36" s="43"/>
      <c r="Z36" s="43"/>
    </row>
    <row r="37" spans="1:26">
      <c r="A37" s="88">
        <v>1664</v>
      </c>
      <c r="B37" s="378" t="s">
        <v>949</v>
      </c>
      <c r="C37" s="1033"/>
      <c r="D37" s="1033"/>
      <c r="E37" s="1033"/>
      <c r="F37" s="1033"/>
      <c r="G37" s="1033"/>
      <c r="H37" s="1033"/>
      <c r="I37" s="1033"/>
      <c r="J37" s="1033"/>
      <c r="K37" s="1033"/>
      <c r="L37" s="90"/>
      <c r="M37" s="51"/>
      <c r="N37" s="113">
        <f t="shared" si="4"/>
        <v>1664</v>
      </c>
      <c r="O37" s="575">
        <v>0</v>
      </c>
      <c r="P37" s="576"/>
      <c r="Q37" s="122"/>
      <c r="R37" s="121"/>
      <c r="S37" s="579">
        <v>0</v>
      </c>
      <c r="T37" s="580">
        <f t="shared" si="3"/>
        <v>0</v>
      </c>
      <c r="U37" s="51"/>
      <c r="V37" s="2119">
        <f t="shared" si="5"/>
        <v>0</v>
      </c>
      <c r="W37" s="43"/>
      <c r="X37" s="43"/>
      <c r="Y37" s="43"/>
      <c r="Z37" s="43"/>
    </row>
    <row r="38" spans="1:26">
      <c r="A38" s="88">
        <v>1666</v>
      </c>
      <c r="B38" s="378" t="s">
        <v>950</v>
      </c>
      <c r="C38" s="1033"/>
      <c r="D38" s="1033"/>
      <c r="E38" s="1033"/>
      <c r="F38" s="1033"/>
      <c r="G38" s="1033"/>
      <c r="H38" s="1033"/>
      <c r="I38" s="1033"/>
      <c r="J38" s="1033"/>
      <c r="K38" s="1033"/>
      <c r="L38" s="90"/>
      <c r="M38" s="51"/>
      <c r="N38" s="113">
        <f t="shared" si="4"/>
        <v>1666</v>
      </c>
      <c r="O38" s="575">
        <v>0</v>
      </c>
      <c r="P38" s="576"/>
      <c r="Q38" s="122"/>
      <c r="R38" s="121"/>
      <c r="S38" s="579">
        <v>0</v>
      </c>
      <c r="T38" s="580">
        <f t="shared" si="3"/>
        <v>0</v>
      </c>
      <c r="U38" s="51"/>
      <c r="V38" s="2119">
        <f t="shared" si="5"/>
        <v>0</v>
      </c>
      <c r="W38" s="43"/>
      <c r="X38" s="43"/>
      <c r="Y38" s="43"/>
      <c r="Z38" s="43"/>
    </row>
    <row r="39" spans="1:26">
      <c r="A39" s="88">
        <v>1667</v>
      </c>
      <c r="B39" s="378" t="s">
        <v>951</v>
      </c>
      <c r="C39" s="1033"/>
      <c r="D39" s="1033"/>
      <c r="E39" s="1033"/>
      <c r="F39" s="1033"/>
      <c r="G39" s="1033"/>
      <c r="H39" s="1033"/>
      <c r="I39" s="1033"/>
      <c r="J39" s="1033"/>
      <c r="K39" s="1033"/>
      <c r="L39" s="90"/>
      <c r="M39" s="51"/>
      <c r="N39" s="113">
        <f t="shared" si="4"/>
        <v>1667</v>
      </c>
      <c r="O39" s="575">
        <v>0</v>
      </c>
      <c r="P39" s="576"/>
      <c r="Q39" s="122"/>
      <c r="R39" s="121"/>
      <c r="S39" s="579">
        <v>0</v>
      </c>
      <c r="T39" s="580">
        <f t="shared" si="3"/>
        <v>0</v>
      </c>
      <c r="U39" s="51"/>
      <c r="V39" s="2119">
        <f t="shared" si="5"/>
        <v>0</v>
      </c>
      <c r="W39" s="43"/>
      <c r="X39" s="43"/>
      <c r="Y39" s="43"/>
      <c r="Z39" s="43"/>
    </row>
    <row r="40" spans="1:26">
      <c r="A40" s="88">
        <v>1669</v>
      </c>
      <c r="B40" s="378" t="s">
        <v>212</v>
      </c>
      <c r="C40" s="1033"/>
      <c r="D40" s="1033"/>
      <c r="E40" s="1033"/>
      <c r="F40" s="1033"/>
      <c r="G40" s="1033"/>
      <c r="H40" s="1033"/>
      <c r="I40" s="1033"/>
      <c r="J40" s="1033"/>
      <c r="K40" s="1033"/>
      <c r="L40" s="90"/>
      <c r="M40" s="51"/>
      <c r="N40" s="113">
        <f t="shared" si="4"/>
        <v>1669</v>
      </c>
      <c r="O40" s="575">
        <v>0</v>
      </c>
      <c r="P40" s="576"/>
      <c r="Q40" s="122"/>
      <c r="R40" s="121"/>
      <c r="S40" s="579">
        <v>0</v>
      </c>
      <c r="T40" s="580">
        <f t="shared" si="3"/>
        <v>0</v>
      </c>
      <c r="U40" s="51"/>
      <c r="V40" s="2119">
        <f t="shared" si="5"/>
        <v>0</v>
      </c>
      <c r="W40" s="43"/>
      <c r="X40" s="43"/>
      <c r="Y40" s="43"/>
      <c r="Z40" s="43"/>
    </row>
    <row r="41" spans="1:26">
      <c r="A41" s="88">
        <v>1681</v>
      </c>
      <c r="B41" s="378" t="s">
        <v>965</v>
      </c>
      <c r="C41" s="1033"/>
      <c r="D41" s="1033"/>
      <c r="E41" s="1033"/>
      <c r="F41" s="1033"/>
      <c r="G41" s="1033"/>
      <c r="H41" s="1033"/>
      <c r="I41" s="1033"/>
      <c r="J41" s="1033"/>
      <c r="K41" s="1033"/>
      <c r="L41" s="574"/>
      <c r="M41" s="51"/>
      <c r="N41" s="113">
        <f t="shared" si="4"/>
        <v>1681</v>
      </c>
      <c r="O41" s="575">
        <v>0</v>
      </c>
      <c r="P41" s="576"/>
      <c r="Q41" s="122"/>
      <c r="R41" s="121"/>
      <c r="S41" s="579">
        <v>0</v>
      </c>
      <c r="T41" s="580">
        <f t="shared" si="3"/>
        <v>0</v>
      </c>
      <c r="U41" s="51"/>
      <c r="V41" s="2119">
        <f t="shared" si="5"/>
        <v>0</v>
      </c>
      <c r="W41" s="43"/>
      <c r="X41" s="43"/>
      <c r="Y41" s="43"/>
      <c r="Z41" s="43"/>
    </row>
    <row r="42" spans="1:26">
      <c r="A42" s="88">
        <v>1685</v>
      </c>
      <c r="B42" s="378" t="s">
        <v>966</v>
      </c>
      <c r="C42" s="1033"/>
      <c r="D42" s="1033"/>
      <c r="E42" s="1033"/>
      <c r="F42" s="1033"/>
      <c r="G42" s="1033"/>
      <c r="H42" s="1033"/>
      <c r="I42" s="1033"/>
      <c r="J42" s="1033"/>
      <c r="K42" s="1033"/>
      <c r="L42" s="574"/>
      <c r="M42" s="51"/>
      <c r="N42" s="113">
        <f t="shared" si="4"/>
        <v>1685</v>
      </c>
      <c r="O42" s="575">
        <v>0</v>
      </c>
      <c r="P42" s="576"/>
      <c r="Q42" s="122"/>
      <c r="R42" s="121"/>
      <c r="S42" s="579">
        <v>0</v>
      </c>
      <c r="T42" s="580">
        <f t="shared" si="3"/>
        <v>0</v>
      </c>
      <c r="U42" s="51"/>
      <c r="V42" s="2119">
        <f t="shared" si="5"/>
        <v>0</v>
      </c>
      <c r="W42" s="43"/>
      <c r="X42" s="43"/>
      <c r="Y42" s="43"/>
      <c r="Z42" s="43"/>
    </row>
    <row r="43" spans="1:26">
      <c r="A43" s="88">
        <v>1686</v>
      </c>
      <c r="B43" s="378" t="s">
        <v>967</v>
      </c>
      <c r="C43" s="1033"/>
      <c r="D43" s="1033"/>
      <c r="E43" s="1033"/>
      <c r="F43" s="1033"/>
      <c r="G43" s="1033"/>
      <c r="H43" s="1033"/>
      <c r="I43" s="1033"/>
      <c r="J43" s="1033"/>
      <c r="K43" s="1033"/>
      <c r="L43" s="574"/>
      <c r="M43" s="51"/>
      <c r="N43" s="113">
        <f t="shared" si="4"/>
        <v>1686</v>
      </c>
      <c r="O43" s="575">
        <v>0</v>
      </c>
      <c r="P43" s="576"/>
      <c r="Q43" s="122"/>
      <c r="R43" s="121"/>
      <c r="S43" s="579">
        <v>0</v>
      </c>
      <c r="T43" s="580">
        <f t="shared" si="3"/>
        <v>0</v>
      </c>
      <c r="U43" s="51"/>
      <c r="V43" s="2119">
        <f t="shared" si="5"/>
        <v>0</v>
      </c>
      <c r="W43" s="43"/>
      <c r="X43" s="43"/>
      <c r="Y43" s="43"/>
      <c r="Z43" s="43"/>
    </row>
    <row r="44" spans="1:26">
      <c r="A44" s="88">
        <v>1688</v>
      </c>
      <c r="B44" s="378" t="s">
        <v>968</v>
      </c>
      <c r="C44" s="1033"/>
      <c r="D44" s="1033"/>
      <c r="E44" s="1033"/>
      <c r="F44" s="1033"/>
      <c r="G44" s="1033"/>
      <c r="H44" s="1033"/>
      <c r="I44" s="1033"/>
      <c r="J44" s="1033"/>
      <c r="K44" s="1033"/>
      <c r="L44" s="574"/>
      <c r="M44" s="51"/>
      <c r="N44" s="113">
        <f t="shared" si="4"/>
        <v>1688</v>
      </c>
      <c r="O44" s="575">
        <v>0</v>
      </c>
      <c r="P44" s="576"/>
      <c r="Q44" s="122"/>
      <c r="R44" s="121"/>
      <c r="S44" s="579">
        <v>0</v>
      </c>
      <c r="T44" s="580">
        <f t="shared" si="3"/>
        <v>0</v>
      </c>
      <c r="U44" s="51"/>
      <c r="V44" s="2119">
        <f t="shared" si="5"/>
        <v>0</v>
      </c>
      <c r="W44" s="43"/>
      <c r="X44" s="43"/>
      <c r="Y44" s="43"/>
      <c r="Z44" s="43"/>
    </row>
    <row r="45" spans="1:26">
      <c r="A45" s="88">
        <v>1689</v>
      </c>
      <c r="B45" s="378" t="s">
        <v>969</v>
      </c>
      <c r="C45" s="1033"/>
      <c r="D45" s="1033"/>
      <c r="E45" s="1033"/>
      <c r="F45" s="1033"/>
      <c r="G45" s="1033"/>
      <c r="H45" s="1033"/>
      <c r="I45" s="1033"/>
      <c r="J45" s="1033"/>
      <c r="K45" s="1033"/>
      <c r="L45" s="574"/>
      <c r="M45" s="51"/>
      <c r="N45" s="113">
        <f t="shared" si="4"/>
        <v>1689</v>
      </c>
      <c r="O45" s="575">
        <v>0</v>
      </c>
      <c r="P45" s="576"/>
      <c r="Q45" s="122"/>
      <c r="R45" s="121"/>
      <c r="S45" s="579">
        <v>0</v>
      </c>
      <c r="T45" s="580">
        <f t="shared" si="3"/>
        <v>0</v>
      </c>
      <c r="U45" s="51"/>
      <c r="V45" s="2119">
        <f t="shared" si="5"/>
        <v>0</v>
      </c>
      <c r="W45" s="43"/>
      <c r="X45" s="43"/>
      <c r="Y45" s="43"/>
      <c r="Z45" s="43"/>
    </row>
    <row r="46" spans="1:26">
      <c r="A46" s="370">
        <v>1701</v>
      </c>
      <c r="B46" s="378" t="s">
        <v>213</v>
      </c>
      <c r="C46" s="1033"/>
      <c r="D46" s="1033"/>
      <c r="E46" s="1033"/>
      <c r="F46" s="1033"/>
      <c r="G46" s="1033"/>
      <c r="H46" s="1033"/>
      <c r="I46" s="1033"/>
      <c r="J46" s="1033"/>
      <c r="K46" s="1033"/>
      <c r="L46" s="90"/>
      <c r="M46" s="51"/>
      <c r="N46" s="113">
        <f t="shared" si="4"/>
        <v>1701</v>
      </c>
      <c r="O46" s="575">
        <v>0</v>
      </c>
      <c r="P46" s="576"/>
      <c r="Q46" s="122"/>
      <c r="R46" s="121"/>
      <c r="S46" s="579">
        <v>0</v>
      </c>
      <c r="T46" s="580">
        <f t="shared" si="3"/>
        <v>0</v>
      </c>
      <c r="U46" s="51"/>
      <c r="V46" s="2119">
        <f t="shared" si="5"/>
        <v>0</v>
      </c>
      <c r="W46" s="43"/>
      <c r="X46" s="43"/>
      <c r="Y46" s="43"/>
      <c r="Z46" s="43"/>
    </row>
    <row r="47" spans="1:26">
      <c r="A47" s="88">
        <v>1702</v>
      </c>
      <c r="B47" s="378" t="s">
        <v>214</v>
      </c>
      <c r="C47" s="1033"/>
      <c r="D47" s="1033"/>
      <c r="E47" s="1033"/>
      <c r="F47" s="1033"/>
      <c r="G47" s="1033"/>
      <c r="H47" s="1033"/>
      <c r="I47" s="1033"/>
      <c r="J47" s="1033"/>
      <c r="K47" s="1033"/>
      <c r="L47" s="90"/>
      <c r="M47" s="51"/>
      <c r="N47" s="113">
        <f t="shared" si="4"/>
        <v>1702</v>
      </c>
      <c r="O47" s="575">
        <v>0</v>
      </c>
      <c r="P47" s="576"/>
      <c r="Q47" s="122"/>
      <c r="R47" s="121"/>
      <c r="S47" s="579">
        <v>0</v>
      </c>
      <c r="T47" s="580">
        <f t="shared" si="3"/>
        <v>0</v>
      </c>
      <c r="U47" s="51"/>
      <c r="V47" s="2119">
        <f t="shared" si="5"/>
        <v>0</v>
      </c>
      <c r="W47" s="43"/>
      <c r="X47" s="43"/>
      <c r="Y47" s="43"/>
      <c r="Z47" s="43"/>
    </row>
    <row r="48" spans="1:26">
      <c r="A48" s="88">
        <v>1707</v>
      </c>
      <c r="B48" s="378" t="s">
        <v>970</v>
      </c>
      <c r="C48" s="1033"/>
      <c r="D48" s="1033"/>
      <c r="E48" s="1033"/>
      <c r="F48" s="1033"/>
      <c r="G48" s="1033"/>
      <c r="H48" s="1033"/>
      <c r="I48" s="1033"/>
      <c r="J48" s="1033"/>
      <c r="K48" s="1033"/>
      <c r="L48" s="90"/>
      <c r="M48" s="51"/>
      <c r="N48" s="113">
        <f t="shared" si="4"/>
        <v>1707</v>
      </c>
      <c r="O48" s="575">
        <v>0</v>
      </c>
      <c r="P48" s="576"/>
      <c r="Q48" s="122"/>
      <c r="R48" s="121"/>
      <c r="S48" s="579">
        <v>0</v>
      </c>
      <c r="T48" s="580">
        <f t="shared" si="3"/>
        <v>0</v>
      </c>
      <c r="U48" s="51"/>
      <c r="V48" s="2119">
        <f t="shared" si="5"/>
        <v>0</v>
      </c>
      <c r="W48" s="43"/>
      <c r="X48" s="43"/>
      <c r="Y48" s="43"/>
      <c r="Z48" s="43"/>
    </row>
    <row r="49" spans="1:26">
      <c r="A49" s="88">
        <v>1708</v>
      </c>
      <c r="B49" s="378" t="s">
        <v>971</v>
      </c>
      <c r="C49" s="1033"/>
      <c r="D49" s="1033"/>
      <c r="E49" s="1033"/>
      <c r="F49" s="1033"/>
      <c r="G49" s="1033"/>
      <c r="H49" s="1033"/>
      <c r="I49" s="1033"/>
      <c r="J49" s="1033"/>
      <c r="K49" s="1033"/>
      <c r="L49" s="90"/>
      <c r="M49" s="51"/>
      <c r="N49" s="113">
        <f t="shared" si="4"/>
        <v>1708</v>
      </c>
      <c r="O49" s="575">
        <v>0</v>
      </c>
      <c r="P49" s="576"/>
      <c r="Q49" s="122"/>
      <c r="R49" s="121"/>
      <c r="S49" s="579">
        <v>0</v>
      </c>
      <c r="T49" s="580">
        <f t="shared" si="3"/>
        <v>0</v>
      </c>
      <c r="U49" s="51"/>
      <c r="V49" s="2119">
        <f t="shared" si="5"/>
        <v>0</v>
      </c>
      <c r="W49" s="43"/>
      <c r="X49" s="43"/>
      <c r="Y49" s="43"/>
      <c r="Z49" s="43"/>
    </row>
    <row r="50" spans="1:26">
      <c r="A50" s="88">
        <v>1911</v>
      </c>
      <c r="B50" s="378" t="s">
        <v>215</v>
      </c>
      <c r="C50" s="1033"/>
      <c r="D50" s="1033"/>
      <c r="E50" s="1033"/>
      <c r="F50" s="1033"/>
      <c r="G50" s="1033"/>
      <c r="H50" s="1033"/>
      <c r="I50" s="1033"/>
      <c r="J50" s="1033"/>
      <c r="K50" s="1033"/>
      <c r="L50" s="90"/>
      <c r="M50" s="51"/>
      <c r="N50" s="113">
        <f t="shared" si="4"/>
        <v>1911</v>
      </c>
      <c r="O50" s="575">
        <v>0</v>
      </c>
      <c r="P50" s="576">
        <v>0</v>
      </c>
      <c r="Q50" s="122">
        <v>0</v>
      </c>
      <c r="R50" s="121">
        <v>0</v>
      </c>
      <c r="S50" s="579">
        <v>0</v>
      </c>
      <c r="T50" s="580">
        <f t="shared" si="3"/>
        <v>0</v>
      </c>
      <c r="U50" s="51"/>
      <c r="V50" s="2119">
        <f t="shared" si="5"/>
        <v>0</v>
      </c>
      <c r="W50" s="43"/>
      <c r="X50" s="43"/>
      <c r="Y50" s="43"/>
      <c r="Z50" s="43"/>
    </row>
    <row r="51" spans="1:26">
      <c r="A51" s="88">
        <v>1912</v>
      </c>
      <c r="B51" s="378" t="s">
        <v>216</v>
      </c>
      <c r="C51" s="1033"/>
      <c r="D51" s="1033"/>
      <c r="E51" s="1033"/>
      <c r="F51" s="1033"/>
      <c r="G51" s="1033"/>
      <c r="H51" s="1033"/>
      <c r="I51" s="1033"/>
      <c r="J51" s="1033"/>
      <c r="K51" s="1033"/>
      <c r="L51" s="90"/>
      <c r="M51" s="51"/>
      <c r="N51" s="113">
        <f t="shared" si="4"/>
        <v>1912</v>
      </c>
      <c r="O51" s="575">
        <v>0</v>
      </c>
      <c r="P51" s="576"/>
      <c r="Q51" s="122"/>
      <c r="R51" s="121"/>
      <c r="S51" s="579">
        <v>0</v>
      </c>
      <c r="T51" s="580">
        <f t="shared" si="3"/>
        <v>0</v>
      </c>
      <c r="U51" s="51"/>
      <c r="V51" s="2119">
        <f t="shared" si="5"/>
        <v>0</v>
      </c>
      <c r="W51" s="43"/>
      <c r="X51" s="43"/>
      <c r="Y51" s="43"/>
      <c r="Z51" s="43"/>
    </row>
    <row r="52" spans="1:26">
      <c r="A52" s="88">
        <v>1913</v>
      </c>
      <c r="B52" s="378" t="s">
        <v>217</v>
      </c>
      <c r="C52" s="1033"/>
      <c r="D52" s="1033"/>
      <c r="E52" s="1033"/>
      <c r="F52" s="1033"/>
      <c r="G52" s="1033"/>
      <c r="H52" s="1033"/>
      <c r="I52" s="1033"/>
      <c r="J52" s="1033"/>
      <c r="K52" s="1033"/>
      <c r="L52" s="90"/>
      <c r="M52" s="51"/>
      <c r="N52" s="113">
        <f t="shared" si="4"/>
        <v>1913</v>
      </c>
      <c r="O52" s="575">
        <v>0</v>
      </c>
      <c r="P52" s="576"/>
      <c r="Q52" s="122"/>
      <c r="R52" s="121"/>
      <c r="S52" s="579">
        <v>0</v>
      </c>
      <c r="T52" s="580">
        <f t="shared" si="3"/>
        <v>0</v>
      </c>
      <c r="U52" s="51"/>
      <c r="V52" s="2119">
        <f t="shared" si="5"/>
        <v>0</v>
      </c>
      <c r="W52" s="43"/>
      <c r="X52" s="43"/>
      <c r="Y52" s="43"/>
      <c r="Z52" s="43"/>
    </row>
    <row r="53" spans="1:26">
      <c r="A53" s="88">
        <v>1914</v>
      </c>
      <c r="B53" s="378" t="s">
        <v>218</v>
      </c>
      <c r="C53" s="1033"/>
      <c r="D53" s="1033"/>
      <c r="E53" s="1033"/>
      <c r="F53" s="1033"/>
      <c r="G53" s="1033"/>
      <c r="H53" s="1033"/>
      <c r="I53" s="1033"/>
      <c r="J53" s="1033"/>
      <c r="K53" s="1033"/>
      <c r="L53" s="90"/>
      <c r="M53" s="51"/>
      <c r="N53" s="113">
        <f t="shared" si="4"/>
        <v>1914</v>
      </c>
      <c r="O53" s="575">
        <v>0</v>
      </c>
      <c r="P53" s="576"/>
      <c r="Q53" s="122"/>
      <c r="R53" s="121"/>
      <c r="S53" s="579">
        <v>0</v>
      </c>
      <c r="T53" s="580">
        <f t="shared" si="3"/>
        <v>0</v>
      </c>
      <c r="U53" s="51"/>
      <c r="V53" s="2119">
        <f>+IF(OR(+ROUND(O53,2)+ROUND(Q53,2)&gt;ROUND(P53,2)+ROUND(R53,2),+ABS(ROUND(O53,2)+ROUND(Q53,2))&gt;+ABS(ROUND(P53,2)+ROUND(R53,2))),+(ROUND(O53,2)+ROUND(Q53,2))-(ROUND(P53,2)+ROUND(R53,2)),0)</f>
        <v>0</v>
      </c>
      <c r="W53" s="43"/>
      <c r="X53" s="43"/>
      <c r="Y53" s="43"/>
      <c r="Z53" s="43"/>
    </row>
    <row r="54" spans="1:26">
      <c r="A54" s="88">
        <v>1917</v>
      </c>
      <c r="B54" s="378" t="s">
        <v>219</v>
      </c>
      <c r="C54" s="1033"/>
      <c r="D54" s="1033"/>
      <c r="E54" s="1033"/>
      <c r="F54" s="1033"/>
      <c r="G54" s="1033"/>
      <c r="H54" s="1033"/>
      <c r="I54" s="1033"/>
      <c r="J54" s="1033"/>
      <c r="K54" s="1033"/>
      <c r="L54" s="90"/>
      <c r="M54" s="51"/>
      <c r="N54" s="113">
        <f t="shared" si="4"/>
        <v>1917</v>
      </c>
      <c r="O54" s="581">
        <v>0</v>
      </c>
      <c r="P54" s="582">
        <v>0</v>
      </c>
      <c r="Q54" s="122">
        <v>0</v>
      </c>
      <c r="R54" s="121">
        <v>0</v>
      </c>
      <c r="S54" s="583">
        <f>+IF(ABS(+O54+Q54)&gt;=ABS(P54+R54),+O54-P54+Q54-R54,0)</f>
        <v>0</v>
      </c>
      <c r="T54" s="584">
        <v>0</v>
      </c>
      <c r="U54" s="51"/>
      <c r="V54" s="2120">
        <f>+IF(OR(ROUND(P54,2)+ROUND(R54,2)&gt;+ROUND(O54,2)+ROUND(Q54,2),+ABS(ROUND(P54,2)+ROUND(R54,2))&gt;+ABS(ROUND(O54,2)+ROUND(Q54,2))),+(ROUND(P54,2)+ROUND(R54,2))-(ROUND(O54,2)+ROUND(Q54,2)),0)</f>
        <v>0</v>
      </c>
      <c r="W54" s="43"/>
      <c r="X54" s="43"/>
      <c r="Y54" s="43"/>
      <c r="Z54" s="43"/>
    </row>
    <row r="55" spans="1:26">
      <c r="A55" s="88">
        <v>1918</v>
      </c>
      <c r="B55" s="378" t="s">
        <v>952</v>
      </c>
      <c r="C55" s="1033"/>
      <c r="D55" s="1033"/>
      <c r="E55" s="1033"/>
      <c r="F55" s="1033"/>
      <c r="G55" s="1033"/>
      <c r="H55" s="1033"/>
      <c r="I55" s="1033"/>
      <c r="J55" s="1033"/>
      <c r="K55" s="1033"/>
      <c r="L55" s="90"/>
      <c r="M55" s="51"/>
      <c r="N55" s="113">
        <f t="shared" si="4"/>
        <v>1918</v>
      </c>
      <c r="O55" s="581"/>
      <c r="P55" s="582">
        <v>0</v>
      </c>
      <c r="Q55" s="122"/>
      <c r="R55" s="121"/>
      <c r="S55" s="583">
        <f>+IF(ABS(+O55+Q55)&gt;=ABS(P55+R55),+O55-P55+Q55-R55,0)</f>
        <v>0</v>
      </c>
      <c r="T55" s="584">
        <v>0</v>
      </c>
      <c r="U55" s="51"/>
      <c r="V55" s="2120">
        <f>+IF(OR(ROUND(P55,2)+ROUND(R55,2)&gt;+ROUND(O55,2)+ROUND(Q55,2),+ABS(ROUND(P55,2)+ROUND(R55,2))&gt;+ABS(ROUND(O55,2)+ROUND(Q55,2))),+(ROUND(P55,2)+ROUND(R55,2))-(ROUND(O55,2)+ROUND(Q55,2)),0)</f>
        <v>0</v>
      </c>
      <c r="W55" s="43"/>
      <c r="X55" s="43"/>
      <c r="Y55" s="43"/>
      <c r="Z55" s="43"/>
    </row>
    <row r="56" spans="1:26">
      <c r="A56" s="88">
        <v>1921</v>
      </c>
      <c r="B56" s="378" t="s">
        <v>860</v>
      </c>
      <c r="C56" s="1037"/>
      <c r="D56" s="1037"/>
      <c r="E56" s="1037"/>
      <c r="F56" s="1037"/>
      <c r="G56" s="1037"/>
      <c r="H56" s="1037"/>
      <c r="I56" s="1037"/>
      <c r="J56" s="1037"/>
      <c r="K56" s="1037"/>
      <c r="L56" s="590"/>
      <c r="M56" s="51"/>
      <c r="N56" s="113">
        <f t="shared" si="4"/>
        <v>1921</v>
      </c>
      <c r="O56" s="575">
        <v>0</v>
      </c>
      <c r="P56" s="576"/>
      <c r="Q56" s="589"/>
      <c r="R56" s="121"/>
      <c r="S56" s="579">
        <v>0</v>
      </c>
      <c r="T56" s="580">
        <f t="shared" ref="T56:T69" si="6">+IF(ABS(+O56+Q56)&lt;=ABS(P56+R56),-O56+P56-Q56+R56,0)</f>
        <v>0</v>
      </c>
      <c r="U56" s="51"/>
      <c r="V56" s="2119">
        <f>+IF(OR(+ROUND(O56,2)+ROUND(Q56,2)&gt;ROUND(P56,2)+ROUND(R56,2),+ABS(ROUND(O56,2)+ROUND(Q56,2))&gt;+ABS(ROUND(P56,2)+ROUND(R56,2))),+(ROUND(O56,2)+ROUND(Q56,2))-(ROUND(P56,2)+ROUND(R56,2)),0)</f>
        <v>0</v>
      </c>
      <c r="W56" s="43"/>
      <c r="X56" s="43"/>
      <c r="Y56" s="43"/>
      <c r="Z56" s="43"/>
    </row>
    <row r="57" spans="1:26">
      <c r="A57" s="88">
        <v>1922</v>
      </c>
      <c r="B57" s="378" t="s">
        <v>861</v>
      </c>
      <c r="C57" s="1037"/>
      <c r="D57" s="1037"/>
      <c r="E57" s="1037"/>
      <c r="F57" s="1037"/>
      <c r="G57" s="1037"/>
      <c r="H57" s="1037"/>
      <c r="I57" s="1037"/>
      <c r="J57" s="1037"/>
      <c r="K57" s="1037"/>
      <c r="L57" s="590"/>
      <c r="M57" s="51"/>
      <c r="N57" s="113">
        <f t="shared" si="4"/>
        <v>1922</v>
      </c>
      <c r="O57" s="575">
        <v>0</v>
      </c>
      <c r="P57" s="576"/>
      <c r="Q57" s="589"/>
      <c r="R57" s="121"/>
      <c r="S57" s="579">
        <v>0</v>
      </c>
      <c r="T57" s="580">
        <f t="shared" si="6"/>
        <v>0</v>
      </c>
      <c r="U57" s="51"/>
      <c r="V57" s="2119">
        <f>+IF(OR(+ROUND(O57,2)+ROUND(Q57,2)&gt;ROUND(P57,2)+ROUND(R57,2),+ABS(ROUND(O57,2)+ROUND(Q57,2))&gt;+ABS(ROUND(P57,2)+ROUND(R57,2))),+(ROUND(O57,2)+ROUND(Q57,2))-(ROUND(P57,2)+ROUND(R57,2)),0)</f>
        <v>0</v>
      </c>
      <c r="W57" s="43"/>
      <c r="X57" s="43"/>
      <c r="Y57" s="43"/>
      <c r="Z57" s="43"/>
    </row>
    <row r="58" spans="1:26">
      <c r="A58" s="88">
        <v>1923</v>
      </c>
      <c r="B58" s="378" t="s">
        <v>220</v>
      </c>
      <c r="C58" s="1037"/>
      <c r="D58" s="1037"/>
      <c r="E58" s="1037"/>
      <c r="F58" s="1037"/>
      <c r="G58" s="1037"/>
      <c r="H58" s="1037"/>
      <c r="I58" s="1037"/>
      <c r="J58" s="1037"/>
      <c r="K58" s="1037"/>
      <c r="L58" s="590"/>
      <c r="M58" s="51"/>
      <c r="N58" s="113">
        <f t="shared" ref="N58:N69" si="7">+A58</f>
        <v>1923</v>
      </c>
      <c r="O58" s="575">
        <v>0</v>
      </c>
      <c r="P58" s="576"/>
      <c r="Q58" s="589"/>
      <c r="R58" s="121"/>
      <c r="S58" s="579">
        <v>0</v>
      </c>
      <c r="T58" s="580">
        <f t="shared" si="6"/>
        <v>0</v>
      </c>
      <c r="U58" s="51"/>
      <c r="V58" s="2119">
        <f>+IF(OR(+ROUND(O58,2)+ROUND(Q58,2)&gt;ROUND(P58,2)+ROUND(R58,2),+ABS(ROUND(O58,2)+ROUND(Q58,2))&gt;+ABS(ROUND(P58,2)+ROUND(R58,2))),+(ROUND(O58,2)+ROUND(Q58,2))-(ROUND(P58,2)+ROUND(R58,2)),0)</f>
        <v>0</v>
      </c>
      <c r="W58" s="43"/>
      <c r="X58" s="43"/>
      <c r="Y58" s="43"/>
      <c r="Z58" s="43"/>
    </row>
    <row r="59" spans="1:26">
      <c r="A59" s="88">
        <v>1924</v>
      </c>
      <c r="B59" s="378" t="s">
        <v>221</v>
      </c>
      <c r="C59" s="1037"/>
      <c r="D59" s="1037"/>
      <c r="E59" s="1037"/>
      <c r="F59" s="1037"/>
      <c r="G59" s="1037"/>
      <c r="H59" s="1037"/>
      <c r="I59" s="1037"/>
      <c r="J59" s="1037"/>
      <c r="K59" s="1037"/>
      <c r="L59" s="590"/>
      <c r="M59" s="51"/>
      <c r="N59" s="113">
        <f t="shared" si="7"/>
        <v>1924</v>
      </c>
      <c r="O59" s="575">
        <v>0</v>
      </c>
      <c r="P59" s="576"/>
      <c r="Q59" s="589"/>
      <c r="R59" s="121"/>
      <c r="S59" s="579">
        <v>0</v>
      </c>
      <c r="T59" s="580">
        <f t="shared" si="6"/>
        <v>0</v>
      </c>
      <c r="U59" s="51"/>
      <c r="V59" s="2119">
        <f>+IF(OR(+ROUND(O59,2)+ROUND(Q59,2)&gt;ROUND(P59,2)+ROUND(R59,2),+ABS(ROUND(O59,2)+ROUND(Q59,2))&gt;+ABS(ROUND(P59,2)+ROUND(R59,2))),+(ROUND(O59,2)+ROUND(Q59,2))-(ROUND(P59,2)+ROUND(R59,2)),0)</f>
        <v>0</v>
      </c>
      <c r="W59" s="43"/>
      <c r="X59" s="43"/>
      <c r="Y59" s="43"/>
      <c r="Z59" s="43"/>
    </row>
    <row r="60" spans="1:26" ht="15.75" customHeight="1">
      <c r="A60" s="88">
        <v>1927</v>
      </c>
      <c r="B60" s="378" t="s">
        <v>222</v>
      </c>
      <c r="C60" s="1038"/>
      <c r="D60" s="1038"/>
      <c r="E60" s="1038"/>
      <c r="F60" s="1038"/>
      <c r="G60" s="1038"/>
      <c r="H60" s="1038"/>
      <c r="I60" s="1038"/>
      <c r="J60" s="1038"/>
      <c r="K60" s="1038"/>
      <c r="L60" s="590"/>
      <c r="M60" s="51"/>
      <c r="N60" s="113">
        <f t="shared" si="7"/>
        <v>1927</v>
      </c>
      <c r="O60" s="581"/>
      <c r="P60" s="576"/>
      <c r="Q60" s="589"/>
      <c r="R60" s="576"/>
      <c r="S60" s="583">
        <f>+IF(ABS(+O60+Q60)&gt;=ABS(P60+R60),+O60-P60+Q60-R60,0)</f>
        <v>0</v>
      </c>
      <c r="T60" s="580">
        <f t="shared" si="6"/>
        <v>0</v>
      </c>
      <c r="U60" s="51"/>
      <c r="V60" s="2119"/>
      <c r="W60" s="43"/>
      <c r="X60" s="43"/>
      <c r="Y60" s="43"/>
      <c r="Z60" s="43"/>
    </row>
    <row r="61" spans="1:26" ht="15.75" customHeight="1">
      <c r="A61" s="88">
        <v>1928</v>
      </c>
      <c r="B61" s="378" t="s">
        <v>223</v>
      </c>
      <c r="C61" s="1038"/>
      <c r="D61" s="1038"/>
      <c r="E61" s="1038"/>
      <c r="F61" s="1038"/>
      <c r="G61" s="1038"/>
      <c r="H61" s="1038"/>
      <c r="I61" s="1038"/>
      <c r="J61" s="1038"/>
      <c r="K61" s="1038"/>
      <c r="L61" s="590"/>
      <c r="M61" s="51"/>
      <c r="N61" s="113">
        <f t="shared" si="7"/>
        <v>1928</v>
      </c>
      <c r="O61" s="581"/>
      <c r="P61" s="576"/>
      <c r="Q61" s="589"/>
      <c r="R61" s="576"/>
      <c r="S61" s="583">
        <f>+IF(ABS(+O61+Q61)&gt;=ABS(P61+R61),+O61-P61+Q61-R61,0)</f>
        <v>0</v>
      </c>
      <c r="T61" s="580">
        <f t="shared" si="6"/>
        <v>0</v>
      </c>
      <c r="U61" s="51"/>
      <c r="V61" s="2119"/>
      <c r="W61" s="43"/>
      <c r="X61" s="43"/>
      <c r="Y61" s="43"/>
      <c r="Z61" s="43"/>
    </row>
    <row r="62" spans="1:26">
      <c r="A62" s="88">
        <v>1991</v>
      </c>
      <c r="B62" s="378" t="s">
        <v>855</v>
      </c>
      <c r="C62" s="1039"/>
      <c r="D62" s="1039"/>
      <c r="E62" s="1039"/>
      <c r="F62" s="1039"/>
      <c r="G62" s="1039"/>
      <c r="H62" s="1039"/>
      <c r="I62" s="1039"/>
      <c r="J62" s="1039"/>
      <c r="K62" s="1039"/>
      <c r="L62" s="574"/>
      <c r="M62" s="51"/>
      <c r="N62" s="113">
        <f t="shared" si="7"/>
        <v>1991</v>
      </c>
      <c r="O62" s="575">
        <v>0</v>
      </c>
      <c r="P62" s="576"/>
      <c r="Q62" s="589"/>
      <c r="R62" s="121"/>
      <c r="S62" s="579">
        <v>0</v>
      </c>
      <c r="T62" s="580">
        <f t="shared" si="6"/>
        <v>0</v>
      </c>
      <c r="U62" s="51"/>
      <c r="V62" s="2119">
        <f t="shared" ref="V62:V69" si="8">+IF(OR(+ROUND(O62,2)+ROUND(Q62,2)&gt;ROUND(P62,2)+ROUND(R62,2),+ABS(ROUND(O62,2)+ROUND(Q62,2))&gt;+ABS(ROUND(P62,2)+ROUND(R62,2))),+(ROUND(O62,2)+ROUND(Q62,2))-(ROUND(P62,2)+ROUND(R62,2)),0)</f>
        <v>0</v>
      </c>
      <c r="W62" s="43"/>
      <c r="X62" s="43"/>
      <c r="Y62" s="43"/>
      <c r="Z62" s="43"/>
    </row>
    <row r="63" spans="1:26">
      <c r="A63" s="88">
        <v>1992</v>
      </c>
      <c r="B63" s="378" t="s">
        <v>856</v>
      </c>
      <c r="C63" s="1039"/>
      <c r="D63" s="1039"/>
      <c r="E63" s="1039"/>
      <c r="F63" s="1039"/>
      <c r="G63" s="1039"/>
      <c r="H63" s="1039"/>
      <c r="I63" s="1039"/>
      <c r="J63" s="1039"/>
      <c r="K63" s="1039"/>
      <c r="L63" s="574"/>
      <c r="M63" s="51"/>
      <c r="N63" s="113">
        <f t="shared" si="7"/>
        <v>1992</v>
      </c>
      <c r="O63" s="575">
        <v>0</v>
      </c>
      <c r="P63" s="576"/>
      <c r="Q63" s="589"/>
      <c r="R63" s="121"/>
      <c r="S63" s="579">
        <v>0</v>
      </c>
      <c r="T63" s="580">
        <f t="shared" si="6"/>
        <v>0</v>
      </c>
      <c r="U63" s="51"/>
      <c r="V63" s="2119">
        <f t="shared" si="8"/>
        <v>0</v>
      </c>
      <c r="W63" s="43"/>
      <c r="X63" s="43"/>
      <c r="Y63" s="43"/>
      <c r="Z63" s="43"/>
    </row>
    <row r="64" spans="1:26" ht="15.75" customHeight="1">
      <c r="A64" s="88">
        <v>1993</v>
      </c>
      <c r="B64" s="378" t="s">
        <v>857</v>
      </c>
      <c r="C64" s="1039"/>
      <c r="D64" s="1039"/>
      <c r="E64" s="1039"/>
      <c r="F64" s="1039"/>
      <c r="G64" s="1039"/>
      <c r="H64" s="1039"/>
      <c r="I64" s="1039"/>
      <c r="J64" s="1039"/>
      <c r="K64" s="1039"/>
      <c r="L64" s="574"/>
      <c r="M64" s="51"/>
      <c r="N64" s="113">
        <f t="shared" si="7"/>
        <v>1993</v>
      </c>
      <c r="O64" s="575">
        <v>0</v>
      </c>
      <c r="P64" s="576"/>
      <c r="Q64" s="589"/>
      <c r="R64" s="121"/>
      <c r="S64" s="579">
        <v>0</v>
      </c>
      <c r="T64" s="580">
        <f t="shared" si="6"/>
        <v>0</v>
      </c>
      <c r="U64" s="51"/>
      <c r="V64" s="2119">
        <f t="shared" si="8"/>
        <v>0</v>
      </c>
      <c r="W64" s="43"/>
      <c r="X64" s="43"/>
      <c r="Y64" s="43"/>
      <c r="Z64" s="43"/>
    </row>
    <row r="65" spans="1:26" ht="15.75" customHeight="1">
      <c r="A65" s="88">
        <v>1994</v>
      </c>
      <c r="B65" s="378" t="s">
        <v>858</v>
      </c>
      <c r="C65" s="1039"/>
      <c r="D65" s="1039"/>
      <c r="E65" s="1039"/>
      <c r="F65" s="1039"/>
      <c r="G65" s="1039"/>
      <c r="H65" s="1039"/>
      <c r="I65" s="1039"/>
      <c r="J65" s="1039"/>
      <c r="K65" s="1039"/>
      <c r="L65" s="574"/>
      <c r="M65" s="51"/>
      <c r="N65" s="113">
        <f t="shared" si="7"/>
        <v>1994</v>
      </c>
      <c r="O65" s="575">
        <v>0</v>
      </c>
      <c r="P65" s="576"/>
      <c r="Q65" s="589"/>
      <c r="R65" s="121"/>
      <c r="S65" s="579">
        <v>0</v>
      </c>
      <c r="T65" s="580">
        <f t="shared" si="6"/>
        <v>0</v>
      </c>
      <c r="U65" s="51"/>
      <c r="V65" s="2119">
        <f t="shared" si="8"/>
        <v>0</v>
      </c>
      <c r="W65" s="43"/>
      <c r="X65" s="43"/>
      <c r="Y65" s="43"/>
      <c r="Z65" s="43"/>
    </row>
    <row r="66" spans="1:26">
      <c r="A66" s="88">
        <v>1995</v>
      </c>
      <c r="B66" s="378" t="s">
        <v>859</v>
      </c>
      <c r="C66" s="1039"/>
      <c r="D66" s="1039"/>
      <c r="E66" s="1039"/>
      <c r="F66" s="1039"/>
      <c r="G66" s="1039"/>
      <c r="H66" s="1039"/>
      <c r="I66" s="1039"/>
      <c r="J66" s="1039"/>
      <c r="K66" s="1039"/>
      <c r="L66" s="574"/>
      <c r="M66" s="51"/>
      <c r="N66" s="113">
        <f t="shared" si="7"/>
        <v>1995</v>
      </c>
      <c r="O66" s="575">
        <v>0</v>
      </c>
      <c r="P66" s="576"/>
      <c r="Q66" s="589"/>
      <c r="R66" s="121"/>
      <c r="S66" s="579">
        <v>0</v>
      </c>
      <c r="T66" s="580">
        <f t="shared" si="6"/>
        <v>0</v>
      </c>
      <c r="U66" s="51"/>
      <c r="V66" s="2119">
        <f t="shared" si="8"/>
        <v>0</v>
      </c>
      <c r="W66" s="43"/>
      <c r="X66" s="43"/>
      <c r="Y66" s="43"/>
      <c r="Z66" s="43"/>
    </row>
    <row r="67" spans="1:26">
      <c r="A67" s="88">
        <v>1996</v>
      </c>
      <c r="B67" s="378" t="s">
        <v>972</v>
      </c>
      <c r="C67" s="1039"/>
      <c r="D67" s="1039"/>
      <c r="E67" s="1039"/>
      <c r="F67" s="1039"/>
      <c r="G67" s="1039"/>
      <c r="H67" s="1039"/>
      <c r="I67" s="1039"/>
      <c r="J67" s="1039"/>
      <c r="K67" s="1039"/>
      <c r="L67" s="574"/>
      <c r="M67" s="51"/>
      <c r="N67" s="113">
        <f t="shared" si="7"/>
        <v>1996</v>
      </c>
      <c r="O67" s="575">
        <v>0</v>
      </c>
      <c r="P67" s="576"/>
      <c r="Q67" s="589"/>
      <c r="R67" s="121"/>
      <c r="S67" s="579">
        <v>0</v>
      </c>
      <c r="T67" s="580">
        <f t="shared" si="6"/>
        <v>0</v>
      </c>
      <c r="U67" s="51"/>
      <c r="V67" s="2119">
        <f t="shared" si="8"/>
        <v>0</v>
      </c>
      <c r="W67" s="43"/>
      <c r="X67" s="43"/>
      <c r="Y67" s="43"/>
      <c r="Z67" s="43"/>
    </row>
    <row r="68" spans="1:26">
      <c r="A68" s="88">
        <v>1997</v>
      </c>
      <c r="B68" s="378" t="s">
        <v>224</v>
      </c>
      <c r="C68" s="1033"/>
      <c r="D68" s="1033"/>
      <c r="E68" s="1033"/>
      <c r="F68" s="1033"/>
      <c r="G68" s="1033"/>
      <c r="H68" s="1033"/>
      <c r="I68" s="1033"/>
      <c r="J68" s="1033"/>
      <c r="K68" s="1033"/>
      <c r="L68" s="90"/>
      <c r="M68" s="51"/>
      <c r="N68" s="113">
        <f t="shared" si="7"/>
        <v>1997</v>
      </c>
      <c r="O68" s="575">
        <v>0</v>
      </c>
      <c r="P68" s="576"/>
      <c r="Q68" s="122"/>
      <c r="R68" s="121"/>
      <c r="S68" s="579">
        <v>0</v>
      </c>
      <c r="T68" s="580">
        <f t="shared" si="6"/>
        <v>0</v>
      </c>
      <c r="U68" s="51"/>
      <c r="V68" s="2119">
        <f t="shared" si="8"/>
        <v>0</v>
      </c>
      <c r="W68" s="43"/>
      <c r="X68" s="43"/>
      <c r="Y68" s="43"/>
      <c r="Z68" s="43"/>
    </row>
    <row r="69" spans="1:26">
      <c r="A69" s="88">
        <v>1998</v>
      </c>
      <c r="B69" s="378" t="s">
        <v>225</v>
      </c>
      <c r="C69" s="101"/>
      <c r="D69" s="101"/>
      <c r="E69" s="101"/>
      <c r="F69" s="101"/>
      <c r="G69" s="101"/>
      <c r="H69" s="101"/>
      <c r="I69" s="101"/>
      <c r="J69" s="101"/>
      <c r="K69" s="101"/>
      <c r="L69" s="102"/>
      <c r="M69" s="51"/>
      <c r="N69" s="116">
        <f t="shared" si="7"/>
        <v>1998</v>
      </c>
      <c r="O69" s="55">
        <v>0</v>
      </c>
      <c r="P69" s="127"/>
      <c r="Q69" s="126"/>
      <c r="R69" s="121"/>
      <c r="S69" s="382">
        <v>0</v>
      </c>
      <c r="T69" s="57">
        <f t="shared" si="6"/>
        <v>0</v>
      </c>
      <c r="U69" s="51"/>
      <c r="V69" s="2119">
        <f t="shared" si="8"/>
        <v>0</v>
      </c>
      <c r="W69" s="43"/>
      <c r="X69" s="43"/>
      <c r="Y69" s="43"/>
      <c r="Z69" s="43"/>
    </row>
    <row r="70" spans="1:26">
      <c r="A70" s="379" t="s">
        <v>811</v>
      </c>
      <c r="B70" s="380"/>
      <c r="C70" s="380"/>
      <c r="D70" s="380"/>
      <c r="E70" s="380"/>
      <c r="F70" s="380"/>
      <c r="G70" s="380"/>
      <c r="H70" s="380"/>
      <c r="I70" s="380"/>
      <c r="J70" s="380"/>
      <c r="K70" s="380"/>
      <c r="L70" s="381"/>
      <c r="M70" s="51"/>
      <c r="N70" s="383">
        <v>2</v>
      </c>
      <c r="O70" s="384"/>
      <c r="P70" s="385"/>
      <c r="Q70" s="386"/>
      <c r="R70" s="385"/>
      <c r="S70" s="386"/>
      <c r="T70" s="387"/>
      <c r="U70" s="51"/>
      <c r="V70" s="2119"/>
      <c r="W70" s="43"/>
      <c r="X70" s="43"/>
      <c r="Y70" s="43"/>
      <c r="Z70" s="43"/>
    </row>
    <row r="71" spans="1:26">
      <c r="A71" s="85">
        <v>2010</v>
      </c>
      <c r="B71" s="86" t="s">
        <v>973</v>
      </c>
      <c r="C71" s="86"/>
      <c r="D71" s="86"/>
      <c r="E71" s="86"/>
      <c r="F71" s="86"/>
      <c r="G71" s="86"/>
      <c r="H71" s="86"/>
      <c r="I71" s="86"/>
      <c r="J71" s="86"/>
      <c r="K71" s="86"/>
      <c r="L71" s="87"/>
      <c r="M71" s="51"/>
      <c r="N71" s="112">
        <f t="shared" ref="N71:N101" si="9">+A71</f>
        <v>2010</v>
      </c>
      <c r="O71" s="835"/>
      <c r="P71" s="836">
        <v>0</v>
      </c>
      <c r="Q71" s="577"/>
      <c r="R71" s="324"/>
      <c r="S71" s="837">
        <f t="shared" ref="S71:S89" si="10">+IF(ABS(+O71+Q71)&gt;=ABS(P71+R71),+O71-P71+Q71-R71,0)</f>
        <v>0</v>
      </c>
      <c r="T71" s="2168">
        <v>0</v>
      </c>
      <c r="U71" s="51"/>
      <c r="V71" s="2120">
        <f t="shared" ref="V71:V89" si="11">+IF(OR(ROUND(P71,2)+ROUND(R71,2)&gt;+ROUND(O71,2)+ROUND(Q71,2),+ABS(ROUND(P71,2)+ROUND(R71,2))&gt;+ABS(ROUND(O71,2)+ROUND(Q71,2))),+(ROUND(P71,2)+ROUND(R71,2))-(ROUND(O71,2)+ROUND(Q71,2)),0)</f>
        <v>0</v>
      </c>
      <c r="W71" s="43"/>
      <c r="X71" s="43"/>
      <c r="Y71" s="43"/>
      <c r="Z71" s="43"/>
    </row>
    <row r="72" spans="1:26">
      <c r="A72" s="88">
        <v>2020</v>
      </c>
      <c r="B72" s="86" t="s">
        <v>812</v>
      </c>
      <c r="C72" s="86"/>
      <c r="D72" s="86"/>
      <c r="E72" s="86"/>
      <c r="F72" s="86"/>
      <c r="G72" s="86"/>
      <c r="H72" s="86"/>
      <c r="I72" s="86"/>
      <c r="J72" s="86"/>
      <c r="K72" s="86"/>
      <c r="L72" s="90"/>
      <c r="M72" s="51"/>
      <c r="N72" s="112">
        <f t="shared" si="9"/>
        <v>2020</v>
      </c>
      <c r="O72" s="835"/>
      <c r="P72" s="836">
        <v>0</v>
      </c>
      <c r="Q72" s="577"/>
      <c r="R72" s="324"/>
      <c r="S72" s="837">
        <f t="shared" si="10"/>
        <v>0</v>
      </c>
      <c r="T72" s="2168">
        <v>0</v>
      </c>
      <c r="U72" s="51"/>
      <c r="V72" s="2120">
        <f t="shared" si="11"/>
        <v>0</v>
      </c>
      <c r="W72" s="43"/>
      <c r="X72" s="43"/>
      <c r="Y72" s="43"/>
      <c r="Z72" s="43"/>
    </row>
    <row r="73" spans="1:26">
      <c r="A73" s="88">
        <v>2031</v>
      </c>
      <c r="B73" s="86" t="s">
        <v>548</v>
      </c>
      <c r="C73" s="1033"/>
      <c r="D73" s="1033"/>
      <c r="E73" s="1033"/>
      <c r="F73" s="1033"/>
      <c r="G73" s="1033"/>
      <c r="H73" s="1033"/>
      <c r="I73" s="1033"/>
      <c r="J73" s="1033"/>
      <c r="K73" s="1033"/>
      <c r="L73" s="90"/>
      <c r="M73" s="51"/>
      <c r="N73" s="113">
        <f t="shared" si="9"/>
        <v>2031</v>
      </c>
      <c r="O73" s="581">
        <v>0</v>
      </c>
      <c r="P73" s="582">
        <v>0</v>
      </c>
      <c r="Q73" s="589">
        <v>0</v>
      </c>
      <c r="R73" s="121">
        <v>0</v>
      </c>
      <c r="S73" s="583">
        <f t="shared" si="10"/>
        <v>0</v>
      </c>
      <c r="T73" s="584">
        <v>0</v>
      </c>
      <c r="U73" s="51"/>
      <c r="V73" s="2120">
        <f t="shared" si="11"/>
        <v>0</v>
      </c>
      <c r="W73" s="43"/>
      <c r="X73" s="43"/>
      <c r="Y73" s="43"/>
      <c r="Z73" s="43"/>
    </row>
    <row r="74" spans="1:26">
      <c r="A74" s="88">
        <v>2032</v>
      </c>
      <c r="B74" s="86" t="s">
        <v>974</v>
      </c>
      <c r="C74" s="1033"/>
      <c r="D74" s="1033"/>
      <c r="E74" s="1033"/>
      <c r="F74" s="1033"/>
      <c r="G74" s="1033"/>
      <c r="H74" s="1033"/>
      <c r="I74" s="1033"/>
      <c r="J74" s="1033"/>
      <c r="K74" s="1033"/>
      <c r="L74" s="90"/>
      <c r="M74" s="51"/>
      <c r="N74" s="113">
        <f t="shared" si="9"/>
        <v>2032</v>
      </c>
      <c r="O74" s="581"/>
      <c r="P74" s="582">
        <v>0</v>
      </c>
      <c r="Q74" s="589"/>
      <c r="R74" s="121"/>
      <c r="S74" s="583">
        <f t="shared" si="10"/>
        <v>0</v>
      </c>
      <c r="T74" s="584">
        <v>0</v>
      </c>
      <c r="U74" s="51"/>
      <c r="V74" s="2120">
        <f t="shared" si="11"/>
        <v>0</v>
      </c>
      <c r="W74" s="43"/>
      <c r="X74" s="43"/>
      <c r="Y74" s="43"/>
      <c r="Z74" s="43"/>
    </row>
    <row r="75" spans="1:26">
      <c r="A75" s="88">
        <v>2038</v>
      </c>
      <c r="B75" s="86" t="s">
        <v>358</v>
      </c>
      <c r="C75" s="1033"/>
      <c r="D75" s="1033"/>
      <c r="E75" s="1033"/>
      <c r="F75" s="1033"/>
      <c r="G75" s="1033"/>
      <c r="H75" s="1033"/>
      <c r="I75" s="1033"/>
      <c r="J75" s="1033"/>
      <c r="K75" s="1033"/>
      <c r="L75" s="90"/>
      <c r="M75" s="51"/>
      <c r="N75" s="113">
        <f t="shared" si="9"/>
        <v>2038</v>
      </c>
      <c r="O75" s="581"/>
      <c r="P75" s="582">
        <v>0</v>
      </c>
      <c r="Q75" s="589"/>
      <c r="R75" s="121"/>
      <c r="S75" s="583">
        <f t="shared" si="10"/>
        <v>0</v>
      </c>
      <c r="T75" s="584">
        <v>0</v>
      </c>
      <c r="U75" s="51"/>
      <c r="V75" s="2120">
        <f t="shared" si="11"/>
        <v>0</v>
      </c>
      <c r="W75" s="43"/>
      <c r="X75" s="43"/>
      <c r="Y75" s="43"/>
      <c r="Z75" s="43"/>
    </row>
    <row r="76" spans="1:26">
      <c r="A76" s="88">
        <v>2039</v>
      </c>
      <c r="B76" s="86" t="s">
        <v>549</v>
      </c>
      <c r="C76" s="1033"/>
      <c r="D76" s="1033"/>
      <c r="E76" s="1033"/>
      <c r="F76" s="1033"/>
      <c r="G76" s="1033"/>
      <c r="H76" s="1033"/>
      <c r="I76" s="1033"/>
      <c r="J76" s="1033"/>
      <c r="K76" s="1033"/>
      <c r="L76" s="90"/>
      <c r="M76" s="51"/>
      <c r="N76" s="113">
        <f t="shared" si="9"/>
        <v>2039</v>
      </c>
      <c r="O76" s="581"/>
      <c r="P76" s="582">
        <v>0</v>
      </c>
      <c r="Q76" s="589"/>
      <c r="R76" s="121"/>
      <c r="S76" s="583">
        <f t="shared" si="10"/>
        <v>0</v>
      </c>
      <c r="T76" s="584">
        <v>0</v>
      </c>
      <c r="U76" s="51"/>
      <c r="V76" s="2120">
        <f t="shared" si="11"/>
        <v>0</v>
      </c>
      <c r="W76" s="43"/>
      <c r="X76" s="43"/>
      <c r="Y76" s="43"/>
      <c r="Z76" s="43"/>
    </row>
    <row r="77" spans="1:26">
      <c r="A77" s="88">
        <v>2041</v>
      </c>
      <c r="B77" s="86" t="s">
        <v>550</v>
      </c>
      <c r="C77" s="1033"/>
      <c r="D77" s="1033"/>
      <c r="E77" s="1033"/>
      <c r="F77" s="1033"/>
      <c r="G77" s="1033"/>
      <c r="H77" s="1033"/>
      <c r="I77" s="1033"/>
      <c r="J77" s="1033"/>
      <c r="K77" s="1033"/>
      <c r="L77" s="90"/>
      <c r="M77" s="51"/>
      <c r="N77" s="113">
        <f t="shared" si="9"/>
        <v>2041</v>
      </c>
      <c r="O77" s="581">
        <v>0</v>
      </c>
      <c r="P77" s="582">
        <v>0</v>
      </c>
      <c r="Q77" s="589">
        <v>0</v>
      </c>
      <c r="R77" s="121">
        <v>0</v>
      </c>
      <c r="S77" s="583">
        <f t="shared" si="10"/>
        <v>0</v>
      </c>
      <c r="T77" s="584">
        <v>0</v>
      </c>
      <c r="U77" s="51"/>
      <c r="V77" s="2120">
        <f t="shared" si="11"/>
        <v>0</v>
      </c>
      <c r="W77" s="43"/>
      <c r="X77" s="43"/>
      <c r="Y77" s="43"/>
      <c r="Z77" s="43"/>
    </row>
    <row r="78" spans="1:26">
      <c r="A78" s="88">
        <v>2049</v>
      </c>
      <c r="B78" s="86" t="s">
        <v>551</v>
      </c>
      <c r="C78" s="1033"/>
      <c r="D78" s="1033"/>
      <c r="E78" s="1033"/>
      <c r="F78" s="1033"/>
      <c r="G78" s="1033"/>
      <c r="H78" s="1033"/>
      <c r="I78" s="1033"/>
      <c r="J78" s="1033"/>
      <c r="K78" s="1033"/>
      <c r="L78" s="90"/>
      <c r="M78" s="51"/>
      <c r="N78" s="113">
        <f t="shared" si="9"/>
        <v>2049</v>
      </c>
      <c r="O78" s="581">
        <v>0</v>
      </c>
      <c r="P78" s="582">
        <v>0</v>
      </c>
      <c r="Q78" s="589">
        <v>0</v>
      </c>
      <c r="R78" s="121">
        <v>0</v>
      </c>
      <c r="S78" s="583">
        <f t="shared" si="10"/>
        <v>0</v>
      </c>
      <c r="T78" s="584">
        <v>0</v>
      </c>
      <c r="U78" s="51"/>
      <c r="V78" s="2120">
        <f t="shared" si="11"/>
        <v>0</v>
      </c>
      <c r="W78" s="43"/>
      <c r="X78" s="43"/>
      <c r="Y78" s="43"/>
      <c r="Z78" s="43"/>
    </row>
    <row r="79" spans="1:26">
      <c r="A79" s="88">
        <v>2051</v>
      </c>
      <c r="B79" s="86" t="s">
        <v>552</v>
      </c>
      <c r="C79" s="1033"/>
      <c r="D79" s="1033"/>
      <c r="E79" s="1033"/>
      <c r="F79" s="1033"/>
      <c r="G79" s="1033"/>
      <c r="H79" s="1033"/>
      <c r="I79" s="1033"/>
      <c r="J79" s="1033"/>
      <c r="K79" s="1033"/>
      <c r="L79" s="90"/>
      <c r="M79" s="51"/>
      <c r="N79" s="113">
        <f t="shared" si="9"/>
        <v>2051</v>
      </c>
      <c r="O79" s="581"/>
      <c r="P79" s="582">
        <v>0</v>
      </c>
      <c r="Q79" s="589"/>
      <c r="R79" s="121"/>
      <c r="S79" s="583">
        <f t="shared" si="10"/>
        <v>0</v>
      </c>
      <c r="T79" s="584">
        <v>0</v>
      </c>
      <c r="U79" s="51"/>
      <c r="V79" s="2120">
        <f t="shared" si="11"/>
        <v>0</v>
      </c>
      <c r="W79" s="43"/>
      <c r="X79" s="43"/>
      <c r="Y79" s="43"/>
      <c r="Z79" s="43"/>
    </row>
    <row r="80" spans="1:26">
      <c r="A80" s="88">
        <v>2059</v>
      </c>
      <c r="B80" s="86" t="s">
        <v>553</v>
      </c>
      <c r="C80" s="1033"/>
      <c r="D80" s="1033"/>
      <c r="E80" s="1033"/>
      <c r="F80" s="1033"/>
      <c r="G80" s="1033"/>
      <c r="H80" s="1033"/>
      <c r="I80" s="1033"/>
      <c r="J80" s="1033"/>
      <c r="K80" s="1033"/>
      <c r="L80" s="90"/>
      <c r="M80" s="51"/>
      <c r="N80" s="113">
        <f t="shared" si="9"/>
        <v>2059</v>
      </c>
      <c r="O80" s="581">
        <v>0</v>
      </c>
      <c r="P80" s="582">
        <v>0</v>
      </c>
      <c r="Q80" s="589">
        <v>0</v>
      </c>
      <c r="R80" s="121">
        <v>0</v>
      </c>
      <c r="S80" s="583">
        <f t="shared" si="10"/>
        <v>0</v>
      </c>
      <c r="T80" s="584">
        <v>0</v>
      </c>
      <c r="U80" s="51"/>
      <c r="V80" s="2120">
        <f t="shared" si="11"/>
        <v>0</v>
      </c>
      <c r="W80" s="43"/>
      <c r="X80" s="43"/>
      <c r="Y80" s="43"/>
      <c r="Z80" s="43"/>
    </row>
    <row r="81" spans="1:26">
      <c r="A81" s="88">
        <v>2060</v>
      </c>
      <c r="B81" s="86" t="s">
        <v>554</v>
      </c>
      <c r="C81" s="1033"/>
      <c r="D81" s="1033"/>
      <c r="E81" s="1033"/>
      <c r="F81" s="1033"/>
      <c r="G81" s="1033"/>
      <c r="H81" s="1033"/>
      <c r="I81" s="1033"/>
      <c r="J81" s="1033"/>
      <c r="K81" s="1033"/>
      <c r="L81" s="90"/>
      <c r="M81" s="51"/>
      <c r="N81" s="113">
        <f t="shared" si="9"/>
        <v>2060</v>
      </c>
      <c r="O81" s="581">
        <v>0</v>
      </c>
      <c r="P81" s="582">
        <v>0</v>
      </c>
      <c r="Q81" s="589">
        <v>0</v>
      </c>
      <c r="R81" s="121">
        <v>0</v>
      </c>
      <c r="S81" s="583">
        <f t="shared" si="10"/>
        <v>0</v>
      </c>
      <c r="T81" s="584">
        <v>0</v>
      </c>
      <c r="U81" s="51"/>
      <c r="V81" s="2120">
        <f t="shared" si="11"/>
        <v>0</v>
      </c>
      <c r="W81" s="43"/>
      <c r="X81" s="43"/>
      <c r="Y81" s="43"/>
      <c r="Z81" s="43"/>
    </row>
    <row r="82" spans="1:26">
      <c r="A82" s="88">
        <v>2071</v>
      </c>
      <c r="B82" s="86" t="s">
        <v>43</v>
      </c>
      <c r="C82" s="1033"/>
      <c r="D82" s="1033"/>
      <c r="E82" s="1033"/>
      <c r="F82" s="1033"/>
      <c r="G82" s="1033"/>
      <c r="H82" s="1033"/>
      <c r="I82" s="1033"/>
      <c r="J82" s="1033"/>
      <c r="K82" s="1033"/>
      <c r="L82" s="90"/>
      <c r="M82" s="51"/>
      <c r="N82" s="113">
        <f t="shared" si="9"/>
        <v>2071</v>
      </c>
      <c r="O82" s="581">
        <v>0</v>
      </c>
      <c r="P82" s="582">
        <v>0</v>
      </c>
      <c r="Q82" s="589">
        <v>0</v>
      </c>
      <c r="R82" s="121">
        <v>0</v>
      </c>
      <c r="S82" s="583">
        <f t="shared" si="10"/>
        <v>0</v>
      </c>
      <c r="T82" s="584">
        <v>0</v>
      </c>
      <c r="U82" s="51"/>
      <c r="V82" s="2120">
        <f t="shared" si="11"/>
        <v>0</v>
      </c>
      <c r="W82" s="43"/>
      <c r="X82" s="43"/>
      <c r="Y82" s="43"/>
      <c r="Z82" s="43"/>
    </row>
    <row r="83" spans="1:26">
      <c r="A83" s="88">
        <v>2079</v>
      </c>
      <c r="B83" s="86" t="s">
        <v>555</v>
      </c>
      <c r="C83" s="1033"/>
      <c r="D83" s="1033"/>
      <c r="E83" s="1033"/>
      <c r="F83" s="1033"/>
      <c r="G83" s="1033"/>
      <c r="H83" s="1033"/>
      <c r="I83" s="1033"/>
      <c r="J83" s="1033"/>
      <c r="K83" s="1033"/>
      <c r="L83" s="90"/>
      <c r="M83" s="51"/>
      <c r="N83" s="113">
        <f t="shared" si="9"/>
        <v>2079</v>
      </c>
      <c r="O83" s="581">
        <v>0</v>
      </c>
      <c r="P83" s="582">
        <v>0</v>
      </c>
      <c r="Q83" s="589">
        <v>0</v>
      </c>
      <c r="R83" s="121">
        <v>0</v>
      </c>
      <c r="S83" s="583">
        <f t="shared" si="10"/>
        <v>0</v>
      </c>
      <c r="T83" s="584">
        <v>0</v>
      </c>
      <c r="U83" s="51"/>
      <c r="V83" s="2120">
        <f t="shared" si="11"/>
        <v>0</v>
      </c>
      <c r="W83" s="43"/>
      <c r="X83" s="43"/>
      <c r="Y83" s="43"/>
      <c r="Z83" s="43"/>
    </row>
    <row r="84" spans="1:26">
      <c r="A84" s="88">
        <v>2091</v>
      </c>
      <c r="B84" s="86" t="s">
        <v>359</v>
      </c>
      <c r="C84" s="1033"/>
      <c r="D84" s="1033"/>
      <c r="E84" s="1033"/>
      <c r="F84" s="1033"/>
      <c r="G84" s="1033"/>
      <c r="H84" s="1033"/>
      <c r="I84" s="1033"/>
      <c r="J84" s="1033"/>
      <c r="K84" s="1033"/>
      <c r="L84" s="90"/>
      <c r="M84" s="51"/>
      <c r="N84" s="113">
        <f t="shared" si="9"/>
        <v>2091</v>
      </c>
      <c r="O84" s="581"/>
      <c r="P84" s="582">
        <v>0</v>
      </c>
      <c r="Q84" s="589"/>
      <c r="R84" s="121"/>
      <c r="S84" s="583">
        <f t="shared" si="10"/>
        <v>0</v>
      </c>
      <c r="T84" s="584">
        <v>0</v>
      </c>
      <c r="U84" s="51"/>
      <c r="V84" s="2120">
        <f t="shared" si="11"/>
        <v>0</v>
      </c>
      <c r="W84" s="43"/>
      <c r="X84" s="43"/>
      <c r="Y84" s="43"/>
      <c r="Z84" s="43"/>
    </row>
    <row r="85" spans="1:26">
      <c r="A85" s="88">
        <v>2099</v>
      </c>
      <c r="B85" s="86" t="s">
        <v>556</v>
      </c>
      <c r="C85" s="1033"/>
      <c r="D85" s="1033"/>
      <c r="E85" s="1033"/>
      <c r="F85" s="1033"/>
      <c r="G85" s="1033"/>
      <c r="H85" s="1033"/>
      <c r="I85" s="1033"/>
      <c r="J85" s="1033"/>
      <c r="K85" s="1033"/>
      <c r="L85" s="90"/>
      <c r="M85" s="51"/>
      <c r="N85" s="113">
        <f t="shared" si="9"/>
        <v>2099</v>
      </c>
      <c r="O85" s="581">
        <v>0</v>
      </c>
      <c r="P85" s="582">
        <v>0</v>
      </c>
      <c r="Q85" s="589">
        <v>0</v>
      </c>
      <c r="R85" s="121">
        <v>0</v>
      </c>
      <c r="S85" s="583">
        <f t="shared" si="10"/>
        <v>0</v>
      </c>
      <c r="T85" s="584">
        <v>0</v>
      </c>
      <c r="U85" s="51"/>
      <c r="V85" s="2120">
        <f t="shared" si="11"/>
        <v>0</v>
      </c>
      <c r="W85" s="43"/>
      <c r="X85" s="43"/>
      <c r="Y85" s="43"/>
      <c r="Z85" s="43"/>
    </row>
    <row r="86" spans="1:26">
      <c r="A86" s="88">
        <v>2101</v>
      </c>
      <c r="B86" s="86" t="s">
        <v>360</v>
      </c>
      <c r="C86" s="1033"/>
      <c r="D86" s="1033"/>
      <c r="E86" s="1033"/>
      <c r="F86" s="1033"/>
      <c r="G86" s="1033"/>
      <c r="H86" s="1033"/>
      <c r="I86" s="1033"/>
      <c r="J86" s="1033"/>
      <c r="K86" s="1033"/>
      <c r="L86" s="90"/>
      <c r="M86" s="51"/>
      <c r="N86" s="113">
        <f t="shared" si="9"/>
        <v>2101</v>
      </c>
      <c r="O86" s="581">
        <v>0</v>
      </c>
      <c r="P86" s="582">
        <v>0</v>
      </c>
      <c r="Q86" s="589">
        <v>0</v>
      </c>
      <c r="R86" s="121">
        <v>0</v>
      </c>
      <c r="S86" s="583">
        <f t="shared" si="10"/>
        <v>0</v>
      </c>
      <c r="T86" s="584">
        <v>0</v>
      </c>
      <c r="U86" s="51"/>
      <c r="V86" s="2120">
        <f t="shared" si="11"/>
        <v>0</v>
      </c>
      <c r="W86" s="43"/>
      <c r="X86" s="43"/>
      <c r="Y86" s="43"/>
      <c r="Z86" s="43"/>
    </row>
    <row r="87" spans="1:26">
      <c r="A87" s="88">
        <v>2102</v>
      </c>
      <c r="B87" s="86" t="s">
        <v>557</v>
      </c>
      <c r="C87" s="1033"/>
      <c r="D87" s="1033"/>
      <c r="E87" s="1033"/>
      <c r="F87" s="1033"/>
      <c r="G87" s="1033"/>
      <c r="H87" s="1033"/>
      <c r="I87" s="1033"/>
      <c r="J87" s="1033"/>
      <c r="K87" s="1033"/>
      <c r="L87" s="90"/>
      <c r="M87" s="51"/>
      <c r="N87" s="113">
        <f t="shared" si="9"/>
        <v>2102</v>
      </c>
      <c r="O87" s="581">
        <v>0</v>
      </c>
      <c r="P87" s="582">
        <v>0</v>
      </c>
      <c r="Q87" s="589">
        <v>0</v>
      </c>
      <c r="R87" s="121">
        <v>0</v>
      </c>
      <c r="S87" s="583">
        <f t="shared" si="10"/>
        <v>0</v>
      </c>
      <c r="T87" s="584">
        <v>0</v>
      </c>
      <c r="U87" s="51"/>
      <c r="V87" s="2120">
        <f t="shared" si="11"/>
        <v>0</v>
      </c>
      <c r="W87" s="43"/>
      <c r="X87" s="43"/>
      <c r="Y87" s="43"/>
      <c r="Z87" s="43"/>
    </row>
    <row r="88" spans="1:26">
      <c r="A88" s="88">
        <v>2107</v>
      </c>
      <c r="B88" s="86" t="s">
        <v>361</v>
      </c>
      <c r="C88" s="1033"/>
      <c r="D88" s="1033"/>
      <c r="E88" s="1033"/>
      <c r="F88" s="1033"/>
      <c r="G88" s="1033"/>
      <c r="H88" s="1033"/>
      <c r="I88" s="1033"/>
      <c r="J88" s="1033"/>
      <c r="K88" s="1033"/>
      <c r="L88" s="90"/>
      <c r="M88" s="51"/>
      <c r="N88" s="113">
        <f t="shared" si="9"/>
        <v>2107</v>
      </c>
      <c r="O88" s="581"/>
      <c r="P88" s="582">
        <v>0</v>
      </c>
      <c r="Q88" s="589"/>
      <c r="R88" s="121"/>
      <c r="S88" s="583">
        <f t="shared" si="10"/>
        <v>0</v>
      </c>
      <c r="T88" s="584">
        <v>0</v>
      </c>
      <c r="U88" s="51"/>
      <c r="V88" s="2120">
        <f t="shared" si="11"/>
        <v>0</v>
      </c>
      <c r="W88" s="43"/>
      <c r="X88" s="43"/>
      <c r="Y88" s="43"/>
      <c r="Z88" s="43"/>
    </row>
    <row r="89" spans="1:26">
      <c r="A89" s="88">
        <v>2109</v>
      </c>
      <c r="B89" s="86" t="s">
        <v>558</v>
      </c>
      <c r="C89" s="1033"/>
      <c r="D89" s="1033"/>
      <c r="E89" s="1033"/>
      <c r="F89" s="1033"/>
      <c r="G89" s="1033"/>
      <c r="H89" s="1033"/>
      <c r="I89" s="1033"/>
      <c r="J89" s="1033"/>
      <c r="K89" s="1033"/>
      <c r="L89" s="90"/>
      <c r="M89" s="51"/>
      <c r="N89" s="113">
        <f t="shared" si="9"/>
        <v>2109</v>
      </c>
      <c r="O89" s="581">
        <v>0</v>
      </c>
      <c r="P89" s="582">
        <v>0</v>
      </c>
      <c r="Q89" s="589">
        <v>0</v>
      </c>
      <c r="R89" s="121">
        <v>0</v>
      </c>
      <c r="S89" s="583">
        <f t="shared" si="10"/>
        <v>0</v>
      </c>
      <c r="T89" s="584">
        <v>0</v>
      </c>
      <c r="U89" s="51"/>
      <c r="V89" s="2120">
        <f t="shared" si="11"/>
        <v>0</v>
      </c>
      <c r="W89" s="43"/>
      <c r="X89" s="43"/>
      <c r="Y89" s="43"/>
      <c r="Z89" s="43"/>
    </row>
    <row r="90" spans="1:26">
      <c r="A90" s="88">
        <v>2201</v>
      </c>
      <c r="B90" s="86" t="s">
        <v>383</v>
      </c>
      <c r="C90" s="1033"/>
      <c r="D90" s="1033"/>
      <c r="E90" s="1033"/>
      <c r="F90" s="1033"/>
      <c r="G90" s="1033"/>
      <c r="H90" s="1033"/>
      <c r="I90" s="1033"/>
      <c r="J90" s="1033"/>
      <c r="K90" s="1033"/>
      <c r="L90" s="574"/>
      <c r="M90" s="51"/>
      <c r="N90" s="113">
        <f t="shared" si="9"/>
        <v>2201</v>
      </c>
      <c r="O90" s="575">
        <v>0</v>
      </c>
      <c r="P90" s="582">
        <v>0</v>
      </c>
      <c r="Q90" s="579">
        <v>0</v>
      </c>
      <c r="R90" s="582">
        <v>0</v>
      </c>
      <c r="S90" s="579">
        <v>0</v>
      </c>
      <c r="T90" s="584">
        <v>0</v>
      </c>
      <c r="U90" s="51"/>
      <c r="V90" s="2125">
        <f>+IF(OR(O90&lt;&gt;0,P90&lt;&gt;0,Q90&lt;&gt;0,R90&lt;&gt;0,S90&lt;&gt;0,T90&lt;&gt;0),+IF(ABS(O90+Q90)-ABS(P90+R90)&lt;&gt;0,ABS(O90+Q90)-ABS(P90+R90),1),0)</f>
        <v>0</v>
      </c>
      <c r="W90" s="43"/>
      <c r="X90" s="43"/>
      <c r="Y90" s="43"/>
      <c r="Z90" s="43"/>
    </row>
    <row r="91" spans="1:26">
      <c r="A91" s="88">
        <v>2202</v>
      </c>
      <c r="B91" s="86" t="s">
        <v>384</v>
      </c>
      <c r="C91" s="1033"/>
      <c r="D91" s="1033"/>
      <c r="E91" s="1033"/>
      <c r="F91" s="1033"/>
      <c r="G91" s="1033"/>
      <c r="H91" s="1033"/>
      <c r="I91" s="1033"/>
      <c r="J91" s="1033"/>
      <c r="K91" s="1033"/>
      <c r="L91" s="574"/>
      <c r="M91" s="51"/>
      <c r="N91" s="113">
        <f t="shared" si="9"/>
        <v>2202</v>
      </c>
      <c r="O91" s="575">
        <v>0</v>
      </c>
      <c r="P91" s="582">
        <v>0</v>
      </c>
      <c r="Q91" s="579">
        <v>0</v>
      </c>
      <c r="R91" s="582">
        <v>0</v>
      </c>
      <c r="S91" s="579">
        <v>0</v>
      </c>
      <c r="T91" s="584">
        <v>0</v>
      </c>
      <c r="U91" s="51"/>
      <c r="V91" s="2125">
        <f>+IF(OR(O91&lt;&gt;0,P91&lt;&gt;0,Q91&lt;&gt;0,R91&lt;&gt;0,S91&lt;&gt;0,T91&lt;&gt;0),+IF(ABS(O91+Q91)-ABS(P91+R91)&lt;&gt;0,ABS(O91+Q91)-ABS(P91+R91),1),0)</f>
        <v>0</v>
      </c>
      <c r="W91" s="43"/>
      <c r="X91" s="43"/>
      <c r="Y91" s="43"/>
      <c r="Z91" s="43"/>
    </row>
    <row r="92" spans="1:26">
      <c r="A92" s="88">
        <v>2203</v>
      </c>
      <c r="B92" s="86" t="s">
        <v>385</v>
      </c>
      <c r="C92" s="1033"/>
      <c r="D92" s="1033"/>
      <c r="E92" s="1033"/>
      <c r="F92" s="1033"/>
      <c r="G92" s="1033"/>
      <c r="H92" s="1033"/>
      <c r="I92" s="1033"/>
      <c r="J92" s="1033"/>
      <c r="K92" s="1033"/>
      <c r="L92" s="574"/>
      <c r="M92" s="51"/>
      <c r="N92" s="113">
        <f t="shared" si="9"/>
        <v>2203</v>
      </c>
      <c r="O92" s="575">
        <v>0</v>
      </c>
      <c r="P92" s="582">
        <v>0</v>
      </c>
      <c r="Q92" s="579">
        <v>0</v>
      </c>
      <c r="R92" s="582">
        <v>0</v>
      </c>
      <c r="S92" s="579">
        <v>0</v>
      </c>
      <c r="T92" s="584">
        <v>0</v>
      </c>
      <c r="U92" s="51"/>
      <c r="V92" s="2125">
        <f>+IF(OR(O92&lt;&gt;0,P92&lt;&gt;0,Q92&lt;&gt;0,R92&lt;&gt;0,S92&lt;&gt;0,T92&lt;&gt;0),+IF(ABS(O92+Q92)-ABS(P92+R92)&lt;&gt;0,ABS(O92+Q92)-ABS(P92+R92),1),0)</f>
        <v>0</v>
      </c>
      <c r="W92" s="43"/>
      <c r="X92" s="43"/>
      <c r="Y92" s="43"/>
      <c r="Z92" s="43"/>
    </row>
    <row r="93" spans="1:26">
      <c r="A93" s="88">
        <v>2204</v>
      </c>
      <c r="B93" s="86" t="s">
        <v>691</v>
      </c>
      <c r="C93" s="1033"/>
      <c r="D93" s="1033"/>
      <c r="E93" s="1033"/>
      <c r="F93" s="1033"/>
      <c r="G93" s="1033"/>
      <c r="H93" s="1033"/>
      <c r="I93" s="1033"/>
      <c r="J93" s="1033"/>
      <c r="K93" s="1033"/>
      <c r="L93" s="574"/>
      <c r="M93" s="51"/>
      <c r="N93" s="113">
        <f t="shared" si="9"/>
        <v>2204</v>
      </c>
      <c r="O93" s="575">
        <v>0</v>
      </c>
      <c r="P93" s="582">
        <v>0</v>
      </c>
      <c r="Q93" s="579">
        <v>0</v>
      </c>
      <c r="R93" s="582">
        <v>0</v>
      </c>
      <c r="S93" s="579">
        <v>0</v>
      </c>
      <c r="T93" s="584">
        <v>0</v>
      </c>
      <c r="U93" s="51"/>
      <c r="V93" s="2125">
        <f>+IF(OR(O93&lt;&gt;0,P93&lt;&gt;0,Q93&lt;&gt;0,R93&lt;&gt;0,S93&lt;&gt;0,T93&lt;&gt;0),+IF(ABS(O93+Q93)-ABS(P93+R93)&lt;&gt;0,ABS(O93+Q93)-ABS(P93+R93),1),0)</f>
        <v>0</v>
      </c>
      <c r="W93" s="43"/>
      <c r="X93" s="43"/>
      <c r="Y93" s="43"/>
      <c r="Z93" s="43"/>
    </row>
    <row r="94" spans="1:26">
      <c r="A94" s="591">
        <v>2412</v>
      </c>
      <c r="B94" s="1034" t="s">
        <v>975</v>
      </c>
      <c r="C94" s="1033"/>
      <c r="D94" s="1033"/>
      <c r="E94" s="1033"/>
      <c r="F94" s="1033"/>
      <c r="G94" s="1033"/>
      <c r="H94" s="1033"/>
      <c r="I94" s="1033"/>
      <c r="J94" s="1033"/>
      <c r="K94" s="1033"/>
      <c r="L94" s="574"/>
      <c r="M94" s="51"/>
      <c r="N94" s="1733">
        <f t="shared" si="9"/>
        <v>2412</v>
      </c>
      <c r="O94" s="575">
        <v>0</v>
      </c>
      <c r="P94" s="582">
        <v>0</v>
      </c>
      <c r="Q94" s="579">
        <v>0</v>
      </c>
      <c r="R94" s="582">
        <v>0</v>
      </c>
      <c r="S94" s="29">
        <v>0</v>
      </c>
      <c r="T94" s="28">
        <f t="shared" ref="T94:T101" si="12">+IF(ABS(+O94+Q94)&lt;=ABS(P94+R94),-O94+P94-Q94+R94,0)</f>
        <v>0</v>
      </c>
      <c r="U94" s="51"/>
      <c r="V94" s="2119">
        <f t="shared" ref="V94:V101" si="13">+IF(OR(+ROUND(O94,2)+ROUND(Q94,2)&gt;ROUND(P94,2)+ROUND(R94,2),+ABS(ROUND(O94,2)+ROUND(Q94,2))&gt;+ABS(ROUND(P94,2)+ROUND(R94,2))),+(ROUND(O94,2)+ROUND(Q94,2))-(ROUND(P94,2)+ROUND(R94,2)),0)</f>
        <v>0</v>
      </c>
      <c r="W94" s="43"/>
      <c r="X94" s="43"/>
      <c r="Y94" s="43"/>
      <c r="Z94" s="43"/>
    </row>
    <row r="95" spans="1:26">
      <c r="A95" s="591">
        <v>2413</v>
      </c>
      <c r="B95" s="1034" t="s">
        <v>976</v>
      </c>
      <c r="C95" s="1033"/>
      <c r="D95" s="1033"/>
      <c r="E95" s="1033"/>
      <c r="F95" s="1033"/>
      <c r="G95" s="1033"/>
      <c r="H95" s="1033"/>
      <c r="I95" s="1033"/>
      <c r="J95" s="1033"/>
      <c r="K95" s="1033"/>
      <c r="L95" s="574"/>
      <c r="M95" s="51"/>
      <c r="N95" s="1733">
        <f t="shared" si="9"/>
        <v>2413</v>
      </c>
      <c r="O95" s="575">
        <v>0</v>
      </c>
      <c r="P95" s="582">
        <v>0</v>
      </c>
      <c r="Q95" s="579">
        <v>0</v>
      </c>
      <c r="R95" s="582">
        <v>0</v>
      </c>
      <c r="S95" s="29">
        <v>0</v>
      </c>
      <c r="T95" s="28">
        <f t="shared" si="12"/>
        <v>0</v>
      </c>
      <c r="U95" s="51"/>
      <c r="V95" s="2119">
        <f t="shared" si="13"/>
        <v>0</v>
      </c>
      <c r="W95" s="43"/>
      <c r="X95" s="43"/>
      <c r="Y95" s="43"/>
      <c r="Z95" s="43"/>
    </row>
    <row r="96" spans="1:26">
      <c r="A96" s="591">
        <v>2414</v>
      </c>
      <c r="B96" s="1034" t="s">
        <v>977</v>
      </c>
      <c r="C96" s="1033"/>
      <c r="D96" s="1033"/>
      <c r="E96" s="1033"/>
      <c r="F96" s="1033"/>
      <c r="G96" s="1033"/>
      <c r="H96" s="1033"/>
      <c r="I96" s="1033"/>
      <c r="J96" s="1033"/>
      <c r="K96" s="1033"/>
      <c r="L96" s="574"/>
      <c r="M96" s="51"/>
      <c r="N96" s="1733">
        <f t="shared" si="9"/>
        <v>2414</v>
      </c>
      <c r="O96" s="575">
        <v>0</v>
      </c>
      <c r="P96" s="582">
        <v>0</v>
      </c>
      <c r="Q96" s="579">
        <v>0</v>
      </c>
      <c r="R96" s="582">
        <v>0</v>
      </c>
      <c r="S96" s="29">
        <v>0</v>
      </c>
      <c r="T96" s="28">
        <f t="shared" si="12"/>
        <v>0</v>
      </c>
      <c r="U96" s="51"/>
      <c r="V96" s="2119">
        <f t="shared" si="13"/>
        <v>0</v>
      </c>
      <c r="W96" s="43"/>
      <c r="X96" s="43"/>
      <c r="Y96" s="43"/>
      <c r="Z96" s="43"/>
    </row>
    <row r="97" spans="1:26">
      <c r="A97" s="591">
        <v>2415</v>
      </c>
      <c r="B97" s="1034" t="s">
        <v>355</v>
      </c>
      <c r="C97" s="1034"/>
      <c r="D97" s="1034"/>
      <c r="E97" s="1034"/>
      <c r="F97" s="1033"/>
      <c r="G97" s="1033"/>
      <c r="H97" s="1033"/>
      <c r="I97" s="1033"/>
      <c r="J97" s="1033"/>
      <c r="K97" s="1033"/>
      <c r="L97" s="574"/>
      <c r="M97" s="51"/>
      <c r="N97" s="1733">
        <f t="shared" si="9"/>
        <v>2415</v>
      </c>
      <c r="O97" s="575">
        <v>0</v>
      </c>
      <c r="P97" s="582">
        <v>0</v>
      </c>
      <c r="Q97" s="579">
        <v>0</v>
      </c>
      <c r="R97" s="582">
        <v>0</v>
      </c>
      <c r="S97" s="29">
        <v>0</v>
      </c>
      <c r="T97" s="28">
        <f t="shared" si="12"/>
        <v>0</v>
      </c>
      <c r="U97" s="51"/>
      <c r="V97" s="2119">
        <f t="shared" si="13"/>
        <v>0</v>
      </c>
      <c r="W97" s="43"/>
      <c r="X97" s="43"/>
      <c r="Y97" s="43"/>
      <c r="Z97" s="43"/>
    </row>
    <row r="98" spans="1:26">
      <c r="A98" s="591">
        <v>2416</v>
      </c>
      <c r="B98" s="1034" t="s">
        <v>356</v>
      </c>
      <c r="C98" s="1033"/>
      <c r="D98" s="1033"/>
      <c r="E98" s="1033"/>
      <c r="F98" s="1033"/>
      <c r="G98" s="1033"/>
      <c r="H98" s="1033"/>
      <c r="I98" s="1033"/>
      <c r="J98" s="1033"/>
      <c r="K98" s="1033"/>
      <c r="L98" s="574"/>
      <c r="M98" s="51"/>
      <c r="N98" s="1733">
        <f t="shared" si="9"/>
        <v>2416</v>
      </c>
      <c r="O98" s="575">
        <v>0</v>
      </c>
      <c r="P98" s="582">
        <v>0</v>
      </c>
      <c r="Q98" s="579">
        <v>0</v>
      </c>
      <c r="R98" s="582">
        <v>0</v>
      </c>
      <c r="S98" s="29">
        <v>0</v>
      </c>
      <c r="T98" s="28">
        <f t="shared" si="12"/>
        <v>0</v>
      </c>
      <c r="U98" s="51"/>
      <c r="V98" s="2119">
        <f t="shared" si="13"/>
        <v>0</v>
      </c>
      <c r="W98" s="43"/>
      <c r="X98" s="43"/>
      <c r="Y98" s="43"/>
      <c r="Z98" s="43"/>
    </row>
    <row r="99" spans="1:26">
      <c r="A99" s="591">
        <v>2417</v>
      </c>
      <c r="B99" s="1034" t="s">
        <v>362</v>
      </c>
      <c r="C99" s="591"/>
      <c r="D99" s="1034"/>
      <c r="E99" s="591"/>
      <c r="F99" s="1034"/>
      <c r="G99" s="1033"/>
      <c r="H99" s="1033"/>
      <c r="I99" s="1033"/>
      <c r="J99" s="1033"/>
      <c r="K99" s="1033"/>
      <c r="L99" s="574"/>
      <c r="M99" s="51"/>
      <c r="N99" s="1733">
        <f t="shared" si="9"/>
        <v>2417</v>
      </c>
      <c r="O99" s="575">
        <v>0</v>
      </c>
      <c r="P99" s="582">
        <v>0</v>
      </c>
      <c r="Q99" s="579">
        <v>0</v>
      </c>
      <c r="R99" s="582">
        <v>0</v>
      </c>
      <c r="S99" s="29">
        <v>0</v>
      </c>
      <c r="T99" s="28">
        <f t="shared" si="12"/>
        <v>0</v>
      </c>
      <c r="U99" s="51"/>
      <c r="V99" s="2119">
        <f t="shared" si="13"/>
        <v>0</v>
      </c>
      <c r="W99" s="43"/>
      <c r="X99" s="43"/>
      <c r="Y99" s="43"/>
      <c r="Z99" s="43"/>
    </row>
    <row r="100" spans="1:26">
      <c r="A100" s="591">
        <v>2419</v>
      </c>
      <c r="B100" s="1034" t="s">
        <v>357</v>
      </c>
      <c r="C100" s="1033"/>
      <c r="D100" s="1033"/>
      <c r="E100" s="1033"/>
      <c r="F100" s="1033"/>
      <c r="G100" s="1033"/>
      <c r="H100" s="1033"/>
      <c r="I100" s="1033"/>
      <c r="J100" s="1033"/>
      <c r="K100" s="1033"/>
      <c r="L100" s="574"/>
      <c r="M100" s="51"/>
      <c r="N100" s="1733">
        <f t="shared" si="9"/>
        <v>2419</v>
      </c>
      <c r="O100" s="575">
        <v>0</v>
      </c>
      <c r="P100" s="582">
        <v>0</v>
      </c>
      <c r="Q100" s="579">
        <v>0</v>
      </c>
      <c r="R100" s="582">
        <v>0</v>
      </c>
      <c r="S100" s="29">
        <v>0</v>
      </c>
      <c r="T100" s="28">
        <f t="shared" si="12"/>
        <v>0</v>
      </c>
      <c r="U100" s="51"/>
      <c r="V100" s="2119">
        <f t="shared" si="13"/>
        <v>0</v>
      </c>
      <c r="W100" s="43"/>
      <c r="X100" s="43"/>
      <c r="Y100" s="43"/>
      <c r="Z100" s="43"/>
    </row>
    <row r="101" spans="1:26">
      <c r="A101" s="1047">
        <v>2420</v>
      </c>
      <c r="B101" s="1049" t="s">
        <v>902</v>
      </c>
      <c r="C101" s="1049"/>
      <c r="D101" s="1049"/>
      <c r="E101" s="1049"/>
      <c r="F101" s="1049"/>
      <c r="G101" s="1049"/>
      <c r="H101" s="1049"/>
      <c r="I101" s="1049"/>
      <c r="J101" s="1049"/>
      <c r="K101" s="1049"/>
      <c r="L101" s="1050"/>
      <c r="M101" s="51"/>
      <c r="N101" s="2134">
        <f t="shared" si="9"/>
        <v>2420</v>
      </c>
      <c r="O101" s="856">
        <v>0</v>
      </c>
      <c r="P101" s="839">
        <v>0</v>
      </c>
      <c r="Q101" s="857">
        <v>0</v>
      </c>
      <c r="R101" s="839">
        <v>0</v>
      </c>
      <c r="S101" s="382">
        <v>0</v>
      </c>
      <c r="T101" s="57">
        <f t="shared" si="12"/>
        <v>0</v>
      </c>
      <c r="U101" s="51"/>
      <c r="V101" s="2119">
        <f t="shared" si="13"/>
        <v>0</v>
      </c>
      <c r="W101" s="43"/>
      <c r="X101" s="43"/>
      <c r="Y101" s="43"/>
      <c r="Z101" s="43"/>
    </row>
    <row r="102" spans="1:26">
      <c r="A102" s="379" t="s">
        <v>903</v>
      </c>
      <c r="B102" s="380"/>
      <c r="C102" s="380"/>
      <c r="D102" s="380"/>
      <c r="E102" s="380"/>
      <c r="F102" s="380"/>
      <c r="G102" s="380"/>
      <c r="H102" s="380"/>
      <c r="I102" s="380"/>
      <c r="J102" s="380"/>
      <c r="K102" s="380"/>
      <c r="L102" s="381"/>
      <c r="M102" s="51"/>
      <c r="N102" s="383">
        <v>3</v>
      </c>
      <c r="O102" s="384"/>
      <c r="P102" s="385"/>
      <c r="Q102" s="386"/>
      <c r="R102" s="385"/>
      <c r="S102" s="386"/>
      <c r="T102" s="387"/>
      <c r="U102" s="51"/>
      <c r="V102" s="2119"/>
      <c r="W102" s="43"/>
      <c r="X102" s="43"/>
      <c r="Y102" s="43"/>
      <c r="Z102" s="43"/>
    </row>
    <row r="103" spans="1:26">
      <c r="A103" s="85">
        <v>3010</v>
      </c>
      <c r="B103" s="86" t="s">
        <v>904</v>
      </c>
      <c r="C103" s="86"/>
      <c r="D103" s="86"/>
      <c r="E103" s="86"/>
      <c r="F103" s="86"/>
      <c r="G103" s="86"/>
      <c r="H103" s="86"/>
      <c r="I103" s="86"/>
      <c r="J103" s="86"/>
      <c r="K103" s="86"/>
      <c r="L103" s="87"/>
      <c r="M103" s="51"/>
      <c r="N103" s="112">
        <f t="shared" ref="N103:N112" si="14">+A103</f>
        <v>3010</v>
      </c>
      <c r="O103" s="323"/>
      <c r="P103" s="329">
        <v>0</v>
      </c>
      <c r="Q103" s="325"/>
      <c r="R103" s="324"/>
      <c r="S103" s="326">
        <f t="shared" ref="S103:S112" si="15">+IF(ABS(+O103+Q103)&gt;=ABS(P103+R103),+O103-P103+Q103-R103,0)</f>
        <v>0</v>
      </c>
      <c r="T103" s="331">
        <v>0</v>
      </c>
      <c r="U103" s="51"/>
      <c r="V103" s="2120">
        <f t="shared" ref="V103:V112" si="16">+IF(OR(ROUND(P103,2)+ROUND(R103,2)&gt;+ROUND(O103,2)+ROUND(Q103,2),+ABS(ROUND(P103,2)+ROUND(R103,2))&gt;+ABS(ROUND(O103,2)+ROUND(Q103,2))),+(ROUND(P103,2)+ROUND(R103,2))-(ROUND(O103,2)+ROUND(Q103,2)),0)</f>
        <v>0</v>
      </c>
      <c r="W103" s="43"/>
      <c r="X103" s="43"/>
      <c r="Y103" s="43"/>
      <c r="Z103" s="43"/>
    </row>
    <row r="104" spans="1:26">
      <c r="A104" s="88">
        <v>3020</v>
      </c>
      <c r="B104" s="1033" t="s">
        <v>363</v>
      </c>
      <c r="C104" s="1033"/>
      <c r="D104" s="1033"/>
      <c r="E104" s="1033"/>
      <c r="F104" s="1033"/>
      <c r="G104" s="1033"/>
      <c r="H104" s="1033"/>
      <c r="I104" s="1033"/>
      <c r="J104" s="1033"/>
      <c r="K104" s="1033"/>
      <c r="L104" s="90"/>
      <c r="M104" s="51"/>
      <c r="N104" s="113">
        <f t="shared" si="14"/>
        <v>3020</v>
      </c>
      <c r="O104" s="120">
        <v>0</v>
      </c>
      <c r="P104" s="9">
        <v>0</v>
      </c>
      <c r="Q104" s="122">
        <v>0</v>
      </c>
      <c r="R104" s="121">
        <v>0</v>
      </c>
      <c r="S104" s="27">
        <f t="shared" si="15"/>
        <v>0</v>
      </c>
      <c r="T104" s="30">
        <v>0</v>
      </c>
      <c r="U104" s="51"/>
      <c r="V104" s="2120">
        <f t="shared" si="16"/>
        <v>0</v>
      </c>
      <c r="W104" s="43"/>
      <c r="X104" s="43"/>
      <c r="Y104" s="43"/>
      <c r="Z104" s="43"/>
    </row>
    <row r="105" spans="1:26">
      <c r="A105" s="88">
        <v>3030</v>
      </c>
      <c r="B105" s="1033" t="s">
        <v>905</v>
      </c>
      <c r="C105" s="1033"/>
      <c r="D105" s="1033"/>
      <c r="E105" s="1033"/>
      <c r="F105" s="1033"/>
      <c r="G105" s="1033"/>
      <c r="H105" s="1033"/>
      <c r="I105" s="1033"/>
      <c r="J105" s="1033"/>
      <c r="K105" s="1033"/>
      <c r="L105" s="90"/>
      <c r="M105" s="51"/>
      <c r="N105" s="113">
        <f t="shared" si="14"/>
        <v>3030</v>
      </c>
      <c r="O105" s="120">
        <v>0</v>
      </c>
      <c r="P105" s="9">
        <v>0</v>
      </c>
      <c r="Q105" s="122">
        <v>0</v>
      </c>
      <c r="R105" s="121">
        <v>0</v>
      </c>
      <c r="S105" s="27">
        <f t="shared" si="15"/>
        <v>0</v>
      </c>
      <c r="T105" s="30">
        <v>0</v>
      </c>
      <c r="U105" s="51"/>
      <c r="V105" s="2120">
        <f t="shared" si="16"/>
        <v>0</v>
      </c>
      <c r="W105" s="43"/>
      <c r="X105" s="43"/>
      <c r="Y105" s="43"/>
      <c r="Z105" s="43"/>
    </row>
    <row r="106" spans="1:26">
      <c r="A106" s="88">
        <v>3040</v>
      </c>
      <c r="B106" s="1033" t="s">
        <v>906</v>
      </c>
      <c r="C106" s="1033"/>
      <c r="D106" s="1033"/>
      <c r="E106" s="1033"/>
      <c r="F106" s="1033"/>
      <c r="G106" s="1033"/>
      <c r="H106" s="1033"/>
      <c r="I106" s="1033"/>
      <c r="J106" s="1033"/>
      <c r="K106" s="1033"/>
      <c r="L106" s="90"/>
      <c r="M106" s="51"/>
      <c r="N106" s="113">
        <f t="shared" si="14"/>
        <v>3040</v>
      </c>
      <c r="O106" s="120">
        <v>0</v>
      </c>
      <c r="P106" s="9">
        <v>0</v>
      </c>
      <c r="Q106" s="122">
        <v>0</v>
      </c>
      <c r="R106" s="121">
        <v>0</v>
      </c>
      <c r="S106" s="27">
        <f t="shared" si="15"/>
        <v>0</v>
      </c>
      <c r="T106" s="30">
        <v>0</v>
      </c>
      <c r="U106" s="51"/>
      <c r="V106" s="2120">
        <f t="shared" si="16"/>
        <v>0</v>
      </c>
      <c r="W106" s="43"/>
      <c r="X106" s="43"/>
      <c r="Y106" s="43"/>
      <c r="Z106" s="43"/>
    </row>
    <row r="107" spans="1:26">
      <c r="A107" s="88">
        <v>3100</v>
      </c>
      <c r="B107" s="1033" t="s">
        <v>907</v>
      </c>
      <c r="C107" s="1033"/>
      <c r="D107" s="1033"/>
      <c r="E107" s="1033"/>
      <c r="F107" s="1033"/>
      <c r="G107" s="1033"/>
      <c r="H107" s="1033"/>
      <c r="I107" s="1033"/>
      <c r="J107" s="1033"/>
      <c r="K107" s="1033"/>
      <c r="L107" s="90"/>
      <c r="M107" s="51"/>
      <c r="N107" s="113">
        <f t="shared" si="14"/>
        <v>3100</v>
      </c>
      <c r="O107" s="120"/>
      <c r="P107" s="9">
        <v>0</v>
      </c>
      <c r="Q107" s="122"/>
      <c r="R107" s="121"/>
      <c r="S107" s="27">
        <f t="shared" si="15"/>
        <v>0</v>
      </c>
      <c r="T107" s="30">
        <v>0</v>
      </c>
      <c r="U107" s="51"/>
      <c r="V107" s="2120">
        <f t="shared" si="16"/>
        <v>0</v>
      </c>
      <c r="W107" s="43"/>
      <c r="X107" s="43"/>
      <c r="Y107" s="43"/>
      <c r="Z107" s="43"/>
    </row>
    <row r="108" spans="1:26">
      <c r="A108" s="88">
        <v>3210</v>
      </c>
      <c r="B108" s="1033" t="s">
        <v>908</v>
      </c>
      <c r="C108" s="1033"/>
      <c r="D108" s="1033"/>
      <c r="E108" s="1033"/>
      <c r="F108" s="1033"/>
      <c r="G108" s="1033"/>
      <c r="H108" s="1033"/>
      <c r="I108" s="1033"/>
      <c r="J108" s="1033"/>
      <c r="K108" s="1033"/>
      <c r="L108" s="90"/>
      <c r="M108" s="51"/>
      <c r="N108" s="113">
        <f t="shared" si="14"/>
        <v>3210</v>
      </c>
      <c r="O108" s="120"/>
      <c r="P108" s="9">
        <v>0</v>
      </c>
      <c r="Q108" s="122"/>
      <c r="R108" s="121"/>
      <c r="S108" s="27">
        <f t="shared" si="15"/>
        <v>0</v>
      </c>
      <c r="T108" s="30">
        <v>0</v>
      </c>
      <c r="U108" s="51"/>
      <c r="V108" s="2120">
        <f t="shared" si="16"/>
        <v>0</v>
      </c>
      <c r="W108" s="43"/>
      <c r="X108" s="43"/>
      <c r="Y108" s="43"/>
      <c r="Z108" s="43"/>
    </row>
    <row r="109" spans="1:26">
      <c r="A109" s="88">
        <v>3220</v>
      </c>
      <c r="B109" s="1033" t="s">
        <v>909</v>
      </c>
      <c r="C109" s="1033"/>
      <c r="D109" s="1033"/>
      <c r="E109" s="1033"/>
      <c r="F109" s="1033"/>
      <c r="G109" s="1033"/>
      <c r="H109" s="1033"/>
      <c r="I109" s="1033"/>
      <c r="J109" s="1033"/>
      <c r="K109" s="1033"/>
      <c r="L109" s="90"/>
      <c r="M109" s="51"/>
      <c r="N109" s="113">
        <f t="shared" si="14"/>
        <v>3220</v>
      </c>
      <c r="O109" s="120"/>
      <c r="P109" s="9">
        <v>0</v>
      </c>
      <c r="Q109" s="122"/>
      <c r="R109" s="121"/>
      <c r="S109" s="27">
        <f t="shared" si="15"/>
        <v>0</v>
      </c>
      <c r="T109" s="30">
        <v>0</v>
      </c>
      <c r="U109" s="51"/>
      <c r="V109" s="2120">
        <f t="shared" si="16"/>
        <v>0</v>
      </c>
      <c r="W109" s="43"/>
      <c r="X109" s="43"/>
      <c r="Y109" s="43"/>
      <c r="Z109" s="43"/>
    </row>
    <row r="110" spans="1:26">
      <c r="A110" s="88">
        <v>3310</v>
      </c>
      <c r="B110" s="1033" t="s">
        <v>910</v>
      </c>
      <c r="C110" s="1033"/>
      <c r="D110" s="1033"/>
      <c r="E110" s="1033"/>
      <c r="F110" s="1033"/>
      <c r="G110" s="1033"/>
      <c r="H110" s="1033"/>
      <c r="I110" s="1033"/>
      <c r="J110" s="1033"/>
      <c r="K110" s="1033"/>
      <c r="L110" s="90"/>
      <c r="M110" s="51"/>
      <c r="N110" s="113">
        <f t="shared" si="14"/>
        <v>3310</v>
      </c>
      <c r="O110" s="120"/>
      <c r="P110" s="9">
        <v>0</v>
      </c>
      <c r="Q110" s="122"/>
      <c r="R110" s="121"/>
      <c r="S110" s="27">
        <f t="shared" si="15"/>
        <v>0</v>
      </c>
      <c r="T110" s="30">
        <v>0</v>
      </c>
      <c r="U110" s="51"/>
      <c r="V110" s="2120">
        <f t="shared" si="16"/>
        <v>0</v>
      </c>
      <c r="W110" s="43"/>
      <c r="X110" s="43"/>
      <c r="Y110" s="43"/>
      <c r="Z110" s="43"/>
    </row>
    <row r="111" spans="1:26">
      <c r="A111" s="88">
        <v>3320</v>
      </c>
      <c r="B111" s="1033" t="s">
        <v>911</v>
      </c>
      <c r="C111" s="1033"/>
      <c r="D111" s="1033"/>
      <c r="E111" s="1033"/>
      <c r="F111" s="1033"/>
      <c r="G111" s="1033"/>
      <c r="H111" s="1033"/>
      <c r="I111" s="1033"/>
      <c r="J111" s="1033"/>
      <c r="K111" s="1033"/>
      <c r="L111" s="90"/>
      <c r="M111" s="51"/>
      <c r="N111" s="113">
        <f t="shared" si="14"/>
        <v>3320</v>
      </c>
      <c r="O111" s="120"/>
      <c r="P111" s="9">
        <v>0</v>
      </c>
      <c r="Q111" s="122"/>
      <c r="R111" s="121"/>
      <c r="S111" s="27">
        <f t="shared" si="15"/>
        <v>0</v>
      </c>
      <c r="T111" s="30">
        <v>0</v>
      </c>
      <c r="U111" s="51"/>
      <c r="V111" s="2120">
        <f t="shared" si="16"/>
        <v>0</v>
      </c>
      <c r="W111" s="43"/>
      <c r="X111" s="43"/>
      <c r="Y111" s="43"/>
      <c r="Z111" s="43"/>
    </row>
    <row r="112" spans="1:26">
      <c r="A112" s="1040">
        <v>3330</v>
      </c>
      <c r="B112" s="101" t="s">
        <v>912</v>
      </c>
      <c r="C112" s="101"/>
      <c r="D112" s="101"/>
      <c r="E112" s="101"/>
      <c r="F112" s="101"/>
      <c r="G112" s="101"/>
      <c r="H112" s="101"/>
      <c r="I112" s="101"/>
      <c r="J112" s="101"/>
      <c r="K112" s="101"/>
      <c r="L112" s="102"/>
      <c r="M112" s="51"/>
      <c r="N112" s="116">
        <f t="shared" si="14"/>
        <v>3330</v>
      </c>
      <c r="O112" s="123"/>
      <c r="P112" s="37">
        <v>0</v>
      </c>
      <c r="Q112" s="126"/>
      <c r="R112" s="127"/>
      <c r="S112" s="56">
        <f t="shared" si="15"/>
        <v>0</v>
      </c>
      <c r="T112" s="60">
        <v>0</v>
      </c>
      <c r="U112" s="51"/>
      <c r="V112" s="2120">
        <f t="shared" si="16"/>
        <v>0</v>
      </c>
      <c r="W112" s="43"/>
      <c r="X112" s="43"/>
      <c r="Y112" s="43"/>
      <c r="Z112" s="43"/>
    </row>
    <row r="113" spans="1:26">
      <c r="A113" s="379" t="s">
        <v>913</v>
      </c>
      <c r="B113" s="380"/>
      <c r="C113" s="380"/>
      <c r="D113" s="380"/>
      <c r="E113" s="380"/>
      <c r="F113" s="380"/>
      <c r="G113" s="380"/>
      <c r="H113" s="380"/>
      <c r="I113" s="380"/>
      <c r="J113" s="380"/>
      <c r="K113" s="380"/>
      <c r="L113" s="381"/>
      <c r="M113" s="51"/>
      <c r="N113" s="383">
        <v>4</v>
      </c>
      <c r="O113" s="384"/>
      <c r="P113" s="385"/>
      <c r="Q113" s="386"/>
      <c r="R113" s="385"/>
      <c r="S113" s="386"/>
      <c r="T113" s="387"/>
      <c r="U113" s="51"/>
      <c r="V113" s="2119"/>
      <c r="W113" s="43"/>
      <c r="X113" s="43"/>
      <c r="Y113" s="43"/>
      <c r="Z113" s="43"/>
    </row>
    <row r="114" spans="1:26">
      <c r="A114" s="85">
        <v>4010</v>
      </c>
      <c r="B114" s="86" t="s">
        <v>200</v>
      </c>
      <c r="C114" s="86"/>
      <c r="D114" s="86"/>
      <c r="E114" s="86"/>
      <c r="F114" s="86"/>
      <c r="G114" s="86"/>
      <c r="H114" s="86"/>
      <c r="I114" s="86"/>
      <c r="J114" s="86"/>
      <c r="K114" s="86"/>
      <c r="L114" s="87"/>
      <c r="M114" s="51"/>
      <c r="N114" s="112">
        <f t="shared" ref="N114:N172" si="17">+A114</f>
        <v>4010</v>
      </c>
      <c r="O114" s="328">
        <v>0</v>
      </c>
      <c r="P114" s="324">
        <v>0</v>
      </c>
      <c r="Q114" s="325">
        <v>0</v>
      </c>
      <c r="R114" s="324">
        <v>0</v>
      </c>
      <c r="S114" s="330">
        <v>0</v>
      </c>
      <c r="T114" s="327">
        <f>+IF(ABS(+O114+Q114)&lt;=ABS(P114+R114),-O114+P114-Q114+R114,0)</f>
        <v>0</v>
      </c>
      <c r="U114" s="51"/>
      <c r="V114" s="2119">
        <f>+IF(OR(+ROUND(O114,2)+ROUND(Q114,2)&gt;ROUND(P114,2)+ROUND(R114,2),+ABS(ROUND(O114,2)+ROUND(Q114,2))&gt;+ABS(ROUND(P114,2)+ROUND(R114,2))),+(ROUND(O114,2)+ROUND(Q114,2))-(ROUND(P114,2)+ROUND(R114,2)),0)</f>
        <v>0</v>
      </c>
      <c r="W114" s="43"/>
      <c r="X114" s="43"/>
      <c r="Y114" s="43"/>
      <c r="Z114" s="43"/>
    </row>
    <row r="115" spans="1:26">
      <c r="A115" s="88">
        <v>4020</v>
      </c>
      <c r="B115" s="1033" t="s">
        <v>203</v>
      </c>
      <c r="C115" s="1033"/>
      <c r="D115" s="1033"/>
      <c r="E115" s="1033"/>
      <c r="F115" s="1033"/>
      <c r="G115" s="1033"/>
      <c r="H115" s="1033"/>
      <c r="I115" s="1033"/>
      <c r="J115" s="1033"/>
      <c r="K115" s="1033"/>
      <c r="L115" s="90"/>
      <c r="M115" s="51"/>
      <c r="N115" s="113">
        <f t="shared" si="17"/>
        <v>4020</v>
      </c>
      <c r="O115" s="581">
        <v>0</v>
      </c>
      <c r="P115" s="582">
        <v>0</v>
      </c>
      <c r="Q115" s="122">
        <v>0</v>
      </c>
      <c r="R115" s="324">
        <v>0</v>
      </c>
      <c r="S115" s="27">
        <f>+IF(ABS(+O115+Q115)&gt;=ABS(P115+R115),+O115-P115+Q115-R115,0)</f>
        <v>0</v>
      </c>
      <c r="T115" s="2123">
        <f>+IF(OR($N$4="03",$N$4="06",$N$4="09"),+IF(AND(ABS(+O115+Q115)&lt;ABS(P115+R115),P115+R115&lt;0),-O115+P115-Q115+R115,0),+IF(AND(N$4="12",ABS(+O115+Q115)&lt;ABS(P115+R115)),-O115+P115-Q115+R115,0))</f>
        <v>0</v>
      </c>
      <c r="U115" s="51"/>
      <c r="V115" s="2124">
        <f>+IF(OR(ROUND(P115,2)+ROUND(R115,2)&gt;+ROUND(O115,2)+ROUND(Q115,2),+AND($N$4="12",ABS(ROUND(P115,2)+ROUND(R115,2))&gt;+ABS(ROUND(O115,2)+ROUND(Q115,2)))),+(ROUND(P115,2)+ROUND(R115,2))-(ROUND(O115,2)+ROUND(Q115,2)),0)</f>
        <v>0</v>
      </c>
      <c r="W115" s="43"/>
      <c r="X115" s="43"/>
      <c r="Y115" s="43"/>
      <c r="Z115" s="43"/>
    </row>
    <row r="116" spans="1:26">
      <c r="A116" s="88">
        <v>4030</v>
      </c>
      <c r="B116" s="1033" t="s">
        <v>204</v>
      </c>
      <c r="C116" s="1033"/>
      <c r="D116" s="1033"/>
      <c r="E116" s="1033"/>
      <c r="F116" s="1033"/>
      <c r="G116" s="1033"/>
      <c r="H116" s="1033"/>
      <c r="I116" s="1033"/>
      <c r="J116" s="1033"/>
      <c r="K116" s="1033"/>
      <c r="L116" s="90"/>
      <c r="M116" s="51"/>
      <c r="N116" s="113">
        <f t="shared" si="17"/>
        <v>4030</v>
      </c>
      <c r="O116" s="575">
        <v>0</v>
      </c>
      <c r="P116" s="576"/>
      <c r="Q116" s="122"/>
      <c r="R116" s="324"/>
      <c r="S116" s="579">
        <v>0</v>
      </c>
      <c r="T116" s="580">
        <f>+IF(ABS(+O116+Q116)&lt;=ABS(P116+R116),-O116+P116-Q116+R116,0)</f>
        <v>0</v>
      </c>
      <c r="U116" s="51"/>
      <c r="V116" s="2119">
        <f>+IF(OR(+ROUND(O116,2)+ROUND(Q116,2)&gt;ROUND(P116,2)+ROUND(R116,2),+ABS(ROUND(O116,2)+ROUND(Q116,2))&gt;+ABS(ROUND(P116,2)+ROUND(R116,2))),+(ROUND(O116,2)+ROUND(Q116,2))-(ROUND(P116,2)+ROUND(R116,2)),0)</f>
        <v>0</v>
      </c>
      <c r="W116" s="43"/>
      <c r="X116" s="43"/>
      <c r="Y116" s="43"/>
      <c r="Z116" s="43"/>
    </row>
    <row r="117" spans="1:26">
      <c r="A117" s="88">
        <v>4040</v>
      </c>
      <c r="B117" s="1033" t="s">
        <v>205</v>
      </c>
      <c r="C117" s="1033"/>
      <c r="D117" s="1033"/>
      <c r="E117" s="1033"/>
      <c r="F117" s="1033"/>
      <c r="G117" s="1033"/>
      <c r="H117" s="1033"/>
      <c r="I117" s="1033"/>
      <c r="J117" s="1033"/>
      <c r="K117" s="1033"/>
      <c r="L117" s="90"/>
      <c r="M117" s="51"/>
      <c r="N117" s="113">
        <f t="shared" si="17"/>
        <v>4040</v>
      </c>
      <c r="O117" s="581"/>
      <c r="P117" s="582">
        <v>0</v>
      </c>
      <c r="Q117" s="122"/>
      <c r="R117" s="324"/>
      <c r="S117" s="27">
        <f>+IF(ABS(+O117+Q117)&gt;=ABS(P117+R117),+O117-P117+Q117-R117,0)</f>
        <v>0</v>
      </c>
      <c r="T117" s="2123">
        <f>+IF(OR($N$4="03",$N$4="06",$N$4="09"),+IF(AND(ABS(+O117+Q117)&lt;ABS(P117+R117),P117+R117&lt;0),-O117+P117-Q117+R117,0),+IF(AND(N$4="12",ABS(+O117+Q117)&lt;ABS(P117+R117)),-O117+P117-Q117+R117,0))</f>
        <v>0</v>
      </c>
      <c r="U117" s="51"/>
      <c r="V117" s="2124">
        <f>+IF(OR(ROUND(P117,2)+ROUND(R117,2)&gt;+ROUND(O117,2)+ROUND(Q117,2),+AND($N$4="12",ABS(ROUND(P117,2)+ROUND(R117,2))&gt;+ABS(ROUND(O117,2)+ROUND(Q117,2)))),+(ROUND(P117,2)+ROUND(R117,2))-(ROUND(O117,2)+ROUND(Q117,2)),0)</f>
        <v>0</v>
      </c>
      <c r="W117" s="43"/>
      <c r="X117" s="43"/>
      <c r="Y117" s="43"/>
      <c r="Z117" s="43"/>
    </row>
    <row r="118" spans="1:26">
      <c r="A118" s="88">
        <v>4050</v>
      </c>
      <c r="B118" s="1033" t="s">
        <v>473</v>
      </c>
      <c r="C118" s="1033"/>
      <c r="D118" s="1033"/>
      <c r="E118" s="1033"/>
      <c r="F118" s="1033"/>
      <c r="G118" s="1033"/>
      <c r="H118" s="1033"/>
      <c r="I118" s="1033"/>
      <c r="J118" s="1033"/>
      <c r="K118" s="1033"/>
      <c r="L118" s="90"/>
      <c r="M118" s="51"/>
      <c r="N118" s="113">
        <f t="shared" si="17"/>
        <v>4050</v>
      </c>
      <c r="O118" s="575">
        <v>0</v>
      </c>
      <c r="P118" s="576"/>
      <c r="Q118" s="122"/>
      <c r="R118" s="324"/>
      <c r="S118" s="579">
        <v>0</v>
      </c>
      <c r="T118" s="580">
        <f>+IF(ABS(+O118+Q118)&lt;=ABS(P118+R118),-O118+P118-Q118+R118,0)</f>
        <v>0</v>
      </c>
      <c r="U118" s="51"/>
      <c r="V118" s="2119">
        <f>+IF(OR(+ROUND(O118,2)+ROUND(Q118,2)&gt;ROUND(P118,2)+ROUND(R118,2),+ABS(ROUND(O118,2)+ROUND(Q118,2))&gt;+ABS(ROUND(P118,2)+ROUND(R118,2))),+(ROUND(O118,2)+ROUND(Q118,2))-(ROUND(P118,2)+ROUND(R118,2)),0)</f>
        <v>0</v>
      </c>
      <c r="W118" s="43"/>
      <c r="X118" s="43"/>
      <c r="Y118" s="43"/>
      <c r="Z118" s="43"/>
    </row>
    <row r="119" spans="1:26">
      <c r="A119" s="88">
        <v>4052</v>
      </c>
      <c r="B119" s="1033" t="s">
        <v>474</v>
      </c>
      <c r="C119" s="1033"/>
      <c r="D119" s="1033"/>
      <c r="E119" s="1033"/>
      <c r="F119" s="1033"/>
      <c r="G119" s="1033"/>
      <c r="H119" s="1033"/>
      <c r="I119" s="1033"/>
      <c r="J119" s="1033"/>
      <c r="K119" s="1033"/>
      <c r="L119" s="90"/>
      <c r="M119" s="51"/>
      <c r="N119" s="113">
        <f t="shared" si="17"/>
        <v>4052</v>
      </c>
      <c r="O119" s="581"/>
      <c r="P119" s="582">
        <v>0</v>
      </c>
      <c r="Q119" s="589"/>
      <c r="R119" s="576"/>
      <c r="S119" s="583">
        <f>+IF(ABS(+O119+Q119)&gt;=ABS(P119+R119),+O119-P119+Q119-R119,0)</f>
        <v>0</v>
      </c>
      <c r="T119" s="584">
        <v>0</v>
      </c>
      <c r="U119" s="51"/>
      <c r="V119" s="2120">
        <f>+IF(OR(ROUND(P119,2)+ROUND(R119,2)&gt;+ROUND(O119,2)+ROUND(Q119,2),+ABS(ROUND(P119,2)+ROUND(R119,2))&gt;+ABS(ROUND(O119,2)+ROUND(Q119,2))),+(ROUND(P119,2)+ROUND(R119,2))-(ROUND(O119,2)+ROUND(Q119,2)),0)</f>
        <v>0</v>
      </c>
      <c r="W119" s="43"/>
      <c r="X119" s="43"/>
      <c r="Y119" s="43"/>
      <c r="Z119" s="43"/>
    </row>
    <row r="120" spans="1:26" ht="15.75" customHeight="1">
      <c r="A120" s="88">
        <v>4057</v>
      </c>
      <c r="B120" s="1033" t="s">
        <v>475</v>
      </c>
      <c r="C120" s="1041"/>
      <c r="D120" s="1041"/>
      <c r="E120" s="1041"/>
      <c r="F120" s="1041"/>
      <c r="G120" s="1041"/>
      <c r="H120" s="1041"/>
      <c r="I120" s="1041"/>
      <c r="J120" s="1041"/>
      <c r="K120" s="1041"/>
      <c r="L120" s="590"/>
      <c r="M120" s="51"/>
      <c r="N120" s="113">
        <f t="shared" si="17"/>
        <v>4057</v>
      </c>
      <c r="O120" s="581"/>
      <c r="P120" s="576"/>
      <c r="Q120" s="589"/>
      <c r="R120" s="576"/>
      <c r="S120" s="583">
        <f>+IF(ABS(+O120+Q120)&gt;=ABS(P120+R120),+O120-P120+Q120-R120,0)</f>
        <v>0</v>
      </c>
      <c r="T120" s="580">
        <f>+IF(ABS(+O120+Q120)&lt;=ABS(P120+R120),-O120+P120-Q120+R120,0)</f>
        <v>0</v>
      </c>
      <c r="U120" s="51"/>
      <c r="V120" s="2119"/>
      <c r="W120" s="43"/>
      <c r="X120" s="43"/>
      <c r="Y120" s="43"/>
      <c r="Z120" s="43"/>
    </row>
    <row r="121" spans="1:26" ht="15.75" customHeight="1">
      <c r="A121" s="88">
        <v>4058</v>
      </c>
      <c r="B121" s="1033" t="s">
        <v>476</v>
      </c>
      <c r="C121" s="1041"/>
      <c r="D121" s="1041"/>
      <c r="E121" s="1041"/>
      <c r="F121" s="1041"/>
      <c r="G121" s="1041"/>
      <c r="H121" s="1041"/>
      <c r="I121" s="1041"/>
      <c r="J121" s="1041"/>
      <c r="K121" s="1041"/>
      <c r="L121" s="590"/>
      <c r="M121" s="51"/>
      <c r="N121" s="113">
        <f t="shared" si="17"/>
        <v>4058</v>
      </c>
      <c r="O121" s="581"/>
      <c r="P121" s="576"/>
      <c r="Q121" s="589"/>
      <c r="R121" s="576"/>
      <c r="S121" s="583">
        <f>+IF(ABS(+O121+Q121)&gt;=ABS(P121+R121),+O121-P121+Q121-R121,0)</f>
        <v>0</v>
      </c>
      <c r="T121" s="580">
        <f>+IF(ABS(+O121+Q121)&lt;=ABS(P121+R121),-O121+P121-Q121+R121,0)</f>
        <v>0</v>
      </c>
      <c r="U121" s="51"/>
      <c r="V121" s="2119"/>
      <c r="W121" s="43"/>
      <c r="X121" s="43"/>
      <c r="Y121" s="43"/>
      <c r="Z121" s="43"/>
    </row>
    <row r="122" spans="1:26">
      <c r="A122" s="88">
        <v>4071</v>
      </c>
      <c r="B122" s="1033" t="s">
        <v>477</v>
      </c>
      <c r="C122" s="1033"/>
      <c r="D122" s="1033"/>
      <c r="E122" s="1033"/>
      <c r="F122" s="1033"/>
      <c r="G122" s="1033"/>
      <c r="H122" s="1033"/>
      <c r="I122" s="1033"/>
      <c r="J122" s="1033"/>
      <c r="K122" s="1033"/>
      <c r="L122" s="90"/>
      <c r="M122" s="51"/>
      <c r="N122" s="113">
        <f t="shared" si="17"/>
        <v>4071</v>
      </c>
      <c r="O122" s="575">
        <v>0</v>
      </c>
      <c r="P122" s="576"/>
      <c r="Q122" s="589"/>
      <c r="R122" s="324"/>
      <c r="S122" s="579">
        <v>0</v>
      </c>
      <c r="T122" s="580">
        <f>+IF(ABS(+O122+Q122)&lt;=ABS(P122+R122),-O122+P122-Q122+R122,0)</f>
        <v>0</v>
      </c>
      <c r="U122" s="51"/>
      <c r="V122" s="2119">
        <f>+IF(OR(+ROUND(O122,2)+ROUND(Q122,2)&gt;ROUND(P122,2)+ROUND(R122,2),+ABS(ROUND(O122,2)+ROUND(Q122,2))&gt;+ABS(ROUND(P122,2)+ROUND(R122,2))),+(ROUND(O122,2)+ROUND(Q122,2))-(ROUND(P122,2)+ROUND(R122,2)),0)</f>
        <v>0</v>
      </c>
      <c r="W122" s="43"/>
      <c r="X122" s="43"/>
      <c r="Y122" s="43"/>
      <c r="Z122" s="43"/>
    </row>
    <row r="123" spans="1:26">
      <c r="A123" s="88">
        <v>4072</v>
      </c>
      <c r="B123" s="1033" t="s">
        <v>478</v>
      </c>
      <c r="C123" s="1033"/>
      <c r="D123" s="1033"/>
      <c r="E123" s="1033"/>
      <c r="F123" s="1033"/>
      <c r="G123" s="1033"/>
      <c r="H123" s="1033"/>
      <c r="I123" s="1033"/>
      <c r="J123" s="1033"/>
      <c r="K123" s="1033"/>
      <c r="L123" s="90"/>
      <c r="M123" s="51"/>
      <c r="N123" s="113">
        <f t="shared" si="17"/>
        <v>4072</v>
      </c>
      <c r="O123" s="581"/>
      <c r="P123" s="582">
        <v>0</v>
      </c>
      <c r="Q123" s="589"/>
      <c r="R123" s="576"/>
      <c r="S123" s="583">
        <f>+IF(ABS(+O123+Q123)&gt;=ABS(P123+R123),+O123-P123+Q123-R123,0)</f>
        <v>0</v>
      </c>
      <c r="T123" s="584">
        <v>0</v>
      </c>
      <c r="U123" s="51"/>
      <c r="V123" s="2120">
        <f>+IF(OR(ROUND(P123,2)+ROUND(R123,2)&gt;+ROUND(O123,2)+ROUND(Q123,2),+ABS(ROUND(P123,2)+ROUND(R123,2))&gt;+ABS(ROUND(O123,2)+ROUND(Q123,2))),+(ROUND(P123,2)+ROUND(R123,2))-(ROUND(O123,2)+ROUND(Q123,2)),0)</f>
        <v>0</v>
      </c>
      <c r="W123" s="43"/>
      <c r="X123" s="43"/>
      <c r="Y123" s="43"/>
      <c r="Z123" s="43"/>
    </row>
    <row r="124" spans="1:26">
      <c r="A124" s="88">
        <v>4110</v>
      </c>
      <c r="B124" s="378" t="s">
        <v>206</v>
      </c>
      <c r="C124" s="1033"/>
      <c r="D124" s="1033"/>
      <c r="E124" s="1033"/>
      <c r="F124" s="1033"/>
      <c r="G124" s="1033"/>
      <c r="H124" s="1033"/>
      <c r="I124" s="1033"/>
      <c r="J124" s="1033"/>
      <c r="K124" s="1033"/>
      <c r="L124" s="90"/>
      <c r="M124" s="51"/>
      <c r="N124" s="113">
        <f t="shared" si="17"/>
        <v>4110</v>
      </c>
      <c r="O124" s="581">
        <v>0</v>
      </c>
      <c r="P124" s="582">
        <v>0</v>
      </c>
      <c r="Q124" s="122">
        <v>0</v>
      </c>
      <c r="R124" s="576">
        <v>0</v>
      </c>
      <c r="S124" s="583">
        <f>+IF(ABS(+O124+Q124)&gt;=ABS(P124+R124),+O124-P124+Q124-R124,0)</f>
        <v>0</v>
      </c>
      <c r="T124" s="584">
        <v>0</v>
      </c>
      <c r="U124" s="51"/>
      <c r="V124" s="2120">
        <f>+IF(OR(ROUND(P124,2)+ROUND(R124,2)&gt;+ROUND(O124,2)+ROUND(Q124,2),+ABS(ROUND(P124,2)+ROUND(R124,2))&gt;+ABS(ROUND(O124,2)+ROUND(Q124,2))),+(ROUND(P124,2)+ROUND(R124,2))-(ROUND(O124,2)+ROUND(Q124,2)),0)</f>
        <v>0</v>
      </c>
      <c r="W124" s="43"/>
      <c r="X124" s="43"/>
      <c r="Y124" s="43"/>
      <c r="Z124" s="43"/>
    </row>
    <row r="125" spans="1:26">
      <c r="A125" s="88">
        <v>4120</v>
      </c>
      <c r="B125" s="378" t="s">
        <v>896</v>
      </c>
      <c r="C125" s="1033"/>
      <c r="D125" s="1033"/>
      <c r="E125" s="1033"/>
      <c r="F125" s="1033"/>
      <c r="G125" s="1033"/>
      <c r="H125" s="1033"/>
      <c r="I125" s="1033"/>
      <c r="J125" s="1033"/>
      <c r="K125" s="1033"/>
      <c r="L125" s="90"/>
      <c r="M125" s="51"/>
      <c r="N125" s="113">
        <f t="shared" si="17"/>
        <v>4120</v>
      </c>
      <c r="O125" s="575">
        <v>0</v>
      </c>
      <c r="P125" s="576"/>
      <c r="Q125" s="122"/>
      <c r="R125" s="324"/>
      <c r="S125" s="579">
        <v>0</v>
      </c>
      <c r="T125" s="580">
        <f>+IF(ABS(+O125+Q125)&lt;=ABS(P125+R125),-O125+P125-Q125+R125,0)</f>
        <v>0</v>
      </c>
      <c r="U125" s="51"/>
      <c r="V125" s="2119">
        <f>+IF(OR(+ROUND(O125,2)+ROUND(Q125,2)&gt;ROUND(P125,2)+ROUND(R125,2),+ABS(ROUND(O125,2)+ROUND(Q125,2))&gt;+ABS(ROUND(P125,2)+ROUND(R125,2))),+(ROUND(O125,2)+ROUND(Q125,2))-(ROUND(P125,2)+ROUND(R125,2)),0)</f>
        <v>0</v>
      </c>
      <c r="W125" s="43"/>
      <c r="X125" s="43"/>
      <c r="Y125" s="43"/>
      <c r="Z125" s="43"/>
    </row>
    <row r="126" spans="1:26">
      <c r="A126" s="88">
        <v>4130</v>
      </c>
      <c r="B126" s="378" t="s">
        <v>897</v>
      </c>
      <c r="C126" s="1033"/>
      <c r="D126" s="1033"/>
      <c r="E126" s="1033"/>
      <c r="F126" s="1033"/>
      <c r="G126" s="1033"/>
      <c r="H126" s="1033"/>
      <c r="I126" s="1033"/>
      <c r="J126" s="1033"/>
      <c r="K126" s="1033"/>
      <c r="L126" s="90"/>
      <c r="M126" s="51"/>
      <c r="N126" s="113">
        <f t="shared" si="17"/>
        <v>4130</v>
      </c>
      <c r="O126" s="581"/>
      <c r="P126" s="582">
        <v>0</v>
      </c>
      <c r="Q126" s="122"/>
      <c r="R126" s="576"/>
      <c r="S126" s="583">
        <f>+IF(ABS(+O126+Q126)&gt;=ABS(P126+R126),+O126-P126+Q126-R126,0)</f>
        <v>0</v>
      </c>
      <c r="T126" s="584">
        <v>0</v>
      </c>
      <c r="U126" s="51"/>
      <c r="V126" s="2120">
        <f>+IF(OR(ROUND(P126,2)+ROUND(R126,2)&gt;+ROUND(O126,2)+ROUND(Q126,2),+ABS(ROUND(P126,2)+ROUND(R126,2))&gt;+ABS(ROUND(O126,2)+ROUND(Q126,2))),+(ROUND(P126,2)+ROUND(R126,2))-(ROUND(O126,2)+ROUND(Q126,2)),0)</f>
        <v>0</v>
      </c>
      <c r="W126" s="43"/>
      <c r="X126" s="43"/>
      <c r="Y126" s="43"/>
      <c r="Z126" s="43"/>
    </row>
    <row r="127" spans="1:26">
      <c r="A127" s="88">
        <v>4140</v>
      </c>
      <c r="B127" s="378" t="s">
        <v>898</v>
      </c>
      <c r="C127" s="1033"/>
      <c r="D127" s="1033"/>
      <c r="E127" s="1033"/>
      <c r="F127" s="1033"/>
      <c r="G127" s="1033"/>
      <c r="H127" s="1033"/>
      <c r="I127" s="1033"/>
      <c r="J127" s="1033"/>
      <c r="K127" s="1033"/>
      <c r="L127" s="90"/>
      <c r="M127" s="51"/>
      <c r="N127" s="113">
        <f t="shared" si="17"/>
        <v>4140</v>
      </c>
      <c r="O127" s="575">
        <v>0</v>
      </c>
      <c r="P127" s="576"/>
      <c r="Q127" s="122"/>
      <c r="R127" s="324"/>
      <c r="S127" s="579">
        <v>0</v>
      </c>
      <c r="T127" s="580">
        <f>+IF(ABS(+O127+Q127)&lt;=ABS(P127+R127),-O127+P127-Q127+R127,0)</f>
        <v>0</v>
      </c>
      <c r="U127" s="51"/>
      <c r="V127" s="2119">
        <f>+IF(OR(+ROUND(O127,2)+ROUND(Q127,2)&gt;ROUND(P127,2)+ROUND(R127,2),+ABS(ROUND(O127,2)+ROUND(Q127,2))&gt;+ABS(ROUND(P127,2)+ROUND(R127,2))),+(ROUND(O127,2)+ROUND(Q127,2))-(ROUND(P127,2)+ROUND(R127,2)),0)</f>
        <v>0</v>
      </c>
      <c r="W127" s="43"/>
      <c r="X127" s="43"/>
      <c r="Y127" s="43"/>
      <c r="Z127" s="43"/>
    </row>
    <row r="128" spans="1:26">
      <c r="A128" s="88">
        <v>4211</v>
      </c>
      <c r="B128" s="378" t="s">
        <v>480</v>
      </c>
      <c r="C128" s="1033"/>
      <c r="D128" s="1033"/>
      <c r="E128" s="1033"/>
      <c r="F128" s="1033"/>
      <c r="G128" s="1033"/>
      <c r="H128" s="1033"/>
      <c r="I128" s="1033"/>
      <c r="J128" s="1033"/>
      <c r="K128" s="1033"/>
      <c r="L128" s="90"/>
      <c r="M128" s="51"/>
      <c r="N128" s="113">
        <f t="shared" si="17"/>
        <v>4211</v>
      </c>
      <c r="O128" s="575">
        <v>0</v>
      </c>
      <c r="P128" s="576">
        <v>0</v>
      </c>
      <c r="Q128" s="122">
        <v>0</v>
      </c>
      <c r="R128" s="324">
        <v>0</v>
      </c>
      <c r="S128" s="579">
        <v>0</v>
      </c>
      <c r="T128" s="580">
        <f>+IF(ABS(+O128+Q128)&lt;=ABS(P128+R128),-O128+P128-Q128+R128,0)</f>
        <v>0</v>
      </c>
      <c r="U128" s="51"/>
      <c r="V128" s="2119">
        <f>+IF(OR(+ROUND(O128,2)+ROUND(Q128,2)&gt;ROUND(P128,2)+ROUND(R128,2),+ABS(ROUND(O128,2)+ROUND(Q128,2))&gt;+ABS(ROUND(P128,2)+ROUND(R128,2))),+(ROUND(O128,2)+ROUND(Q128,2))-(ROUND(P128,2)+ROUND(R128,2)),0)</f>
        <v>0</v>
      </c>
      <c r="W128" s="43"/>
      <c r="X128" s="43"/>
      <c r="Y128" s="43"/>
      <c r="Z128" s="43"/>
    </row>
    <row r="129" spans="1:26">
      <c r="A129" s="88">
        <v>4213</v>
      </c>
      <c r="B129" s="378" t="s">
        <v>481</v>
      </c>
      <c r="C129" s="1033"/>
      <c r="D129" s="1033"/>
      <c r="E129" s="1033"/>
      <c r="F129" s="1033"/>
      <c r="G129" s="1033"/>
      <c r="H129" s="1033"/>
      <c r="I129" s="1033"/>
      <c r="J129" s="1033"/>
      <c r="K129" s="1033"/>
      <c r="L129" s="90"/>
      <c r="M129" s="51"/>
      <c r="N129" s="113">
        <f t="shared" si="17"/>
        <v>4213</v>
      </c>
      <c r="O129" s="581">
        <v>0</v>
      </c>
      <c r="P129" s="582">
        <v>0</v>
      </c>
      <c r="Q129" s="122">
        <v>0</v>
      </c>
      <c r="R129" s="576">
        <v>0</v>
      </c>
      <c r="S129" s="583">
        <f>+IF(ABS(+O129+Q129)&gt;=ABS(P129+R129),+O129-P129+Q129-R129,0)</f>
        <v>0</v>
      </c>
      <c r="T129" s="584">
        <v>0</v>
      </c>
      <c r="U129" s="51"/>
      <c r="V129" s="2120">
        <f>+IF(OR(ROUND(P129,2)+ROUND(R129,2)&gt;+ROUND(O129,2)+ROUND(Q129,2),+ABS(ROUND(P129,2)+ROUND(R129,2))&gt;+ABS(ROUND(O129,2)+ROUND(Q129,2))),+(ROUND(P129,2)+ROUND(R129,2))-(ROUND(O129,2)+ROUND(Q129,2)),0)</f>
        <v>0</v>
      </c>
      <c r="W129" s="43"/>
      <c r="X129" s="43"/>
      <c r="Y129" s="43"/>
      <c r="Z129" s="43"/>
    </row>
    <row r="130" spans="1:26">
      <c r="A130" s="88">
        <v>4222</v>
      </c>
      <c r="B130" s="378" t="s">
        <v>482</v>
      </c>
      <c r="C130" s="1033"/>
      <c r="D130" s="1033"/>
      <c r="E130" s="1033"/>
      <c r="F130" s="1033"/>
      <c r="G130" s="1033"/>
      <c r="H130" s="1033"/>
      <c r="I130" s="1033"/>
      <c r="J130" s="1033"/>
      <c r="K130" s="1033"/>
      <c r="L130" s="90"/>
      <c r="M130" s="51"/>
      <c r="N130" s="113">
        <f t="shared" si="17"/>
        <v>4222</v>
      </c>
      <c r="O130" s="575">
        <v>0</v>
      </c>
      <c r="P130" s="576"/>
      <c r="Q130" s="122"/>
      <c r="R130" s="324"/>
      <c r="S130" s="579">
        <v>0</v>
      </c>
      <c r="T130" s="580">
        <f>+IF(ABS(+O130+Q130)&lt;=ABS(P130+R130),-O130+P130-Q130+R130,0)</f>
        <v>0</v>
      </c>
      <c r="U130" s="51"/>
      <c r="V130" s="2119">
        <f>+IF(OR(+ROUND(O130,2)+ROUND(Q130,2)&gt;ROUND(P130,2)+ROUND(R130,2),+ABS(ROUND(O130,2)+ROUND(Q130,2))&gt;+ABS(ROUND(P130,2)+ROUND(R130,2))),+(ROUND(O130,2)+ROUND(Q130,2))-(ROUND(P130,2)+ROUND(R130,2)),0)</f>
        <v>0</v>
      </c>
      <c r="W130" s="43"/>
      <c r="X130" s="43"/>
      <c r="Y130" s="43"/>
      <c r="Z130" s="43"/>
    </row>
    <row r="131" spans="1:26">
      <c r="A131" s="88">
        <v>4224</v>
      </c>
      <c r="B131" s="378" t="s">
        <v>483</v>
      </c>
      <c r="C131" s="1033"/>
      <c r="D131" s="1033"/>
      <c r="E131" s="1033"/>
      <c r="F131" s="1033"/>
      <c r="G131" s="1033"/>
      <c r="H131" s="1033"/>
      <c r="I131" s="1033"/>
      <c r="J131" s="1033"/>
      <c r="K131" s="1033"/>
      <c r="L131" s="90"/>
      <c r="M131" s="51"/>
      <c r="N131" s="113">
        <f t="shared" si="17"/>
        <v>4224</v>
      </c>
      <c r="O131" s="581"/>
      <c r="P131" s="582">
        <v>0</v>
      </c>
      <c r="Q131" s="122"/>
      <c r="R131" s="576"/>
      <c r="S131" s="583">
        <f>+IF(ABS(+O131+Q131)&gt;=ABS(P131+R131),+O131-P131+Q131-R131,0)</f>
        <v>0</v>
      </c>
      <c r="T131" s="584">
        <v>0</v>
      </c>
      <c r="U131" s="51"/>
      <c r="V131" s="2120">
        <f>+IF(OR(ROUND(P131,2)+ROUND(R131,2)&gt;+ROUND(O131,2)+ROUND(Q131,2),+ABS(ROUND(P131,2)+ROUND(R131,2))&gt;+ABS(ROUND(O131,2)+ROUND(Q131,2))),+(ROUND(P131,2)+ROUND(R131,2))-(ROUND(O131,2)+ROUND(Q131,2)),0)</f>
        <v>0</v>
      </c>
      <c r="W131" s="43"/>
      <c r="X131" s="43"/>
      <c r="Y131" s="43"/>
      <c r="Z131" s="43"/>
    </row>
    <row r="132" spans="1:26">
      <c r="A132" s="88">
        <v>4230</v>
      </c>
      <c r="B132" s="378" t="s">
        <v>1001</v>
      </c>
      <c r="C132" s="1033"/>
      <c r="D132" s="1033"/>
      <c r="E132" s="1033"/>
      <c r="F132" s="1033"/>
      <c r="G132" s="1033"/>
      <c r="H132" s="1033"/>
      <c r="I132" s="1033"/>
      <c r="J132" s="1033"/>
      <c r="K132" s="1033"/>
      <c r="L132" s="90"/>
      <c r="M132" s="51"/>
      <c r="N132" s="113">
        <f t="shared" si="17"/>
        <v>4230</v>
      </c>
      <c r="O132" s="575">
        <v>0</v>
      </c>
      <c r="P132" s="594">
        <v>0</v>
      </c>
      <c r="Q132" s="122">
        <v>0</v>
      </c>
      <c r="R132" s="324">
        <v>0</v>
      </c>
      <c r="S132" s="579">
        <v>0</v>
      </c>
      <c r="T132" s="580">
        <f>+IF(ABS(+O132+Q132)&lt;=ABS(P132+R132),-O132+P132-Q132+R132,0)</f>
        <v>0</v>
      </c>
      <c r="U132" s="51"/>
      <c r="V132" s="2119">
        <f>+IF(OR(+ROUND(O132,2)+ROUND(Q132,2)&gt;ROUND(P132,2)+ROUND(R132,2),+ABS(ROUND(O132,2)+ROUND(Q132,2))&gt;+ABS(ROUND(P132,2)+ROUND(R132,2))),+(ROUND(O132,2)+ROUND(Q132,2))-(ROUND(P132,2)+ROUND(R132,2)),0)</f>
        <v>0</v>
      </c>
      <c r="W132" s="43"/>
      <c r="X132" s="43"/>
      <c r="Y132" s="43"/>
      <c r="Z132" s="43"/>
    </row>
    <row r="133" spans="1:26">
      <c r="A133" s="88">
        <v>4241</v>
      </c>
      <c r="B133" s="1032" t="s">
        <v>484</v>
      </c>
      <c r="C133" s="1033"/>
      <c r="D133" s="1033"/>
      <c r="E133" s="1033"/>
      <c r="F133" s="1033"/>
      <c r="G133" s="1033"/>
      <c r="H133" s="1033"/>
      <c r="I133" s="1033"/>
      <c r="J133" s="1033"/>
      <c r="K133" s="1033"/>
      <c r="L133" s="90"/>
      <c r="M133" s="51"/>
      <c r="N133" s="113">
        <f t="shared" si="17"/>
        <v>4241</v>
      </c>
      <c r="O133" s="575">
        <v>0</v>
      </c>
      <c r="P133" s="576"/>
      <c r="Q133" s="122"/>
      <c r="R133" s="324"/>
      <c r="S133" s="579">
        <v>0</v>
      </c>
      <c r="T133" s="580">
        <f>+IF(ABS(+O133+Q133)&lt;=ABS(P133+R133),-O133+P133-Q133+R133,0)</f>
        <v>0</v>
      </c>
      <c r="U133" s="51"/>
      <c r="V133" s="2119">
        <f>+IF(OR(+ROUND(O133,2)+ROUND(Q133,2)&gt;ROUND(P133,2)+ROUND(R133,2),+ABS(ROUND(O133,2)+ROUND(Q133,2))&gt;+ABS(ROUND(P133,2)+ROUND(R133,2))),+(ROUND(O133,2)+ROUND(Q133,2))-(ROUND(P133,2)+ROUND(R133,2)),0)</f>
        <v>0</v>
      </c>
      <c r="W133" s="43"/>
      <c r="X133" s="43"/>
      <c r="Y133" s="43"/>
      <c r="Z133" s="43"/>
    </row>
    <row r="134" spans="1:26">
      <c r="A134" s="88">
        <v>4243</v>
      </c>
      <c r="B134" s="1032" t="s">
        <v>485</v>
      </c>
      <c r="C134" s="1033"/>
      <c r="D134" s="1033"/>
      <c r="E134" s="1033"/>
      <c r="F134" s="1033"/>
      <c r="G134" s="1033"/>
      <c r="H134" s="1033"/>
      <c r="I134" s="1033"/>
      <c r="J134" s="1033"/>
      <c r="K134" s="1033"/>
      <c r="L134" s="90"/>
      <c r="M134" s="51"/>
      <c r="N134" s="113">
        <f t="shared" si="17"/>
        <v>4243</v>
      </c>
      <c r="O134" s="581"/>
      <c r="P134" s="582">
        <v>0</v>
      </c>
      <c r="Q134" s="122"/>
      <c r="R134" s="576"/>
      <c r="S134" s="583">
        <f>+IF(ABS(+O134+Q134)&gt;=ABS(P134+R134),+O134-P134+Q134-R134,0)</f>
        <v>0</v>
      </c>
      <c r="T134" s="584">
        <v>0</v>
      </c>
      <c r="U134" s="51"/>
      <c r="V134" s="2120">
        <f>+IF(OR(ROUND(P134,2)+ROUND(R134,2)&gt;+ROUND(O134,2)+ROUND(Q134,2),+ABS(ROUND(P134,2)+ROUND(R134,2))&gt;+ABS(ROUND(O134,2)+ROUND(Q134,2))),+(ROUND(P134,2)+ROUND(R134,2))-(ROUND(O134,2)+ROUND(Q134,2)),0)</f>
        <v>0</v>
      </c>
      <c r="W134" s="43"/>
      <c r="X134" s="43"/>
      <c r="Y134" s="43"/>
      <c r="Z134" s="43"/>
    </row>
    <row r="135" spans="1:26">
      <c r="A135" s="88">
        <v>4252</v>
      </c>
      <c r="B135" s="378" t="s">
        <v>486</v>
      </c>
      <c r="C135" s="1033"/>
      <c r="D135" s="1033"/>
      <c r="E135" s="1033"/>
      <c r="F135" s="1033"/>
      <c r="G135" s="1033"/>
      <c r="H135" s="1033"/>
      <c r="I135" s="1033"/>
      <c r="J135" s="1033"/>
      <c r="K135" s="1033"/>
      <c r="L135" s="90"/>
      <c r="M135" s="51"/>
      <c r="N135" s="113">
        <f t="shared" si="17"/>
        <v>4252</v>
      </c>
      <c r="O135" s="575">
        <v>0</v>
      </c>
      <c r="P135" s="576"/>
      <c r="Q135" s="122"/>
      <c r="R135" s="324"/>
      <c r="S135" s="579">
        <v>0</v>
      </c>
      <c r="T135" s="580">
        <f>+IF(ABS(+O135+Q135)&lt;=ABS(P135+R135),-O135+P135-Q135+R135,0)</f>
        <v>0</v>
      </c>
      <c r="U135" s="51"/>
      <c r="V135" s="2119">
        <f>+IF(OR(+ROUND(O135,2)+ROUND(Q135,2)&gt;ROUND(P135,2)+ROUND(R135,2),+ABS(ROUND(O135,2)+ROUND(Q135,2))&gt;+ABS(ROUND(P135,2)+ROUND(R135,2))),+(ROUND(O135,2)+ROUND(Q135,2))-(ROUND(P135,2)+ROUND(R135,2)),0)</f>
        <v>0</v>
      </c>
      <c r="W135" s="43"/>
      <c r="X135" s="43"/>
      <c r="Y135" s="43"/>
      <c r="Z135" s="43"/>
    </row>
    <row r="136" spans="1:26">
      <c r="A136" s="88">
        <v>4254</v>
      </c>
      <c r="B136" s="378" t="s">
        <v>487</v>
      </c>
      <c r="C136" s="1033"/>
      <c r="D136" s="1033"/>
      <c r="E136" s="1033"/>
      <c r="F136" s="1033"/>
      <c r="G136" s="1033"/>
      <c r="H136" s="1033"/>
      <c r="I136" s="1033"/>
      <c r="J136" s="1033"/>
      <c r="K136" s="1033"/>
      <c r="L136" s="90"/>
      <c r="M136" s="51"/>
      <c r="N136" s="113">
        <f t="shared" si="17"/>
        <v>4254</v>
      </c>
      <c r="O136" s="581"/>
      <c r="P136" s="582">
        <v>0</v>
      </c>
      <c r="Q136" s="122"/>
      <c r="R136" s="576"/>
      <c r="S136" s="583">
        <f>+IF(ABS(+O136+Q136)&gt;=ABS(P136+R136),+O136-P136+Q136-R136,0)</f>
        <v>0</v>
      </c>
      <c r="T136" s="584">
        <v>0</v>
      </c>
      <c r="U136" s="51"/>
      <c r="V136" s="2120">
        <f>+IF(OR(ROUND(P136,2)+ROUND(R136,2)&gt;+ROUND(O136,2)+ROUND(Q136,2),+ABS(ROUND(P136,2)+ROUND(R136,2))&gt;+ABS(ROUND(O136,2)+ROUND(Q136,2))),+(ROUND(P136,2)+ROUND(R136,2))-(ROUND(O136,2)+ROUND(Q136,2)),0)</f>
        <v>0</v>
      </c>
      <c r="W136" s="43"/>
      <c r="X136" s="43"/>
      <c r="Y136" s="43"/>
      <c r="Z136" s="43"/>
    </row>
    <row r="137" spans="1:26">
      <c r="A137" s="88">
        <v>4261</v>
      </c>
      <c r="B137" s="378" t="s">
        <v>488</v>
      </c>
      <c r="C137" s="1033"/>
      <c r="D137" s="1033"/>
      <c r="E137" s="1033"/>
      <c r="F137" s="1033"/>
      <c r="G137" s="1033"/>
      <c r="H137" s="1033"/>
      <c r="I137" s="1033"/>
      <c r="J137" s="1033"/>
      <c r="K137" s="1033"/>
      <c r="L137" s="90"/>
      <c r="M137" s="51"/>
      <c r="N137" s="113">
        <f t="shared" si="17"/>
        <v>4261</v>
      </c>
      <c r="O137" s="581">
        <v>0</v>
      </c>
      <c r="P137" s="582">
        <v>0</v>
      </c>
      <c r="Q137" s="122">
        <v>0</v>
      </c>
      <c r="R137" s="576">
        <v>0</v>
      </c>
      <c r="S137" s="583">
        <f>+IF(ABS(+O137+Q137)&gt;=ABS(P137+R137),+O137-P137+Q137-R137,0)</f>
        <v>0</v>
      </c>
      <c r="T137" s="584">
        <v>0</v>
      </c>
      <c r="U137" s="51"/>
      <c r="V137" s="2120">
        <f>+IF(OR(ROUND(P137,2)+ROUND(R137,2)&gt;+ROUND(O137,2)+ROUND(Q137,2),+ABS(ROUND(P137,2)+ROUND(R137,2))&gt;+ABS(ROUND(O137,2)+ROUND(Q137,2))),+(ROUND(P137,2)+ROUND(R137,2))-(ROUND(O137,2)+ROUND(Q137,2)),0)</f>
        <v>0</v>
      </c>
      <c r="W137" s="43"/>
      <c r="X137" s="43"/>
      <c r="Y137" s="43"/>
      <c r="Z137" s="43"/>
    </row>
    <row r="138" spans="1:26">
      <c r="A138" s="88">
        <v>4262</v>
      </c>
      <c r="B138" s="378" t="s">
        <v>489</v>
      </c>
      <c r="C138" s="1033"/>
      <c r="D138" s="1033"/>
      <c r="E138" s="1033"/>
      <c r="F138" s="1033"/>
      <c r="G138" s="1033"/>
      <c r="H138" s="1033"/>
      <c r="I138" s="1033"/>
      <c r="J138" s="1033"/>
      <c r="K138" s="1033"/>
      <c r="L138" s="90"/>
      <c r="M138" s="51"/>
      <c r="N138" s="113">
        <f t="shared" si="17"/>
        <v>4262</v>
      </c>
      <c r="O138" s="581"/>
      <c r="P138" s="582">
        <v>0</v>
      </c>
      <c r="Q138" s="122"/>
      <c r="R138" s="576"/>
      <c r="S138" s="583">
        <f>+IF(ABS(+O138+Q138)&gt;=ABS(P138+R138),+O138-P138+Q138-R138,0)</f>
        <v>0</v>
      </c>
      <c r="T138" s="584">
        <v>0</v>
      </c>
      <c r="U138" s="51"/>
      <c r="V138" s="2120">
        <f>+IF(OR(ROUND(P138,2)+ROUND(R138,2)&gt;+ROUND(O138,2)+ROUND(Q138,2),+ABS(ROUND(P138,2)+ROUND(R138,2))&gt;+ABS(ROUND(O138,2)+ROUND(Q138,2))),+(ROUND(P138,2)+ROUND(R138,2))-(ROUND(O138,2)+ROUND(Q138,2)),0)</f>
        <v>0</v>
      </c>
      <c r="W138" s="43"/>
      <c r="X138" s="43"/>
      <c r="Y138" s="43"/>
      <c r="Z138" s="43"/>
    </row>
    <row r="139" spans="1:26">
      <c r="A139" s="88">
        <v>4271</v>
      </c>
      <c r="B139" s="378" t="s">
        <v>392</v>
      </c>
      <c r="C139" s="1033"/>
      <c r="D139" s="1033"/>
      <c r="E139" s="1033"/>
      <c r="F139" s="1033"/>
      <c r="G139" s="1033"/>
      <c r="H139" s="1033"/>
      <c r="I139" s="1033"/>
      <c r="J139" s="1033"/>
      <c r="K139" s="1033"/>
      <c r="L139" s="90"/>
      <c r="M139" s="51"/>
      <c r="N139" s="113">
        <f t="shared" si="17"/>
        <v>4271</v>
      </c>
      <c r="O139" s="575">
        <v>0</v>
      </c>
      <c r="P139" s="576"/>
      <c r="Q139" s="122"/>
      <c r="R139" s="324"/>
      <c r="S139" s="579">
        <v>0</v>
      </c>
      <c r="T139" s="580">
        <f>+IF(ABS(+O139+Q139)&lt;=ABS(P139+R139),-O139+P139-Q139+R139,0)</f>
        <v>0</v>
      </c>
      <c r="U139" s="51"/>
      <c r="V139" s="2119">
        <f>+IF(OR(+ROUND(O139,2)+ROUND(Q139,2)&gt;ROUND(P139,2)+ROUND(R139,2),+ABS(ROUND(O139,2)+ROUND(Q139,2))&gt;+ABS(ROUND(P139,2)+ROUND(R139,2))),+(ROUND(O139,2)+ROUND(Q139,2))-(ROUND(P139,2)+ROUND(R139,2)),0)</f>
        <v>0</v>
      </c>
      <c r="W139" s="43"/>
      <c r="X139" s="43"/>
      <c r="Y139" s="43"/>
      <c r="Z139" s="43"/>
    </row>
    <row r="140" spans="1:26">
      <c r="A140" s="88">
        <v>4272</v>
      </c>
      <c r="B140" s="378" t="s">
        <v>393</v>
      </c>
      <c r="C140" s="1033"/>
      <c r="D140" s="1033"/>
      <c r="E140" s="1033"/>
      <c r="F140" s="1033"/>
      <c r="G140" s="1033"/>
      <c r="H140" s="1033"/>
      <c r="I140" s="1033"/>
      <c r="J140" s="1033"/>
      <c r="K140" s="1033"/>
      <c r="L140" s="90"/>
      <c r="M140" s="51"/>
      <c r="N140" s="113">
        <f t="shared" si="17"/>
        <v>4272</v>
      </c>
      <c r="O140" s="575">
        <v>0</v>
      </c>
      <c r="P140" s="576"/>
      <c r="Q140" s="122"/>
      <c r="R140" s="324"/>
      <c r="S140" s="579">
        <v>0</v>
      </c>
      <c r="T140" s="580">
        <f>+IF(ABS(+O140+Q140)&lt;=ABS(P140+R140),-O140+P140-Q140+R140,0)</f>
        <v>0</v>
      </c>
      <c r="U140" s="51"/>
      <c r="V140" s="2119">
        <f>+IF(OR(+ROUND(O140,2)+ROUND(Q140,2)&gt;ROUND(P140,2)+ROUND(R140,2),+ABS(ROUND(O140,2)+ROUND(Q140,2))&gt;+ABS(ROUND(P140,2)+ROUND(R140,2))),+(ROUND(O140,2)+ROUND(Q140,2))-(ROUND(P140,2)+ROUND(R140,2)),0)</f>
        <v>0</v>
      </c>
      <c r="W140" s="43"/>
      <c r="X140" s="43"/>
      <c r="Y140" s="43"/>
      <c r="Z140" s="43"/>
    </row>
    <row r="141" spans="1:26">
      <c r="A141" s="88">
        <v>4279</v>
      </c>
      <c r="B141" s="378" t="s">
        <v>479</v>
      </c>
      <c r="C141" s="378"/>
      <c r="D141" s="1033"/>
      <c r="E141" s="1033"/>
      <c r="F141" s="1033"/>
      <c r="G141" s="1033"/>
      <c r="H141" s="1033"/>
      <c r="I141" s="1033"/>
      <c r="J141" s="1033"/>
      <c r="K141" s="1033"/>
      <c r="L141" s="90"/>
      <c r="M141" s="51"/>
      <c r="N141" s="113">
        <f t="shared" si="17"/>
        <v>4279</v>
      </c>
      <c r="O141" s="581"/>
      <c r="P141" s="582">
        <v>0</v>
      </c>
      <c r="Q141" s="122"/>
      <c r="R141" s="576"/>
      <c r="S141" s="583">
        <f>+IF(ABS(+O141+Q141)&gt;=ABS(P141+R141),+O141-P141+Q141-R141,0)</f>
        <v>0</v>
      </c>
      <c r="T141" s="584">
        <v>0</v>
      </c>
      <c r="U141" s="51"/>
      <c r="V141" s="2120">
        <f>+IF(OR(ROUND(P141,2)+ROUND(R141,2)&gt;+ROUND(O141,2)+ROUND(Q141,2),+ABS(ROUND(P141,2)+ROUND(R141,2))&gt;+ABS(ROUND(O141,2)+ROUND(Q141,2))),+(ROUND(P141,2)+ROUND(R141,2))-(ROUND(O141,2)+ROUND(Q141,2)),0)</f>
        <v>0</v>
      </c>
      <c r="W141" s="43"/>
      <c r="X141" s="43"/>
      <c r="Y141" s="43"/>
      <c r="Z141" s="43"/>
    </row>
    <row r="142" spans="1:26">
      <c r="A142" s="88">
        <v>4281</v>
      </c>
      <c r="B142" s="378" t="s">
        <v>394</v>
      </c>
      <c r="C142" s="1033"/>
      <c r="D142" s="1033"/>
      <c r="E142" s="1033"/>
      <c r="F142" s="1033"/>
      <c r="G142" s="1033"/>
      <c r="H142" s="1033"/>
      <c r="I142" s="1033"/>
      <c r="J142" s="1033"/>
      <c r="K142" s="1033"/>
      <c r="L142" s="90"/>
      <c r="M142" s="51"/>
      <c r="N142" s="113">
        <f t="shared" si="17"/>
        <v>4281</v>
      </c>
      <c r="O142" s="575">
        <v>0</v>
      </c>
      <c r="P142" s="576"/>
      <c r="Q142" s="122"/>
      <c r="R142" s="324"/>
      <c r="S142" s="579">
        <v>0</v>
      </c>
      <c r="T142" s="580">
        <f>+IF(ABS(+O142+Q142)&lt;=ABS(P142+R142),-O142+P142-Q142+R142,0)</f>
        <v>0</v>
      </c>
      <c r="U142" s="51"/>
      <c r="V142" s="2119">
        <f>+IF(OR(+ROUND(O142,2)+ROUND(Q142,2)&gt;ROUND(P142,2)+ROUND(R142,2),+ABS(ROUND(O142,2)+ROUND(Q142,2))&gt;+ABS(ROUND(P142,2)+ROUND(R142,2))),+(ROUND(O142,2)+ROUND(Q142,2))-(ROUND(P142,2)+ROUND(R142,2)),0)</f>
        <v>0</v>
      </c>
      <c r="W142" s="43"/>
      <c r="X142" s="43"/>
      <c r="Y142" s="43"/>
      <c r="Z142" s="43"/>
    </row>
    <row r="143" spans="1:26">
      <c r="A143" s="88">
        <v>4282</v>
      </c>
      <c r="B143" s="378" t="s">
        <v>395</v>
      </c>
      <c r="C143" s="1033"/>
      <c r="D143" s="1033"/>
      <c r="E143" s="1033"/>
      <c r="F143" s="1033"/>
      <c r="G143" s="1033"/>
      <c r="H143" s="1033"/>
      <c r="I143" s="1033"/>
      <c r="J143" s="1033"/>
      <c r="K143" s="1033"/>
      <c r="L143" s="90"/>
      <c r="M143" s="51"/>
      <c r="N143" s="113">
        <f t="shared" si="17"/>
        <v>4282</v>
      </c>
      <c r="O143" s="575">
        <v>0</v>
      </c>
      <c r="P143" s="576"/>
      <c r="Q143" s="122"/>
      <c r="R143" s="324"/>
      <c r="S143" s="579">
        <v>0</v>
      </c>
      <c r="T143" s="580">
        <f>+IF(ABS(+O143+Q143)&lt;=ABS(P143+R143),-O143+P143-Q143+R143,0)</f>
        <v>0</v>
      </c>
      <c r="U143" s="51"/>
      <c r="V143" s="2119">
        <f>+IF(OR(+ROUND(O143,2)+ROUND(Q143,2)&gt;ROUND(P143,2)+ROUND(R143,2),+ABS(ROUND(O143,2)+ROUND(Q143,2))&gt;+ABS(ROUND(P143,2)+ROUND(R143,2))),+(ROUND(O143,2)+ROUND(Q143,2))-(ROUND(P143,2)+ROUND(R143,2)),0)</f>
        <v>0</v>
      </c>
      <c r="W143" s="43"/>
      <c r="X143" s="43"/>
      <c r="Y143" s="43"/>
      <c r="Z143" s="43"/>
    </row>
    <row r="144" spans="1:26">
      <c r="A144" s="88">
        <v>4287</v>
      </c>
      <c r="B144" s="378" t="s">
        <v>396</v>
      </c>
      <c r="C144" s="1033"/>
      <c r="D144" s="1033"/>
      <c r="E144" s="1033"/>
      <c r="F144" s="1033"/>
      <c r="G144" s="1033"/>
      <c r="H144" s="1033"/>
      <c r="I144" s="1033"/>
      <c r="J144" s="1033"/>
      <c r="K144" s="1033"/>
      <c r="L144" s="90"/>
      <c r="M144" s="51"/>
      <c r="N144" s="113">
        <f t="shared" si="17"/>
        <v>4287</v>
      </c>
      <c r="O144" s="581"/>
      <c r="P144" s="582">
        <v>0</v>
      </c>
      <c r="Q144" s="122"/>
      <c r="R144" s="576"/>
      <c r="S144" s="583">
        <f>+IF(ABS(+O144+Q144)&gt;=ABS(P144+R144),+O144-P144+Q144-R144,0)</f>
        <v>0</v>
      </c>
      <c r="T144" s="584">
        <v>0</v>
      </c>
      <c r="U144" s="51"/>
      <c r="V144" s="2120">
        <f>+IF(OR(ROUND(P144,2)+ROUND(R144,2)&gt;+ROUND(O144,2)+ROUND(Q144,2),+ABS(ROUND(P144,2)+ROUND(R144,2))&gt;+ABS(ROUND(O144,2)+ROUND(Q144,2))),+(ROUND(P144,2)+ROUND(R144,2))-(ROUND(O144,2)+ROUND(Q144,2)),0)</f>
        <v>0</v>
      </c>
      <c r="W144" s="43"/>
      <c r="X144" s="43"/>
      <c r="Y144" s="43"/>
      <c r="Z144" s="43"/>
    </row>
    <row r="145" spans="1:26">
      <c r="A145" s="88">
        <v>4288</v>
      </c>
      <c r="B145" s="378" t="s">
        <v>397</v>
      </c>
      <c r="C145" s="1033"/>
      <c r="D145" s="1033"/>
      <c r="E145" s="1033"/>
      <c r="F145" s="1033"/>
      <c r="G145" s="1033"/>
      <c r="H145" s="1033"/>
      <c r="I145" s="1033"/>
      <c r="J145" s="1033"/>
      <c r="K145" s="1033"/>
      <c r="L145" s="90"/>
      <c r="M145" s="51"/>
      <c r="N145" s="113">
        <f t="shared" si="17"/>
        <v>4288</v>
      </c>
      <c r="O145" s="581"/>
      <c r="P145" s="582">
        <v>0</v>
      </c>
      <c r="Q145" s="122"/>
      <c r="R145" s="576"/>
      <c r="S145" s="583">
        <f>+IF(ABS(+O145+Q145)&gt;=ABS(P145+R145),+O145-P145+Q145-R145,0)</f>
        <v>0</v>
      </c>
      <c r="T145" s="584">
        <v>0</v>
      </c>
      <c r="U145" s="51"/>
      <c r="V145" s="2120">
        <f>+IF(OR(ROUND(P145,2)+ROUND(R145,2)&gt;+ROUND(O145,2)+ROUND(Q145,2),+ABS(ROUND(P145,2)+ROUND(R145,2))&gt;+ABS(ROUND(O145,2)+ROUND(Q145,2))),+(ROUND(P145,2)+ROUND(R145,2))-(ROUND(O145,2)+ROUND(Q145,2)),0)</f>
        <v>0</v>
      </c>
      <c r="W145" s="43"/>
      <c r="X145" s="43"/>
      <c r="Y145" s="43"/>
      <c r="Z145" s="43"/>
    </row>
    <row r="146" spans="1:26">
      <c r="A146" s="88">
        <v>4291</v>
      </c>
      <c r="B146" s="378" t="s">
        <v>400</v>
      </c>
      <c r="C146" s="1033"/>
      <c r="D146" s="1033"/>
      <c r="E146" s="1033"/>
      <c r="F146" s="1033"/>
      <c r="G146" s="1033"/>
      <c r="H146" s="1033"/>
      <c r="I146" s="1033"/>
      <c r="J146" s="1033"/>
      <c r="K146" s="1033"/>
      <c r="L146" s="90"/>
      <c r="M146" s="51"/>
      <c r="N146" s="113">
        <f t="shared" si="17"/>
        <v>4291</v>
      </c>
      <c r="O146" s="575">
        <v>0</v>
      </c>
      <c r="P146" s="576">
        <v>0</v>
      </c>
      <c r="Q146" s="122">
        <v>0</v>
      </c>
      <c r="R146" s="324">
        <v>0</v>
      </c>
      <c r="S146" s="579">
        <v>0</v>
      </c>
      <c r="T146" s="580">
        <f>+IF(ABS(+O146+Q146)&lt;=ABS(P146+R146),-O146+P146-Q146+R146,0)</f>
        <v>0</v>
      </c>
      <c r="U146" s="51"/>
      <c r="V146" s="2119">
        <f>+IF(OR(+ROUND(O146,2)+ROUND(Q146,2)&gt;ROUND(P146,2)+ROUND(R146,2),+ABS(ROUND(O146,2)+ROUND(Q146,2))&gt;+ABS(ROUND(P146,2)+ROUND(R146,2))),+(ROUND(O146,2)+ROUND(Q146,2))-(ROUND(P146,2)+ROUND(R146,2)),0)</f>
        <v>0</v>
      </c>
      <c r="W146" s="43"/>
      <c r="X146" s="43"/>
      <c r="Y146" s="43"/>
      <c r="Z146" s="43"/>
    </row>
    <row r="147" spans="1:26">
      <c r="A147" s="88">
        <v>4299</v>
      </c>
      <c r="B147" s="1032" t="s">
        <v>401</v>
      </c>
      <c r="C147" s="1033"/>
      <c r="D147" s="1033"/>
      <c r="E147" s="1033"/>
      <c r="F147" s="1033"/>
      <c r="G147" s="1033"/>
      <c r="H147" s="1033"/>
      <c r="I147" s="1033"/>
      <c r="J147" s="1033"/>
      <c r="K147" s="1033"/>
      <c r="L147" s="90"/>
      <c r="M147" s="51"/>
      <c r="N147" s="113">
        <f t="shared" si="17"/>
        <v>4299</v>
      </c>
      <c r="O147" s="581">
        <v>0</v>
      </c>
      <c r="P147" s="582">
        <v>0</v>
      </c>
      <c r="Q147" s="122">
        <v>0</v>
      </c>
      <c r="R147" s="576">
        <v>0</v>
      </c>
      <c r="S147" s="583">
        <f>+IF(ABS(+O147+Q147)&gt;=ABS(P147+R147),+O147-P147+Q147-R147,0)</f>
        <v>0</v>
      </c>
      <c r="T147" s="584">
        <v>0</v>
      </c>
      <c r="U147" s="51"/>
      <c r="V147" s="2120">
        <f>+IF(OR(ROUND(P147,2)+ROUND(R147,2)&gt;+ROUND(O147,2)+ROUND(Q147,2),+ABS(ROUND(P147,2)+ROUND(R147,2))&gt;+ABS(ROUND(O147,2)+ROUND(Q147,2))),+(ROUND(P147,2)+ROUND(R147,2))-(ROUND(O147,2)+ROUND(Q147,2)),0)</f>
        <v>0</v>
      </c>
      <c r="W147" s="43"/>
      <c r="X147" s="43"/>
      <c r="Y147" s="43"/>
      <c r="Z147" s="43"/>
    </row>
    <row r="148" spans="1:26">
      <c r="A148" s="417">
        <v>4301</v>
      </c>
      <c r="B148" s="2181" t="s">
        <v>2087</v>
      </c>
      <c r="C148" s="1033"/>
      <c r="D148" s="1033"/>
      <c r="E148" s="1033"/>
      <c r="F148" s="1033"/>
      <c r="G148" s="1033"/>
      <c r="H148" s="1033"/>
      <c r="I148" s="1033"/>
      <c r="J148" s="1033"/>
      <c r="K148" s="1033"/>
      <c r="L148" s="90"/>
      <c r="M148" s="51"/>
      <c r="N148" s="113">
        <f t="shared" si="17"/>
        <v>4301</v>
      </c>
      <c r="O148" s="593"/>
      <c r="P148" s="582">
        <v>0</v>
      </c>
      <c r="Q148" s="122"/>
      <c r="R148" s="576"/>
      <c r="S148" s="583">
        <f>+IF(ABS(+O148+Q148)&gt;=ABS(P148+R148),+O148-P148+Q148-R148,0)</f>
        <v>0</v>
      </c>
      <c r="T148" s="584">
        <v>0</v>
      </c>
      <c r="U148" s="51"/>
      <c r="V148" s="2120">
        <f>+IF(OR(ROUND(P148,2)+ROUND(R148,2)&gt;+ROUND(O148,2)+ROUND(Q148,2),+ABS(ROUND(P148,2)+ROUND(R148,2))&gt;+ABS(ROUND(O148,2)+ROUND(Q148,2))),+(ROUND(P148,2)+ROUND(R148,2))-(ROUND(O148,2)+ROUND(Q148,2)),0)</f>
        <v>0</v>
      </c>
      <c r="W148" s="43"/>
      <c r="X148" s="43"/>
      <c r="Y148" s="43"/>
      <c r="Z148" s="43"/>
    </row>
    <row r="149" spans="1:26">
      <c r="A149" s="417">
        <v>4303</v>
      </c>
      <c r="B149" s="378" t="s">
        <v>402</v>
      </c>
      <c r="C149" s="1033"/>
      <c r="D149" s="1033"/>
      <c r="E149" s="1033"/>
      <c r="F149" s="1033"/>
      <c r="G149" s="1033"/>
      <c r="H149" s="1033"/>
      <c r="I149" s="1033"/>
      <c r="J149" s="1033"/>
      <c r="K149" s="1033"/>
      <c r="L149" s="90"/>
      <c r="M149" s="51"/>
      <c r="N149" s="113">
        <f t="shared" si="17"/>
        <v>4303</v>
      </c>
      <c r="O149" s="581"/>
      <c r="P149" s="582">
        <v>0</v>
      </c>
      <c r="Q149" s="589"/>
      <c r="R149" s="576"/>
      <c r="S149" s="583">
        <f>+IF(ABS(+O149+Q149)&gt;=ABS(P149+R149),+O149-P149+Q149-R149,0)</f>
        <v>0</v>
      </c>
      <c r="T149" s="584">
        <v>0</v>
      </c>
      <c r="U149" s="51"/>
      <c r="V149" s="2120">
        <f>+IF(OR(ROUND(P149,2)+ROUND(R149,2)&gt;+ROUND(O149,2)+ROUND(Q149,2),+ABS(ROUND(P149,2)+ROUND(R149,2))&gt;+ABS(ROUND(O149,2)+ROUND(Q149,2))),+(ROUND(P149,2)+ROUND(R149,2))-(ROUND(O149,2)+ROUND(Q149,2)),0)</f>
        <v>0</v>
      </c>
      <c r="W149" s="43"/>
      <c r="X149" s="43"/>
      <c r="Y149" s="43"/>
      <c r="Z149" s="43"/>
    </row>
    <row r="150" spans="1:26">
      <c r="A150" s="88">
        <v>4311</v>
      </c>
      <c r="B150" s="1033" t="s">
        <v>403</v>
      </c>
      <c r="C150" s="1033"/>
      <c r="D150" s="1033"/>
      <c r="E150" s="1033"/>
      <c r="F150" s="1033"/>
      <c r="G150" s="1033"/>
      <c r="H150" s="1033"/>
      <c r="I150" s="1033"/>
      <c r="J150" s="1033"/>
      <c r="K150" s="1033"/>
      <c r="L150" s="90"/>
      <c r="M150" s="51"/>
      <c r="N150" s="113">
        <f t="shared" si="17"/>
        <v>4311</v>
      </c>
      <c r="O150" s="575">
        <v>0</v>
      </c>
      <c r="P150" s="576"/>
      <c r="Q150" s="589"/>
      <c r="R150" s="324"/>
      <c r="S150" s="579">
        <v>0</v>
      </c>
      <c r="T150" s="580">
        <f>+IF(ABS(+O150+Q150)&lt;=ABS(P150+R150),-O150+P150-Q150+R150,0)</f>
        <v>0</v>
      </c>
      <c r="U150" s="51"/>
      <c r="V150" s="2119">
        <f>+IF(OR(+ROUND(O150,2)+ROUND(Q150,2)&gt;ROUND(P150,2)+ROUND(R150,2),+ABS(ROUND(O150,2)+ROUND(Q150,2))&gt;+ABS(ROUND(P150,2)+ROUND(R150,2))),+(ROUND(O150,2)+ROUND(Q150,2))-(ROUND(P150,2)+ROUND(R150,2)),0)</f>
        <v>0</v>
      </c>
      <c r="W150" s="43"/>
      <c r="X150" s="43"/>
      <c r="Y150" s="43"/>
      <c r="Z150" s="43"/>
    </row>
    <row r="151" spans="1:26">
      <c r="A151" s="88">
        <v>4313</v>
      </c>
      <c r="B151" s="1033" t="s">
        <v>404</v>
      </c>
      <c r="C151" s="1033"/>
      <c r="D151" s="1033"/>
      <c r="E151" s="1033"/>
      <c r="F151" s="1033"/>
      <c r="G151" s="1033"/>
      <c r="H151" s="1033"/>
      <c r="I151" s="1033"/>
      <c r="J151" s="1033"/>
      <c r="K151" s="1033"/>
      <c r="L151" s="90"/>
      <c r="M151" s="51"/>
      <c r="N151" s="113">
        <f t="shared" si="17"/>
        <v>4313</v>
      </c>
      <c r="O151" s="575">
        <v>0</v>
      </c>
      <c r="P151" s="576"/>
      <c r="Q151" s="589"/>
      <c r="R151" s="324"/>
      <c r="S151" s="579">
        <v>0</v>
      </c>
      <c r="T151" s="580">
        <f>+IF(ABS(+O151+Q151)&lt;=ABS(P151+R151),-O151+P151-Q151+R151,0)</f>
        <v>0</v>
      </c>
      <c r="U151" s="51"/>
      <c r="V151" s="2119">
        <f>+IF(OR(+ROUND(O151,2)+ROUND(Q151,2)&gt;ROUND(P151,2)+ROUND(R151,2),+ABS(ROUND(O151,2)+ROUND(Q151,2))&gt;+ABS(ROUND(P151,2)+ROUND(R151,2))),+(ROUND(O151,2)+ROUND(Q151,2))-(ROUND(P151,2)+ROUND(R151,2)),0)</f>
        <v>0</v>
      </c>
      <c r="W151" s="43"/>
      <c r="X151" s="43"/>
      <c r="Y151" s="43"/>
      <c r="Z151" s="43"/>
    </row>
    <row r="152" spans="1:26">
      <c r="A152" s="88">
        <v>4321</v>
      </c>
      <c r="B152" s="378" t="s">
        <v>405</v>
      </c>
      <c r="C152" s="1033"/>
      <c r="D152" s="1033"/>
      <c r="E152" s="1033"/>
      <c r="F152" s="1033"/>
      <c r="G152" s="1033"/>
      <c r="H152" s="1033"/>
      <c r="I152" s="1033"/>
      <c r="J152" s="1033"/>
      <c r="K152" s="1033"/>
      <c r="L152" s="90"/>
      <c r="M152" s="51"/>
      <c r="N152" s="113">
        <f t="shared" si="17"/>
        <v>4321</v>
      </c>
      <c r="O152" s="581"/>
      <c r="P152" s="582">
        <v>0</v>
      </c>
      <c r="Q152" s="589"/>
      <c r="R152" s="576"/>
      <c r="S152" s="583">
        <f t="shared" ref="S152:S172" si="18">+IF(ABS(+O152+Q152)&gt;=ABS(P152+R152),+O152-P152+Q152-R152,0)</f>
        <v>0</v>
      </c>
      <c r="T152" s="584">
        <v>0</v>
      </c>
      <c r="U152" s="51"/>
      <c r="V152" s="2120">
        <f t="shared" ref="V152:V159" si="19">+IF(OR(ROUND(P152,2)+ROUND(R152,2)&gt;+ROUND(O152,2)+ROUND(Q152,2),+ABS(ROUND(P152,2)+ROUND(R152,2))&gt;+ABS(ROUND(O152,2)+ROUND(Q152,2))),+(ROUND(P152,2)+ROUND(R152,2))-(ROUND(O152,2)+ROUND(Q152,2)),0)</f>
        <v>0</v>
      </c>
      <c r="W152" s="43"/>
      <c r="X152" s="43"/>
      <c r="Y152" s="43"/>
      <c r="Z152" s="43"/>
    </row>
    <row r="153" spans="1:26">
      <c r="A153" s="88">
        <v>4322</v>
      </c>
      <c r="B153" s="378" t="s">
        <v>406</v>
      </c>
      <c r="C153" s="1033"/>
      <c r="D153" s="1033"/>
      <c r="E153" s="1033"/>
      <c r="F153" s="1033"/>
      <c r="G153" s="1033"/>
      <c r="H153" s="1033"/>
      <c r="I153" s="1033"/>
      <c r="J153" s="1033"/>
      <c r="K153" s="1033"/>
      <c r="L153" s="90"/>
      <c r="M153" s="51"/>
      <c r="N153" s="113">
        <f t="shared" si="17"/>
        <v>4322</v>
      </c>
      <c r="O153" s="581"/>
      <c r="P153" s="582">
        <v>0</v>
      </c>
      <c r="Q153" s="589"/>
      <c r="R153" s="576"/>
      <c r="S153" s="583">
        <f t="shared" si="18"/>
        <v>0</v>
      </c>
      <c r="T153" s="584">
        <v>0</v>
      </c>
      <c r="U153" s="51"/>
      <c r="V153" s="2120">
        <f t="shared" si="19"/>
        <v>0</v>
      </c>
      <c r="W153" s="43"/>
      <c r="X153" s="43"/>
      <c r="Y153" s="43"/>
      <c r="Z153" s="43"/>
    </row>
    <row r="154" spans="1:26">
      <c r="A154" s="88">
        <v>4327</v>
      </c>
      <c r="B154" s="378" t="s">
        <v>407</v>
      </c>
      <c r="C154" s="1033"/>
      <c r="D154" s="1033"/>
      <c r="E154" s="1033"/>
      <c r="F154" s="1033"/>
      <c r="G154" s="1033"/>
      <c r="H154" s="1033"/>
      <c r="I154" s="1033"/>
      <c r="J154" s="1033"/>
      <c r="K154" s="1033"/>
      <c r="L154" s="90"/>
      <c r="M154" s="51"/>
      <c r="N154" s="113">
        <f t="shared" si="17"/>
        <v>4327</v>
      </c>
      <c r="O154" s="581"/>
      <c r="P154" s="582">
        <v>0</v>
      </c>
      <c r="Q154" s="589"/>
      <c r="R154" s="576"/>
      <c r="S154" s="583">
        <f t="shared" si="18"/>
        <v>0</v>
      </c>
      <c r="T154" s="584">
        <v>0</v>
      </c>
      <c r="U154" s="51"/>
      <c r="V154" s="2120">
        <f t="shared" si="19"/>
        <v>0</v>
      </c>
      <c r="W154" s="43"/>
      <c r="X154" s="43"/>
      <c r="Y154" s="43"/>
      <c r="Z154" s="43"/>
    </row>
    <row r="155" spans="1:26">
      <c r="A155" s="88">
        <v>4328</v>
      </c>
      <c r="B155" s="378" t="s">
        <v>35</v>
      </c>
      <c r="C155" s="1033"/>
      <c r="D155" s="1033"/>
      <c r="E155" s="1033"/>
      <c r="F155" s="1033"/>
      <c r="G155" s="1033"/>
      <c r="H155" s="1033"/>
      <c r="I155" s="1033"/>
      <c r="J155" s="1033"/>
      <c r="K155" s="1033"/>
      <c r="L155" s="90"/>
      <c r="M155" s="51"/>
      <c r="N155" s="113">
        <f t="shared" si="17"/>
        <v>4328</v>
      </c>
      <c r="O155" s="581"/>
      <c r="P155" s="582">
        <v>0</v>
      </c>
      <c r="Q155" s="589"/>
      <c r="R155" s="576"/>
      <c r="S155" s="583">
        <f t="shared" si="18"/>
        <v>0</v>
      </c>
      <c r="T155" s="584">
        <v>0</v>
      </c>
      <c r="U155" s="51"/>
      <c r="V155" s="2120">
        <f t="shared" si="19"/>
        <v>0</v>
      </c>
      <c r="W155" s="43"/>
      <c r="X155" s="43"/>
      <c r="Y155" s="43"/>
      <c r="Z155" s="43"/>
    </row>
    <row r="156" spans="1:26">
      <c r="A156" s="88">
        <v>4331</v>
      </c>
      <c r="B156" s="378" t="s">
        <v>915</v>
      </c>
      <c r="C156" s="1033"/>
      <c r="D156" s="1033"/>
      <c r="E156" s="1033"/>
      <c r="F156" s="1033"/>
      <c r="G156" s="1033"/>
      <c r="H156" s="1033"/>
      <c r="I156" s="1033"/>
      <c r="J156" s="1033"/>
      <c r="K156" s="1033"/>
      <c r="L156" s="90"/>
      <c r="M156" s="51"/>
      <c r="N156" s="113">
        <f t="shared" si="17"/>
        <v>4331</v>
      </c>
      <c r="O156" s="581"/>
      <c r="P156" s="582">
        <v>0</v>
      </c>
      <c r="Q156" s="589"/>
      <c r="R156" s="576"/>
      <c r="S156" s="583">
        <f t="shared" si="18"/>
        <v>0</v>
      </c>
      <c r="T156" s="584">
        <v>0</v>
      </c>
      <c r="U156" s="51"/>
      <c r="V156" s="2120">
        <f t="shared" si="19"/>
        <v>0</v>
      </c>
      <c r="W156" s="43"/>
      <c r="X156" s="43"/>
      <c r="Y156" s="43"/>
      <c r="Z156" s="43"/>
    </row>
    <row r="157" spans="1:26">
      <c r="A157" s="88">
        <v>4332</v>
      </c>
      <c r="B157" s="378" t="s">
        <v>916</v>
      </c>
      <c r="C157" s="1033"/>
      <c r="D157" s="1033"/>
      <c r="E157" s="1033"/>
      <c r="F157" s="1033"/>
      <c r="G157" s="1033"/>
      <c r="H157" s="1033"/>
      <c r="I157" s="1033"/>
      <c r="J157" s="1033"/>
      <c r="K157" s="1033"/>
      <c r="L157" s="90"/>
      <c r="M157" s="51"/>
      <c r="N157" s="113">
        <f t="shared" si="17"/>
        <v>4332</v>
      </c>
      <c r="O157" s="581"/>
      <c r="P157" s="582">
        <v>0</v>
      </c>
      <c r="Q157" s="589"/>
      <c r="R157" s="576"/>
      <c r="S157" s="583">
        <f t="shared" si="18"/>
        <v>0</v>
      </c>
      <c r="T157" s="584">
        <v>0</v>
      </c>
      <c r="U157" s="51"/>
      <c r="V157" s="2120">
        <f t="shared" si="19"/>
        <v>0</v>
      </c>
      <c r="W157" s="43"/>
      <c r="X157" s="43"/>
      <c r="Y157" s="43"/>
      <c r="Z157" s="43"/>
    </row>
    <row r="158" spans="1:26">
      <c r="A158" s="88">
        <v>4351</v>
      </c>
      <c r="B158" s="1032" t="s">
        <v>1161</v>
      </c>
      <c r="C158" s="1033"/>
      <c r="D158" s="1033"/>
      <c r="E158" s="1033"/>
      <c r="F158" s="1033"/>
      <c r="G158" s="1033"/>
      <c r="H158" s="1033"/>
      <c r="I158" s="1033"/>
      <c r="J158" s="1033"/>
      <c r="K158" s="1033"/>
      <c r="L158" s="90"/>
      <c r="M158" s="51"/>
      <c r="N158" s="113">
        <f t="shared" si="17"/>
        <v>4351</v>
      </c>
      <c r="O158" s="581"/>
      <c r="P158" s="582">
        <v>0</v>
      </c>
      <c r="Q158" s="589"/>
      <c r="R158" s="576"/>
      <c r="S158" s="583">
        <f t="shared" si="18"/>
        <v>0</v>
      </c>
      <c r="T158" s="584">
        <v>0</v>
      </c>
      <c r="U158" s="51"/>
      <c r="V158" s="2120">
        <f t="shared" si="19"/>
        <v>0</v>
      </c>
      <c r="W158" s="43"/>
      <c r="X158" s="43"/>
      <c r="Y158" s="43"/>
      <c r="Z158" s="43"/>
    </row>
    <row r="159" spans="1:26">
      <c r="A159" s="88">
        <v>4352</v>
      </c>
      <c r="B159" s="1032" t="s">
        <v>1162</v>
      </c>
      <c r="C159" s="1033"/>
      <c r="D159" s="1033"/>
      <c r="E159" s="1033"/>
      <c r="F159" s="1033"/>
      <c r="G159" s="1033"/>
      <c r="H159" s="1033"/>
      <c r="I159" s="1033"/>
      <c r="J159" s="1033"/>
      <c r="K159" s="1033"/>
      <c r="L159" s="90"/>
      <c r="M159" s="51"/>
      <c r="N159" s="113">
        <f t="shared" si="17"/>
        <v>4352</v>
      </c>
      <c r="O159" s="581"/>
      <c r="P159" s="582">
        <v>0</v>
      </c>
      <c r="Q159" s="589"/>
      <c r="R159" s="576"/>
      <c r="S159" s="583">
        <f t="shared" si="18"/>
        <v>0</v>
      </c>
      <c r="T159" s="584">
        <v>0</v>
      </c>
      <c r="U159" s="51"/>
      <c r="V159" s="2120">
        <f t="shared" si="19"/>
        <v>0</v>
      </c>
      <c r="W159" s="43"/>
      <c r="X159" s="43"/>
      <c r="Y159" s="43"/>
      <c r="Z159" s="43"/>
    </row>
    <row r="160" spans="1:26">
      <c r="A160" s="88">
        <v>4360</v>
      </c>
      <c r="B160" s="1034" t="s">
        <v>664</v>
      </c>
      <c r="C160" s="1033"/>
      <c r="D160" s="1033"/>
      <c r="E160" s="1033"/>
      <c r="F160" s="1033"/>
      <c r="G160" s="1033"/>
      <c r="H160" s="1033"/>
      <c r="I160" s="1033"/>
      <c r="J160" s="1033"/>
      <c r="K160" s="1033"/>
      <c r="L160" s="90"/>
      <c r="M160" s="51"/>
      <c r="N160" s="113">
        <f t="shared" si="17"/>
        <v>4360</v>
      </c>
      <c r="O160" s="581"/>
      <c r="P160" s="576"/>
      <c r="Q160" s="589"/>
      <c r="R160" s="576"/>
      <c r="S160" s="583">
        <f t="shared" si="18"/>
        <v>0</v>
      </c>
      <c r="T160" s="580">
        <f>+IF(ABS(+O160+Q160)&lt;=ABS(P160+R160),-O160+P160-Q160+R160,0)</f>
        <v>0</v>
      </c>
      <c r="U160" s="51"/>
      <c r="V160" s="2119"/>
      <c r="W160" s="43"/>
      <c r="X160" s="43"/>
      <c r="Y160" s="43"/>
      <c r="Z160" s="43"/>
    </row>
    <row r="161" spans="1:26">
      <c r="A161" s="88">
        <v>4371</v>
      </c>
      <c r="B161" s="378" t="s">
        <v>36</v>
      </c>
      <c r="C161" s="1033"/>
      <c r="D161" s="1033"/>
      <c r="E161" s="1033"/>
      <c r="F161" s="1033"/>
      <c r="G161" s="1033"/>
      <c r="H161" s="1033"/>
      <c r="I161" s="1033"/>
      <c r="J161" s="1033"/>
      <c r="K161" s="1033"/>
      <c r="L161" s="90"/>
      <c r="M161" s="51"/>
      <c r="N161" s="113">
        <f t="shared" si="17"/>
        <v>4371</v>
      </c>
      <c r="O161" s="581"/>
      <c r="P161" s="582">
        <v>0</v>
      </c>
      <c r="Q161" s="589"/>
      <c r="R161" s="576"/>
      <c r="S161" s="583">
        <f t="shared" si="18"/>
        <v>0</v>
      </c>
      <c r="T161" s="584">
        <v>0</v>
      </c>
      <c r="U161" s="51"/>
      <c r="V161" s="2120">
        <f t="shared" ref="V161:V172" si="20">+IF(OR(ROUND(P161,2)+ROUND(R161,2)&gt;+ROUND(O161,2)+ROUND(Q161,2),+ABS(ROUND(P161,2)+ROUND(R161,2))&gt;+ABS(ROUND(O161,2)+ROUND(Q161,2))),+(ROUND(P161,2)+ROUND(R161,2))-(ROUND(O161,2)+ROUND(Q161,2)),0)</f>
        <v>0</v>
      </c>
      <c r="W161" s="43"/>
      <c r="X161" s="43"/>
      <c r="Y161" s="43"/>
      <c r="Z161" s="43"/>
    </row>
    <row r="162" spans="1:26">
      <c r="A162" s="88">
        <v>4372</v>
      </c>
      <c r="B162" s="378" t="s">
        <v>37</v>
      </c>
      <c r="C162" s="1033"/>
      <c r="D162" s="1033"/>
      <c r="E162" s="1033"/>
      <c r="F162" s="1033"/>
      <c r="G162" s="1033"/>
      <c r="H162" s="1033"/>
      <c r="I162" s="1033"/>
      <c r="J162" s="1033"/>
      <c r="K162" s="1033"/>
      <c r="L162" s="90"/>
      <c r="M162" s="51"/>
      <c r="N162" s="113">
        <f t="shared" si="17"/>
        <v>4372</v>
      </c>
      <c r="O162" s="581"/>
      <c r="P162" s="582">
        <v>0</v>
      </c>
      <c r="Q162" s="589"/>
      <c r="R162" s="576"/>
      <c r="S162" s="583">
        <f t="shared" si="18"/>
        <v>0</v>
      </c>
      <c r="T162" s="584">
        <v>0</v>
      </c>
      <c r="U162" s="51"/>
      <c r="V162" s="2120">
        <f t="shared" si="20"/>
        <v>0</v>
      </c>
      <c r="W162" s="43"/>
      <c r="X162" s="43"/>
      <c r="Y162" s="43"/>
      <c r="Z162" s="43"/>
    </row>
    <row r="163" spans="1:26">
      <c r="A163" s="88">
        <v>4373</v>
      </c>
      <c r="B163" s="378" t="s">
        <v>38</v>
      </c>
      <c r="C163" s="1033"/>
      <c r="D163" s="1033"/>
      <c r="E163" s="1033"/>
      <c r="F163" s="1033"/>
      <c r="G163" s="1033"/>
      <c r="H163" s="1033"/>
      <c r="I163" s="1033"/>
      <c r="J163" s="1033"/>
      <c r="K163" s="1033"/>
      <c r="L163" s="90"/>
      <c r="M163" s="51"/>
      <c r="N163" s="113">
        <f t="shared" si="17"/>
        <v>4373</v>
      </c>
      <c r="O163" s="581"/>
      <c r="P163" s="582">
        <v>0</v>
      </c>
      <c r="Q163" s="589"/>
      <c r="R163" s="576"/>
      <c r="S163" s="583">
        <f t="shared" si="18"/>
        <v>0</v>
      </c>
      <c r="T163" s="584">
        <v>0</v>
      </c>
      <c r="U163" s="51"/>
      <c r="V163" s="2120">
        <f t="shared" si="20"/>
        <v>0</v>
      </c>
      <c r="W163" s="43"/>
      <c r="X163" s="43"/>
      <c r="Y163" s="43"/>
      <c r="Z163" s="43"/>
    </row>
    <row r="164" spans="1:26">
      <c r="A164" s="88">
        <v>4374</v>
      </c>
      <c r="B164" s="378" t="s">
        <v>39</v>
      </c>
      <c r="C164" s="1033"/>
      <c r="D164" s="1033"/>
      <c r="E164" s="1033"/>
      <c r="F164" s="1033"/>
      <c r="G164" s="1033"/>
      <c r="H164" s="1033"/>
      <c r="I164" s="1033"/>
      <c r="J164" s="1033"/>
      <c r="K164" s="1033"/>
      <c r="L164" s="90"/>
      <c r="M164" s="51"/>
      <c r="N164" s="113">
        <f t="shared" si="17"/>
        <v>4374</v>
      </c>
      <c r="O164" s="581"/>
      <c r="P164" s="582">
        <v>0</v>
      </c>
      <c r="Q164" s="589"/>
      <c r="R164" s="576"/>
      <c r="S164" s="583">
        <f t="shared" si="18"/>
        <v>0</v>
      </c>
      <c r="T164" s="584">
        <v>0</v>
      </c>
      <c r="U164" s="51"/>
      <c r="V164" s="2120">
        <f t="shared" si="20"/>
        <v>0</v>
      </c>
      <c r="W164" s="43"/>
      <c r="X164" s="43"/>
      <c r="Y164" s="43"/>
      <c r="Z164" s="43"/>
    </row>
    <row r="165" spans="1:26">
      <c r="A165" s="88">
        <v>4375</v>
      </c>
      <c r="B165" s="378" t="s">
        <v>40</v>
      </c>
      <c r="C165" s="1033"/>
      <c r="D165" s="1033"/>
      <c r="E165" s="1033"/>
      <c r="F165" s="1033"/>
      <c r="G165" s="1033"/>
      <c r="H165" s="1033"/>
      <c r="I165" s="1033"/>
      <c r="J165" s="1033"/>
      <c r="K165" s="1033"/>
      <c r="L165" s="90"/>
      <c r="M165" s="51"/>
      <c r="N165" s="113">
        <f t="shared" si="17"/>
        <v>4375</v>
      </c>
      <c r="O165" s="581"/>
      <c r="P165" s="582">
        <v>0</v>
      </c>
      <c r="Q165" s="589"/>
      <c r="R165" s="576"/>
      <c r="S165" s="583">
        <f t="shared" si="18"/>
        <v>0</v>
      </c>
      <c r="T165" s="584">
        <v>0</v>
      </c>
      <c r="U165" s="51"/>
      <c r="V165" s="2120">
        <f t="shared" si="20"/>
        <v>0</v>
      </c>
      <c r="W165" s="43"/>
      <c r="X165" s="43"/>
      <c r="Y165" s="43"/>
      <c r="Z165" s="43"/>
    </row>
    <row r="166" spans="1:26">
      <c r="A166" s="88">
        <v>4376</v>
      </c>
      <c r="B166" s="378" t="s">
        <v>41</v>
      </c>
      <c r="C166" s="1033"/>
      <c r="D166" s="1033"/>
      <c r="E166" s="1033"/>
      <c r="F166" s="1033"/>
      <c r="G166" s="1033"/>
      <c r="H166" s="1033"/>
      <c r="I166" s="1033"/>
      <c r="J166" s="1033"/>
      <c r="K166" s="1033"/>
      <c r="L166" s="90"/>
      <c r="M166" s="51"/>
      <c r="N166" s="113">
        <f t="shared" si="17"/>
        <v>4376</v>
      </c>
      <c r="O166" s="581"/>
      <c r="P166" s="582">
        <v>0</v>
      </c>
      <c r="Q166" s="589"/>
      <c r="R166" s="576"/>
      <c r="S166" s="583">
        <f t="shared" si="18"/>
        <v>0</v>
      </c>
      <c r="T166" s="584">
        <v>0</v>
      </c>
      <c r="U166" s="51"/>
      <c r="V166" s="2120">
        <f t="shared" si="20"/>
        <v>0</v>
      </c>
      <c r="W166" s="43"/>
      <c r="X166" s="43"/>
      <c r="Y166" s="43"/>
      <c r="Z166" s="43"/>
    </row>
    <row r="167" spans="1:26">
      <c r="A167" s="88">
        <v>4379</v>
      </c>
      <c r="B167" s="378" t="s">
        <v>42</v>
      </c>
      <c r="C167" s="1033"/>
      <c r="D167" s="1033"/>
      <c r="E167" s="1033"/>
      <c r="F167" s="1033"/>
      <c r="G167" s="1033"/>
      <c r="H167" s="1033"/>
      <c r="I167" s="1033"/>
      <c r="J167" s="1033"/>
      <c r="K167" s="1033"/>
      <c r="L167" s="90"/>
      <c r="M167" s="51"/>
      <c r="N167" s="113">
        <f t="shared" si="17"/>
        <v>4379</v>
      </c>
      <c r="O167" s="581"/>
      <c r="P167" s="582">
        <v>0</v>
      </c>
      <c r="Q167" s="589"/>
      <c r="R167" s="576"/>
      <c r="S167" s="583">
        <f t="shared" si="18"/>
        <v>0</v>
      </c>
      <c r="T167" s="584">
        <v>0</v>
      </c>
      <c r="U167" s="51"/>
      <c r="V167" s="2120">
        <f t="shared" si="20"/>
        <v>0</v>
      </c>
      <c r="W167" s="43"/>
      <c r="X167" s="43"/>
      <c r="Y167" s="43"/>
      <c r="Z167" s="43"/>
    </row>
    <row r="168" spans="1:26">
      <c r="A168" s="88">
        <v>4381</v>
      </c>
      <c r="B168" s="378" t="s">
        <v>917</v>
      </c>
      <c r="C168" s="1033"/>
      <c r="D168" s="1033"/>
      <c r="E168" s="1033"/>
      <c r="F168" s="1033"/>
      <c r="G168" s="1033"/>
      <c r="H168" s="1033"/>
      <c r="I168" s="1033"/>
      <c r="J168" s="1033"/>
      <c r="K168" s="1033"/>
      <c r="L168" s="90"/>
      <c r="M168" s="51"/>
      <c r="N168" s="113">
        <f t="shared" si="17"/>
        <v>4381</v>
      </c>
      <c r="O168" s="581"/>
      <c r="P168" s="582">
        <v>0</v>
      </c>
      <c r="Q168" s="589"/>
      <c r="R168" s="576"/>
      <c r="S168" s="583">
        <f t="shared" si="18"/>
        <v>0</v>
      </c>
      <c r="T168" s="584">
        <v>0</v>
      </c>
      <c r="U168" s="51"/>
      <c r="V168" s="2120">
        <f t="shared" si="20"/>
        <v>0</v>
      </c>
      <c r="W168" s="43"/>
      <c r="X168" s="43"/>
      <c r="Y168" s="43"/>
      <c r="Z168" s="43"/>
    </row>
    <row r="169" spans="1:26">
      <c r="A169" s="88">
        <v>4382</v>
      </c>
      <c r="B169" s="378" t="s">
        <v>918</v>
      </c>
      <c r="C169" s="1033"/>
      <c r="D169" s="1033"/>
      <c r="E169" s="1033"/>
      <c r="F169" s="1033"/>
      <c r="G169" s="1033"/>
      <c r="H169" s="1033"/>
      <c r="I169" s="1033"/>
      <c r="J169" s="1033"/>
      <c r="K169" s="1033"/>
      <c r="L169" s="90"/>
      <c r="M169" s="51"/>
      <c r="N169" s="113">
        <f t="shared" si="17"/>
        <v>4382</v>
      </c>
      <c r="O169" s="581"/>
      <c r="P169" s="582">
        <v>0</v>
      </c>
      <c r="Q169" s="589"/>
      <c r="R169" s="576"/>
      <c r="S169" s="583">
        <f t="shared" si="18"/>
        <v>0</v>
      </c>
      <c r="T169" s="584">
        <v>0</v>
      </c>
      <c r="U169" s="51"/>
      <c r="V169" s="2120">
        <f t="shared" si="20"/>
        <v>0</v>
      </c>
      <c r="W169" s="43"/>
      <c r="X169" s="43"/>
      <c r="Y169" s="43"/>
      <c r="Z169" s="43"/>
    </row>
    <row r="170" spans="1:26">
      <c r="A170" s="88">
        <v>4383</v>
      </c>
      <c r="B170" s="378" t="s">
        <v>919</v>
      </c>
      <c r="C170" s="1033"/>
      <c r="D170" s="1033"/>
      <c r="E170" s="1033"/>
      <c r="F170" s="1033"/>
      <c r="G170" s="1033"/>
      <c r="H170" s="1033"/>
      <c r="I170" s="1033"/>
      <c r="J170" s="1033"/>
      <c r="K170" s="1033"/>
      <c r="L170" s="90"/>
      <c r="M170" s="51"/>
      <c r="N170" s="113">
        <f t="shared" si="17"/>
        <v>4383</v>
      </c>
      <c r="O170" s="581"/>
      <c r="P170" s="582">
        <v>0</v>
      </c>
      <c r="Q170" s="589"/>
      <c r="R170" s="576"/>
      <c r="S170" s="583">
        <f t="shared" si="18"/>
        <v>0</v>
      </c>
      <c r="T170" s="584">
        <v>0</v>
      </c>
      <c r="U170" s="51"/>
      <c r="V170" s="2120">
        <f t="shared" si="20"/>
        <v>0</v>
      </c>
      <c r="W170" s="43"/>
      <c r="X170" s="43"/>
      <c r="Y170" s="43"/>
      <c r="Z170" s="43"/>
    </row>
    <row r="171" spans="1:26">
      <c r="A171" s="88">
        <v>4384</v>
      </c>
      <c r="B171" s="378" t="s">
        <v>920</v>
      </c>
      <c r="C171" s="1033"/>
      <c r="D171" s="1033"/>
      <c r="E171" s="1033"/>
      <c r="F171" s="1033"/>
      <c r="G171" s="1033"/>
      <c r="H171" s="1033"/>
      <c r="I171" s="1033"/>
      <c r="J171" s="1033"/>
      <c r="K171" s="1033"/>
      <c r="L171" s="90"/>
      <c r="M171" s="51"/>
      <c r="N171" s="113">
        <f t="shared" si="17"/>
        <v>4384</v>
      </c>
      <c r="O171" s="581"/>
      <c r="P171" s="582">
        <v>0</v>
      </c>
      <c r="Q171" s="589"/>
      <c r="R171" s="576"/>
      <c r="S171" s="583">
        <f t="shared" si="18"/>
        <v>0</v>
      </c>
      <c r="T171" s="584">
        <v>0</v>
      </c>
      <c r="U171" s="51"/>
      <c r="V171" s="2120">
        <f t="shared" si="20"/>
        <v>0</v>
      </c>
      <c r="W171" s="43"/>
      <c r="X171" s="43"/>
      <c r="Y171" s="43"/>
      <c r="Z171" s="43"/>
    </row>
    <row r="172" spans="1:26">
      <c r="A172" s="88">
        <v>4385</v>
      </c>
      <c r="B172" s="378" t="s">
        <v>921</v>
      </c>
      <c r="C172" s="1033"/>
      <c r="D172" s="1033"/>
      <c r="E172" s="1033"/>
      <c r="F172" s="1033"/>
      <c r="G172" s="1033"/>
      <c r="H172" s="1033"/>
      <c r="I172" s="1033"/>
      <c r="J172" s="1033"/>
      <c r="K172" s="1033"/>
      <c r="L172" s="90"/>
      <c r="M172" s="51"/>
      <c r="N172" s="113">
        <f t="shared" si="17"/>
        <v>4385</v>
      </c>
      <c r="O172" s="581"/>
      <c r="P172" s="582">
        <v>0</v>
      </c>
      <c r="Q172" s="589"/>
      <c r="R172" s="576"/>
      <c r="S172" s="583">
        <f t="shared" si="18"/>
        <v>0</v>
      </c>
      <c r="T172" s="584">
        <v>0</v>
      </c>
      <c r="U172" s="51"/>
      <c r="V172" s="2120">
        <f t="shared" si="20"/>
        <v>0</v>
      </c>
      <c r="W172" s="43"/>
      <c r="X172" s="43"/>
      <c r="Y172" s="43"/>
      <c r="Z172" s="43"/>
    </row>
    <row r="173" spans="1:26">
      <c r="A173" s="88">
        <v>4393</v>
      </c>
      <c r="B173" s="1033" t="s">
        <v>922</v>
      </c>
      <c r="C173" s="1033"/>
      <c r="D173" s="1033"/>
      <c r="E173" s="1033"/>
      <c r="F173" s="1033"/>
      <c r="G173" s="1033"/>
      <c r="H173" s="1033"/>
      <c r="I173" s="1033"/>
      <c r="J173" s="1033"/>
      <c r="K173" s="1033"/>
      <c r="L173" s="90"/>
      <c r="M173" s="51"/>
      <c r="N173" s="113">
        <f t="shared" ref="N173:N221" si="21">+A173</f>
        <v>4393</v>
      </c>
      <c r="O173" s="575">
        <v>0</v>
      </c>
      <c r="P173" s="576"/>
      <c r="Q173" s="589"/>
      <c r="R173" s="324"/>
      <c r="S173" s="579">
        <v>0</v>
      </c>
      <c r="T173" s="580">
        <f>+IF(ABS(+O173+Q173)&lt;=ABS(P173+R173),-O173+P173-Q173+R173,0)</f>
        <v>0</v>
      </c>
      <c r="U173" s="51"/>
      <c r="V173" s="2119">
        <f>+IF(OR(+ROUND(O173,2)+ROUND(Q173,2)&gt;ROUND(P173,2)+ROUND(R173,2),+ABS(ROUND(O173,2)+ROUND(Q173,2))&gt;+ABS(ROUND(P173,2)+ROUND(R173,2))),+(ROUND(O173,2)+ROUND(Q173,2))-(ROUND(P173,2)+ROUND(R173,2)),0)</f>
        <v>0</v>
      </c>
      <c r="W173" s="43"/>
      <c r="X173" s="43"/>
      <c r="Y173" s="43"/>
      <c r="Z173" s="43"/>
    </row>
    <row r="174" spans="1:26">
      <c r="A174" s="88">
        <v>4397</v>
      </c>
      <c r="B174" s="1033" t="s">
        <v>923</v>
      </c>
      <c r="C174" s="1033"/>
      <c r="D174" s="1033"/>
      <c r="E174" s="1033"/>
      <c r="F174" s="1033"/>
      <c r="G174" s="1033"/>
      <c r="H174" s="1033"/>
      <c r="I174" s="1033"/>
      <c r="J174" s="1033"/>
      <c r="K174" s="1033"/>
      <c r="L174" s="90"/>
      <c r="M174" s="51"/>
      <c r="N174" s="113">
        <f t="shared" si="21"/>
        <v>4397</v>
      </c>
      <c r="O174" s="575">
        <v>0</v>
      </c>
      <c r="P174" s="576"/>
      <c r="Q174" s="589"/>
      <c r="R174" s="324"/>
      <c r="S174" s="579">
        <v>0</v>
      </c>
      <c r="T174" s="580">
        <f>+IF(ABS(+O174+Q174)&lt;=ABS(P174+R174),-O174+P174-Q174+R174,0)</f>
        <v>0</v>
      </c>
      <c r="U174" s="51"/>
      <c r="V174" s="2119">
        <f>+IF(OR(+ROUND(O174,2)+ROUND(Q174,2)&gt;ROUND(P174,2)+ROUND(R174,2),+ABS(ROUND(O174,2)+ROUND(Q174,2))&gt;+ABS(ROUND(P174,2)+ROUND(R174,2))),+(ROUND(O174,2)+ROUND(Q174,2))-(ROUND(P174,2)+ROUND(R174,2)),0)</f>
        <v>0</v>
      </c>
      <c r="W174" s="43"/>
      <c r="X174" s="43"/>
      <c r="Y174" s="43"/>
      <c r="Z174" s="43"/>
    </row>
    <row r="175" spans="1:26">
      <c r="A175" s="88">
        <v>4398</v>
      </c>
      <c r="B175" s="1033" t="s">
        <v>924</v>
      </c>
      <c r="C175" s="1033"/>
      <c r="D175" s="1033"/>
      <c r="E175" s="1033"/>
      <c r="F175" s="1033"/>
      <c r="G175" s="1033"/>
      <c r="H175" s="1033"/>
      <c r="I175" s="1033"/>
      <c r="J175" s="1033"/>
      <c r="K175" s="1033"/>
      <c r="L175" s="90"/>
      <c r="M175" s="51"/>
      <c r="N175" s="113">
        <f t="shared" si="21"/>
        <v>4398</v>
      </c>
      <c r="O175" s="575">
        <v>0</v>
      </c>
      <c r="P175" s="576"/>
      <c r="Q175" s="589"/>
      <c r="R175" s="324"/>
      <c r="S175" s="579">
        <v>0</v>
      </c>
      <c r="T175" s="580">
        <f>+IF(ABS(+O175+Q175)&lt;=ABS(P175+R175),-O175+P175-Q175+R175,0)</f>
        <v>0</v>
      </c>
      <c r="U175" s="51"/>
      <c r="V175" s="2119">
        <f>+IF(OR(+ROUND(O175,2)+ROUND(Q175,2)&gt;ROUND(P175,2)+ROUND(R175,2),+ABS(ROUND(O175,2)+ROUND(Q175,2))&gt;+ABS(ROUND(P175,2)+ROUND(R175,2))),+(ROUND(O175,2)+ROUND(Q175,2))-(ROUND(P175,2)+ROUND(R175,2)),0)</f>
        <v>0</v>
      </c>
      <c r="W175" s="43"/>
      <c r="X175" s="43"/>
      <c r="Y175" s="43"/>
      <c r="Z175" s="43"/>
    </row>
    <row r="176" spans="1:26">
      <c r="A176" s="88">
        <v>4500</v>
      </c>
      <c r="B176" s="1033" t="s">
        <v>925</v>
      </c>
      <c r="C176" s="1033"/>
      <c r="D176" s="1033"/>
      <c r="E176" s="1033"/>
      <c r="F176" s="1033"/>
      <c r="G176" s="1033"/>
      <c r="H176" s="1033"/>
      <c r="I176" s="1033"/>
      <c r="J176" s="1033"/>
      <c r="K176" s="1033"/>
      <c r="L176" s="90"/>
      <c r="M176" s="51"/>
      <c r="N176" s="113">
        <f t="shared" si="21"/>
        <v>4500</v>
      </c>
      <c r="O176" s="581">
        <v>0</v>
      </c>
      <c r="P176" s="576">
        <v>0</v>
      </c>
      <c r="Q176" s="589">
        <v>0</v>
      </c>
      <c r="R176" s="576">
        <v>0</v>
      </c>
      <c r="S176" s="583">
        <f>+IF(ABS(+O176+Q176)&gt;=ABS(P176+R176),+O176-P176+Q176-R176,0)</f>
        <v>0</v>
      </c>
      <c r="T176" s="580">
        <f>+IF(ABS(+O176+Q176)&lt;=ABS(P176+R176),-O176+P176-Q176+R176,0)</f>
        <v>0</v>
      </c>
      <c r="U176" s="51"/>
      <c r="V176" s="2119"/>
      <c r="W176" s="43"/>
      <c r="X176" s="43"/>
      <c r="Y176" s="43"/>
      <c r="Z176" s="43"/>
    </row>
    <row r="177" spans="1:26" ht="15.75" customHeight="1">
      <c r="A177" s="88">
        <v>4501</v>
      </c>
      <c r="B177" s="1033" t="s">
        <v>226</v>
      </c>
      <c r="C177" s="88"/>
      <c r="D177" s="1041"/>
      <c r="E177" s="1041"/>
      <c r="F177" s="1041"/>
      <c r="G177" s="1041"/>
      <c r="H177" s="1041"/>
      <c r="I177" s="1041"/>
      <c r="J177" s="1041"/>
      <c r="K177" s="1041"/>
      <c r="L177" s="590"/>
      <c r="M177" s="51"/>
      <c r="N177" s="113">
        <f t="shared" si="21"/>
        <v>4501</v>
      </c>
      <c r="O177" s="581"/>
      <c r="P177" s="576"/>
      <c r="Q177" s="589"/>
      <c r="R177" s="576"/>
      <c r="S177" s="583">
        <f>+IF(ABS(+O177+Q177)&gt;=ABS(P177+R177),+O177-P177+Q177-R177,0)</f>
        <v>0</v>
      </c>
      <c r="T177" s="580">
        <f>+IF(ABS(+O177+Q177)&lt;=ABS(P177+R177),-O177+P177-Q177+R177,0)</f>
        <v>0</v>
      </c>
      <c r="U177" s="51"/>
      <c r="V177" s="2119"/>
      <c r="W177" s="43"/>
      <c r="X177" s="43"/>
      <c r="Y177" s="43"/>
      <c r="Z177" s="43"/>
    </row>
    <row r="178" spans="1:26" ht="15.75" customHeight="1">
      <c r="A178" s="88">
        <v>4502</v>
      </c>
      <c r="B178" s="1033" t="s">
        <v>227</v>
      </c>
      <c r="C178" s="88"/>
      <c r="D178" s="1041"/>
      <c r="E178" s="1041"/>
      <c r="F178" s="1041"/>
      <c r="G178" s="1041"/>
      <c r="H178" s="1041"/>
      <c r="I178" s="1041"/>
      <c r="J178" s="1041"/>
      <c r="K178" s="1041"/>
      <c r="L178" s="590"/>
      <c r="M178" s="51"/>
      <c r="N178" s="113">
        <f t="shared" si="21"/>
        <v>4502</v>
      </c>
      <c r="O178" s="575">
        <v>0</v>
      </c>
      <c r="P178" s="582">
        <v>0</v>
      </c>
      <c r="Q178" s="579">
        <v>0</v>
      </c>
      <c r="R178" s="582">
        <v>0</v>
      </c>
      <c r="S178" s="579">
        <v>0</v>
      </c>
      <c r="T178" s="584">
        <v>0</v>
      </c>
      <c r="U178" s="51"/>
      <c r="V178" s="2125">
        <f>+IF(OR(O178&lt;&gt;0,P178&lt;&gt;0,Q178&lt;&gt;0,R178&lt;&gt;0,S178&lt;&gt;0,T178&lt;&gt;0),+IF(ABS(O178+Q178)-ABS(P178+R178)&lt;&gt;0,ABS(O178+Q178)-ABS(P178+R178),1),0)</f>
        <v>0</v>
      </c>
      <c r="W178" s="43"/>
      <c r="X178" s="43"/>
      <c r="Y178" s="43"/>
      <c r="Z178" s="43"/>
    </row>
    <row r="179" spans="1:26" ht="15.75" customHeight="1">
      <c r="A179" s="88">
        <v>4503</v>
      </c>
      <c r="B179" s="1033" t="s">
        <v>228</v>
      </c>
      <c r="C179" s="88"/>
      <c r="D179" s="1041"/>
      <c r="E179" s="1041"/>
      <c r="F179" s="1041"/>
      <c r="G179" s="1041"/>
      <c r="H179" s="1041"/>
      <c r="I179" s="1041"/>
      <c r="J179" s="1041"/>
      <c r="K179" s="1041"/>
      <c r="L179" s="590"/>
      <c r="M179" s="51"/>
      <c r="N179" s="113">
        <f t="shared" si="21"/>
        <v>4503</v>
      </c>
      <c r="O179" s="581"/>
      <c r="P179" s="576"/>
      <c r="Q179" s="589"/>
      <c r="R179" s="576"/>
      <c r="S179" s="583">
        <f>+IF(ABS(+O179+Q179)&gt;=ABS(P179+R179),+O179-P179+Q179-R179,0)</f>
        <v>0</v>
      </c>
      <c r="T179" s="580">
        <f t="shared" ref="T179:T184" si="22">+IF(ABS(+O179+Q179)&lt;=ABS(P179+R179),-O179+P179-Q179+R179,0)</f>
        <v>0</v>
      </c>
      <c r="U179" s="51"/>
      <c r="V179" s="2119"/>
      <c r="W179" s="43"/>
      <c r="X179" s="43"/>
      <c r="Y179" s="43"/>
      <c r="Z179" s="43"/>
    </row>
    <row r="180" spans="1:26" ht="15.75" customHeight="1">
      <c r="A180" s="88">
        <v>4510</v>
      </c>
      <c r="B180" s="1033" t="s">
        <v>229</v>
      </c>
      <c r="C180" s="88"/>
      <c r="D180" s="1038"/>
      <c r="E180" s="1038"/>
      <c r="F180" s="1038"/>
      <c r="G180" s="1038"/>
      <c r="H180" s="1038"/>
      <c r="I180" s="1038"/>
      <c r="J180" s="1038"/>
      <c r="K180" s="1038"/>
      <c r="L180" s="590"/>
      <c r="M180" s="51"/>
      <c r="N180" s="113">
        <f t="shared" si="21"/>
        <v>4510</v>
      </c>
      <c r="O180" s="581">
        <v>0</v>
      </c>
      <c r="P180" s="576">
        <v>0</v>
      </c>
      <c r="Q180" s="589">
        <v>0</v>
      </c>
      <c r="R180" s="576">
        <v>0</v>
      </c>
      <c r="S180" s="583">
        <f>+IF(ABS(+O180+Q180)&gt;=ABS(P180+R180),+O180-P180+Q180-R180,0)</f>
        <v>0</v>
      </c>
      <c r="T180" s="580">
        <f t="shared" si="22"/>
        <v>0</v>
      </c>
      <c r="U180" s="51"/>
      <c r="V180" s="2119"/>
      <c r="W180" s="43"/>
      <c r="X180" s="43"/>
      <c r="Y180" s="43"/>
      <c r="Z180" s="43"/>
    </row>
    <row r="181" spans="1:26">
      <c r="A181" s="88">
        <v>4511</v>
      </c>
      <c r="B181" s="378" t="s">
        <v>230</v>
      </c>
      <c r="C181" s="1033"/>
      <c r="D181" s="1033"/>
      <c r="E181" s="1033"/>
      <c r="F181" s="1033"/>
      <c r="G181" s="1033"/>
      <c r="H181" s="1033"/>
      <c r="I181" s="1033"/>
      <c r="J181" s="1033"/>
      <c r="K181" s="1033"/>
      <c r="L181" s="90"/>
      <c r="M181" s="51"/>
      <c r="N181" s="113">
        <f t="shared" si="21"/>
        <v>4511</v>
      </c>
      <c r="O181" s="581">
        <v>0</v>
      </c>
      <c r="P181" s="576">
        <v>0</v>
      </c>
      <c r="Q181" s="589">
        <v>0</v>
      </c>
      <c r="R181" s="576">
        <v>0</v>
      </c>
      <c r="S181" s="583">
        <f>+IF(ABS(+O181+Q181)&gt;=ABS(P181+R181),+O181-P181+Q181-R181,0)</f>
        <v>0</v>
      </c>
      <c r="T181" s="580">
        <f t="shared" si="22"/>
        <v>0</v>
      </c>
      <c r="U181" s="51"/>
      <c r="V181" s="2119"/>
      <c r="W181" s="43"/>
      <c r="X181" s="43"/>
      <c r="Y181" s="43"/>
      <c r="Z181" s="43"/>
    </row>
    <row r="182" spans="1:26">
      <c r="A182" s="88">
        <v>4512</v>
      </c>
      <c r="B182" s="1042" t="s">
        <v>231</v>
      </c>
      <c r="C182" s="1033"/>
      <c r="D182" s="1033"/>
      <c r="E182" s="1033"/>
      <c r="F182" s="1033"/>
      <c r="G182" s="1033"/>
      <c r="H182" s="1033"/>
      <c r="I182" s="1033"/>
      <c r="J182" s="1033"/>
      <c r="K182" s="1033"/>
      <c r="L182" s="90"/>
      <c r="M182" s="51"/>
      <c r="N182" s="113">
        <f t="shared" si="21"/>
        <v>4512</v>
      </c>
      <c r="O182" s="581">
        <v>0</v>
      </c>
      <c r="P182" s="576">
        <v>0</v>
      </c>
      <c r="Q182" s="589">
        <v>0</v>
      </c>
      <c r="R182" s="576">
        <v>0</v>
      </c>
      <c r="S182" s="583">
        <f>+IF(ABS(+O182+Q182)&gt;=ABS(P182+R182),+O182-P182+Q182-R182,0)</f>
        <v>0</v>
      </c>
      <c r="T182" s="580">
        <f t="shared" si="22"/>
        <v>0</v>
      </c>
      <c r="U182" s="51"/>
      <c r="V182" s="2119"/>
      <c r="W182" s="43"/>
      <c r="X182" s="43"/>
      <c r="Y182" s="43"/>
      <c r="Z182" s="43"/>
    </row>
    <row r="183" spans="1:26" ht="15.75" customHeight="1">
      <c r="A183" s="88">
        <v>4518</v>
      </c>
      <c r="B183" s="1042" t="s">
        <v>233</v>
      </c>
      <c r="C183" s="1038"/>
      <c r="D183" s="1038"/>
      <c r="E183" s="1038"/>
      <c r="F183" s="1038"/>
      <c r="G183" s="1038"/>
      <c r="H183" s="1038"/>
      <c r="I183" s="1038"/>
      <c r="J183" s="1038"/>
      <c r="K183" s="1038"/>
      <c r="L183" s="590"/>
      <c r="M183" s="51"/>
      <c r="N183" s="113">
        <f t="shared" si="21"/>
        <v>4518</v>
      </c>
      <c r="O183" s="581"/>
      <c r="P183" s="576"/>
      <c r="Q183" s="589"/>
      <c r="R183" s="576"/>
      <c r="S183" s="583">
        <f>+IF(ABS(+O183+Q183)&gt;=ABS(P183+R183),+O183-P183+Q183-R183,0)</f>
        <v>0</v>
      </c>
      <c r="T183" s="580">
        <f t="shared" si="22"/>
        <v>0</v>
      </c>
      <c r="U183" s="51"/>
      <c r="V183" s="2119"/>
      <c r="W183" s="43"/>
      <c r="X183" s="43"/>
      <c r="Y183" s="43"/>
      <c r="Z183" s="43"/>
    </row>
    <row r="184" spans="1:26">
      <c r="A184" s="88">
        <v>4520</v>
      </c>
      <c r="B184" s="1042" t="s">
        <v>234</v>
      </c>
      <c r="C184" s="1033"/>
      <c r="D184" s="1033"/>
      <c r="E184" s="1033"/>
      <c r="F184" s="1033"/>
      <c r="G184" s="1033"/>
      <c r="H184" s="1033"/>
      <c r="I184" s="1033"/>
      <c r="J184" s="1033"/>
      <c r="K184" s="1033"/>
      <c r="L184" s="574"/>
      <c r="M184" s="51"/>
      <c r="N184" s="113">
        <f t="shared" si="21"/>
        <v>4520</v>
      </c>
      <c r="O184" s="575">
        <v>0</v>
      </c>
      <c r="P184" s="576"/>
      <c r="Q184" s="589"/>
      <c r="R184" s="324"/>
      <c r="S184" s="579">
        <v>0</v>
      </c>
      <c r="T184" s="580">
        <f t="shared" si="22"/>
        <v>0</v>
      </c>
      <c r="U184" s="51"/>
      <c r="V184" s="2119">
        <f>+IF(OR(+ROUND(O184,2)+ROUND(Q184,2)&gt;ROUND(P184,2)+ROUND(R184,2),+ABS(ROUND(O184,2)+ROUND(Q184,2))&gt;+ABS(ROUND(P184,2)+ROUND(R184,2))),+(ROUND(O184,2)+ROUND(Q184,2))-(ROUND(P184,2)+ROUND(R184,2)),0)</f>
        <v>0</v>
      </c>
      <c r="W184" s="43"/>
      <c r="X184" s="43"/>
      <c r="Y184" s="43"/>
      <c r="Z184" s="43"/>
    </row>
    <row r="185" spans="1:26">
      <c r="A185" s="88">
        <v>4522</v>
      </c>
      <c r="B185" s="1033" t="s">
        <v>235</v>
      </c>
      <c r="C185" s="1033"/>
      <c r="D185" s="1033"/>
      <c r="E185" s="1033"/>
      <c r="F185" s="1033"/>
      <c r="G185" s="1033"/>
      <c r="H185" s="1033"/>
      <c r="I185" s="1033"/>
      <c r="J185" s="1033"/>
      <c r="K185" s="1033"/>
      <c r="L185" s="90"/>
      <c r="M185" s="51"/>
      <c r="N185" s="113">
        <f t="shared" si="21"/>
        <v>4522</v>
      </c>
      <c r="O185" s="581"/>
      <c r="P185" s="582">
        <v>0</v>
      </c>
      <c r="Q185" s="589"/>
      <c r="R185" s="576"/>
      <c r="S185" s="583">
        <f>+IF(ABS(+O185+Q185)&gt;=ABS(P185+R185),+O185-P185+Q185-R185,0)</f>
        <v>0</v>
      </c>
      <c r="T185" s="584">
        <v>0</v>
      </c>
      <c r="U185" s="51"/>
      <c r="V185" s="2120">
        <f>+IF(OR(ROUND(P185,2)+ROUND(R185,2)&gt;+ROUND(O185,2)+ROUND(Q185,2),+ABS(ROUND(P185,2)+ROUND(R185,2))&gt;+ABS(ROUND(O185,2)+ROUND(Q185,2))),+(ROUND(P185,2)+ROUND(R185,2))-(ROUND(O185,2)+ROUND(Q185,2)),0)</f>
        <v>0</v>
      </c>
      <c r="W185" s="43"/>
      <c r="X185" s="43"/>
      <c r="Y185" s="43"/>
      <c r="Z185" s="43"/>
    </row>
    <row r="186" spans="1:26">
      <c r="A186" s="88">
        <v>4523</v>
      </c>
      <c r="B186" s="1033" t="s">
        <v>236</v>
      </c>
      <c r="C186" s="1033"/>
      <c r="D186" s="1033"/>
      <c r="E186" s="1033"/>
      <c r="F186" s="1033"/>
      <c r="G186" s="1033"/>
      <c r="H186" s="1033"/>
      <c r="I186" s="1033"/>
      <c r="J186" s="1033"/>
      <c r="K186" s="1033"/>
      <c r="L186" s="574"/>
      <c r="M186" s="51"/>
      <c r="N186" s="113">
        <f t="shared" si="21"/>
        <v>4523</v>
      </c>
      <c r="O186" s="575">
        <v>0</v>
      </c>
      <c r="P186" s="576"/>
      <c r="Q186" s="589"/>
      <c r="R186" s="324"/>
      <c r="S186" s="579">
        <v>0</v>
      </c>
      <c r="T186" s="580">
        <f>+IF(ABS(+O186+Q186)&lt;=ABS(P186+R186),-O186+P186-Q186+R186,0)</f>
        <v>0</v>
      </c>
      <c r="U186" s="51"/>
      <c r="V186" s="2119">
        <f>+IF(OR(+ROUND(O186,2)+ROUND(Q186,2)&gt;ROUND(P186,2)+ROUND(R186,2),+ABS(ROUND(O186,2)+ROUND(Q186,2))&gt;+ABS(ROUND(P186,2)+ROUND(R186,2))),+(ROUND(O186,2)+ROUND(Q186,2))-(ROUND(P186,2)+ROUND(R186,2)),0)</f>
        <v>0</v>
      </c>
      <c r="W186" s="43"/>
      <c r="X186" s="43"/>
      <c r="Y186" s="43"/>
      <c r="Z186" s="43"/>
    </row>
    <row r="187" spans="1:26">
      <c r="A187" s="88">
        <v>4544</v>
      </c>
      <c r="B187" s="1033" t="s">
        <v>862</v>
      </c>
      <c r="C187" s="1033"/>
      <c r="D187" s="1033"/>
      <c r="E187" s="1033"/>
      <c r="F187" s="1033"/>
      <c r="G187" s="1033"/>
      <c r="H187" s="1033"/>
      <c r="I187" s="1033"/>
      <c r="J187" s="1033"/>
      <c r="K187" s="1033"/>
      <c r="L187" s="574"/>
      <c r="M187" s="51"/>
      <c r="N187" s="113">
        <f t="shared" si="21"/>
        <v>4544</v>
      </c>
      <c r="O187" s="575">
        <v>0</v>
      </c>
      <c r="P187" s="576">
        <v>0</v>
      </c>
      <c r="Q187" s="589">
        <v>0</v>
      </c>
      <c r="R187" s="324">
        <v>0</v>
      </c>
      <c r="S187" s="579">
        <v>0</v>
      </c>
      <c r="T187" s="580">
        <f>+IF(ABS(+O187+Q187)&lt;=ABS(P187+R187),-O187+P187-Q187+R187,0)</f>
        <v>0</v>
      </c>
      <c r="U187" s="51"/>
      <c r="V187" s="2119">
        <f>+IF(OR(+ROUND(O187,2)+ROUND(Q187,2)&gt;ROUND(P187,2)+ROUND(R187,2),+ABS(ROUND(O187,2)+ROUND(Q187,2))&gt;+ABS(ROUND(P187,2)+ROUND(R187,2))),+(ROUND(O187,2)+ROUND(Q187,2))-(ROUND(P187,2)+ROUND(R187,2)),0)</f>
        <v>0</v>
      </c>
      <c r="W187" s="43"/>
      <c r="X187" s="43"/>
      <c r="Y187" s="43"/>
      <c r="Z187" s="43"/>
    </row>
    <row r="188" spans="1:26">
      <c r="A188" s="88">
        <v>4545</v>
      </c>
      <c r="B188" s="1033" t="s">
        <v>863</v>
      </c>
      <c r="C188" s="1033"/>
      <c r="D188" s="1033"/>
      <c r="E188" s="1033"/>
      <c r="F188" s="1033"/>
      <c r="G188" s="1033"/>
      <c r="H188" s="1033"/>
      <c r="I188" s="1033"/>
      <c r="J188" s="1033"/>
      <c r="K188" s="1033"/>
      <c r="L188" s="574"/>
      <c r="M188" s="51"/>
      <c r="N188" s="113">
        <f t="shared" si="21"/>
        <v>4545</v>
      </c>
      <c r="O188" s="581"/>
      <c r="P188" s="582">
        <v>0</v>
      </c>
      <c r="Q188" s="589"/>
      <c r="R188" s="576"/>
      <c r="S188" s="583">
        <f>+IF(ABS(+O188+Q188)&gt;=ABS(P188+R188),+O188-P188+Q188-R188,0)</f>
        <v>0</v>
      </c>
      <c r="T188" s="584">
        <v>0</v>
      </c>
      <c r="U188" s="51"/>
      <c r="V188" s="2120">
        <f>+IF(OR(ROUND(P188,2)+ROUND(R188,2)&gt;+ROUND(O188,2)+ROUND(Q188,2),+ABS(ROUND(P188,2)+ROUND(R188,2))&gt;+ABS(ROUND(O188,2)+ROUND(Q188,2))),+(ROUND(P188,2)+ROUND(R188,2))-(ROUND(O188,2)+ROUND(Q188,2)),0)</f>
        <v>0</v>
      </c>
      <c r="W188" s="43"/>
      <c r="X188" s="43"/>
      <c r="Y188" s="43"/>
      <c r="Z188" s="43"/>
    </row>
    <row r="189" spans="1:26">
      <c r="A189" s="88">
        <v>4547</v>
      </c>
      <c r="B189" s="1033" t="s">
        <v>864</v>
      </c>
      <c r="C189" s="1033"/>
      <c r="D189" s="1033"/>
      <c r="E189" s="1033"/>
      <c r="F189" s="1033"/>
      <c r="G189" s="1033"/>
      <c r="H189" s="1033"/>
      <c r="I189" s="1033"/>
      <c r="J189" s="1033"/>
      <c r="K189" s="1033"/>
      <c r="L189" s="574"/>
      <c r="M189" s="51"/>
      <c r="N189" s="113">
        <f t="shared" si="21"/>
        <v>4547</v>
      </c>
      <c r="O189" s="581"/>
      <c r="P189" s="582">
        <v>0</v>
      </c>
      <c r="Q189" s="589"/>
      <c r="R189" s="576"/>
      <c r="S189" s="583">
        <f>+IF(ABS(+O189+Q189)&gt;=ABS(P189+R189),+O189-P189+Q189-R189,0)</f>
        <v>0</v>
      </c>
      <c r="T189" s="584">
        <v>0</v>
      </c>
      <c r="U189" s="51"/>
      <c r="V189" s="2120">
        <f>+IF(OR(ROUND(P189,2)+ROUND(R189,2)&gt;+ROUND(O189,2)+ROUND(Q189,2),+ABS(ROUND(P189,2)+ROUND(R189,2))&gt;+ABS(ROUND(O189,2)+ROUND(Q189,2))),+(ROUND(P189,2)+ROUND(R189,2))-(ROUND(O189,2)+ROUND(Q189,2)),0)</f>
        <v>0</v>
      </c>
      <c r="W189" s="43"/>
      <c r="X189" s="43"/>
      <c r="Y189" s="43"/>
      <c r="Z189" s="43"/>
    </row>
    <row r="190" spans="1:26">
      <c r="A190" s="88">
        <v>4548</v>
      </c>
      <c r="B190" s="378" t="s">
        <v>865</v>
      </c>
      <c r="C190" s="1033"/>
      <c r="D190" s="1033"/>
      <c r="E190" s="1033"/>
      <c r="F190" s="1033"/>
      <c r="G190" s="1033"/>
      <c r="H190" s="1033"/>
      <c r="I190" s="1033"/>
      <c r="J190" s="1033"/>
      <c r="K190" s="1033"/>
      <c r="L190" s="90"/>
      <c r="M190" s="51"/>
      <c r="N190" s="113">
        <f t="shared" si="21"/>
        <v>4548</v>
      </c>
      <c r="O190" s="575">
        <v>0</v>
      </c>
      <c r="P190" s="576"/>
      <c r="Q190" s="589"/>
      <c r="R190" s="324"/>
      <c r="S190" s="579">
        <v>0</v>
      </c>
      <c r="T190" s="580">
        <f t="shared" ref="T190:T195" si="23">+IF(ABS(+O190+Q190)&lt;=ABS(P190+R190),-O190+P190-Q190+R190,0)</f>
        <v>0</v>
      </c>
      <c r="U190" s="51"/>
      <c r="V190" s="2119">
        <f>+IF(OR(+ROUND(O190,2)+ROUND(Q190,2)&gt;ROUND(P190,2)+ROUND(R190,2),+ABS(ROUND(O190,2)+ROUND(Q190,2))&gt;+ABS(ROUND(P190,2)+ROUND(R190,2))),+(ROUND(O190,2)+ROUND(Q190,2))-(ROUND(P190,2)+ROUND(R190,2)),0)</f>
        <v>0</v>
      </c>
      <c r="W190" s="43"/>
      <c r="X190" s="43"/>
      <c r="Y190" s="43"/>
      <c r="Z190" s="43"/>
    </row>
    <row r="191" spans="1:26">
      <c r="A191" s="88">
        <v>4555</v>
      </c>
      <c r="B191" s="378" t="s">
        <v>866</v>
      </c>
      <c r="C191" s="1033"/>
      <c r="D191" s="1033"/>
      <c r="E191" s="1033"/>
      <c r="F191" s="1033"/>
      <c r="G191" s="1033"/>
      <c r="H191" s="1033"/>
      <c r="I191" s="1033"/>
      <c r="J191" s="1033"/>
      <c r="K191" s="1033"/>
      <c r="L191" s="90"/>
      <c r="M191" s="51"/>
      <c r="N191" s="113">
        <f t="shared" si="21"/>
        <v>4555</v>
      </c>
      <c r="O191" s="581">
        <v>0</v>
      </c>
      <c r="P191" s="576">
        <v>0</v>
      </c>
      <c r="Q191" s="589">
        <v>0</v>
      </c>
      <c r="R191" s="576">
        <v>0</v>
      </c>
      <c r="S191" s="583">
        <f>+IF(ABS(+O191+Q191)&gt;=ABS(P191+R191),+O191-P191+Q191-R191,0)</f>
        <v>0</v>
      </c>
      <c r="T191" s="580">
        <f t="shared" si="23"/>
        <v>0</v>
      </c>
      <c r="U191" s="51"/>
      <c r="V191" s="2119"/>
      <c r="W191" s="43"/>
      <c r="X191" s="43"/>
      <c r="Y191" s="43"/>
      <c r="Z191" s="43"/>
    </row>
    <row r="192" spans="1:26" ht="15.75" customHeight="1">
      <c r="A192" s="88">
        <v>4556</v>
      </c>
      <c r="B192" s="378" t="s">
        <v>867</v>
      </c>
      <c r="C192" s="1038"/>
      <c r="D192" s="1038"/>
      <c r="E192" s="1038"/>
      <c r="F192" s="1038"/>
      <c r="G192" s="1038"/>
      <c r="H192" s="1038"/>
      <c r="I192" s="1038"/>
      <c r="J192" s="1038"/>
      <c r="K192" s="1038"/>
      <c r="L192" s="590"/>
      <c r="M192" s="51"/>
      <c r="N192" s="113">
        <f t="shared" si="21"/>
        <v>4556</v>
      </c>
      <c r="O192" s="581">
        <v>0</v>
      </c>
      <c r="P192" s="576">
        <v>0</v>
      </c>
      <c r="Q192" s="589">
        <v>0</v>
      </c>
      <c r="R192" s="576">
        <v>0</v>
      </c>
      <c r="S192" s="583">
        <f>+IF(ABS(+O192+Q192)&gt;=ABS(P192+R192),+O192-P192+Q192-R192,0)</f>
        <v>0</v>
      </c>
      <c r="T192" s="580">
        <f t="shared" si="23"/>
        <v>0</v>
      </c>
      <c r="U192" s="51"/>
      <c r="V192" s="2119"/>
      <c r="W192" s="43"/>
      <c r="X192" s="43"/>
      <c r="Y192" s="43"/>
      <c r="Z192" s="43"/>
    </row>
    <row r="193" spans="1:26">
      <c r="A193" s="346">
        <v>4557</v>
      </c>
      <c r="B193" s="1032" t="s">
        <v>868</v>
      </c>
      <c r="C193" s="345"/>
      <c r="D193" s="1033"/>
      <c r="E193" s="1033"/>
      <c r="F193" s="1033"/>
      <c r="G193" s="1033"/>
      <c r="H193" s="1033"/>
      <c r="I193" s="1033"/>
      <c r="J193" s="1033"/>
      <c r="K193" s="1033"/>
      <c r="L193" s="90"/>
      <c r="M193" s="51"/>
      <c r="N193" s="113">
        <f t="shared" si="21"/>
        <v>4557</v>
      </c>
      <c r="O193" s="581">
        <v>0</v>
      </c>
      <c r="P193" s="576">
        <v>0</v>
      </c>
      <c r="Q193" s="589">
        <v>0</v>
      </c>
      <c r="R193" s="576">
        <v>0</v>
      </c>
      <c r="S193" s="583">
        <f>+IF(ABS(+O193+Q193)&gt;=ABS(P193+R193),+O193-P193+Q193-R193,0)</f>
        <v>0</v>
      </c>
      <c r="T193" s="580">
        <f t="shared" si="23"/>
        <v>0</v>
      </c>
      <c r="U193" s="51"/>
      <c r="V193" s="2119"/>
      <c r="W193" s="43"/>
      <c r="X193" s="43"/>
      <c r="Y193" s="43"/>
      <c r="Z193" s="43"/>
    </row>
    <row r="194" spans="1:26">
      <c r="A194" s="88">
        <v>4558</v>
      </c>
      <c r="B194" s="378" t="s">
        <v>869</v>
      </c>
      <c r="C194" s="1033"/>
      <c r="D194" s="1033"/>
      <c r="E194" s="1033"/>
      <c r="F194" s="1033"/>
      <c r="G194" s="1033"/>
      <c r="H194" s="1033"/>
      <c r="I194" s="1033"/>
      <c r="J194" s="1033"/>
      <c r="K194" s="1033"/>
      <c r="L194" s="90"/>
      <c r="M194" s="51"/>
      <c r="N194" s="113">
        <f t="shared" si="21"/>
        <v>4558</v>
      </c>
      <c r="O194" s="581">
        <v>0</v>
      </c>
      <c r="P194" s="576">
        <v>0</v>
      </c>
      <c r="Q194" s="589">
        <v>0</v>
      </c>
      <c r="R194" s="576">
        <v>0</v>
      </c>
      <c r="S194" s="583">
        <f>+IF(ABS(+O194+Q194)&gt;=ABS(P194+R194),+O194-P194+Q194-R194,0)</f>
        <v>0</v>
      </c>
      <c r="T194" s="580">
        <f t="shared" si="23"/>
        <v>0</v>
      </c>
      <c r="U194" s="51"/>
      <c r="V194" s="2119"/>
      <c r="W194" s="43"/>
      <c r="X194" s="43"/>
      <c r="Y194" s="43"/>
      <c r="Z194" s="43"/>
    </row>
    <row r="195" spans="1:26">
      <c r="A195" s="88">
        <v>4560</v>
      </c>
      <c r="B195" s="378" t="s">
        <v>870</v>
      </c>
      <c r="C195" s="1033"/>
      <c r="D195" s="1033"/>
      <c r="E195" s="1033"/>
      <c r="F195" s="1033"/>
      <c r="G195" s="1033"/>
      <c r="H195" s="1033"/>
      <c r="I195" s="1033"/>
      <c r="J195" s="1033"/>
      <c r="K195" s="1033"/>
      <c r="L195" s="574"/>
      <c r="M195" s="51"/>
      <c r="N195" s="113">
        <f t="shared" si="21"/>
        <v>4560</v>
      </c>
      <c r="O195" s="575">
        <v>0</v>
      </c>
      <c r="P195" s="576"/>
      <c r="Q195" s="589"/>
      <c r="R195" s="324"/>
      <c r="S195" s="579">
        <v>0</v>
      </c>
      <c r="T195" s="580">
        <f t="shared" si="23"/>
        <v>0</v>
      </c>
      <c r="U195" s="51"/>
      <c r="V195" s="2119">
        <f>+IF(OR(+ROUND(O195,2)+ROUND(Q195,2)&gt;ROUND(P195,2)+ROUND(R195,2),+ABS(ROUND(O195,2)+ROUND(Q195,2))&gt;+ABS(ROUND(P195,2)+ROUND(R195,2))),+(ROUND(O195,2)+ROUND(Q195,2))-(ROUND(P195,2)+ROUND(R195,2)),0)</f>
        <v>0</v>
      </c>
      <c r="W195" s="43"/>
      <c r="X195" s="43"/>
      <c r="Y195" s="43"/>
      <c r="Z195" s="43"/>
    </row>
    <row r="196" spans="1:26">
      <c r="A196" s="88">
        <v>4567</v>
      </c>
      <c r="B196" s="378" t="s">
        <v>871</v>
      </c>
      <c r="C196" s="1033"/>
      <c r="D196" s="1033"/>
      <c r="E196" s="1033"/>
      <c r="F196" s="1033"/>
      <c r="G196" s="1033"/>
      <c r="H196" s="1033"/>
      <c r="I196" s="1033"/>
      <c r="J196" s="1033"/>
      <c r="K196" s="1033"/>
      <c r="L196" s="574"/>
      <c r="M196" s="51"/>
      <c r="N196" s="113">
        <f t="shared" si="21"/>
        <v>4567</v>
      </c>
      <c r="O196" s="581"/>
      <c r="P196" s="582">
        <v>0</v>
      </c>
      <c r="Q196" s="589"/>
      <c r="R196" s="576"/>
      <c r="S196" s="583">
        <f>+IF(ABS(+O196+Q196)&gt;=ABS(P196+R196),+O196-P196+Q196-R196,0)</f>
        <v>0</v>
      </c>
      <c r="T196" s="584">
        <v>0</v>
      </c>
      <c r="U196" s="51"/>
      <c r="V196" s="2120">
        <f>+IF(OR(ROUND(P196,2)+ROUND(R196,2)&gt;+ROUND(O196,2)+ROUND(Q196,2),+ABS(ROUND(P196,2)+ROUND(R196,2))&gt;+ABS(ROUND(O196,2)+ROUND(Q196,2))),+(ROUND(P196,2)+ROUND(R196,2))-(ROUND(O196,2)+ROUND(Q196,2)),0)</f>
        <v>0</v>
      </c>
      <c r="W196" s="43"/>
      <c r="X196" s="43"/>
      <c r="Y196" s="43"/>
      <c r="Z196" s="43"/>
    </row>
    <row r="197" spans="1:26">
      <c r="A197" s="88">
        <v>4568</v>
      </c>
      <c r="B197" s="378" t="s">
        <v>872</v>
      </c>
      <c r="C197" s="1033"/>
      <c r="D197" s="1033"/>
      <c r="E197" s="1033"/>
      <c r="F197" s="1033"/>
      <c r="G197" s="1033"/>
      <c r="H197" s="1033"/>
      <c r="I197" s="1033"/>
      <c r="J197" s="1033"/>
      <c r="K197" s="1033"/>
      <c r="L197" s="574"/>
      <c r="M197" s="51"/>
      <c r="N197" s="113">
        <f t="shared" si="21"/>
        <v>4568</v>
      </c>
      <c r="O197" s="575">
        <v>0</v>
      </c>
      <c r="P197" s="576"/>
      <c r="Q197" s="589"/>
      <c r="R197" s="324"/>
      <c r="S197" s="579">
        <v>0</v>
      </c>
      <c r="T197" s="580">
        <f t="shared" ref="T197:T218" si="24">+IF(ABS(+O197+Q197)&lt;=ABS(P197+R197),-O197+P197-Q197+R197,0)</f>
        <v>0</v>
      </c>
      <c r="U197" s="51"/>
      <c r="V197" s="2119">
        <f>+IF(OR(+ROUND(O197,2)+ROUND(Q197,2)&gt;ROUND(P197,2)+ROUND(R197,2),+ABS(ROUND(O197,2)+ROUND(Q197,2))&gt;+ABS(ROUND(P197,2)+ROUND(R197,2))),+(ROUND(O197,2)+ROUND(Q197,2))-(ROUND(P197,2)+ROUND(R197,2)),0)</f>
        <v>0</v>
      </c>
      <c r="W197" s="43"/>
      <c r="X197" s="43"/>
      <c r="Y197" s="43"/>
      <c r="Z197" s="43"/>
    </row>
    <row r="198" spans="1:26">
      <c r="A198" s="88">
        <v>4598</v>
      </c>
      <c r="B198" s="378" t="s">
        <v>873</v>
      </c>
      <c r="C198" s="1033"/>
      <c r="D198" s="1033"/>
      <c r="E198" s="1033"/>
      <c r="F198" s="1033"/>
      <c r="G198" s="1033"/>
      <c r="H198" s="1033"/>
      <c r="I198" s="1033"/>
      <c r="J198" s="1033"/>
      <c r="K198" s="1033"/>
      <c r="L198" s="574"/>
      <c r="M198" s="51"/>
      <c r="N198" s="113">
        <f t="shared" si="21"/>
        <v>4598</v>
      </c>
      <c r="O198" s="575">
        <v>0</v>
      </c>
      <c r="P198" s="576"/>
      <c r="Q198" s="589"/>
      <c r="R198" s="324"/>
      <c r="S198" s="579">
        <v>0</v>
      </c>
      <c r="T198" s="580">
        <f t="shared" si="24"/>
        <v>0</v>
      </c>
      <c r="U198" s="51"/>
      <c r="V198" s="2119">
        <f>+IF(OR(+ROUND(O198,2)+ROUND(Q198,2)&gt;ROUND(P198,2)+ROUND(R198,2),+ABS(ROUND(O198,2)+ROUND(Q198,2))&gt;+ABS(ROUND(P198,2)+ROUND(R198,2))),+(ROUND(O198,2)+ROUND(Q198,2))-(ROUND(P198,2)+ROUND(R198,2)),0)</f>
        <v>0</v>
      </c>
      <c r="W198" s="43"/>
      <c r="X198" s="43"/>
      <c r="Y198" s="43"/>
      <c r="Z198" s="43"/>
    </row>
    <row r="199" spans="1:26" ht="15.75" customHeight="1">
      <c r="A199" s="88">
        <v>4599</v>
      </c>
      <c r="B199" s="378" t="s">
        <v>232</v>
      </c>
      <c r="C199" s="1038"/>
      <c r="D199" s="1038"/>
      <c r="E199" s="1038"/>
      <c r="F199" s="1038"/>
      <c r="G199" s="1038"/>
      <c r="H199" s="1038"/>
      <c r="I199" s="1038"/>
      <c r="J199" s="1038"/>
      <c r="K199" s="1038"/>
      <c r="L199" s="590"/>
      <c r="M199" s="51"/>
      <c r="N199" s="113">
        <f t="shared" si="21"/>
        <v>4599</v>
      </c>
      <c r="O199" s="581"/>
      <c r="P199" s="576"/>
      <c r="Q199" s="589"/>
      <c r="R199" s="576"/>
      <c r="S199" s="583">
        <f t="shared" ref="S199:S219" si="25">+IF(ABS(+O199+Q199)&gt;=ABS(P199+R199),+O199-P199+Q199-R199,0)</f>
        <v>0</v>
      </c>
      <c r="T199" s="580">
        <f t="shared" si="24"/>
        <v>0</v>
      </c>
      <c r="U199" s="51"/>
      <c r="V199" s="2119"/>
      <c r="W199" s="43"/>
      <c r="X199" s="43"/>
      <c r="Y199" s="43"/>
      <c r="Z199" s="43"/>
    </row>
    <row r="200" spans="1:26">
      <c r="A200" s="88">
        <v>4611</v>
      </c>
      <c r="B200" s="378" t="s">
        <v>874</v>
      </c>
      <c r="C200" s="1033"/>
      <c r="D200" s="1033"/>
      <c r="E200" s="1033"/>
      <c r="F200" s="1033"/>
      <c r="G200" s="1033"/>
      <c r="H200" s="1033"/>
      <c r="I200" s="1033"/>
      <c r="J200" s="1033"/>
      <c r="K200" s="1033"/>
      <c r="L200" s="90"/>
      <c r="M200" s="51"/>
      <c r="N200" s="113">
        <f t="shared" si="21"/>
        <v>4611</v>
      </c>
      <c r="O200" s="581"/>
      <c r="P200" s="576"/>
      <c r="Q200" s="589"/>
      <c r="R200" s="576"/>
      <c r="S200" s="583">
        <f t="shared" si="25"/>
        <v>0</v>
      </c>
      <c r="T200" s="580">
        <f t="shared" si="24"/>
        <v>0</v>
      </c>
      <c r="U200" s="51"/>
      <c r="V200" s="2119"/>
      <c r="W200" s="43"/>
      <c r="X200" s="43"/>
      <c r="Y200" s="43"/>
      <c r="Z200" s="43"/>
    </row>
    <row r="201" spans="1:26" ht="15.75" customHeight="1">
      <c r="A201" s="88">
        <v>4612</v>
      </c>
      <c r="B201" s="378" t="s">
        <v>875</v>
      </c>
      <c r="C201" s="1038"/>
      <c r="D201" s="1038"/>
      <c r="E201" s="1038"/>
      <c r="F201" s="1038"/>
      <c r="G201" s="1038"/>
      <c r="H201" s="1038"/>
      <c r="I201" s="1038"/>
      <c r="J201" s="1038"/>
      <c r="K201" s="1038"/>
      <c r="L201" s="590"/>
      <c r="M201" s="51"/>
      <c r="N201" s="113">
        <f t="shared" si="21"/>
        <v>4612</v>
      </c>
      <c r="O201" s="581"/>
      <c r="P201" s="576"/>
      <c r="Q201" s="589"/>
      <c r="R201" s="576"/>
      <c r="S201" s="583">
        <f t="shared" si="25"/>
        <v>0</v>
      </c>
      <c r="T201" s="580">
        <f t="shared" si="24"/>
        <v>0</v>
      </c>
      <c r="U201" s="51"/>
      <c r="V201" s="2119"/>
      <c r="W201" s="43"/>
      <c r="X201" s="43"/>
      <c r="Y201" s="43"/>
      <c r="Z201" s="43"/>
    </row>
    <row r="202" spans="1:26">
      <c r="A202" s="88">
        <v>4614</v>
      </c>
      <c r="B202" s="1033" t="s">
        <v>876</v>
      </c>
      <c r="C202" s="1033"/>
      <c r="D202" s="1033"/>
      <c r="E202" s="1033"/>
      <c r="F202" s="1033"/>
      <c r="G202" s="1033"/>
      <c r="H202" s="1033"/>
      <c r="I202" s="1033"/>
      <c r="J202" s="1033"/>
      <c r="K202" s="1033"/>
      <c r="L202" s="90"/>
      <c r="M202" s="51"/>
      <c r="N202" s="113">
        <f t="shared" si="21"/>
        <v>4614</v>
      </c>
      <c r="O202" s="581">
        <v>0</v>
      </c>
      <c r="P202" s="576">
        <v>0</v>
      </c>
      <c r="Q202" s="589">
        <v>0</v>
      </c>
      <c r="R202" s="576">
        <v>0</v>
      </c>
      <c r="S202" s="583">
        <f t="shared" si="25"/>
        <v>0</v>
      </c>
      <c r="T202" s="580">
        <f t="shared" si="24"/>
        <v>0</v>
      </c>
      <c r="U202" s="51"/>
      <c r="V202" s="2119"/>
      <c r="W202" s="43"/>
      <c r="X202" s="43"/>
      <c r="Y202" s="43"/>
      <c r="Z202" s="43"/>
    </row>
    <row r="203" spans="1:26">
      <c r="A203" s="88">
        <v>4615</v>
      </c>
      <c r="B203" s="1033" t="s">
        <v>877</v>
      </c>
      <c r="C203" s="1033"/>
      <c r="D203" s="1033"/>
      <c r="E203" s="1033"/>
      <c r="F203" s="1033"/>
      <c r="G203" s="1033"/>
      <c r="H203" s="1033"/>
      <c r="I203" s="1033"/>
      <c r="J203" s="1033"/>
      <c r="K203" s="1033"/>
      <c r="L203" s="90"/>
      <c r="M203" s="51"/>
      <c r="N203" s="113">
        <f t="shared" si="21"/>
        <v>4615</v>
      </c>
      <c r="O203" s="581"/>
      <c r="P203" s="576"/>
      <c r="Q203" s="589"/>
      <c r="R203" s="576"/>
      <c r="S203" s="583">
        <f t="shared" si="25"/>
        <v>0</v>
      </c>
      <c r="T203" s="580">
        <f t="shared" si="24"/>
        <v>0</v>
      </c>
      <c r="U203" s="51"/>
      <c r="V203" s="2119"/>
      <c r="W203" s="43"/>
      <c r="X203" s="43"/>
      <c r="Y203" s="43"/>
      <c r="Z203" s="43"/>
    </row>
    <row r="204" spans="1:26">
      <c r="A204" s="88">
        <v>4622</v>
      </c>
      <c r="B204" s="1033" t="s">
        <v>878</v>
      </c>
      <c r="C204" s="1033"/>
      <c r="D204" s="1033"/>
      <c r="E204" s="1033"/>
      <c r="F204" s="1033"/>
      <c r="G204" s="1033"/>
      <c r="H204" s="1033"/>
      <c r="I204" s="1033"/>
      <c r="J204" s="1033"/>
      <c r="K204" s="1033"/>
      <c r="L204" s="90"/>
      <c r="M204" s="51"/>
      <c r="N204" s="113">
        <f t="shared" si="21"/>
        <v>4622</v>
      </c>
      <c r="O204" s="581"/>
      <c r="P204" s="576"/>
      <c r="Q204" s="589"/>
      <c r="R204" s="576"/>
      <c r="S204" s="583">
        <f t="shared" si="25"/>
        <v>0</v>
      </c>
      <c r="T204" s="580">
        <f t="shared" si="24"/>
        <v>0</v>
      </c>
      <c r="U204" s="51"/>
      <c r="V204" s="2119"/>
      <c r="W204" s="43"/>
      <c r="X204" s="43"/>
      <c r="Y204" s="43"/>
      <c r="Z204" s="43"/>
    </row>
    <row r="205" spans="1:26">
      <c r="A205" s="88">
        <v>4624</v>
      </c>
      <c r="B205" s="1033" t="s">
        <v>879</v>
      </c>
      <c r="C205" s="1033"/>
      <c r="D205" s="1033"/>
      <c r="E205" s="1033"/>
      <c r="F205" s="1033"/>
      <c r="G205" s="1033"/>
      <c r="H205" s="1033"/>
      <c r="I205" s="1033"/>
      <c r="J205" s="1033"/>
      <c r="K205" s="1033"/>
      <c r="L205" s="90"/>
      <c r="M205" s="51"/>
      <c r="N205" s="113">
        <f t="shared" si="21"/>
        <v>4624</v>
      </c>
      <c r="O205" s="581">
        <v>0</v>
      </c>
      <c r="P205" s="576">
        <v>0</v>
      </c>
      <c r="Q205" s="589">
        <v>0</v>
      </c>
      <c r="R205" s="576">
        <v>0</v>
      </c>
      <c r="S205" s="583">
        <f t="shared" si="25"/>
        <v>0</v>
      </c>
      <c r="T205" s="580">
        <f t="shared" si="24"/>
        <v>0</v>
      </c>
      <c r="U205" s="51"/>
      <c r="V205" s="2119"/>
      <c r="W205" s="43"/>
      <c r="X205" s="43"/>
      <c r="Y205" s="43"/>
      <c r="Z205" s="43"/>
    </row>
    <row r="206" spans="1:26" ht="15.75" customHeight="1">
      <c r="A206" s="88">
        <v>4625</v>
      </c>
      <c r="B206" s="378" t="s">
        <v>880</v>
      </c>
      <c r="C206" s="88"/>
      <c r="D206" s="1038"/>
      <c r="E206" s="1038"/>
      <c r="F206" s="1038"/>
      <c r="G206" s="1038"/>
      <c r="H206" s="1038"/>
      <c r="I206" s="1038"/>
      <c r="J206" s="1038"/>
      <c r="K206" s="1038"/>
      <c r="L206" s="590"/>
      <c r="M206" s="51"/>
      <c r="N206" s="113">
        <f t="shared" si="21"/>
        <v>4625</v>
      </c>
      <c r="O206" s="581"/>
      <c r="P206" s="576"/>
      <c r="Q206" s="589"/>
      <c r="R206" s="576"/>
      <c r="S206" s="583">
        <f t="shared" si="25"/>
        <v>0</v>
      </c>
      <c r="T206" s="580">
        <f t="shared" si="24"/>
        <v>0</v>
      </c>
      <c r="U206" s="51"/>
      <c r="V206" s="2119"/>
      <c r="W206" s="43"/>
      <c r="X206" s="43"/>
      <c r="Y206" s="43"/>
      <c r="Z206" s="43"/>
    </row>
    <row r="207" spans="1:26">
      <c r="A207" s="88">
        <v>4630</v>
      </c>
      <c r="B207" s="378" t="s">
        <v>881</v>
      </c>
      <c r="C207" s="88"/>
      <c r="D207" s="1033"/>
      <c r="E207" s="1033"/>
      <c r="F207" s="1033"/>
      <c r="G207" s="1033"/>
      <c r="H207" s="1033"/>
      <c r="I207" s="1033"/>
      <c r="J207" s="1033"/>
      <c r="K207" s="1033"/>
      <c r="L207" s="574"/>
      <c r="M207" s="51"/>
      <c r="N207" s="113">
        <f t="shared" si="21"/>
        <v>4630</v>
      </c>
      <c r="O207" s="581">
        <v>0</v>
      </c>
      <c r="P207" s="576">
        <v>0</v>
      </c>
      <c r="Q207" s="589">
        <v>0</v>
      </c>
      <c r="R207" s="576">
        <v>0</v>
      </c>
      <c r="S207" s="583">
        <f t="shared" si="25"/>
        <v>0</v>
      </c>
      <c r="T207" s="580">
        <f t="shared" si="24"/>
        <v>0</v>
      </c>
      <c r="U207" s="51"/>
      <c r="V207" s="2119"/>
      <c r="W207" s="43"/>
      <c r="X207" s="43"/>
      <c r="Y207" s="43"/>
      <c r="Z207" s="43"/>
    </row>
    <row r="208" spans="1:26">
      <c r="A208" s="88">
        <v>4651</v>
      </c>
      <c r="B208" s="378" t="s">
        <v>882</v>
      </c>
      <c r="C208" s="88"/>
      <c r="D208" s="1043"/>
      <c r="E208" s="1043"/>
      <c r="F208" s="1043"/>
      <c r="G208" s="1043"/>
      <c r="H208" s="1043"/>
      <c r="I208" s="1043"/>
      <c r="J208" s="1043"/>
      <c r="K208" s="1043"/>
      <c r="L208" s="574"/>
      <c r="M208" s="51"/>
      <c r="N208" s="113">
        <f t="shared" si="21"/>
        <v>4651</v>
      </c>
      <c r="O208" s="581"/>
      <c r="P208" s="576"/>
      <c r="Q208" s="589"/>
      <c r="R208" s="576"/>
      <c r="S208" s="583">
        <f t="shared" si="25"/>
        <v>0</v>
      </c>
      <c r="T208" s="580">
        <f t="shared" si="24"/>
        <v>0</v>
      </c>
      <c r="U208" s="51"/>
      <c r="V208" s="2119"/>
      <c r="W208" s="43"/>
      <c r="X208" s="43"/>
      <c r="Y208" s="43"/>
      <c r="Z208" s="43"/>
    </row>
    <row r="209" spans="1:26" ht="15.75" customHeight="1">
      <c r="A209" s="88">
        <v>4655</v>
      </c>
      <c r="B209" s="378" t="s">
        <v>883</v>
      </c>
      <c r="C209" s="88"/>
      <c r="D209" s="1038"/>
      <c r="E209" s="1038"/>
      <c r="F209" s="1038"/>
      <c r="G209" s="1038"/>
      <c r="H209" s="1038"/>
      <c r="I209" s="1038"/>
      <c r="J209" s="1038"/>
      <c r="K209" s="1038"/>
      <c r="L209" s="590"/>
      <c r="M209" s="51"/>
      <c r="N209" s="113">
        <f t="shared" si="21"/>
        <v>4655</v>
      </c>
      <c r="O209" s="581"/>
      <c r="P209" s="576"/>
      <c r="Q209" s="589"/>
      <c r="R209" s="576"/>
      <c r="S209" s="583">
        <f t="shared" si="25"/>
        <v>0</v>
      </c>
      <c r="T209" s="580">
        <f t="shared" si="24"/>
        <v>0</v>
      </c>
      <c r="U209" s="51"/>
      <c r="V209" s="2119"/>
      <c r="W209" s="43"/>
      <c r="X209" s="43"/>
      <c r="Y209" s="43"/>
      <c r="Z209" s="43"/>
    </row>
    <row r="210" spans="1:26">
      <c r="A210" s="88">
        <v>4659</v>
      </c>
      <c r="B210" s="378" t="s">
        <v>884</v>
      </c>
      <c r="C210" s="88"/>
      <c r="D210" s="1033"/>
      <c r="E210" s="1033"/>
      <c r="F210" s="1033"/>
      <c r="G210" s="1033"/>
      <c r="H210" s="1033"/>
      <c r="I210" s="1033"/>
      <c r="J210" s="1033"/>
      <c r="K210" s="1033"/>
      <c r="L210" s="574"/>
      <c r="M210" s="51"/>
      <c r="N210" s="113">
        <f t="shared" si="21"/>
        <v>4659</v>
      </c>
      <c r="O210" s="581"/>
      <c r="P210" s="576"/>
      <c r="Q210" s="589"/>
      <c r="R210" s="576"/>
      <c r="S210" s="583">
        <f t="shared" si="25"/>
        <v>0</v>
      </c>
      <c r="T210" s="580">
        <f t="shared" si="24"/>
        <v>0</v>
      </c>
      <c r="U210" s="51"/>
      <c r="V210" s="2119"/>
      <c r="W210" s="43"/>
      <c r="X210" s="43"/>
      <c r="Y210" s="43"/>
      <c r="Z210" s="43"/>
    </row>
    <row r="211" spans="1:26">
      <c r="A211" s="88">
        <v>4671</v>
      </c>
      <c r="B211" s="378" t="s">
        <v>885</v>
      </c>
      <c r="C211" s="88"/>
      <c r="D211" s="1033"/>
      <c r="E211" s="1033"/>
      <c r="F211" s="1033"/>
      <c r="G211" s="1033"/>
      <c r="H211" s="1033"/>
      <c r="I211" s="1033"/>
      <c r="J211" s="1033"/>
      <c r="K211" s="1033"/>
      <c r="L211" s="574"/>
      <c r="M211" s="51"/>
      <c r="N211" s="113">
        <f t="shared" si="21"/>
        <v>4671</v>
      </c>
      <c r="O211" s="581"/>
      <c r="P211" s="576"/>
      <c r="Q211" s="589"/>
      <c r="R211" s="576"/>
      <c r="S211" s="583">
        <f t="shared" si="25"/>
        <v>0</v>
      </c>
      <c r="T211" s="580">
        <f t="shared" si="24"/>
        <v>0</v>
      </c>
      <c r="U211" s="51"/>
      <c r="V211" s="2119"/>
      <c r="W211" s="43"/>
      <c r="X211" s="43"/>
      <c r="Y211" s="43"/>
      <c r="Z211" s="43"/>
    </row>
    <row r="212" spans="1:26" ht="15.75" customHeight="1">
      <c r="A212" s="88">
        <v>4672</v>
      </c>
      <c r="B212" s="378" t="s">
        <v>886</v>
      </c>
      <c r="C212" s="88"/>
      <c r="D212" s="1038"/>
      <c r="E212" s="1038"/>
      <c r="F212" s="1038"/>
      <c r="G212" s="1038"/>
      <c r="H212" s="1038"/>
      <c r="I212" s="1038"/>
      <c r="J212" s="1038"/>
      <c r="K212" s="1038"/>
      <c r="L212" s="590"/>
      <c r="M212" s="51"/>
      <c r="N212" s="113">
        <f t="shared" si="21"/>
        <v>4672</v>
      </c>
      <c r="O212" s="581"/>
      <c r="P212" s="576"/>
      <c r="Q212" s="589"/>
      <c r="R212" s="576"/>
      <c r="S212" s="583">
        <f t="shared" si="25"/>
        <v>0</v>
      </c>
      <c r="T212" s="580">
        <f t="shared" si="24"/>
        <v>0</v>
      </c>
      <c r="U212" s="51"/>
      <c r="V212" s="2119"/>
      <c r="W212" s="43"/>
      <c r="X212" s="43"/>
      <c r="Y212" s="43"/>
      <c r="Z212" s="43"/>
    </row>
    <row r="213" spans="1:26">
      <c r="A213" s="88">
        <v>4674</v>
      </c>
      <c r="B213" s="378" t="s">
        <v>887</v>
      </c>
      <c r="C213" s="88"/>
      <c r="D213" s="1033"/>
      <c r="E213" s="1033"/>
      <c r="F213" s="1033"/>
      <c r="G213" s="1033"/>
      <c r="H213" s="1033"/>
      <c r="I213" s="1033"/>
      <c r="J213" s="1033"/>
      <c r="K213" s="1033"/>
      <c r="L213" s="574"/>
      <c r="M213" s="51"/>
      <c r="N213" s="113">
        <f t="shared" si="21"/>
        <v>4674</v>
      </c>
      <c r="O213" s="581"/>
      <c r="P213" s="576"/>
      <c r="Q213" s="589"/>
      <c r="R213" s="576"/>
      <c r="S213" s="583">
        <f t="shared" si="25"/>
        <v>0</v>
      </c>
      <c r="T213" s="580">
        <f t="shared" si="24"/>
        <v>0</v>
      </c>
      <c r="U213" s="51"/>
      <c r="V213" s="2119"/>
      <c r="W213" s="43"/>
      <c r="X213" s="43"/>
      <c r="Y213" s="43"/>
      <c r="Z213" s="43"/>
    </row>
    <row r="214" spans="1:26" ht="15.75" customHeight="1">
      <c r="A214" s="88">
        <v>4675</v>
      </c>
      <c r="B214" s="378" t="s">
        <v>888</v>
      </c>
      <c r="C214" s="88"/>
      <c r="D214" s="1038"/>
      <c r="E214" s="1038"/>
      <c r="F214" s="1038"/>
      <c r="G214" s="1038"/>
      <c r="H214" s="1038"/>
      <c r="I214" s="1038"/>
      <c r="J214" s="1038"/>
      <c r="K214" s="1038"/>
      <c r="L214" s="590"/>
      <c r="M214" s="51"/>
      <c r="N214" s="113">
        <f t="shared" si="21"/>
        <v>4675</v>
      </c>
      <c r="O214" s="581"/>
      <c r="P214" s="576"/>
      <c r="Q214" s="589"/>
      <c r="R214" s="576"/>
      <c r="S214" s="583">
        <f t="shared" si="25"/>
        <v>0</v>
      </c>
      <c r="T214" s="580">
        <f t="shared" si="24"/>
        <v>0</v>
      </c>
      <c r="U214" s="51"/>
      <c r="V214" s="2119"/>
      <c r="W214" s="43"/>
      <c r="X214" s="43"/>
      <c r="Y214" s="43"/>
      <c r="Z214" s="43"/>
    </row>
    <row r="215" spans="1:26">
      <c r="A215" s="88">
        <v>4679</v>
      </c>
      <c r="B215" s="378" t="s">
        <v>889</v>
      </c>
      <c r="C215" s="88"/>
      <c r="D215" s="1033"/>
      <c r="E215" s="1033"/>
      <c r="F215" s="1033"/>
      <c r="G215" s="1033"/>
      <c r="H215" s="1033"/>
      <c r="I215" s="1033"/>
      <c r="J215" s="1033"/>
      <c r="K215" s="1033"/>
      <c r="L215" s="574"/>
      <c r="M215" s="51"/>
      <c r="N215" s="113">
        <f t="shared" si="21"/>
        <v>4679</v>
      </c>
      <c r="O215" s="581">
        <v>0</v>
      </c>
      <c r="P215" s="576">
        <v>0</v>
      </c>
      <c r="Q215" s="589">
        <v>0</v>
      </c>
      <c r="R215" s="576">
        <v>0</v>
      </c>
      <c r="S215" s="583">
        <f t="shared" si="25"/>
        <v>0</v>
      </c>
      <c r="T215" s="580">
        <f t="shared" si="24"/>
        <v>0</v>
      </c>
      <c r="U215" s="51"/>
      <c r="V215" s="2119"/>
      <c r="W215" s="43"/>
      <c r="X215" s="43"/>
      <c r="Y215" s="43"/>
      <c r="Z215" s="43"/>
    </row>
    <row r="216" spans="1:26">
      <c r="A216" s="88">
        <v>4682</v>
      </c>
      <c r="B216" s="378" t="s">
        <v>890</v>
      </c>
      <c r="C216" s="88"/>
      <c r="D216" s="1033"/>
      <c r="E216" s="1033"/>
      <c r="F216" s="1033"/>
      <c r="G216" s="1033"/>
      <c r="H216" s="1033"/>
      <c r="I216" s="1033"/>
      <c r="J216" s="1033"/>
      <c r="K216" s="1033"/>
      <c r="L216" s="574"/>
      <c r="M216" s="51"/>
      <c r="N216" s="113">
        <f t="shared" si="21"/>
        <v>4682</v>
      </c>
      <c r="O216" s="581">
        <v>0</v>
      </c>
      <c r="P216" s="576">
        <v>0</v>
      </c>
      <c r="Q216" s="589">
        <v>0</v>
      </c>
      <c r="R216" s="576">
        <v>0</v>
      </c>
      <c r="S216" s="583">
        <f t="shared" si="25"/>
        <v>0</v>
      </c>
      <c r="T216" s="580">
        <f t="shared" si="24"/>
        <v>0</v>
      </c>
      <c r="U216" s="51"/>
      <c r="V216" s="2119"/>
      <c r="W216" s="43"/>
      <c r="X216" s="43"/>
      <c r="Y216" s="43"/>
      <c r="Z216" s="43"/>
    </row>
    <row r="217" spans="1:26">
      <c r="A217" s="88">
        <v>4684</v>
      </c>
      <c r="B217" s="378" t="s">
        <v>891</v>
      </c>
      <c r="C217" s="88"/>
      <c r="D217" s="1033"/>
      <c r="E217" s="1033"/>
      <c r="F217" s="1033"/>
      <c r="G217" s="1033"/>
      <c r="H217" s="1033"/>
      <c r="I217" s="1033"/>
      <c r="J217" s="1033"/>
      <c r="K217" s="1033"/>
      <c r="L217" s="574"/>
      <c r="M217" s="51"/>
      <c r="N217" s="113">
        <f t="shared" si="21"/>
        <v>4684</v>
      </c>
      <c r="O217" s="581">
        <v>0</v>
      </c>
      <c r="P217" s="576">
        <v>0</v>
      </c>
      <c r="Q217" s="589">
        <v>0</v>
      </c>
      <c r="R217" s="576">
        <v>0</v>
      </c>
      <c r="S217" s="583">
        <f t="shared" si="25"/>
        <v>0</v>
      </c>
      <c r="T217" s="580">
        <f t="shared" si="24"/>
        <v>0</v>
      </c>
      <c r="U217" s="51"/>
      <c r="V217" s="2119"/>
      <c r="W217" s="43"/>
      <c r="X217" s="43"/>
      <c r="Y217" s="43"/>
      <c r="Z217" s="43"/>
    </row>
    <row r="218" spans="1:26" ht="15.75" customHeight="1">
      <c r="A218" s="88">
        <v>4685</v>
      </c>
      <c r="B218" s="378" t="s">
        <v>892</v>
      </c>
      <c r="C218" s="88"/>
      <c r="D218" s="1038"/>
      <c r="E218" s="1038"/>
      <c r="F218" s="1038"/>
      <c r="G218" s="1038"/>
      <c r="H218" s="1038"/>
      <c r="I218" s="1038"/>
      <c r="J218" s="1038"/>
      <c r="K218" s="1038"/>
      <c r="L218" s="590"/>
      <c r="M218" s="51"/>
      <c r="N218" s="113">
        <f t="shared" si="21"/>
        <v>4685</v>
      </c>
      <c r="O218" s="581"/>
      <c r="P218" s="576"/>
      <c r="Q218" s="589"/>
      <c r="R218" s="576"/>
      <c r="S218" s="583">
        <f t="shared" si="25"/>
        <v>0</v>
      </c>
      <c r="T218" s="580">
        <f t="shared" si="24"/>
        <v>0</v>
      </c>
      <c r="U218" s="51"/>
      <c r="V218" s="2119"/>
      <c r="W218" s="43"/>
      <c r="X218" s="43"/>
      <c r="Y218" s="43"/>
      <c r="Z218" s="43"/>
    </row>
    <row r="219" spans="1:26">
      <c r="A219" s="88">
        <v>4691</v>
      </c>
      <c r="B219" s="378" t="s">
        <v>893</v>
      </c>
      <c r="C219" s="88"/>
      <c r="D219" s="1033"/>
      <c r="E219" s="1033"/>
      <c r="F219" s="1033"/>
      <c r="G219" s="1033"/>
      <c r="H219" s="1033"/>
      <c r="I219" s="1033"/>
      <c r="J219" s="1033"/>
      <c r="K219" s="1033"/>
      <c r="L219" s="574"/>
      <c r="M219" s="51"/>
      <c r="N219" s="113">
        <f t="shared" si="21"/>
        <v>4691</v>
      </c>
      <c r="O219" s="581"/>
      <c r="P219" s="582">
        <v>0</v>
      </c>
      <c r="Q219" s="589"/>
      <c r="R219" s="576"/>
      <c r="S219" s="583">
        <f t="shared" si="25"/>
        <v>0</v>
      </c>
      <c r="T219" s="584">
        <v>0</v>
      </c>
      <c r="U219" s="51"/>
      <c r="V219" s="2120">
        <f>+IF(OR(ROUND(P219,2)+ROUND(R219,2)&gt;+ROUND(O219,2)+ROUND(Q219,2),+ABS(ROUND(P219,2)+ROUND(R219,2))&gt;+ABS(ROUND(O219,2)+ROUND(Q219,2))),+(ROUND(P219,2)+ROUND(R219,2))-(ROUND(O219,2)+ROUND(Q219,2)),0)</f>
        <v>0</v>
      </c>
      <c r="W219" s="43"/>
      <c r="X219" s="43"/>
      <c r="Y219" s="43"/>
      <c r="Z219" s="43"/>
    </row>
    <row r="220" spans="1:26">
      <c r="A220" s="88">
        <v>4692</v>
      </c>
      <c r="B220" s="378" t="s">
        <v>894</v>
      </c>
      <c r="C220" s="88"/>
      <c r="D220" s="1033"/>
      <c r="E220" s="1033"/>
      <c r="F220" s="1033"/>
      <c r="G220" s="1033"/>
      <c r="H220" s="1033"/>
      <c r="I220" s="1033"/>
      <c r="J220" s="1033"/>
      <c r="K220" s="1033"/>
      <c r="L220" s="574"/>
      <c r="M220" s="51"/>
      <c r="N220" s="113">
        <f t="shared" si="21"/>
        <v>4692</v>
      </c>
      <c r="O220" s="575">
        <v>0</v>
      </c>
      <c r="P220" s="576"/>
      <c r="Q220" s="589"/>
      <c r="R220" s="324"/>
      <c r="S220" s="579">
        <v>0</v>
      </c>
      <c r="T220" s="580">
        <f>+IF(ABS(+O220+Q220)&lt;=ABS(P220+R220),-O220+P220-Q220+R220,0)</f>
        <v>0</v>
      </c>
      <c r="U220" s="51"/>
      <c r="V220" s="2119">
        <f>+IF(OR(+ROUND(O220,2)+ROUND(Q220,2)&gt;ROUND(P220,2)+ROUND(R220,2),+ABS(ROUND(O220,2)+ROUND(Q220,2))&gt;+ABS(ROUND(P220,2)+ROUND(R220,2))),+(ROUND(O220,2)+ROUND(Q220,2))-(ROUND(P220,2)+ROUND(R220,2)),0)</f>
        <v>0</v>
      </c>
      <c r="W220" s="43"/>
      <c r="X220" s="43"/>
      <c r="Y220" s="43"/>
      <c r="Z220" s="43"/>
    </row>
    <row r="221" spans="1:26">
      <c r="A221" s="88">
        <v>4693</v>
      </c>
      <c r="B221" s="378" t="s">
        <v>895</v>
      </c>
      <c r="C221" s="88"/>
      <c r="D221" s="1033"/>
      <c r="E221" s="1033"/>
      <c r="F221" s="1033"/>
      <c r="G221" s="1033"/>
      <c r="H221" s="1033"/>
      <c r="I221" s="1033"/>
      <c r="J221" s="1033"/>
      <c r="K221" s="1033"/>
      <c r="L221" s="574"/>
      <c r="M221" s="51"/>
      <c r="N221" s="113">
        <f t="shared" si="21"/>
        <v>4693</v>
      </c>
      <c r="O221" s="581"/>
      <c r="P221" s="582">
        <v>0</v>
      </c>
      <c r="Q221" s="589"/>
      <c r="R221" s="576"/>
      <c r="S221" s="583">
        <f>+IF(ABS(+O221+Q221)&gt;=ABS(P221+R221),+O221-P221+Q221-R221,0)</f>
        <v>0</v>
      </c>
      <c r="T221" s="584">
        <v>0</v>
      </c>
      <c r="U221" s="51"/>
      <c r="V221" s="2120">
        <f>+IF(OR(ROUND(P221,2)+ROUND(R221,2)&gt;+ROUND(O221,2)+ROUND(Q221,2),+ABS(ROUND(P221,2)+ROUND(R221,2))&gt;+ABS(ROUND(O221,2)+ROUND(Q221,2))),+(ROUND(P221,2)+ROUND(R221,2))-(ROUND(O221,2)+ROUND(Q221,2)),0)</f>
        <v>0</v>
      </c>
      <c r="W221" s="43"/>
      <c r="X221" s="43"/>
      <c r="Y221" s="43"/>
      <c r="Z221" s="43"/>
    </row>
    <row r="222" spans="1:26">
      <c r="A222" s="88">
        <v>4694</v>
      </c>
      <c r="B222" s="378" t="s">
        <v>268</v>
      </c>
      <c r="C222" s="88"/>
      <c r="D222" s="1033"/>
      <c r="E222" s="1033"/>
      <c r="F222" s="1033"/>
      <c r="G222" s="1033"/>
      <c r="H222" s="1033"/>
      <c r="I222" s="1033"/>
      <c r="J222" s="1033"/>
      <c r="K222" s="1033"/>
      <c r="L222" s="574"/>
      <c r="M222" s="51"/>
      <c r="N222" s="113">
        <f t="shared" ref="N222:N274" si="26">+A222</f>
        <v>4694</v>
      </c>
      <c r="O222" s="575">
        <v>0</v>
      </c>
      <c r="P222" s="576"/>
      <c r="Q222" s="589"/>
      <c r="R222" s="324"/>
      <c r="S222" s="579">
        <v>0</v>
      </c>
      <c r="T222" s="580">
        <f>+IF(ABS(+O222+Q222)&lt;=ABS(P222+R222),-O222+P222-Q222+R222,0)</f>
        <v>0</v>
      </c>
      <c r="U222" s="51"/>
      <c r="V222" s="2119">
        <f>+IF(OR(+ROUND(O222,2)+ROUND(Q222,2)&gt;ROUND(P222,2)+ROUND(R222,2),+ABS(ROUND(O222,2)+ROUND(Q222,2))&gt;+ABS(ROUND(P222,2)+ROUND(R222,2))),+(ROUND(O222,2)+ROUND(Q222,2))-(ROUND(P222,2)+ROUND(R222,2)),0)</f>
        <v>0</v>
      </c>
      <c r="W222" s="43"/>
      <c r="X222" s="43"/>
      <c r="Y222" s="43"/>
      <c r="Z222" s="43"/>
    </row>
    <row r="223" spans="1:26">
      <c r="A223" s="88">
        <v>4695</v>
      </c>
      <c r="B223" s="378" t="s">
        <v>269</v>
      </c>
      <c r="C223" s="88"/>
      <c r="D223" s="1033"/>
      <c r="E223" s="1033"/>
      <c r="F223" s="1033"/>
      <c r="G223" s="1033"/>
      <c r="H223" s="1033"/>
      <c r="I223" s="1033"/>
      <c r="J223" s="1033"/>
      <c r="K223" s="1033"/>
      <c r="L223" s="574"/>
      <c r="M223" s="51"/>
      <c r="N223" s="113">
        <f t="shared" si="26"/>
        <v>4695</v>
      </c>
      <c r="O223" s="581"/>
      <c r="P223" s="582">
        <v>0</v>
      </c>
      <c r="Q223" s="589"/>
      <c r="R223" s="576"/>
      <c r="S223" s="583">
        <f>+IF(ABS(+O223+Q223)&gt;=ABS(P223+R223),+O223-P223+Q223-R223,0)</f>
        <v>0</v>
      </c>
      <c r="T223" s="584">
        <v>0</v>
      </c>
      <c r="U223" s="51"/>
      <c r="V223" s="2120">
        <f>+IF(OR(ROUND(P223,2)+ROUND(R223,2)&gt;+ROUND(O223,2)+ROUND(Q223,2),+ABS(ROUND(P223,2)+ROUND(R223,2))&gt;+ABS(ROUND(O223,2)+ROUND(Q223,2))),+(ROUND(P223,2)+ROUND(R223,2))-(ROUND(O223,2)+ROUND(Q223,2)),0)</f>
        <v>0</v>
      </c>
      <c r="W223" s="43"/>
      <c r="X223" s="43"/>
      <c r="Y223" s="43"/>
      <c r="Z223" s="43"/>
    </row>
    <row r="224" spans="1:26">
      <c r="A224" s="88">
        <v>4696</v>
      </c>
      <c r="B224" s="378" t="s">
        <v>270</v>
      </c>
      <c r="C224" s="88"/>
      <c r="D224" s="1033"/>
      <c r="E224" s="1033"/>
      <c r="F224" s="1033"/>
      <c r="G224" s="1033"/>
      <c r="H224" s="1033"/>
      <c r="I224" s="1033"/>
      <c r="J224" s="1033"/>
      <c r="K224" s="1033"/>
      <c r="L224" s="574"/>
      <c r="M224" s="51"/>
      <c r="N224" s="113">
        <f t="shared" si="26"/>
        <v>4696</v>
      </c>
      <c r="O224" s="575">
        <v>0</v>
      </c>
      <c r="P224" s="576"/>
      <c r="Q224" s="589"/>
      <c r="R224" s="324"/>
      <c r="S224" s="579">
        <v>0</v>
      </c>
      <c r="T224" s="580">
        <f>+IF(ABS(+O224+Q224)&lt;=ABS(P224+R224),-O224+P224-Q224+R224,0)</f>
        <v>0</v>
      </c>
      <c r="U224" s="51"/>
      <c r="V224" s="2119">
        <f>+IF(OR(+ROUND(O224,2)+ROUND(Q224,2)&gt;ROUND(P224,2)+ROUND(R224,2),+ABS(ROUND(O224,2)+ROUND(Q224,2))&gt;+ABS(ROUND(P224,2)+ROUND(R224,2))),+(ROUND(O224,2)+ROUND(Q224,2))-(ROUND(P224,2)+ROUND(R224,2)),0)</f>
        <v>0</v>
      </c>
      <c r="W224" s="43"/>
      <c r="X224" s="43"/>
      <c r="Y224" s="43"/>
      <c r="Z224" s="43"/>
    </row>
    <row r="225" spans="1:26">
      <c r="A225" s="88">
        <v>4830</v>
      </c>
      <c r="B225" s="378" t="s">
        <v>271</v>
      </c>
      <c r="C225" s="88"/>
      <c r="D225" s="1033"/>
      <c r="E225" s="1033"/>
      <c r="F225" s="1033"/>
      <c r="G225" s="1033"/>
      <c r="H225" s="1033"/>
      <c r="I225" s="1033"/>
      <c r="J225" s="1033"/>
      <c r="K225" s="1033"/>
      <c r="L225" s="574"/>
      <c r="M225" s="51"/>
      <c r="N225" s="113">
        <f t="shared" si="26"/>
        <v>4830</v>
      </c>
      <c r="O225" s="575">
        <v>0</v>
      </c>
      <c r="P225" s="576"/>
      <c r="Q225" s="589"/>
      <c r="R225" s="324"/>
      <c r="S225" s="579">
        <v>0</v>
      </c>
      <c r="T225" s="580">
        <f>+IF(ABS(+O225+Q225)&lt;=ABS(P225+R225),-O225+P225-Q225+R225,0)</f>
        <v>0</v>
      </c>
      <c r="U225" s="51"/>
      <c r="V225" s="2119">
        <f>+IF(OR(+ROUND(O225,2)+ROUND(Q225,2)&gt;ROUND(P225,2)+ROUND(R225,2),+ABS(ROUND(O225,2)+ROUND(Q225,2))&gt;+ABS(ROUND(P225,2)+ROUND(R225,2))),+(ROUND(O225,2)+ROUND(Q225,2))-(ROUND(P225,2)+ROUND(R225,2)),0)</f>
        <v>0</v>
      </c>
      <c r="W225" s="43"/>
      <c r="X225" s="43"/>
      <c r="Y225" s="43"/>
      <c r="Z225" s="43"/>
    </row>
    <row r="226" spans="1:26">
      <c r="A226" s="88">
        <v>4831</v>
      </c>
      <c r="B226" s="378" t="s">
        <v>272</v>
      </c>
      <c r="C226" s="88"/>
      <c r="D226" s="1033"/>
      <c r="E226" s="1033"/>
      <c r="F226" s="1033"/>
      <c r="G226" s="1033"/>
      <c r="H226" s="1033"/>
      <c r="I226" s="1033"/>
      <c r="J226" s="1033"/>
      <c r="K226" s="1033"/>
      <c r="L226" s="574"/>
      <c r="M226" s="51"/>
      <c r="N226" s="113">
        <f t="shared" si="26"/>
        <v>4831</v>
      </c>
      <c r="O226" s="575">
        <v>0</v>
      </c>
      <c r="P226" s="576">
        <v>0</v>
      </c>
      <c r="Q226" s="589">
        <v>0</v>
      </c>
      <c r="R226" s="324">
        <v>0</v>
      </c>
      <c r="S226" s="579">
        <v>0</v>
      </c>
      <c r="T226" s="580">
        <f>+IF(ABS(+O226+Q226)&lt;=ABS(P226+R226),-O226+P226-Q226+R226,0)</f>
        <v>0</v>
      </c>
      <c r="U226" s="51"/>
      <c r="V226" s="2119">
        <f>+IF(OR(+ROUND(O226,2)+ROUND(Q226,2)&gt;ROUND(P226,2)+ROUND(R226,2),+ABS(ROUND(O226,2)+ROUND(Q226,2))&gt;+ABS(ROUND(P226,2)+ROUND(R226,2))),+(ROUND(O226,2)+ROUND(Q226,2))-(ROUND(P226,2)+ROUND(R226,2)),0)</f>
        <v>0</v>
      </c>
      <c r="W226" s="43"/>
      <c r="X226" s="43"/>
      <c r="Y226" s="43"/>
      <c r="Z226" s="43"/>
    </row>
    <row r="227" spans="1:26">
      <c r="A227" s="88">
        <v>4832</v>
      </c>
      <c r="B227" s="378" t="s">
        <v>273</v>
      </c>
      <c r="C227" s="88"/>
      <c r="D227" s="1033"/>
      <c r="E227" s="1033"/>
      <c r="F227" s="1033"/>
      <c r="G227" s="1033"/>
      <c r="H227" s="1033"/>
      <c r="I227" s="1033"/>
      <c r="J227" s="1033"/>
      <c r="K227" s="1033"/>
      <c r="L227" s="574"/>
      <c r="M227" s="51"/>
      <c r="N227" s="113">
        <f t="shared" si="26"/>
        <v>4832</v>
      </c>
      <c r="O227" s="575">
        <v>0</v>
      </c>
      <c r="P227" s="576"/>
      <c r="Q227" s="589"/>
      <c r="R227" s="324"/>
      <c r="S227" s="579">
        <v>0</v>
      </c>
      <c r="T227" s="580">
        <f>+IF(ABS(+O227+Q227)&lt;=ABS(P227+R227),-O227+P227-Q227+R227,0)</f>
        <v>0</v>
      </c>
      <c r="U227" s="51"/>
      <c r="V227" s="2119">
        <f>+IF(OR(+ROUND(O227,2)+ROUND(Q227,2)&gt;ROUND(P227,2)+ROUND(R227,2),+ABS(ROUND(O227,2)+ROUND(Q227,2))&gt;+ABS(ROUND(P227,2)+ROUND(R227,2))),+(ROUND(O227,2)+ROUND(Q227,2))-(ROUND(P227,2)+ROUND(R227,2)),0)</f>
        <v>0</v>
      </c>
      <c r="W227" s="43"/>
      <c r="X227" s="43"/>
      <c r="Y227" s="43"/>
      <c r="Z227" s="43"/>
    </row>
    <row r="228" spans="1:26">
      <c r="A228" s="88">
        <v>4835</v>
      </c>
      <c r="B228" s="378" t="s">
        <v>274</v>
      </c>
      <c r="C228" s="88"/>
      <c r="D228" s="1033"/>
      <c r="E228" s="1033"/>
      <c r="F228" s="1033"/>
      <c r="G228" s="1033"/>
      <c r="H228" s="1033"/>
      <c r="I228" s="1033"/>
      <c r="J228" s="1033"/>
      <c r="K228" s="1033"/>
      <c r="L228" s="574"/>
      <c r="M228" s="51"/>
      <c r="N228" s="113">
        <f t="shared" si="26"/>
        <v>4835</v>
      </c>
      <c r="O228" s="575">
        <v>0</v>
      </c>
      <c r="P228" s="576"/>
      <c r="Q228" s="589"/>
      <c r="R228" s="324"/>
      <c r="S228" s="579">
        <v>0</v>
      </c>
      <c r="T228" s="580">
        <f>+IF(ABS(+O228+Q228)&lt;=ABS(P228+R228),-O228+P228-Q228+R228,0)</f>
        <v>0</v>
      </c>
      <c r="U228" s="51"/>
      <c r="V228" s="2119">
        <f>+IF(OR(+ROUND(O228,2)+ROUND(Q228,2)&gt;ROUND(P228,2)+ROUND(R228,2),+ABS(ROUND(O228,2)+ROUND(Q228,2))&gt;+ABS(ROUND(P228,2)+ROUND(R228,2))),+(ROUND(O228,2)+ROUND(Q228,2))-(ROUND(P228,2)+ROUND(R228,2)),0)</f>
        <v>0</v>
      </c>
      <c r="W228" s="43"/>
      <c r="X228" s="43"/>
      <c r="Y228" s="43"/>
      <c r="Z228" s="43"/>
    </row>
    <row r="229" spans="1:26">
      <c r="A229" s="88">
        <v>4841</v>
      </c>
      <c r="B229" s="378" t="s">
        <v>275</v>
      </c>
      <c r="C229" s="88"/>
      <c r="D229" s="1033"/>
      <c r="E229" s="1033"/>
      <c r="F229" s="1033"/>
      <c r="G229" s="1033"/>
      <c r="H229" s="1033"/>
      <c r="I229" s="1033"/>
      <c r="J229" s="1033"/>
      <c r="K229" s="1033"/>
      <c r="L229" s="574"/>
      <c r="M229" s="51"/>
      <c r="N229" s="113">
        <f t="shared" si="26"/>
        <v>4841</v>
      </c>
      <c r="O229" s="581"/>
      <c r="P229" s="582">
        <v>0</v>
      </c>
      <c r="Q229" s="589"/>
      <c r="R229" s="576"/>
      <c r="S229" s="583">
        <f>+IF(ABS(+O229+Q229)&gt;=ABS(P229+R229),+O229-P229+Q229-R229,0)</f>
        <v>0</v>
      </c>
      <c r="T229" s="584">
        <v>0</v>
      </c>
      <c r="U229" s="51"/>
      <c r="V229" s="2120">
        <f>+IF(OR(ROUND(P229,2)+ROUND(R229,2)&gt;+ROUND(O229,2)+ROUND(Q229,2),+ABS(ROUND(P229,2)+ROUND(R229,2))&gt;+ABS(ROUND(O229,2)+ROUND(Q229,2))),+(ROUND(P229,2)+ROUND(R229,2))-(ROUND(O229,2)+ROUND(Q229,2)),0)</f>
        <v>0</v>
      </c>
      <c r="W229" s="43"/>
      <c r="X229" s="43"/>
      <c r="Y229" s="43"/>
      <c r="Z229" s="43"/>
    </row>
    <row r="230" spans="1:26">
      <c r="A230" s="88">
        <v>4843</v>
      </c>
      <c r="B230" s="378" t="s">
        <v>276</v>
      </c>
      <c r="C230" s="88"/>
      <c r="D230" s="1033"/>
      <c r="E230" s="1033"/>
      <c r="F230" s="1033"/>
      <c r="G230" s="1033"/>
      <c r="H230" s="1033"/>
      <c r="I230" s="1033"/>
      <c r="J230" s="1033"/>
      <c r="K230" s="1033"/>
      <c r="L230" s="574"/>
      <c r="M230" s="51"/>
      <c r="N230" s="113">
        <f t="shared" si="26"/>
        <v>4843</v>
      </c>
      <c r="O230" s="581"/>
      <c r="P230" s="582">
        <v>0</v>
      </c>
      <c r="Q230" s="589"/>
      <c r="R230" s="576"/>
      <c r="S230" s="583">
        <f>+IF(ABS(+O230+Q230)&gt;=ABS(P230+R230),+O230-P230+Q230-R230,0)</f>
        <v>0</v>
      </c>
      <c r="T230" s="584">
        <v>0</v>
      </c>
      <c r="U230" s="51"/>
      <c r="V230" s="2120">
        <f>+IF(OR(ROUND(P230,2)+ROUND(R230,2)&gt;+ROUND(O230,2)+ROUND(Q230,2),+ABS(ROUND(P230,2)+ROUND(R230,2))&gt;+ABS(ROUND(O230,2)+ROUND(Q230,2))),+(ROUND(P230,2)+ROUND(R230,2))-(ROUND(O230,2)+ROUND(Q230,2)),0)</f>
        <v>0</v>
      </c>
      <c r="W230" s="43"/>
      <c r="X230" s="43"/>
      <c r="Y230" s="43"/>
      <c r="Z230" s="43"/>
    </row>
    <row r="231" spans="1:26">
      <c r="A231" s="88">
        <v>4844</v>
      </c>
      <c r="B231" s="378" t="s">
        <v>277</v>
      </c>
      <c r="C231" s="88"/>
      <c r="D231" s="1033"/>
      <c r="E231" s="1033"/>
      <c r="F231" s="1033"/>
      <c r="G231" s="1033"/>
      <c r="H231" s="1033"/>
      <c r="I231" s="1033"/>
      <c r="J231" s="1033"/>
      <c r="K231" s="1033"/>
      <c r="L231" s="574"/>
      <c r="M231" s="51"/>
      <c r="N231" s="113">
        <f t="shared" si="26"/>
        <v>4844</v>
      </c>
      <c r="O231" s="581"/>
      <c r="P231" s="582">
        <v>0</v>
      </c>
      <c r="Q231" s="589"/>
      <c r="R231" s="576"/>
      <c r="S231" s="583">
        <f>+IF(ABS(+O231+Q231)&gt;=ABS(P231+R231),+O231-P231+Q231-R231,0)</f>
        <v>0</v>
      </c>
      <c r="T231" s="584">
        <v>0</v>
      </c>
      <c r="U231" s="51"/>
      <c r="V231" s="2120">
        <f>+IF(OR(ROUND(P231,2)+ROUND(R231,2)&gt;+ROUND(O231,2)+ROUND(Q231,2),+ABS(ROUND(P231,2)+ROUND(R231,2))&gt;+ABS(ROUND(O231,2)+ROUND(Q231,2))),+(ROUND(P231,2)+ROUND(R231,2))-(ROUND(O231,2)+ROUND(Q231,2)),0)</f>
        <v>0</v>
      </c>
      <c r="W231" s="43"/>
      <c r="X231" s="43"/>
      <c r="Y231" s="43"/>
      <c r="Z231" s="43"/>
    </row>
    <row r="232" spans="1:26">
      <c r="A232" s="88">
        <v>4845</v>
      </c>
      <c r="B232" s="378" t="s">
        <v>278</v>
      </c>
      <c r="C232" s="88"/>
      <c r="D232" s="1033"/>
      <c r="E232" s="1033"/>
      <c r="F232" s="1033"/>
      <c r="G232" s="1033"/>
      <c r="H232" s="1033"/>
      <c r="I232" s="1033"/>
      <c r="J232" s="1033"/>
      <c r="K232" s="1033"/>
      <c r="L232" s="574"/>
      <c r="M232" s="51"/>
      <c r="N232" s="113">
        <f t="shared" si="26"/>
        <v>4845</v>
      </c>
      <c r="O232" s="575">
        <v>0</v>
      </c>
      <c r="P232" s="576"/>
      <c r="Q232" s="589"/>
      <c r="R232" s="324"/>
      <c r="S232" s="579">
        <v>0</v>
      </c>
      <c r="T232" s="580">
        <f>+IF(ABS(+O232+Q232)&lt;=ABS(P232+R232),-O232+P232-Q232+R232,0)</f>
        <v>0</v>
      </c>
      <c r="U232" s="51"/>
      <c r="V232" s="2119">
        <f>+IF(OR(+ROUND(O232,2)+ROUND(Q232,2)&gt;ROUND(P232,2)+ROUND(R232,2),+ABS(ROUND(O232,2)+ROUND(Q232,2))&gt;+ABS(ROUND(P232,2)+ROUND(R232,2))),+(ROUND(O232,2)+ROUND(Q232,2))-(ROUND(P232,2)+ROUND(R232,2)),0)</f>
        <v>0</v>
      </c>
      <c r="W232" s="43"/>
      <c r="X232" s="43"/>
      <c r="Y232" s="43"/>
      <c r="Z232" s="43"/>
    </row>
    <row r="233" spans="1:26">
      <c r="A233" s="88">
        <v>4847</v>
      </c>
      <c r="B233" s="378" t="s">
        <v>279</v>
      </c>
      <c r="C233" s="88"/>
      <c r="D233" s="1033"/>
      <c r="E233" s="1033"/>
      <c r="F233" s="1033"/>
      <c r="G233" s="1033"/>
      <c r="H233" s="1033"/>
      <c r="I233" s="1033"/>
      <c r="J233" s="1033"/>
      <c r="K233" s="1033"/>
      <c r="L233" s="574"/>
      <c r="M233" s="51"/>
      <c r="N233" s="113">
        <f t="shared" si="26"/>
        <v>4847</v>
      </c>
      <c r="O233" s="575">
        <v>0</v>
      </c>
      <c r="P233" s="576"/>
      <c r="Q233" s="589"/>
      <c r="R233" s="324"/>
      <c r="S233" s="579">
        <v>0</v>
      </c>
      <c r="T233" s="580">
        <f>+IF(ABS(+O233+Q233)&lt;=ABS(P233+R233),-O233+P233-Q233+R233,0)</f>
        <v>0</v>
      </c>
      <c r="U233" s="51"/>
      <c r="V233" s="2119">
        <f>+IF(OR(+ROUND(O233,2)+ROUND(Q233,2)&gt;ROUND(P233,2)+ROUND(R233,2),+ABS(ROUND(O233,2)+ROUND(Q233,2))&gt;+ABS(ROUND(P233,2)+ROUND(R233,2))),+(ROUND(O233,2)+ROUND(Q233,2))-(ROUND(P233,2)+ROUND(R233,2)),0)</f>
        <v>0</v>
      </c>
      <c r="W233" s="43"/>
      <c r="X233" s="43"/>
      <c r="Y233" s="43"/>
      <c r="Z233" s="43"/>
    </row>
    <row r="234" spans="1:26">
      <c r="A234" s="88">
        <v>4848</v>
      </c>
      <c r="B234" s="378" t="s">
        <v>280</v>
      </c>
      <c r="C234" s="88"/>
      <c r="D234" s="1033"/>
      <c r="E234" s="1033"/>
      <c r="F234" s="1033"/>
      <c r="G234" s="1033"/>
      <c r="H234" s="1033"/>
      <c r="I234" s="1033"/>
      <c r="J234" s="1033"/>
      <c r="K234" s="1033"/>
      <c r="L234" s="574"/>
      <c r="M234" s="51"/>
      <c r="N234" s="113">
        <f t="shared" si="26"/>
        <v>4848</v>
      </c>
      <c r="O234" s="575">
        <v>0</v>
      </c>
      <c r="P234" s="576"/>
      <c r="Q234" s="589"/>
      <c r="R234" s="324"/>
      <c r="S234" s="579">
        <v>0</v>
      </c>
      <c r="T234" s="580">
        <f>+IF(ABS(+O234+Q234)&lt;=ABS(P234+R234),-O234+P234-Q234+R234,0)</f>
        <v>0</v>
      </c>
      <c r="U234" s="51"/>
      <c r="V234" s="2119">
        <f>+IF(OR(+ROUND(O234,2)+ROUND(Q234,2)&gt;ROUND(P234,2)+ROUND(R234,2),+ABS(ROUND(O234,2)+ROUND(Q234,2))&gt;+ABS(ROUND(P234,2)+ROUND(R234,2))),+(ROUND(O234,2)+ROUND(Q234,2))-(ROUND(P234,2)+ROUND(R234,2)),0)</f>
        <v>0</v>
      </c>
      <c r="W234" s="43"/>
      <c r="X234" s="43"/>
      <c r="Y234" s="43"/>
      <c r="Z234" s="43"/>
    </row>
    <row r="235" spans="1:26">
      <c r="A235" s="88">
        <v>4851</v>
      </c>
      <c r="B235" s="378" t="s">
        <v>281</v>
      </c>
      <c r="C235" s="88"/>
      <c r="D235" s="1033"/>
      <c r="E235" s="1033"/>
      <c r="F235" s="1033"/>
      <c r="G235" s="1033"/>
      <c r="H235" s="1033"/>
      <c r="I235" s="1033"/>
      <c r="J235" s="1033"/>
      <c r="K235" s="1033"/>
      <c r="L235" s="574"/>
      <c r="M235" s="51"/>
      <c r="N235" s="113">
        <f t="shared" si="26"/>
        <v>4851</v>
      </c>
      <c r="O235" s="575">
        <v>0</v>
      </c>
      <c r="P235" s="576"/>
      <c r="Q235" s="589"/>
      <c r="R235" s="324"/>
      <c r="S235" s="579">
        <v>0</v>
      </c>
      <c r="T235" s="580">
        <f>+IF(ABS(+O235+Q235)&lt;=ABS(P235+R235),-O235+P235-Q235+R235,0)</f>
        <v>0</v>
      </c>
      <c r="U235" s="51"/>
      <c r="V235" s="2119">
        <f>+IF(OR(+ROUND(O235,2)+ROUND(Q235,2)&gt;ROUND(P235,2)+ROUND(R235,2),+ABS(ROUND(O235,2)+ROUND(Q235,2))&gt;+ABS(ROUND(P235,2)+ROUND(R235,2))),+(ROUND(O235,2)+ROUND(Q235,2))-(ROUND(P235,2)+ROUND(R235,2)),0)</f>
        <v>0</v>
      </c>
      <c r="W235" s="43"/>
      <c r="X235" s="43"/>
      <c r="Y235" s="43"/>
      <c r="Z235" s="43"/>
    </row>
    <row r="236" spans="1:26">
      <c r="A236" s="88">
        <v>4852</v>
      </c>
      <c r="B236" s="378" t="s">
        <v>282</v>
      </c>
      <c r="C236" s="88"/>
      <c r="D236" s="1033"/>
      <c r="E236" s="1033"/>
      <c r="F236" s="1033"/>
      <c r="G236" s="1033"/>
      <c r="H236" s="1033"/>
      <c r="I236" s="1033"/>
      <c r="J236" s="1033"/>
      <c r="K236" s="1033"/>
      <c r="L236" s="574"/>
      <c r="M236" s="51"/>
      <c r="N236" s="113">
        <f t="shared" si="26"/>
        <v>4852</v>
      </c>
      <c r="O236" s="581"/>
      <c r="P236" s="582">
        <v>0</v>
      </c>
      <c r="Q236" s="589"/>
      <c r="R236" s="576"/>
      <c r="S236" s="583">
        <f>+IF(ABS(+O236+Q236)&gt;=ABS(P236+R236),+O236-P236+Q236-R236,0)</f>
        <v>0</v>
      </c>
      <c r="T236" s="584">
        <v>0</v>
      </c>
      <c r="U236" s="51"/>
      <c r="V236" s="2120">
        <f>+IF(OR(ROUND(P236,2)+ROUND(R236,2)&gt;+ROUND(O236,2)+ROUND(Q236,2),+ABS(ROUND(P236,2)+ROUND(R236,2))&gt;+ABS(ROUND(O236,2)+ROUND(Q236,2))),+(ROUND(P236,2)+ROUND(R236,2))-(ROUND(O236,2)+ROUND(Q236,2)),0)</f>
        <v>0</v>
      </c>
      <c r="W236" s="43"/>
      <c r="X236" s="43"/>
      <c r="Y236" s="43"/>
      <c r="Z236" s="43"/>
    </row>
    <row r="237" spans="1:26">
      <c r="A237" s="88">
        <v>4853</v>
      </c>
      <c r="B237" s="378" t="s">
        <v>283</v>
      </c>
      <c r="C237" s="88"/>
      <c r="D237" s="1033"/>
      <c r="E237" s="1033"/>
      <c r="F237" s="1033"/>
      <c r="G237" s="1033"/>
      <c r="H237" s="1033"/>
      <c r="I237" s="1033"/>
      <c r="J237" s="1033"/>
      <c r="K237" s="1033"/>
      <c r="L237" s="574"/>
      <c r="M237" s="51"/>
      <c r="N237" s="113">
        <f t="shared" si="26"/>
        <v>4853</v>
      </c>
      <c r="O237" s="575">
        <v>0</v>
      </c>
      <c r="P237" s="576"/>
      <c r="Q237" s="589"/>
      <c r="R237" s="324"/>
      <c r="S237" s="579">
        <v>0</v>
      </c>
      <c r="T237" s="580">
        <f>+IF(ABS(+O237+Q237)&lt;=ABS(P237+R237),-O237+P237-Q237+R237,0)</f>
        <v>0</v>
      </c>
      <c r="U237" s="51"/>
      <c r="V237" s="2119">
        <f>+IF(OR(+ROUND(O237,2)+ROUND(Q237,2)&gt;ROUND(P237,2)+ROUND(R237,2),+ABS(ROUND(O237,2)+ROUND(Q237,2))&gt;+ABS(ROUND(P237,2)+ROUND(R237,2))),+(ROUND(O237,2)+ROUND(Q237,2))-(ROUND(P237,2)+ROUND(R237,2)),0)</f>
        <v>0</v>
      </c>
      <c r="W237" s="43"/>
      <c r="X237" s="43"/>
      <c r="Y237" s="43"/>
      <c r="Z237" s="43"/>
    </row>
    <row r="238" spans="1:26">
      <c r="A238" s="88">
        <v>4854</v>
      </c>
      <c r="B238" s="378" t="s">
        <v>284</v>
      </c>
      <c r="C238" s="88"/>
      <c r="D238" s="1033"/>
      <c r="E238" s="1033"/>
      <c r="F238" s="1033"/>
      <c r="G238" s="1033"/>
      <c r="H238" s="1033"/>
      <c r="I238" s="1033"/>
      <c r="J238" s="1033"/>
      <c r="K238" s="1033"/>
      <c r="L238" s="574"/>
      <c r="M238" s="51"/>
      <c r="N238" s="113">
        <f t="shared" si="26"/>
        <v>4854</v>
      </c>
      <c r="O238" s="575">
        <v>0</v>
      </c>
      <c r="P238" s="576"/>
      <c r="Q238" s="589"/>
      <c r="R238" s="324"/>
      <c r="S238" s="579">
        <v>0</v>
      </c>
      <c r="T238" s="580">
        <f>+IF(ABS(+O238+Q238)&lt;=ABS(P238+R238),-O238+P238-Q238+R238,0)</f>
        <v>0</v>
      </c>
      <c r="U238" s="51"/>
      <c r="V238" s="2119">
        <f>+IF(OR(+ROUND(O238,2)+ROUND(Q238,2)&gt;ROUND(P238,2)+ROUND(R238,2),+ABS(ROUND(O238,2)+ROUND(Q238,2))&gt;+ABS(ROUND(P238,2)+ROUND(R238,2))),+(ROUND(O238,2)+ROUND(Q238,2))-(ROUND(P238,2)+ROUND(R238,2)),0)</f>
        <v>0</v>
      </c>
      <c r="W238" s="43"/>
      <c r="X238" s="43"/>
      <c r="Y238" s="43"/>
      <c r="Z238" s="43"/>
    </row>
    <row r="239" spans="1:26">
      <c r="A239" s="88">
        <v>4857</v>
      </c>
      <c r="B239" s="378" t="s">
        <v>285</v>
      </c>
      <c r="C239" s="88"/>
      <c r="D239" s="1033"/>
      <c r="E239" s="1033"/>
      <c r="F239" s="1033"/>
      <c r="G239" s="1033"/>
      <c r="H239" s="1033"/>
      <c r="I239" s="1033"/>
      <c r="J239" s="1033"/>
      <c r="K239" s="1033"/>
      <c r="L239" s="574"/>
      <c r="M239" s="51"/>
      <c r="N239" s="113">
        <f t="shared" si="26"/>
        <v>4857</v>
      </c>
      <c r="O239" s="581"/>
      <c r="P239" s="582">
        <v>0</v>
      </c>
      <c r="Q239" s="589"/>
      <c r="R239" s="576"/>
      <c r="S239" s="583">
        <f>+IF(ABS(+O239+Q239)&gt;=ABS(P239+R239),+O239-P239+Q239-R239,0)</f>
        <v>0</v>
      </c>
      <c r="T239" s="584">
        <v>0</v>
      </c>
      <c r="U239" s="51"/>
      <c r="V239" s="2120">
        <f>+IF(OR(ROUND(P239,2)+ROUND(R239,2)&gt;+ROUND(O239,2)+ROUND(Q239,2),+ABS(ROUND(P239,2)+ROUND(R239,2))&gt;+ABS(ROUND(O239,2)+ROUND(Q239,2))),+(ROUND(P239,2)+ROUND(R239,2))-(ROUND(O239,2)+ROUND(Q239,2)),0)</f>
        <v>0</v>
      </c>
      <c r="W239" s="43"/>
      <c r="X239" s="43"/>
      <c r="Y239" s="43"/>
      <c r="Z239" s="43"/>
    </row>
    <row r="240" spans="1:26">
      <c r="A240" s="88">
        <v>4858</v>
      </c>
      <c r="B240" s="378" t="s">
        <v>286</v>
      </c>
      <c r="C240" s="88"/>
      <c r="D240" s="1033"/>
      <c r="E240" s="1033"/>
      <c r="F240" s="1033"/>
      <c r="G240" s="1033"/>
      <c r="H240" s="1033"/>
      <c r="I240" s="1033"/>
      <c r="J240" s="1033"/>
      <c r="K240" s="1033"/>
      <c r="L240" s="574"/>
      <c r="M240" s="51"/>
      <c r="N240" s="113">
        <f t="shared" si="26"/>
        <v>4858</v>
      </c>
      <c r="O240" s="581"/>
      <c r="P240" s="582">
        <v>0</v>
      </c>
      <c r="Q240" s="589"/>
      <c r="R240" s="576"/>
      <c r="S240" s="583">
        <f>+IF(ABS(+O240+Q240)&gt;=ABS(P240+R240),+O240-P240+Q240-R240,0)</f>
        <v>0</v>
      </c>
      <c r="T240" s="584">
        <v>0</v>
      </c>
      <c r="U240" s="51"/>
      <c r="V240" s="2120">
        <f>+IF(OR(ROUND(P240,2)+ROUND(R240,2)&gt;+ROUND(O240,2)+ROUND(Q240,2),+ABS(ROUND(P240,2)+ROUND(R240,2))&gt;+ABS(ROUND(O240,2)+ROUND(Q240,2))),+(ROUND(P240,2)+ROUND(R240,2))-(ROUND(O240,2)+ROUND(Q240,2)),0)</f>
        <v>0</v>
      </c>
      <c r="W240" s="43"/>
      <c r="X240" s="43"/>
      <c r="Y240" s="43"/>
      <c r="Z240" s="43"/>
    </row>
    <row r="241" spans="1:26">
      <c r="A241" s="88">
        <v>4861</v>
      </c>
      <c r="B241" s="378" t="s">
        <v>287</v>
      </c>
      <c r="C241" s="88"/>
      <c r="D241" s="1033"/>
      <c r="E241" s="1033"/>
      <c r="F241" s="1033"/>
      <c r="G241" s="1033"/>
      <c r="H241" s="1033"/>
      <c r="I241" s="1033"/>
      <c r="J241" s="1033"/>
      <c r="K241" s="1033"/>
      <c r="L241" s="574"/>
      <c r="M241" s="51"/>
      <c r="N241" s="113">
        <f t="shared" si="26"/>
        <v>4861</v>
      </c>
      <c r="O241" s="575">
        <v>0</v>
      </c>
      <c r="P241" s="576"/>
      <c r="Q241" s="589"/>
      <c r="R241" s="324"/>
      <c r="S241" s="579">
        <v>0</v>
      </c>
      <c r="T241" s="580">
        <f>+IF(ABS(+O241+Q241)&lt;=ABS(P241+R241),-O241+P241-Q241+R241,0)</f>
        <v>0</v>
      </c>
      <c r="U241" s="51"/>
      <c r="V241" s="2119">
        <f>+IF(OR(+ROUND(O241,2)+ROUND(Q241,2)&gt;ROUND(P241,2)+ROUND(R241,2),+ABS(ROUND(O241,2)+ROUND(Q241,2))&gt;+ABS(ROUND(P241,2)+ROUND(R241,2))),+(ROUND(O241,2)+ROUND(Q241,2))-(ROUND(P241,2)+ROUND(R241,2)),0)</f>
        <v>0</v>
      </c>
      <c r="W241" s="43"/>
      <c r="X241" s="43"/>
      <c r="Y241" s="43"/>
      <c r="Z241" s="43"/>
    </row>
    <row r="242" spans="1:26">
      <c r="A242" s="88">
        <v>4862</v>
      </c>
      <c r="B242" s="378" t="s">
        <v>288</v>
      </c>
      <c r="C242" s="88"/>
      <c r="D242" s="1033"/>
      <c r="E242" s="1033"/>
      <c r="F242" s="1033"/>
      <c r="G242" s="1033"/>
      <c r="H242" s="1033"/>
      <c r="I242" s="1033"/>
      <c r="J242" s="1033"/>
      <c r="K242" s="1033"/>
      <c r="L242" s="574"/>
      <c r="M242" s="51"/>
      <c r="N242" s="113">
        <f t="shared" si="26"/>
        <v>4862</v>
      </c>
      <c r="O242" s="575">
        <v>0</v>
      </c>
      <c r="P242" s="576"/>
      <c r="Q242" s="589"/>
      <c r="R242" s="324"/>
      <c r="S242" s="579">
        <v>0</v>
      </c>
      <c r="T242" s="580">
        <f>+IF(ABS(+O242+Q242)&lt;=ABS(P242+R242),-O242+P242-Q242+R242,0)</f>
        <v>0</v>
      </c>
      <c r="U242" s="51"/>
      <c r="V242" s="2119">
        <f>+IF(OR(+ROUND(O242,2)+ROUND(Q242,2)&gt;ROUND(P242,2)+ROUND(R242,2),+ABS(ROUND(O242,2)+ROUND(Q242,2))&gt;+ABS(ROUND(P242,2)+ROUND(R242,2))),+(ROUND(O242,2)+ROUND(Q242,2))-(ROUND(P242,2)+ROUND(R242,2)),0)</f>
        <v>0</v>
      </c>
      <c r="W242" s="43"/>
      <c r="X242" s="43"/>
      <c r="Y242" s="43"/>
      <c r="Z242" s="43"/>
    </row>
    <row r="243" spans="1:26">
      <c r="A243" s="88">
        <v>4863</v>
      </c>
      <c r="B243" s="378" t="s">
        <v>289</v>
      </c>
      <c r="C243" s="88"/>
      <c r="D243" s="1033"/>
      <c r="E243" s="1033"/>
      <c r="F243" s="1033"/>
      <c r="G243" s="1033"/>
      <c r="H243" s="1033"/>
      <c r="I243" s="1033"/>
      <c r="J243" s="1033"/>
      <c r="K243" s="1033"/>
      <c r="L243" s="574"/>
      <c r="M243" s="51"/>
      <c r="N243" s="113">
        <f t="shared" si="26"/>
        <v>4863</v>
      </c>
      <c r="O243" s="575">
        <v>0</v>
      </c>
      <c r="P243" s="576"/>
      <c r="Q243" s="589"/>
      <c r="R243" s="324"/>
      <c r="S243" s="579">
        <v>0</v>
      </c>
      <c r="T243" s="580">
        <f>+IF(ABS(+O243+Q243)&lt;=ABS(P243+R243),-O243+P243-Q243+R243,0)</f>
        <v>0</v>
      </c>
      <c r="U243" s="51"/>
      <c r="V243" s="2119">
        <f>+IF(OR(+ROUND(O243,2)+ROUND(Q243,2)&gt;ROUND(P243,2)+ROUND(R243,2),+ABS(ROUND(O243,2)+ROUND(Q243,2))&gt;+ABS(ROUND(P243,2)+ROUND(R243,2))),+(ROUND(O243,2)+ROUND(Q243,2))-(ROUND(P243,2)+ROUND(R243,2)),0)</f>
        <v>0</v>
      </c>
      <c r="W243" s="43"/>
      <c r="X243" s="43"/>
      <c r="Y243" s="43"/>
      <c r="Z243" s="43"/>
    </row>
    <row r="244" spans="1:26">
      <c r="A244" s="88">
        <v>4864</v>
      </c>
      <c r="B244" s="378" t="s">
        <v>290</v>
      </c>
      <c r="C244" s="88"/>
      <c r="D244" s="1033"/>
      <c r="E244" s="1033"/>
      <c r="F244" s="1033"/>
      <c r="G244" s="1033"/>
      <c r="H244" s="1033"/>
      <c r="I244" s="1033"/>
      <c r="J244" s="1033"/>
      <c r="K244" s="1033"/>
      <c r="L244" s="574"/>
      <c r="M244" s="51"/>
      <c r="N244" s="113">
        <f t="shared" si="26"/>
        <v>4864</v>
      </c>
      <c r="O244" s="575">
        <v>0</v>
      </c>
      <c r="P244" s="576"/>
      <c r="Q244" s="589"/>
      <c r="R244" s="324"/>
      <c r="S244" s="579">
        <v>0</v>
      </c>
      <c r="T244" s="580">
        <f>+IF(ABS(+O244+Q244)&lt;=ABS(P244+R244),-O244+P244-Q244+R244,0)</f>
        <v>0</v>
      </c>
      <c r="U244" s="51"/>
      <c r="V244" s="2119">
        <f>+IF(OR(+ROUND(O244,2)+ROUND(Q244,2)&gt;ROUND(P244,2)+ROUND(R244,2),+ABS(ROUND(O244,2)+ROUND(Q244,2))&gt;+ABS(ROUND(P244,2)+ROUND(R244,2))),+(ROUND(O244,2)+ROUND(Q244,2))-(ROUND(P244,2)+ROUND(R244,2)),0)</f>
        <v>0</v>
      </c>
      <c r="W244" s="43"/>
      <c r="X244" s="43"/>
      <c r="Y244" s="43"/>
      <c r="Z244" s="43"/>
    </row>
    <row r="245" spans="1:26">
      <c r="A245" s="88">
        <v>4865</v>
      </c>
      <c r="B245" s="378" t="s">
        <v>291</v>
      </c>
      <c r="C245" s="88"/>
      <c r="D245" s="1033"/>
      <c r="E245" s="1033"/>
      <c r="F245" s="1033"/>
      <c r="G245" s="1033"/>
      <c r="H245" s="1033"/>
      <c r="I245" s="1033"/>
      <c r="J245" s="1033"/>
      <c r="K245" s="1033"/>
      <c r="L245" s="574"/>
      <c r="M245" s="51"/>
      <c r="N245" s="113">
        <f t="shared" si="26"/>
        <v>4865</v>
      </c>
      <c r="O245" s="581"/>
      <c r="P245" s="582">
        <v>0</v>
      </c>
      <c r="Q245" s="589"/>
      <c r="R245" s="576"/>
      <c r="S245" s="583">
        <f t="shared" ref="S245:S250" si="27">+IF(ABS(+O245+Q245)&gt;=ABS(P245+R245),+O245-P245+Q245-R245,0)</f>
        <v>0</v>
      </c>
      <c r="T245" s="584">
        <v>0</v>
      </c>
      <c r="U245" s="51"/>
      <c r="V245" s="2120">
        <f t="shared" ref="V245:V250" si="28">+IF(OR(ROUND(P245,2)+ROUND(R245,2)&gt;+ROUND(O245,2)+ROUND(Q245,2),+ABS(ROUND(P245,2)+ROUND(R245,2))&gt;+ABS(ROUND(O245,2)+ROUND(Q245,2))),+(ROUND(P245,2)+ROUND(R245,2))-(ROUND(O245,2)+ROUND(Q245,2)),0)</f>
        <v>0</v>
      </c>
      <c r="W245" s="43"/>
      <c r="X245" s="43"/>
      <c r="Y245" s="43"/>
      <c r="Z245" s="43"/>
    </row>
    <row r="246" spans="1:26">
      <c r="A246" s="88">
        <v>4866</v>
      </c>
      <c r="B246" s="378" t="s">
        <v>292</v>
      </c>
      <c r="C246" s="88"/>
      <c r="D246" s="1033"/>
      <c r="E246" s="1033"/>
      <c r="F246" s="1033"/>
      <c r="G246" s="1033"/>
      <c r="H246" s="1033"/>
      <c r="I246" s="1033"/>
      <c r="J246" s="1033"/>
      <c r="K246" s="1033"/>
      <c r="L246" s="574"/>
      <c r="M246" s="51"/>
      <c r="N246" s="113">
        <f t="shared" si="26"/>
        <v>4866</v>
      </c>
      <c r="O246" s="581"/>
      <c r="P246" s="582">
        <v>0</v>
      </c>
      <c r="Q246" s="589"/>
      <c r="R246" s="576"/>
      <c r="S246" s="583">
        <f t="shared" si="27"/>
        <v>0</v>
      </c>
      <c r="T246" s="584">
        <v>0</v>
      </c>
      <c r="U246" s="51"/>
      <c r="V246" s="2120">
        <f t="shared" si="28"/>
        <v>0</v>
      </c>
      <c r="W246" s="43"/>
      <c r="X246" s="43"/>
      <c r="Y246" s="43"/>
      <c r="Z246" s="43"/>
    </row>
    <row r="247" spans="1:26">
      <c r="A247" s="88">
        <v>4867</v>
      </c>
      <c r="B247" s="378" t="s">
        <v>293</v>
      </c>
      <c r="C247" s="88"/>
      <c r="D247" s="1033"/>
      <c r="E247" s="1033"/>
      <c r="F247" s="1033"/>
      <c r="G247" s="1033"/>
      <c r="H247" s="1033"/>
      <c r="I247" s="1033"/>
      <c r="J247" s="1033"/>
      <c r="K247" s="1033"/>
      <c r="L247" s="574"/>
      <c r="M247" s="51"/>
      <c r="N247" s="113">
        <f t="shared" si="26"/>
        <v>4867</v>
      </c>
      <c r="O247" s="581"/>
      <c r="P247" s="582">
        <v>0</v>
      </c>
      <c r="Q247" s="589"/>
      <c r="R247" s="576"/>
      <c r="S247" s="583">
        <f t="shared" si="27"/>
        <v>0</v>
      </c>
      <c r="T247" s="584">
        <v>0</v>
      </c>
      <c r="U247" s="51"/>
      <c r="V247" s="2120">
        <f t="shared" si="28"/>
        <v>0</v>
      </c>
      <c r="W247" s="43"/>
      <c r="X247" s="43"/>
      <c r="Y247" s="43"/>
      <c r="Z247" s="43"/>
    </row>
    <row r="248" spans="1:26">
      <c r="A248" s="88">
        <v>4868</v>
      </c>
      <c r="B248" s="378" t="s">
        <v>294</v>
      </c>
      <c r="C248" s="88"/>
      <c r="D248" s="1033"/>
      <c r="E248" s="1033"/>
      <c r="F248" s="1033"/>
      <c r="G248" s="1033"/>
      <c r="H248" s="1033"/>
      <c r="I248" s="1033"/>
      <c r="J248" s="1033"/>
      <c r="K248" s="1033"/>
      <c r="L248" s="574"/>
      <c r="M248" s="51"/>
      <c r="N248" s="113">
        <f t="shared" si="26"/>
        <v>4868</v>
      </c>
      <c r="O248" s="581"/>
      <c r="P248" s="582">
        <v>0</v>
      </c>
      <c r="Q248" s="589"/>
      <c r="R248" s="576"/>
      <c r="S248" s="583">
        <f t="shared" si="27"/>
        <v>0</v>
      </c>
      <c r="T248" s="584">
        <v>0</v>
      </c>
      <c r="U248" s="51"/>
      <c r="V248" s="2120">
        <f t="shared" si="28"/>
        <v>0</v>
      </c>
      <c r="W248" s="43"/>
      <c r="X248" s="43"/>
      <c r="Y248" s="43"/>
      <c r="Z248" s="43"/>
    </row>
    <row r="249" spans="1:26">
      <c r="A249" s="88">
        <v>4871</v>
      </c>
      <c r="B249" s="378" t="s">
        <v>295</v>
      </c>
      <c r="C249" s="88"/>
      <c r="D249" s="1033"/>
      <c r="E249" s="1033"/>
      <c r="F249" s="1033"/>
      <c r="G249" s="1033"/>
      <c r="H249" s="1033"/>
      <c r="I249" s="1033"/>
      <c r="J249" s="1033"/>
      <c r="K249" s="1033"/>
      <c r="L249" s="574"/>
      <c r="M249" s="51"/>
      <c r="N249" s="113">
        <f t="shared" si="26"/>
        <v>4871</v>
      </c>
      <c r="O249" s="581"/>
      <c r="P249" s="582">
        <v>0</v>
      </c>
      <c r="Q249" s="589"/>
      <c r="R249" s="576"/>
      <c r="S249" s="583">
        <f t="shared" si="27"/>
        <v>0</v>
      </c>
      <c r="T249" s="584">
        <v>0</v>
      </c>
      <c r="U249" s="51"/>
      <c r="V249" s="2120">
        <f t="shared" si="28"/>
        <v>0</v>
      </c>
      <c r="W249" s="43"/>
      <c r="X249" s="43"/>
      <c r="Y249" s="43"/>
      <c r="Z249" s="43"/>
    </row>
    <row r="250" spans="1:26">
      <c r="A250" s="88">
        <v>4872</v>
      </c>
      <c r="B250" s="378" t="s">
        <v>296</v>
      </c>
      <c r="C250" s="88"/>
      <c r="D250" s="1033"/>
      <c r="E250" s="1033"/>
      <c r="F250" s="1033"/>
      <c r="G250" s="1033"/>
      <c r="H250" s="1033"/>
      <c r="I250" s="1033"/>
      <c r="J250" s="1033"/>
      <c r="K250" s="1033"/>
      <c r="L250" s="574"/>
      <c r="M250" s="51"/>
      <c r="N250" s="113">
        <f t="shared" si="26"/>
        <v>4872</v>
      </c>
      <c r="O250" s="581"/>
      <c r="P250" s="582">
        <v>0</v>
      </c>
      <c r="Q250" s="589"/>
      <c r="R250" s="576"/>
      <c r="S250" s="583">
        <f t="shared" si="27"/>
        <v>0</v>
      </c>
      <c r="T250" s="584">
        <v>0</v>
      </c>
      <c r="U250" s="51"/>
      <c r="V250" s="2120">
        <f t="shared" si="28"/>
        <v>0</v>
      </c>
      <c r="W250" s="43"/>
      <c r="X250" s="43"/>
      <c r="Y250" s="43"/>
      <c r="Z250" s="43"/>
    </row>
    <row r="251" spans="1:26">
      <c r="A251" s="88">
        <v>4877</v>
      </c>
      <c r="B251" s="378" t="s">
        <v>297</v>
      </c>
      <c r="C251" s="88"/>
      <c r="D251" s="1033"/>
      <c r="E251" s="1033"/>
      <c r="F251" s="1033"/>
      <c r="G251" s="1033"/>
      <c r="H251" s="1033"/>
      <c r="I251" s="1033"/>
      <c r="J251" s="1033"/>
      <c r="K251" s="1033"/>
      <c r="L251" s="574"/>
      <c r="M251" s="51"/>
      <c r="N251" s="113">
        <f t="shared" si="26"/>
        <v>4877</v>
      </c>
      <c r="O251" s="575">
        <v>0</v>
      </c>
      <c r="P251" s="576"/>
      <c r="Q251" s="589"/>
      <c r="R251" s="324"/>
      <c r="S251" s="579">
        <v>0</v>
      </c>
      <c r="T251" s="580">
        <f>+IF(ABS(+O251+Q251)&lt;=ABS(P251+R251),-O251+P251-Q251+R251,0)</f>
        <v>0</v>
      </c>
      <c r="U251" s="51"/>
      <c r="V251" s="2119">
        <f>+IF(OR(+ROUND(O251,2)+ROUND(Q251,2)&gt;ROUND(P251,2)+ROUND(R251,2),+ABS(ROUND(O251,2)+ROUND(Q251,2))&gt;+ABS(ROUND(P251,2)+ROUND(R251,2))),+(ROUND(O251,2)+ROUND(Q251,2))-(ROUND(P251,2)+ROUND(R251,2)),0)</f>
        <v>0</v>
      </c>
      <c r="W251" s="43"/>
      <c r="X251" s="43"/>
      <c r="Y251" s="43"/>
      <c r="Z251" s="43"/>
    </row>
    <row r="252" spans="1:26">
      <c r="A252" s="88">
        <v>4878</v>
      </c>
      <c r="B252" s="378" t="s">
        <v>298</v>
      </c>
      <c r="C252" s="88"/>
      <c r="D252" s="1033"/>
      <c r="E252" s="1033"/>
      <c r="F252" s="1033"/>
      <c r="G252" s="1033"/>
      <c r="H252" s="1033"/>
      <c r="I252" s="1033"/>
      <c r="J252" s="1033"/>
      <c r="K252" s="1033"/>
      <c r="L252" s="574"/>
      <c r="M252" s="51"/>
      <c r="N252" s="113">
        <f t="shared" si="26"/>
        <v>4878</v>
      </c>
      <c r="O252" s="575">
        <v>0</v>
      </c>
      <c r="P252" s="576"/>
      <c r="Q252" s="589"/>
      <c r="R252" s="324"/>
      <c r="S252" s="579">
        <v>0</v>
      </c>
      <c r="T252" s="580">
        <f>+IF(ABS(+O252+Q252)&lt;=ABS(P252+R252),-O252+P252-Q252+R252,0)</f>
        <v>0</v>
      </c>
      <c r="U252" s="51"/>
      <c r="V252" s="2119">
        <f>+IF(OR(+ROUND(O252,2)+ROUND(Q252,2)&gt;ROUND(P252,2)+ROUND(R252,2),+ABS(ROUND(O252,2)+ROUND(Q252,2))&gt;+ABS(ROUND(P252,2)+ROUND(R252,2))),+(ROUND(O252,2)+ROUND(Q252,2))-(ROUND(P252,2)+ROUND(R252,2)),0)</f>
        <v>0</v>
      </c>
      <c r="W252" s="43"/>
      <c r="X252" s="43"/>
      <c r="Y252" s="43"/>
      <c r="Z252" s="43"/>
    </row>
    <row r="253" spans="1:26">
      <c r="A253" s="88">
        <v>4885</v>
      </c>
      <c r="B253" s="378" t="s">
        <v>299</v>
      </c>
      <c r="C253" s="88"/>
      <c r="D253" s="1033"/>
      <c r="E253" s="1033"/>
      <c r="F253" s="1033"/>
      <c r="G253" s="1033"/>
      <c r="H253" s="1033"/>
      <c r="I253" s="1033"/>
      <c r="J253" s="1033"/>
      <c r="K253" s="1033"/>
      <c r="L253" s="574"/>
      <c r="M253" s="51"/>
      <c r="N253" s="113">
        <f t="shared" si="26"/>
        <v>4885</v>
      </c>
      <c r="O253" s="581"/>
      <c r="P253" s="582">
        <v>0</v>
      </c>
      <c r="Q253" s="589"/>
      <c r="R253" s="576"/>
      <c r="S253" s="583">
        <f>+IF(ABS(+O253+Q253)&gt;=ABS(P253+R253),+O253-P253+Q253-R253,0)</f>
        <v>0</v>
      </c>
      <c r="T253" s="584">
        <v>0</v>
      </c>
      <c r="U253" s="51"/>
      <c r="V253" s="2120">
        <f>+IF(OR(ROUND(P253,2)+ROUND(R253,2)&gt;+ROUND(O253,2)+ROUND(Q253,2),+ABS(ROUND(P253,2)+ROUND(R253,2))&gt;+ABS(ROUND(O253,2)+ROUND(Q253,2))),+(ROUND(P253,2)+ROUND(R253,2))-(ROUND(O253,2)+ROUND(Q253,2)),0)</f>
        <v>0</v>
      </c>
      <c r="W253" s="43"/>
      <c r="X253" s="43"/>
      <c r="Y253" s="43"/>
      <c r="Z253" s="43"/>
    </row>
    <row r="254" spans="1:26">
      <c r="A254" s="88">
        <v>4886</v>
      </c>
      <c r="B254" s="378" t="s">
        <v>300</v>
      </c>
      <c r="C254" s="88"/>
      <c r="D254" s="1033"/>
      <c r="E254" s="1033"/>
      <c r="F254" s="1033"/>
      <c r="G254" s="1033"/>
      <c r="H254" s="1033"/>
      <c r="I254" s="1033"/>
      <c r="J254" s="1033"/>
      <c r="K254" s="1033"/>
      <c r="L254" s="574"/>
      <c r="M254" s="51"/>
      <c r="N254" s="113">
        <f t="shared" si="26"/>
        <v>4886</v>
      </c>
      <c r="O254" s="581"/>
      <c r="P254" s="582">
        <v>0</v>
      </c>
      <c r="Q254" s="589"/>
      <c r="R254" s="576"/>
      <c r="S254" s="583">
        <f>+IF(ABS(+O254+Q254)&gt;=ABS(P254+R254),+O254-P254+Q254-R254,0)</f>
        <v>0</v>
      </c>
      <c r="T254" s="584">
        <v>0</v>
      </c>
      <c r="U254" s="51"/>
      <c r="V254" s="2120">
        <f>+IF(OR(ROUND(P254,2)+ROUND(R254,2)&gt;+ROUND(O254,2)+ROUND(Q254,2),+ABS(ROUND(P254,2)+ROUND(R254,2))&gt;+ABS(ROUND(O254,2)+ROUND(Q254,2))),+(ROUND(P254,2)+ROUND(R254,2))-(ROUND(O254,2)+ROUND(Q254,2)),0)</f>
        <v>0</v>
      </c>
      <c r="W254" s="43"/>
      <c r="X254" s="43"/>
      <c r="Y254" s="43"/>
      <c r="Z254" s="43"/>
    </row>
    <row r="255" spans="1:26">
      <c r="A255" s="88">
        <v>4887</v>
      </c>
      <c r="B255" s="378" t="s">
        <v>301</v>
      </c>
      <c r="C255" s="88"/>
      <c r="D255" s="1033"/>
      <c r="E255" s="1033"/>
      <c r="F255" s="1033"/>
      <c r="G255" s="1033"/>
      <c r="H255" s="1033"/>
      <c r="I255" s="1033"/>
      <c r="J255" s="1033"/>
      <c r="K255" s="1033"/>
      <c r="L255" s="574"/>
      <c r="M255" s="51"/>
      <c r="N255" s="113">
        <f t="shared" si="26"/>
        <v>4887</v>
      </c>
      <c r="O255" s="593">
        <v>0</v>
      </c>
      <c r="P255" s="582">
        <v>0</v>
      </c>
      <c r="Q255" s="589">
        <v>0</v>
      </c>
      <c r="R255" s="576">
        <v>0</v>
      </c>
      <c r="S255" s="583">
        <f>+IF(ABS(+O255+Q255)&gt;=ABS(P255+R255),+O255-P255+Q255-R255,0)</f>
        <v>0</v>
      </c>
      <c r="T255" s="584">
        <v>0</v>
      </c>
      <c r="U255" s="51"/>
      <c r="V255" s="2120">
        <f>+IF(OR(ROUND(P255,2)+ROUND(R255,2)&gt;+ROUND(O255,2)+ROUND(Q255,2),+ABS(ROUND(P255,2)+ROUND(R255,2))&gt;+ABS(ROUND(O255,2)+ROUND(Q255,2))),+(ROUND(P255,2)+ROUND(R255,2))-(ROUND(O255,2)+ROUND(Q255,2)),0)</f>
        <v>0</v>
      </c>
      <c r="W255" s="43"/>
      <c r="X255" s="43"/>
      <c r="Y255" s="43"/>
      <c r="Z255" s="43"/>
    </row>
    <row r="256" spans="1:26">
      <c r="A256" s="88">
        <v>4888</v>
      </c>
      <c r="B256" s="378" t="s">
        <v>926</v>
      </c>
      <c r="C256" s="88"/>
      <c r="D256" s="1033"/>
      <c r="E256" s="1033"/>
      <c r="F256" s="1033"/>
      <c r="G256" s="1033"/>
      <c r="H256" s="1033"/>
      <c r="I256" s="1033"/>
      <c r="J256" s="1033"/>
      <c r="K256" s="1033"/>
      <c r="L256" s="574"/>
      <c r="M256" s="51"/>
      <c r="N256" s="113">
        <f t="shared" si="26"/>
        <v>4888</v>
      </c>
      <c r="O256" s="593"/>
      <c r="P256" s="582">
        <v>0</v>
      </c>
      <c r="Q256" s="589"/>
      <c r="R256" s="576"/>
      <c r="S256" s="583">
        <f>+IF(ABS(+O256+Q256)&gt;=ABS(P256+R256),+O256-P256+Q256-R256,0)</f>
        <v>0</v>
      </c>
      <c r="T256" s="584">
        <v>0</v>
      </c>
      <c r="U256" s="51"/>
      <c r="V256" s="2120">
        <f>+IF(OR(ROUND(P256,2)+ROUND(R256,2)&gt;+ROUND(O256,2)+ROUND(Q256,2),+ABS(ROUND(P256,2)+ROUND(R256,2))&gt;+ABS(ROUND(O256,2)+ROUND(Q256,2))),+(ROUND(P256,2)+ROUND(R256,2))-(ROUND(O256,2)+ROUND(Q256,2)),0)</f>
        <v>0</v>
      </c>
      <c r="W256" s="43"/>
      <c r="X256" s="43"/>
      <c r="Y256" s="43"/>
      <c r="Z256" s="43"/>
    </row>
    <row r="257" spans="1:26">
      <c r="A257" s="88">
        <v>4895</v>
      </c>
      <c r="B257" s="378" t="s">
        <v>927</v>
      </c>
      <c r="C257" s="88"/>
      <c r="D257" s="1033"/>
      <c r="E257" s="1033"/>
      <c r="F257" s="1033"/>
      <c r="G257" s="1033"/>
      <c r="H257" s="1033"/>
      <c r="I257" s="1033"/>
      <c r="J257" s="1033"/>
      <c r="K257" s="1033"/>
      <c r="L257" s="574"/>
      <c r="M257" s="51"/>
      <c r="N257" s="113">
        <f t="shared" si="26"/>
        <v>4895</v>
      </c>
      <c r="O257" s="575">
        <v>0</v>
      </c>
      <c r="P257" s="576"/>
      <c r="Q257" s="589"/>
      <c r="R257" s="324"/>
      <c r="S257" s="579">
        <v>0</v>
      </c>
      <c r="T257" s="580">
        <f t="shared" ref="T257:T282" si="29">+IF(ABS(+O257+Q257)&lt;=ABS(P257+R257),-O257+P257-Q257+R257,0)</f>
        <v>0</v>
      </c>
      <c r="U257" s="51"/>
      <c r="V257" s="2119">
        <f t="shared" ref="V257:V270" si="30">+IF(OR(+ROUND(O257,2)+ROUND(Q257,2)&gt;ROUND(P257,2)+ROUND(R257,2),+ABS(ROUND(O257,2)+ROUND(Q257,2))&gt;+ABS(ROUND(P257,2)+ROUND(R257,2))),+(ROUND(O257,2)+ROUND(Q257,2))-(ROUND(P257,2)+ROUND(R257,2)),0)</f>
        <v>0</v>
      </c>
      <c r="W257" s="43"/>
      <c r="X257" s="43"/>
      <c r="Y257" s="43"/>
      <c r="Z257" s="43"/>
    </row>
    <row r="258" spans="1:26">
      <c r="A258" s="88">
        <v>4896</v>
      </c>
      <c r="B258" s="378" t="s">
        <v>928</v>
      </c>
      <c r="C258" s="88"/>
      <c r="D258" s="1033"/>
      <c r="E258" s="1033"/>
      <c r="F258" s="1033"/>
      <c r="G258" s="1033"/>
      <c r="H258" s="1033"/>
      <c r="I258" s="1033"/>
      <c r="J258" s="1033"/>
      <c r="K258" s="1033"/>
      <c r="L258" s="574"/>
      <c r="M258" s="51"/>
      <c r="N258" s="113">
        <f t="shared" si="26"/>
        <v>4896</v>
      </c>
      <c r="O258" s="575">
        <v>0</v>
      </c>
      <c r="P258" s="576"/>
      <c r="Q258" s="589"/>
      <c r="R258" s="324"/>
      <c r="S258" s="579">
        <v>0</v>
      </c>
      <c r="T258" s="580">
        <f t="shared" si="29"/>
        <v>0</v>
      </c>
      <c r="U258" s="51"/>
      <c r="V258" s="2119">
        <f t="shared" si="30"/>
        <v>0</v>
      </c>
      <c r="W258" s="43"/>
      <c r="X258" s="43"/>
      <c r="Y258" s="43"/>
      <c r="Z258" s="43"/>
    </row>
    <row r="259" spans="1:26">
      <c r="A259" s="88">
        <v>4897</v>
      </c>
      <c r="B259" s="378" t="s">
        <v>929</v>
      </c>
      <c r="C259" s="88"/>
      <c r="D259" s="1033"/>
      <c r="E259" s="1033"/>
      <c r="F259" s="1033"/>
      <c r="G259" s="1033"/>
      <c r="H259" s="1033"/>
      <c r="I259" s="1033"/>
      <c r="J259" s="1033"/>
      <c r="K259" s="1033"/>
      <c r="L259" s="574"/>
      <c r="M259" s="51"/>
      <c r="N259" s="113">
        <f t="shared" si="26"/>
        <v>4897</v>
      </c>
      <c r="O259" s="575">
        <v>0</v>
      </c>
      <c r="P259" s="594">
        <v>0</v>
      </c>
      <c r="Q259" s="589">
        <v>0</v>
      </c>
      <c r="R259" s="324">
        <v>0</v>
      </c>
      <c r="S259" s="579">
        <v>0</v>
      </c>
      <c r="T259" s="580">
        <f t="shared" si="29"/>
        <v>0</v>
      </c>
      <c r="U259" s="51"/>
      <c r="V259" s="2119">
        <f t="shared" si="30"/>
        <v>0</v>
      </c>
      <c r="W259" s="43"/>
      <c r="X259" s="43"/>
      <c r="Y259" s="43"/>
      <c r="Z259" s="43"/>
    </row>
    <row r="260" spans="1:26">
      <c r="A260" s="88">
        <v>4898</v>
      </c>
      <c r="B260" s="378" t="s">
        <v>930</v>
      </c>
      <c r="C260" s="88"/>
      <c r="D260" s="1033"/>
      <c r="E260" s="1033"/>
      <c r="F260" s="1033"/>
      <c r="G260" s="1033"/>
      <c r="H260" s="1033"/>
      <c r="I260" s="1033"/>
      <c r="J260" s="1033"/>
      <c r="K260" s="1033"/>
      <c r="L260" s="574"/>
      <c r="M260" s="51"/>
      <c r="N260" s="113">
        <f t="shared" si="26"/>
        <v>4898</v>
      </c>
      <c r="O260" s="575">
        <v>0</v>
      </c>
      <c r="P260" s="594"/>
      <c r="Q260" s="589"/>
      <c r="R260" s="324"/>
      <c r="S260" s="579">
        <v>0</v>
      </c>
      <c r="T260" s="580">
        <f t="shared" si="29"/>
        <v>0</v>
      </c>
      <c r="U260" s="51"/>
      <c r="V260" s="2119">
        <f t="shared" si="30"/>
        <v>0</v>
      </c>
      <c r="W260" s="43"/>
      <c r="X260" s="43"/>
      <c r="Y260" s="43"/>
      <c r="Z260" s="43"/>
    </row>
    <row r="261" spans="1:26">
      <c r="A261" s="88">
        <v>4911</v>
      </c>
      <c r="B261" s="378" t="s">
        <v>931</v>
      </c>
      <c r="C261" s="88"/>
      <c r="D261" s="1044"/>
      <c r="E261" s="1044"/>
      <c r="F261" s="1044"/>
      <c r="G261" s="1044"/>
      <c r="H261" s="1044"/>
      <c r="I261" s="1044"/>
      <c r="J261" s="1044"/>
      <c r="K261" s="1044"/>
      <c r="L261" s="592"/>
      <c r="M261" s="51"/>
      <c r="N261" s="113">
        <f t="shared" si="26"/>
        <v>4911</v>
      </c>
      <c r="O261" s="575">
        <v>0</v>
      </c>
      <c r="P261" s="576"/>
      <c r="Q261" s="589"/>
      <c r="R261" s="324"/>
      <c r="S261" s="579">
        <v>0</v>
      </c>
      <c r="T261" s="580">
        <f t="shared" si="29"/>
        <v>0</v>
      </c>
      <c r="U261" s="52"/>
      <c r="V261" s="2119">
        <f t="shared" si="30"/>
        <v>0</v>
      </c>
      <c r="W261" s="43"/>
      <c r="X261" s="43"/>
      <c r="Y261" s="43"/>
      <c r="Z261" s="43"/>
    </row>
    <row r="262" spans="1:26">
      <c r="A262" s="88">
        <v>4915</v>
      </c>
      <c r="B262" s="378" t="s">
        <v>932</v>
      </c>
      <c r="C262" s="88"/>
      <c r="D262" s="1033"/>
      <c r="E262" s="1033"/>
      <c r="F262" s="1033"/>
      <c r="G262" s="1033"/>
      <c r="H262" s="1033"/>
      <c r="I262" s="1033"/>
      <c r="J262" s="1033"/>
      <c r="K262" s="1033"/>
      <c r="L262" s="574"/>
      <c r="M262" s="51"/>
      <c r="N262" s="113">
        <f t="shared" si="26"/>
        <v>4915</v>
      </c>
      <c r="O262" s="575">
        <v>0</v>
      </c>
      <c r="P262" s="576"/>
      <c r="Q262" s="589"/>
      <c r="R262" s="324"/>
      <c r="S262" s="579">
        <v>0</v>
      </c>
      <c r="T262" s="580">
        <f t="shared" si="29"/>
        <v>0</v>
      </c>
      <c r="U262" s="51"/>
      <c r="V262" s="2119">
        <f t="shared" si="30"/>
        <v>0</v>
      </c>
      <c r="W262" s="43"/>
      <c r="X262" s="43"/>
      <c r="Y262" s="43"/>
      <c r="Z262" s="43"/>
    </row>
    <row r="263" spans="1:26">
      <c r="A263" s="88">
        <v>4916</v>
      </c>
      <c r="B263" s="378" t="s">
        <v>933</v>
      </c>
      <c r="C263" s="88"/>
      <c r="D263" s="1033"/>
      <c r="E263" s="1033"/>
      <c r="F263" s="1033"/>
      <c r="G263" s="1033"/>
      <c r="H263" s="1033"/>
      <c r="I263" s="1033"/>
      <c r="J263" s="1033"/>
      <c r="K263" s="1033"/>
      <c r="L263" s="574"/>
      <c r="M263" s="51"/>
      <c r="N263" s="113">
        <f t="shared" si="26"/>
        <v>4916</v>
      </c>
      <c r="O263" s="575">
        <v>0</v>
      </c>
      <c r="P263" s="576"/>
      <c r="Q263" s="589"/>
      <c r="R263" s="324"/>
      <c r="S263" s="579">
        <v>0</v>
      </c>
      <c r="T263" s="580">
        <f t="shared" si="29"/>
        <v>0</v>
      </c>
      <c r="U263" s="51"/>
      <c r="V263" s="2119">
        <f t="shared" si="30"/>
        <v>0</v>
      </c>
      <c r="W263" s="43"/>
      <c r="X263" s="43"/>
      <c r="Y263" s="43"/>
      <c r="Z263" s="43"/>
    </row>
    <row r="264" spans="1:26">
      <c r="A264" s="88">
        <v>4917</v>
      </c>
      <c r="B264" s="378" t="s">
        <v>934</v>
      </c>
      <c r="C264" s="88"/>
      <c r="D264" s="1033"/>
      <c r="E264" s="1033"/>
      <c r="F264" s="1033"/>
      <c r="G264" s="1033"/>
      <c r="H264" s="1033"/>
      <c r="I264" s="1033"/>
      <c r="J264" s="1033"/>
      <c r="K264" s="1033"/>
      <c r="L264" s="574"/>
      <c r="M264" s="51"/>
      <c r="N264" s="113">
        <f t="shared" si="26"/>
        <v>4917</v>
      </c>
      <c r="O264" s="575">
        <v>0</v>
      </c>
      <c r="P264" s="576">
        <v>0</v>
      </c>
      <c r="Q264" s="589">
        <v>0</v>
      </c>
      <c r="R264" s="324">
        <v>0</v>
      </c>
      <c r="S264" s="579">
        <v>0</v>
      </c>
      <c r="T264" s="580">
        <f t="shared" si="29"/>
        <v>0</v>
      </c>
      <c r="U264" s="51"/>
      <c r="V264" s="2119">
        <f t="shared" si="30"/>
        <v>0</v>
      </c>
      <c r="W264" s="43"/>
      <c r="X264" s="43"/>
      <c r="Y264" s="43"/>
      <c r="Z264" s="43"/>
    </row>
    <row r="265" spans="1:26">
      <c r="A265" s="88">
        <v>4918</v>
      </c>
      <c r="B265" s="378" t="s">
        <v>935</v>
      </c>
      <c r="C265" s="88"/>
      <c r="D265" s="1033"/>
      <c r="E265" s="1033"/>
      <c r="F265" s="1033"/>
      <c r="G265" s="1033"/>
      <c r="H265" s="1033"/>
      <c r="I265" s="1033"/>
      <c r="J265" s="1033"/>
      <c r="K265" s="1033"/>
      <c r="L265" s="574"/>
      <c r="M265" s="51"/>
      <c r="N265" s="113">
        <f t="shared" si="26"/>
        <v>4918</v>
      </c>
      <c r="O265" s="575">
        <v>0</v>
      </c>
      <c r="P265" s="576"/>
      <c r="Q265" s="589"/>
      <c r="R265" s="324"/>
      <c r="S265" s="579">
        <v>0</v>
      </c>
      <c r="T265" s="580">
        <f t="shared" si="29"/>
        <v>0</v>
      </c>
      <c r="U265" s="51"/>
      <c r="V265" s="2119">
        <f t="shared" si="30"/>
        <v>0</v>
      </c>
      <c r="W265" s="43"/>
      <c r="X265" s="43"/>
      <c r="Y265" s="43"/>
      <c r="Z265" s="43"/>
    </row>
    <row r="266" spans="1:26">
      <c r="A266" s="88">
        <v>4940</v>
      </c>
      <c r="B266" s="378" t="s">
        <v>44</v>
      </c>
      <c r="C266" s="88"/>
      <c r="D266" s="1033"/>
      <c r="E266" s="1033"/>
      <c r="F266" s="1033"/>
      <c r="G266" s="1033"/>
      <c r="H266" s="1033"/>
      <c r="I266" s="1033"/>
      <c r="J266" s="1033"/>
      <c r="K266" s="1033"/>
      <c r="L266" s="574"/>
      <c r="M266" s="51"/>
      <c r="N266" s="113">
        <f t="shared" si="26"/>
        <v>4940</v>
      </c>
      <c r="O266" s="575">
        <v>0</v>
      </c>
      <c r="P266" s="576"/>
      <c r="Q266" s="589"/>
      <c r="R266" s="324"/>
      <c r="S266" s="579">
        <v>0</v>
      </c>
      <c r="T266" s="580">
        <f t="shared" si="29"/>
        <v>0</v>
      </c>
      <c r="U266" s="51"/>
      <c r="V266" s="2119">
        <f t="shared" si="30"/>
        <v>0</v>
      </c>
      <c r="W266" s="43"/>
      <c r="X266" s="43"/>
      <c r="Y266" s="43"/>
      <c r="Z266" s="43"/>
    </row>
    <row r="267" spans="1:26">
      <c r="A267" s="88">
        <v>4951</v>
      </c>
      <c r="B267" s="378" t="s">
        <v>238</v>
      </c>
      <c r="C267" s="88"/>
      <c r="D267" s="1033"/>
      <c r="E267" s="1033"/>
      <c r="F267" s="1033"/>
      <c r="G267" s="1033"/>
      <c r="H267" s="1033"/>
      <c r="I267" s="1033"/>
      <c r="J267" s="1033"/>
      <c r="K267" s="1033"/>
      <c r="L267" s="574"/>
      <c r="M267" s="51"/>
      <c r="N267" s="113">
        <f t="shared" si="26"/>
        <v>4951</v>
      </c>
      <c r="O267" s="575">
        <v>0</v>
      </c>
      <c r="P267" s="576"/>
      <c r="Q267" s="589"/>
      <c r="R267" s="324"/>
      <c r="S267" s="579">
        <v>0</v>
      </c>
      <c r="T267" s="580">
        <f t="shared" si="29"/>
        <v>0</v>
      </c>
      <c r="U267" s="51"/>
      <c r="V267" s="2119">
        <f t="shared" si="30"/>
        <v>0</v>
      </c>
      <c r="W267" s="43"/>
      <c r="X267" s="43"/>
      <c r="Y267" s="43"/>
      <c r="Z267" s="43"/>
    </row>
    <row r="268" spans="1:26">
      <c r="A268" s="88">
        <v>4955</v>
      </c>
      <c r="B268" s="378" t="s">
        <v>239</v>
      </c>
      <c r="C268" s="88"/>
      <c r="D268" s="1033"/>
      <c r="E268" s="1033"/>
      <c r="F268" s="1033"/>
      <c r="G268" s="1033"/>
      <c r="H268" s="1033"/>
      <c r="I268" s="1033"/>
      <c r="J268" s="1033"/>
      <c r="K268" s="1033"/>
      <c r="L268" s="574"/>
      <c r="M268" s="51"/>
      <c r="N268" s="113">
        <f t="shared" si="26"/>
        <v>4955</v>
      </c>
      <c r="O268" s="575">
        <v>0</v>
      </c>
      <c r="P268" s="576"/>
      <c r="Q268" s="589"/>
      <c r="R268" s="324"/>
      <c r="S268" s="579">
        <v>0</v>
      </c>
      <c r="T268" s="580">
        <f t="shared" si="29"/>
        <v>0</v>
      </c>
      <c r="U268" s="51"/>
      <c r="V268" s="2119">
        <f t="shared" si="30"/>
        <v>0</v>
      </c>
      <c r="W268" s="43"/>
      <c r="X268" s="43"/>
      <c r="Y268" s="43"/>
      <c r="Z268" s="43"/>
    </row>
    <row r="269" spans="1:26">
      <c r="A269" s="88">
        <v>4956</v>
      </c>
      <c r="B269" s="378" t="s">
        <v>240</v>
      </c>
      <c r="C269" s="88"/>
      <c r="D269" s="1033"/>
      <c r="E269" s="1033"/>
      <c r="F269" s="1033"/>
      <c r="G269" s="1033"/>
      <c r="H269" s="1033"/>
      <c r="I269" s="1033"/>
      <c r="J269" s="1033"/>
      <c r="K269" s="1033"/>
      <c r="L269" s="574"/>
      <c r="M269" s="51"/>
      <c r="N269" s="113">
        <f t="shared" si="26"/>
        <v>4956</v>
      </c>
      <c r="O269" s="575">
        <v>0</v>
      </c>
      <c r="P269" s="576"/>
      <c r="Q269" s="589"/>
      <c r="R269" s="324"/>
      <c r="S269" s="579">
        <v>0</v>
      </c>
      <c r="T269" s="580">
        <f t="shared" si="29"/>
        <v>0</v>
      </c>
      <c r="U269" s="51"/>
      <c r="V269" s="2119">
        <f t="shared" si="30"/>
        <v>0</v>
      </c>
      <c r="W269" s="43"/>
      <c r="X269" s="43"/>
      <c r="Y269" s="43"/>
      <c r="Z269" s="43"/>
    </row>
    <row r="270" spans="1:26">
      <c r="A270" s="88">
        <v>4957</v>
      </c>
      <c r="B270" s="378" t="s">
        <v>237</v>
      </c>
      <c r="C270" s="88"/>
      <c r="D270" s="1033"/>
      <c r="E270" s="1033"/>
      <c r="F270" s="1033"/>
      <c r="G270" s="1033"/>
      <c r="H270" s="1033"/>
      <c r="I270" s="1033"/>
      <c r="J270" s="1033"/>
      <c r="K270" s="1033"/>
      <c r="L270" s="574"/>
      <c r="M270" s="51"/>
      <c r="N270" s="113">
        <f t="shared" si="26"/>
        <v>4957</v>
      </c>
      <c r="O270" s="575">
        <v>0</v>
      </c>
      <c r="P270" s="576"/>
      <c r="Q270" s="589"/>
      <c r="R270" s="324"/>
      <c r="S270" s="579">
        <v>0</v>
      </c>
      <c r="T270" s="580">
        <f t="shared" si="29"/>
        <v>0</v>
      </c>
      <c r="U270" s="51"/>
      <c r="V270" s="2119">
        <f t="shared" si="30"/>
        <v>0</v>
      </c>
      <c r="W270" s="43"/>
      <c r="X270" s="43"/>
      <c r="Y270" s="43"/>
      <c r="Z270" s="43"/>
    </row>
    <row r="271" spans="1:26" ht="15.75" customHeight="1">
      <c r="A271" s="88">
        <v>4960</v>
      </c>
      <c r="B271" s="378" t="s">
        <v>241</v>
      </c>
      <c r="C271" s="88"/>
      <c r="D271" s="1038"/>
      <c r="E271" s="1038"/>
      <c r="F271" s="1038"/>
      <c r="G271" s="1038"/>
      <c r="H271" s="1038"/>
      <c r="I271" s="1038"/>
      <c r="J271" s="1038"/>
      <c r="K271" s="1038"/>
      <c r="L271" s="590"/>
      <c r="M271" s="51"/>
      <c r="N271" s="113">
        <f t="shared" si="26"/>
        <v>4960</v>
      </c>
      <c r="O271" s="581"/>
      <c r="P271" s="576"/>
      <c r="Q271" s="589"/>
      <c r="R271" s="576"/>
      <c r="S271" s="583">
        <f t="shared" ref="S271:S283" si="31">+IF(ABS(+O271+Q271)&gt;=ABS(P271+R271),+O271-P271+Q271-R271,0)</f>
        <v>0</v>
      </c>
      <c r="T271" s="580">
        <f t="shared" si="29"/>
        <v>0</v>
      </c>
      <c r="U271" s="51"/>
      <c r="V271" s="2119"/>
      <c r="W271" s="43"/>
      <c r="X271" s="43"/>
      <c r="Y271" s="43"/>
      <c r="Z271" s="43"/>
    </row>
    <row r="272" spans="1:26">
      <c r="A272" s="88">
        <v>4961</v>
      </c>
      <c r="B272" s="378" t="s">
        <v>242</v>
      </c>
      <c r="C272" s="88"/>
      <c r="D272" s="1033"/>
      <c r="E272" s="1033"/>
      <c r="F272" s="1033"/>
      <c r="G272" s="1033"/>
      <c r="H272" s="1033"/>
      <c r="I272" s="1033"/>
      <c r="J272" s="1033"/>
      <c r="K272" s="1033"/>
      <c r="L272" s="574"/>
      <c r="M272" s="51"/>
      <c r="N272" s="113">
        <f t="shared" si="26"/>
        <v>4961</v>
      </c>
      <c r="O272" s="581">
        <v>0</v>
      </c>
      <c r="P272" s="576">
        <v>0</v>
      </c>
      <c r="Q272" s="589">
        <v>0</v>
      </c>
      <c r="R272" s="576">
        <v>0</v>
      </c>
      <c r="S272" s="583">
        <f t="shared" si="31"/>
        <v>0</v>
      </c>
      <c r="T272" s="580">
        <f t="shared" si="29"/>
        <v>0</v>
      </c>
      <c r="U272" s="51"/>
      <c r="V272" s="2119"/>
      <c r="W272" s="43"/>
      <c r="X272" s="43"/>
      <c r="Y272" s="43"/>
      <c r="Z272" s="43"/>
    </row>
    <row r="273" spans="1:26">
      <c r="A273" s="88">
        <v>4962</v>
      </c>
      <c r="B273" s="378" t="s">
        <v>243</v>
      </c>
      <c r="C273" s="88"/>
      <c r="D273" s="1033"/>
      <c r="E273" s="1033"/>
      <c r="F273" s="1033"/>
      <c r="G273" s="1033"/>
      <c r="H273" s="1033"/>
      <c r="I273" s="1033"/>
      <c r="J273" s="1033"/>
      <c r="K273" s="1033"/>
      <c r="L273" s="574"/>
      <c r="M273" s="51"/>
      <c r="N273" s="113">
        <f t="shared" si="26"/>
        <v>4962</v>
      </c>
      <c r="O273" s="581"/>
      <c r="P273" s="576"/>
      <c r="Q273" s="589"/>
      <c r="R273" s="576"/>
      <c r="S273" s="583">
        <f t="shared" si="31"/>
        <v>0</v>
      </c>
      <c r="T273" s="580">
        <f t="shared" si="29"/>
        <v>0</v>
      </c>
      <c r="U273" s="51"/>
      <c r="V273" s="2119"/>
      <c r="W273" s="43"/>
      <c r="X273" s="43"/>
      <c r="Y273" s="43"/>
      <c r="Z273" s="43"/>
    </row>
    <row r="274" spans="1:26" ht="15.75" customHeight="1">
      <c r="A274" s="88">
        <v>4970</v>
      </c>
      <c r="B274" s="378" t="s">
        <v>244</v>
      </c>
      <c r="C274" s="88"/>
      <c r="D274" s="1038"/>
      <c r="E274" s="1038"/>
      <c r="F274" s="1038"/>
      <c r="G274" s="1038"/>
      <c r="H274" s="1038"/>
      <c r="I274" s="1038"/>
      <c r="J274" s="1038"/>
      <c r="K274" s="1038"/>
      <c r="L274" s="590"/>
      <c r="M274" s="51"/>
      <c r="N274" s="113">
        <f t="shared" si="26"/>
        <v>4970</v>
      </c>
      <c r="O274" s="581"/>
      <c r="P274" s="576"/>
      <c r="Q274" s="589"/>
      <c r="R274" s="576"/>
      <c r="S274" s="583">
        <f t="shared" si="31"/>
        <v>0</v>
      </c>
      <c r="T274" s="580">
        <f t="shared" si="29"/>
        <v>0</v>
      </c>
      <c r="U274" s="51"/>
      <c r="V274" s="2119"/>
      <c r="W274" s="43"/>
      <c r="X274" s="43"/>
      <c r="Y274" s="43"/>
      <c r="Z274" s="43"/>
    </row>
    <row r="275" spans="1:26" ht="15.75" customHeight="1">
      <c r="A275" s="88">
        <v>4971</v>
      </c>
      <c r="B275" s="378" t="s">
        <v>245</v>
      </c>
      <c r="C275" s="88"/>
      <c r="D275" s="1038"/>
      <c r="E275" s="1038"/>
      <c r="F275" s="1038"/>
      <c r="G275" s="1038"/>
      <c r="H275" s="1038"/>
      <c r="I275" s="1038"/>
      <c r="J275" s="1038"/>
      <c r="K275" s="1038"/>
      <c r="L275" s="590"/>
      <c r="M275" s="51"/>
      <c r="N275" s="113">
        <f t="shared" ref="N275:N284" si="32">+A275</f>
        <v>4971</v>
      </c>
      <c r="O275" s="581">
        <v>0</v>
      </c>
      <c r="P275" s="576">
        <v>0</v>
      </c>
      <c r="Q275" s="589">
        <v>0</v>
      </c>
      <c r="R275" s="576">
        <v>0</v>
      </c>
      <c r="S275" s="583">
        <f t="shared" si="31"/>
        <v>0</v>
      </c>
      <c r="T275" s="580">
        <f t="shared" si="29"/>
        <v>0</v>
      </c>
      <c r="U275" s="51"/>
      <c r="V275" s="2119"/>
      <c r="W275" s="43"/>
      <c r="X275" s="43"/>
      <c r="Y275" s="43"/>
      <c r="Z275" s="43"/>
    </row>
    <row r="276" spans="1:26" ht="15.75" customHeight="1">
      <c r="A276" s="88">
        <v>4972</v>
      </c>
      <c r="B276" s="378" t="s">
        <v>246</v>
      </c>
      <c r="C276" s="88"/>
      <c r="D276" s="1038"/>
      <c r="E276" s="1038"/>
      <c r="F276" s="1038"/>
      <c r="G276" s="1038"/>
      <c r="H276" s="1038"/>
      <c r="I276" s="1038"/>
      <c r="J276" s="1038"/>
      <c r="K276" s="1038"/>
      <c r="L276" s="590"/>
      <c r="M276" s="51"/>
      <c r="N276" s="113">
        <f t="shared" si="32"/>
        <v>4972</v>
      </c>
      <c r="O276" s="581"/>
      <c r="P276" s="576"/>
      <c r="Q276" s="589"/>
      <c r="R276" s="576"/>
      <c r="S276" s="583">
        <f t="shared" si="31"/>
        <v>0</v>
      </c>
      <c r="T276" s="580">
        <f t="shared" si="29"/>
        <v>0</v>
      </c>
      <c r="U276" s="51"/>
      <c r="V276" s="2119"/>
      <c r="W276" s="43"/>
      <c r="X276" s="43"/>
      <c r="Y276" s="43"/>
      <c r="Z276" s="43"/>
    </row>
    <row r="277" spans="1:26" ht="15.75" customHeight="1">
      <c r="A277" s="88">
        <v>4973</v>
      </c>
      <c r="B277" s="378" t="s">
        <v>247</v>
      </c>
      <c r="C277" s="88"/>
      <c r="D277" s="1038"/>
      <c r="E277" s="1038"/>
      <c r="F277" s="1038"/>
      <c r="G277" s="1038"/>
      <c r="H277" s="1038"/>
      <c r="I277" s="1038"/>
      <c r="J277" s="1038"/>
      <c r="K277" s="1038"/>
      <c r="L277" s="590"/>
      <c r="M277" s="51"/>
      <c r="N277" s="113">
        <f t="shared" si="32"/>
        <v>4973</v>
      </c>
      <c r="O277" s="581"/>
      <c r="P277" s="576"/>
      <c r="Q277" s="589"/>
      <c r="R277" s="576"/>
      <c r="S277" s="583">
        <f t="shared" si="31"/>
        <v>0</v>
      </c>
      <c r="T277" s="580">
        <f t="shared" si="29"/>
        <v>0</v>
      </c>
      <c r="U277" s="51"/>
      <c r="V277" s="2119"/>
      <c r="W277" s="43"/>
      <c r="X277" s="43"/>
      <c r="Y277" s="43"/>
      <c r="Z277" s="43"/>
    </row>
    <row r="278" spans="1:26" ht="15.75" customHeight="1">
      <c r="A278" s="88">
        <v>4974</v>
      </c>
      <c r="B278" s="378" t="s">
        <v>248</v>
      </c>
      <c r="C278" s="88"/>
      <c r="D278" s="1038"/>
      <c r="E278" s="1038"/>
      <c r="F278" s="1038"/>
      <c r="G278" s="1038"/>
      <c r="H278" s="1038"/>
      <c r="I278" s="1038"/>
      <c r="J278" s="1038"/>
      <c r="K278" s="1038"/>
      <c r="L278" s="590"/>
      <c r="M278" s="51"/>
      <c r="N278" s="113">
        <f t="shared" si="32"/>
        <v>4974</v>
      </c>
      <c r="O278" s="581"/>
      <c r="P278" s="576"/>
      <c r="Q278" s="589"/>
      <c r="R278" s="576"/>
      <c r="S278" s="583">
        <f t="shared" si="31"/>
        <v>0</v>
      </c>
      <c r="T278" s="580">
        <f t="shared" si="29"/>
        <v>0</v>
      </c>
      <c r="U278" s="51"/>
      <c r="V278" s="2119"/>
      <c r="W278" s="43"/>
      <c r="X278" s="43"/>
      <c r="Y278" s="43"/>
      <c r="Z278" s="43"/>
    </row>
    <row r="279" spans="1:26" ht="15.75" customHeight="1">
      <c r="A279" s="88">
        <v>4975</v>
      </c>
      <c r="B279" s="378" t="s">
        <v>249</v>
      </c>
      <c r="C279" s="88"/>
      <c r="D279" s="1038"/>
      <c r="E279" s="1038"/>
      <c r="F279" s="1038"/>
      <c r="G279" s="1038"/>
      <c r="H279" s="1038"/>
      <c r="I279" s="1038"/>
      <c r="J279" s="1038"/>
      <c r="K279" s="1038"/>
      <c r="L279" s="590"/>
      <c r="M279" s="51"/>
      <c r="N279" s="113">
        <f t="shared" si="32"/>
        <v>4975</v>
      </c>
      <c r="O279" s="581"/>
      <c r="P279" s="576"/>
      <c r="Q279" s="589"/>
      <c r="R279" s="576"/>
      <c r="S279" s="583">
        <f t="shared" si="31"/>
        <v>0</v>
      </c>
      <c r="T279" s="580">
        <f t="shared" si="29"/>
        <v>0</v>
      </c>
      <c r="U279" s="51"/>
      <c r="V279" s="2119"/>
      <c r="W279" s="43"/>
      <c r="X279" s="43"/>
      <c r="Y279" s="43"/>
      <c r="Z279" s="43"/>
    </row>
    <row r="280" spans="1:26" ht="15.75" customHeight="1">
      <c r="A280" s="88">
        <v>4976</v>
      </c>
      <c r="B280" s="378" t="s">
        <v>250</v>
      </c>
      <c r="C280" s="88"/>
      <c r="D280" s="1038"/>
      <c r="E280" s="1038"/>
      <c r="F280" s="1038"/>
      <c r="G280" s="1038"/>
      <c r="H280" s="1038"/>
      <c r="I280" s="1038"/>
      <c r="J280" s="1038"/>
      <c r="K280" s="1038"/>
      <c r="L280" s="590"/>
      <c r="M280" s="51"/>
      <c r="N280" s="113">
        <f t="shared" si="32"/>
        <v>4976</v>
      </c>
      <c r="O280" s="581"/>
      <c r="P280" s="576"/>
      <c r="Q280" s="589"/>
      <c r="R280" s="576"/>
      <c r="S280" s="583">
        <f t="shared" si="31"/>
        <v>0</v>
      </c>
      <c r="T280" s="580">
        <f t="shared" si="29"/>
        <v>0</v>
      </c>
      <c r="U280" s="51"/>
      <c r="V280" s="2119"/>
      <c r="W280" s="43"/>
      <c r="X280" s="43"/>
      <c r="Y280" s="43"/>
      <c r="Z280" s="43"/>
    </row>
    <row r="281" spans="1:26" ht="15.75" customHeight="1">
      <c r="A281" s="88">
        <v>4978</v>
      </c>
      <c r="B281" s="378" t="s">
        <v>251</v>
      </c>
      <c r="C281" s="88"/>
      <c r="D281" s="1038"/>
      <c r="E281" s="1038"/>
      <c r="F281" s="1038"/>
      <c r="G281" s="1038"/>
      <c r="H281" s="1038"/>
      <c r="I281" s="1038"/>
      <c r="J281" s="1038"/>
      <c r="K281" s="1038"/>
      <c r="L281" s="590"/>
      <c r="M281" s="51"/>
      <c r="N281" s="113">
        <f t="shared" si="32"/>
        <v>4978</v>
      </c>
      <c r="O281" s="581"/>
      <c r="P281" s="576"/>
      <c r="Q281" s="589"/>
      <c r="R281" s="576"/>
      <c r="S281" s="583">
        <f t="shared" si="31"/>
        <v>0</v>
      </c>
      <c r="T281" s="580">
        <f t="shared" si="29"/>
        <v>0</v>
      </c>
      <c r="U281" s="51"/>
      <c r="V281" s="2119"/>
      <c r="W281" s="43"/>
      <c r="X281" s="43"/>
      <c r="Y281" s="43"/>
      <c r="Z281" s="43"/>
    </row>
    <row r="282" spans="1:26" ht="15.75" customHeight="1">
      <c r="A282" s="88">
        <v>4979</v>
      </c>
      <c r="B282" s="378" t="s">
        <v>252</v>
      </c>
      <c r="C282" s="88"/>
      <c r="D282" s="1038"/>
      <c r="E282" s="1038"/>
      <c r="F282" s="1038"/>
      <c r="G282" s="1038"/>
      <c r="H282" s="1038"/>
      <c r="I282" s="1038"/>
      <c r="J282" s="1038"/>
      <c r="K282" s="1038"/>
      <c r="L282" s="590"/>
      <c r="M282" s="51"/>
      <c r="N282" s="113">
        <f t="shared" si="32"/>
        <v>4979</v>
      </c>
      <c r="O282" s="581"/>
      <c r="P282" s="576"/>
      <c r="Q282" s="589"/>
      <c r="R282" s="576"/>
      <c r="S282" s="583">
        <f t="shared" si="31"/>
        <v>0</v>
      </c>
      <c r="T282" s="580">
        <f t="shared" si="29"/>
        <v>0</v>
      </c>
      <c r="U282" s="51"/>
      <c r="V282" s="2119"/>
      <c r="W282" s="43"/>
      <c r="X282" s="43"/>
      <c r="Y282" s="43"/>
      <c r="Z282" s="43"/>
    </row>
    <row r="283" spans="1:26">
      <c r="A283" s="88">
        <v>4980</v>
      </c>
      <c r="B283" s="378" t="s">
        <v>253</v>
      </c>
      <c r="C283" s="88"/>
      <c r="D283" s="1033"/>
      <c r="E283" s="1033"/>
      <c r="F283" s="1033"/>
      <c r="G283" s="1033"/>
      <c r="H283" s="1033"/>
      <c r="I283" s="1033"/>
      <c r="J283" s="1033"/>
      <c r="K283" s="1033"/>
      <c r="L283" s="574"/>
      <c r="M283" s="51"/>
      <c r="N283" s="113">
        <f t="shared" si="32"/>
        <v>4980</v>
      </c>
      <c r="O283" s="581"/>
      <c r="P283" s="582">
        <v>0</v>
      </c>
      <c r="Q283" s="589"/>
      <c r="R283" s="576"/>
      <c r="S283" s="583">
        <f t="shared" si="31"/>
        <v>0</v>
      </c>
      <c r="T283" s="584">
        <v>0</v>
      </c>
      <c r="U283" s="51"/>
      <c r="V283" s="2120">
        <f>+IF(OR(ROUND(P283,2)+ROUND(R283,2)&gt;+ROUND(O283,2)+ROUND(Q283,2),+ABS(ROUND(P283,2)+ROUND(R283,2))&gt;+ABS(ROUND(O283,2)+ROUND(Q283,2))),+(ROUND(P283,2)+ROUND(R283,2))-(ROUND(O283,2)+ROUND(Q283,2)),0)</f>
        <v>0</v>
      </c>
      <c r="W283" s="43"/>
      <c r="X283" s="43"/>
      <c r="Y283" s="43"/>
      <c r="Z283" s="43"/>
    </row>
    <row r="284" spans="1:26">
      <c r="A284" s="595">
        <v>4989</v>
      </c>
      <c r="B284" s="1045" t="s">
        <v>254</v>
      </c>
      <c r="C284" s="1033"/>
      <c r="D284" s="1033"/>
      <c r="E284" s="1033"/>
      <c r="F284" s="1033"/>
      <c r="G284" s="1033"/>
      <c r="H284" s="1033"/>
      <c r="I284" s="1033"/>
      <c r="J284" s="1033"/>
      <c r="K284" s="1033"/>
      <c r="L284" s="574"/>
      <c r="M284" s="51"/>
      <c r="N284" s="113">
        <f t="shared" si="32"/>
        <v>4989</v>
      </c>
      <c r="O284" s="575">
        <v>0</v>
      </c>
      <c r="P284" s="576"/>
      <c r="Q284" s="589"/>
      <c r="R284" s="121"/>
      <c r="S284" s="579">
        <v>0</v>
      </c>
      <c r="T284" s="580">
        <f>+IF(ABS(+O284+Q284)&lt;=ABS(P284+R284),-O284+P284-Q284+R284,0)</f>
        <v>0</v>
      </c>
      <c r="U284" s="51"/>
      <c r="V284" s="2119">
        <f>+IF(OR(+ROUND(O284,2)+ROUND(Q284,2)&gt;ROUND(P284,2)+ROUND(R284,2),+ABS(ROUND(O284,2)+ROUND(Q284,2))&gt;+ABS(ROUND(P284,2)+ROUND(R284,2))),+(ROUND(O284,2)+ROUND(Q284,2))-(ROUND(P284,2)+ROUND(R284,2)),0)</f>
        <v>0</v>
      </c>
      <c r="W284" s="43"/>
      <c r="X284" s="43"/>
      <c r="Y284" s="43"/>
      <c r="Z284" s="43"/>
    </row>
    <row r="285" spans="1:26">
      <c r="A285" s="398" t="s">
        <v>45</v>
      </c>
      <c r="B285" s="399"/>
      <c r="C285" s="399"/>
      <c r="D285" s="399"/>
      <c r="E285" s="399"/>
      <c r="F285" s="399"/>
      <c r="G285" s="399"/>
      <c r="H285" s="399"/>
      <c r="I285" s="399"/>
      <c r="J285" s="399"/>
      <c r="K285" s="399"/>
      <c r="L285" s="381"/>
      <c r="M285" s="51"/>
      <c r="N285" s="383">
        <v>5</v>
      </c>
      <c r="O285" s="384"/>
      <c r="P285" s="385"/>
      <c r="Q285" s="386"/>
      <c r="R285" s="385"/>
      <c r="S285" s="386"/>
      <c r="T285" s="387"/>
      <c r="U285" s="51"/>
      <c r="V285" s="2119"/>
      <c r="W285" s="43"/>
      <c r="X285" s="43"/>
      <c r="Y285" s="43"/>
      <c r="Z285" s="43"/>
    </row>
    <row r="286" spans="1:26">
      <c r="A286" s="395">
        <v>5000</v>
      </c>
      <c r="B286" s="418" t="s">
        <v>799</v>
      </c>
      <c r="C286" s="418"/>
      <c r="D286" s="418"/>
      <c r="E286" s="418"/>
      <c r="F286" s="418"/>
      <c r="G286" s="396"/>
      <c r="H286" s="396"/>
      <c r="I286" s="396"/>
      <c r="J286" s="396"/>
      <c r="K286" s="396"/>
      <c r="L286" s="397"/>
      <c r="M286" s="51"/>
      <c r="N286" s="400">
        <f t="shared" ref="N286:N317" si="33">+A286</f>
        <v>5000</v>
      </c>
      <c r="O286" s="401">
        <v>0</v>
      </c>
      <c r="P286" s="402">
        <v>0</v>
      </c>
      <c r="Q286" s="403">
        <v>0</v>
      </c>
      <c r="R286" s="402">
        <v>0</v>
      </c>
      <c r="S286" s="829">
        <f t="shared" ref="S286:S349" si="34">+IF(ABS(+O286+Q286)&gt;=ABS(P286+R286),+O286-P286+Q286-R286,0)</f>
        <v>0</v>
      </c>
      <c r="T286" s="830">
        <v>0</v>
      </c>
      <c r="U286" s="51"/>
      <c r="V286" s="2120">
        <f t="shared" ref="V286:V321" si="35">+IF(OR(ROUND(P286,2)+ROUND(R286,2)&gt;+ROUND(O286,2)+ROUND(Q286,2),+ABS(ROUND(P286,2)+ROUND(R286,2))&gt;+ABS(ROUND(O286,2)+ROUND(Q286,2))),+(ROUND(P286,2)+ROUND(R286,2))-(ROUND(O286,2)+ROUND(Q286,2)),0)</f>
        <v>0</v>
      </c>
      <c r="W286" s="43"/>
      <c r="X286" s="43"/>
      <c r="Y286" s="43"/>
      <c r="Z286" s="43"/>
    </row>
    <row r="287" spans="1:26">
      <c r="A287" s="88">
        <v>5001</v>
      </c>
      <c r="B287" s="378" t="s">
        <v>800</v>
      </c>
      <c r="C287" s="1034"/>
      <c r="D287" s="1034"/>
      <c r="E287" s="1034"/>
      <c r="F287" s="1034"/>
      <c r="G287" s="1033"/>
      <c r="H287" s="1033"/>
      <c r="I287" s="1033"/>
      <c r="J287" s="1033"/>
      <c r="K287" s="1033"/>
      <c r="L287" s="90"/>
      <c r="M287" s="51"/>
      <c r="N287" s="113">
        <f t="shared" si="33"/>
        <v>5001</v>
      </c>
      <c r="O287" s="120">
        <v>0</v>
      </c>
      <c r="P287" s="9">
        <v>0</v>
      </c>
      <c r="Q287" s="122">
        <v>0</v>
      </c>
      <c r="R287" s="576">
        <v>0</v>
      </c>
      <c r="S287" s="27">
        <f t="shared" si="34"/>
        <v>0</v>
      </c>
      <c r="T287" s="30">
        <v>0</v>
      </c>
      <c r="U287" s="51"/>
      <c r="V287" s="2120">
        <f t="shared" si="35"/>
        <v>0</v>
      </c>
      <c r="W287" s="43"/>
      <c r="X287" s="43"/>
      <c r="Y287" s="43"/>
      <c r="Z287" s="43"/>
    </row>
    <row r="288" spans="1:26">
      <c r="A288" s="88">
        <v>5002</v>
      </c>
      <c r="B288" s="378" t="s">
        <v>801</v>
      </c>
      <c r="C288" s="1034"/>
      <c r="D288" s="1034"/>
      <c r="E288" s="1034"/>
      <c r="F288" s="1034"/>
      <c r="G288" s="1033"/>
      <c r="H288" s="1033"/>
      <c r="I288" s="1033"/>
      <c r="J288" s="1033"/>
      <c r="K288" s="1033"/>
      <c r="L288" s="90"/>
      <c r="M288" s="51"/>
      <c r="N288" s="113">
        <f t="shared" si="33"/>
        <v>5002</v>
      </c>
      <c r="O288" s="120"/>
      <c r="P288" s="9">
        <v>0</v>
      </c>
      <c r="Q288" s="122"/>
      <c r="R288" s="576"/>
      <c r="S288" s="27">
        <f t="shared" si="34"/>
        <v>0</v>
      </c>
      <c r="T288" s="30">
        <v>0</v>
      </c>
      <c r="U288" s="51"/>
      <c r="V288" s="2120">
        <f t="shared" si="35"/>
        <v>0</v>
      </c>
      <c r="W288" s="43"/>
      <c r="X288" s="43"/>
      <c r="Y288" s="43"/>
      <c r="Z288" s="43"/>
    </row>
    <row r="289" spans="1:26">
      <c r="A289" s="91">
        <v>5005</v>
      </c>
      <c r="B289" s="1036" t="s">
        <v>802</v>
      </c>
      <c r="C289" s="1036"/>
      <c r="D289" s="1036"/>
      <c r="E289" s="1036"/>
      <c r="F289" s="1036"/>
      <c r="G289" s="92"/>
      <c r="H289" s="92"/>
      <c r="I289" s="92"/>
      <c r="J289" s="92"/>
      <c r="K289" s="92"/>
      <c r="L289" s="93"/>
      <c r="M289" s="51"/>
      <c r="N289" s="114">
        <f t="shared" si="33"/>
        <v>5005</v>
      </c>
      <c r="O289" s="10">
        <v>0</v>
      </c>
      <c r="P289" s="11">
        <v>0</v>
      </c>
      <c r="Q289" s="31">
        <v>0</v>
      </c>
      <c r="R289" s="11">
        <v>0</v>
      </c>
      <c r="S289" s="829">
        <f t="shared" si="34"/>
        <v>0</v>
      </c>
      <c r="T289" s="830">
        <v>0</v>
      </c>
      <c r="U289" s="51"/>
      <c r="V289" s="2120">
        <f t="shared" si="35"/>
        <v>0</v>
      </c>
      <c r="W289" s="43"/>
      <c r="X289" s="43"/>
      <c r="Y289" s="43"/>
      <c r="Z289" s="43"/>
    </row>
    <row r="290" spans="1:26">
      <c r="A290" s="91">
        <v>5006</v>
      </c>
      <c r="B290" s="1036" t="s">
        <v>803</v>
      </c>
      <c r="C290" s="1036"/>
      <c r="D290" s="1036"/>
      <c r="E290" s="1036"/>
      <c r="F290" s="1036"/>
      <c r="G290" s="92"/>
      <c r="H290" s="92"/>
      <c r="I290" s="92"/>
      <c r="J290" s="92"/>
      <c r="K290" s="92"/>
      <c r="L290" s="93"/>
      <c r="M290" s="51"/>
      <c r="N290" s="114">
        <f t="shared" si="33"/>
        <v>5006</v>
      </c>
      <c r="O290" s="10">
        <v>0</v>
      </c>
      <c r="P290" s="11">
        <v>0</v>
      </c>
      <c r="Q290" s="31">
        <v>0</v>
      </c>
      <c r="R290" s="11">
        <v>0</v>
      </c>
      <c r="S290" s="829">
        <f t="shared" si="34"/>
        <v>0</v>
      </c>
      <c r="T290" s="830">
        <v>0</v>
      </c>
      <c r="U290" s="51"/>
      <c r="V290" s="2120">
        <f t="shared" si="35"/>
        <v>0</v>
      </c>
      <c r="W290" s="43"/>
      <c r="X290" s="43"/>
      <c r="Y290" s="43"/>
      <c r="Z290" s="43"/>
    </row>
    <row r="291" spans="1:26">
      <c r="A291" s="88">
        <v>5007</v>
      </c>
      <c r="B291" s="378" t="s">
        <v>804</v>
      </c>
      <c r="C291" s="1034"/>
      <c r="D291" s="1034"/>
      <c r="E291" s="1034"/>
      <c r="F291" s="1034"/>
      <c r="G291" s="1033"/>
      <c r="H291" s="1033"/>
      <c r="I291" s="1033"/>
      <c r="J291" s="1033"/>
      <c r="K291" s="1033"/>
      <c r="L291" s="90"/>
      <c r="M291" s="51"/>
      <c r="N291" s="113">
        <f t="shared" si="33"/>
        <v>5007</v>
      </c>
      <c r="O291" s="120"/>
      <c r="P291" s="9">
        <v>0</v>
      </c>
      <c r="Q291" s="122"/>
      <c r="R291" s="576"/>
      <c r="S291" s="27">
        <f t="shared" si="34"/>
        <v>0</v>
      </c>
      <c r="T291" s="30">
        <v>0</v>
      </c>
      <c r="U291" s="51"/>
      <c r="V291" s="2120">
        <f t="shared" si="35"/>
        <v>0</v>
      </c>
      <c r="W291" s="43"/>
      <c r="X291" s="43"/>
      <c r="Y291" s="43"/>
      <c r="Z291" s="43"/>
    </row>
    <row r="292" spans="1:26">
      <c r="A292" s="88">
        <v>5008</v>
      </c>
      <c r="B292" s="378" t="s">
        <v>805</v>
      </c>
      <c r="C292" s="1034"/>
      <c r="D292" s="1034"/>
      <c r="E292" s="1034"/>
      <c r="F292" s="1034"/>
      <c r="G292" s="1033"/>
      <c r="H292" s="1033"/>
      <c r="I292" s="1033"/>
      <c r="J292" s="1033"/>
      <c r="K292" s="1033"/>
      <c r="L292" s="90"/>
      <c r="M292" s="51"/>
      <c r="N292" s="113">
        <f t="shared" si="33"/>
        <v>5008</v>
      </c>
      <c r="O292" s="120"/>
      <c r="P292" s="9">
        <v>0</v>
      </c>
      <c r="Q292" s="122"/>
      <c r="R292" s="576"/>
      <c r="S292" s="27">
        <f t="shared" si="34"/>
        <v>0</v>
      </c>
      <c r="T292" s="30">
        <v>0</v>
      </c>
      <c r="U292" s="51"/>
      <c r="V292" s="2120">
        <f t="shared" si="35"/>
        <v>0</v>
      </c>
      <c r="W292" s="43"/>
      <c r="X292" s="43"/>
      <c r="Y292" s="43"/>
      <c r="Z292" s="43"/>
    </row>
    <row r="293" spans="1:26">
      <c r="A293" s="91">
        <v>5009</v>
      </c>
      <c r="B293" s="1036" t="s">
        <v>806</v>
      </c>
      <c r="C293" s="1036"/>
      <c r="D293" s="1036"/>
      <c r="E293" s="1036"/>
      <c r="F293" s="1036"/>
      <c r="G293" s="92"/>
      <c r="H293" s="92"/>
      <c r="I293" s="92"/>
      <c r="J293" s="92"/>
      <c r="K293" s="92"/>
      <c r="L293" s="93"/>
      <c r="M293" s="51"/>
      <c r="N293" s="114">
        <f t="shared" si="33"/>
        <v>5009</v>
      </c>
      <c r="O293" s="10">
        <v>0</v>
      </c>
      <c r="P293" s="11">
        <v>0</v>
      </c>
      <c r="Q293" s="31">
        <v>0</v>
      </c>
      <c r="R293" s="11">
        <v>0</v>
      </c>
      <c r="S293" s="829">
        <f t="shared" si="34"/>
        <v>0</v>
      </c>
      <c r="T293" s="830">
        <v>0</v>
      </c>
      <c r="U293" s="51"/>
      <c r="V293" s="2120">
        <f t="shared" si="35"/>
        <v>0</v>
      </c>
      <c r="W293" s="43"/>
      <c r="X293" s="43"/>
      <c r="Y293" s="43"/>
      <c r="Z293" s="43"/>
    </row>
    <row r="294" spans="1:26">
      <c r="A294" s="88">
        <v>5011</v>
      </c>
      <c r="B294" s="378" t="s">
        <v>807</v>
      </c>
      <c r="C294" s="1034"/>
      <c r="D294" s="1034"/>
      <c r="E294" s="1034"/>
      <c r="F294" s="1034"/>
      <c r="G294" s="1033"/>
      <c r="H294" s="1033"/>
      <c r="I294" s="1033"/>
      <c r="J294" s="1033"/>
      <c r="K294" s="1033"/>
      <c r="L294" s="90"/>
      <c r="M294" s="51"/>
      <c r="N294" s="113">
        <f t="shared" si="33"/>
        <v>5011</v>
      </c>
      <c r="O294" s="120">
        <v>0</v>
      </c>
      <c r="P294" s="9">
        <v>0</v>
      </c>
      <c r="Q294" s="122">
        <v>0</v>
      </c>
      <c r="R294" s="576">
        <v>0</v>
      </c>
      <c r="S294" s="27">
        <f t="shared" si="34"/>
        <v>0</v>
      </c>
      <c r="T294" s="30">
        <v>0</v>
      </c>
      <c r="U294" s="51"/>
      <c r="V294" s="2120">
        <f t="shared" si="35"/>
        <v>0</v>
      </c>
      <c r="W294" s="43"/>
      <c r="X294" s="43"/>
      <c r="Y294" s="43"/>
      <c r="Z294" s="43"/>
    </row>
    <row r="295" spans="1:26">
      <c r="A295" s="88">
        <v>5012</v>
      </c>
      <c r="B295" s="378" t="s">
        <v>808</v>
      </c>
      <c r="C295" s="1034"/>
      <c r="D295" s="1034"/>
      <c r="E295" s="1034"/>
      <c r="F295" s="1034"/>
      <c r="G295" s="1033"/>
      <c r="H295" s="1033"/>
      <c r="I295" s="1033"/>
      <c r="J295" s="1033"/>
      <c r="K295" s="1033"/>
      <c r="L295" s="90"/>
      <c r="M295" s="51"/>
      <c r="N295" s="113">
        <f t="shared" si="33"/>
        <v>5012</v>
      </c>
      <c r="O295" s="581">
        <v>0</v>
      </c>
      <c r="P295" s="582">
        <v>0</v>
      </c>
      <c r="Q295" s="122">
        <v>0</v>
      </c>
      <c r="R295" s="576">
        <v>0</v>
      </c>
      <c r="S295" s="583">
        <f t="shared" si="34"/>
        <v>0</v>
      </c>
      <c r="T295" s="584">
        <v>0</v>
      </c>
      <c r="U295" s="51"/>
      <c r="V295" s="2120">
        <f t="shared" si="35"/>
        <v>0</v>
      </c>
      <c r="W295" s="43"/>
      <c r="X295" s="43"/>
      <c r="Y295" s="43"/>
      <c r="Z295" s="43"/>
    </row>
    <row r="296" spans="1:26">
      <c r="A296" s="88">
        <v>5013</v>
      </c>
      <c r="B296" s="378" t="s">
        <v>986</v>
      </c>
      <c r="C296" s="1034"/>
      <c r="D296" s="1034"/>
      <c r="E296" s="1034"/>
      <c r="F296" s="1034"/>
      <c r="G296" s="1033"/>
      <c r="H296" s="1033"/>
      <c r="I296" s="1033"/>
      <c r="J296" s="1033"/>
      <c r="K296" s="1033"/>
      <c r="L296" s="90"/>
      <c r="M296" s="51"/>
      <c r="N296" s="113">
        <f t="shared" si="33"/>
        <v>5013</v>
      </c>
      <c r="O296" s="581">
        <v>0</v>
      </c>
      <c r="P296" s="582">
        <v>0</v>
      </c>
      <c r="Q296" s="122">
        <v>0</v>
      </c>
      <c r="R296" s="576">
        <v>0</v>
      </c>
      <c r="S296" s="583">
        <f t="shared" si="34"/>
        <v>0</v>
      </c>
      <c r="T296" s="584">
        <v>0</v>
      </c>
      <c r="U296" s="51"/>
      <c r="V296" s="2120">
        <f t="shared" si="35"/>
        <v>0</v>
      </c>
      <c r="W296" s="43"/>
      <c r="X296" s="43"/>
      <c r="Y296" s="43"/>
      <c r="Z296" s="43"/>
    </row>
    <row r="297" spans="1:26">
      <c r="A297" s="88">
        <v>5014</v>
      </c>
      <c r="B297" s="378" t="s">
        <v>987</v>
      </c>
      <c r="C297" s="1034"/>
      <c r="D297" s="1034"/>
      <c r="E297" s="1034"/>
      <c r="F297" s="1034"/>
      <c r="G297" s="1033"/>
      <c r="H297" s="1033"/>
      <c r="I297" s="1033"/>
      <c r="J297" s="1033"/>
      <c r="K297" s="1033"/>
      <c r="L297" s="90"/>
      <c r="M297" s="51"/>
      <c r="N297" s="113">
        <f t="shared" si="33"/>
        <v>5014</v>
      </c>
      <c r="O297" s="581">
        <v>0</v>
      </c>
      <c r="P297" s="582">
        <v>0</v>
      </c>
      <c r="Q297" s="122">
        <v>0</v>
      </c>
      <c r="R297" s="576">
        <v>0</v>
      </c>
      <c r="S297" s="583">
        <f t="shared" si="34"/>
        <v>0</v>
      </c>
      <c r="T297" s="584">
        <v>0</v>
      </c>
      <c r="U297" s="51"/>
      <c r="V297" s="2120">
        <f t="shared" si="35"/>
        <v>0</v>
      </c>
      <c r="W297" s="43"/>
      <c r="X297" s="43"/>
      <c r="Y297" s="43"/>
      <c r="Z297" s="43"/>
    </row>
    <row r="298" spans="1:26">
      <c r="A298" s="88">
        <v>5015</v>
      </c>
      <c r="B298" s="378" t="s">
        <v>988</v>
      </c>
      <c r="C298" s="1034"/>
      <c r="D298" s="1034"/>
      <c r="E298" s="1034"/>
      <c r="F298" s="1034"/>
      <c r="G298" s="1033"/>
      <c r="H298" s="1033"/>
      <c r="I298" s="1033"/>
      <c r="J298" s="1033"/>
      <c r="K298" s="1033"/>
      <c r="L298" s="90"/>
      <c r="M298" s="51"/>
      <c r="N298" s="113">
        <f t="shared" si="33"/>
        <v>5015</v>
      </c>
      <c r="O298" s="581"/>
      <c r="P298" s="582">
        <v>0</v>
      </c>
      <c r="Q298" s="122"/>
      <c r="R298" s="576"/>
      <c r="S298" s="583">
        <f t="shared" si="34"/>
        <v>0</v>
      </c>
      <c r="T298" s="584">
        <v>0</v>
      </c>
      <c r="U298" s="51"/>
      <c r="V298" s="2120">
        <f t="shared" si="35"/>
        <v>0</v>
      </c>
      <c r="W298" s="43"/>
      <c r="X298" s="43"/>
      <c r="Y298" s="43"/>
      <c r="Z298" s="43"/>
    </row>
    <row r="299" spans="1:26">
      <c r="A299" s="88">
        <v>5016</v>
      </c>
      <c r="B299" s="378" t="s">
        <v>989</v>
      </c>
      <c r="C299" s="1034"/>
      <c r="D299" s="1034"/>
      <c r="E299" s="1034"/>
      <c r="F299" s="1034"/>
      <c r="G299" s="1033"/>
      <c r="H299" s="1033"/>
      <c r="I299" s="1033"/>
      <c r="J299" s="1033"/>
      <c r="K299" s="1033"/>
      <c r="L299" s="90"/>
      <c r="M299" s="51"/>
      <c r="N299" s="113">
        <f t="shared" si="33"/>
        <v>5016</v>
      </c>
      <c r="O299" s="581">
        <v>0</v>
      </c>
      <c r="P299" s="582">
        <v>0</v>
      </c>
      <c r="Q299" s="122">
        <v>0</v>
      </c>
      <c r="R299" s="576">
        <v>0</v>
      </c>
      <c r="S299" s="583">
        <f t="shared" si="34"/>
        <v>0</v>
      </c>
      <c r="T299" s="584">
        <v>0</v>
      </c>
      <c r="U299" s="51"/>
      <c r="V299" s="2120">
        <f t="shared" si="35"/>
        <v>0</v>
      </c>
      <c r="W299" s="43"/>
      <c r="X299" s="43"/>
      <c r="Y299" s="43"/>
      <c r="Z299" s="43"/>
    </row>
    <row r="300" spans="1:26">
      <c r="A300" s="88">
        <v>5017</v>
      </c>
      <c r="B300" s="378" t="s">
        <v>990</v>
      </c>
      <c r="C300" s="1034"/>
      <c r="D300" s="1034"/>
      <c r="E300" s="1034"/>
      <c r="F300" s="1034"/>
      <c r="G300" s="1033"/>
      <c r="H300" s="1033"/>
      <c r="I300" s="1033"/>
      <c r="J300" s="1033"/>
      <c r="K300" s="1033"/>
      <c r="L300" s="90"/>
      <c r="M300" s="51"/>
      <c r="N300" s="113">
        <f t="shared" si="33"/>
        <v>5017</v>
      </c>
      <c r="O300" s="581"/>
      <c r="P300" s="582">
        <v>0</v>
      </c>
      <c r="Q300" s="122"/>
      <c r="R300" s="576"/>
      <c r="S300" s="583">
        <f t="shared" si="34"/>
        <v>0</v>
      </c>
      <c r="T300" s="584">
        <v>0</v>
      </c>
      <c r="U300" s="51"/>
      <c r="V300" s="2120">
        <f t="shared" si="35"/>
        <v>0</v>
      </c>
      <c r="W300" s="43"/>
      <c r="X300" s="43"/>
      <c r="Y300" s="43"/>
      <c r="Z300" s="43"/>
    </row>
    <row r="301" spans="1:26">
      <c r="A301" s="88">
        <v>5018</v>
      </c>
      <c r="B301" s="378" t="s">
        <v>991</v>
      </c>
      <c r="C301" s="1034"/>
      <c r="D301" s="1034"/>
      <c r="E301" s="1034"/>
      <c r="F301" s="1034"/>
      <c r="G301" s="1033"/>
      <c r="H301" s="1033"/>
      <c r="I301" s="1033"/>
      <c r="J301" s="1033"/>
      <c r="K301" s="1033"/>
      <c r="L301" s="90"/>
      <c r="M301" s="51"/>
      <c r="N301" s="113">
        <f t="shared" si="33"/>
        <v>5018</v>
      </c>
      <c r="O301" s="581"/>
      <c r="P301" s="582">
        <v>0</v>
      </c>
      <c r="Q301" s="589"/>
      <c r="R301" s="576"/>
      <c r="S301" s="583">
        <f t="shared" si="34"/>
        <v>0</v>
      </c>
      <c r="T301" s="584">
        <v>0</v>
      </c>
      <c r="U301" s="51"/>
      <c r="V301" s="2120">
        <f t="shared" si="35"/>
        <v>0</v>
      </c>
      <c r="W301" s="43"/>
      <c r="X301" s="43"/>
      <c r="Y301" s="43"/>
      <c r="Z301" s="43"/>
    </row>
    <row r="302" spans="1:26">
      <c r="A302" s="88">
        <v>5022</v>
      </c>
      <c r="B302" s="378" t="s">
        <v>992</v>
      </c>
      <c r="C302" s="1034"/>
      <c r="D302" s="1034"/>
      <c r="E302" s="1034"/>
      <c r="F302" s="1034"/>
      <c r="G302" s="1033"/>
      <c r="H302" s="1033"/>
      <c r="I302" s="1033"/>
      <c r="J302" s="1033"/>
      <c r="K302" s="1033"/>
      <c r="L302" s="90"/>
      <c r="M302" s="51"/>
      <c r="N302" s="113">
        <f t="shared" si="33"/>
        <v>5022</v>
      </c>
      <c r="O302" s="581"/>
      <c r="P302" s="582">
        <v>0</v>
      </c>
      <c r="Q302" s="589"/>
      <c r="R302" s="576"/>
      <c r="S302" s="583">
        <f t="shared" si="34"/>
        <v>0</v>
      </c>
      <c r="T302" s="584">
        <v>0</v>
      </c>
      <c r="U302" s="51"/>
      <c r="V302" s="2120">
        <f t="shared" si="35"/>
        <v>0</v>
      </c>
      <c r="W302" s="43"/>
      <c r="X302" s="43"/>
      <c r="Y302" s="43"/>
      <c r="Z302" s="43"/>
    </row>
    <row r="303" spans="1:26">
      <c r="A303" s="88">
        <v>5024</v>
      </c>
      <c r="B303" s="378" t="s">
        <v>993</v>
      </c>
      <c r="C303" s="1034"/>
      <c r="D303" s="1034"/>
      <c r="E303" s="1034"/>
      <c r="F303" s="1034"/>
      <c r="G303" s="1033"/>
      <c r="H303" s="1033"/>
      <c r="I303" s="1033"/>
      <c r="J303" s="1033"/>
      <c r="K303" s="1033"/>
      <c r="L303" s="90"/>
      <c r="M303" s="51"/>
      <c r="N303" s="113">
        <f t="shared" si="33"/>
        <v>5024</v>
      </c>
      <c r="O303" s="581"/>
      <c r="P303" s="582">
        <v>0</v>
      </c>
      <c r="Q303" s="589"/>
      <c r="R303" s="576"/>
      <c r="S303" s="583">
        <f t="shared" si="34"/>
        <v>0</v>
      </c>
      <c r="T303" s="584">
        <v>0</v>
      </c>
      <c r="U303" s="51"/>
      <c r="V303" s="2120">
        <f t="shared" si="35"/>
        <v>0</v>
      </c>
      <c r="W303" s="43"/>
      <c r="X303" s="43"/>
      <c r="Y303" s="43"/>
      <c r="Z303" s="43"/>
    </row>
    <row r="304" spans="1:26">
      <c r="A304" s="88">
        <v>5026</v>
      </c>
      <c r="B304" s="378" t="s">
        <v>994</v>
      </c>
      <c r="C304" s="1034"/>
      <c r="D304" s="1034"/>
      <c r="E304" s="1034"/>
      <c r="F304" s="1034"/>
      <c r="G304" s="1033"/>
      <c r="H304" s="1033"/>
      <c r="I304" s="1033"/>
      <c r="J304" s="1033"/>
      <c r="K304" s="1033"/>
      <c r="L304" s="90"/>
      <c r="M304" s="51"/>
      <c r="N304" s="113">
        <f t="shared" si="33"/>
        <v>5026</v>
      </c>
      <c r="O304" s="581"/>
      <c r="P304" s="582">
        <v>0</v>
      </c>
      <c r="Q304" s="589"/>
      <c r="R304" s="576"/>
      <c r="S304" s="583">
        <f t="shared" si="34"/>
        <v>0</v>
      </c>
      <c r="T304" s="584">
        <v>0</v>
      </c>
      <c r="U304" s="51"/>
      <c r="V304" s="2120">
        <f t="shared" si="35"/>
        <v>0</v>
      </c>
      <c r="W304" s="43"/>
      <c r="X304" s="43"/>
      <c r="Y304" s="43"/>
      <c r="Z304" s="43"/>
    </row>
    <row r="305" spans="1:26">
      <c r="A305" s="88">
        <v>5028</v>
      </c>
      <c r="B305" s="378" t="s">
        <v>995</v>
      </c>
      <c r="C305" s="1034"/>
      <c r="D305" s="1034"/>
      <c r="E305" s="1034"/>
      <c r="F305" s="1034"/>
      <c r="G305" s="1033"/>
      <c r="H305" s="1033"/>
      <c r="I305" s="1033"/>
      <c r="J305" s="1033"/>
      <c r="K305" s="1033"/>
      <c r="L305" s="90"/>
      <c r="M305" s="51"/>
      <c r="N305" s="113">
        <f t="shared" si="33"/>
        <v>5028</v>
      </c>
      <c r="O305" s="581"/>
      <c r="P305" s="582">
        <v>0</v>
      </c>
      <c r="Q305" s="589"/>
      <c r="R305" s="576"/>
      <c r="S305" s="583">
        <f t="shared" si="34"/>
        <v>0</v>
      </c>
      <c r="T305" s="584">
        <v>0</v>
      </c>
      <c r="U305" s="51"/>
      <c r="V305" s="2120">
        <f t="shared" si="35"/>
        <v>0</v>
      </c>
      <c r="W305" s="43"/>
      <c r="X305" s="43"/>
      <c r="Y305" s="43"/>
      <c r="Z305" s="43"/>
    </row>
    <row r="306" spans="1:26">
      <c r="A306" s="88">
        <v>5071</v>
      </c>
      <c r="B306" s="378" t="s">
        <v>996</v>
      </c>
      <c r="C306" s="1034"/>
      <c r="D306" s="1034"/>
      <c r="E306" s="1034"/>
      <c r="F306" s="1034"/>
      <c r="G306" s="1033"/>
      <c r="H306" s="1033"/>
      <c r="I306" s="1033"/>
      <c r="J306" s="1033"/>
      <c r="K306" s="1033"/>
      <c r="L306" s="574"/>
      <c r="M306" s="51"/>
      <c r="N306" s="113">
        <f t="shared" si="33"/>
        <v>5071</v>
      </c>
      <c r="O306" s="581"/>
      <c r="P306" s="582">
        <v>0</v>
      </c>
      <c r="Q306" s="589"/>
      <c r="R306" s="576"/>
      <c r="S306" s="583">
        <f t="shared" si="34"/>
        <v>0</v>
      </c>
      <c r="T306" s="584">
        <v>0</v>
      </c>
      <c r="U306" s="51"/>
      <c r="V306" s="2120">
        <f t="shared" si="35"/>
        <v>0</v>
      </c>
      <c r="W306" s="43"/>
      <c r="X306" s="43"/>
      <c r="Y306" s="43"/>
      <c r="Z306" s="43"/>
    </row>
    <row r="307" spans="1:26">
      <c r="A307" s="88">
        <v>5073</v>
      </c>
      <c r="B307" s="378" t="s">
        <v>997</v>
      </c>
      <c r="C307" s="1034"/>
      <c r="D307" s="1034"/>
      <c r="E307" s="1034"/>
      <c r="F307" s="1034"/>
      <c r="G307" s="1033"/>
      <c r="H307" s="1033"/>
      <c r="I307" s="1033"/>
      <c r="J307" s="1033"/>
      <c r="K307" s="1033"/>
      <c r="L307" s="574"/>
      <c r="M307" s="51"/>
      <c r="N307" s="113">
        <f t="shared" si="33"/>
        <v>5073</v>
      </c>
      <c r="O307" s="581"/>
      <c r="P307" s="582">
        <v>0</v>
      </c>
      <c r="Q307" s="589"/>
      <c r="R307" s="576"/>
      <c r="S307" s="583">
        <f t="shared" si="34"/>
        <v>0</v>
      </c>
      <c r="T307" s="584">
        <v>0</v>
      </c>
      <c r="U307" s="51"/>
      <c r="V307" s="2120">
        <f t="shared" si="35"/>
        <v>0</v>
      </c>
      <c r="W307" s="43"/>
      <c r="X307" s="43"/>
      <c r="Y307" s="43"/>
      <c r="Z307" s="43"/>
    </row>
    <row r="308" spans="1:26">
      <c r="A308" s="88">
        <v>5078</v>
      </c>
      <c r="B308" s="378" t="s">
        <v>998</v>
      </c>
      <c r="C308" s="1034"/>
      <c r="D308" s="1034"/>
      <c r="E308" s="1034"/>
      <c r="F308" s="1034"/>
      <c r="G308" s="1033"/>
      <c r="H308" s="1033"/>
      <c r="I308" s="1033"/>
      <c r="J308" s="1033"/>
      <c r="K308" s="1033"/>
      <c r="L308" s="574"/>
      <c r="M308" s="51"/>
      <c r="N308" s="113">
        <f t="shared" si="33"/>
        <v>5078</v>
      </c>
      <c r="O308" s="581"/>
      <c r="P308" s="582">
        <v>0</v>
      </c>
      <c r="Q308" s="589"/>
      <c r="R308" s="576"/>
      <c r="S308" s="583">
        <f t="shared" si="34"/>
        <v>0</v>
      </c>
      <c r="T308" s="584">
        <v>0</v>
      </c>
      <c r="U308" s="51"/>
      <c r="V308" s="2120">
        <f t="shared" si="35"/>
        <v>0</v>
      </c>
      <c r="W308" s="43"/>
      <c r="X308" s="43"/>
      <c r="Y308" s="43"/>
      <c r="Z308" s="43"/>
    </row>
    <row r="309" spans="1:26">
      <c r="A309" s="88">
        <v>5081</v>
      </c>
      <c r="B309" s="378" t="s">
        <v>999</v>
      </c>
      <c r="C309" s="1034"/>
      <c r="D309" s="1034"/>
      <c r="E309" s="1034"/>
      <c r="F309" s="1034"/>
      <c r="G309" s="1034"/>
      <c r="H309" s="1034"/>
      <c r="I309" s="1034"/>
      <c r="J309" s="1034"/>
      <c r="K309" s="1034"/>
      <c r="L309" s="574"/>
      <c r="M309" s="51"/>
      <c r="N309" s="113">
        <f t="shared" si="33"/>
        <v>5081</v>
      </c>
      <c r="O309" s="581"/>
      <c r="P309" s="582">
        <v>0</v>
      </c>
      <c r="Q309" s="589"/>
      <c r="R309" s="576"/>
      <c r="S309" s="583">
        <f t="shared" si="34"/>
        <v>0</v>
      </c>
      <c r="T309" s="584">
        <v>0</v>
      </c>
      <c r="U309" s="51"/>
      <c r="V309" s="2120">
        <f t="shared" si="35"/>
        <v>0</v>
      </c>
      <c r="W309" s="43"/>
      <c r="X309" s="43"/>
      <c r="Y309" s="43"/>
      <c r="Z309" s="43"/>
    </row>
    <row r="310" spans="1:26">
      <c r="A310" s="88">
        <v>5082</v>
      </c>
      <c r="B310" s="378" t="s">
        <v>1000</v>
      </c>
      <c r="C310" s="1034"/>
      <c r="D310" s="1034"/>
      <c r="E310" s="1034"/>
      <c r="F310" s="1034"/>
      <c r="G310" s="1034"/>
      <c r="H310" s="1034"/>
      <c r="I310" s="1034"/>
      <c r="J310" s="1034"/>
      <c r="K310" s="1034"/>
      <c r="L310" s="574"/>
      <c r="M310" s="51"/>
      <c r="N310" s="113">
        <f t="shared" si="33"/>
        <v>5082</v>
      </c>
      <c r="O310" s="581"/>
      <c r="P310" s="582">
        <v>0</v>
      </c>
      <c r="Q310" s="589"/>
      <c r="R310" s="576"/>
      <c r="S310" s="583">
        <f t="shared" si="34"/>
        <v>0</v>
      </c>
      <c r="T310" s="584">
        <v>0</v>
      </c>
      <c r="U310" s="51"/>
      <c r="V310" s="2120">
        <f t="shared" si="35"/>
        <v>0</v>
      </c>
      <c r="W310" s="43"/>
      <c r="X310" s="43"/>
      <c r="Y310" s="43"/>
      <c r="Z310" s="43"/>
    </row>
    <row r="311" spans="1:26">
      <c r="A311" s="88">
        <v>5091</v>
      </c>
      <c r="B311" s="378" t="s">
        <v>123</v>
      </c>
      <c r="C311" s="1034"/>
      <c r="D311" s="1034"/>
      <c r="E311" s="1034"/>
      <c r="F311" s="1034"/>
      <c r="G311" s="1033"/>
      <c r="H311" s="1033"/>
      <c r="I311" s="1033"/>
      <c r="J311" s="1033"/>
      <c r="K311" s="1033"/>
      <c r="L311" s="574"/>
      <c r="M311" s="51"/>
      <c r="N311" s="113">
        <f t="shared" si="33"/>
        <v>5091</v>
      </c>
      <c r="O311" s="581"/>
      <c r="P311" s="582">
        <v>0</v>
      </c>
      <c r="Q311" s="122"/>
      <c r="R311" s="576"/>
      <c r="S311" s="583">
        <f t="shared" si="34"/>
        <v>0</v>
      </c>
      <c r="T311" s="584">
        <v>0</v>
      </c>
      <c r="U311" s="51"/>
      <c r="V311" s="2120">
        <f t="shared" si="35"/>
        <v>0</v>
      </c>
      <c r="W311" s="43"/>
      <c r="X311" s="43"/>
      <c r="Y311" s="43"/>
      <c r="Z311" s="43"/>
    </row>
    <row r="312" spans="1:26">
      <c r="A312" s="88">
        <v>5092</v>
      </c>
      <c r="B312" s="378" t="s">
        <v>124</v>
      </c>
      <c r="C312" s="1034"/>
      <c r="D312" s="1034"/>
      <c r="E312" s="1034"/>
      <c r="F312" s="1034"/>
      <c r="G312" s="1033"/>
      <c r="H312" s="1033"/>
      <c r="I312" s="1033"/>
      <c r="J312" s="1033"/>
      <c r="K312" s="1033"/>
      <c r="L312" s="574"/>
      <c r="M312" s="51"/>
      <c r="N312" s="113">
        <f t="shared" si="33"/>
        <v>5092</v>
      </c>
      <c r="O312" s="581"/>
      <c r="P312" s="582">
        <v>0</v>
      </c>
      <c r="Q312" s="122"/>
      <c r="R312" s="576"/>
      <c r="S312" s="583">
        <f t="shared" si="34"/>
        <v>0</v>
      </c>
      <c r="T312" s="584">
        <v>0</v>
      </c>
      <c r="U312" s="51"/>
      <c r="V312" s="2120">
        <f t="shared" si="35"/>
        <v>0</v>
      </c>
      <c r="W312" s="43"/>
      <c r="X312" s="43"/>
      <c r="Y312" s="43"/>
      <c r="Z312" s="43"/>
    </row>
    <row r="313" spans="1:26">
      <c r="A313" s="88">
        <v>5111</v>
      </c>
      <c r="B313" s="1032" t="s">
        <v>125</v>
      </c>
      <c r="C313" s="1034"/>
      <c r="D313" s="1034"/>
      <c r="E313" s="1034"/>
      <c r="F313" s="1034"/>
      <c r="G313" s="1033"/>
      <c r="H313" s="1033"/>
      <c r="I313" s="1033"/>
      <c r="J313" s="1033"/>
      <c r="K313" s="1033"/>
      <c r="L313" s="574"/>
      <c r="M313" s="51"/>
      <c r="N313" s="113">
        <f t="shared" si="33"/>
        <v>5111</v>
      </c>
      <c r="O313" s="581"/>
      <c r="P313" s="582">
        <v>0</v>
      </c>
      <c r="Q313" s="122"/>
      <c r="R313" s="576"/>
      <c r="S313" s="583">
        <f t="shared" si="34"/>
        <v>0</v>
      </c>
      <c r="T313" s="584">
        <v>0</v>
      </c>
      <c r="U313" s="51"/>
      <c r="V313" s="2120">
        <f t="shared" si="35"/>
        <v>0</v>
      </c>
      <c r="W313" s="43"/>
      <c r="X313" s="43"/>
      <c r="Y313" s="43"/>
      <c r="Z313" s="43"/>
    </row>
    <row r="314" spans="1:26">
      <c r="A314" s="88">
        <v>5112</v>
      </c>
      <c r="B314" s="1032" t="s">
        <v>1178</v>
      </c>
      <c r="C314" s="1034"/>
      <c r="D314" s="1034"/>
      <c r="E314" s="1034"/>
      <c r="F314" s="1034"/>
      <c r="G314" s="1033"/>
      <c r="H314" s="1033"/>
      <c r="I314" s="1033"/>
      <c r="J314" s="1033"/>
      <c r="K314" s="1033"/>
      <c r="L314" s="574"/>
      <c r="M314" s="51"/>
      <c r="N314" s="113">
        <f t="shared" si="33"/>
        <v>5112</v>
      </c>
      <c r="O314" s="581">
        <v>0</v>
      </c>
      <c r="P314" s="582">
        <v>0</v>
      </c>
      <c r="Q314" s="122">
        <v>0</v>
      </c>
      <c r="R314" s="576">
        <v>0</v>
      </c>
      <c r="S314" s="583">
        <f t="shared" si="34"/>
        <v>0</v>
      </c>
      <c r="T314" s="584">
        <v>0</v>
      </c>
      <c r="U314" s="51"/>
      <c r="V314" s="2120">
        <f t="shared" si="35"/>
        <v>0</v>
      </c>
      <c r="W314" s="43"/>
      <c r="X314" s="43"/>
      <c r="Y314" s="43"/>
      <c r="Z314" s="43"/>
    </row>
    <row r="315" spans="1:26">
      <c r="A315" s="88">
        <v>5113</v>
      </c>
      <c r="B315" s="1032" t="s">
        <v>126</v>
      </c>
      <c r="C315" s="1034"/>
      <c r="D315" s="1034"/>
      <c r="E315" s="1034"/>
      <c r="F315" s="1034"/>
      <c r="G315" s="1033"/>
      <c r="H315" s="1033"/>
      <c r="I315" s="1033"/>
      <c r="J315" s="1033"/>
      <c r="K315" s="1033"/>
      <c r="L315" s="574"/>
      <c r="M315" s="51"/>
      <c r="N315" s="113">
        <f t="shared" si="33"/>
        <v>5113</v>
      </c>
      <c r="O315" s="581"/>
      <c r="P315" s="582">
        <v>0</v>
      </c>
      <c r="Q315" s="122"/>
      <c r="R315" s="576"/>
      <c r="S315" s="583">
        <f t="shared" si="34"/>
        <v>0</v>
      </c>
      <c r="T315" s="584">
        <v>0</v>
      </c>
      <c r="U315" s="51"/>
      <c r="V315" s="2120">
        <f t="shared" si="35"/>
        <v>0</v>
      </c>
      <c r="W315" s="43"/>
      <c r="X315" s="43"/>
      <c r="Y315" s="43"/>
      <c r="Z315" s="43"/>
    </row>
    <row r="316" spans="1:26">
      <c r="A316" s="88">
        <v>5114</v>
      </c>
      <c r="B316" s="1032" t="s">
        <v>127</v>
      </c>
      <c r="C316" s="1034"/>
      <c r="D316" s="1034"/>
      <c r="E316" s="1034"/>
      <c r="F316" s="1034"/>
      <c r="G316" s="1033"/>
      <c r="H316" s="1033"/>
      <c r="I316" s="1033"/>
      <c r="J316" s="1033"/>
      <c r="K316" s="1033"/>
      <c r="L316" s="574"/>
      <c r="M316" s="51"/>
      <c r="N316" s="113">
        <f t="shared" si="33"/>
        <v>5114</v>
      </c>
      <c r="O316" s="581"/>
      <c r="P316" s="582">
        <v>0</v>
      </c>
      <c r="Q316" s="122"/>
      <c r="R316" s="576"/>
      <c r="S316" s="583">
        <f t="shared" si="34"/>
        <v>0</v>
      </c>
      <c r="T316" s="584">
        <v>0</v>
      </c>
      <c r="U316" s="51"/>
      <c r="V316" s="2120">
        <f t="shared" si="35"/>
        <v>0</v>
      </c>
      <c r="W316" s="43"/>
      <c r="X316" s="43"/>
      <c r="Y316" s="43"/>
      <c r="Z316" s="43"/>
    </row>
    <row r="317" spans="1:26">
      <c r="A317" s="88">
        <v>5121</v>
      </c>
      <c r="B317" s="1032" t="s">
        <v>128</v>
      </c>
      <c r="C317" s="1034"/>
      <c r="D317" s="1034"/>
      <c r="E317" s="1034"/>
      <c r="F317" s="1034"/>
      <c r="G317" s="1033"/>
      <c r="H317" s="1033"/>
      <c r="I317" s="1033"/>
      <c r="J317" s="1033"/>
      <c r="K317" s="1033"/>
      <c r="L317" s="574"/>
      <c r="M317" s="51"/>
      <c r="N317" s="113">
        <f t="shared" si="33"/>
        <v>5121</v>
      </c>
      <c r="O317" s="581"/>
      <c r="P317" s="582">
        <v>0</v>
      </c>
      <c r="Q317" s="122"/>
      <c r="R317" s="576"/>
      <c r="S317" s="583">
        <f t="shared" si="34"/>
        <v>0</v>
      </c>
      <c r="T317" s="584">
        <v>0</v>
      </c>
      <c r="U317" s="51"/>
      <c r="V317" s="2120">
        <f t="shared" si="35"/>
        <v>0</v>
      </c>
      <c r="W317" s="43"/>
      <c r="X317" s="43"/>
      <c r="Y317" s="43"/>
      <c r="Z317" s="43"/>
    </row>
    <row r="318" spans="1:26">
      <c r="A318" s="88">
        <v>5122</v>
      </c>
      <c r="B318" s="1032" t="s">
        <v>1163</v>
      </c>
      <c r="C318" s="1034"/>
      <c r="D318" s="1034"/>
      <c r="E318" s="1034"/>
      <c r="F318" s="1034"/>
      <c r="G318" s="1033"/>
      <c r="H318" s="1033"/>
      <c r="I318" s="1033"/>
      <c r="J318" s="1033"/>
      <c r="K318" s="1033"/>
      <c r="L318" s="574"/>
      <c r="M318" s="51"/>
      <c r="N318" s="113">
        <f t="shared" ref="N318:N344" si="36">+A318</f>
        <v>5122</v>
      </c>
      <c r="O318" s="581"/>
      <c r="P318" s="582">
        <v>0</v>
      </c>
      <c r="Q318" s="122"/>
      <c r="R318" s="576"/>
      <c r="S318" s="583">
        <f t="shared" si="34"/>
        <v>0</v>
      </c>
      <c r="T318" s="584">
        <v>0</v>
      </c>
      <c r="U318" s="51"/>
      <c r="V318" s="2120">
        <f t="shared" si="35"/>
        <v>0</v>
      </c>
      <c r="W318" s="43"/>
      <c r="X318" s="43"/>
      <c r="Y318" s="43"/>
      <c r="Z318" s="43"/>
    </row>
    <row r="319" spans="1:26">
      <c r="A319" s="88">
        <v>5123</v>
      </c>
      <c r="B319" s="1032" t="s">
        <v>129</v>
      </c>
      <c r="C319" s="1034"/>
      <c r="D319" s="1034"/>
      <c r="E319" s="1034"/>
      <c r="F319" s="1034"/>
      <c r="G319" s="1033"/>
      <c r="H319" s="1033"/>
      <c r="I319" s="1033"/>
      <c r="J319" s="1033"/>
      <c r="K319" s="1033"/>
      <c r="L319" s="574"/>
      <c r="M319" s="51"/>
      <c r="N319" s="113">
        <f t="shared" si="36"/>
        <v>5123</v>
      </c>
      <c r="O319" s="581"/>
      <c r="P319" s="582">
        <v>0</v>
      </c>
      <c r="Q319" s="122"/>
      <c r="R319" s="576"/>
      <c r="S319" s="583">
        <f t="shared" si="34"/>
        <v>0</v>
      </c>
      <c r="T319" s="584">
        <v>0</v>
      </c>
      <c r="U319" s="51"/>
      <c r="V319" s="2120">
        <f t="shared" si="35"/>
        <v>0</v>
      </c>
      <c r="W319" s="43"/>
      <c r="X319" s="43"/>
      <c r="Y319" s="43"/>
      <c r="Z319" s="43"/>
    </row>
    <row r="320" spans="1:26">
      <c r="A320" s="88">
        <v>5124</v>
      </c>
      <c r="B320" s="1032" t="s">
        <v>1164</v>
      </c>
      <c r="C320" s="1034"/>
      <c r="D320" s="1034"/>
      <c r="E320" s="1034"/>
      <c r="F320" s="1034"/>
      <c r="G320" s="1033"/>
      <c r="H320" s="1033"/>
      <c r="I320" s="1033"/>
      <c r="J320" s="1033"/>
      <c r="K320" s="1033"/>
      <c r="L320" s="574"/>
      <c r="M320" s="51"/>
      <c r="N320" s="113">
        <f t="shared" si="36"/>
        <v>5124</v>
      </c>
      <c r="O320" s="581"/>
      <c r="P320" s="582">
        <v>0</v>
      </c>
      <c r="Q320" s="122"/>
      <c r="R320" s="576"/>
      <c r="S320" s="583">
        <f t="shared" si="34"/>
        <v>0</v>
      </c>
      <c r="T320" s="584">
        <v>0</v>
      </c>
      <c r="U320" s="51"/>
      <c r="V320" s="2120">
        <f t="shared" si="35"/>
        <v>0</v>
      </c>
      <c r="W320" s="43"/>
      <c r="X320" s="43"/>
      <c r="Y320" s="43"/>
      <c r="Z320" s="43"/>
    </row>
    <row r="321" spans="1:26">
      <c r="A321" s="88">
        <v>5131</v>
      </c>
      <c r="B321" s="378" t="s">
        <v>130</v>
      </c>
      <c r="C321" s="1034"/>
      <c r="D321" s="1034"/>
      <c r="E321" s="1034"/>
      <c r="F321" s="1034"/>
      <c r="G321" s="1033"/>
      <c r="H321" s="1033"/>
      <c r="I321" s="1033"/>
      <c r="J321" s="1033"/>
      <c r="K321" s="1033"/>
      <c r="L321" s="574"/>
      <c r="M321" s="51"/>
      <c r="N321" s="113">
        <f t="shared" si="36"/>
        <v>5131</v>
      </c>
      <c r="O321" s="581"/>
      <c r="P321" s="582">
        <v>0</v>
      </c>
      <c r="Q321" s="122"/>
      <c r="R321" s="576"/>
      <c r="S321" s="583">
        <f t="shared" si="34"/>
        <v>0</v>
      </c>
      <c r="T321" s="584">
        <v>0</v>
      </c>
      <c r="U321" s="51"/>
      <c r="V321" s="2120">
        <f t="shared" si="35"/>
        <v>0</v>
      </c>
      <c r="W321" s="43"/>
      <c r="X321" s="43"/>
      <c r="Y321" s="43"/>
      <c r="Z321" s="43"/>
    </row>
    <row r="322" spans="1:26">
      <c r="A322" s="88">
        <v>5139</v>
      </c>
      <c r="B322" s="378" t="s">
        <v>135</v>
      </c>
      <c r="C322" s="1034"/>
      <c r="D322" s="1034"/>
      <c r="E322" s="1034"/>
      <c r="F322" s="1034"/>
      <c r="G322" s="1033"/>
      <c r="H322" s="1033"/>
      <c r="I322" s="1033"/>
      <c r="J322" s="1033"/>
      <c r="K322" s="1033"/>
      <c r="L322" s="574"/>
      <c r="M322" s="51"/>
      <c r="N322" s="113">
        <f t="shared" si="36"/>
        <v>5139</v>
      </c>
      <c r="O322" s="581"/>
      <c r="P322" s="576"/>
      <c r="Q322" s="122"/>
      <c r="R322" s="121"/>
      <c r="S322" s="583">
        <f t="shared" si="34"/>
        <v>0</v>
      </c>
      <c r="T322" s="580">
        <f>+IF(ABS(+O322+Q322)&lt;=ABS(P322+R322),-O322+P322-Q322+R322,0)</f>
        <v>0</v>
      </c>
      <c r="U322" s="51"/>
      <c r="V322" s="2119"/>
      <c r="W322" s="43"/>
      <c r="X322" s="43"/>
      <c r="Y322" s="43"/>
      <c r="Z322" s="43"/>
    </row>
    <row r="323" spans="1:26">
      <c r="A323" s="88">
        <v>5141</v>
      </c>
      <c r="B323" s="378" t="s">
        <v>131</v>
      </c>
      <c r="C323" s="1034"/>
      <c r="D323" s="1034"/>
      <c r="E323" s="1034"/>
      <c r="F323" s="1034"/>
      <c r="G323" s="1033"/>
      <c r="H323" s="1033"/>
      <c r="I323" s="1033"/>
      <c r="J323" s="1033"/>
      <c r="K323" s="1033"/>
      <c r="L323" s="574"/>
      <c r="M323" s="51"/>
      <c r="N323" s="113">
        <f t="shared" si="36"/>
        <v>5141</v>
      </c>
      <c r="O323" s="581"/>
      <c r="P323" s="582">
        <v>0</v>
      </c>
      <c r="Q323" s="122"/>
      <c r="R323" s="576"/>
      <c r="S323" s="583">
        <f t="shared" si="34"/>
        <v>0</v>
      </c>
      <c r="T323" s="584">
        <v>0</v>
      </c>
      <c r="U323" s="51"/>
      <c r="V323" s="2120">
        <f>+IF(OR(ROUND(P323,2)+ROUND(R323,2)&gt;+ROUND(O323,2)+ROUND(Q323,2),+ABS(ROUND(P323,2)+ROUND(R323,2))&gt;+ABS(ROUND(O323,2)+ROUND(Q323,2))),+(ROUND(P323,2)+ROUND(R323,2))-(ROUND(O323,2)+ROUND(Q323,2)),0)</f>
        <v>0</v>
      </c>
      <c r="W323" s="43"/>
      <c r="X323" s="43"/>
      <c r="Y323" s="43"/>
      <c r="Z323" s="43"/>
    </row>
    <row r="324" spans="1:26">
      <c r="A324" s="88">
        <v>5142</v>
      </c>
      <c r="B324" s="378" t="s">
        <v>132</v>
      </c>
      <c r="C324" s="1034"/>
      <c r="D324" s="1034"/>
      <c r="E324" s="1034"/>
      <c r="F324" s="1034"/>
      <c r="G324" s="1033"/>
      <c r="H324" s="1033"/>
      <c r="I324" s="1033"/>
      <c r="J324" s="1033"/>
      <c r="K324" s="1033"/>
      <c r="L324" s="574"/>
      <c r="M324" s="51"/>
      <c r="N324" s="113">
        <f t="shared" si="36"/>
        <v>5142</v>
      </c>
      <c r="O324" s="581"/>
      <c r="P324" s="582">
        <v>0</v>
      </c>
      <c r="Q324" s="122"/>
      <c r="R324" s="576"/>
      <c r="S324" s="583">
        <f t="shared" si="34"/>
        <v>0</v>
      </c>
      <c r="T324" s="584">
        <v>0</v>
      </c>
      <c r="U324" s="51"/>
      <c r="V324" s="2120">
        <f>+IF(OR(ROUND(P324,2)+ROUND(R324,2)&gt;+ROUND(O324,2)+ROUND(Q324,2),+ABS(ROUND(P324,2)+ROUND(R324,2))&gt;+ABS(ROUND(O324,2)+ROUND(Q324,2))),+(ROUND(P324,2)+ROUND(R324,2))-(ROUND(O324,2)+ROUND(Q324,2)),0)</f>
        <v>0</v>
      </c>
      <c r="W324" s="43"/>
      <c r="X324" s="43"/>
      <c r="Y324" s="43"/>
      <c r="Z324" s="43"/>
    </row>
    <row r="325" spans="1:26">
      <c r="A325" s="88">
        <v>5143</v>
      </c>
      <c r="B325" s="378" t="s">
        <v>133</v>
      </c>
      <c r="C325" s="1033"/>
      <c r="D325" s="1033"/>
      <c r="E325" s="1033"/>
      <c r="F325" s="1033"/>
      <c r="G325" s="1033"/>
      <c r="H325" s="1033"/>
      <c r="I325" s="1033"/>
      <c r="J325" s="1033"/>
      <c r="K325" s="1033"/>
      <c r="L325" s="574"/>
      <c r="M325" s="51"/>
      <c r="N325" s="113">
        <f t="shared" si="36"/>
        <v>5143</v>
      </c>
      <c r="O325" s="581"/>
      <c r="P325" s="582">
        <v>0</v>
      </c>
      <c r="Q325" s="122"/>
      <c r="R325" s="576"/>
      <c r="S325" s="583">
        <f t="shared" si="34"/>
        <v>0</v>
      </c>
      <c r="T325" s="584">
        <v>0</v>
      </c>
      <c r="U325" s="51"/>
      <c r="V325" s="2120">
        <f>+IF(OR(ROUND(P325,2)+ROUND(R325,2)&gt;+ROUND(O325,2)+ROUND(Q325,2),+ABS(ROUND(P325,2)+ROUND(R325,2))&gt;+ABS(ROUND(O325,2)+ROUND(Q325,2))),+(ROUND(P325,2)+ROUND(R325,2))-(ROUND(O325,2)+ROUND(Q325,2)),0)</f>
        <v>0</v>
      </c>
      <c r="W325" s="43"/>
      <c r="X325" s="43"/>
      <c r="Y325" s="43"/>
      <c r="Z325" s="43"/>
    </row>
    <row r="326" spans="1:26">
      <c r="A326" s="88">
        <v>5144</v>
      </c>
      <c r="B326" s="378" t="s">
        <v>134</v>
      </c>
      <c r="C326" s="1033"/>
      <c r="D326" s="1033"/>
      <c r="E326" s="1033"/>
      <c r="F326" s="1033"/>
      <c r="G326" s="1033"/>
      <c r="H326" s="1033"/>
      <c r="I326" s="1033"/>
      <c r="J326" s="1033"/>
      <c r="K326" s="1033"/>
      <c r="L326" s="574"/>
      <c r="M326" s="51"/>
      <c r="N326" s="113">
        <f t="shared" si="36"/>
        <v>5144</v>
      </c>
      <c r="O326" s="581"/>
      <c r="P326" s="582">
        <v>0</v>
      </c>
      <c r="Q326" s="122"/>
      <c r="R326" s="576"/>
      <c r="S326" s="583">
        <f t="shared" si="34"/>
        <v>0</v>
      </c>
      <c r="T326" s="584">
        <v>0</v>
      </c>
      <c r="U326" s="51"/>
      <c r="V326" s="2120">
        <f>+IF(OR(ROUND(P326,2)+ROUND(R326,2)&gt;+ROUND(O326,2)+ROUND(Q326,2),+ABS(ROUND(P326,2)+ROUND(R326,2))&gt;+ABS(ROUND(O326,2)+ROUND(Q326,2))),+(ROUND(P326,2)+ROUND(R326,2))-(ROUND(O326,2)+ROUND(Q326,2)),0)</f>
        <v>0</v>
      </c>
      <c r="W326" s="43"/>
      <c r="X326" s="43"/>
      <c r="Y326" s="43"/>
      <c r="Z326" s="43"/>
    </row>
    <row r="327" spans="1:26">
      <c r="A327" s="88">
        <v>5145</v>
      </c>
      <c r="B327" s="378" t="s">
        <v>136</v>
      </c>
      <c r="C327" s="1033"/>
      <c r="D327" s="1033"/>
      <c r="E327" s="1033"/>
      <c r="F327" s="1033"/>
      <c r="G327" s="1033"/>
      <c r="H327" s="1033"/>
      <c r="I327" s="1033"/>
      <c r="J327" s="1033"/>
      <c r="K327" s="1033"/>
      <c r="L327" s="574"/>
      <c r="M327" s="51"/>
      <c r="N327" s="113">
        <f t="shared" si="36"/>
        <v>5145</v>
      </c>
      <c r="O327" s="581"/>
      <c r="P327" s="576"/>
      <c r="Q327" s="122"/>
      <c r="R327" s="121"/>
      <c r="S327" s="583">
        <f t="shared" si="34"/>
        <v>0</v>
      </c>
      <c r="T327" s="580">
        <f>+IF(ABS(+O327+Q327)&lt;=ABS(P327+R327),-O327+P327-Q327+R327,0)</f>
        <v>0</v>
      </c>
      <c r="U327" s="51"/>
      <c r="V327" s="2119"/>
      <c r="W327" s="43"/>
      <c r="X327" s="43"/>
      <c r="Y327" s="43"/>
      <c r="Z327" s="43"/>
    </row>
    <row r="328" spans="1:26">
      <c r="A328" s="88">
        <v>5146</v>
      </c>
      <c r="B328" s="378" t="s">
        <v>137</v>
      </c>
      <c r="C328" s="1033"/>
      <c r="D328" s="1033"/>
      <c r="E328" s="1033"/>
      <c r="F328" s="1033"/>
      <c r="G328" s="1033"/>
      <c r="H328" s="1033"/>
      <c r="I328" s="1033"/>
      <c r="J328" s="1033"/>
      <c r="K328" s="1033"/>
      <c r="L328" s="574"/>
      <c r="M328" s="51"/>
      <c r="N328" s="113">
        <f t="shared" si="36"/>
        <v>5146</v>
      </c>
      <c r="O328" s="581"/>
      <c r="P328" s="576"/>
      <c r="Q328" s="589"/>
      <c r="R328" s="576"/>
      <c r="S328" s="583">
        <f t="shared" si="34"/>
        <v>0</v>
      </c>
      <c r="T328" s="580">
        <f>+IF(ABS(+O328+Q328)&lt;=ABS(P328+R328),-O328+P328-Q328+R328,0)</f>
        <v>0</v>
      </c>
      <c r="U328" s="51"/>
      <c r="V328" s="2119"/>
      <c r="W328" s="43"/>
      <c r="X328" s="43"/>
      <c r="Y328" s="43"/>
      <c r="Z328" s="43"/>
    </row>
    <row r="329" spans="1:26">
      <c r="A329" s="88">
        <v>5147</v>
      </c>
      <c r="B329" s="378" t="s">
        <v>138</v>
      </c>
      <c r="C329" s="1033"/>
      <c r="D329" s="1033"/>
      <c r="E329" s="1033"/>
      <c r="F329" s="1033"/>
      <c r="G329" s="1033"/>
      <c r="H329" s="1033"/>
      <c r="I329" s="1033"/>
      <c r="J329" s="1033"/>
      <c r="K329" s="1033"/>
      <c r="L329" s="574"/>
      <c r="M329" s="51"/>
      <c r="N329" s="113">
        <f t="shared" si="36"/>
        <v>5147</v>
      </c>
      <c r="O329" s="581"/>
      <c r="P329" s="576"/>
      <c r="Q329" s="589"/>
      <c r="R329" s="576"/>
      <c r="S329" s="583">
        <f t="shared" si="34"/>
        <v>0</v>
      </c>
      <c r="T329" s="580">
        <f>+IF(ABS(+O329+Q329)&lt;=ABS(P329+R329),-O329+P329-Q329+R329,0)</f>
        <v>0</v>
      </c>
      <c r="U329" s="51"/>
      <c r="V329" s="2119"/>
      <c r="W329" s="43"/>
      <c r="X329" s="43"/>
      <c r="Y329" s="43"/>
      <c r="Z329" s="43"/>
    </row>
    <row r="330" spans="1:26">
      <c r="A330" s="88">
        <v>5148</v>
      </c>
      <c r="B330" s="378" t="s">
        <v>139</v>
      </c>
      <c r="C330" s="1033"/>
      <c r="D330" s="1033"/>
      <c r="E330" s="1033"/>
      <c r="F330" s="1033"/>
      <c r="G330" s="1033"/>
      <c r="H330" s="1033"/>
      <c r="I330" s="1033"/>
      <c r="J330" s="1033"/>
      <c r="K330" s="1033"/>
      <c r="L330" s="574"/>
      <c r="M330" s="51"/>
      <c r="N330" s="113">
        <f t="shared" si="36"/>
        <v>5148</v>
      </c>
      <c r="O330" s="581"/>
      <c r="P330" s="576"/>
      <c r="Q330" s="589"/>
      <c r="R330" s="576"/>
      <c r="S330" s="583">
        <f t="shared" si="34"/>
        <v>0</v>
      </c>
      <c r="T330" s="580">
        <f>+IF(ABS(+O330+Q330)&lt;=ABS(P330+R330),-O330+P330-Q330+R330,0)</f>
        <v>0</v>
      </c>
      <c r="U330" s="51"/>
      <c r="V330" s="2119"/>
      <c r="W330" s="43"/>
      <c r="X330" s="43"/>
      <c r="Y330" s="43"/>
      <c r="Z330" s="43"/>
    </row>
    <row r="331" spans="1:26">
      <c r="A331" s="88">
        <v>5181</v>
      </c>
      <c r="B331" s="378" t="s">
        <v>140</v>
      </c>
      <c r="C331" s="1033"/>
      <c r="D331" s="1033"/>
      <c r="E331" s="1033"/>
      <c r="F331" s="1033"/>
      <c r="G331" s="1033"/>
      <c r="H331" s="1033"/>
      <c r="I331" s="1033"/>
      <c r="J331" s="1033"/>
      <c r="K331" s="1033"/>
      <c r="L331" s="574"/>
      <c r="M331" s="51"/>
      <c r="N331" s="113">
        <f t="shared" si="36"/>
        <v>5181</v>
      </c>
      <c r="O331" s="581"/>
      <c r="P331" s="582">
        <v>0</v>
      </c>
      <c r="Q331" s="589"/>
      <c r="R331" s="576"/>
      <c r="S331" s="583">
        <f t="shared" si="34"/>
        <v>0</v>
      </c>
      <c r="T331" s="584">
        <v>0</v>
      </c>
      <c r="U331" s="51"/>
      <c r="V331" s="2120">
        <f t="shared" ref="V331:V336" si="37">+IF(OR(ROUND(P331,2)+ROUND(R331,2)&gt;+ROUND(O331,2)+ROUND(Q331,2),+ABS(ROUND(P331,2)+ROUND(R331,2))&gt;+ABS(ROUND(O331,2)+ROUND(Q331,2))),+(ROUND(P331,2)+ROUND(R331,2))-(ROUND(O331,2)+ROUND(Q331,2)),0)</f>
        <v>0</v>
      </c>
      <c r="W331" s="43"/>
      <c r="X331" s="43"/>
      <c r="Y331" s="43"/>
      <c r="Z331" s="43"/>
    </row>
    <row r="332" spans="1:26">
      <c r="A332" s="88">
        <v>5184</v>
      </c>
      <c r="B332" s="378" t="s">
        <v>141</v>
      </c>
      <c r="C332" s="1033"/>
      <c r="D332" s="1033"/>
      <c r="E332" s="1033"/>
      <c r="F332" s="1033"/>
      <c r="G332" s="1033"/>
      <c r="H332" s="1033"/>
      <c r="I332" s="1033"/>
      <c r="J332" s="1033"/>
      <c r="K332" s="1033"/>
      <c r="L332" s="574"/>
      <c r="M332" s="51"/>
      <c r="N332" s="113">
        <f t="shared" si="36"/>
        <v>5184</v>
      </c>
      <c r="O332" s="581"/>
      <c r="P332" s="582">
        <v>0</v>
      </c>
      <c r="Q332" s="589"/>
      <c r="R332" s="576"/>
      <c r="S332" s="583">
        <f t="shared" si="34"/>
        <v>0</v>
      </c>
      <c r="T332" s="584">
        <v>0</v>
      </c>
      <c r="U332" s="51"/>
      <c r="V332" s="2120">
        <f t="shared" si="37"/>
        <v>0</v>
      </c>
      <c r="W332" s="43"/>
      <c r="X332" s="43"/>
      <c r="Y332" s="43"/>
      <c r="Z332" s="43"/>
    </row>
    <row r="333" spans="1:26">
      <c r="A333" s="88">
        <v>5186</v>
      </c>
      <c r="B333" s="378" t="s">
        <v>773</v>
      </c>
      <c r="C333" s="1033"/>
      <c r="D333" s="1033"/>
      <c r="E333" s="1033"/>
      <c r="F333" s="1033"/>
      <c r="G333" s="1033"/>
      <c r="H333" s="1033"/>
      <c r="I333" s="1033"/>
      <c r="J333" s="1033"/>
      <c r="K333" s="1033"/>
      <c r="L333" s="574"/>
      <c r="M333" s="51"/>
      <c r="N333" s="113">
        <f t="shared" si="36"/>
        <v>5186</v>
      </c>
      <c r="O333" s="581"/>
      <c r="P333" s="582">
        <v>0</v>
      </c>
      <c r="Q333" s="589"/>
      <c r="R333" s="576"/>
      <c r="S333" s="583">
        <f t="shared" si="34"/>
        <v>0</v>
      </c>
      <c r="T333" s="584">
        <v>0</v>
      </c>
      <c r="U333" s="51"/>
      <c r="V333" s="2120">
        <f t="shared" si="37"/>
        <v>0</v>
      </c>
      <c r="W333" s="43"/>
      <c r="X333" s="43"/>
      <c r="Y333" s="43"/>
      <c r="Z333" s="43"/>
    </row>
    <row r="334" spans="1:26">
      <c r="A334" s="88">
        <v>5188</v>
      </c>
      <c r="B334" s="378" t="s">
        <v>774</v>
      </c>
      <c r="C334" s="1033"/>
      <c r="D334" s="1033"/>
      <c r="E334" s="1033"/>
      <c r="F334" s="1033"/>
      <c r="G334" s="1033"/>
      <c r="H334" s="1033"/>
      <c r="I334" s="1033"/>
      <c r="J334" s="1033"/>
      <c r="K334" s="1033"/>
      <c r="L334" s="574"/>
      <c r="M334" s="51"/>
      <c r="N334" s="113">
        <f t="shared" si="36"/>
        <v>5188</v>
      </c>
      <c r="O334" s="581"/>
      <c r="P334" s="582">
        <v>0</v>
      </c>
      <c r="Q334" s="589"/>
      <c r="R334" s="576"/>
      <c r="S334" s="583">
        <f t="shared" si="34"/>
        <v>0</v>
      </c>
      <c r="T334" s="584">
        <v>0</v>
      </c>
      <c r="U334" s="51"/>
      <c r="V334" s="2120">
        <f t="shared" si="37"/>
        <v>0</v>
      </c>
      <c r="W334" s="43"/>
      <c r="X334" s="43"/>
      <c r="Y334" s="43"/>
      <c r="Z334" s="43"/>
    </row>
    <row r="335" spans="1:26">
      <c r="A335" s="88">
        <v>5189</v>
      </c>
      <c r="B335" s="378" t="s">
        <v>775</v>
      </c>
      <c r="C335" s="1033"/>
      <c r="D335" s="1033"/>
      <c r="E335" s="1033"/>
      <c r="F335" s="1033"/>
      <c r="G335" s="1033"/>
      <c r="H335" s="1033"/>
      <c r="I335" s="1033"/>
      <c r="J335" s="1033"/>
      <c r="K335" s="1033"/>
      <c r="L335" s="574"/>
      <c r="M335" s="51"/>
      <c r="N335" s="113">
        <f t="shared" si="36"/>
        <v>5189</v>
      </c>
      <c r="O335" s="581"/>
      <c r="P335" s="582">
        <v>0</v>
      </c>
      <c r="Q335" s="589"/>
      <c r="R335" s="576"/>
      <c r="S335" s="583">
        <f t="shared" si="34"/>
        <v>0</v>
      </c>
      <c r="T335" s="584">
        <v>0</v>
      </c>
      <c r="U335" s="51"/>
      <c r="V335" s="2120">
        <f t="shared" si="37"/>
        <v>0</v>
      </c>
      <c r="W335" s="43"/>
      <c r="X335" s="43"/>
      <c r="Y335" s="43"/>
      <c r="Z335" s="43"/>
    </row>
    <row r="336" spans="1:26">
      <c r="A336" s="88">
        <v>5191</v>
      </c>
      <c r="B336" s="1032" t="s">
        <v>1165</v>
      </c>
      <c r="C336" s="1033"/>
      <c r="D336" s="1033"/>
      <c r="E336" s="1033"/>
      <c r="F336" s="1033"/>
      <c r="G336" s="1033"/>
      <c r="H336" s="1033"/>
      <c r="I336" s="1033"/>
      <c r="J336" s="1033"/>
      <c r="K336" s="1033"/>
      <c r="L336" s="574"/>
      <c r="M336" s="51"/>
      <c r="N336" s="113">
        <f t="shared" si="36"/>
        <v>5191</v>
      </c>
      <c r="O336" s="581"/>
      <c r="P336" s="582">
        <v>0</v>
      </c>
      <c r="Q336" s="325"/>
      <c r="R336" s="576"/>
      <c r="S336" s="583">
        <f t="shared" si="34"/>
        <v>0</v>
      </c>
      <c r="T336" s="584">
        <v>0</v>
      </c>
      <c r="U336" s="51"/>
      <c r="V336" s="2120">
        <f t="shared" si="37"/>
        <v>0</v>
      </c>
      <c r="W336" s="43"/>
      <c r="X336" s="43"/>
      <c r="Y336" s="43"/>
      <c r="Z336" s="43"/>
    </row>
    <row r="337" spans="1:26">
      <c r="A337" s="88">
        <v>5192</v>
      </c>
      <c r="B337" s="1032" t="s">
        <v>1166</v>
      </c>
      <c r="C337" s="1033"/>
      <c r="D337" s="1033"/>
      <c r="E337" s="1033"/>
      <c r="F337" s="1033"/>
      <c r="G337" s="1033"/>
      <c r="H337" s="1033"/>
      <c r="I337" s="1033"/>
      <c r="J337" s="1033"/>
      <c r="K337" s="1033"/>
      <c r="L337" s="574"/>
      <c r="M337" s="51"/>
      <c r="N337" s="113">
        <f t="shared" si="36"/>
        <v>5192</v>
      </c>
      <c r="O337" s="575">
        <v>0</v>
      </c>
      <c r="P337" s="576"/>
      <c r="Q337" s="325"/>
      <c r="R337" s="324"/>
      <c r="S337" s="579">
        <v>0</v>
      </c>
      <c r="T337" s="580">
        <f>+IF(ABS(+O337+Q337)&lt;=ABS(P337+R337),-O337+P337-Q337+R337,0)</f>
        <v>0</v>
      </c>
      <c r="U337" s="51"/>
      <c r="V337" s="2119">
        <f>+IF(OR(+ROUND(O337,2)+ROUND(Q337,2)&gt;ROUND(P337,2)+ROUND(R337,2),+ABS(ROUND(O337,2)+ROUND(Q337,2))&gt;+ABS(ROUND(P337,2)+ROUND(R337,2))),+(ROUND(O337,2)+ROUND(Q337,2))-(ROUND(P337,2)+ROUND(R337,2)),0)</f>
        <v>0</v>
      </c>
      <c r="W337" s="43"/>
      <c r="X337" s="43"/>
      <c r="Y337" s="43"/>
      <c r="Z337" s="43"/>
    </row>
    <row r="338" spans="1:26">
      <c r="A338" s="88">
        <v>5197</v>
      </c>
      <c r="B338" s="1032" t="s">
        <v>1167</v>
      </c>
      <c r="C338" s="1033"/>
      <c r="D338" s="1033"/>
      <c r="E338" s="1033"/>
      <c r="F338" s="1033"/>
      <c r="G338" s="1033"/>
      <c r="H338" s="1033"/>
      <c r="I338" s="1033"/>
      <c r="J338" s="1033"/>
      <c r="K338" s="1033"/>
      <c r="L338" s="574"/>
      <c r="M338" s="51"/>
      <c r="N338" s="113">
        <f t="shared" si="36"/>
        <v>5197</v>
      </c>
      <c r="O338" s="581"/>
      <c r="P338" s="582">
        <v>0</v>
      </c>
      <c r="Q338" s="589"/>
      <c r="R338" s="576"/>
      <c r="S338" s="583">
        <f t="shared" ref="S338:S343" si="38">+IF(ABS(+O338+Q338)&gt;=ABS(P338+R338),+O338-P338+Q338-R338,0)</f>
        <v>0</v>
      </c>
      <c r="T338" s="584">
        <v>0</v>
      </c>
      <c r="U338" s="51"/>
      <c r="V338" s="2120">
        <f t="shared" ref="V338:V343" si="39">+IF(OR(ROUND(P338,2)+ROUND(R338,2)&gt;+ROUND(O338,2)+ROUND(Q338,2),+ABS(ROUND(P338,2)+ROUND(R338,2))&gt;+ABS(ROUND(O338,2)+ROUND(Q338,2))),+(ROUND(P338,2)+ROUND(R338,2))-(ROUND(O338,2)+ROUND(Q338,2)),0)</f>
        <v>0</v>
      </c>
      <c r="W338" s="43"/>
      <c r="X338" s="43"/>
      <c r="Y338" s="43"/>
      <c r="Z338" s="43"/>
    </row>
    <row r="339" spans="1:26">
      <c r="A339" s="88">
        <v>5198</v>
      </c>
      <c r="B339" s="1032" t="s">
        <v>1168</v>
      </c>
      <c r="C339" s="1033"/>
      <c r="D339" s="1033"/>
      <c r="E339" s="1033"/>
      <c r="F339" s="1033"/>
      <c r="G339" s="1033"/>
      <c r="H339" s="1033"/>
      <c r="I339" s="1033"/>
      <c r="J339" s="1033"/>
      <c r="K339" s="1033"/>
      <c r="L339" s="574"/>
      <c r="M339" s="51"/>
      <c r="N339" s="113">
        <f t="shared" si="36"/>
        <v>5198</v>
      </c>
      <c r="O339" s="581"/>
      <c r="P339" s="582">
        <v>0</v>
      </c>
      <c r="Q339" s="589"/>
      <c r="R339" s="576"/>
      <c r="S339" s="583">
        <f t="shared" si="38"/>
        <v>0</v>
      </c>
      <c r="T339" s="584">
        <v>0</v>
      </c>
      <c r="U339" s="51"/>
      <c r="V339" s="2120">
        <f t="shared" si="39"/>
        <v>0</v>
      </c>
      <c r="W339" s="43"/>
      <c r="X339" s="43"/>
      <c r="Y339" s="43"/>
      <c r="Z339" s="43"/>
    </row>
    <row r="340" spans="1:26">
      <c r="A340" s="88">
        <v>5211</v>
      </c>
      <c r="B340" s="378" t="s">
        <v>776</v>
      </c>
      <c r="C340" s="1033"/>
      <c r="D340" s="1033"/>
      <c r="E340" s="1033"/>
      <c r="F340" s="1033"/>
      <c r="G340" s="1033"/>
      <c r="H340" s="1033"/>
      <c r="I340" s="1033"/>
      <c r="J340" s="1033"/>
      <c r="K340" s="1033"/>
      <c r="L340" s="574"/>
      <c r="M340" s="51"/>
      <c r="N340" s="113">
        <f t="shared" si="36"/>
        <v>5211</v>
      </c>
      <c r="O340" s="581"/>
      <c r="P340" s="582">
        <v>0</v>
      </c>
      <c r="Q340" s="122"/>
      <c r="R340" s="576"/>
      <c r="S340" s="583">
        <f t="shared" si="38"/>
        <v>0</v>
      </c>
      <c r="T340" s="584">
        <v>0</v>
      </c>
      <c r="U340" s="51"/>
      <c r="V340" s="2120">
        <f t="shared" si="39"/>
        <v>0</v>
      </c>
      <c r="W340" s="43"/>
      <c r="X340" s="43"/>
      <c r="Y340" s="43"/>
      <c r="Z340" s="43"/>
    </row>
    <row r="341" spans="1:26">
      <c r="A341" s="88">
        <v>5213</v>
      </c>
      <c r="B341" s="378" t="s">
        <v>777</v>
      </c>
      <c r="C341" s="1033"/>
      <c r="D341" s="1033"/>
      <c r="E341" s="1033"/>
      <c r="F341" s="1033"/>
      <c r="G341" s="1033"/>
      <c r="H341" s="1033"/>
      <c r="I341" s="1033"/>
      <c r="J341" s="1033"/>
      <c r="K341" s="1033"/>
      <c r="L341" s="574"/>
      <c r="M341" s="51"/>
      <c r="N341" s="113">
        <f t="shared" si="36"/>
        <v>5213</v>
      </c>
      <c r="O341" s="581"/>
      <c r="P341" s="582">
        <v>0</v>
      </c>
      <c r="Q341" s="122"/>
      <c r="R341" s="576"/>
      <c r="S341" s="583">
        <f t="shared" si="38"/>
        <v>0</v>
      </c>
      <c r="T341" s="584">
        <v>0</v>
      </c>
      <c r="U341" s="51"/>
      <c r="V341" s="2120">
        <f t="shared" si="39"/>
        <v>0</v>
      </c>
      <c r="W341" s="43"/>
      <c r="X341" s="43"/>
      <c r="Y341" s="43"/>
      <c r="Z341" s="43"/>
    </row>
    <row r="342" spans="1:26">
      <c r="A342" s="88">
        <v>5215</v>
      </c>
      <c r="B342" s="378" t="s">
        <v>778</v>
      </c>
      <c r="C342" s="1033"/>
      <c r="D342" s="1033"/>
      <c r="E342" s="1033"/>
      <c r="F342" s="1033"/>
      <c r="G342" s="1033"/>
      <c r="H342" s="1033"/>
      <c r="I342" s="1033"/>
      <c r="J342" s="1033"/>
      <c r="K342" s="1033"/>
      <c r="L342" s="574"/>
      <c r="M342" s="51"/>
      <c r="N342" s="113">
        <f t="shared" si="36"/>
        <v>5215</v>
      </c>
      <c r="O342" s="581"/>
      <c r="P342" s="582">
        <v>0</v>
      </c>
      <c r="Q342" s="122"/>
      <c r="R342" s="576"/>
      <c r="S342" s="583">
        <f t="shared" si="38"/>
        <v>0</v>
      </c>
      <c r="T342" s="584">
        <v>0</v>
      </c>
      <c r="U342" s="51"/>
      <c r="V342" s="2120">
        <f t="shared" si="39"/>
        <v>0</v>
      </c>
      <c r="W342" s="43"/>
      <c r="X342" s="43"/>
      <c r="Y342" s="43"/>
      <c r="Z342" s="43"/>
    </row>
    <row r="343" spans="1:26">
      <c r="A343" s="88">
        <v>5217</v>
      </c>
      <c r="B343" s="378" t="s">
        <v>779</v>
      </c>
      <c r="C343" s="1033"/>
      <c r="D343" s="1033"/>
      <c r="E343" s="1033"/>
      <c r="F343" s="1033"/>
      <c r="G343" s="1033"/>
      <c r="H343" s="1033"/>
      <c r="I343" s="1033"/>
      <c r="J343" s="1033"/>
      <c r="K343" s="1033"/>
      <c r="L343" s="574"/>
      <c r="M343" s="51"/>
      <c r="N343" s="113">
        <f t="shared" si="36"/>
        <v>5217</v>
      </c>
      <c r="O343" s="581"/>
      <c r="P343" s="582">
        <v>0</v>
      </c>
      <c r="Q343" s="122"/>
      <c r="R343" s="576"/>
      <c r="S343" s="583">
        <f t="shared" si="38"/>
        <v>0</v>
      </c>
      <c r="T343" s="584">
        <v>0</v>
      </c>
      <c r="U343" s="51"/>
      <c r="V343" s="2120">
        <f t="shared" si="39"/>
        <v>0</v>
      </c>
      <c r="W343" s="43"/>
      <c r="X343" s="43"/>
      <c r="Y343" s="43"/>
      <c r="Z343" s="43"/>
    </row>
    <row r="344" spans="1:26">
      <c r="A344" s="88">
        <v>5221</v>
      </c>
      <c r="B344" s="378" t="s">
        <v>780</v>
      </c>
      <c r="C344" s="1033"/>
      <c r="D344" s="1033"/>
      <c r="E344" s="1033"/>
      <c r="F344" s="1033"/>
      <c r="G344" s="1033"/>
      <c r="H344" s="1033"/>
      <c r="I344" s="1033"/>
      <c r="J344" s="1033"/>
      <c r="K344" s="1033"/>
      <c r="L344" s="574"/>
      <c r="M344" s="51"/>
      <c r="N344" s="113">
        <f t="shared" si="36"/>
        <v>5221</v>
      </c>
      <c r="O344" s="581"/>
      <c r="P344" s="576"/>
      <c r="Q344" s="589"/>
      <c r="R344" s="576"/>
      <c r="S344" s="583">
        <f t="shared" si="34"/>
        <v>0</v>
      </c>
      <c r="T344" s="580">
        <f>+IF(ABS(+O344+Q344)&lt;=ABS(P344+R344),-O344+P344-Q344+R344,0)</f>
        <v>0</v>
      </c>
      <c r="U344" s="51"/>
      <c r="V344" s="2119"/>
      <c r="W344" s="43"/>
      <c r="X344" s="43"/>
      <c r="Y344" s="43"/>
      <c r="Z344" s="43"/>
    </row>
    <row r="345" spans="1:26">
      <c r="A345" s="88">
        <v>5223</v>
      </c>
      <c r="B345" s="378" t="s">
        <v>781</v>
      </c>
      <c r="C345" s="1033"/>
      <c r="D345" s="1033"/>
      <c r="E345" s="1033"/>
      <c r="F345" s="1033"/>
      <c r="G345" s="1033"/>
      <c r="H345" s="1033"/>
      <c r="I345" s="1033"/>
      <c r="J345" s="1033"/>
      <c r="K345" s="1033"/>
      <c r="L345" s="574"/>
      <c r="M345" s="51"/>
      <c r="N345" s="113">
        <f t="shared" ref="N345:N375" si="40">+A345</f>
        <v>5223</v>
      </c>
      <c r="O345" s="581"/>
      <c r="P345" s="576"/>
      <c r="Q345" s="589"/>
      <c r="R345" s="576"/>
      <c r="S345" s="583">
        <f t="shared" si="34"/>
        <v>0</v>
      </c>
      <c r="T345" s="580">
        <f>+IF(ABS(+O345+Q345)&lt;=ABS(P345+R345),-O345+P345-Q345+R345,0)</f>
        <v>0</v>
      </c>
      <c r="U345" s="51"/>
      <c r="V345" s="2119"/>
      <c r="W345" s="43"/>
      <c r="X345" s="43"/>
      <c r="Y345" s="43"/>
      <c r="Z345" s="43"/>
    </row>
    <row r="346" spans="1:26">
      <c r="A346" s="88">
        <v>5231</v>
      </c>
      <c r="B346" s="378" t="s">
        <v>782</v>
      </c>
      <c r="C346" s="1033"/>
      <c r="D346" s="1033"/>
      <c r="E346" s="1033"/>
      <c r="F346" s="1033"/>
      <c r="G346" s="1033"/>
      <c r="H346" s="1033"/>
      <c r="I346" s="1033"/>
      <c r="J346" s="1033"/>
      <c r="K346" s="1033"/>
      <c r="L346" s="574"/>
      <c r="M346" s="51"/>
      <c r="N346" s="113">
        <f t="shared" si="40"/>
        <v>5231</v>
      </c>
      <c r="O346" s="581"/>
      <c r="P346" s="582">
        <v>0</v>
      </c>
      <c r="Q346" s="589"/>
      <c r="R346" s="576"/>
      <c r="S346" s="583">
        <f t="shared" si="34"/>
        <v>0</v>
      </c>
      <c r="T346" s="584">
        <v>0</v>
      </c>
      <c r="U346" s="51"/>
      <c r="V346" s="2120">
        <f t="shared" ref="V346:V363" si="41">+IF(OR(ROUND(P346,2)+ROUND(R346,2)&gt;+ROUND(O346,2)+ROUND(Q346,2),+ABS(ROUND(P346,2)+ROUND(R346,2))&gt;+ABS(ROUND(O346,2)+ROUND(Q346,2))),+(ROUND(P346,2)+ROUND(R346,2))-(ROUND(O346,2)+ROUND(Q346,2)),0)</f>
        <v>0</v>
      </c>
      <c r="W346" s="43"/>
      <c r="X346" s="43"/>
      <c r="Y346" s="43"/>
      <c r="Z346" s="43"/>
    </row>
    <row r="347" spans="1:26">
      <c r="A347" s="88">
        <v>5235</v>
      </c>
      <c r="B347" s="378" t="s">
        <v>783</v>
      </c>
      <c r="C347" s="1033"/>
      <c r="D347" s="1033"/>
      <c r="E347" s="1033"/>
      <c r="F347" s="1033"/>
      <c r="G347" s="1033"/>
      <c r="H347" s="1033"/>
      <c r="I347" s="1033"/>
      <c r="J347" s="1033"/>
      <c r="K347" s="1033"/>
      <c r="L347" s="574"/>
      <c r="M347" s="51"/>
      <c r="N347" s="113">
        <f t="shared" si="40"/>
        <v>5235</v>
      </c>
      <c r="O347" s="581"/>
      <c r="P347" s="582">
        <v>0</v>
      </c>
      <c r="Q347" s="589"/>
      <c r="R347" s="576"/>
      <c r="S347" s="583">
        <f t="shared" si="34"/>
        <v>0</v>
      </c>
      <c r="T347" s="584">
        <v>0</v>
      </c>
      <c r="U347" s="51"/>
      <c r="V347" s="2120">
        <f t="shared" si="41"/>
        <v>0</v>
      </c>
      <c r="W347" s="43"/>
      <c r="X347" s="43"/>
      <c r="Y347" s="43"/>
      <c r="Z347" s="43"/>
    </row>
    <row r="348" spans="1:26">
      <c r="A348" s="88">
        <v>5311</v>
      </c>
      <c r="B348" s="378" t="s">
        <v>787</v>
      </c>
      <c r="C348" s="1033"/>
      <c r="D348" s="1033"/>
      <c r="E348" s="1033"/>
      <c r="F348" s="1033"/>
      <c r="G348" s="1033"/>
      <c r="H348" s="1033"/>
      <c r="I348" s="1033"/>
      <c r="J348" s="1033"/>
      <c r="K348" s="1033"/>
      <c r="L348" s="574"/>
      <c r="M348" s="51"/>
      <c r="N348" s="113">
        <f t="shared" si="40"/>
        <v>5311</v>
      </c>
      <c r="O348" s="581"/>
      <c r="P348" s="582">
        <v>0</v>
      </c>
      <c r="Q348" s="589"/>
      <c r="R348" s="576"/>
      <c r="S348" s="583">
        <f t="shared" si="34"/>
        <v>0</v>
      </c>
      <c r="T348" s="584">
        <v>0</v>
      </c>
      <c r="U348" s="51"/>
      <c r="V348" s="2120">
        <f t="shared" si="41"/>
        <v>0</v>
      </c>
      <c r="W348" s="43"/>
      <c r="X348" s="43"/>
      <c r="Y348" s="43"/>
      <c r="Z348" s="43"/>
    </row>
    <row r="349" spans="1:26">
      <c r="A349" s="88">
        <v>5312</v>
      </c>
      <c r="B349" s="378" t="s">
        <v>788</v>
      </c>
      <c r="C349" s="1033"/>
      <c r="D349" s="1033"/>
      <c r="E349" s="1033"/>
      <c r="F349" s="1033"/>
      <c r="G349" s="1033"/>
      <c r="H349" s="1033"/>
      <c r="I349" s="1033"/>
      <c r="J349" s="1033"/>
      <c r="K349" s="1033"/>
      <c r="L349" s="574"/>
      <c r="M349" s="51"/>
      <c r="N349" s="113">
        <f t="shared" si="40"/>
        <v>5312</v>
      </c>
      <c r="O349" s="581">
        <v>0</v>
      </c>
      <c r="P349" s="582">
        <v>0</v>
      </c>
      <c r="Q349" s="589">
        <v>0</v>
      </c>
      <c r="R349" s="576">
        <v>0</v>
      </c>
      <c r="S349" s="583">
        <f t="shared" si="34"/>
        <v>0</v>
      </c>
      <c r="T349" s="584">
        <v>0</v>
      </c>
      <c r="U349" s="51"/>
      <c r="V349" s="2120">
        <f t="shared" si="41"/>
        <v>0</v>
      </c>
      <c r="W349" s="43"/>
      <c r="X349" s="43"/>
      <c r="Y349" s="43"/>
      <c r="Z349" s="43"/>
    </row>
    <row r="350" spans="1:26">
      <c r="A350" s="88">
        <v>5313</v>
      </c>
      <c r="B350" s="378" t="s">
        <v>789</v>
      </c>
      <c r="C350" s="1033"/>
      <c r="D350" s="1033"/>
      <c r="E350" s="1033"/>
      <c r="F350" s="1033"/>
      <c r="G350" s="1033"/>
      <c r="H350" s="1033"/>
      <c r="I350" s="1033"/>
      <c r="J350" s="1033"/>
      <c r="K350" s="1033"/>
      <c r="L350" s="574"/>
      <c r="M350" s="51"/>
      <c r="N350" s="113">
        <f t="shared" si="40"/>
        <v>5313</v>
      </c>
      <c r="O350" s="581"/>
      <c r="P350" s="582">
        <v>0</v>
      </c>
      <c r="Q350" s="589"/>
      <c r="R350" s="576"/>
      <c r="S350" s="583">
        <f t="shared" ref="S350:S363" si="42">+IF(ABS(+O350+Q350)&gt;=ABS(P350+R350),+O350-P350+Q350-R350,0)</f>
        <v>0</v>
      </c>
      <c r="T350" s="584">
        <v>0</v>
      </c>
      <c r="U350" s="51"/>
      <c r="V350" s="2120">
        <f t="shared" si="41"/>
        <v>0</v>
      </c>
      <c r="W350" s="43"/>
      <c r="X350" s="43"/>
      <c r="Y350" s="43"/>
      <c r="Z350" s="43"/>
    </row>
    <row r="351" spans="1:26">
      <c r="A351" s="88">
        <v>5314</v>
      </c>
      <c r="B351" s="378" t="s">
        <v>1007</v>
      </c>
      <c r="C351" s="1033"/>
      <c r="D351" s="1033"/>
      <c r="E351" s="1033"/>
      <c r="F351" s="1033"/>
      <c r="G351" s="1033"/>
      <c r="H351" s="1033"/>
      <c r="I351" s="1033"/>
      <c r="J351" s="1033"/>
      <c r="K351" s="1033"/>
      <c r="L351" s="574"/>
      <c r="M351" s="51"/>
      <c r="N351" s="113">
        <f t="shared" si="40"/>
        <v>5314</v>
      </c>
      <c r="O351" s="581"/>
      <c r="P351" s="582">
        <v>0</v>
      </c>
      <c r="Q351" s="589"/>
      <c r="R351" s="576"/>
      <c r="S351" s="583">
        <f t="shared" si="42"/>
        <v>0</v>
      </c>
      <c r="T351" s="584">
        <v>0</v>
      </c>
      <c r="U351" s="51"/>
      <c r="V351" s="2120">
        <f t="shared" si="41"/>
        <v>0</v>
      </c>
      <c r="W351" s="43"/>
      <c r="X351" s="43"/>
      <c r="Y351" s="43"/>
      <c r="Z351" s="43"/>
    </row>
    <row r="352" spans="1:26">
      <c r="A352" s="88">
        <v>5315</v>
      </c>
      <c r="B352" s="378" t="s">
        <v>1008</v>
      </c>
      <c r="C352" s="1033"/>
      <c r="D352" s="1033"/>
      <c r="E352" s="1033"/>
      <c r="F352" s="1033"/>
      <c r="G352" s="1033"/>
      <c r="H352" s="1033"/>
      <c r="I352" s="1033"/>
      <c r="J352" s="1033"/>
      <c r="K352" s="1033"/>
      <c r="L352" s="574"/>
      <c r="M352" s="51"/>
      <c r="N352" s="113">
        <f t="shared" si="40"/>
        <v>5315</v>
      </c>
      <c r="O352" s="581"/>
      <c r="P352" s="582">
        <v>0</v>
      </c>
      <c r="Q352" s="589"/>
      <c r="R352" s="576"/>
      <c r="S352" s="583">
        <f t="shared" si="42"/>
        <v>0</v>
      </c>
      <c r="T352" s="584">
        <v>0</v>
      </c>
      <c r="U352" s="51"/>
      <c r="V352" s="2120">
        <f t="shared" si="41"/>
        <v>0</v>
      </c>
      <c r="W352" s="43"/>
      <c r="X352" s="43"/>
      <c r="Y352" s="43"/>
      <c r="Z352" s="43"/>
    </row>
    <row r="353" spans="1:26">
      <c r="A353" s="88">
        <v>5316</v>
      </c>
      <c r="B353" s="378" t="s">
        <v>387</v>
      </c>
      <c r="C353" s="1033"/>
      <c r="D353" s="1033"/>
      <c r="E353" s="1033"/>
      <c r="F353" s="1033"/>
      <c r="G353" s="1033"/>
      <c r="H353" s="1033"/>
      <c r="I353" s="1033"/>
      <c r="J353" s="1033"/>
      <c r="K353" s="1033"/>
      <c r="L353" s="574"/>
      <c r="M353" s="51"/>
      <c r="N353" s="113">
        <f t="shared" si="40"/>
        <v>5316</v>
      </c>
      <c r="O353" s="581"/>
      <c r="P353" s="582">
        <v>0</v>
      </c>
      <c r="Q353" s="589"/>
      <c r="R353" s="576"/>
      <c r="S353" s="583">
        <f t="shared" si="42"/>
        <v>0</v>
      </c>
      <c r="T353" s="584">
        <v>0</v>
      </c>
      <c r="U353" s="51"/>
      <c r="V353" s="2120">
        <f t="shared" si="41"/>
        <v>0</v>
      </c>
      <c r="W353" s="43"/>
      <c r="X353" s="43"/>
      <c r="Y353" s="43"/>
      <c r="Z353" s="43"/>
    </row>
    <row r="354" spans="1:26">
      <c r="A354" s="88">
        <v>5317</v>
      </c>
      <c r="B354" s="378" t="s">
        <v>784</v>
      </c>
      <c r="C354" s="1033"/>
      <c r="D354" s="1033"/>
      <c r="E354" s="1033"/>
      <c r="F354" s="1033"/>
      <c r="G354" s="1033"/>
      <c r="H354" s="1033"/>
      <c r="I354" s="1033"/>
      <c r="J354" s="1033"/>
      <c r="K354" s="1033"/>
      <c r="L354" s="574"/>
      <c r="M354" s="51"/>
      <c r="N354" s="113">
        <f t="shared" si="40"/>
        <v>5317</v>
      </c>
      <c r="O354" s="581"/>
      <c r="P354" s="582">
        <v>0</v>
      </c>
      <c r="Q354" s="589"/>
      <c r="R354" s="576"/>
      <c r="S354" s="583">
        <f t="shared" si="42"/>
        <v>0</v>
      </c>
      <c r="T354" s="584">
        <v>0</v>
      </c>
      <c r="U354" s="51"/>
      <c r="V354" s="2120">
        <f t="shared" si="41"/>
        <v>0</v>
      </c>
      <c r="W354" s="43"/>
      <c r="X354" s="43"/>
      <c r="Y354" s="43"/>
      <c r="Z354" s="43"/>
    </row>
    <row r="355" spans="1:26">
      <c r="A355" s="88">
        <v>5318</v>
      </c>
      <c r="B355" s="378" t="s">
        <v>785</v>
      </c>
      <c r="C355" s="1033"/>
      <c r="D355" s="1033"/>
      <c r="E355" s="1033"/>
      <c r="F355" s="1033"/>
      <c r="G355" s="1033"/>
      <c r="H355" s="1033"/>
      <c r="I355" s="1033"/>
      <c r="J355" s="1033"/>
      <c r="K355" s="1033"/>
      <c r="L355" s="574"/>
      <c r="M355" s="51"/>
      <c r="N355" s="113">
        <f t="shared" si="40"/>
        <v>5318</v>
      </c>
      <c r="O355" s="581"/>
      <c r="P355" s="582">
        <v>0</v>
      </c>
      <c r="Q355" s="589"/>
      <c r="R355" s="576"/>
      <c r="S355" s="583">
        <f t="shared" si="42"/>
        <v>0</v>
      </c>
      <c r="T355" s="584">
        <v>0</v>
      </c>
      <c r="U355" s="51"/>
      <c r="V355" s="2120">
        <f t="shared" si="41"/>
        <v>0</v>
      </c>
      <c r="W355" s="43"/>
      <c r="X355" s="43"/>
      <c r="Y355" s="43"/>
      <c r="Z355" s="43"/>
    </row>
    <row r="356" spans="1:26">
      <c r="A356" s="88">
        <v>5319</v>
      </c>
      <c r="B356" s="378" t="s">
        <v>786</v>
      </c>
      <c r="C356" s="1033"/>
      <c r="D356" s="1033"/>
      <c r="E356" s="1033"/>
      <c r="F356" s="1033"/>
      <c r="G356" s="1033"/>
      <c r="H356" s="1033"/>
      <c r="I356" s="1033"/>
      <c r="J356" s="1033"/>
      <c r="K356" s="1033"/>
      <c r="L356" s="574"/>
      <c r="M356" s="51"/>
      <c r="N356" s="113">
        <f t="shared" si="40"/>
        <v>5319</v>
      </c>
      <c r="O356" s="581"/>
      <c r="P356" s="582">
        <v>0</v>
      </c>
      <c r="Q356" s="589"/>
      <c r="R356" s="576"/>
      <c r="S356" s="583">
        <f t="shared" si="42"/>
        <v>0</v>
      </c>
      <c r="T356" s="584">
        <v>0</v>
      </c>
      <c r="U356" s="51"/>
      <c r="V356" s="2120">
        <f t="shared" si="41"/>
        <v>0</v>
      </c>
      <c r="W356" s="43"/>
      <c r="X356" s="43"/>
      <c r="Y356" s="43"/>
      <c r="Z356" s="43"/>
    </row>
    <row r="357" spans="1:26">
      <c r="A357" s="88">
        <v>5321</v>
      </c>
      <c r="B357" s="378" t="s">
        <v>388</v>
      </c>
      <c r="C357" s="1033"/>
      <c r="D357" s="1033"/>
      <c r="E357" s="1033"/>
      <c r="F357" s="1033"/>
      <c r="G357" s="1033"/>
      <c r="H357" s="1033"/>
      <c r="I357" s="1033"/>
      <c r="J357" s="1033"/>
      <c r="K357" s="1033"/>
      <c r="L357" s="574"/>
      <c r="M357" s="51"/>
      <c r="N357" s="113">
        <f t="shared" si="40"/>
        <v>5321</v>
      </c>
      <c r="O357" s="581"/>
      <c r="P357" s="582">
        <v>0</v>
      </c>
      <c r="Q357" s="589"/>
      <c r="R357" s="576"/>
      <c r="S357" s="583">
        <f t="shared" si="42"/>
        <v>0</v>
      </c>
      <c r="T357" s="584">
        <v>0</v>
      </c>
      <c r="U357" s="51"/>
      <c r="V357" s="2120">
        <f t="shared" si="41"/>
        <v>0</v>
      </c>
      <c r="W357" s="43"/>
      <c r="X357" s="43"/>
      <c r="Y357" s="43"/>
      <c r="Z357" s="43"/>
    </row>
    <row r="358" spans="1:26">
      <c r="A358" s="88">
        <v>5322</v>
      </c>
      <c r="B358" s="378" t="s">
        <v>389</v>
      </c>
      <c r="C358" s="1033"/>
      <c r="D358" s="1033"/>
      <c r="E358" s="1033"/>
      <c r="F358" s="1033"/>
      <c r="G358" s="1033"/>
      <c r="H358" s="1033"/>
      <c r="I358" s="1033"/>
      <c r="J358" s="1033"/>
      <c r="K358" s="1033"/>
      <c r="L358" s="574"/>
      <c r="M358" s="51"/>
      <c r="N358" s="113">
        <f t="shared" si="40"/>
        <v>5322</v>
      </c>
      <c r="O358" s="581"/>
      <c r="P358" s="582">
        <v>0</v>
      </c>
      <c r="Q358" s="589"/>
      <c r="R358" s="576"/>
      <c r="S358" s="583">
        <f t="shared" si="42"/>
        <v>0</v>
      </c>
      <c r="T358" s="584">
        <v>0</v>
      </c>
      <c r="U358" s="51"/>
      <c r="V358" s="2120">
        <f t="shared" si="41"/>
        <v>0</v>
      </c>
      <c r="W358" s="43"/>
      <c r="X358" s="43"/>
      <c r="Y358" s="43"/>
      <c r="Z358" s="43"/>
    </row>
    <row r="359" spans="1:26">
      <c r="A359" s="88">
        <v>5323</v>
      </c>
      <c r="B359" s="378" t="s">
        <v>390</v>
      </c>
      <c r="C359" s="1033"/>
      <c r="D359" s="1033"/>
      <c r="E359" s="1033"/>
      <c r="F359" s="1033"/>
      <c r="G359" s="1033"/>
      <c r="H359" s="1033"/>
      <c r="I359" s="1033"/>
      <c r="J359" s="1033"/>
      <c r="K359" s="1033"/>
      <c r="L359" s="574"/>
      <c r="M359" s="51"/>
      <c r="N359" s="113">
        <f t="shared" si="40"/>
        <v>5323</v>
      </c>
      <c r="O359" s="581"/>
      <c r="P359" s="582">
        <v>0</v>
      </c>
      <c r="Q359" s="589"/>
      <c r="R359" s="576"/>
      <c r="S359" s="583">
        <f t="shared" si="42"/>
        <v>0</v>
      </c>
      <c r="T359" s="584">
        <v>0</v>
      </c>
      <c r="U359" s="51"/>
      <c r="V359" s="2120">
        <f t="shared" si="41"/>
        <v>0</v>
      </c>
      <c r="W359" s="43"/>
      <c r="X359" s="43"/>
      <c r="Y359" s="43"/>
      <c r="Z359" s="43"/>
    </row>
    <row r="360" spans="1:26">
      <c r="A360" s="88">
        <v>5381</v>
      </c>
      <c r="B360" s="378" t="s">
        <v>391</v>
      </c>
      <c r="C360" s="1033"/>
      <c r="D360" s="1033"/>
      <c r="E360" s="1033"/>
      <c r="F360" s="1033"/>
      <c r="G360" s="1033"/>
      <c r="H360" s="1033"/>
      <c r="I360" s="1033"/>
      <c r="J360" s="1033"/>
      <c r="K360" s="1033"/>
      <c r="L360" s="574"/>
      <c r="M360" s="51"/>
      <c r="N360" s="113">
        <f t="shared" si="40"/>
        <v>5381</v>
      </c>
      <c r="O360" s="581"/>
      <c r="P360" s="582">
        <v>0</v>
      </c>
      <c r="Q360" s="589"/>
      <c r="R360" s="576"/>
      <c r="S360" s="583">
        <f t="shared" si="42"/>
        <v>0</v>
      </c>
      <c r="T360" s="584">
        <v>0</v>
      </c>
      <c r="U360" s="51"/>
      <c r="V360" s="2120">
        <f t="shared" si="41"/>
        <v>0</v>
      </c>
      <c r="W360" s="43"/>
      <c r="X360" s="43"/>
      <c r="Y360" s="43"/>
      <c r="Z360" s="43"/>
    </row>
    <row r="361" spans="1:26">
      <c r="A361" s="88">
        <v>5382</v>
      </c>
      <c r="B361" s="378" t="s">
        <v>303</v>
      </c>
      <c r="C361" s="1033"/>
      <c r="D361" s="1033"/>
      <c r="E361" s="1033"/>
      <c r="F361" s="1033"/>
      <c r="G361" s="1033"/>
      <c r="H361" s="1033"/>
      <c r="I361" s="1033"/>
      <c r="J361" s="1033"/>
      <c r="K361" s="1033"/>
      <c r="L361" s="574"/>
      <c r="M361" s="51"/>
      <c r="N361" s="113">
        <f t="shared" si="40"/>
        <v>5382</v>
      </c>
      <c r="O361" s="581"/>
      <c r="P361" s="582">
        <v>0</v>
      </c>
      <c r="Q361" s="589"/>
      <c r="R361" s="576"/>
      <c r="S361" s="583">
        <f t="shared" si="42"/>
        <v>0</v>
      </c>
      <c r="T361" s="584">
        <v>0</v>
      </c>
      <c r="U361" s="51"/>
      <c r="V361" s="2120">
        <f t="shared" si="41"/>
        <v>0</v>
      </c>
      <c r="W361" s="43"/>
      <c r="X361" s="43"/>
      <c r="Y361" s="43"/>
      <c r="Z361" s="43"/>
    </row>
    <row r="362" spans="1:26">
      <c r="A362" s="88">
        <v>5383</v>
      </c>
      <c r="B362" s="378" t="s">
        <v>304</v>
      </c>
      <c r="C362" s="1033"/>
      <c r="D362" s="1033"/>
      <c r="E362" s="1033"/>
      <c r="F362" s="1033"/>
      <c r="G362" s="1033"/>
      <c r="H362" s="1033"/>
      <c r="I362" s="1033"/>
      <c r="J362" s="1033"/>
      <c r="K362" s="1033"/>
      <c r="L362" s="574"/>
      <c r="M362" s="51"/>
      <c r="N362" s="113">
        <f t="shared" si="40"/>
        <v>5383</v>
      </c>
      <c r="O362" s="581"/>
      <c r="P362" s="582">
        <v>0</v>
      </c>
      <c r="Q362" s="589"/>
      <c r="R362" s="576"/>
      <c r="S362" s="583">
        <f t="shared" si="42"/>
        <v>0</v>
      </c>
      <c r="T362" s="584">
        <v>0</v>
      </c>
      <c r="U362" s="51"/>
      <c r="V362" s="2120">
        <f t="shared" si="41"/>
        <v>0</v>
      </c>
      <c r="W362" s="43"/>
      <c r="X362" s="43"/>
      <c r="Y362" s="43"/>
      <c r="Z362" s="43"/>
    </row>
    <row r="363" spans="1:26">
      <c r="A363" s="88">
        <v>5384</v>
      </c>
      <c r="B363" s="378" t="s">
        <v>305</v>
      </c>
      <c r="C363" s="1033"/>
      <c r="D363" s="1033"/>
      <c r="E363" s="1033"/>
      <c r="F363" s="1033"/>
      <c r="G363" s="1033"/>
      <c r="H363" s="1033"/>
      <c r="I363" s="1033"/>
      <c r="J363" s="1033"/>
      <c r="K363" s="1033"/>
      <c r="L363" s="574"/>
      <c r="M363" s="51"/>
      <c r="N363" s="113">
        <f t="shared" si="40"/>
        <v>5384</v>
      </c>
      <c r="O363" s="581"/>
      <c r="P363" s="582">
        <v>0</v>
      </c>
      <c r="Q363" s="589"/>
      <c r="R363" s="576"/>
      <c r="S363" s="583">
        <f t="shared" si="42"/>
        <v>0</v>
      </c>
      <c r="T363" s="584">
        <v>0</v>
      </c>
      <c r="U363" s="51"/>
      <c r="V363" s="2120">
        <f t="shared" si="41"/>
        <v>0</v>
      </c>
      <c r="W363" s="43"/>
      <c r="X363" s="43"/>
      <c r="Y363" s="43"/>
      <c r="Z363" s="43"/>
    </row>
    <row r="364" spans="1:26">
      <c r="A364" s="88">
        <v>5391</v>
      </c>
      <c r="B364" s="378" t="s">
        <v>306</v>
      </c>
      <c r="C364" s="1033"/>
      <c r="D364" s="1033"/>
      <c r="E364" s="1033"/>
      <c r="F364" s="1033"/>
      <c r="G364" s="1033"/>
      <c r="H364" s="1033"/>
      <c r="I364" s="1033"/>
      <c r="J364" s="1033"/>
      <c r="K364" s="1033"/>
      <c r="L364" s="574"/>
      <c r="M364" s="51"/>
      <c r="N364" s="113">
        <f t="shared" si="40"/>
        <v>5391</v>
      </c>
      <c r="O364" s="596">
        <v>0</v>
      </c>
      <c r="P364" s="576"/>
      <c r="Q364" s="589"/>
      <c r="R364" s="324"/>
      <c r="S364" s="2167">
        <v>0</v>
      </c>
      <c r="T364" s="580">
        <f>+IF(ABS(+O364+Q364)&lt;=ABS(P364+R364),-O364+P364-Q364+R364,0)</f>
        <v>0</v>
      </c>
      <c r="U364" s="51"/>
      <c r="V364" s="2119">
        <f>+IF(OR(+ROUND(O364,2)+ROUND(Q364,2)&gt;ROUND(P364,2)+ROUND(R364,2),+ABS(ROUND(O364,2)+ROUND(Q364,2))&gt;+ABS(ROUND(P364,2)+ROUND(R364,2))),+(ROUND(O364,2)+ROUND(Q364,2))-(ROUND(P364,2)+ROUND(R364,2)),0)</f>
        <v>0</v>
      </c>
      <c r="W364" s="43"/>
      <c r="X364" s="43"/>
      <c r="Y364" s="43"/>
      <c r="Z364" s="43"/>
    </row>
    <row r="365" spans="1:26">
      <c r="A365" s="88">
        <v>5392</v>
      </c>
      <c r="B365" s="378" t="s">
        <v>307</v>
      </c>
      <c r="C365" s="1033"/>
      <c r="D365" s="1033"/>
      <c r="E365" s="1033"/>
      <c r="F365" s="1033"/>
      <c r="G365" s="1033"/>
      <c r="H365" s="1033"/>
      <c r="I365" s="1033"/>
      <c r="J365" s="1033"/>
      <c r="K365" s="1033"/>
      <c r="L365" s="574"/>
      <c r="M365" s="51"/>
      <c r="N365" s="113">
        <f t="shared" si="40"/>
        <v>5392</v>
      </c>
      <c r="O365" s="596">
        <v>0</v>
      </c>
      <c r="P365" s="576"/>
      <c r="Q365" s="589"/>
      <c r="R365" s="324"/>
      <c r="S365" s="2167">
        <v>0</v>
      </c>
      <c r="T365" s="580">
        <f>+IF(ABS(+O365+Q365)&lt;=ABS(P365+R365),-O365+P365-Q365+R365,0)</f>
        <v>0</v>
      </c>
      <c r="U365" s="51"/>
      <c r="V365" s="2119">
        <f>+IF(OR(+ROUND(O365,2)+ROUND(Q365,2)&gt;ROUND(P365,2)+ROUND(R365,2),+ABS(ROUND(O365,2)+ROUND(Q365,2))&gt;+ABS(ROUND(P365,2)+ROUND(R365,2))),+(ROUND(O365,2)+ROUND(Q365,2))-(ROUND(P365,2)+ROUND(R365,2)),0)</f>
        <v>0</v>
      </c>
      <c r="W365" s="43"/>
      <c r="X365" s="43"/>
      <c r="Y365" s="43"/>
      <c r="Z365" s="43"/>
    </row>
    <row r="366" spans="1:26">
      <c r="A366" s="88">
        <v>5393</v>
      </c>
      <c r="B366" s="378" t="s">
        <v>308</v>
      </c>
      <c r="C366" s="1033"/>
      <c r="D366" s="1033"/>
      <c r="E366" s="1033"/>
      <c r="F366" s="1033"/>
      <c r="G366" s="1033"/>
      <c r="H366" s="1033"/>
      <c r="I366" s="1033"/>
      <c r="J366" s="1033"/>
      <c r="K366" s="1033"/>
      <c r="L366" s="574"/>
      <c r="M366" s="51"/>
      <c r="N366" s="113">
        <f t="shared" si="40"/>
        <v>5393</v>
      </c>
      <c r="O366" s="596">
        <v>0</v>
      </c>
      <c r="P366" s="576"/>
      <c r="Q366" s="589"/>
      <c r="R366" s="324"/>
      <c r="S366" s="2167">
        <v>0</v>
      </c>
      <c r="T366" s="580">
        <f>+IF(ABS(+O366+Q366)&lt;=ABS(P366+R366),-O366+P366-Q366+R366,0)</f>
        <v>0</v>
      </c>
      <c r="U366" s="51"/>
      <c r="V366" s="2119">
        <f>+IF(OR(+ROUND(O366,2)+ROUND(Q366,2)&gt;ROUND(P366,2)+ROUND(R366,2),+ABS(ROUND(O366,2)+ROUND(Q366,2))&gt;+ABS(ROUND(P366,2)+ROUND(R366,2))),+(ROUND(O366,2)+ROUND(Q366,2))-(ROUND(P366,2)+ROUND(R366,2)),0)</f>
        <v>0</v>
      </c>
      <c r="W366" s="43"/>
      <c r="X366" s="43"/>
      <c r="Y366" s="43"/>
      <c r="Z366" s="43"/>
    </row>
    <row r="367" spans="1:26">
      <c r="A367" s="88">
        <v>5398</v>
      </c>
      <c r="B367" s="378" t="s">
        <v>309</v>
      </c>
      <c r="C367" s="1033"/>
      <c r="D367" s="1033"/>
      <c r="E367" s="1033"/>
      <c r="F367" s="1033"/>
      <c r="G367" s="1033"/>
      <c r="H367" s="1033"/>
      <c r="I367" s="1033"/>
      <c r="J367" s="1033"/>
      <c r="K367" s="1033"/>
      <c r="L367" s="574"/>
      <c r="M367" s="51"/>
      <c r="N367" s="113">
        <f t="shared" si="40"/>
        <v>5398</v>
      </c>
      <c r="O367" s="575">
        <v>0</v>
      </c>
      <c r="P367" s="576"/>
      <c r="Q367" s="589"/>
      <c r="R367" s="324"/>
      <c r="S367" s="579">
        <v>0</v>
      </c>
      <c r="T367" s="580">
        <f>+IF(ABS(+O367+Q367)&lt;=ABS(P367+R367),-O367+P367-Q367+R367,0)</f>
        <v>0</v>
      </c>
      <c r="U367" s="51"/>
      <c r="V367" s="2119">
        <f>+IF(OR(+ROUND(O367,2)+ROUND(Q367,2)&gt;ROUND(P367,2)+ROUND(R367,2),+ABS(ROUND(O367,2)+ROUND(Q367,2))&gt;+ABS(ROUND(P367,2)+ROUND(R367,2))),+(ROUND(O367,2)+ROUND(Q367,2))-(ROUND(P367,2)+ROUND(R367,2)),0)</f>
        <v>0</v>
      </c>
      <c r="W367" s="43"/>
      <c r="X367" s="43"/>
      <c r="Y367" s="43"/>
      <c r="Z367" s="43"/>
    </row>
    <row r="368" spans="1:26">
      <c r="A368" s="88">
        <v>5811</v>
      </c>
      <c r="B368" s="378" t="s">
        <v>312</v>
      </c>
      <c r="C368" s="1033"/>
      <c r="D368" s="1033"/>
      <c r="E368" s="1033"/>
      <c r="F368" s="1033"/>
      <c r="G368" s="1033"/>
      <c r="H368" s="1033"/>
      <c r="I368" s="1033"/>
      <c r="J368" s="1033"/>
      <c r="K368" s="1033"/>
      <c r="L368" s="574"/>
      <c r="M368" s="51"/>
      <c r="N368" s="113">
        <f t="shared" si="40"/>
        <v>5811</v>
      </c>
      <c r="O368" s="581"/>
      <c r="P368" s="582">
        <v>0</v>
      </c>
      <c r="Q368" s="589"/>
      <c r="R368" s="576"/>
      <c r="S368" s="583">
        <f t="shared" ref="S368:S379" si="43">+IF(ABS(+O368+Q368)&gt;=ABS(P368+R368),+O368-P368+Q368-R368,0)</f>
        <v>0</v>
      </c>
      <c r="T368" s="584">
        <v>0</v>
      </c>
      <c r="U368" s="51"/>
      <c r="V368" s="2120">
        <f t="shared" ref="V368:V379" si="44">+IF(OR(ROUND(P368,2)+ROUND(R368,2)&gt;+ROUND(O368,2)+ROUND(Q368,2),+ABS(ROUND(P368,2)+ROUND(R368,2))&gt;+ABS(ROUND(O368,2)+ROUND(Q368,2))),+(ROUND(P368,2)+ROUND(R368,2))-(ROUND(O368,2)+ROUND(Q368,2)),0)</f>
        <v>0</v>
      </c>
      <c r="W368" s="43"/>
      <c r="X368" s="43"/>
      <c r="Y368" s="43"/>
      <c r="Z368" s="43"/>
    </row>
    <row r="369" spans="1:26">
      <c r="A369" s="88">
        <v>5812</v>
      </c>
      <c r="B369" s="378" t="s">
        <v>313</v>
      </c>
      <c r="C369" s="1033"/>
      <c r="D369" s="1033"/>
      <c r="E369" s="1033"/>
      <c r="F369" s="1033"/>
      <c r="G369" s="1033"/>
      <c r="H369" s="1033"/>
      <c r="I369" s="1033"/>
      <c r="J369" s="1033"/>
      <c r="K369" s="1033"/>
      <c r="L369" s="574"/>
      <c r="M369" s="51"/>
      <c r="N369" s="113">
        <f t="shared" si="40"/>
        <v>5812</v>
      </c>
      <c r="O369" s="581"/>
      <c r="P369" s="582">
        <v>0</v>
      </c>
      <c r="Q369" s="589"/>
      <c r="R369" s="576"/>
      <c r="S369" s="583">
        <f t="shared" si="43"/>
        <v>0</v>
      </c>
      <c r="T369" s="584">
        <v>0</v>
      </c>
      <c r="U369" s="51"/>
      <c r="V369" s="2120">
        <f t="shared" si="44"/>
        <v>0</v>
      </c>
      <c r="W369" s="43"/>
      <c r="X369" s="43"/>
      <c r="Y369" s="43"/>
      <c r="Z369" s="43"/>
    </row>
    <row r="370" spans="1:26">
      <c r="A370" s="88">
        <v>5814</v>
      </c>
      <c r="B370" s="378" t="s">
        <v>314</v>
      </c>
      <c r="C370" s="1033"/>
      <c r="D370" s="1033"/>
      <c r="E370" s="1033"/>
      <c r="F370" s="1033"/>
      <c r="G370" s="1033"/>
      <c r="H370" s="1033"/>
      <c r="I370" s="1033"/>
      <c r="J370" s="1033"/>
      <c r="K370" s="1033"/>
      <c r="L370" s="574"/>
      <c r="M370" s="51"/>
      <c r="N370" s="113">
        <f t="shared" si="40"/>
        <v>5814</v>
      </c>
      <c r="O370" s="581"/>
      <c r="P370" s="582">
        <v>0</v>
      </c>
      <c r="Q370" s="589"/>
      <c r="R370" s="576"/>
      <c r="S370" s="583">
        <f t="shared" si="43"/>
        <v>0</v>
      </c>
      <c r="T370" s="584">
        <v>0</v>
      </c>
      <c r="U370" s="51"/>
      <c r="V370" s="2120">
        <f t="shared" si="44"/>
        <v>0</v>
      </c>
      <c r="W370" s="43"/>
      <c r="X370" s="43"/>
      <c r="Y370" s="43"/>
      <c r="Z370" s="43"/>
    </row>
    <row r="371" spans="1:26">
      <c r="A371" s="88">
        <v>5815</v>
      </c>
      <c r="B371" s="378" t="s">
        <v>315</v>
      </c>
      <c r="C371" s="1033"/>
      <c r="D371" s="1033"/>
      <c r="E371" s="1033"/>
      <c r="F371" s="1033"/>
      <c r="G371" s="1033"/>
      <c r="H371" s="1033"/>
      <c r="I371" s="1033"/>
      <c r="J371" s="1033"/>
      <c r="K371" s="1033"/>
      <c r="L371" s="574"/>
      <c r="M371" s="51"/>
      <c r="N371" s="113">
        <f t="shared" si="40"/>
        <v>5815</v>
      </c>
      <c r="O371" s="581"/>
      <c r="P371" s="582">
        <v>0</v>
      </c>
      <c r="Q371" s="589"/>
      <c r="R371" s="576"/>
      <c r="S371" s="583">
        <f t="shared" si="43"/>
        <v>0</v>
      </c>
      <c r="T371" s="584">
        <v>0</v>
      </c>
      <c r="U371" s="51"/>
      <c r="V371" s="2120">
        <f t="shared" si="44"/>
        <v>0</v>
      </c>
      <c r="W371" s="43"/>
      <c r="X371" s="43"/>
      <c r="Y371" s="43"/>
      <c r="Z371" s="43"/>
    </row>
    <row r="372" spans="1:26">
      <c r="A372" s="88">
        <v>5817</v>
      </c>
      <c r="B372" s="378" t="s">
        <v>310</v>
      </c>
      <c r="C372" s="1033"/>
      <c r="D372" s="1033"/>
      <c r="E372" s="1033"/>
      <c r="F372" s="1033"/>
      <c r="G372" s="1033"/>
      <c r="H372" s="1033"/>
      <c r="I372" s="1033"/>
      <c r="J372" s="1033"/>
      <c r="K372" s="1033"/>
      <c r="L372" s="574"/>
      <c r="M372" s="51"/>
      <c r="N372" s="113">
        <f t="shared" si="40"/>
        <v>5817</v>
      </c>
      <c r="O372" s="581"/>
      <c r="P372" s="582">
        <v>0</v>
      </c>
      <c r="Q372" s="589"/>
      <c r="R372" s="576"/>
      <c r="S372" s="583">
        <f t="shared" si="43"/>
        <v>0</v>
      </c>
      <c r="T372" s="584">
        <v>0</v>
      </c>
      <c r="U372" s="51"/>
      <c r="V372" s="2120">
        <f t="shared" si="44"/>
        <v>0</v>
      </c>
      <c r="W372" s="43"/>
      <c r="X372" s="43"/>
      <c r="Y372" s="43"/>
      <c r="Z372" s="43"/>
    </row>
    <row r="373" spans="1:26">
      <c r="A373" s="88">
        <v>5818</v>
      </c>
      <c r="B373" s="378" t="s">
        <v>311</v>
      </c>
      <c r="C373" s="1033"/>
      <c r="D373" s="1033"/>
      <c r="E373" s="1033"/>
      <c r="F373" s="1033"/>
      <c r="G373" s="1033"/>
      <c r="H373" s="1033"/>
      <c r="I373" s="1033"/>
      <c r="J373" s="1033"/>
      <c r="K373" s="1033"/>
      <c r="L373" s="574"/>
      <c r="M373" s="51"/>
      <c r="N373" s="113">
        <f t="shared" si="40"/>
        <v>5818</v>
      </c>
      <c r="O373" s="581"/>
      <c r="P373" s="582">
        <v>0</v>
      </c>
      <c r="Q373" s="589"/>
      <c r="R373" s="576"/>
      <c r="S373" s="583">
        <f t="shared" si="43"/>
        <v>0</v>
      </c>
      <c r="T373" s="584">
        <v>0</v>
      </c>
      <c r="U373" s="51"/>
      <c r="V373" s="2120">
        <f t="shared" si="44"/>
        <v>0</v>
      </c>
      <c r="W373" s="43"/>
      <c r="X373" s="43"/>
      <c r="Y373" s="43"/>
      <c r="Z373" s="43"/>
    </row>
    <row r="374" spans="1:26">
      <c r="A374" s="88">
        <v>5823</v>
      </c>
      <c r="B374" s="378" t="s">
        <v>316</v>
      </c>
      <c r="C374" s="1033"/>
      <c r="D374" s="1033"/>
      <c r="E374" s="1033"/>
      <c r="F374" s="1033"/>
      <c r="G374" s="1033"/>
      <c r="H374" s="1033"/>
      <c r="I374" s="1033"/>
      <c r="J374" s="1033"/>
      <c r="K374" s="1033"/>
      <c r="L374" s="574"/>
      <c r="M374" s="51"/>
      <c r="N374" s="113">
        <f t="shared" si="40"/>
        <v>5823</v>
      </c>
      <c r="O374" s="581"/>
      <c r="P374" s="582">
        <v>0</v>
      </c>
      <c r="Q374" s="589"/>
      <c r="R374" s="576"/>
      <c r="S374" s="583">
        <f t="shared" si="43"/>
        <v>0</v>
      </c>
      <c r="T374" s="584">
        <v>0</v>
      </c>
      <c r="U374" s="51"/>
      <c r="V374" s="2120">
        <f t="shared" si="44"/>
        <v>0</v>
      </c>
      <c r="W374" s="43"/>
      <c r="X374" s="43"/>
      <c r="Y374" s="43"/>
      <c r="Z374" s="43"/>
    </row>
    <row r="375" spans="1:26">
      <c r="A375" s="88">
        <v>5826</v>
      </c>
      <c r="B375" s="378" t="s">
        <v>317</v>
      </c>
      <c r="C375" s="1033"/>
      <c r="D375" s="1033"/>
      <c r="E375" s="1033"/>
      <c r="F375" s="1033"/>
      <c r="G375" s="1033"/>
      <c r="H375" s="1033"/>
      <c r="I375" s="1033"/>
      <c r="J375" s="1033"/>
      <c r="K375" s="1033"/>
      <c r="L375" s="574"/>
      <c r="M375" s="51"/>
      <c r="N375" s="113">
        <f t="shared" si="40"/>
        <v>5826</v>
      </c>
      <c r="O375" s="581"/>
      <c r="P375" s="582">
        <v>0</v>
      </c>
      <c r="Q375" s="589"/>
      <c r="R375" s="576"/>
      <c r="S375" s="583">
        <f t="shared" si="43"/>
        <v>0</v>
      </c>
      <c r="T375" s="584">
        <v>0</v>
      </c>
      <c r="U375" s="51"/>
      <c r="V375" s="2120">
        <f t="shared" si="44"/>
        <v>0</v>
      </c>
      <c r="W375" s="43"/>
      <c r="X375" s="43"/>
      <c r="Y375" s="43"/>
      <c r="Z375" s="43"/>
    </row>
    <row r="376" spans="1:26">
      <c r="A376" s="88">
        <v>5829</v>
      </c>
      <c r="B376" s="378" t="s">
        <v>318</v>
      </c>
      <c r="C376" s="1033"/>
      <c r="D376" s="1033"/>
      <c r="E376" s="1033"/>
      <c r="F376" s="1033"/>
      <c r="G376" s="1033"/>
      <c r="H376" s="1033"/>
      <c r="I376" s="1033"/>
      <c r="J376" s="1033"/>
      <c r="K376" s="1033"/>
      <c r="L376" s="574"/>
      <c r="M376" s="51"/>
      <c r="N376" s="113">
        <f t="shared" ref="N376:N382" si="45">+A376</f>
        <v>5829</v>
      </c>
      <c r="O376" s="581"/>
      <c r="P376" s="582">
        <v>0</v>
      </c>
      <c r="Q376" s="589"/>
      <c r="R376" s="576"/>
      <c r="S376" s="583">
        <f t="shared" si="43"/>
        <v>0</v>
      </c>
      <c r="T376" s="584">
        <v>0</v>
      </c>
      <c r="U376" s="51"/>
      <c r="V376" s="2120">
        <f t="shared" si="44"/>
        <v>0</v>
      </c>
      <c r="W376" s="43"/>
      <c r="X376" s="43"/>
      <c r="Y376" s="43"/>
      <c r="Z376" s="43"/>
    </row>
    <row r="377" spans="1:26">
      <c r="A377" s="88">
        <v>5881</v>
      </c>
      <c r="B377" s="378" t="s">
        <v>612</v>
      </c>
      <c r="C377" s="1033"/>
      <c r="D377" s="1033"/>
      <c r="E377" s="1033"/>
      <c r="F377" s="1033"/>
      <c r="G377" s="1033"/>
      <c r="H377" s="1033"/>
      <c r="I377" s="1033"/>
      <c r="J377" s="1033"/>
      <c r="K377" s="1033"/>
      <c r="L377" s="574"/>
      <c r="M377" s="51"/>
      <c r="N377" s="113">
        <f t="shared" si="45"/>
        <v>5881</v>
      </c>
      <c r="O377" s="581"/>
      <c r="P377" s="582">
        <v>0</v>
      </c>
      <c r="Q377" s="589"/>
      <c r="R377" s="576"/>
      <c r="S377" s="583">
        <f t="shared" si="43"/>
        <v>0</v>
      </c>
      <c r="T377" s="584">
        <v>0</v>
      </c>
      <c r="U377" s="51"/>
      <c r="V377" s="2120">
        <f t="shared" si="44"/>
        <v>0</v>
      </c>
      <c r="W377" s="43"/>
      <c r="X377" s="43"/>
      <c r="Y377" s="43"/>
      <c r="Z377" s="43"/>
    </row>
    <row r="378" spans="1:26">
      <c r="A378" s="88">
        <v>5882</v>
      </c>
      <c r="B378" s="378" t="s">
        <v>613</v>
      </c>
      <c r="C378" s="1033"/>
      <c r="D378" s="1033"/>
      <c r="E378" s="1033"/>
      <c r="F378" s="1033"/>
      <c r="G378" s="1033"/>
      <c r="H378" s="1033"/>
      <c r="I378" s="1033"/>
      <c r="J378" s="1033"/>
      <c r="K378" s="1033"/>
      <c r="L378" s="574"/>
      <c r="M378" s="51"/>
      <c r="N378" s="113">
        <f t="shared" si="45"/>
        <v>5882</v>
      </c>
      <c r="O378" s="581"/>
      <c r="P378" s="582">
        <v>0</v>
      </c>
      <c r="Q378" s="589"/>
      <c r="R378" s="576"/>
      <c r="S378" s="583">
        <f t="shared" si="43"/>
        <v>0</v>
      </c>
      <c r="T378" s="584">
        <v>0</v>
      </c>
      <c r="U378" s="51"/>
      <c r="V378" s="2120">
        <f t="shared" si="44"/>
        <v>0</v>
      </c>
      <c r="W378" s="43"/>
      <c r="X378" s="43"/>
      <c r="Y378" s="43"/>
      <c r="Z378" s="43"/>
    </row>
    <row r="379" spans="1:26">
      <c r="A379" s="88">
        <v>5889</v>
      </c>
      <c r="B379" s="378" t="s">
        <v>614</v>
      </c>
      <c r="C379" s="1033"/>
      <c r="D379" s="1033"/>
      <c r="E379" s="1033"/>
      <c r="F379" s="1033"/>
      <c r="G379" s="1033"/>
      <c r="H379" s="1033"/>
      <c r="I379" s="1033"/>
      <c r="J379" s="1033"/>
      <c r="K379" s="1033"/>
      <c r="L379" s="574"/>
      <c r="M379" s="51"/>
      <c r="N379" s="113">
        <f t="shared" si="45"/>
        <v>5889</v>
      </c>
      <c r="O379" s="581"/>
      <c r="P379" s="582">
        <v>0</v>
      </c>
      <c r="Q379" s="589"/>
      <c r="R379" s="576"/>
      <c r="S379" s="583">
        <f t="shared" si="43"/>
        <v>0</v>
      </c>
      <c r="T379" s="584">
        <v>0</v>
      </c>
      <c r="U379" s="51"/>
      <c r="V379" s="2120">
        <f t="shared" si="44"/>
        <v>0</v>
      </c>
      <c r="W379" s="43"/>
      <c r="X379" s="43"/>
      <c r="Y379" s="43"/>
      <c r="Z379" s="43"/>
    </row>
    <row r="380" spans="1:26">
      <c r="A380" s="88">
        <v>5891</v>
      </c>
      <c r="B380" s="378" t="s">
        <v>319</v>
      </c>
      <c r="C380" s="1033"/>
      <c r="D380" s="1033"/>
      <c r="E380" s="1033"/>
      <c r="F380" s="1033"/>
      <c r="G380" s="1033"/>
      <c r="H380" s="1033"/>
      <c r="I380" s="1033"/>
      <c r="J380" s="1033"/>
      <c r="K380" s="1033"/>
      <c r="L380" s="574"/>
      <c r="M380" s="51"/>
      <c r="N380" s="113">
        <f t="shared" si="45"/>
        <v>5891</v>
      </c>
      <c r="O380" s="575">
        <v>0</v>
      </c>
      <c r="P380" s="576"/>
      <c r="Q380" s="589"/>
      <c r="R380" s="121"/>
      <c r="S380" s="579">
        <v>0</v>
      </c>
      <c r="T380" s="580">
        <f>+IF(ABS(+O380+Q380)&lt;=ABS(P380+R380),-O380+P380-Q380+R380,0)</f>
        <v>0</v>
      </c>
      <c r="U380" s="51"/>
      <c r="V380" s="2119">
        <f>+IF(OR(+ROUND(O380,2)+ROUND(Q380,2)&gt;ROUND(P380,2)+ROUND(R380,2),+ABS(ROUND(O380,2)+ROUND(Q380,2))&gt;+ABS(ROUND(P380,2)+ROUND(R380,2))),+(ROUND(O380,2)+ROUND(Q380,2))-(ROUND(P380,2)+ROUND(R380,2)),0)</f>
        <v>0</v>
      </c>
      <c r="W380" s="43"/>
      <c r="X380" s="43"/>
      <c r="Y380" s="43"/>
      <c r="Z380" s="43"/>
    </row>
    <row r="381" spans="1:26">
      <c r="A381" s="591">
        <v>5892</v>
      </c>
      <c r="B381" s="1046" t="s">
        <v>320</v>
      </c>
      <c r="C381" s="1033"/>
      <c r="D381" s="1033"/>
      <c r="E381" s="1033"/>
      <c r="F381" s="1033"/>
      <c r="G381" s="1033"/>
      <c r="H381" s="1033"/>
      <c r="I381" s="1033"/>
      <c r="J381" s="1033"/>
      <c r="K381" s="1033"/>
      <c r="L381" s="574"/>
      <c r="M381" s="51"/>
      <c r="N381" s="113">
        <f t="shared" si="45"/>
        <v>5892</v>
      </c>
      <c r="O381" s="575">
        <v>0</v>
      </c>
      <c r="P381" s="576"/>
      <c r="Q381" s="589"/>
      <c r="R381" s="121"/>
      <c r="S381" s="579">
        <v>0</v>
      </c>
      <c r="T381" s="580">
        <f>+IF(ABS(+O381+Q381)&lt;=ABS(P381+R381),-O381+P381-Q381+R381,0)</f>
        <v>0</v>
      </c>
      <c r="U381" s="51"/>
      <c r="V381" s="2119">
        <f>+IF(OR(+ROUND(O381,2)+ROUND(Q381,2)&gt;ROUND(P381,2)+ROUND(R381,2),+ABS(ROUND(O381,2)+ROUND(Q381,2))&gt;+ABS(ROUND(P381,2)+ROUND(R381,2))),+(ROUND(O381,2)+ROUND(Q381,2))-(ROUND(P381,2)+ROUND(R381,2)),0)</f>
        <v>0</v>
      </c>
      <c r="W381" s="43"/>
      <c r="X381" s="43"/>
      <c r="Y381" s="43"/>
      <c r="Z381" s="43"/>
    </row>
    <row r="382" spans="1:26">
      <c r="A382" s="1047">
        <v>5894</v>
      </c>
      <c r="B382" s="1048" t="s">
        <v>321</v>
      </c>
      <c r="C382" s="1049"/>
      <c r="D382" s="1049"/>
      <c r="E382" s="1049"/>
      <c r="F382" s="1049"/>
      <c r="G382" s="1049"/>
      <c r="H382" s="1049"/>
      <c r="I382" s="1049"/>
      <c r="J382" s="1049"/>
      <c r="K382" s="1049"/>
      <c r="L382" s="1050"/>
      <c r="M382" s="51"/>
      <c r="N382" s="113">
        <f t="shared" si="45"/>
        <v>5894</v>
      </c>
      <c r="O382" s="856">
        <v>0</v>
      </c>
      <c r="P382" s="597"/>
      <c r="Q382" s="598"/>
      <c r="R382" s="127"/>
      <c r="S382" s="857">
        <v>0</v>
      </c>
      <c r="T382" s="599">
        <f>+IF(ABS(+O382+Q382)&lt;=ABS(P382+R382),-O382+P382-Q382+R382,0)</f>
        <v>0</v>
      </c>
      <c r="U382" s="51"/>
      <c r="V382" s="2119">
        <f>+IF(OR(+ROUND(O382,2)+ROUND(Q382,2)&gt;ROUND(P382,2)+ROUND(R382,2),+ABS(ROUND(O382,2)+ROUND(Q382,2))&gt;+ABS(ROUND(P382,2)+ROUND(R382,2))),+(ROUND(O382,2)+ROUND(Q382,2))-(ROUND(P382,2)+ROUND(R382,2)),0)</f>
        <v>0</v>
      </c>
      <c r="W382" s="43"/>
      <c r="X382" s="43"/>
      <c r="Y382" s="43"/>
      <c r="Z382" s="43"/>
    </row>
    <row r="383" spans="1:26">
      <c r="A383" s="398" t="s">
        <v>472</v>
      </c>
      <c r="B383" s="399"/>
      <c r="C383" s="399"/>
      <c r="D383" s="399"/>
      <c r="E383" s="399"/>
      <c r="F383" s="399"/>
      <c r="G383" s="399"/>
      <c r="H383" s="399"/>
      <c r="I383" s="399"/>
      <c r="J383" s="399"/>
      <c r="K383" s="399"/>
      <c r="L383" s="381"/>
      <c r="M383" s="51"/>
      <c r="N383" s="383">
        <v>6</v>
      </c>
      <c r="O383" s="384"/>
      <c r="P383" s="385"/>
      <c r="Q383" s="386"/>
      <c r="R383" s="385"/>
      <c r="S383" s="386"/>
      <c r="T383" s="387"/>
      <c r="U383" s="51"/>
      <c r="V383" s="2119"/>
      <c r="W383" s="43"/>
      <c r="X383" s="43"/>
      <c r="Y383" s="43"/>
      <c r="Z383" s="43"/>
    </row>
    <row r="384" spans="1:26">
      <c r="A384" s="85">
        <v>6010</v>
      </c>
      <c r="B384" s="419" t="s">
        <v>322</v>
      </c>
      <c r="C384" s="86"/>
      <c r="D384" s="86"/>
      <c r="E384" s="86"/>
      <c r="F384" s="86"/>
      <c r="G384" s="86"/>
      <c r="H384" s="86"/>
      <c r="I384" s="86"/>
      <c r="J384" s="86"/>
      <c r="K384" s="86"/>
      <c r="L384" s="87"/>
      <c r="M384" s="51"/>
      <c r="N384" s="112">
        <f t="shared" ref="N384:N447" si="46">+A384</f>
        <v>6010</v>
      </c>
      <c r="O384" s="328">
        <v>0</v>
      </c>
      <c r="P384" s="329">
        <v>0</v>
      </c>
      <c r="Q384" s="325">
        <v>0</v>
      </c>
      <c r="R384" s="324">
        <v>0</v>
      </c>
      <c r="S384" s="326">
        <f t="shared" ref="S384:S415" si="47">+IF(ABS(+O384+Q384)&gt;=ABS(P384+R384),+O384-P384+Q384-R384,0)</f>
        <v>0</v>
      </c>
      <c r="T384" s="327">
        <f t="shared" ref="T384:T409" si="48">+IF(ABS(+O384+Q384)&lt;=ABS(P384+R384),-O384+P384-Q384+R384,0)</f>
        <v>0</v>
      </c>
      <c r="U384" s="51"/>
      <c r="V384" s="2119"/>
      <c r="W384" s="43"/>
      <c r="X384" s="43"/>
      <c r="Y384" s="43"/>
      <c r="Z384" s="43"/>
    </row>
    <row r="385" spans="1:26">
      <c r="A385" s="88">
        <v>6011</v>
      </c>
      <c r="B385" s="1032" t="s">
        <v>323</v>
      </c>
      <c r="C385" s="1033"/>
      <c r="D385" s="1033"/>
      <c r="E385" s="1033"/>
      <c r="F385" s="1033"/>
      <c r="G385" s="1033"/>
      <c r="H385" s="1033"/>
      <c r="I385" s="1033"/>
      <c r="J385" s="1033"/>
      <c r="K385" s="1033"/>
      <c r="L385" s="90"/>
      <c r="M385" s="51"/>
      <c r="N385" s="113">
        <f t="shared" si="46"/>
        <v>6011</v>
      </c>
      <c r="O385" s="8">
        <v>0</v>
      </c>
      <c r="P385" s="9">
        <v>0</v>
      </c>
      <c r="Q385" s="122">
        <v>0</v>
      </c>
      <c r="R385" s="121">
        <v>0</v>
      </c>
      <c r="S385" s="27">
        <f t="shared" si="47"/>
        <v>0</v>
      </c>
      <c r="T385" s="28">
        <f t="shared" si="48"/>
        <v>0</v>
      </c>
      <c r="U385" s="51"/>
      <c r="V385" s="2119"/>
      <c r="W385" s="43"/>
      <c r="X385" s="43"/>
      <c r="Y385" s="43"/>
      <c r="Z385" s="43"/>
    </row>
    <row r="386" spans="1:26">
      <c r="A386" s="88">
        <v>6012</v>
      </c>
      <c r="B386" s="1032" t="s">
        <v>324</v>
      </c>
      <c r="C386" s="1033"/>
      <c r="D386" s="1033"/>
      <c r="E386" s="1033"/>
      <c r="F386" s="1033"/>
      <c r="G386" s="1033"/>
      <c r="H386" s="1033"/>
      <c r="I386" s="1033"/>
      <c r="J386" s="1033"/>
      <c r="K386" s="1033"/>
      <c r="L386" s="90"/>
      <c r="M386" s="51"/>
      <c r="N386" s="113">
        <f t="shared" si="46"/>
        <v>6012</v>
      </c>
      <c r="O386" s="8">
        <v>0</v>
      </c>
      <c r="P386" s="9">
        <v>0</v>
      </c>
      <c r="Q386" s="122">
        <v>0</v>
      </c>
      <c r="R386" s="121">
        <v>0</v>
      </c>
      <c r="S386" s="27">
        <f t="shared" si="47"/>
        <v>0</v>
      </c>
      <c r="T386" s="28">
        <f t="shared" si="48"/>
        <v>0</v>
      </c>
      <c r="U386" s="51"/>
      <c r="V386" s="2119"/>
      <c r="W386" s="43"/>
      <c r="X386" s="43"/>
      <c r="Y386" s="43"/>
      <c r="Z386" s="43"/>
    </row>
    <row r="387" spans="1:26">
      <c r="A387" s="88">
        <v>6013</v>
      </c>
      <c r="B387" s="1032" t="s">
        <v>325</v>
      </c>
      <c r="C387" s="1033"/>
      <c r="D387" s="1033"/>
      <c r="E387" s="1033"/>
      <c r="F387" s="1033"/>
      <c r="G387" s="1033"/>
      <c r="H387" s="1033"/>
      <c r="I387" s="1033"/>
      <c r="J387" s="1033"/>
      <c r="K387" s="1033"/>
      <c r="L387" s="90"/>
      <c r="M387" s="51"/>
      <c r="N387" s="113">
        <f t="shared" si="46"/>
        <v>6013</v>
      </c>
      <c r="O387" s="8">
        <v>0</v>
      </c>
      <c r="P387" s="9">
        <v>0</v>
      </c>
      <c r="Q387" s="122">
        <v>0</v>
      </c>
      <c r="R387" s="121">
        <v>0</v>
      </c>
      <c r="S387" s="27">
        <f t="shared" si="47"/>
        <v>0</v>
      </c>
      <c r="T387" s="28">
        <f t="shared" si="48"/>
        <v>0</v>
      </c>
      <c r="U387" s="51"/>
      <c r="V387" s="2119"/>
      <c r="W387" s="43"/>
      <c r="X387" s="43"/>
      <c r="Y387" s="43"/>
      <c r="Z387" s="43"/>
    </row>
    <row r="388" spans="1:26">
      <c r="A388" s="88">
        <v>6014</v>
      </c>
      <c r="B388" s="1032" t="s">
        <v>326</v>
      </c>
      <c r="C388" s="1033"/>
      <c r="D388" s="1033"/>
      <c r="E388" s="1033"/>
      <c r="F388" s="1033"/>
      <c r="G388" s="1033"/>
      <c r="H388" s="1033"/>
      <c r="I388" s="1033"/>
      <c r="J388" s="1033"/>
      <c r="K388" s="1033"/>
      <c r="L388" s="90"/>
      <c r="M388" s="51"/>
      <c r="N388" s="113">
        <f t="shared" si="46"/>
        <v>6014</v>
      </c>
      <c r="O388" s="8">
        <v>0</v>
      </c>
      <c r="P388" s="9">
        <v>0</v>
      </c>
      <c r="Q388" s="122">
        <v>0</v>
      </c>
      <c r="R388" s="121">
        <v>0</v>
      </c>
      <c r="S388" s="27">
        <f t="shared" si="47"/>
        <v>0</v>
      </c>
      <c r="T388" s="28">
        <f t="shared" si="48"/>
        <v>0</v>
      </c>
      <c r="U388" s="51"/>
      <c r="V388" s="2119"/>
      <c r="W388" s="43"/>
      <c r="X388" s="43"/>
      <c r="Y388" s="43"/>
      <c r="Z388" s="43"/>
    </row>
    <row r="389" spans="1:26">
      <c r="A389" s="88">
        <v>6015</v>
      </c>
      <c r="B389" s="1032" t="s">
        <v>327</v>
      </c>
      <c r="C389" s="1033"/>
      <c r="D389" s="1033"/>
      <c r="E389" s="1033"/>
      <c r="F389" s="1033"/>
      <c r="G389" s="1033"/>
      <c r="H389" s="1033"/>
      <c r="I389" s="1033"/>
      <c r="J389" s="1033"/>
      <c r="K389" s="1033"/>
      <c r="L389" s="90"/>
      <c r="M389" s="51"/>
      <c r="N389" s="113">
        <f t="shared" si="46"/>
        <v>6015</v>
      </c>
      <c r="O389" s="8">
        <v>0</v>
      </c>
      <c r="P389" s="9">
        <v>0</v>
      </c>
      <c r="Q389" s="122">
        <v>0</v>
      </c>
      <c r="R389" s="121">
        <v>0</v>
      </c>
      <c r="S389" s="27">
        <f t="shared" si="47"/>
        <v>0</v>
      </c>
      <c r="T389" s="28">
        <f t="shared" si="48"/>
        <v>0</v>
      </c>
      <c r="U389" s="51"/>
      <c r="V389" s="2119"/>
      <c r="W389" s="43"/>
      <c r="X389" s="43"/>
      <c r="Y389" s="43"/>
      <c r="Z389" s="43"/>
    </row>
    <row r="390" spans="1:26">
      <c r="A390" s="88">
        <v>6016</v>
      </c>
      <c r="B390" s="1032" t="s">
        <v>328</v>
      </c>
      <c r="C390" s="1033"/>
      <c r="D390" s="1033"/>
      <c r="E390" s="1033"/>
      <c r="F390" s="1033"/>
      <c r="G390" s="1033"/>
      <c r="H390" s="1033"/>
      <c r="I390" s="1033"/>
      <c r="J390" s="1033"/>
      <c r="K390" s="1033"/>
      <c r="L390" s="90"/>
      <c r="M390" s="51"/>
      <c r="N390" s="113">
        <f t="shared" si="46"/>
        <v>6016</v>
      </c>
      <c r="O390" s="8">
        <v>0</v>
      </c>
      <c r="P390" s="9">
        <v>0</v>
      </c>
      <c r="Q390" s="122">
        <v>0</v>
      </c>
      <c r="R390" s="121">
        <v>0</v>
      </c>
      <c r="S390" s="27">
        <f t="shared" si="47"/>
        <v>0</v>
      </c>
      <c r="T390" s="28">
        <f t="shared" si="48"/>
        <v>0</v>
      </c>
      <c r="U390" s="51"/>
      <c r="V390" s="2119"/>
      <c r="W390" s="43"/>
      <c r="X390" s="43"/>
      <c r="Y390" s="43"/>
      <c r="Z390" s="43"/>
    </row>
    <row r="391" spans="1:26">
      <c r="A391" s="88">
        <v>6017</v>
      </c>
      <c r="B391" s="1032" t="s">
        <v>329</v>
      </c>
      <c r="C391" s="1033"/>
      <c r="D391" s="1033"/>
      <c r="E391" s="1033"/>
      <c r="F391" s="1033"/>
      <c r="G391" s="1033"/>
      <c r="H391" s="1033"/>
      <c r="I391" s="1033"/>
      <c r="J391" s="1033"/>
      <c r="K391" s="1033"/>
      <c r="L391" s="90"/>
      <c r="M391" s="51"/>
      <c r="N391" s="113">
        <f t="shared" si="46"/>
        <v>6017</v>
      </c>
      <c r="O391" s="8">
        <v>0</v>
      </c>
      <c r="P391" s="9">
        <v>0</v>
      </c>
      <c r="Q391" s="122">
        <v>0</v>
      </c>
      <c r="R391" s="121">
        <v>0</v>
      </c>
      <c r="S391" s="27">
        <f t="shared" si="47"/>
        <v>0</v>
      </c>
      <c r="T391" s="28">
        <f t="shared" si="48"/>
        <v>0</v>
      </c>
      <c r="U391" s="51"/>
      <c r="V391" s="2119"/>
      <c r="W391" s="43"/>
      <c r="X391" s="43"/>
      <c r="Y391" s="43"/>
      <c r="Z391" s="43"/>
    </row>
    <row r="392" spans="1:26">
      <c r="A392" s="88">
        <v>6018</v>
      </c>
      <c r="B392" s="1032" t="s">
        <v>330</v>
      </c>
      <c r="C392" s="1033"/>
      <c r="D392" s="1033"/>
      <c r="E392" s="1033"/>
      <c r="F392" s="1033"/>
      <c r="G392" s="1033"/>
      <c r="H392" s="1033"/>
      <c r="I392" s="1033"/>
      <c r="J392" s="1033"/>
      <c r="K392" s="1033"/>
      <c r="L392" s="90"/>
      <c r="M392" s="51"/>
      <c r="N392" s="113">
        <f t="shared" si="46"/>
        <v>6018</v>
      </c>
      <c r="O392" s="8">
        <v>0</v>
      </c>
      <c r="P392" s="9">
        <v>0</v>
      </c>
      <c r="Q392" s="122">
        <v>0</v>
      </c>
      <c r="R392" s="121">
        <v>0</v>
      </c>
      <c r="S392" s="27">
        <f t="shared" si="47"/>
        <v>0</v>
      </c>
      <c r="T392" s="28">
        <f t="shared" si="48"/>
        <v>0</v>
      </c>
      <c r="U392" s="51"/>
      <c r="V392" s="2119"/>
      <c r="W392" s="43"/>
      <c r="X392" s="43"/>
      <c r="Y392" s="43"/>
      <c r="Z392" s="43"/>
    </row>
    <row r="393" spans="1:26">
      <c r="A393" s="88">
        <v>6019</v>
      </c>
      <c r="B393" s="1032" t="s">
        <v>331</v>
      </c>
      <c r="C393" s="1033"/>
      <c r="D393" s="1033"/>
      <c r="E393" s="1033"/>
      <c r="F393" s="1033"/>
      <c r="G393" s="1033"/>
      <c r="H393" s="1033"/>
      <c r="I393" s="1033"/>
      <c r="J393" s="1033"/>
      <c r="K393" s="1033"/>
      <c r="L393" s="90"/>
      <c r="M393" s="51"/>
      <c r="N393" s="113">
        <f t="shared" si="46"/>
        <v>6019</v>
      </c>
      <c r="O393" s="8">
        <v>0</v>
      </c>
      <c r="P393" s="9">
        <v>0</v>
      </c>
      <c r="Q393" s="122">
        <v>0</v>
      </c>
      <c r="R393" s="121">
        <v>0</v>
      </c>
      <c r="S393" s="27">
        <f t="shared" si="47"/>
        <v>0</v>
      </c>
      <c r="T393" s="28">
        <f t="shared" si="48"/>
        <v>0</v>
      </c>
      <c r="U393" s="51"/>
      <c r="V393" s="2119"/>
      <c r="W393" s="43"/>
      <c r="X393" s="43"/>
      <c r="Y393" s="43"/>
      <c r="Z393" s="43"/>
    </row>
    <row r="394" spans="1:26">
      <c r="A394" s="88">
        <v>6021</v>
      </c>
      <c r="B394" s="1032" t="s">
        <v>332</v>
      </c>
      <c r="C394" s="1033"/>
      <c r="D394" s="1033"/>
      <c r="E394" s="1033"/>
      <c r="F394" s="1033"/>
      <c r="G394" s="1033"/>
      <c r="H394" s="1033"/>
      <c r="I394" s="1033"/>
      <c r="J394" s="1033"/>
      <c r="K394" s="1033"/>
      <c r="L394" s="90"/>
      <c r="M394" s="51"/>
      <c r="N394" s="113">
        <f t="shared" si="46"/>
        <v>6021</v>
      </c>
      <c r="O394" s="8">
        <v>0</v>
      </c>
      <c r="P394" s="9">
        <v>0</v>
      </c>
      <c r="Q394" s="122">
        <v>0</v>
      </c>
      <c r="R394" s="121">
        <v>0</v>
      </c>
      <c r="S394" s="27">
        <f t="shared" si="47"/>
        <v>0</v>
      </c>
      <c r="T394" s="28">
        <f t="shared" si="48"/>
        <v>0</v>
      </c>
      <c r="U394" s="51"/>
      <c r="V394" s="2119"/>
      <c r="W394" s="43"/>
      <c r="X394" s="43"/>
      <c r="Y394" s="43"/>
      <c r="Z394" s="43"/>
    </row>
    <row r="395" spans="1:26">
      <c r="A395" s="88">
        <v>6022</v>
      </c>
      <c r="B395" s="1032" t="s">
        <v>333</v>
      </c>
      <c r="C395" s="1033"/>
      <c r="D395" s="1033"/>
      <c r="E395" s="1033"/>
      <c r="F395" s="1033"/>
      <c r="G395" s="1033"/>
      <c r="H395" s="1033"/>
      <c r="I395" s="1033"/>
      <c r="J395" s="1033"/>
      <c r="K395" s="1033"/>
      <c r="L395" s="90"/>
      <c r="M395" s="51"/>
      <c r="N395" s="113">
        <f t="shared" si="46"/>
        <v>6022</v>
      </c>
      <c r="O395" s="8">
        <v>0</v>
      </c>
      <c r="P395" s="9">
        <v>0</v>
      </c>
      <c r="Q395" s="122">
        <v>0</v>
      </c>
      <c r="R395" s="121">
        <v>0</v>
      </c>
      <c r="S395" s="27">
        <f t="shared" si="47"/>
        <v>0</v>
      </c>
      <c r="T395" s="28">
        <f t="shared" si="48"/>
        <v>0</v>
      </c>
      <c r="U395" s="51"/>
      <c r="V395" s="2119"/>
      <c r="W395" s="43"/>
      <c r="X395" s="43"/>
      <c r="Y395" s="43"/>
      <c r="Z395" s="43"/>
    </row>
    <row r="396" spans="1:26">
      <c r="A396" s="88">
        <v>6023</v>
      </c>
      <c r="B396" s="1032" t="s">
        <v>334</v>
      </c>
      <c r="C396" s="1033"/>
      <c r="D396" s="1033"/>
      <c r="E396" s="1033"/>
      <c r="F396" s="1033"/>
      <c r="G396" s="1033"/>
      <c r="H396" s="1033"/>
      <c r="I396" s="1033"/>
      <c r="J396" s="1033"/>
      <c r="K396" s="1033"/>
      <c r="L396" s="90"/>
      <c r="M396" s="51"/>
      <c r="N396" s="113">
        <f t="shared" si="46"/>
        <v>6023</v>
      </c>
      <c r="O396" s="8">
        <v>0</v>
      </c>
      <c r="P396" s="9">
        <v>0</v>
      </c>
      <c r="Q396" s="122">
        <v>0</v>
      </c>
      <c r="R396" s="121">
        <v>0</v>
      </c>
      <c r="S396" s="27">
        <f t="shared" si="47"/>
        <v>0</v>
      </c>
      <c r="T396" s="28">
        <f t="shared" si="48"/>
        <v>0</v>
      </c>
      <c r="U396" s="51"/>
      <c r="V396" s="2119"/>
      <c r="W396" s="43"/>
      <c r="X396" s="43"/>
      <c r="Y396" s="43"/>
      <c r="Z396" s="43"/>
    </row>
    <row r="397" spans="1:26">
      <c r="A397" s="88">
        <v>6025</v>
      </c>
      <c r="B397" s="1032" t="s">
        <v>335</v>
      </c>
      <c r="C397" s="1033"/>
      <c r="D397" s="1033"/>
      <c r="E397" s="1033"/>
      <c r="F397" s="1033"/>
      <c r="G397" s="1033"/>
      <c r="H397" s="1033"/>
      <c r="I397" s="1033"/>
      <c r="J397" s="1033"/>
      <c r="K397" s="1033"/>
      <c r="L397" s="90"/>
      <c r="M397" s="51"/>
      <c r="N397" s="113">
        <f t="shared" si="46"/>
        <v>6025</v>
      </c>
      <c r="O397" s="8">
        <v>0</v>
      </c>
      <c r="P397" s="9">
        <v>0</v>
      </c>
      <c r="Q397" s="122">
        <v>0</v>
      </c>
      <c r="R397" s="121">
        <v>0</v>
      </c>
      <c r="S397" s="27">
        <f t="shared" si="47"/>
        <v>0</v>
      </c>
      <c r="T397" s="28">
        <f t="shared" si="48"/>
        <v>0</v>
      </c>
      <c r="U397" s="51"/>
      <c r="V397" s="2119"/>
      <c r="W397" s="43"/>
      <c r="X397" s="43"/>
      <c r="Y397" s="43"/>
      <c r="Z397" s="43"/>
    </row>
    <row r="398" spans="1:26">
      <c r="A398" s="88">
        <v>6026</v>
      </c>
      <c r="B398" s="1032" t="s">
        <v>336</v>
      </c>
      <c r="C398" s="1033"/>
      <c r="D398" s="1033"/>
      <c r="E398" s="1033"/>
      <c r="F398" s="1033"/>
      <c r="G398" s="1033"/>
      <c r="H398" s="1033"/>
      <c r="I398" s="1033"/>
      <c r="J398" s="1033"/>
      <c r="K398" s="1033"/>
      <c r="L398" s="90"/>
      <c r="M398" s="51"/>
      <c r="N398" s="113">
        <f t="shared" si="46"/>
        <v>6026</v>
      </c>
      <c r="O398" s="8">
        <v>0</v>
      </c>
      <c r="P398" s="9">
        <v>0</v>
      </c>
      <c r="Q398" s="122">
        <v>0</v>
      </c>
      <c r="R398" s="121">
        <v>0</v>
      </c>
      <c r="S398" s="27">
        <f t="shared" si="47"/>
        <v>0</v>
      </c>
      <c r="T398" s="28">
        <f t="shared" si="48"/>
        <v>0</v>
      </c>
      <c r="U398" s="51"/>
      <c r="V398" s="2119"/>
      <c r="W398" s="43"/>
      <c r="X398" s="43"/>
      <c r="Y398" s="43"/>
      <c r="Z398" s="43"/>
    </row>
    <row r="399" spans="1:26">
      <c r="A399" s="88">
        <v>6027</v>
      </c>
      <c r="B399" s="1032" t="s">
        <v>337</v>
      </c>
      <c r="C399" s="1033"/>
      <c r="D399" s="1033"/>
      <c r="E399" s="1033"/>
      <c r="F399" s="1033"/>
      <c r="G399" s="1033"/>
      <c r="H399" s="1033"/>
      <c r="I399" s="1033"/>
      <c r="J399" s="1033"/>
      <c r="K399" s="1033"/>
      <c r="L399" s="90"/>
      <c r="M399" s="51"/>
      <c r="N399" s="113">
        <f t="shared" si="46"/>
        <v>6027</v>
      </c>
      <c r="O399" s="8">
        <v>0</v>
      </c>
      <c r="P399" s="9">
        <v>0</v>
      </c>
      <c r="Q399" s="122">
        <v>0</v>
      </c>
      <c r="R399" s="121">
        <v>0</v>
      </c>
      <c r="S399" s="27">
        <f t="shared" si="47"/>
        <v>0</v>
      </c>
      <c r="T399" s="28">
        <f t="shared" si="48"/>
        <v>0</v>
      </c>
      <c r="U399" s="51"/>
      <c r="V399" s="2119"/>
      <c r="W399" s="43"/>
      <c r="X399" s="43"/>
      <c r="Y399" s="43"/>
      <c r="Z399" s="43"/>
    </row>
    <row r="400" spans="1:26">
      <c r="A400" s="88">
        <v>6028</v>
      </c>
      <c r="B400" s="1032" t="s">
        <v>338</v>
      </c>
      <c r="C400" s="1033"/>
      <c r="D400" s="1033"/>
      <c r="E400" s="1033"/>
      <c r="F400" s="1033"/>
      <c r="G400" s="1033"/>
      <c r="H400" s="1033"/>
      <c r="I400" s="1033"/>
      <c r="J400" s="1033"/>
      <c r="K400" s="1033"/>
      <c r="L400" s="90"/>
      <c r="M400" s="51"/>
      <c r="N400" s="113">
        <f t="shared" si="46"/>
        <v>6028</v>
      </c>
      <c r="O400" s="8">
        <v>0</v>
      </c>
      <c r="P400" s="9">
        <v>0</v>
      </c>
      <c r="Q400" s="122">
        <v>0</v>
      </c>
      <c r="R400" s="121">
        <v>0</v>
      </c>
      <c r="S400" s="27">
        <f t="shared" si="47"/>
        <v>0</v>
      </c>
      <c r="T400" s="28">
        <f t="shared" si="48"/>
        <v>0</v>
      </c>
      <c r="U400" s="51"/>
      <c r="V400" s="2119"/>
      <c r="W400" s="43"/>
      <c r="X400" s="43"/>
      <c r="Y400" s="43"/>
      <c r="Z400" s="43"/>
    </row>
    <row r="401" spans="1:26">
      <c r="A401" s="88">
        <v>6029</v>
      </c>
      <c r="B401" s="1032" t="s">
        <v>339</v>
      </c>
      <c r="C401" s="1033"/>
      <c r="D401" s="1033"/>
      <c r="E401" s="1033"/>
      <c r="F401" s="1033"/>
      <c r="G401" s="1033"/>
      <c r="H401" s="1033"/>
      <c r="I401" s="1033"/>
      <c r="J401" s="1033"/>
      <c r="K401" s="1033"/>
      <c r="L401" s="90"/>
      <c r="M401" s="51"/>
      <c r="N401" s="113">
        <f t="shared" si="46"/>
        <v>6029</v>
      </c>
      <c r="O401" s="8">
        <v>0</v>
      </c>
      <c r="P401" s="9">
        <v>0</v>
      </c>
      <c r="Q401" s="122">
        <v>0</v>
      </c>
      <c r="R401" s="121">
        <v>0</v>
      </c>
      <c r="S401" s="27">
        <f t="shared" si="47"/>
        <v>0</v>
      </c>
      <c r="T401" s="28">
        <f t="shared" si="48"/>
        <v>0</v>
      </c>
      <c r="U401" s="51"/>
      <c r="V401" s="2119"/>
      <c r="W401" s="43"/>
      <c r="X401" s="43"/>
      <c r="Y401" s="43"/>
      <c r="Z401" s="43"/>
    </row>
    <row r="402" spans="1:26">
      <c r="A402" s="591">
        <v>6030</v>
      </c>
      <c r="B402" s="1034" t="s">
        <v>340</v>
      </c>
      <c r="C402" s="1033"/>
      <c r="D402" s="1033"/>
      <c r="E402" s="1033"/>
      <c r="F402" s="1033"/>
      <c r="G402" s="1033"/>
      <c r="H402" s="1033"/>
      <c r="I402" s="1033"/>
      <c r="J402" s="1033"/>
      <c r="K402" s="1033"/>
      <c r="L402" s="574"/>
      <c r="M402" s="51"/>
      <c r="N402" s="1733">
        <f t="shared" si="46"/>
        <v>6030</v>
      </c>
      <c r="O402" s="575">
        <v>0</v>
      </c>
      <c r="P402" s="582">
        <v>0</v>
      </c>
      <c r="Q402" s="579">
        <v>0</v>
      </c>
      <c r="R402" s="582">
        <v>0</v>
      </c>
      <c r="S402" s="27">
        <f t="shared" si="47"/>
        <v>0</v>
      </c>
      <c r="T402" s="28">
        <f t="shared" si="48"/>
        <v>0</v>
      </c>
      <c r="U402" s="51"/>
      <c r="V402" s="2125">
        <f t="shared" ref="V402:V409" si="49">+IF(OR(O402&lt;&gt;0,P402&lt;&gt;0,Q402&lt;&gt;0,R402&lt;&gt;0,S402&lt;&gt;0,T402&lt;&gt;0),+IF(ABS(O402+Q402)-ABS(P402+R402)&lt;&gt;0,ABS(O402+Q402)-ABS(P402+R402),1),0)</f>
        <v>0</v>
      </c>
      <c r="W402" s="43"/>
      <c r="X402" s="43"/>
      <c r="Y402" s="43"/>
      <c r="Z402" s="43"/>
    </row>
    <row r="403" spans="1:26">
      <c r="A403" s="591">
        <v>6032</v>
      </c>
      <c r="B403" s="1034" t="s">
        <v>341</v>
      </c>
      <c r="C403" s="1033"/>
      <c r="D403" s="1033"/>
      <c r="E403" s="1033"/>
      <c r="F403" s="1033"/>
      <c r="G403" s="1033"/>
      <c r="H403" s="1033"/>
      <c r="I403" s="1033"/>
      <c r="J403" s="1033"/>
      <c r="K403" s="1033"/>
      <c r="L403" s="574"/>
      <c r="M403" s="51"/>
      <c r="N403" s="1733">
        <f t="shared" si="46"/>
        <v>6032</v>
      </c>
      <c r="O403" s="575">
        <v>0</v>
      </c>
      <c r="P403" s="582">
        <v>0</v>
      </c>
      <c r="Q403" s="579">
        <v>0</v>
      </c>
      <c r="R403" s="582">
        <v>0</v>
      </c>
      <c r="S403" s="27">
        <f t="shared" si="47"/>
        <v>0</v>
      </c>
      <c r="T403" s="28">
        <f t="shared" si="48"/>
        <v>0</v>
      </c>
      <c r="U403" s="51"/>
      <c r="V403" s="2125">
        <f t="shared" si="49"/>
        <v>0</v>
      </c>
      <c r="W403" s="43"/>
      <c r="X403" s="43"/>
      <c r="Y403" s="43"/>
      <c r="Z403" s="43"/>
    </row>
    <row r="404" spans="1:26">
      <c r="A404" s="591">
        <v>6033</v>
      </c>
      <c r="B404" s="1034" t="s">
        <v>342</v>
      </c>
      <c r="C404" s="1033"/>
      <c r="D404" s="1033"/>
      <c r="E404" s="1033"/>
      <c r="F404" s="1033"/>
      <c r="G404" s="1033"/>
      <c r="H404" s="1033"/>
      <c r="I404" s="1033"/>
      <c r="J404" s="1033"/>
      <c r="K404" s="1033"/>
      <c r="L404" s="574"/>
      <c r="M404" s="51"/>
      <c r="N404" s="1733">
        <f t="shared" si="46"/>
        <v>6033</v>
      </c>
      <c r="O404" s="575">
        <v>0</v>
      </c>
      <c r="P404" s="582">
        <v>0</v>
      </c>
      <c r="Q404" s="579">
        <v>0</v>
      </c>
      <c r="R404" s="582">
        <v>0</v>
      </c>
      <c r="S404" s="27">
        <f t="shared" si="47"/>
        <v>0</v>
      </c>
      <c r="T404" s="28">
        <f t="shared" si="48"/>
        <v>0</v>
      </c>
      <c r="U404" s="51"/>
      <c r="V404" s="2125">
        <f t="shared" si="49"/>
        <v>0</v>
      </c>
      <c r="W404" s="43"/>
      <c r="X404" s="43"/>
      <c r="Y404" s="43"/>
      <c r="Z404" s="43"/>
    </row>
    <row r="405" spans="1:26">
      <c r="A405" s="591">
        <v>6034</v>
      </c>
      <c r="B405" s="1034" t="s">
        <v>343</v>
      </c>
      <c r="C405" s="1033"/>
      <c r="D405" s="1033"/>
      <c r="E405" s="1033"/>
      <c r="F405" s="1033"/>
      <c r="G405" s="1033"/>
      <c r="H405" s="1033"/>
      <c r="I405" s="1033"/>
      <c r="J405" s="1033"/>
      <c r="K405" s="1033"/>
      <c r="L405" s="574"/>
      <c r="M405" s="51"/>
      <c r="N405" s="1733">
        <f t="shared" si="46"/>
        <v>6034</v>
      </c>
      <c r="O405" s="575">
        <v>0</v>
      </c>
      <c r="P405" s="582">
        <v>0</v>
      </c>
      <c r="Q405" s="579">
        <v>0</v>
      </c>
      <c r="R405" s="582">
        <v>0</v>
      </c>
      <c r="S405" s="27">
        <f t="shared" si="47"/>
        <v>0</v>
      </c>
      <c r="T405" s="28">
        <f t="shared" si="48"/>
        <v>0</v>
      </c>
      <c r="U405" s="51"/>
      <c r="V405" s="2125">
        <f t="shared" si="49"/>
        <v>0</v>
      </c>
      <c r="W405" s="43"/>
      <c r="X405" s="43"/>
      <c r="Y405" s="43"/>
      <c r="Z405" s="43"/>
    </row>
    <row r="406" spans="1:26">
      <c r="A406" s="591">
        <v>6035</v>
      </c>
      <c r="B406" s="1034" t="s">
        <v>344</v>
      </c>
      <c r="C406" s="1033"/>
      <c r="D406" s="1033"/>
      <c r="E406" s="1033"/>
      <c r="F406" s="1033"/>
      <c r="G406" s="1033"/>
      <c r="H406" s="1033"/>
      <c r="I406" s="1033"/>
      <c r="J406" s="1033"/>
      <c r="K406" s="1033"/>
      <c r="L406" s="574"/>
      <c r="M406" s="51"/>
      <c r="N406" s="1733">
        <f t="shared" si="46"/>
        <v>6035</v>
      </c>
      <c r="O406" s="575">
        <v>0</v>
      </c>
      <c r="P406" s="582">
        <v>0</v>
      </c>
      <c r="Q406" s="579">
        <v>0</v>
      </c>
      <c r="R406" s="582">
        <v>0</v>
      </c>
      <c r="S406" s="27">
        <f t="shared" si="47"/>
        <v>0</v>
      </c>
      <c r="T406" s="28">
        <f t="shared" si="48"/>
        <v>0</v>
      </c>
      <c r="U406" s="51"/>
      <c r="V406" s="2125">
        <f t="shared" si="49"/>
        <v>0</v>
      </c>
      <c r="W406" s="43"/>
      <c r="X406" s="43"/>
      <c r="Y406" s="43"/>
      <c r="Z406" s="43"/>
    </row>
    <row r="407" spans="1:26">
      <c r="A407" s="591">
        <v>6036</v>
      </c>
      <c r="B407" s="1034" t="s">
        <v>345</v>
      </c>
      <c r="C407" s="1033"/>
      <c r="D407" s="1033"/>
      <c r="E407" s="1033"/>
      <c r="F407" s="1033"/>
      <c r="G407" s="1033"/>
      <c r="H407" s="1033"/>
      <c r="I407" s="1033"/>
      <c r="J407" s="1033"/>
      <c r="K407" s="1033"/>
      <c r="L407" s="574"/>
      <c r="M407" s="51"/>
      <c r="N407" s="1733">
        <f t="shared" si="46"/>
        <v>6036</v>
      </c>
      <c r="O407" s="575">
        <v>0</v>
      </c>
      <c r="P407" s="582">
        <v>0</v>
      </c>
      <c r="Q407" s="579">
        <v>0</v>
      </c>
      <c r="R407" s="582">
        <v>0</v>
      </c>
      <c r="S407" s="27">
        <f t="shared" si="47"/>
        <v>0</v>
      </c>
      <c r="T407" s="28">
        <f t="shared" si="48"/>
        <v>0</v>
      </c>
      <c r="U407" s="51"/>
      <c r="V407" s="2125">
        <f t="shared" si="49"/>
        <v>0</v>
      </c>
      <c r="W407" s="43"/>
      <c r="X407" s="43"/>
      <c r="Y407" s="43"/>
      <c r="Z407" s="43"/>
    </row>
    <row r="408" spans="1:26">
      <c r="A408" s="591">
        <v>6037</v>
      </c>
      <c r="B408" s="1033" t="s">
        <v>347</v>
      </c>
      <c r="C408" s="1033"/>
      <c r="D408" s="1033"/>
      <c r="E408" s="1033"/>
      <c r="F408" s="1033"/>
      <c r="G408" s="1033"/>
      <c r="H408" s="1033"/>
      <c r="I408" s="1033"/>
      <c r="J408" s="1033"/>
      <c r="K408" s="1033"/>
      <c r="L408" s="574"/>
      <c r="M408" s="51"/>
      <c r="N408" s="1733">
        <f t="shared" si="46"/>
        <v>6037</v>
      </c>
      <c r="O408" s="575">
        <v>0</v>
      </c>
      <c r="P408" s="582">
        <v>0</v>
      </c>
      <c r="Q408" s="579">
        <v>0</v>
      </c>
      <c r="R408" s="582">
        <v>0</v>
      </c>
      <c r="S408" s="27">
        <f t="shared" si="47"/>
        <v>0</v>
      </c>
      <c r="T408" s="28">
        <f t="shared" si="48"/>
        <v>0</v>
      </c>
      <c r="U408" s="51"/>
      <c r="V408" s="2125">
        <f t="shared" si="49"/>
        <v>0</v>
      </c>
      <c r="W408" s="43"/>
      <c r="X408" s="43"/>
      <c r="Y408" s="43"/>
      <c r="Z408" s="43"/>
    </row>
    <row r="409" spans="1:26">
      <c r="A409" s="591">
        <v>6039</v>
      </c>
      <c r="B409" s="1034" t="s">
        <v>346</v>
      </c>
      <c r="C409" s="1033"/>
      <c r="D409" s="1033"/>
      <c r="E409" s="1033"/>
      <c r="F409" s="1033"/>
      <c r="G409" s="1033"/>
      <c r="H409" s="1033"/>
      <c r="I409" s="1033"/>
      <c r="J409" s="1033"/>
      <c r="K409" s="1033"/>
      <c r="L409" s="574"/>
      <c r="M409" s="51"/>
      <c r="N409" s="1733">
        <f t="shared" si="46"/>
        <v>6039</v>
      </c>
      <c r="O409" s="575">
        <v>0</v>
      </c>
      <c r="P409" s="582">
        <v>0</v>
      </c>
      <c r="Q409" s="579">
        <v>0</v>
      </c>
      <c r="R409" s="582">
        <v>0</v>
      </c>
      <c r="S409" s="27">
        <f t="shared" si="47"/>
        <v>0</v>
      </c>
      <c r="T409" s="28">
        <f t="shared" si="48"/>
        <v>0</v>
      </c>
      <c r="U409" s="51"/>
      <c r="V409" s="2125">
        <f t="shared" si="49"/>
        <v>0</v>
      </c>
      <c r="W409" s="43"/>
      <c r="X409" s="43"/>
      <c r="Y409" s="43"/>
      <c r="Z409" s="43"/>
    </row>
    <row r="410" spans="1:26">
      <c r="A410" s="88">
        <v>6041</v>
      </c>
      <c r="B410" s="1033" t="s">
        <v>348</v>
      </c>
      <c r="C410" s="1033"/>
      <c r="D410" s="1033"/>
      <c r="E410" s="1033"/>
      <c r="F410" s="1033"/>
      <c r="G410" s="1033"/>
      <c r="H410" s="1033"/>
      <c r="I410" s="1033"/>
      <c r="J410" s="1033"/>
      <c r="K410" s="1033"/>
      <c r="L410" s="90"/>
      <c r="M410" s="51"/>
      <c r="N410" s="113">
        <f t="shared" si="46"/>
        <v>6041</v>
      </c>
      <c r="O410" s="8">
        <v>0</v>
      </c>
      <c r="P410" s="9">
        <v>0</v>
      </c>
      <c r="Q410" s="122">
        <v>0</v>
      </c>
      <c r="R410" s="121">
        <v>0</v>
      </c>
      <c r="S410" s="27">
        <f t="shared" si="47"/>
        <v>0</v>
      </c>
      <c r="T410" s="28">
        <f>+IF(ABS(+O410+Q410)&lt;=ABS(P410+R410),-O410+P410-Q410+R410,0)</f>
        <v>0</v>
      </c>
      <c r="U410" s="51"/>
      <c r="V410" s="2119"/>
      <c r="W410" s="43"/>
      <c r="X410" s="43"/>
      <c r="Y410" s="43"/>
      <c r="Z410" s="43"/>
    </row>
    <row r="411" spans="1:26">
      <c r="A411" s="88">
        <v>6042</v>
      </c>
      <c r="B411" s="1033" t="s">
        <v>349</v>
      </c>
      <c r="C411" s="1033"/>
      <c r="D411" s="1033"/>
      <c r="E411" s="1033"/>
      <c r="F411" s="1033"/>
      <c r="G411" s="1033"/>
      <c r="H411" s="1033"/>
      <c r="I411" s="1033"/>
      <c r="J411" s="1033"/>
      <c r="K411" s="1033"/>
      <c r="L411" s="90"/>
      <c r="M411" s="51"/>
      <c r="N411" s="113">
        <f t="shared" si="46"/>
        <v>6042</v>
      </c>
      <c r="O411" s="8">
        <v>0</v>
      </c>
      <c r="P411" s="9">
        <v>0</v>
      </c>
      <c r="Q411" s="122">
        <v>0</v>
      </c>
      <c r="R411" s="121">
        <v>0</v>
      </c>
      <c r="S411" s="27">
        <f t="shared" si="47"/>
        <v>0</v>
      </c>
      <c r="T411" s="28">
        <f>+IF(ABS(+O411+Q411)&lt;=ABS(P411+R411),-O411+P411-Q411+R411,0)</f>
        <v>0</v>
      </c>
      <c r="U411" s="51"/>
      <c r="V411" s="2119"/>
      <c r="W411" s="43"/>
      <c r="X411" s="43"/>
      <c r="Y411" s="43"/>
      <c r="Z411" s="43"/>
    </row>
    <row r="412" spans="1:26">
      <c r="A412" s="88">
        <v>6043</v>
      </c>
      <c r="B412" s="1033" t="s">
        <v>350</v>
      </c>
      <c r="C412" s="1033"/>
      <c r="D412" s="1033"/>
      <c r="E412" s="1033"/>
      <c r="F412" s="1033"/>
      <c r="G412" s="1033"/>
      <c r="H412" s="1033"/>
      <c r="I412" s="1033"/>
      <c r="J412" s="1033"/>
      <c r="K412" s="1033"/>
      <c r="L412" s="90"/>
      <c r="M412" s="51"/>
      <c r="N412" s="113">
        <f t="shared" si="46"/>
        <v>6043</v>
      </c>
      <c r="O412" s="575">
        <v>0</v>
      </c>
      <c r="P412" s="582">
        <v>0</v>
      </c>
      <c r="Q412" s="122">
        <v>0</v>
      </c>
      <c r="R412" s="121">
        <v>0</v>
      </c>
      <c r="S412" s="583">
        <f t="shared" si="47"/>
        <v>0</v>
      </c>
      <c r="T412" s="580">
        <f>+IF(ABS(+O412+Q412)&lt;=ABS(P412+R412),-O412+P412-Q412+R412,0)</f>
        <v>0</v>
      </c>
      <c r="U412" s="51"/>
      <c r="V412" s="2119"/>
      <c r="W412" s="43"/>
      <c r="X412" s="43"/>
      <c r="Y412" s="43"/>
      <c r="Z412" s="43"/>
    </row>
    <row r="413" spans="1:26">
      <c r="A413" s="88">
        <v>6044</v>
      </c>
      <c r="B413" s="1033" t="s">
        <v>351</v>
      </c>
      <c r="C413" s="1033"/>
      <c r="D413" s="1033"/>
      <c r="E413" s="1033"/>
      <c r="F413" s="1033"/>
      <c r="G413" s="1033"/>
      <c r="H413" s="1033"/>
      <c r="I413" s="1033"/>
      <c r="J413" s="1033"/>
      <c r="K413" s="1033"/>
      <c r="L413" s="90"/>
      <c r="M413" s="51"/>
      <c r="N413" s="113">
        <f t="shared" si="46"/>
        <v>6044</v>
      </c>
      <c r="O413" s="575">
        <v>0</v>
      </c>
      <c r="P413" s="582">
        <v>0</v>
      </c>
      <c r="Q413" s="122">
        <v>0</v>
      </c>
      <c r="R413" s="121">
        <v>0</v>
      </c>
      <c r="S413" s="583">
        <f t="shared" si="47"/>
        <v>0</v>
      </c>
      <c r="T413" s="580">
        <f>+IF(ABS(+O413+Q413)&lt;=ABS(P413+R413),-O413+P413-Q413+R413,0)</f>
        <v>0</v>
      </c>
      <c r="U413" s="51"/>
      <c r="V413" s="2119"/>
      <c r="W413" s="43"/>
      <c r="X413" s="43"/>
      <c r="Y413" s="43"/>
      <c r="Z413" s="43"/>
    </row>
    <row r="414" spans="1:26">
      <c r="A414" s="88">
        <v>6046</v>
      </c>
      <c r="B414" s="1033" t="s">
        <v>352</v>
      </c>
      <c r="C414" s="1033"/>
      <c r="D414" s="1033"/>
      <c r="E414" s="1033"/>
      <c r="F414" s="1033"/>
      <c r="G414" s="1033"/>
      <c r="H414" s="1033"/>
      <c r="I414" s="1033"/>
      <c r="J414" s="1033"/>
      <c r="K414" s="1033"/>
      <c r="L414" s="90"/>
      <c r="M414" s="51"/>
      <c r="N414" s="113">
        <f t="shared" si="46"/>
        <v>6046</v>
      </c>
      <c r="O414" s="575">
        <v>0</v>
      </c>
      <c r="P414" s="582">
        <v>0</v>
      </c>
      <c r="Q414" s="122"/>
      <c r="R414" s="121"/>
      <c r="S414" s="583">
        <f t="shared" si="47"/>
        <v>0</v>
      </c>
      <c r="T414" s="580">
        <f>+IF(ABS(+O414+Q414)&lt;=ABS(P414+R414),-O414+P414-Q414+R414,0)</f>
        <v>0</v>
      </c>
      <c r="U414" s="51"/>
      <c r="V414" s="2119"/>
      <c r="W414" s="43"/>
      <c r="X414" s="43"/>
      <c r="Y414" s="43"/>
      <c r="Z414" s="43"/>
    </row>
    <row r="415" spans="1:26">
      <c r="A415" s="88">
        <v>6047</v>
      </c>
      <c r="B415" s="1032" t="s">
        <v>353</v>
      </c>
      <c r="C415" s="1033"/>
      <c r="D415" s="1033"/>
      <c r="E415" s="1033"/>
      <c r="F415" s="1033"/>
      <c r="G415" s="1033"/>
      <c r="H415" s="1033"/>
      <c r="I415" s="1033"/>
      <c r="J415" s="1033"/>
      <c r="K415" s="1033"/>
      <c r="L415" s="90"/>
      <c r="M415" s="51"/>
      <c r="N415" s="113">
        <f t="shared" si="46"/>
        <v>6047</v>
      </c>
      <c r="O415" s="575">
        <v>0</v>
      </c>
      <c r="P415" s="582">
        <v>0</v>
      </c>
      <c r="Q415" s="122">
        <v>0</v>
      </c>
      <c r="R415" s="576">
        <v>0</v>
      </c>
      <c r="S415" s="583">
        <f t="shared" si="47"/>
        <v>0</v>
      </c>
      <c r="T415" s="584">
        <v>0</v>
      </c>
      <c r="U415" s="51"/>
      <c r="V415" s="2120">
        <f>+IF(OR(ROUND(P415,2)+ROUND(R415,2)&gt;+ROUND(O415,2)+ROUND(Q415,2),+ABS(ROUND(P415,2)+ROUND(R415,2))&gt;+ABS(ROUND(O415,2)+ROUND(Q415,2))),+(ROUND(P415,2)+ROUND(R415,2))-(ROUND(O415,2)+ROUND(Q415,2)),0)</f>
        <v>0</v>
      </c>
      <c r="W415" s="43"/>
      <c r="X415" s="43"/>
      <c r="Y415" s="43"/>
      <c r="Z415" s="43"/>
    </row>
    <row r="416" spans="1:26">
      <c r="A416" s="88">
        <v>6048</v>
      </c>
      <c r="B416" s="1032" t="s">
        <v>354</v>
      </c>
      <c r="C416" s="1033"/>
      <c r="D416" s="1033"/>
      <c r="E416" s="1033"/>
      <c r="F416" s="1033"/>
      <c r="G416" s="1033"/>
      <c r="H416" s="1033"/>
      <c r="I416" s="1033"/>
      <c r="J416" s="1033"/>
      <c r="K416" s="1033"/>
      <c r="L416" s="90"/>
      <c r="M416" s="51"/>
      <c r="N416" s="113">
        <f t="shared" si="46"/>
        <v>6048</v>
      </c>
      <c r="O416" s="575">
        <v>0</v>
      </c>
      <c r="P416" s="582">
        <v>0</v>
      </c>
      <c r="Q416" s="589">
        <v>0</v>
      </c>
      <c r="R416" s="121">
        <v>0</v>
      </c>
      <c r="S416" s="579">
        <v>0</v>
      </c>
      <c r="T416" s="580">
        <f t="shared" ref="T416:T479" si="50">+IF(ABS(+O416+Q416)&lt;=ABS(P416+R416),-O416+P416-Q416+R416,0)</f>
        <v>0</v>
      </c>
      <c r="U416" s="51"/>
      <c r="V416" s="2119">
        <f>+IF(OR(+ROUND(O416,2)+ROUND(Q416,2)&gt;ROUND(P416,2)+ROUND(R416,2),+ABS(ROUND(O416,2)+ROUND(Q416,2))&gt;+ABS(ROUND(P416,2)+ROUND(R416,2))),+(ROUND(O416,2)+ROUND(Q416,2))-(ROUND(P416,2)+ROUND(R416,2)),0)</f>
        <v>0</v>
      </c>
      <c r="W416" s="43"/>
      <c r="X416" s="43"/>
      <c r="Y416" s="43"/>
      <c r="Z416" s="43"/>
    </row>
    <row r="417" spans="1:26">
      <c r="A417" s="88">
        <v>6049</v>
      </c>
      <c r="B417" s="1035" t="s">
        <v>433</v>
      </c>
      <c r="C417" s="1033"/>
      <c r="D417" s="1033"/>
      <c r="E417" s="1033"/>
      <c r="F417" s="1033"/>
      <c r="G417" s="1033"/>
      <c r="H417" s="1033"/>
      <c r="I417" s="1033"/>
      <c r="J417" s="1033"/>
      <c r="K417" s="1033"/>
      <c r="L417" s="90"/>
      <c r="M417" s="51"/>
      <c r="N417" s="113">
        <f t="shared" si="46"/>
        <v>6049</v>
      </c>
      <c r="O417" s="575">
        <v>0</v>
      </c>
      <c r="P417" s="582">
        <v>0</v>
      </c>
      <c r="Q417" s="589">
        <v>0</v>
      </c>
      <c r="R417" s="576">
        <v>0</v>
      </c>
      <c r="S417" s="583">
        <f t="shared" ref="S417:S480" si="51">+IF(ABS(+O417+Q417)&gt;=ABS(P417+R417),+O417-P417+Q417-R417,0)</f>
        <v>0</v>
      </c>
      <c r="T417" s="580">
        <f t="shared" si="50"/>
        <v>0</v>
      </c>
      <c r="U417" s="51"/>
      <c r="V417" s="2119"/>
      <c r="W417" s="43"/>
      <c r="X417" s="43"/>
      <c r="Y417" s="43"/>
      <c r="Z417" s="43"/>
    </row>
    <row r="418" spans="1:26">
      <c r="A418" s="88">
        <v>6051</v>
      </c>
      <c r="B418" s="1033" t="s">
        <v>434</v>
      </c>
      <c r="C418" s="1033"/>
      <c r="D418" s="1033"/>
      <c r="E418" s="1033"/>
      <c r="F418" s="1033"/>
      <c r="G418" s="1033"/>
      <c r="H418" s="1033"/>
      <c r="I418" s="1033"/>
      <c r="J418" s="1033"/>
      <c r="K418" s="1033"/>
      <c r="L418" s="90"/>
      <c r="M418" s="51"/>
      <c r="N418" s="113">
        <f t="shared" si="46"/>
        <v>6051</v>
      </c>
      <c r="O418" s="575">
        <v>0</v>
      </c>
      <c r="P418" s="582">
        <v>0</v>
      </c>
      <c r="Q418" s="589">
        <v>0</v>
      </c>
      <c r="R418" s="576">
        <v>0</v>
      </c>
      <c r="S418" s="583">
        <f t="shared" si="51"/>
        <v>0</v>
      </c>
      <c r="T418" s="580">
        <f t="shared" si="50"/>
        <v>0</v>
      </c>
      <c r="U418" s="51"/>
      <c r="V418" s="2119"/>
      <c r="W418" s="43"/>
      <c r="X418" s="43"/>
      <c r="Y418" s="43"/>
      <c r="Z418" s="43"/>
    </row>
    <row r="419" spans="1:26">
      <c r="A419" s="88">
        <v>6052</v>
      </c>
      <c r="B419" s="1033" t="s">
        <v>435</v>
      </c>
      <c r="C419" s="1033"/>
      <c r="D419" s="1033"/>
      <c r="E419" s="1033"/>
      <c r="F419" s="1033"/>
      <c r="G419" s="1033"/>
      <c r="H419" s="1033"/>
      <c r="I419" s="1033"/>
      <c r="J419" s="1033"/>
      <c r="K419" s="1033"/>
      <c r="L419" s="90"/>
      <c r="M419" s="51"/>
      <c r="N419" s="113">
        <f t="shared" si="46"/>
        <v>6052</v>
      </c>
      <c r="O419" s="575">
        <v>0</v>
      </c>
      <c r="P419" s="582">
        <v>0</v>
      </c>
      <c r="Q419" s="589">
        <v>0</v>
      </c>
      <c r="R419" s="576">
        <v>0</v>
      </c>
      <c r="S419" s="583">
        <f t="shared" si="51"/>
        <v>0</v>
      </c>
      <c r="T419" s="580">
        <f t="shared" si="50"/>
        <v>0</v>
      </c>
      <c r="U419" s="51"/>
      <c r="V419" s="2119"/>
      <c r="W419" s="43"/>
      <c r="X419" s="43"/>
      <c r="Y419" s="43"/>
      <c r="Z419" s="43"/>
    </row>
    <row r="420" spans="1:26" ht="15.75" customHeight="1">
      <c r="A420" s="88">
        <v>6054</v>
      </c>
      <c r="B420" s="1033" t="s">
        <v>436</v>
      </c>
      <c r="C420" s="1033"/>
      <c r="D420" s="1033"/>
      <c r="E420" s="1033"/>
      <c r="F420" s="1033"/>
      <c r="G420" s="1033"/>
      <c r="H420" s="1033"/>
      <c r="I420" s="1033"/>
      <c r="J420" s="1033"/>
      <c r="K420" s="1033"/>
      <c r="L420" s="90"/>
      <c r="M420" s="51"/>
      <c r="N420" s="113">
        <f t="shared" si="46"/>
        <v>6054</v>
      </c>
      <c r="O420" s="575">
        <v>0</v>
      </c>
      <c r="P420" s="582">
        <v>0</v>
      </c>
      <c r="Q420" s="589"/>
      <c r="R420" s="576"/>
      <c r="S420" s="583">
        <f t="shared" si="51"/>
        <v>0</v>
      </c>
      <c r="T420" s="580">
        <f t="shared" si="50"/>
        <v>0</v>
      </c>
      <c r="U420" s="51"/>
      <c r="V420" s="2119"/>
      <c r="W420" s="43"/>
      <c r="X420" s="43"/>
      <c r="Y420" s="43"/>
      <c r="Z420" s="43"/>
    </row>
    <row r="421" spans="1:26">
      <c r="A421" s="88">
        <v>6055</v>
      </c>
      <c r="B421" s="1033" t="s">
        <v>437</v>
      </c>
      <c r="C421" s="1033"/>
      <c r="D421" s="1033"/>
      <c r="E421" s="1033"/>
      <c r="F421" s="1033"/>
      <c r="G421" s="1033"/>
      <c r="H421" s="1033"/>
      <c r="I421" s="1033"/>
      <c r="J421" s="1033"/>
      <c r="K421" s="1033"/>
      <c r="L421" s="90"/>
      <c r="M421" s="51"/>
      <c r="N421" s="113">
        <f t="shared" si="46"/>
        <v>6055</v>
      </c>
      <c r="O421" s="575">
        <v>0</v>
      </c>
      <c r="P421" s="582">
        <v>0</v>
      </c>
      <c r="Q421" s="589">
        <v>0</v>
      </c>
      <c r="R421" s="576">
        <v>0</v>
      </c>
      <c r="S421" s="583">
        <f t="shared" si="51"/>
        <v>0</v>
      </c>
      <c r="T421" s="580">
        <f t="shared" si="50"/>
        <v>0</v>
      </c>
      <c r="U421" s="51"/>
      <c r="V421" s="2119"/>
      <c r="W421" s="43"/>
      <c r="X421" s="43"/>
      <c r="Y421" s="43"/>
      <c r="Z421" s="43"/>
    </row>
    <row r="422" spans="1:26">
      <c r="A422" s="88">
        <v>6056</v>
      </c>
      <c r="B422" s="1033" t="s">
        <v>438</v>
      </c>
      <c r="C422" s="1033"/>
      <c r="D422" s="1033"/>
      <c r="E422" s="1033"/>
      <c r="F422" s="1033"/>
      <c r="G422" s="1033"/>
      <c r="H422" s="1033"/>
      <c r="I422" s="1033"/>
      <c r="J422" s="1033"/>
      <c r="K422" s="1033"/>
      <c r="L422" s="90"/>
      <c r="M422" s="51"/>
      <c r="N422" s="113">
        <f t="shared" si="46"/>
        <v>6056</v>
      </c>
      <c r="O422" s="575">
        <v>0</v>
      </c>
      <c r="P422" s="582">
        <v>0</v>
      </c>
      <c r="Q422" s="589"/>
      <c r="R422" s="576"/>
      <c r="S422" s="583">
        <f t="shared" si="51"/>
        <v>0</v>
      </c>
      <c r="T422" s="580">
        <f t="shared" si="50"/>
        <v>0</v>
      </c>
      <c r="U422" s="51"/>
      <c r="V422" s="2119"/>
      <c r="W422" s="43"/>
      <c r="X422" s="43"/>
      <c r="Y422" s="43"/>
      <c r="Z422" s="43"/>
    </row>
    <row r="423" spans="1:26">
      <c r="A423" s="88">
        <v>6058</v>
      </c>
      <c r="B423" s="1033" t="s">
        <v>439</v>
      </c>
      <c r="C423" s="1033"/>
      <c r="D423" s="1033"/>
      <c r="E423" s="1033"/>
      <c r="F423" s="1033"/>
      <c r="G423" s="1033"/>
      <c r="H423" s="1033"/>
      <c r="I423" s="1033"/>
      <c r="J423" s="1033"/>
      <c r="K423" s="1033"/>
      <c r="L423" s="90"/>
      <c r="M423" s="51"/>
      <c r="N423" s="113">
        <f t="shared" si="46"/>
        <v>6058</v>
      </c>
      <c r="O423" s="575">
        <v>0</v>
      </c>
      <c r="P423" s="582">
        <v>0</v>
      </c>
      <c r="Q423" s="589"/>
      <c r="R423" s="576"/>
      <c r="S423" s="583">
        <f t="shared" si="51"/>
        <v>0</v>
      </c>
      <c r="T423" s="580">
        <f t="shared" si="50"/>
        <v>0</v>
      </c>
      <c r="U423" s="51"/>
      <c r="V423" s="2119"/>
      <c r="W423" s="43"/>
      <c r="X423" s="43"/>
      <c r="Y423" s="43"/>
      <c r="Z423" s="43"/>
    </row>
    <row r="424" spans="1:26">
      <c r="A424" s="88">
        <v>6059</v>
      </c>
      <c r="B424" s="1033" t="s">
        <v>440</v>
      </c>
      <c r="C424" s="1033"/>
      <c r="D424" s="1033"/>
      <c r="E424" s="1033"/>
      <c r="F424" s="1033"/>
      <c r="G424" s="1033"/>
      <c r="H424" s="1033"/>
      <c r="I424" s="1033"/>
      <c r="J424" s="1033"/>
      <c r="K424" s="1033"/>
      <c r="L424" s="90"/>
      <c r="M424" s="51"/>
      <c r="N424" s="113">
        <f t="shared" si="46"/>
        <v>6059</v>
      </c>
      <c r="O424" s="575">
        <v>0</v>
      </c>
      <c r="P424" s="582">
        <v>0</v>
      </c>
      <c r="Q424" s="589">
        <v>0</v>
      </c>
      <c r="R424" s="576">
        <v>0</v>
      </c>
      <c r="S424" s="583">
        <f t="shared" si="51"/>
        <v>0</v>
      </c>
      <c r="T424" s="580">
        <f t="shared" si="50"/>
        <v>0</v>
      </c>
      <c r="U424" s="51"/>
      <c r="V424" s="2119"/>
      <c r="W424" s="43"/>
      <c r="X424" s="43"/>
      <c r="Y424" s="43"/>
      <c r="Z424" s="43"/>
    </row>
    <row r="425" spans="1:26">
      <c r="A425" s="88">
        <v>6061</v>
      </c>
      <c r="B425" s="1032" t="s">
        <v>441</v>
      </c>
      <c r="C425" s="1033"/>
      <c r="D425" s="1033"/>
      <c r="E425" s="1033"/>
      <c r="F425" s="1033"/>
      <c r="G425" s="1033"/>
      <c r="H425" s="1033"/>
      <c r="I425" s="1033"/>
      <c r="J425" s="1033"/>
      <c r="K425" s="1033"/>
      <c r="L425" s="90"/>
      <c r="M425" s="51"/>
      <c r="N425" s="113">
        <f t="shared" si="46"/>
        <v>6061</v>
      </c>
      <c r="O425" s="575">
        <v>0</v>
      </c>
      <c r="P425" s="582">
        <v>0</v>
      </c>
      <c r="Q425" s="589">
        <v>0</v>
      </c>
      <c r="R425" s="576">
        <v>0</v>
      </c>
      <c r="S425" s="583">
        <f t="shared" si="51"/>
        <v>0</v>
      </c>
      <c r="T425" s="580">
        <f t="shared" si="50"/>
        <v>0</v>
      </c>
      <c r="U425" s="51"/>
      <c r="V425" s="2119"/>
      <c r="W425" s="43"/>
      <c r="X425" s="43"/>
      <c r="Y425" s="43"/>
      <c r="Z425" s="43"/>
    </row>
    <row r="426" spans="1:26">
      <c r="A426" s="88">
        <v>6062</v>
      </c>
      <c r="B426" s="1032" t="s">
        <v>442</v>
      </c>
      <c r="C426" s="1033"/>
      <c r="D426" s="1033"/>
      <c r="E426" s="1033"/>
      <c r="F426" s="1033"/>
      <c r="G426" s="1033"/>
      <c r="H426" s="1033"/>
      <c r="I426" s="1033"/>
      <c r="J426" s="1033"/>
      <c r="K426" s="1033"/>
      <c r="L426" s="90"/>
      <c r="M426" s="51"/>
      <c r="N426" s="113">
        <f t="shared" si="46"/>
        <v>6062</v>
      </c>
      <c r="O426" s="575">
        <v>0</v>
      </c>
      <c r="P426" s="582">
        <v>0</v>
      </c>
      <c r="Q426" s="589">
        <v>0</v>
      </c>
      <c r="R426" s="576">
        <v>0</v>
      </c>
      <c r="S426" s="583">
        <f t="shared" si="51"/>
        <v>0</v>
      </c>
      <c r="T426" s="580">
        <f t="shared" si="50"/>
        <v>0</v>
      </c>
      <c r="U426" s="51"/>
      <c r="V426" s="2119"/>
      <c r="W426" s="43"/>
      <c r="X426" s="43"/>
      <c r="Y426" s="43"/>
      <c r="Z426" s="43"/>
    </row>
    <row r="427" spans="1:26">
      <c r="A427" s="88">
        <v>6063</v>
      </c>
      <c r="B427" s="1032" t="s">
        <v>443</v>
      </c>
      <c r="C427" s="1033"/>
      <c r="D427" s="1033"/>
      <c r="E427" s="1033"/>
      <c r="F427" s="1033"/>
      <c r="G427" s="1033"/>
      <c r="H427" s="1033"/>
      <c r="I427" s="1033"/>
      <c r="J427" s="1033"/>
      <c r="K427" s="1033"/>
      <c r="L427" s="90"/>
      <c r="M427" s="51"/>
      <c r="N427" s="113">
        <f t="shared" si="46"/>
        <v>6063</v>
      </c>
      <c r="O427" s="575">
        <v>0</v>
      </c>
      <c r="P427" s="582">
        <v>0</v>
      </c>
      <c r="Q427" s="589">
        <v>0</v>
      </c>
      <c r="R427" s="576">
        <v>0</v>
      </c>
      <c r="S427" s="583">
        <f t="shared" si="51"/>
        <v>0</v>
      </c>
      <c r="T427" s="580">
        <f t="shared" si="50"/>
        <v>0</v>
      </c>
      <c r="U427" s="51"/>
      <c r="V427" s="2119"/>
      <c r="W427" s="43"/>
      <c r="X427" s="43"/>
      <c r="Y427" s="43"/>
      <c r="Z427" s="43"/>
    </row>
    <row r="428" spans="1:26">
      <c r="A428" s="88">
        <v>6064</v>
      </c>
      <c r="B428" s="1032" t="s">
        <v>444</v>
      </c>
      <c r="C428" s="1033"/>
      <c r="D428" s="1033"/>
      <c r="E428" s="1033"/>
      <c r="F428" s="1033"/>
      <c r="G428" s="1033"/>
      <c r="H428" s="1033"/>
      <c r="I428" s="1033"/>
      <c r="J428" s="1033"/>
      <c r="K428" s="1033"/>
      <c r="L428" s="90"/>
      <c r="M428" s="51"/>
      <c r="N428" s="113">
        <f t="shared" si="46"/>
        <v>6064</v>
      </c>
      <c r="O428" s="575">
        <v>0</v>
      </c>
      <c r="P428" s="582">
        <v>0</v>
      </c>
      <c r="Q428" s="589">
        <v>0</v>
      </c>
      <c r="R428" s="576">
        <v>0</v>
      </c>
      <c r="S428" s="583">
        <f t="shared" si="51"/>
        <v>0</v>
      </c>
      <c r="T428" s="580">
        <f t="shared" si="50"/>
        <v>0</v>
      </c>
      <c r="U428" s="51"/>
      <c r="V428" s="2119"/>
      <c r="W428" s="43"/>
      <c r="X428" s="43"/>
      <c r="Y428" s="43"/>
      <c r="Z428" s="43"/>
    </row>
    <row r="429" spans="1:26">
      <c r="A429" s="88">
        <v>6065</v>
      </c>
      <c r="B429" s="1032" t="s">
        <v>445</v>
      </c>
      <c r="C429" s="1033"/>
      <c r="D429" s="1033"/>
      <c r="E429" s="1033"/>
      <c r="F429" s="1033"/>
      <c r="G429" s="1033"/>
      <c r="H429" s="1033"/>
      <c r="I429" s="1033"/>
      <c r="J429" s="1033"/>
      <c r="K429" s="1033"/>
      <c r="L429" s="90"/>
      <c r="M429" s="51"/>
      <c r="N429" s="113">
        <f t="shared" si="46"/>
        <v>6065</v>
      </c>
      <c r="O429" s="575">
        <v>0</v>
      </c>
      <c r="P429" s="582">
        <v>0</v>
      </c>
      <c r="Q429" s="589">
        <v>0</v>
      </c>
      <c r="R429" s="576">
        <v>0</v>
      </c>
      <c r="S429" s="583">
        <f t="shared" si="51"/>
        <v>0</v>
      </c>
      <c r="T429" s="580">
        <f t="shared" si="50"/>
        <v>0</v>
      </c>
      <c r="U429" s="51"/>
      <c r="V429" s="2119"/>
      <c r="W429" s="43"/>
      <c r="X429" s="43"/>
      <c r="Y429" s="43"/>
      <c r="Z429" s="43"/>
    </row>
    <row r="430" spans="1:26">
      <c r="A430" s="88">
        <v>6067</v>
      </c>
      <c r="B430" s="1032" t="s">
        <v>446</v>
      </c>
      <c r="C430" s="1033"/>
      <c r="D430" s="1033"/>
      <c r="E430" s="1033"/>
      <c r="F430" s="1033"/>
      <c r="G430" s="1033"/>
      <c r="H430" s="1033"/>
      <c r="I430" s="1033"/>
      <c r="J430" s="1033"/>
      <c r="K430" s="1033"/>
      <c r="L430" s="90"/>
      <c r="M430" s="51"/>
      <c r="N430" s="113">
        <f t="shared" si="46"/>
        <v>6067</v>
      </c>
      <c r="O430" s="575">
        <v>0</v>
      </c>
      <c r="P430" s="582">
        <v>0</v>
      </c>
      <c r="Q430" s="589"/>
      <c r="R430" s="576"/>
      <c r="S430" s="583">
        <f t="shared" si="51"/>
        <v>0</v>
      </c>
      <c r="T430" s="580">
        <f t="shared" si="50"/>
        <v>0</v>
      </c>
      <c r="U430" s="51"/>
      <c r="V430" s="2119"/>
      <c r="W430" s="43"/>
      <c r="X430" s="43"/>
      <c r="Y430" s="43"/>
      <c r="Z430" s="43"/>
    </row>
    <row r="431" spans="1:26">
      <c r="A431" s="88">
        <v>6068</v>
      </c>
      <c r="B431" s="1032" t="s">
        <v>447</v>
      </c>
      <c r="C431" s="1033"/>
      <c r="D431" s="1033"/>
      <c r="E431" s="1033"/>
      <c r="F431" s="1033"/>
      <c r="G431" s="1033"/>
      <c r="H431" s="1033"/>
      <c r="I431" s="1033"/>
      <c r="J431" s="1033"/>
      <c r="K431" s="1033"/>
      <c r="L431" s="90"/>
      <c r="M431" s="51"/>
      <c r="N431" s="113">
        <f t="shared" si="46"/>
        <v>6068</v>
      </c>
      <c r="O431" s="575">
        <v>0</v>
      </c>
      <c r="P431" s="582">
        <v>0</v>
      </c>
      <c r="Q431" s="589"/>
      <c r="R431" s="576"/>
      <c r="S431" s="583">
        <f t="shared" si="51"/>
        <v>0</v>
      </c>
      <c r="T431" s="580">
        <f t="shared" si="50"/>
        <v>0</v>
      </c>
      <c r="U431" s="51"/>
      <c r="V431" s="2119"/>
      <c r="W431" s="43"/>
      <c r="X431" s="43"/>
      <c r="Y431" s="43"/>
      <c r="Z431" s="43"/>
    </row>
    <row r="432" spans="1:26">
      <c r="A432" s="88">
        <v>6069</v>
      </c>
      <c r="B432" s="1032" t="s">
        <v>448</v>
      </c>
      <c r="C432" s="1033"/>
      <c r="D432" s="1033"/>
      <c r="E432" s="1033"/>
      <c r="F432" s="1033"/>
      <c r="G432" s="1033"/>
      <c r="H432" s="1033"/>
      <c r="I432" s="1033"/>
      <c r="J432" s="1033"/>
      <c r="K432" s="1033"/>
      <c r="L432" s="90"/>
      <c r="M432" s="51"/>
      <c r="N432" s="113">
        <f t="shared" si="46"/>
        <v>6069</v>
      </c>
      <c r="O432" s="575">
        <v>0</v>
      </c>
      <c r="P432" s="582">
        <v>0</v>
      </c>
      <c r="Q432" s="589"/>
      <c r="R432" s="576"/>
      <c r="S432" s="583">
        <f t="shared" si="51"/>
        <v>0</v>
      </c>
      <c r="T432" s="580">
        <f t="shared" si="50"/>
        <v>0</v>
      </c>
      <c r="U432" s="51"/>
      <c r="V432" s="2119"/>
      <c r="W432" s="43"/>
      <c r="X432" s="43"/>
      <c r="Y432" s="43"/>
      <c r="Z432" s="43"/>
    </row>
    <row r="433" spans="1:26">
      <c r="A433" s="88">
        <v>6071</v>
      </c>
      <c r="B433" s="1032" t="s">
        <v>449</v>
      </c>
      <c r="C433" s="1033"/>
      <c r="D433" s="1033"/>
      <c r="E433" s="1033"/>
      <c r="F433" s="1033"/>
      <c r="G433" s="1033"/>
      <c r="H433" s="1033"/>
      <c r="I433" s="1033"/>
      <c r="J433" s="1033"/>
      <c r="K433" s="1033"/>
      <c r="L433" s="90"/>
      <c r="M433" s="51"/>
      <c r="N433" s="113">
        <f t="shared" si="46"/>
        <v>6071</v>
      </c>
      <c r="O433" s="575">
        <v>0</v>
      </c>
      <c r="P433" s="582">
        <v>0</v>
      </c>
      <c r="Q433" s="589">
        <v>0</v>
      </c>
      <c r="R433" s="576">
        <v>0</v>
      </c>
      <c r="S433" s="583">
        <f t="shared" si="51"/>
        <v>0</v>
      </c>
      <c r="T433" s="580">
        <f t="shared" si="50"/>
        <v>0</v>
      </c>
      <c r="U433" s="51"/>
      <c r="V433" s="2119"/>
      <c r="W433" s="43"/>
      <c r="X433" s="43"/>
      <c r="Y433" s="43"/>
      <c r="Z433" s="43"/>
    </row>
    <row r="434" spans="1:26">
      <c r="A434" s="88">
        <v>6072</v>
      </c>
      <c r="B434" s="1032" t="s">
        <v>450</v>
      </c>
      <c r="C434" s="1033"/>
      <c r="D434" s="1033"/>
      <c r="E434" s="1033"/>
      <c r="F434" s="1033"/>
      <c r="G434" s="1033"/>
      <c r="H434" s="1033"/>
      <c r="I434" s="1033"/>
      <c r="J434" s="1033"/>
      <c r="K434" s="1033"/>
      <c r="L434" s="90"/>
      <c r="M434" s="51"/>
      <c r="N434" s="113">
        <f t="shared" si="46"/>
        <v>6072</v>
      </c>
      <c r="O434" s="575">
        <v>0</v>
      </c>
      <c r="P434" s="582">
        <v>0</v>
      </c>
      <c r="Q434" s="589"/>
      <c r="R434" s="576"/>
      <c r="S434" s="583">
        <f t="shared" si="51"/>
        <v>0</v>
      </c>
      <c r="T434" s="580">
        <f t="shared" si="50"/>
        <v>0</v>
      </c>
      <c r="U434" s="51"/>
      <c r="V434" s="2119"/>
      <c r="W434" s="43"/>
      <c r="X434" s="43"/>
      <c r="Y434" s="43"/>
      <c r="Z434" s="43"/>
    </row>
    <row r="435" spans="1:26">
      <c r="A435" s="88">
        <v>6073</v>
      </c>
      <c r="B435" s="1032" t="s">
        <v>451</v>
      </c>
      <c r="C435" s="1033"/>
      <c r="D435" s="1033"/>
      <c r="E435" s="1033"/>
      <c r="F435" s="1033"/>
      <c r="G435" s="1033"/>
      <c r="H435" s="1033"/>
      <c r="I435" s="1033"/>
      <c r="J435" s="1033"/>
      <c r="K435" s="1033"/>
      <c r="L435" s="90"/>
      <c r="M435" s="51"/>
      <c r="N435" s="113">
        <f t="shared" si="46"/>
        <v>6073</v>
      </c>
      <c r="O435" s="575">
        <v>0</v>
      </c>
      <c r="P435" s="582">
        <v>0</v>
      </c>
      <c r="Q435" s="589">
        <v>0</v>
      </c>
      <c r="R435" s="576">
        <v>0</v>
      </c>
      <c r="S435" s="583">
        <f t="shared" si="51"/>
        <v>0</v>
      </c>
      <c r="T435" s="580">
        <f t="shared" si="50"/>
        <v>0</v>
      </c>
      <c r="U435" s="51"/>
      <c r="V435" s="2119"/>
      <c r="W435" s="43"/>
      <c r="X435" s="43"/>
      <c r="Y435" s="43"/>
      <c r="Z435" s="43"/>
    </row>
    <row r="436" spans="1:26">
      <c r="A436" s="88">
        <v>6074</v>
      </c>
      <c r="B436" s="1032" t="s">
        <v>452</v>
      </c>
      <c r="C436" s="1033"/>
      <c r="D436" s="1033"/>
      <c r="E436" s="1033"/>
      <c r="F436" s="1033"/>
      <c r="G436" s="1033"/>
      <c r="H436" s="1033"/>
      <c r="I436" s="1033"/>
      <c r="J436" s="1033"/>
      <c r="K436" s="1033"/>
      <c r="L436" s="90"/>
      <c r="M436" s="51"/>
      <c r="N436" s="113">
        <f t="shared" si="46"/>
        <v>6074</v>
      </c>
      <c r="O436" s="575">
        <v>0</v>
      </c>
      <c r="P436" s="582">
        <v>0</v>
      </c>
      <c r="Q436" s="589"/>
      <c r="R436" s="576"/>
      <c r="S436" s="583">
        <f t="shared" si="51"/>
        <v>0</v>
      </c>
      <c r="T436" s="580">
        <f t="shared" si="50"/>
        <v>0</v>
      </c>
      <c r="U436" s="51"/>
      <c r="V436" s="2119"/>
      <c r="W436" s="43"/>
      <c r="X436" s="43"/>
      <c r="Y436" s="43"/>
      <c r="Z436" s="43"/>
    </row>
    <row r="437" spans="1:26">
      <c r="A437" s="88">
        <v>6075</v>
      </c>
      <c r="B437" s="1032" t="s">
        <v>453</v>
      </c>
      <c r="C437" s="1033"/>
      <c r="D437" s="1033"/>
      <c r="E437" s="1033"/>
      <c r="F437" s="1033"/>
      <c r="G437" s="1033"/>
      <c r="H437" s="1033"/>
      <c r="I437" s="1033"/>
      <c r="J437" s="1033"/>
      <c r="K437" s="1033"/>
      <c r="L437" s="90"/>
      <c r="M437" s="51"/>
      <c r="N437" s="113">
        <f t="shared" si="46"/>
        <v>6075</v>
      </c>
      <c r="O437" s="575">
        <v>0</v>
      </c>
      <c r="P437" s="582">
        <v>0</v>
      </c>
      <c r="Q437" s="589">
        <v>0</v>
      </c>
      <c r="R437" s="576">
        <v>0</v>
      </c>
      <c r="S437" s="583">
        <f t="shared" si="51"/>
        <v>0</v>
      </c>
      <c r="T437" s="580">
        <f t="shared" si="50"/>
        <v>0</v>
      </c>
      <c r="U437" s="51"/>
      <c r="V437" s="2119"/>
      <c r="W437" s="43"/>
      <c r="X437" s="43"/>
      <c r="Y437" s="43"/>
      <c r="Z437" s="43"/>
    </row>
    <row r="438" spans="1:26">
      <c r="A438" s="88">
        <v>6076</v>
      </c>
      <c r="B438" s="1032" t="s">
        <v>454</v>
      </c>
      <c r="C438" s="1033"/>
      <c r="D438" s="1033"/>
      <c r="E438" s="1033"/>
      <c r="F438" s="1033"/>
      <c r="G438" s="1033"/>
      <c r="H438" s="1033"/>
      <c r="I438" s="1033"/>
      <c r="J438" s="1033"/>
      <c r="K438" s="1033"/>
      <c r="L438" s="90"/>
      <c r="M438" s="51"/>
      <c r="N438" s="113">
        <f t="shared" si="46"/>
        <v>6076</v>
      </c>
      <c r="O438" s="575">
        <v>0</v>
      </c>
      <c r="P438" s="582">
        <v>0</v>
      </c>
      <c r="Q438" s="589">
        <v>0</v>
      </c>
      <c r="R438" s="576">
        <v>0</v>
      </c>
      <c r="S438" s="583">
        <f t="shared" si="51"/>
        <v>0</v>
      </c>
      <c r="T438" s="580">
        <f t="shared" si="50"/>
        <v>0</v>
      </c>
      <c r="U438" s="51"/>
      <c r="V438" s="2119"/>
      <c r="W438" s="43"/>
      <c r="X438" s="43"/>
      <c r="Y438" s="43"/>
      <c r="Z438" s="43"/>
    </row>
    <row r="439" spans="1:26">
      <c r="A439" s="88">
        <v>6077</v>
      </c>
      <c r="B439" s="1032" t="s">
        <v>455</v>
      </c>
      <c r="C439" s="1033"/>
      <c r="D439" s="1033"/>
      <c r="E439" s="1033"/>
      <c r="F439" s="1033"/>
      <c r="G439" s="1033"/>
      <c r="H439" s="1033"/>
      <c r="I439" s="1033"/>
      <c r="J439" s="1033"/>
      <c r="K439" s="1033"/>
      <c r="L439" s="90"/>
      <c r="M439" s="51"/>
      <c r="N439" s="113">
        <f t="shared" si="46"/>
        <v>6077</v>
      </c>
      <c r="O439" s="575">
        <v>0</v>
      </c>
      <c r="P439" s="582">
        <v>0</v>
      </c>
      <c r="Q439" s="589">
        <v>0</v>
      </c>
      <c r="R439" s="576">
        <v>0</v>
      </c>
      <c r="S439" s="583">
        <f t="shared" si="51"/>
        <v>0</v>
      </c>
      <c r="T439" s="580">
        <f t="shared" si="50"/>
        <v>0</v>
      </c>
      <c r="U439" s="51"/>
      <c r="V439" s="2119"/>
      <c r="W439" s="43"/>
      <c r="X439" s="43"/>
      <c r="Y439" s="43"/>
      <c r="Z439" s="43"/>
    </row>
    <row r="440" spans="1:26">
      <c r="A440" s="88">
        <v>6078</v>
      </c>
      <c r="B440" s="1032" t="s">
        <v>456</v>
      </c>
      <c r="C440" s="1033"/>
      <c r="D440" s="1033"/>
      <c r="E440" s="1033"/>
      <c r="F440" s="1033"/>
      <c r="G440" s="1033"/>
      <c r="H440" s="1033"/>
      <c r="I440" s="1033"/>
      <c r="J440" s="1033"/>
      <c r="K440" s="1033"/>
      <c r="L440" s="90"/>
      <c r="M440" s="51"/>
      <c r="N440" s="113">
        <f t="shared" si="46"/>
        <v>6078</v>
      </c>
      <c r="O440" s="575">
        <v>0</v>
      </c>
      <c r="P440" s="582">
        <v>0</v>
      </c>
      <c r="Q440" s="589"/>
      <c r="R440" s="576"/>
      <c r="S440" s="583">
        <f t="shared" si="51"/>
        <v>0</v>
      </c>
      <c r="T440" s="580">
        <f t="shared" si="50"/>
        <v>0</v>
      </c>
      <c r="U440" s="51"/>
      <c r="V440" s="2119"/>
      <c r="W440" s="43"/>
      <c r="X440" s="43"/>
      <c r="Y440" s="43"/>
      <c r="Z440" s="43"/>
    </row>
    <row r="441" spans="1:26">
      <c r="A441" s="88">
        <v>6079</v>
      </c>
      <c r="B441" s="1032" t="s">
        <v>457</v>
      </c>
      <c r="C441" s="1033"/>
      <c r="D441" s="1033"/>
      <c r="E441" s="1033"/>
      <c r="F441" s="1033"/>
      <c r="G441" s="1033"/>
      <c r="H441" s="1033"/>
      <c r="I441" s="1033"/>
      <c r="J441" s="1033"/>
      <c r="K441" s="1033"/>
      <c r="L441" s="90"/>
      <c r="M441" s="51"/>
      <c r="N441" s="113">
        <f t="shared" si="46"/>
        <v>6079</v>
      </c>
      <c r="O441" s="575">
        <v>0</v>
      </c>
      <c r="P441" s="582">
        <v>0</v>
      </c>
      <c r="Q441" s="589">
        <v>0</v>
      </c>
      <c r="R441" s="576">
        <v>0</v>
      </c>
      <c r="S441" s="583">
        <f t="shared" si="51"/>
        <v>0</v>
      </c>
      <c r="T441" s="580">
        <f t="shared" si="50"/>
        <v>0</v>
      </c>
      <c r="U441" s="51"/>
      <c r="V441" s="2119"/>
      <c r="W441" s="43"/>
      <c r="X441" s="43"/>
      <c r="Y441" s="43"/>
      <c r="Z441" s="43"/>
    </row>
    <row r="442" spans="1:26" ht="15.75" customHeight="1">
      <c r="A442" s="88">
        <v>6080</v>
      </c>
      <c r="B442" s="1032" t="s">
        <v>458</v>
      </c>
      <c r="C442" s="1033"/>
      <c r="D442" s="1033"/>
      <c r="E442" s="1033"/>
      <c r="F442" s="1033"/>
      <c r="G442" s="1033"/>
      <c r="H442" s="1033"/>
      <c r="I442" s="1033"/>
      <c r="J442" s="1033"/>
      <c r="K442" s="1033"/>
      <c r="L442" s="90"/>
      <c r="M442" s="51"/>
      <c r="N442" s="113">
        <f t="shared" si="46"/>
        <v>6080</v>
      </c>
      <c r="O442" s="575">
        <v>0</v>
      </c>
      <c r="P442" s="582">
        <v>0</v>
      </c>
      <c r="Q442" s="589"/>
      <c r="R442" s="576"/>
      <c r="S442" s="583">
        <f t="shared" si="51"/>
        <v>0</v>
      </c>
      <c r="T442" s="580">
        <f t="shared" si="50"/>
        <v>0</v>
      </c>
      <c r="U442" s="51"/>
      <c r="V442" s="2119"/>
      <c r="W442" s="43"/>
      <c r="X442" s="43"/>
      <c r="Y442" s="43"/>
      <c r="Z442" s="43"/>
    </row>
    <row r="443" spans="1:26" ht="15.75" customHeight="1">
      <c r="A443" s="88">
        <v>6081</v>
      </c>
      <c r="B443" s="1032" t="s">
        <v>459</v>
      </c>
      <c r="C443" s="1033"/>
      <c r="D443" s="1033"/>
      <c r="E443" s="1033"/>
      <c r="F443" s="1033"/>
      <c r="G443" s="1033"/>
      <c r="H443" s="1033"/>
      <c r="I443" s="1033"/>
      <c r="J443" s="1033"/>
      <c r="K443" s="1033"/>
      <c r="L443" s="90"/>
      <c r="M443" s="51"/>
      <c r="N443" s="113">
        <f t="shared" si="46"/>
        <v>6081</v>
      </c>
      <c r="O443" s="575">
        <v>0</v>
      </c>
      <c r="P443" s="582">
        <v>0</v>
      </c>
      <c r="Q443" s="589"/>
      <c r="R443" s="576"/>
      <c r="S443" s="583">
        <f t="shared" si="51"/>
        <v>0</v>
      </c>
      <c r="T443" s="580">
        <f t="shared" si="50"/>
        <v>0</v>
      </c>
      <c r="U443" s="51"/>
      <c r="V443" s="2119"/>
      <c r="W443" s="43"/>
      <c r="X443" s="43"/>
      <c r="Y443" s="43"/>
      <c r="Z443" s="43"/>
    </row>
    <row r="444" spans="1:26">
      <c r="A444" s="88">
        <v>6082</v>
      </c>
      <c r="B444" s="1033" t="s">
        <v>460</v>
      </c>
      <c r="C444" s="1033"/>
      <c r="D444" s="1033"/>
      <c r="E444" s="1033"/>
      <c r="F444" s="1033"/>
      <c r="G444" s="1033"/>
      <c r="H444" s="1033"/>
      <c r="I444" s="1033"/>
      <c r="J444" s="1033"/>
      <c r="K444" s="1033"/>
      <c r="L444" s="90"/>
      <c r="M444" s="51"/>
      <c r="N444" s="113">
        <f t="shared" si="46"/>
        <v>6082</v>
      </c>
      <c r="O444" s="575">
        <v>0</v>
      </c>
      <c r="P444" s="582">
        <v>0</v>
      </c>
      <c r="Q444" s="589"/>
      <c r="R444" s="576"/>
      <c r="S444" s="583">
        <f t="shared" si="51"/>
        <v>0</v>
      </c>
      <c r="T444" s="580">
        <f t="shared" si="50"/>
        <v>0</v>
      </c>
      <c r="U444" s="51"/>
      <c r="V444" s="2119"/>
      <c r="W444" s="43"/>
      <c r="X444" s="43"/>
      <c r="Y444" s="43"/>
      <c r="Z444" s="43"/>
    </row>
    <row r="445" spans="1:26">
      <c r="A445" s="88">
        <v>6087</v>
      </c>
      <c r="B445" s="1033" t="s">
        <v>461</v>
      </c>
      <c r="C445" s="1033"/>
      <c r="D445" s="1033"/>
      <c r="E445" s="1033"/>
      <c r="F445" s="1033"/>
      <c r="G445" s="1033"/>
      <c r="H445" s="1033"/>
      <c r="I445" s="1033"/>
      <c r="J445" s="1033"/>
      <c r="K445" s="1033"/>
      <c r="L445" s="90"/>
      <c r="M445" s="51"/>
      <c r="N445" s="113">
        <f t="shared" si="46"/>
        <v>6087</v>
      </c>
      <c r="O445" s="575">
        <v>0</v>
      </c>
      <c r="P445" s="582">
        <v>0</v>
      </c>
      <c r="Q445" s="589"/>
      <c r="R445" s="576"/>
      <c r="S445" s="583">
        <f t="shared" si="51"/>
        <v>0</v>
      </c>
      <c r="T445" s="580">
        <f t="shared" si="50"/>
        <v>0</v>
      </c>
      <c r="U445" s="51"/>
      <c r="V445" s="2119"/>
      <c r="W445" s="43"/>
      <c r="X445" s="43"/>
      <c r="Y445" s="43"/>
      <c r="Z445" s="43"/>
    </row>
    <row r="446" spans="1:26">
      <c r="A446" s="88">
        <v>6089</v>
      </c>
      <c r="B446" s="1033" t="s">
        <v>462</v>
      </c>
      <c r="C446" s="1033"/>
      <c r="D446" s="1033"/>
      <c r="E446" s="1033"/>
      <c r="F446" s="1033"/>
      <c r="G446" s="1033"/>
      <c r="H446" s="1033"/>
      <c r="I446" s="1033"/>
      <c r="J446" s="1033"/>
      <c r="K446" s="1033"/>
      <c r="L446" s="90"/>
      <c r="M446" s="51"/>
      <c r="N446" s="113">
        <f t="shared" si="46"/>
        <v>6089</v>
      </c>
      <c r="O446" s="575">
        <v>0</v>
      </c>
      <c r="P446" s="582">
        <v>0</v>
      </c>
      <c r="Q446" s="589"/>
      <c r="R446" s="576"/>
      <c r="S446" s="583">
        <f t="shared" si="51"/>
        <v>0</v>
      </c>
      <c r="T446" s="580">
        <f t="shared" si="50"/>
        <v>0</v>
      </c>
      <c r="U446" s="51"/>
      <c r="V446" s="2119"/>
      <c r="W446" s="43"/>
      <c r="X446" s="43"/>
      <c r="Y446" s="43"/>
      <c r="Z446" s="43"/>
    </row>
    <row r="447" spans="1:26" ht="15.75" customHeight="1">
      <c r="A447" s="88">
        <v>6090</v>
      </c>
      <c r="B447" s="1032" t="s">
        <v>463</v>
      </c>
      <c r="C447" s="1033"/>
      <c r="D447" s="1033"/>
      <c r="E447" s="1033"/>
      <c r="F447" s="1033"/>
      <c r="G447" s="1033"/>
      <c r="H447" s="1033"/>
      <c r="I447" s="1033"/>
      <c r="J447" s="1033"/>
      <c r="K447" s="1033"/>
      <c r="L447" s="90"/>
      <c r="M447" s="51"/>
      <c r="N447" s="113">
        <f t="shared" si="46"/>
        <v>6090</v>
      </c>
      <c r="O447" s="575">
        <v>0</v>
      </c>
      <c r="P447" s="582">
        <v>0</v>
      </c>
      <c r="Q447" s="589"/>
      <c r="R447" s="576"/>
      <c r="S447" s="583">
        <f t="shared" si="51"/>
        <v>0</v>
      </c>
      <c r="T447" s="580">
        <f t="shared" si="50"/>
        <v>0</v>
      </c>
      <c r="U447" s="51"/>
      <c r="V447" s="2119"/>
      <c r="W447" s="43"/>
      <c r="X447" s="43"/>
      <c r="Y447" s="43"/>
      <c r="Z447" s="43"/>
    </row>
    <row r="448" spans="1:26">
      <c r="A448" s="88">
        <v>6091</v>
      </c>
      <c r="B448" s="1033" t="s">
        <v>464</v>
      </c>
      <c r="C448" s="1033"/>
      <c r="D448" s="1033"/>
      <c r="E448" s="1033"/>
      <c r="F448" s="1033"/>
      <c r="G448" s="1033"/>
      <c r="H448" s="1033"/>
      <c r="I448" s="1033"/>
      <c r="J448" s="1033"/>
      <c r="K448" s="1033"/>
      <c r="L448" s="90"/>
      <c r="M448" s="51"/>
      <c r="N448" s="113">
        <f t="shared" ref="N448:N511" si="52">+A448</f>
        <v>6091</v>
      </c>
      <c r="O448" s="575">
        <v>0</v>
      </c>
      <c r="P448" s="582">
        <v>0</v>
      </c>
      <c r="Q448" s="589">
        <v>0</v>
      </c>
      <c r="R448" s="576">
        <v>0</v>
      </c>
      <c r="S448" s="583">
        <f t="shared" si="51"/>
        <v>0</v>
      </c>
      <c r="T448" s="580">
        <f t="shared" si="50"/>
        <v>0</v>
      </c>
      <c r="U448" s="51"/>
      <c r="V448" s="2119"/>
      <c r="W448" s="43"/>
      <c r="X448" s="43"/>
      <c r="Y448" s="43"/>
      <c r="Z448" s="43"/>
    </row>
    <row r="449" spans="1:26" ht="15.75" customHeight="1">
      <c r="A449" s="88">
        <v>6092</v>
      </c>
      <c r="B449" s="1032" t="s">
        <v>465</v>
      </c>
      <c r="C449" s="1033"/>
      <c r="D449" s="1033"/>
      <c r="E449" s="1033"/>
      <c r="F449" s="1033"/>
      <c r="G449" s="1033"/>
      <c r="H449" s="1033"/>
      <c r="I449" s="1033"/>
      <c r="J449" s="1033"/>
      <c r="K449" s="1033"/>
      <c r="L449" s="90"/>
      <c r="M449" s="51"/>
      <c r="N449" s="113">
        <f t="shared" si="52"/>
        <v>6092</v>
      </c>
      <c r="O449" s="575">
        <v>0</v>
      </c>
      <c r="P449" s="582">
        <v>0</v>
      </c>
      <c r="Q449" s="589"/>
      <c r="R449" s="576"/>
      <c r="S449" s="583">
        <f t="shared" si="51"/>
        <v>0</v>
      </c>
      <c r="T449" s="580">
        <f t="shared" si="50"/>
        <v>0</v>
      </c>
      <c r="U449" s="51"/>
      <c r="V449" s="2119"/>
      <c r="W449" s="43"/>
      <c r="X449" s="43"/>
      <c r="Y449" s="43"/>
      <c r="Z449" s="43"/>
    </row>
    <row r="450" spans="1:26">
      <c r="A450" s="88">
        <v>6093</v>
      </c>
      <c r="B450" s="378" t="s">
        <v>466</v>
      </c>
      <c r="C450" s="1033"/>
      <c r="D450" s="1033"/>
      <c r="E450" s="1033"/>
      <c r="F450" s="1033"/>
      <c r="G450" s="1033"/>
      <c r="H450" s="1033"/>
      <c r="I450" s="1033"/>
      <c r="J450" s="1033"/>
      <c r="K450" s="1033"/>
      <c r="L450" s="90"/>
      <c r="M450" s="51"/>
      <c r="N450" s="113">
        <f t="shared" si="52"/>
        <v>6093</v>
      </c>
      <c r="O450" s="575">
        <v>0</v>
      </c>
      <c r="P450" s="582">
        <v>0</v>
      </c>
      <c r="Q450" s="589">
        <v>0</v>
      </c>
      <c r="R450" s="576">
        <v>0</v>
      </c>
      <c r="S450" s="583">
        <f t="shared" si="51"/>
        <v>0</v>
      </c>
      <c r="T450" s="580">
        <f t="shared" si="50"/>
        <v>0</v>
      </c>
      <c r="U450" s="51"/>
      <c r="V450" s="2119"/>
      <c r="W450" s="43"/>
      <c r="X450" s="43"/>
      <c r="Y450" s="43"/>
      <c r="Z450" s="43"/>
    </row>
    <row r="451" spans="1:26">
      <c r="A451" s="88">
        <v>6094</v>
      </c>
      <c r="B451" s="378" t="s">
        <v>467</v>
      </c>
      <c r="C451" s="1033"/>
      <c r="D451" s="1033"/>
      <c r="E451" s="1033"/>
      <c r="F451" s="1033"/>
      <c r="G451" s="1033"/>
      <c r="H451" s="1033"/>
      <c r="I451" s="1033"/>
      <c r="J451" s="1033"/>
      <c r="K451" s="1033"/>
      <c r="L451" s="90"/>
      <c r="M451" s="51"/>
      <c r="N451" s="113">
        <f t="shared" si="52"/>
        <v>6094</v>
      </c>
      <c r="O451" s="575">
        <v>0</v>
      </c>
      <c r="P451" s="582">
        <v>0</v>
      </c>
      <c r="Q451" s="589">
        <v>0</v>
      </c>
      <c r="R451" s="576">
        <v>0</v>
      </c>
      <c r="S451" s="583">
        <f t="shared" si="51"/>
        <v>0</v>
      </c>
      <c r="T451" s="580">
        <f t="shared" si="50"/>
        <v>0</v>
      </c>
      <c r="U451" s="51"/>
      <c r="V451" s="2119"/>
      <c r="W451" s="43"/>
      <c r="X451" s="43"/>
      <c r="Y451" s="43"/>
      <c r="Z451" s="43"/>
    </row>
    <row r="452" spans="1:26">
      <c r="A452" s="88">
        <v>6095</v>
      </c>
      <c r="B452" s="378" t="s">
        <v>468</v>
      </c>
      <c r="C452" s="1033"/>
      <c r="D452" s="1033"/>
      <c r="E452" s="1033"/>
      <c r="F452" s="1033"/>
      <c r="G452" s="1033"/>
      <c r="H452" s="1033"/>
      <c r="I452" s="1033"/>
      <c r="J452" s="1033"/>
      <c r="K452" s="1033"/>
      <c r="L452" s="90"/>
      <c r="M452" s="51"/>
      <c r="N452" s="113">
        <f t="shared" si="52"/>
        <v>6095</v>
      </c>
      <c r="O452" s="575">
        <v>0</v>
      </c>
      <c r="P452" s="582">
        <v>0</v>
      </c>
      <c r="Q452" s="589">
        <v>0</v>
      </c>
      <c r="R452" s="576">
        <v>0</v>
      </c>
      <c r="S452" s="583">
        <f t="shared" si="51"/>
        <v>0</v>
      </c>
      <c r="T452" s="580">
        <f t="shared" si="50"/>
        <v>0</v>
      </c>
      <c r="U452" s="51"/>
      <c r="V452" s="2119"/>
      <c r="W452" s="43"/>
      <c r="X452" s="43"/>
      <c r="Y452" s="43"/>
      <c r="Z452" s="43"/>
    </row>
    <row r="453" spans="1:26">
      <c r="A453" s="88">
        <v>6096</v>
      </c>
      <c r="B453" s="378" t="s">
        <v>469</v>
      </c>
      <c r="C453" s="1033"/>
      <c r="D453" s="1033"/>
      <c r="E453" s="1033"/>
      <c r="F453" s="1033"/>
      <c r="G453" s="1033"/>
      <c r="H453" s="1033"/>
      <c r="I453" s="1033"/>
      <c r="J453" s="1033"/>
      <c r="K453" s="1033"/>
      <c r="L453" s="90"/>
      <c r="M453" s="51"/>
      <c r="N453" s="113">
        <f t="shared" si="52"/>
        <v>6096</v>
      </c>
      <c r="O453" s="575">
        <v>0</v>
      </c>
      <c r="P453" s="582">
        <v>0</v>
      </c>
      <c r="Q453" s="589"/>
      <c r="R453" s="576"/>
      <c r="S453" s="583">
        <f t="shared" si="51"/>
        <v>0</v>
      </c>
      <c r="T453" s="580">
        <f t="shared" si="50"/>
        <v>0</v>
      </c>
      <c r="U453" s="51"/>
      <c r="V453" s="2119"/>
      <c r="W453" s="43"/>
      <c r="X453" s="43"/>
      <c r="Y453" s="43"/>
      <c r="Z453" s="43"/>
    </row>
    <row r="454" spans="1:26">
      <c r="A454" s="88">
        <v>6098</v>
      </c>
      <c r="B454" s="378" t="s">
        <v>470</v>
      </c>
      <c r="C454" s="1033"/>
      <c r="D454" s="1033"/>
      <c r="E454" s="1033"/>
      <c r="F454" s="1033"/>
      <c r="G454" s="1033"/>
      <c r="H454" s="1033"/>
      <c r="I454" s="1033"/>
      <c r="J454" s="1033"/>
      <c r="K454" s="1033"/>
      <c r="L454" s="90"/>
      <c r="M454" s="51"/>
      <c r="N454" s="113">
        <f t="shared" si="52"/>
        <v>6098</v>
      </c>
      <c r="O454" s="575">
        <v>0</v>
      </c>
      <c r="P454" s="582">
        <v>0</v>
      </c>
      <c r="Q454" s="589">
        <v>0</v>
      </c>
      <c r="R454" s="576">
        <v>0</v>
      </c>
      <c r="S454" s="583">
        <f t="shared" si="51"/>
        <v>0</v>
      </c>
      <c r="T454" s="580">
        <f t="shared" si="50"/>
        <v>0</v>
      </c>
      <c r="U454" s="51"/>
      <c r="V454" s="2119"/>
      <c r="W454" s="43"/>
      <c r="X454" s="43"/>
      <c r="Y454" s="43"/>
      <c r="Z454" s="43"/>
    </row>
    <row r="455" spans="1:26">
      <c r="A455" s="88">
        <v>6099</v>
      </c>
      <c r="B455" s="378" t="s">
        <v>471</v>
      </c>
      <c r="C455" s="1033"/>
      <c r="D455" s="1033"/>
      <c r="E455" s="1033"/>
      <c r="F455" s="1033"/>
      <c r="G455" s="1033"/>
      <c r="H455" s="1033"/>
      <c r="I455" s="1033"/>
      <c r="J455" s="1033"/>
      <c r="K455" s="1033"/>
      <c r="L455" s="90"/>
      <c r="M455" s="51"/>
      <c r="N455" s="113">
        <f t="shared" si="52"/>
        <v>6099</v>
      </c>
      <c r="O455" s="575">
        <v>0</v>
      </c>
      <c r="P455" s="582">
        <v>0</v>
      </c>
      <c r="Q455" s="589">
        <v>0</v>
      </c>
      <c r="R455" s="576">
        <v>0</v>
      </c>
      <c r="S455" s="583">
        <f t="shared" si="51"/>
        <v>0</v>
      </c>
      <c r="T455" s="580">
        <f t="shared" si="50"/>
        <v>0</v>
      </c>
      <c r="U455" s="51"/>
      <c r="V455" s="2119"/>
      <c r="W455" s="43"/>
      <c r="X455" s="43"/>
      <c r="Y455" s="43"/>
      <c r="Z455" s="43"/>
    </row>
    <row r="456" spans="1:26">
      <c r="A456" s="88">
        <v>6111</v>
      </c>
      <c r="B456" s="2296" t="s">
        <v>2148</v>
      </c>
      <c r="C456" s="1033"/>
      <c r="D456" s="1033"/>
      <c r="E456" s="1033"/>
      <c r="F456" s="1033"/>
      <c r="G456" s="1033"/>
      <c r="H456" s="1033"/>
      <c r="I456" s="1033"/>
      <c r="J456" s="1033"/>
      <c r="K456" s="1033"/>
      <c r="L456" s="90"/>
      <c r="M456" s="51"/>
      <c r="N456" s="113">
        <f t="shared" si="52"/>
        <v>6111</v>
      </c>
      <c r="O456" s="575">
        <v>0</v>
      </c>
      <c r="P456" s="582">
        <v>0</v>
      </c>
      <c r="Q456" s="589"/>
      <c r="R456" s="576"/>
      <c r="S456" s="583">
        <f t="shared" si="51"/>
        <v>0</v>
      </c>
      <c r="T456" s="580">
        <f t="shared" si="50"/>
        <v>0</v>
      </c>
      <c r="U456" s="51"/>
      <c r="V456" s="2119"/>
      <c r="W456" s="43"/>
      <c r="X456" s="43"/>
      <c r="Y456" s="43"/>
      <c r="Z456" s="43"/>
    </row>
    <row r="457" spans="1:26">
      <c r="A457" s="88">
        <v>6112</v>
      </c>
      <c r="B457" s="1045" t="s">
        <v>2149</v>
      </c>
      <c r="C457" s="1033"/>
      <c r="D457" s="1033"/>
      <c r="E457" s="1033"/>
      <c r="F457" s="1033"/>
      <c r="G457" s="1033"/>
      <c r="H457" s="1033"/>
      <c r="I457" s="1033"/>
      <c r="J457" s="1033"/>
      <c r="K457" s="1033"/>
      <c r="L457" s="90"/>
      <c r="M457" s="51"/>
      <c r="N457" s="113">
        <f t="shared" si="52"/>
        <v>6112</v>
      </c>
      <c r="O457" s="575">
        <v>0</v>
      </c>
      <c r="P457" s="582">
        <v>0</v>
      </c>
      <c r="Q457" s="589">
        <v>0</v>
      </c>
      <c r="R457" s="576">
        <v>0</v>
      </c>
      <c r="S457" s="583">
        <f t="shared" si="51"/>
        <v>0</v>
      </c>
      <c r="T457" s="580">
        <f t="shared" si="50"/>
        <v>0</v>
      </c>
      <c r="U457" s="51"/>
      <c r="V457" s="2119"/>
      <c r="W457" s="43"/>
      <c r="X457" s="43"/>
      <c r="Y457" s="43"/>
      <c r="Z457" s="43"/>
    </row>
    <row r="458" spans="1:26">
      <c r="A458" s="88">
        <v>6113</v>
      </c>
      <c r="B458" s="1045" t="s">
        <v>2150</v>
      </c>
      <c r="C458" s="1033"/>
      <c r="D458" s="1033"/>
      <c r="E458" s="1033"/>
      <c r="F458" s="1033"/>
      <c r="G458" s="1033"/>
      <c r="H458" s="1033"/>
      <c r="I458" s="1033"/>
      <c r="J458" s="1033"/>
      <c r="K458" s="1033"/>
      <c r="L458" s="90"/>
      <c r="M458" s="51"/>
      <c r="N458" s="113">
        <f t="shared" si="52"/>
        <v>6113</v>
      </c>
      <c r="O458" s="575">
        <v>0</v>
      </c>
      <c r="P458" s="582">
        <v>0</v>
      </c>
      <c r="Q458" s="589">
        <v>0</v>
      </c>
      <c r="R458" s="576">
        <v>0</v>
      </c>
      <c r="S458" s="583">
        <f t="shared" si="51"/>
        <v>0</v>
      </c>
      <c r="T458" s="580">
        <f t="shared" si="50"/>
        <v>0</v>
      </c>
      <c r="U458" s="51"/>
      <c r="V458" s="2119"/>
      <c r="W458" s="43"/>
      <c r="X458" s="43"/>
      <c r="Y458" s="43"/>
      <c r="Z458" s="43"/>
    </row>
    <row r="459" spans="1:26">
      <c r="A459" s="88">
        <v>6114</v>
      </c>
      <c r="B459" s="1045" t="s">
        <v>2151</v>
      </c>
      <c r="C459" s="1033"/>
      <c r="D459" s="1033"/>
      <c r="E459" s="1033"/>
      <c r="F459" s="1033"/>
      <c r="G459" s="1033"/>
      <c r="H459" s="1033"/>
      <c r="I459" s="1033"/>
      <c r="J459" s="1033"/>
      <c r="K459" s="1033"/>
      <c r="L459" s="90"/>
      <c r="M459" s="51"/>
      <c r="N459" s="113">
        <f t="shared" si="52"/>
        <v>6114</v>
      </c>
      <c r="O459" s="575">
        <v>0</v>
      </c>
      <c r="P459" s="582">
        <v>0</v>
      </c>
      <c r="Q459" s="589">
        <v>0</v>
      </c>
      <c r="R459" s="576">
        <v>0</v>
      </c>
      <c r="S459" s="583">
        <f t="shared" si="51"/>
        <v>0</v>
      </c>
      <c r="T459" s="580">
        <f t="shared" si="50"/>
        <v>0</v>
      </c>
      <c r="U459" s="51"/>
      <c r="V459" s="2119"/>
      <c r="W459" s="43"/>
      <c r="X459" s="43"/>
      <c r="Y459" s="43"/>
      <c r="Z459" s="43"/>
    </row>
    <row r="460" spans="1:26">
      <c r="A460" s="88">
        <v>6115</v>
      </c>
      <c r="B460" s="1045" t="s">
        <v>2152</v>
      </c>
      <c r="C460" s="1033"/>
      <c r="D460" s="1033"/>
      <c r="E460" s="1033"/>
      <c r="F460" s="1033"/>
      <c r="G460" s="1033"/>
      <c r="H460" s="1033"/>
      <c r="I460" s="1033"/>
      <c r="J460" s="1033"/>
      <c r="K460" s="1033"/>
      <c r="L460" s="90"/>
      <c r="M460" s="51"/>
      <c r="N460" s="113">
        <f t="shared" si="52"/>
        <v>6115</v>
      </c>
      <c r="O460" s="575">
        <v>0</v>
      </c>
      <c r="P460" s="582">
        <v>0</v>
      </c>
      <c r="Q460" s="589"/>
      <c r="R460" s="576"/>
      <c r="S460" s="583">
        <f t="shared" si="51"/>
        <v>0</v>
      </c>
      <c r="T460" s="580">
        <f t="shared" si="50"/>
        <v>0</v>
      </c>
      <c r="U460" s="51"/>
      <c r="V460" s="2119"/>
      <c r="W460" s="43"/>
      <c r="X460" s="43"/>
      <c r="Y460" s="43"/>
      <c r="Z460" s="43"/>
    </row>
    <row r="461" spans="1:26" ht="15.75" customHeight="1">
      <c r="A461" s="88">
        <v>6131</v>
      </c>
      <c r="B461" s="1045" t="s">
        <v>2153</v>
      </c>
      <c r="C461" s="1033"/>
      <c r="D461" s="1033"/>
      <c r="E461" s="1033"/>
      <c r="F461" s="1033"/>
      <c r="G461" s="1033"/>
      <c r="H461" s="1033"/>
      <c r="I461" s="1033"/>
      <c r="J461" s="1033"/>
      <c r="K461" s="1033"/>
      <c r="L461" s="90"/>
      <c r="M461" s="51"/>
      <c r="N461" s="113">
        <f t="shared" si="52"/>
        <v>6131</v>
      </c>
      <c r="O461" s="575">
        <v>0</v>
      </c>
      <c r="P461" s="582">
        <v>0</v>
      </c>
      <c r="Q461" s="589"/>
      <c r="R461" s="576"/>
      <c r="S461" s="583">
        <f t="shared" si="51"/>
        <v>0</v>
      </c>
      <c r="T461" s="580">
        <f t="shared" si="50"/>
        <v>0</v>
      </c>
      <c r="U461" s="51"/>
      <c r="V461" s="2119"/>
      <c r="W461" s="43"/>
      <c r="X461" s="43"/>
      <c r="Y461" s="43"/>
      <c r="Z461" s="43"/>
    </row>
    <row r="462" spans="1:26" ht="15.75" customHeight="1">
      <c r="A462" s="88">
        <v>6132</v>
      </c>
      <c r="B462" s="1045" t="s">
        <v>2154</v>
      </c>
      <c r="C462" s="1033"/>
      <c r="D462" s="1033"/>
      <c r="E462" s="1033"/>
      <c r="F462" s="1033"/>
      <c r="G462" s="1033"/>
      <c r="H462" s="1033"/>
      <c r="I462" s="1033"/>
      <c r="J462" s="1033"/>
      <c r="K462" s="1033"/>
      <c r="L462" s="90"/>
      <c r="M462" s="51"/>
      <c r="N462" s="113">
        <f t="shared" si="52"/>
        <v>6132</v>
      </c>
      <c r="O462" s="575">
        <v>0</v>
      </c>
      <c r="P462" s="582">
        <v>0</v>
      </c>
      <c r="Q462" s="589"/>
      <c r="R462" s="576"/>
      <c r="S462" s="583">
        <f t="shared" si="51"/>
        <v>0</v>
      </c>
      <c r="T462" s="580">
        <f t="shared" si="50"/>
        <v>0</v>
      </c>
      <c r="U462" s="51"/>
      <c r="V462" s="2119"/>
      <c r="W462" s="43"/>
      <c r="X462" s="43"/>
      <c r="Y462" s="43"/>
      <c r="Z462" s="43"/>
    </row>
    <row r="463" spans="1:26" ht="15.75" customHeight="1">
      <c r="A463" s="88">
        <v>6133</v>
      </c>
      <c r="B463" s="2300" t="s">
        <v>2155</v>
      </c>
      <c r="C463" s="1033"/>
      <c r="D463" s="1033"/>
      <c r="E463" s="1033"/>
      <c r="F463" s="1033"/>
      <c r="G463" s="1033"/>
      <c r="H463" s="1033"/>
      <c r="I463" s="1033"/>
      <c r="J463" s="1033"/>
      <c r="K463" s="1033"/>
      <c r="L463" s="90"/>
      <c r="M463" s="51"/>
      <c r="N463" s="113">
        <f t="shared" si="52"/>
        <v>6133</v>
      </c>
      <c r="O463" s="575">
        <v>0</v>
      </c>
      <c r="P463" s="582">
        <v>0</v>
      </c>
      <c r="Q463" s="589"/>
      <c r="R463" s="576"/>
      <c r="S463" s="583">
        <f t="shared" si="51"/>
        <v>0</v>
      </c>
      <c r="T463" s="580">
        <f t="shared" si="50"/>
        <v>0</v>
      </c>
      <c r="U463" s="51"/>
      <c r="V463" s="2119"/>
      <c r="W463" s="43"/>
      <c r="X463" s="43"/>
      <c r="Y463" s="43"/>
      <c r="Z463" s="43"/>
    </row>
    <row r="464" spans="1:26">
      <c r="A464" s="88">
        <v>6140</v>
      </c>
      <c r="B464" s="1045" t="s">
        <v>2156</v>
      </c>
      <c r="C464" s="1033"/>
      <c r="D464" s="1033"/>
      <c r="E464" s="1033"/>
      <c r="F464" s="1033"/>
      <c r="G464" s="1033"/>
      <c r="H464" s="1033"/>
      <c r="I464" s="1033"/>
      <c r="J464" s="1033"/>
      <c r="K464" s="1033"/>
      <c r="L464" s="90"/>
      <c r="M464" s="51"/>
      <c r="N464" s="113">
        <f t="shared" si="52"/>
        <v>6140</v>
      </c>
      <c r="O464" s="575">
        <v>0</v>
      </c>
      <c r="P464" s="582">
        <v>0</v>
      </c>
      <c r="Q464" s="589"/>
      <c r="R464" s="576"/>
      <c r="S464" s="583">
        <f t="shared" si="51"/>
        <v>0</v>
      </c>
      <c r="T464" s="580">
        <f t="shared" si="50"/>
        <v>0</v>
      </c>
      <c r="U464" s="51"/>
      <c r="V464" s="2119"/>
      <c r="W464" s="43"/>
      <c r="X464" s="43"/>
      <c r="Y464" s="43"/>
      <c r="Z464" s="43"/>
    </row>
    <row r="465" spans="1:26" ht="15.75" customHeight="1">
      <c r="A465" s="88">
        <v>6141</v>
      </c>
      <c r="B465" s="1045" t="s">
        <v>2157</v>
      </c>
      <c r="C465" s="1033"/>
      <c r="D465" s="1033"/>
      <c r="E465" s="1033"/>
      <c r="F465" s="1033"/>
      <c r="G465" s="1033"/>
      <c r="H465" s="1033"/>
      <c r="I465" s="1033"/>
      <c r="J465" s="1033"/>
      <c r="K465" s="1033"/>
      <c r="L465" s="90"/>
      <c r="M465" s="51"/>
      <c r="N465" s="113">
        <f t="shared" si="52"/>
        <v>6141</v>
      </c>
      <c r="O465" s="575">
        <v>0</v>
      </c>
      <c r="P465" s="582">
        <v>0</v>
      </c>
      <c r="Q465" s="589"/>
      <c r="R465" s="576"/>
      <c r="S465" s="583">
        <f t="shared" si="51"/>
        <v>0</v>
      </c>
      <c r="T465" s="580">
        <f t="shared" si="50"/>
        <v>0</v>
      </c>
      <c r="U465" s="51"/>
      <c r="V465" s="2119"/>
      <c r="W465" s="43"/>
      <c r="X465" s="43"/>
      <c r="Y465" s="43"/>
      <c r="Z465" s="43"/>
    </row>
    <row r="466" spans="1:26">
      <c r="A466" s="88">
        <v>6142</v>
      </c>
      <c r="B466" s="1045" t="s">
        <v>2158</v>
      </c>
      <c r="C466" s="1033"/>
      <c r="D466" s="1033"/>
      <c r="E466" s="1033"/>
      <c r="F466" s="1033"/>
      <c r="G466" s="1033"/>
      <c r="H466" s="1033"/>
      <c r="I466" s="1033"/>
      <c r="J466" s="1033"/>
      <c r="K466" s="1033"/>
      <c r="L466" s="90"/>
      <c r="M466" s="51"/>
      <c r="N466" s="113">
        <f t="shared" si="52"/>
        <v>6142</v>
      </c>
      <c r="O466" s="575">
        <v>0</v>
      </c>
      <c r="P466" s="582">
        <v>0</v>
      </c>
      <c r="Q466" s="589"/>
      <c r="R466" s="576"/>
      <c r="S466" s="583">
        <f t="shared" si="51"/>
        <v>0</v>
      </c>
      <c r="T466" s="580">
        <f t="shared" si="50"/>
        <v>0</v>
      </c>
      <c r="U466" s="51"/>
      <c r="V466" s="2119"/>
      <c r="W466" s="43"/>
      <c r="X466" s="43"/>
      <c r="Y466" s="43"/>
      <c r="Z466" s="43"/>
    </row>
    <row r="467" spans="1:26">
      <c r="A467" s="88">
        <v>6143</v>
      </c>
      <c r="B467" s="1045" t="s">
        <v>2159</v>
      </c>
      <c r="C467" s="1033"/>
      <c r="D467" s="1033"/>
      <c r="E467" s="1033"/>
      <c r="F467" s="1033"/>
      <c r="G467" s="1033"/>
      <c r="H467" s="1033"/>
      <c r="I467" s="1033"/>
      <c r="J467" s="1033"/>
      <c r="K467" s="1033"/>
      <c r="L467" s="90"/>
      <c r="M467" s="51"/>
      <c r="N467" s="113">
        <f t="shared" si="52"/>
        <v>6143</v>
      </c>
      <c r="O467" s="575">
        <v>0</v>
      </c>
      <c r="P467" s="582">
        <v>0</v>
      </c>
      <c r="Q467" s="589">
        <v>0</v>
      </c>
      <c r="R467" s="576">
        <v>0</v>
      </c>
      <c r="S467" s="583">
        <f t="shared" si="51"/>
        <v>0</v>
      </c>
      <c r="T467" s="580">
        <f t="shared" si="50"/>
        <v>0</v>
      </c>
      <c r="U467" s="51"/>
      <c r="V467" s="2119"/>
      <c r="W467" s="43"/>
      <c r="X467" s="43"/>
      <c r="Y467" s="43"/>
      <c r="Z467" s="43"/>
    </row>
    <row r="468" spans="1:26">
      <c r="A468" s="88">
        <v>6144</v>
      </c>
      <c r="B468" s="1045" t="s">
        <v>2160</v>
      </c>
      <c r="C468" s="1033"/>
      <c r="D468" s="1033"/>
      <c r="E468" s="1033"/>
      <c r="F468" s="1033"/>
      <c r="G468" s="1033"/>
      <c r="H468" s="1033"/>
      <c r="I468" s="1033"/>
      <c r="J468" s="1033"/>
      <c r="K468" s="1033"/>
      <c r="L468" s="90"/>
      <c r="M468" s="51"/>
      <c r="N468" s="113">
        <f t="shared" si="52"/>
        <v>6144</v>
      </c>
      <c r="O468" s="575">
        <v>0</v>
      </c>
      <c r="P468" s="582">
        <v>0</v>
      </c>
      <c r="Q468" s="589">
        <v>0</v>
      </c>
      <c r="R468" s="576">
        <v>0</v>
      </c>
      <c r="S468" s="583">
        <f t="shared" si="51"/>
        <v>0</v>
      </c>
      <c r="T468" s="580">
        <f t="shared" si="50"/>
        <v>0</v>
      </c>
      <c r="U468" s="51"/>
      <c r="V468" s="2119"/>
      <c r="W468" s="43"/>
      <c r="X468" s="43"/>
      <c r="Y468" s="43"/>
      <c r="Z468" s="43"/>
    </row>
    <row r="469" spans="1:26">
      <c r="A469" s="88">
        <v>6145</v>
      </c>
      <c r="B469" s="1045" t="s">
        <v>2161</v>
      </c>
      <c r="C469" s="1033"/>
      <c r="D469" s="1033"/>
      <c r="E469" s="1033"/>
      <c r="F469" s="1033"/>
      <c r="G469" s="1033"/>
      <c r="H469" s="1033"/>
      <c r="I469" s="1033"/>
      <c r="J469" s="1033"/>
      <c r="K469" s="1033"/>
      <c r="L469" s="90"/>
      <c r="M469" s="51"/>
      <c r="N469" s="113">
        <f t="shared" si="52"/>
        <v>6145</v>
      </c>
      <c r="O469" s="575">
        <v>0</v>
      </c>
      <c r="P469" s="582">
        <v>0</v>
      </c>
      <c r="Q469" s="589">
        <v>0</v>
      </c>
      <c r="R469" s="576">
        <v>0</v>
      </c>
      <c r="S469" s="583">
        <f t="shared" si="51"/>
        <v>0</v>
      </c>
      <c r="T469" s="580">
        <f t="shared" si="50"/>
        <v>0</v>
      </c>
      <c r="U469" s="51"/>
      <c r="V469" s="2119"/>
      <c r="W469" s="43"/>
      <c r="X469" s="43"/>
      <c r="Y469" s="43"/>
      <c r="Z469" s="43"/>
    </row>
    <row r="470" spans="1:26">
      <c r="A470" s="88">
        <v>6146</v>
      </c>
      <c r="B470" s="1045" t="s">
        <v>2162</v>
      </c>
      <c r="C470" s="1033"/>
      <c r="D470" s="1033"/>
      <c r="E470" s="1033"/>
      <c r="F470" s="1033"/>
      <c r="G470" s="1033"/>
      <c r="H470" s="1033"/>
      <c r="I470" s="1033"/>
      <c r="J470" s="1033"/>
      <c r="K470" s="1033"/>
      <c r="L470" s="90"/>
      <c r="M470" s="51"/>
      <c r="N470" s="113">
        <f t="shared" si="52"/>
        <v>6146</v>
      </c>
      <c r="O470" s="575">
        <v>0</v>
      </c>
      <c r="P470" s="582">
        <v>0</v>
      </c>
      <c r="Q470" s="589">
        <v>0</v>
      </c>
      <c r="R470" s="576">
        <v>0</v>
      </c>
      <c r="S470" s="583">
        <f t="shared" si="51"/>
        <v>0</v>
      </c>
      <c r="T470" s="580">
        <f t="shared" si="50"/>
        <v>0</v>
      </c>
      <c r="U470" s="51"/>
      <c r="V470" s="2119"/>
      <c r="W470" s="43"/>
      <c r="X470" s="43"/>
      <c r="Y470" s="43"/>
      <c r="Z470" s="43"/>
    </row>
    <row r="471" spans="1:26">
      <c r="A471" s="88">
        <v>6147</v>
      </c>
      <c r="B471" s="1045" t="s">
        <v>2163</v>
      </c>
      <c r="C471" s="1033"/>
      <c r="D471" s="1033"/>
      <c r="E471" s="1033"/>
      <c r="F471" s="1033"/>
      <c r="G471" s="1033"/>
      <c r="H471" s="1033"/>
      <c r="I471" s="1033"/>
      <c r="J471" s="1033"/>
      <c r="K471" s="1033"/>
      <c r="L471" s="90"/>
      <c r="M471" s="51"/>
      <c r="N471" s="113">
        <f t="shared" si="52"/>
        <v>6147</v>
      </c>
      <c r="O471" s="575">
        <v>0</v>
      </c>
      <c r="P471" s="582">
        <v>0</v>
      </c>
      <c r="Q471" s="589"/>
      <c r="R471" s="576"/>
      <c r="S471" s="583">
        <f t="shared" si="51"/>
        <v>0</v>
      </c>
      <c r="T471" s="580">
        <f t="shared" si="50"/>
        <v>0</v>
      </c>
      <c r="U471" s="51"/>
      <c r="V471" s="2119"/>
      <c r="W471" s="43"/>
      <c r="X471" s="43"/>
      <c r="Y471" s="43"/>
      <c r="Z471" s="43"/>
    </row>
    <row r="472" spans="1:26">
      <c r="A472" s="88">
        <v>6149</v>
      </c>
      <c r="B472" s="1045" t="s">
        <v>2164</v>
      </c>
      <c r="C472" s="1033"/>
      <c r="D472" s="1033"/>
      <c r="E472" s="1033"/>
      <c r="F472" s="1033"/>
      <c r="G472" s="1033"/>
      <c r="H472" s="1033"/>
      <c r="I472" s="1033"/>
      <c r="J472" s="1033"/>
      <c r="K472" s="1033"/>
      <c r="L472" s="90"/>
      <c r="M472" s="51"/>
      <c r="N472" s="113">
        <f t="shared" si="52"/>
        <v>6149</v>
      </c>
      <c r="O472" s="575">
        <v>0</v>
      </c>
      <c r="P472" s="582">
        <v>0</v>
      </c>
      <c r="Q472" s="589">
        <v>0</v>
      </c>
      <c r="R472" s="576">
        <v>0</v>
      </c>
      <c r="S472" s="583">
        <f t="shared" si="51"/>
        <v>0</v>
      </c>
      <c r="T472" s="580">
        <f t="shared" si="50"/>
        <v>0</v>
      </c>
      <c r="U472" s="51"/>
      <c r="V472" s="2119"/>
      <c r="W472" s="43"/>
      <c r="X472" s="43"/>
      <c r="Y472" s="43"/>
      <c r="Z472" s="43"/>
    </row>
    <row r="473" spans="1:26">
      <c r="A473" s="88">
        <v>6151</v>
      </c>
      <c r="B473" s="1045" t="s">
        <v>2165</v>
      </c>
      <c r="C473" s="1033"/>
      <c r="D473" s="1033"/>
      <c r="E473" s="1033"/>
      <c r="F473" s="1033"/>
      <c r="G473" s="1033"/>
      <c r="H473" s="1033"/>
      <c r="I473" s="1033"/>
      <c r="J473" s="1033"/>
      <c r="K473" s="1033"/>
      <c r="L473" s="90"/>
      <c r="M473" s="51"/>
      <c r="N473" s="113">
        <f t="shared" si="52"/>
        <v>6151</v>
      </c>
      <c r="O473" s="575">
        <v>0</v>
      </c>
      <c r="P473" s="582">
        <v>0</v>
      </c>
      <c r="Q473" s="589"/>
      <c r="R473" s="576"/>
      <c r="S473" s="583">
        <f t="shared" si="51"/>
        <v>0</v>
      </c>
      <c r="T473" s="580">
        <f t="shared" si="50"/>
        <v>0</v>
      </c>
      <c r="U473" s="51"/>
      <c r="V473" s="2119"/>
      <c r="W473" s="43"/>
      <c r="X473" s="43"/>
      <c r="Y473" s="43"/>
      <c r="Z473" s="43"/>
    </row>
    <row r="474" spans="1:26">
      <c r="A474" s="88">
        <v>6159</v>
      </c>
      <c r="B474" s="1045" t="s">
        <v>2166</v>
      </c>
      <c r="C474" s="1033"/>
      <c r="D474" s="1033"/>
      <c r="E474" s="1033"/>
      <c r="F474" s="1033"/>
      <c r="G474" s="1033"/>
      <c r="H474" s="1033"/>
      <c r="I474" s="1033"/>
      <c r="J474" s="1033"/>
      <c r="K474" s="1033"/>
      <c r="L474" s="90"/>
      <c r="M474" s="51"/>
      <c r="N474" s="113">
        <f t="shared" si="52"/>
        <v>6159</v>
      </c>
      <c r="O474" s="575">
        <v>0</v>
      </c>
      <c r="P474" s="582">
        <v>0</v>
      </c>
      <c r="Q474" s="589"/>
      <c r="R474" s="576"/>
      <c r="S474" s="583">
        <f t="shared" si="51"/>
        <v>0</v>
      </c>
      <c r="T474" s="580">
        <f t="shared" si="50"/>
        <v>0</v>
      </c>
      <c r="U474" s="51"/>
      <c r="V474" s="2119"/>
      <c r="W474" s="43"/>
      <c r="X474" s="43"/>
      <c r="Y474" s="43"/>
      <c r="Z474" s="43"/>
    </row>
    <row r="475" spans="1:26">
      <c r="A475" s="88">
        <v>6161</v>
      </c>
      <c r="B475" s="1045" t="s">
        <v>2167</v>
      </c>
      <c r="C475" s="1033"/>
      <c r="D475" s="1033"/>
      <c r="E475" s="1033"/>
      <c r="F475" s="1033"/>
      <c r="G475" s="1033"/>
      <c r="H475" s="1033"/>
      <c r="I475" s="1033"/>
      <c r="J475" s="1033"/>
      <c r="K475" s="1033"/>
      <c r="L475" s="90"/>
      <c r="M475" s="51"/>
      <c r="N475" s="113">
        <f t="shared" si="52"/>
        <v>6161</v>
      </c>
      <c r="O475" s="575">
        <v>0</v>
      </c>
      <c r="P475" s="582">
        <v>0</v>
      </c>
      <c r="Q475" s="589"/>
      <c r="R475" s="576"/>
      <c r="S475" s="583">
        <f t="shared" si="51"/>
        <v>0</v>
      </c>
      <c r="T475" s="580">
        <f t="shared" si="50"/>
        <v>0</v>
      </c>
      <c r="U475" s="51"/>
      <c r="V475" s="2119"/>
      <c r="W475" s="43"/>
      <c r="X475" s="43"/>
      <c r="Y475" s="43"/>
      <c r="Z475" s="43"/>
    </row>
    <row r="476" spans="1:26">
      <c r="A476" s="88">
        <v>6162</v>
      </c>
      <c r="B476" s="1045" t="s">
        <v>2168</v>
      </c>
      <c r="C476" s="1033"/>
      <c r="D476" s="1033"/>
      <c r="E476" s="1033"/>
      <c r="F476" s="1033"/>
      <c r="G476" s="1033"/>
      <c r="H476" s="1033"/>
      <c r="I476" s="1033"/>
      <c r="J476" s="1033"/>
      <c r="K476" s="1033"/>
      <c r="L476" s="90"/>
      <c r="M476" s="51"/>
      <c r="N476" s="113">
        <f t="shared" si="52"/>
        <v>6162</v>
      </c>
      <c r="O476" s="575">
        <v>0</v>
      </c>
      <c r="P476" s="582">
        <v>0</v>
      </c>
      <c r="Q476" s="589"/>
      <c r="R476" s="576"/>
      <c r="S476" s="583">
        <f t="shared" si="51"/>
        <v>0</v>
      </c>
      <c r="T476" s="580">
        <f t="shared" si="50"/>
        <v>0</v>
      </c>
      <c r="U476" s="51"/>
      <c r="V476" s="2119"/>
      <c r="W476" s="43"/>
      <c r="X476" s="43"/>
      <c r="Y476" s="43"/>
      <c r="Z476" s="43"/>
    </row>
    <row r="477" spans="1:26">
      <c r="A477" s="88">
        <v>6163</v>
      </c>
      <c r="B477" s="1045" t="s">
        <v>2169</v>
      </c>
      <c r="C477" s="1033"/>
      <c r="D477" s="1033"/>
      <c r="E477" s="1033"/>
      <c r="F477" s="1033"/>
      <c r="G477" s="1033"/>
      <c r="H477" s="1033"/>
      <c r="I477" s="1033"/>
      <c r="J477" s="1033"/>
      <c r="K477" s="1033"/>
      <c r="L477" s="90"/>
      <c r="M477" s="51"/>
      <c r="N477" s="113">
        <f t="shared" si="52"/>
        <v>6163</v>
      </c>
      <c r="O477" s="575">
        <v>0</v>
      </c>
      <c r="P477" s="582">
        <v>0</v>
      </c>
      <c r="Q477" s="589"/>
      <c r="R477" s="576"/>
      <c r="S477" s="583">
        <f t="shared" si="51"/>
        <v>0</v>
      </c>
      <c r="T477" s="580">
        <f t="shared" si="50"/>
        <v>0</v>
      </c>
      <c r="U477" s="51"/>
      <c r="V477" s="2119"/>
      <c r="W477" s="43"/>
      <c r="X477" s="43"/>
      <c r="Y477" s="43"/>
      <c r="Z477" s="43"/>
    </row>
    <row r="478" spans="1:26">
      <c r="A478" s="88">
        <v>6201</v>
      </c>
      <c r="B478" s="1033" t="s">
        <v>432</v>
      </c>
      <c r="C478" s="1033"/>
      <c r="D478" s="1033"/>
      <c r="E478" s="1033"/>
      <c r="F478" s="1033"/>
      <c r="G478" s="1033"/>
      <c r="H478" s="1033"/>
      <c r="I478" s="1033"/>
      <c r="J478" s="1033"/>
      <c r="K478" s="1033"/>
      <c r="L478" s="90"/>
      <c r="M478" s="51"/>
      <c r="N478" s="113">
        <f t="shared" si="52"/>
        <v>6201</v>
      </c>
      <c r="O478" s="575">
        <v>0</v>
      </c>
      <c r="P478" s="582">
        <v>0</v>
      </c>
      <c r="Q478" s="589"/>
      <c r="R478" s="576"/>
      <c r="S478" s="583">
        <f t="shared" si="51"/>
        <v>0</v>
      </c>
      <c r="T478" s="580">
        <f t="shared" si="50"/>
        <v>0</v>
      </c>
      <c r="U478" s="51"/>
      <c r="V478" s="2119"/>
      <c r="W478" s="43"/>
      <c r="X478" s="43"/>
      <c r="Y478" s="43"/>
      <c r="Z478" s="43"/>
    </row>
    <row r="479" spans="1:26">
      <c r="A479" s="88">
        <v>6202</v>
      </c>
      <c r="B479" s="1033" t="s">
        <v>499</v>
      </c>
      <c r="C479" s="1033"/>
      <c r="D479" s="1033"/>
      <c r="E479" s="1033"/>
      <c r="F479" s="1033"/>
      <c r="G479" s="1033"/>
      <c r="H479" s="1033"/>
      <c r="I479" s="1033"/>
      <c r="J479" s="1033"/>
      <c r="K479" s="1033"/>
      <c r="L479" s="90"/>
      <c r="M479" s="51"/>
      <c r="N479" s="113">
        <f t="shared" si="52"/>
        <v>6202</v>
      </c>
      <c r="O479" s="575">
        <v>0</v>
      </c>
      <c r="P479" s="582">
        <v>0</v>
      </c>
      <c r="Q479" s="589"/>
      <c r="R479" s="576"/>
      <c r="S479" s="583">
        <f t="shared" si="51"/>
        <v>0</v>
      </c>
      <c r="T479" s="580">
        <f t="shared" si="50"/>
        <v>0</v>
      </c>
      <c r="U479" s="51"/>
      <c r="V479" s="2119"/>
      <c r="W479" s="43"/>
      <c r="X479" s="43"/>
      <c r="Y479" s="43"/>
      <c r="Z479" s="43"/>
    </row>
    <row r="480" spans="1:26">
      <c r="A480" s="88">
        <v>6203</v>
      </c>
      <c r="B480" s="1033" t="s">
        <v>500</v>
      </c>
      <c r="C480" s="1033"/>
      <c r="D480" s="1033"/>
      <c r="E480" s="1033"/>
      <c r="F480" s="1033"/>
      <c r="G480" s="1033"/>
      <c r="H480" s="1033"/>
      <c r="I480" s="1033"/>
      <c r="J480" s="1033"/>
      <c r="K480" s="1033"/>
      <c r="L480" s="90"/>
      <c r="M480" s="51"/>
      <c r="N480" s="113">
        <f t="shared" si="52"/>
        <v>6203</v>
      </c>
      <c r="O480" s="575">
        <v>0</v>
      </c>
      <c r="P480" s="582">
        <v>0</v>
      </c>
      <c r="Q480" s="589">
        <v>0</v>
      </c>
      <c r="R480" s="576">
        <v>0</v>
      </c>
      <c r="S480" s="583">
        <f t="shared" si="51"/>
        <v>0</v>
      </c>
      <c r="T480" s="580">
        <f t="shared" ref="T480:T543" si="53">+IF(ABS(+O480+Q480)&lt;=ABS(P480+R480),-O480+P480-Q480+R480,0)</f>
        <v>0</v>
      </c>
      <c r="U480" s="51"/>
      <c r="V480" s="2119"/>
      <c r="W480" s="43"/>
      <c r="X480" s="43"/>
      <c r="Y480" s="43"/>
      <c r="Z480" s="43"/>
    </row>
    <row r="481" spans="1:26">
      <c r="A481" s="88">
        <v>6209</v>
      </c>
      <c r="B481" s="1033" t="s">
        <v>501</v>
      </c>
      <c r="C481" s="1033"/>
      <c r="D481" s="1033"/>
      <c r="E481" s="1033"/>
      <c r="F481" s="1033"/>
      <c r="G481" s="1033"/>
      <c r="H481" s="1033"/>
      <c r="I481" s="1033"/>
      <c r="J481" s="1033"/>
      <c r="K481" s="1033"/>
      <c r="L481" s="90"/>
      <c r="M481" s="51"/>
      <c r="N481" s="113">
        <f t="shared" si="52"/>
        <v>6209</v>
      </c>
      <c r="O481" s="575">
        <v>0</v>
      </c>
      <c r="P481" s="582">
        <v>0</v>
      </c>
      <c r="Q481" s="589">
        <v>0</v>
      </c>
      <c r="R481" s="576">
        <v>0</v>
      </c>
      <c r="S481" s="583">
        <f t="shared" ref="S481:S544" si="54">+IF(ABS(+O481+Q481)&gt;=ABS(P481+R481),+O481-P481+Q481-R481,0)</f>
        <v>0</v>
      </c>
      <c r="T481" s="580">
        <f t="shared" si="53"/>
        <v>0</v>
      </c>
      <c r="U481" s="51"/>
      <c r="V481" s="2119"/>
      <c r="W481" s="43"/>
      <c r="X481" s="43"/>
      <c r="Y481" s="43"/>
      <c r="Z481" s="43"/>
    </row>
    <row r="482" spans="1:26">
      <c r="A482" s="88">
        <v>6211</v>
      </c>
      <c r="B482" s="1033" t="s">
        <v>502</v>
      </c>
      <c r="C482" s="1033"/>
      <c r="D482" s="1033"/>
      <c r="E482" s="1033"/>
      <c r="F482" s="1033"/>
      <c r="G482" s="1033"/>
      <c r="H482" s="1033"/>
      <c r="I482" s="1033"/>
      <c r="J482" s="1033"/>
      <c r="K482" s="1033"/>
      <c r="L482" s="90"/>
      <c r="M482" s="51"/>
      <c r="N482" s="113">
        <f t="shared" si="52"/>
        <v>6211</v>
      </c>
      <c r="O482" s="575">
        <v>0</v>
      </c>
      <c r="P482" s="582">
        <v>0</v>
      </c>
      <c r="Q482" s="589"/>
      <c r="R482" s="576"/>
      <c r="S482" s="583">
        <f t="shared" si="54"/>
        <v>0</v>
      </c>
      <c r="T482" s="580">
        <f t="shared" si="53"/>
        <v>0</v>
      </c>
      <c r="U482" s="51"/>
      <c r="V482" s="2119"/>
      <c r="W482" s="43"/>
      <c r="X482" s="43"/>
      <c r="Y482" s="43"/>
      <c r="Z482" s="43"/>
    </row>
    <row r="483" spans="1:26" ht="15.75" customHeight="1">
      <c r="A483" s="88">
        <v>6218</v>
      </c>
      <c r="B483" s="1033" t="s">
        <v>503</v>
      </c>
      <c r="C483" s="1033"/>
      <c r="D483" s="1033"/>
      <c r="E483" s="1033"/>
      <c r="F483" s="1033"/>
      <c r="G483" s="1033"/>
      <c r="H483" s="1033"/>
      <c r="I483" s="1033"/>
      <c r="J483" s="1033"/>
      <c r="K483" s="1033"/>
      <c r="L483" s="90"/>
      <c r="M483" s="51"/>
      <c r="N483" s="113">
        <f t="shared" si="52"/>
        <v>6218</v>
      </c>
      <c r="O483" s="575">
        <v>0</v>
      </c>
      <c r="P483" s="582">
        <v>0</v>
      </c>
      <c r="Q483" s="589"/>
      <c r="R483" s="576"/>
      <c r="S483" s="583">
        <f t="shared" si="54"/>
        <v>0</v>
      </c>
      <c r="T483" s="580">
        <f t="shared" si="53"/>
        <v>0</v>
      </c>
      <c r="U483" s="51"/>
      <c r="V483" s="2119"/>
      <c r="W483" s="43"/>
      <c r="X483" s="43"/>
      <c r="Y483" s="43"/>
      <c r="Z483" s="43"/>
    </row>
    <row r="484" spans="1:26">
      <c r="A484" s="88">
        <v>6221</v>
      </c>
      <c r="B484" s="1033" t="s">
        <v>504</v>
      </c>
      <c r="C484" s="1033"/>
      <c r="D484" s="1033"/>
      <c r="E484" s="1033"/>
      <c r="F484" s="1033"/>
      <c r="G484" s="1033"/>
      <c r="H484" s="1033"/>
      <c r="I484" s="1033"/>
      <c r="J484" s="1033"/>
      <c r="K484" s="1033"/>
      <c r="L484" s="90"/>
      <c r="M484" s="51"/>
      <c r="N484" s="113">
        <f t="shared" si="52"/>
        <v>6221</v>
      </c>
      <c r="O484" s="575">
        <v>0</v>
      </c>
      <c r="P484" s="582">
        <v>0</v>
      </c>
      <c r="Q484" s="589"/>
      <c r="R484" s="576"/>
      <c r="S484" s="583">
        <f t="shared" si="54"/>
        <v>0</v>
      </c>
      <c r="T484" s="580">
        <f t="shared" si="53"/>
        <v>0</v>
      </c>
      <c r="U484" s="51"/>
      <c r="V484" s="2119"/>
      <c r="W484" s="43"/>
      <c r="X484" s="43"/>
      <c r="Y484" s="43"/>
      <c r="Z484" s="43"/>
    </row>
    <row r="485" spans="1:26">
      <c r="A485" s="88">
        <v>6224</v>
      </c>
      <c r="B485" s="1033" t="s">
        <v>505</v>
      </c>
      <c r="C485" s="1033"/>
      <c r="D485" s="1033"/>
      <c r="E485" s="1033"/>
      <c r="F485" s="1033"/>
      <c r="G485" s="1033"/>
      <c r="H485" s="1033"/>
      <c r="I485" s="1033"/>
      <c r="J485" s="1033"/>
      <c r="K485" s="1033"/>
      <c r="L485" s="90"/>
      <c r="M485" s="51"/>
      <c r="N485" s="113">
        <f t="shared" si="52"/>
        <v>6224</v>
      </c>
      <c r="O485" s="575">
        <v>0</v>
      </c>
      <c r="P485" s="582">
        <v>0</v>
      </c>
      <c r="Q485" s="589"/>
      <c r="R485" s="576"/>
      <c r="S485" s="583">
        <f t="shared" si="54"/>
        <v>0</v>
      </c>
      <c r="T485" s="580">
        <f t="shared" si="53"/>
        <v>0</v>
      </c>
      <c r="U485" s="51"/>
      <c r="V485" s="2119"/>
      <c r="W485" s="43"/>
      <c r="X485" s="43"/>
      <c r="Y485" s="43"/>
      <c r="Z485" s="43"/>
    </row>
    <row r="486" spans="1:26">
      <c r="A486" s="88">
        <v>6225</v>
      </c>
      <c r="B486" s="1033" t="s">
        <v>506</v>
      </c>
      <c r="C486" s="1033"/>
      <c r="D486" s="1033"/>
      <c r="E486" s="1033"/>
      <c r="F486" s="1033"/>
      <c r="G486" s="1033"/>
      <c r="H486" s="1033"/>
      <c r="I486" s="1033"/>
      <c r="J486" s="1033"/>
      <c r="K486" s="1033"/>
      <c r="L486" s="90"/>
      <c r="M486" s="51"/>
      <c r="N486" s="113">
        <f t="shared" si="52"/>
        <v>6225</v>
      </c>
      <c r="O486" s="575">
        <v>0</v>
      </c>
      <c r="P486" s="582">
        <v>0</v>
      </c>
      <c r="Q486" s="589"/>
      <c r="R486" s="576"/>
      <c r="S486" s="583">
        <f t="shared" si="54"/>
        <v>0</v>
      </c>
      <c r="T486" s="580">
        <f t="shared" si="53"/>
        <v>0</v>
      </c>
      <c r="U486" s="51"/>
      <c r="V486" s="2119"/>
      <c r="W486" s="43"/>
      <c r="X486" s="43"/>
      <c r="Y486" s="43"/>
      <c r="Z486" s="43"/>
    </row>
    <row r="487" spans="1:26">
      <c r="A487" s="88">
        <v>6226</v>
      </c>
      <c r="B487" s="1033" t="s">
        <v>507</v>
      </c>
      <c r="C487" s="1033"/>
      <c r="D487" s="1033"/>
      <c r="E487" s="1033"/>
      <c r="F487" s="1033"/>
      <c r="G487" s="1033"/>
      <c r="H487" s="1033"/>
      <c r="I487" s="1033"/>
      <c r="J487" s="1033"/>
      <c r="K487" s="1033"/>
      <c r="L487" s="90"/>
      <c r="M487" s="51"/>
      <c r="N487" s="113">
        <f t="shared" si="52"/>
        <v>6226</v>
      </c>
      <c r="O487" s="575">
        <v>0</v>
      </c>
      <c r="P487" s="582">
        <v>0</v>
      </c>
      <c r="Q487" s="589"/>
      <c r="R487" s="576"/>
      <c r="S487" s="583">
        <f t="shared" si="54"/>
        <v>0</v>
      </c>
      <c r="T487" s="580">
        <f t="shared" si="53"/>
        <v>0</v>
      </c>
      <c r="U487" s="51"/>
      <c r="V487" s="2119"/>
      <c r="W487" s="43"/>
      <c r="X487" s="43"/>
      <c r="Y487" s="43"/>
      <c r="Z487" s="43"/>
    </row>
    <row r="488" spans="1:26">
      <c r="A488" s="88">
        <v>6227</v>
      </c>
      <c r="B488" s="1033" t="s">
        <v>508</v>
      </c>
      <c r="C488" s="1033"/>
      <c r="D488" s="1033"/>
      <c r="E488" s="1033"/>
      <c r="F488" s="1033"/>
      <c r="G488" s="1033"/>
      <c r="H488" s="1033"/>
      <c r="I488" s="1033"/>
      <c r="J488" s="1033"/>
      <c r="K488" s="1033"/>
      <c r="L488" s="90"/>
      <c r="M488" s="51"/>
      <c r="N488" s="113">
        <f t="shared" si="52"/>
        <v>6227</v>
      </c>
      <c r="O488" s="575">
        <v>0</v>
      </c>
      <c r="P488" s="582">
        <v>0</v>
      </c>
      <c r="Q488" s="589"/>
      <c r="R488" s="576"/>
      <c r="S488" s="583">
        <f t="shared" si="54"/>
        <v>0</v>
      </c>
      <c r="T488" s="580">
        <f t="shared" si="53"/>
        <v>0</v>
      </c>
      <c r="U488" s="51"/>
      <c r="V488" s="2119"/>
      <c r="W488" s="43"/>
      <c r="X488" s="43"/>
      <c r="Y488" s="43"/>
      <c r="Z488" s="43"/>
    </row>
    <row r="489" spans="1:26">
      <c r="A489" s="88">
        <v>6229</v>
      </c>
      <c r="B489" s="1033" t="s">
        <v>509</v>
      </c>
      <c r="C489" s="1033"/>
      <c r="D489" s="1033"/>
      <c r="E489" s="1033"/>
      <c r="F489" s="1033"/>
      <c r="G489" s="1033"/>
      <c r="H489" s="1033"/>
      <c r="I489" s="1033"/>
      <c r="J489" s="1033"/>
      <c r="K489" s="1033"/>
      <c r="L489" s="90"/>
      <c r="M489" s="51"/>
      <c r="N489" s="113">
        <f t="shared" si="52"/>
        <v>6229</v>
      </c>
      <c r="O489" s="575">
        <v>0</v>
      </c>
      <c r="P489" s="582">
        <v>0</v>
      </c>
      <c r="Q489" s="589"/>
      <c r="R489" s="576"/>
      <c r="S489" s="583">
        <f t="shared" si="54"/>
        <v>0</v>
      </c>
      <c r="T489" s="580">
        <f t="shared" si="53"/>
        <v>0</v>
      </c>
      <c r="U489" s="51"/>
      <c r="V489" s="2119"/>
      <c r="W489" s="43"/>
      <c r="X489" s="43"/>
      <c r="Y489" s="43"/>
      <c r="Z489" s="43"/>
    </row>
    <row r="490" spans="1:26">
      <c r="A490" s="88">
        <v>6231</v>
      </c>
      <c r="B490" s="1033" t="s">
        <v>510</v>
      </c>
      <c r="C490" s="1033"/>
      <c r="D490" s="1033"/>
      <c r="E490" s="1033"/>
      <c r="F490" s="1033"/>
      <c r="G490" s="1033"/>
      <c r="H490" s="1033"/>
      <c r="I490" s="1033"/>
      <c r="J490" s="1033"/>
      <c r="K490" s="1033"/>
      <c r="L490" s="90"/>
      <c r="M490" s="51"/>
      <c r="N490" s="113">
        <f t="shared" si="52"/>
        <v>6231</v>
      </c>
      <c r="O490" s="575">
        <v>0</v>
      </c>
      <c r="P490" s="582">
        <v>0</v>
      </c>
      <c r="Q490" s="589"/>
      <c r="R490" s="576"/>
      <c r="S490" s="583">
        <f t="shared" si="54"/>
        <v>0</v>
      </c>
      <c r="T490" s="580">
        <f t="shared" si="53"/>
        <v>0</v>
      </c>
      <c r="U490" s="51"/>
      <c r="V490" s="2119"/>
      <c r="W490" s="43"/>
      <c r="X490" s="43"/>
      <c r="Y490" s="43"/>
      <c r="Z490" s="43"/>
    </row>
    <row r="491" spans="1:26">
      <c r="A491" s="88">
        <v>6232</v>
      </c>
      <c r="B491" s="1033" t="s">
        <v>511</v>
      </c>
      <c r="C491" s="1033"/>
      <c r="D491" s="1033"/>
      <c r="E491" s="1033"/>
      <c r="F491" s="1033"/>
      <c r="G491" s="1033"/>
      <c r="H491" s="1033"/>
      <c r="I491" s="1033"/>
      <c r="J491" s="1033"/>
      <c r="K491" s="1033"/>
      <c r="L491" s="90"/>
      <c r="M491" s="51"/>
      <c r="N491" s="113">
        <f t="shared" si="52"/>
        <v>6232</v>
      </c>
      <c r="O491" s="575">
        <v>0</v>
      </c>
      <c r="P491" s="582">
        <v>0</v>
      </c>
      <c r="Q491" s="589"/>
      <c r="R491" s="576"/>
      <c r="S491" s="583">
        <f t="shared" si="54"/>
        <v>0</v>
      </c>
      <c r="T491" s="580">
        <f t="shared" si="53"/>
        <v>0</v>
      </c>
      <c r="U491" s="51"/>
      <c r="V491" s="2119"/>
      <c r="W491" s="43"/>
      <c r="X491" s="43"/>
      <c r="Y491" s="43"/>
      <c r="Z491" s="43"/>
    </row>
    <row r="492" spans="1:26">
      <c r="A492" s="88">
        <v>6241</v>
      </c>
      <c r="B492" s="1033" t="s">
        <v>512</v>
      </c>
      <c r="C492" s="1033"/>
      <c r="D492" s="1033"/>
      <c r="E492" s="1033"/>
      <c r="F492" s="1033"/>
      <c r="G492" s="1033"/>
      <c r="H492" s="1033"/>
      <c r="I492" s="1033"/>
      <c r="J492" s="1033"/>
      <c r="K492" s="1033"/>
      <c r="L492" s="90"/>
      <c r="M492" s="51"/>
      <c r="N492" s="113">
        <f t="shared" si="52"/>
        <v>6241</v>
      </c>
      <c r="O492" s="575">
        <v>0</v>
      </c>
      <c r="P492" s="582">
        <v>0</v>
      </c>
      <c r="Q492" s="589">
        <v>0</v>
      </c>
      <c r="R492" s="576">
        <v>0</v>
      </c>
      <c r="S492" s="583">
        <f t="shared" si="54"/>
        <v>0</v>
      </c>
      <c r="T492" s="580">
        <f t="shared" si="53"/>
        <v>0</v>
      </c>
      <c r="U492" s="51"/>
      <c r="V492" s="2119"/>
      <c r="W492" s="43"/>
      <c r="X492" s="43"/>
      <c r="Y492" s="43"/>
      <c r="Z492" s="43"/>
    </row>
    <row r="493" spans="1:26">
      <c r="A493" s="88">
        <v>6242</v>
      </c>
      <c r="B493" s="1033" t="s">
        <v>513</v>
      </c>
      <c r="C493" s="1033"/>
      <c r="D493" s="1033"/>
      <c r="E493" s="1033"/>
      <c r="F493" s="1033"/>
      <c r="G493" s="1033"/>
      <c r="H493" s="1033"/>
      <c r="I493" s="1033"/>
      <c r="J493" s="1033"/>
      <c r="K493" s="1033"/>
      <c r="L493" s="90"/>
      <c r="M493" s="51"/>
      <c r="N493" s="113">
        <f t="shared" si="52"/>
        <v>6242</v>
      </c>
      <c r="O493" s="575">
        <v>0</v>
      </c>
      <c r="P493" s="582">
        <v>0</v>
      </c>
      <c r="Q493" s="589"/>
      <c r="R493" s="576"/>
      <c r="S493" s="583">
        <f t="shared" si="54"/>
        <v>0</v>
      </c>
      <c r="T493" s="580">
        <f t="shared" si="53"/>
        <v>0</v>
      </c>
      <c r="U493" s="51"/>
      <c r="V493" s="2119"/>
      <c r="W493" s="43"/>
      <c r="X493" s="43"/>
      <c r="Y493" s="43"/>
      <c r="Z493" s="43"/>
    </row>
    <row r="494" spans="1:26" ht="15.75" customHeight="1">
      <c r="A494" s="88">
        <v>6270</v>
      </c>
      <c r="B494" s="1033" t="s">
        <v>514</v>
      </c>
      <c r="C494" s="1033"/>
      <c r="D494" s="1033"/>
      <c r="E494" s="1033"/>
      <c r="F494" s="1033"/>
      <c r="G494" s="1033"/>
      <c r="H494" s="1033"/>
      <c r="I494" s="1033"/>
      <c r="J494" s="1033"/>
      <c r="K494" s="1033"/>
      <c r="L494" s="90"/>
      <c r="M494" s="51"/>
      <c r="N494" s="113">
        <f t="shared" si="52"/>
        <v>6270</v>
      </c>
      <c r="O494" s="575">
        <v>0</v>
      </c>
      <c r="P494" s="582">
        <v>0</v>
      </c>
      <c r="Q494" s="589"/>
      <c r="R494" s="576"/>
      <c r="S494" s="583">
        <f t="shared" si="54"/>
        <v>0</v>
      </c>
      <c r="T494" s="580">
        <f t="shared" si="53"/>
        <v>0</v>
      </c>
      <c r="U494" s="51"/>
      <c r="V494" s="2119"/>
      <c r="W494" s="43"/>
      <c r="X494" s="43"/>
      <c r="Y494" s="43"/>
      <c r="Z494" s="43"/>
    </row>
    <row r="495" spans="1:26">
      <c r="A495" s="88">
        <v>6271</v>
      </c>
      <c r="B495" s="1033" t="s">
        <v>515</v>
      </c>
      <c r="C495" s="1033"/>
      <c r="D495" s="1033"/>
      <c r="E495" s="1033"/>
      <c r="F495" s="1033"/>
      <c r="G495" s="1033"/>
      <c r="H495" s="1033"/>
      <c r="I495" s="1033"/>
      <c r="J495" s="1033"/>
      <c r="K495" s="1033"/>
      <c r="L495" s="90"/>
      <c r="M495" s="51"/>
      <c r="N495" s="113">
        <f t="shared" si="52"/>
        <v>6271</v>
      </c>
      <c r="O495" s="575">
        <v>0</v>
      </c>
      <c r="P495" s="582">
        <v>0</v>
      </c>
      <c r="Q495" s="589"/>
      <c r="R495" s="576"/>
      <c r="S495" s="583">
        <f t="shared" si="54"/>
        <v>0</v>
      </c>
      <c r="T495" s="580">
        <f t="shared" si="53"/>
        <v>0</v>
      </c>
      <c r="U495" s="51"/>
      <c r="V495" s="2119"/>
      <c r="W495" s="43"/>
      <c r="X495" s="43"/>
      <c r="Y495" s="43"/>
      <c r="Z495" s="43"/>
    </row>
    <row r="496" spans="1:26">
      <c r="A496" s="88">
        <v>6272</v>
      </c>
      <c r="B496" s="1033" t="s">
        <v>516</v>
      </c>
      <c r="C496" s="1033"/>
      <c r="D496" s="1033"/>
      <c r="E496" s="1033"/>
      <c r="F496" s="1033"/>
      <c r="G496" s="1033"/>
      <c r="H496" s="1033"/>
      <c r="I496" s="1033"/>
      <c r="J496" s="1033"/>
      <c r="K496" s="1033"/>
      <c r="L496" s="90"/>
      <c r="M496" s="51"/>
      <c r="N496" s="113">
        <f t="shared" si="52"/>
        <v>6272</v>
      </c>
      <c r="O496" s="575">
        <v>0</v>
      </c>
      <c r="P496" s="582">
        <v>0</v>
      </c>
      <c r="Q496" s="589"/>
      <c r="R496" s="576"/>
      <c r="S496" s="583">
        <f t="shared" si="54"/>
        <v>0</v>
      </c>
      <c r="T496" s="580">
        <f t="shared" si="53"/>
        <v>0</v>
      </c>
      <c r="U496" s="51"/>
      <c r="V496" s="2119"/>
      <c r="W496" s="43"/>
      <c r="X496" s="43"/>
      <c r="Y496" s="43"/>
      <c r="Z496" s="43"/>
    </row>
    <row r="497" spans="1:26" ht="15.75" customHeight="1">
      <c r="A497" s="88">
        <v>6273</v>
      </c>
      <c r="B497" s="1033" t="s">
        <v>520</v>
      </c>
      <c r="C497" s="1033"/>
      <c r="D497" s="1033"/>
      <c r="E497" s="1033"/>
      <c r="F497" s="1033"/>
      <c r="G497" s="1033"/>
      <c r="H497" s="1033"/>
      <c r="I497" s="1033"/>
      <c r="J497" s="1033"/>
      <c r="K497" s="1033"/>
      <c r="L497" s="90"/>
      <c r="M497" s="51"/>
      <c r="N497" s="113">
        <f t="shared" si="52"/>
        <v>6273</v>
      </c>
      <c r="O497" s="575">
        <v>0</v>
      </c>
      <c r="P497" s="582">
        <v>0</v>
      </c>
      <c r="Q497" s="589"/>
      <c r="R497" s="576"/>
      <c r="S497" s="583">
        <f t="shared" si="54"/>
        <v>0</v>
      </c>
      <c r="T497" s="580">
        <f t="shared" si="53"/>
        <v>0</v>
      </c>
      <c r="U497" s="51"/>
      <c r="V497" s="2119"/>
      <c r="W497" s="43"/>
      <c r="X497" s="43"/>
      <c r="Y497" s="43"/>
      <c r="Z497" s="43"/>
    </row>
    <row r="498" spans="1:26" ht="15.75" customHeight="1">
      <c r="A498" s="88">
        <v>6274</v>
      </c>
      <c r="B498" s="1033" t="s">
        <v>521</v>
      </c>
      <c r="C498" s="1033"/>
      <c r="D498" s="1033"/>
      <c r="E498" s="1033"/>
      <c r="F498" s="1033"/>
      <c r="G498" s="1033"/>
      <c r="H498" s="1033"/>
      <c r="I498" s="1033"/>
      <c r="J498" s="1033"/>
      <c r="K498" s="1033"/>
      <c r="L498" s="90"/>
      <c r="M498" s="51"/>
      <c r="N498" s="113">
        <f t="shared" si="52"/>
        <v>6274</v>
      </c>
      <c r="O498" s="575">
        <v>0</v>
      </c>
      <c r="P498" s="582">
        <v>0</v>
      </c>
      <c r="Q498" s="589"/>
      <c r="R498" s="576"/>
      <c r="S498" s="583">
        <f t="shared" si="54"/>
        <v>0</v>
      </c>
      <c r="T498" s="580">
        <f t="shared" si="53"/>
        <v>0</v>
      </c>
      <c r="U498" s="51"/>
      <c r="V498" s="2119"/>
      <c r="W498" s="43"/>
      <c r="X498" s="43"/>
      <c r="Y498" s="43"/>
      <c r="Z498" s="43"/>
    </row>
    <row r="499" spans="1:26" ht="15.75" customHeight="1">
      <c r="A499" s="88">
        <v>6275</v>
      </c>
      <c r="B499" s="1033" t="s">
        <v>522</v>
      </c>
      <c r="C499" s="1033"/>
      <c r="D499" s="1033"/>
      <c r="E499" s="1033"/>
      <c r="F499" s="1033"/>
      <c r="G499" s="1033"/>
      <c r="H499" s="1033"/>
      <c r="I499" s="1033"/>
      <c r="J499" s="1033"/>
      <c r="K499" s="1033"/>
      <c r="L499" s="90"/>
      <c r="M499" s="51"/>
      <c r="N499" s="113">
        <f t="shared" si="52"/>
        <v>6275</v>
      </c>
      <c r="O499" s="575">
        <v>0</v>
      </c>
      <c r="P499" s="582">
        <v>0</v>
      </c>
      <c r="Q499" s="589"/>
      <c r="R499" s="576"/>
      <c r="S499" s="583">
        <f t="shared" si="54"/>
        <v>0</v>
      </c>
      <c r="T499" s="580">
        <f t="shared" si="53"/>
        <v>0</v>
      </c>
      <c r="U499" s="51"/>
      <c r="V499" s="2119"/>
      <c r="W499" s="43"/>
      <c r="X499" s="43"/>
      <c r="Y499" s="43"/>
      <c r="Z499" s="43"/>
    </row>
    <row r="500" spans="1:26" ht="15.75" customHeight="1">
      <c r="A500" s="88">
        <v>6276</v>
      </c>
      <c r="B500" s="1033" t="s">
        <v>523</v>
      </c>
      <c r="C500" s="1033"/>
      <c r="D500" s="1033"/>
      <c r="E500" s="1033"/>
      <c r="F500" s="1033"/>
      <c r="G500" s="1033"/>
      <c r="H500" s="1033"/>
      <c r="I500" s="1033"/>
      <c r="J500" s="1033"/>
      <c r="K500" s="1033"/>
      <c r="L500" s="90"/>
      <c r="M500" s="51"/>
      <c r="N500" s="113">
        <f t="shared" si="52"/>
        <v>6276</v>
      </c>
      <c r="O500" s="575">
        <v>0</v>
      </c>
      <c r="P500" s="582">
        <v>0</v>
      </c>
      <c r="Q500" s="589"/>
      <c r="R500" s="576"/>
      <c r="S500" s="583">
        <f t="shared" si="54"/>
        <v>0</v>
      </c>
      <c r="T500" s="580">
        <f t="shared" si="53"/>
        <v>0</v>
      </c>
      <c r="U500" s="51"/>
      <c r="V500" s="2119"/>
      <c r="W500" s="43"/>
      <c r="X500" s="43"/>
      <c r="Y500" s="43"/>
      <c r="Z500" s="43"/>
    </row>
    <row r="501" spans="1:26" ht="15.75" customHeight="1">
      <c r="A501" s="88">
        <v>6277</v>
      </c>
      <c r="B501" s="1033" t="s">
        <v>524</v>
      </c>
      <c r="C501" s="1033"/>
      <c r="D501" s="1033"/>
      <c r="E501" s="1033"/>
      <c r="F501" s="1033"/>
      <c r="G501" s="1033"/>
      <c r="H501" s="1033"/>
      <c r="I501" s="1033"/>
      <c r="J501" s="1033"/>
      <c r="K501" s="1033"/>
      <c r="L501" s="90"/>
      <c r="M501" s="51"/>
      <c r="N501" s="113">
        <f t="shared" si="52"/>
        <v>6277</v>
      </c>
      <c r="O501" s="575">
        <v>0</v>
      </c>
      <c r="P501" s="582">
        <v>0</v>
      </c>
      <c r="Q501" s="589"/>
      <c r="R501" s="576"/>
      <c r="S501" s="583">
        <f t="shared" si="54"/>
        <v>0</v>
      </c>
      <c r="T501" s="580">
        <f t="shared" si="53"/>
        <v>0</v>
      </c>
      <c r="U501" s="51"/>
      <c r="V501" s="2119"/>
      <c r="W501" s="43"/>
      <c r="X501" s="43"/>
      <c r="Y501" s="43"/>
      <c r="Z501" s="43"/>
    </row>
    <row r="502" spans="1:26" ht="15.75" customHeight="1">
      <c r="A502" s="88">
        <v>6278</v>
      </c>
      <c r="B502" s="1033" t="s">
        <v>578</v>
      </c>
      <c r="C502" s="1033"/>
      <c r="D502" s="1033"/>
      <c r="E502" s="1033"/>
      <c r="F502" s="1033"/>
      <c r="G502" s="1033"/>
      <c r="H502" s="1033"/>
      <c r="I502" s="1033"/>
      <c r="J502" s="1033"/>
      <c r="K502" s="1033"/>
      <c r="L502" s="90"/>
      <c r="M502" s="51"/>
      <c r="N502" s="113">
        <f t="shared" si="52"/>
        <v>6278</v>
      </c>
      <c r="O502" s="575">
        <v>0</v>
      </c>
      <c r="P502" s="582">
        <v>0</v>
      </c>
      <c r="Q502" s="589"/>
      <c r="R502" s="576"/>
      <c r="S502" s="583">
        <f t="shared" si="54"/>
        <v>0</v>
      </c>
      <c r="T502" s="580">
        <f t="shared" si="53"/>
        <v>0</v>
      </c>
      <c r="U502" s="51"/>
      <c r="V502" s="2119"/>
      <c r="W502" s="43"/>
      <c r="X502" s="43"/>
      <c r="Y502" s="43"/>
      <c r="Z502" s="43"/>
    </row>
    <row r="503" spans="1:26">
      <c r="A503" s="88">
        <v>6279</v>
      </c>
      <c r="B503" s="1033" t="s">
        <v>517</v>
      </c>
      <c r="C503" s="1033"/>
      <c r="D503" s="1033"/>
      <c r="E503" s="1033"/>
      <c r="F503" s="1033"/>
      <c r="G503" s="1033"/>
      <c r="H503" s="1033"/>
      <c r="I503" s="1033"/>
      <c r="J503" s="1033"/>
      <c r="K503" s="1033"/>
      <c r="L503" s="90"/>
      <c r="M503" s="51"/>
      <c r="N503" s="113">
        <f t="shared" si="52"/>
        <v>6279</v>
      </c>
      <c r="O503" s="575">
        <v>0</v>
      </c>
      <c r="P503" s="582">
        <v>0</v>
      </c>
      <c r="Q503" s="589"/>
      <c r="R503" s="576"/>
      <c r="S503" s="583">
        <f t="shared" si="54"/>
        <v>0</v>
      </c>
      <c r="T503" s="580">
        <f t="shared" si="53"/>
        <v>0</v>
      </c>
      <c r="U503" s="51"/>
      <c r="V503" s="2119"/>
      <c r="W503" s="43"/>
      <c r="X503" s="43"/>
      <c r="Y503" s="43"/>
      <c r="Z503" s="43"/>
    </row>
    <row r="504" spans="1:26">
      <c r="A504" s="88">
        <v>6281</v>
      </c>
      <c r="B504" s="1033" t="s">
        <v>560</v>
      </c>
      <c r="C504" s="1033"/>
      <c r="D504" s="1033"/>
      <c r="E504" s="1033"/>
      <c r="F504" s="1033"/>
      <c r="G504" s="1033"/>
      <c r="H504" s="1033"/>
      <c r="I504" s="1033"/>
      <c r="J504" s="1033"/>
      <c r="K504" s="1033"/>
      <c r="L504" s="90"/>
      <c r="M504" s="51"/>
      <c r="N504" s="113">
        <f t="shared" si="52"/>
        <v>6281</v>
      </c>
      <c r="O504" s="575">
        <v>0</v>
      </c>
      <c r="P504" s="582">
        <v>0</v>
      </c>
      <c r="Q504" s="589"/>
      <c r="R504" s="576"/>
      <c r="S504" s="583">
        <f t="shared" si="54"/>
        <v>0</v>
      </c>
      <c r="T504" s="580">
        <f t="shared" si="53"/>
        <v>0</v>
      </c>
      <c r="U504" s="51"/>
      <c r="V504" s="2119"/>
      <c r="W504" s="43"/>
      <c r="X504" s="43"/>
      <c r="Y504" s="43"/>
      <c r="Z504" s="43"/>
    </row>
    <row r="505" spans="1:26">
      <c r="A505" s="88">
        <v>6282</v>
      </c>
      <c r="B505" s="1033" t="s">
        <v>561</v>
      </c>
      <c r="C505" s="1033"/>
      <c r="D505" s="1033"/>
      <c r="E505" s="1033"/>
      <c r="F505" s="1033"/>
      <c r="G505" s="1033"/>
      <c r="H505" s="1033"/>
      <c r="I505" s="1033"/>
      <c r="J505" s="1033"/>
      <c r="K505" s="1033"/>
      <c r="L505" s="90"/>
      <c r="M505" s="51"/>
      <c r="N505" s="113">
        <f t="shared" si="52"/>
        <v>6282</v>
      </c>
      <c r="O505" s="575">
        <v>0</v>
      </c>
      <c r="P505" s="582">
        <v>0</v>
      </c>
      <c r="Q505" s="589"/>
      <c r="R505" s="576"/>
      <c r="S505" s="583">
        <f t="shared" si="54"/>
        <v>0</v>
      </c>
      <c r="T505" s="580">
        <f t="shared" si="53"/>
        <v>0</v>
      </c>
      <c r="U505" s="51"/>
      <c r="V505" s="2119"/>
      <c r="W505" s="43"/>
      <c r="X505" s="43"/>
      <c r="Y505" s="43"/>
      <c r="Z505" s="43"/>
    </row>
    <row r="506" spans="1:26">
      <c r="A506" s="88">
        <v>6291</v>
      </c>
      <c r="B506" s="1033" t="s">
        <v>562</v>
      </c>
      <c r="C506" s="1033"/>
      <c r="D506" s="1033"/>
      <c r="E506" s="1033"/>
      <c r="F506" s="1033"/>
      <c r="G506" s="1033"/>
      <c r="H506" s="1033"/>
      <c r="I506" s="1033"/>
      <c r="J506" s="1033"/>
      <c r="K506" s="1033"/>
      <c r="L506" s="90"/>
      <c r="M506" s="51"/>
      <c r="N506" s="113">
        <f t="shared" si="52"/>
        <v>6291</v>
      </c>
      <c r="O506" s="575">
        <v>0</v>
      </c>
      <c r="P506" s="582">
        <v>0</v>
      </c>
      <c r="Q506" s="589"/>
      <c r="R506" s="576"/>
      <c r="S506" s="583">
        <f t="shared" si="54"/>
        <v>0</v>
      </c>
      <c r="T506" s="580">
        <f t="shared" si="53"/>
        <v>0</v>
      </c>
      <c r="U506" s="51"/>
      <c r="V506" s="2119"/>
      <c r="W506" s="43"/>
      <c r="X506" s="43"/>
      <c r="Y506" s="43"/>
      <c r="Z506" s="43"/>
    </row>
    <row r="507" spans="1:26">
      <c r="A507" s="88">
        <v>6292</v>
      </c>
      <c r="B507" s="1033" t="s">
        <v>563</v>
      </c>
      <c r="C507" s="1033"/>
      <c r="D507" s="1033"/>
      <c r="E507" s="1033"/>
      <c r="F507" s="1033"/>
      <c r="G507" s="1033"/>
      <c r="H507" s="1033"/>
      <c r="I507" s="1033"/>
      <c r="J507" s="1033"/>
      <c r="K507" s="1033"/>
      <c r="L507" s="90"/>
      <c r="M507" s="51"/>
      <c r="N507" s="113">
        <f t="shared" si="52"/>
        <v>6292</v>
      </c>
      <c r="O507" s="575">
        <v>0</v>
      </c>
      <c r="P507" s="582">
        <v>0</v>
      </c>
      <c r="Q507" s="589"/>
      <c r="R507" s="576"/>
      <c r="S507" s="583">
        <f t="shared" si="54"/>
        <v>0</v>
      </c>
      <c r="T507" s="580">
        <f t="shared" si="53"/>
        <v>0</v>
      </c>
      <c r="U507" s="51"/>
      <c r="V507" s="2119"/>
      <c r="W507" s="43"/>
      <c r="X507" s="43"/>
      <c r="Y507" s="43"/>
      <c r="Z507" s="43"/>
    </row>
    <row r="508" spans="1:26" ht="15.75" customHeight="1">
      <c r="A508" s="88">
        <v>6298</v>
      </c>
      <c r="B508" s="1033" t="s">
        <v>579</v>
      </c>
      <c r="C508" s="1033"/>
      <c r="D508" s="1033"/>
      <c r="E508" s="1033"/>
      <c r="F508" s="1033"/>
      <c r="G508" s="1033"/>
      <c r="H508" s="1033"/>
      <c r="I508" s="1033"/>
      <c r="J508" s="1033"/>
      <c r="K508" s="1033"/>
      <c r="L508" s="90"/>
      <c r="M508" s="51"/>
      <c r="N508" s="113">
        <f t="shared" si="52"/>
        <v>6298</v>
      </c>
      <c r="O508" s="575">
        <v>0</v>
      </c>
      <c r="P508" s="582">
        <v>0</v>
      </c>
      <c r="Q508" s="589"/>
      <c r="R508" s="576"/>
      <c r="S508" s="583">
        <f t="shared" si="54"/>
        <v>0</v>
      </c>
      <c r="T508" s="580">
        <f t="shared" si="53"/>
        <v>0</v>
      </c>
      <c r="U508" s="51"/>
      <c r="V508" s="2119"/>
      <c r="W508" s="43"/>
      <c r="X508" s="43"/>
      <c r="Y508" s="43"/>
      <c r="Z508" s="43"/>
    </row>
    <row r="509" spans="1:26">
      <c r="A509" s="88">
        <v>6401</v>
      </c>
      <c r="B509" s="1033" t="s">
        <v>580</v>
      </c>
      <c r="C509" s="1033"/>
      <c r="D509" s="1033"/>
      <c r="E509" s="1033"/>
      <c r="F509" s="1033"/>
      <c r="G509" s="1033"/>
      <c r="H509" s="1033"/>
      <c r="I509" s="1033"/>
      <c r="J509" s="1033"/>
      <c r="K509" s="1033"/>
      <c r="L509" s="90"/>
      <c r="M509" s="51"/>
      <c r="N509" s="113">
        <f t="shared" si="52"/>
        <v>6401</v>
      </c>
      <c r="O509" s="575">
        <v>0</v>
      </c>
      <c r="P509" s="582">
        <v>0</v>
      </c>
      <c r="Q509" s="589"/>
      <c r="R509" s="576"/>
      <c r="S509" s="583">
        <f t="shared" si="54"/>
        <v>0</v>
      </c>
      <c r="T509" s="580">
        <f t="shared" si="53"/>
        <v>0</v>
      </c>
      <c r="U509" s="51"/>
      <c r="V509" s="2119"/>
      <c r="W509" s="43"/>
      <c r="X509" s="43"/>
      <c r="Y509" s="43"/>
      <c r="Z509" s="43"/>
    </row>
    <row r="510" spans="1:26">
      <c r="A510" s="88">
        <v>6402</v>
      </c>
      <c r="B510" s="1033" t="s">
        <v>581</v>
      </c>
      <c r="C510" s="1033"/>
      <c r="D510" s="1033"/>
      <c r="E510" s="1033"/>
      <c r="F510" s="1033"/>
      <c r="G510" s="1033"/>
      <c r="H510" s="1033"/>
      <c r="I510" s="1033"/>
      <c r="J510" s="1033"/>
      <c r="K510" s="1033"/>
      <c r="L510" s="90"/>
      <c r="M510" s="51"/>
      <c r="N510" s="113">
        <f t="shared" si="52"/>
        <v>6402</v>
      </c>
      <c r="O510" s="575">
        <v>0</v>
      </c>
      <c r="P510" s="582">
        <v>0</v>
      </c>
      <c r="Q510" s="589"/>
      <c r="R510" s="576"/>
      <c r="S510" s="583">
        <f t="shared" si="54"/>
        <v>0</v>
      </c>
      <c r="T510" s="580">
        <f t="shared" si="53"/>
        <v>0</v>
      </c>
      <c r="U510" s="51"/>
      <c r="V510" s="2119"/>
      <c r="W510" s="43"/>
      <c r="X510" s="43"/>
      <c r="Y510" s="43"/>
      <c r="Z510" s="43"/>
    </row>
    <row r="511" spans="1:26">
      <c r="A511" s="88">
        <v>6411</v>
      </c>
      <c r="B511" s="1033" t="s">
        <v>582</v>
      </c>
      <c r="C511" s="1033"/>
      <c r="D511" s="1033"/>
      <c r="E511" s="1033"/>
      <c r="F511" s="1033"/>
      <c r="G511" s="1033"/>
      <c r="H511" s="1033"/>
      <c r="I511" s="1033"/>
      <c r="J511" s="1033"/>
      <c r="K511" s="1033"/>
      <c r="L511" s="90"/>
      <c r="M511" s="51"/>
      <c r="N511" s="113">
        <f t="shared" si="52"/>
        <v>6411</v>
      </c>
      <c r="O511" s="575">
        <v>0</v>
      </c>
      <c r="P511" s="582">
        <v>0</v>
      </c>
      <c r="Q511" s="589">
        <v>0</v>
      </c>
      <c r="R511" s="576">
        <v>0</v>
      </c>
      <c r="S511" s="583">
        <f t="shared" si="54"/>
        <v>0</v>
      </c>
      <c r="T511" s="580">
        <f t="shared" si="53"/>
        <v>0</v>
      </c>
      <c r="U511" s="51"/>
      <c r="V511" s="2119"/>
      <c r="W511" s="43"/>
      <c r="X511" s="43"/>
      <c r="Y511" s="43"/>
      <c r="Z511" s="43"/>
    </row>
    <row r="512" spans="1:26">
      <c r="A512" s="88">
        <v>6412</v>
      </c>
      <c r="B512" s="1033" t="s">
        <v>583</v>
      </c>
      <c r="C512" s="1033"/>
      <c r="D512" s="1033"/>
      <c r="E512" s="1033"/>
      <c r="F512" s="1033"/>
      <c r="G512" s="1033"/>
      <c r="H512" s="1033"/>
      <c r="I512" s="1033"/>
      <c r="J512" s="1033"/>
      <c r="K512" s="1033"/>
      <c r="L512" s="90"/>
      <c r="M512" s="51"/>
      <c r="N512" s="113">
        <f t="shared" ref="N512:N575" si="55">+A512</f>
        <v>6412</v>
      </c>
      <c r="O512" s="575">
        <v>0</v>
      </c>
      <c r="P512" s="582">
        <v>0</v>
      </c>
      <c r="Q512" s="589"/>
      <c r="R512" s="576"/>
      <c r="S512" s="583">
        <f t="shared" si="54"/>
        <v>0</v>
      </c>
      <c r="T512" s="580">
        <f t="shared" si="53"/>
        <v>0</v>
      </c>
      <c r="U512" s="51"/>
      <c r="V512" s="2119"/>
      <c r="W512" s="43"/>
      <c r="X512" s="43"/>
      <c r="Y512" s="43"/>
      <c r="Z512" s="43"/>
    </row>
    <row r="513" spans="1:26">
      <c r="A513" s="88">
        <v>6421</v>
      </c>
      <c r="B513" s="378" t="s">
        <v>584</v>
      </c>
      <c r="C513" s="1033"/>
      <c r="D513" s="1033"/>
      <c r="E513" s="1033"/>
      <c r="F513" s="1033"/>
      <c r="G513" s="1033"/>
      <c r="H513" s="1033"/>
      <c r="I513" s="1033"/>
      <c r="J513" s="1033"/>
      <c r="K513" s="1033"/>
      <c r="L513" s="90"/>
      <c r="M513" s="51"/>
      <c r="N513" s="113">
        <f t="shared" si="55"/>
        <v>6421</v>
      </c>
      <c r="O513" s="575">
        <v>0</v>
      </c>
      <c r="P513" s="582">
        <v>0</v>
      </c>
      <c r="Q513" s="589"/>
      <c r="R513" s="576"/>
      <c r="S513" s="583">
        <f t="shared" si="54"/>
        <v>0</v>
      </c>
      <c r="T513" s="580">
        <f t="shared" si="53"/>
        <v>0</v>
      </c>
      <c r="U513" s="51"/>
      <c r="V513" s="2119"/>
      <c r="W513" s="43"/>
      <c r="X513" s="43"/>
      <c r="Y513" s="43"/>
      <c r="Z513" s="43"/>
    </row>
    <row r="514" spans="1:26">
      <c r="A514" s="88">
        <v>6422</v>
      </c>
      <c r="B514" s="378" t="s">
        <v>585</v>
      </c>
      <c r="C514" s="1033"/>
      <c r="D514" s="1033"/>
      <c r="E514" s="1033"/>
      <c r="F514" s="1033"/>
      <c r="G514" s="1033"/>
      <c r="H514" s="1033"/>
      <c r="I514" s="1033"/>
      <c r="J514" s="1033"/>
      <c r="K514" s="1033"/>
      <c r="L514" s="90"/>
      <c r="M514" s="51"/>
      <c r="N514" s="113">
        <f t="shared" si="55"/>
        <v>6422</v>
      </c>
      <c r="O514" s="575">
        <v>0</v>
      </c>
      <c r="P514" s="582">
        <v>0</v>
      </c>
      <c r="Q514" s="589"/>
      <c r="R514" s="576"/>
      <c r="S514" s="583">
        <f t="shared" si="54"/>
        <v>0</v>
      </c>
      <c r="T514" s="580">
        <f t="shared" si="53"/>
        <v>0</v>
      </c>
      <c r="U514" s="51"/>
      <c r="V514" s="2119"/>
      <c r="W514" s="43"/>
      <c r="X514" s="43"/>
      <c r="Y514" s="43"/>
      <c r="Z514" s="43"/>
    </row>
    <row r="515" spans="1:26">
      <c r="A515" s="88">
        <v>6423</v>
      </c>
      <c r="B515" s="378" t="s">
        <v>586</v>
      </c>
      <c r="C515" s="1033"/>
      <c r="D515" s="1033"/>
      <c r="E515" s="1033"/>
      <c r="F515" s="1033"/>
      <c r="G515" s="1033"/>
      <c r="H515" s="1033"/>
      <c r="I515" s="1033"/>
      <c r="J515" s="1033"/>
      <c r="K515" s="1033"/>
      <c r="L515" s="90"/>
      <c r="M515" s="51"/>
      <c r="N515" s="113">
        <f t="shared" si="55"/>
        <v>6423</v>
      </c>
      <c r="O515" s="575">
        <v>0</v>
      </c>
      <c r="P515" s="582">
        <v>0</v>
      </c>
      <c r="Q515" s="589"/>
      <c r="R515" s="576"/>
      <c r="S515" s="583">
        <f t="shared" si="54"/>
        <v>0</v>
      </c>
      <c r="T515" s="580">
        <f t="shared" si="53"/>
        <v>0</v>
      </c>
      <c r="U515" s="51"/>
      <c r="V515" s="2119"/>
      <c r="W515" s="43"/>
      <c r="X515" s="43"/>
      <c r="Y515" s="43"/>
      <c r="Z515" s="43"/>
    </row>
    <row r="516" spans="1:26">
      <c r="A516" s="88">
        <v>6424</v>
      </c>
      <c r="B516" s="378" t="s">
        <v>587</v>
      </c>
      <c r="C516" s="1033"/>
      <c r="D516" s="1033"/>
      <c r="E516" s="1033"/>
      <c r="F516" s="1033"/>
      <c r="G516" s="1033"/>
      <c r="H516" s="1033"/>
      <c r="I516" s="1033"/>
      <c r="J516" s="1033"/>
      <c r="K516" s="1033"/>
      <c r="L516" s="90"/>
      <c r="M516" s="51"/>
      <c r="N516" s="113">
        <f t="shared" si="55"/>
        <v>6424</v>
      </c>
      <c r="O516" s="575">
        <v>0</v>
      </c>
      <c r="P516" s="582">
        <v>0</v>
      </c>
      <c r="Q516" s="589"/>
      <c r="R516" s="576"/>
      <c r="S516" s="583">
        <f t="shared" si="54"/>
        <v>0</v>
      </c>
      <c r="T516" s="580">
        <f t="shared" si="53"/>
        <v>0</v>
      </c>
      <c r="U516" s="51"/>
      <c r="V516" s="2119"/>
      <c r="W516" s="43"/>
      <c r="X516" s="43"/>
      <c r="Y516" s="43"/>
      <c r="Z516" s="43"/>
    </row>
    <row r="517" spans="1:26">
      <c r="A517" s="88">
        <v>6425</v>
      </c>
      <c r="B517" s="378" t="s">
        <v>588</v>
      </c>
      <c r="C517" s="1033"/>
      <c r="D517" s="1033"/>
      <c r="E517" s="1033"/>
      <c r="F517" s="1033"/>
      <c r="G517" s="1033"/>
      <c r="H517" s="1033"/>
      <c r="I517" s="1033"/>
      <c r="J517" s="1033"/>
      <c r="K517" s="1033"/>
      <c r="L517" s="90"/>
      <c r="M517" s="51"/>
      <c r="N517" s="113">
        <f t="shared" si="55"/>
        <v>6425</v>
      </c>
      <c r="O517" s="575">
        <v>0</v>
      </c>
      <c r="P517" s="582">
        <v>0</v>
      </c>
      <c r="Q517" s="589"/>
      <c r="R517" s="576"/>
      <c r="S517" s="583">
        <f t="shared" si="54"/>
        <v>0</v>
      </c>
      <c r="T517" s="580">
        <f t="shared" si="53"/>
        <v>0</v>
      </c>
      <c r="U517" s="51"/>
      <c r="V517" s="2119"/>
      <c r="W517" s="43"/>
      <c r="X517" s="43"/>
      <c r="Y517" s="43"/>
      <c r="Z517" s="43"/>
    </row>
    <row r="518" spans="1:26">
      <c r="A518" s="88">
        <v>6426</v>
      </c>
      <c r="B518" s="378" t="s">
        <v>589</v>
      </c>
      <c r="C518" s="1033"/>
      <c r="D518" s="1033"/>
      <c r="E518" s="1033"/>
      <c r="F518" s="1033"/>
      <c r="G518" s="1033"/>
      <c r="H518" s="1033"/>
      <c r="I518" s="1033"/>
      <c r="J518" s="1033"/>
      <c r="K518" s="1033"/>
      <c r="L518" s="90"/>
      <c r="M518" s="51"/>
      <c r="N518" s="113">
        <f t="shared" si="55"/>
        <v>6426</v>
      </c>
      <c r="O518" s="575">
        <v>0</v>
      </c>
      <c r="P518" s="582">
        <v>0</v>
      </c>
      <c r="Q518" s="589"/>
      <c r="R518" s="576"/>
      <c r="S518" s="583">
        <f t="shared" si="54"/>
        <v>0</v>
      </c>
      <c r="T518" s="580">
        <f t="shared" si="53"/>
        <v>0</v>
      </c>
      <c r="U518" s="51"/>
      <c r="V518" s="2119"/>
      <c r="W518" s="43"/>
      <c r="X518" s="43"/>
      <c r="Y518" s="43"/>
      <c r="Z518" s="43"/>
    </row>
    <row r="519" spans="1:26">
      <c r="A519" s="88">
        <v>6427</v>
      </c>
      <c r="B519" s="378" t="s">
        <v>598</v>
      </c>
      <c r="C519" s="1033"/>
      <c r="D519" s="1033"/>
      <c r="E519" s="1033"/>
      <c r="F519" s="1033"/>
      <c r="G519" s="1033"/>
      <c r="H519" s="1033"/>
      <c r="I519" s="1033"/>
      <c r="J519" s="1033"/>
      <c r="K519" s="1033"/>
      <c r="L519" s="90"/>
      <c r="M519" s="51"/>
      <c r="N519" s="113">
        <f t="shared" si="55"/>
        <v>6427</v>
      </c>
      <c r="O519" s="575">
        <v>0</v>
      </c>
      <c r="P519" s="582">
        <v>0</v>
      </c>
      <c r="Q519" s="589"/>
      <c r="R519" s="576"/>
      <c r="S519" s="583">
        <f t="shared" si="54"/>
        <v>0</v>
      </c>
      <c r="T519" s="580">
        <f t="shared" si="53"/>
        <v>0</v>
      </c>
      <c r="U519" s="51"/>
      <c r="V519" s="2119"/>
      <c r="W519" s="43"/>
      <c r="X519" s="43"/>
      <c r="Y519" s="43"/>
      <c r="Z519" s="43"/>
    </row>
    <row r="520" spans="1:26">
      <c r="A520" s="88">
        <v>6428</v>
      </c>
      <c r="B520" s="378" t="s">
        <v>599</v>
      </c>
      <c r="C520" s="1033"/>
      <c r="D520" s="1033"/>
      <c r="E520" s="1033"/>
      <c r="F520" s="1033"/>
      <c r="G520" s="1033"/>
      <c r="H520" s="1033"/>
      <c r="I520" s="1033"/>
      <c r="J520" s="1033"/>
      <c r="K520" s="1033"/>
      <c r="L520" s="90"/>
      <c r="M520" s="51"/>
      <c r="N520" s="113">
        <f t="shared" si="55"/>
        <v>6428</v>
      </c>
      <c r="O520" s="575">
        <v>0</v>
      </c>
      <c r="P520" s="582">
        <v>0</v>
      </c>
      <c r="Q520" s="589"/>
      <c r="R520" s="576"/>
      <c r="S520" s="583">
        <f t="shared" si="54"/>
        <v>0</v>
      </c>
      <c r="T520" s="580">
        <f t="shared" si="53"/>
        <v>0</v>
      </c>
      <c r="U520" s="51"/>
      <c r="V520" s="2119"/>
      <c r="W520" s="43"/>
      <c r="X520" s="43"/>
      <c r="Y520" s="43"/>
      <c r="Z520" s="43"/>
    </row>
    <row r="521" spans="1:26">
      <c r="A521" s="88">
        <v>6430</v>
      </c>
      <c r="B521" s="1033" t="s">
        <v>899</v>
      </c>
      <c r="C521" s="1033"/>
      <c r="D521" s="1033"/>
      <c r="E521" s="1033"/>
      <c r="F521" s="1033"/>
      <c r="G521" s="1033"/>
      <c r="H521" s="1033"/>
      <c r="I521" s="1033"/>
      <c r="J521" s="1033"/>
      <c r="K521" s="1033"/>
      <c r="L521" s="90"/>
      <c r="M521" s="51"/>
      <c r="N521" s="113">
        <f t="shared" si="55"/>
        <v>6430</v>
      </c>
      <c r="O521" s="575">
        <v>0</v>
      </c>
      <c r="P521" s="582">
        <v>0</v>
      </c>
      <c r="Q521" s="589"/>
      <c r="R521" s="576"/>
      <c r="S521" s="583">
        <f t="shared" si="54"/>
        <v>0</v>
      </c>
      <c r="T521" s="580">
        <f t="shared" si="53"/>
        <v>0</v>
      </c>
      <c r="U521" s="51"/>
      <c r="V521" s="2119"/>
      <c r="W521" s="43"/>
      <c r="X521" s="43"/>
      <c r="Y521" s="43"/>
      <c r="Z521" s="43"/>
    </row>
    <row r="522" spans="1:26" ht="15.75" customHeight="1">
      <c r="A522" s="88">
        <v>6437</v>
      </c>
      <c r="B522" s="1033" t="s">
        <v>600</v>
      </c>
      <c r="C522" s="1033"/>
      <c r="D522" s="1033"/>
      <c r="E522" s="1033"/>
      <c r="F522" s="1033"/>
      <c r="G522" s="1033"/>
      <c r="H522" s="1033"/>
      <c r="I522" s="1033"/>
      <c r="J522" s="1033"/>
      <c r="K522" s="1033"/>
      <c r="L522" s="90"/>
      <c r="M522" s="51"/>
      <c r="N522" s="113">
        <f t="shared" si="55"/>
        <v>6437</v>
      </c>
      <c r="O522" s="575">
        <v>0</v>
      </c>
      <c r="P522" s="582">
        <v>0</v>
      </c>
      <c r="Q522" s="589"/>
      <c r="R522" s="576"/>
      <c r="S522" s="583">
        <f t="shared" si="54"/>
        <v>0</v>
      </c>
      <c r="T522" s="580">
        <f t="shared" si="53"/>
        <v>0</v>
      </c>
      <c r="U522" s="51"/>
      <c r="V522" s="2119"/>
      <c r="W522" s="43"/>
      <c r="X522" s="43"/>
      <c r="Y522" s="43"/>
      <c r="Z522" s="43"/>
    </row>
    <row r="523" spans="1:26" ht="15.75" customHeight="1">
      <c r="A523" s="88">
        <v>6438</v>
      </c>
      <c r="B523" s="1033" t="s">
        <v>601</v>
      </c>
      <c r="C523" s="1033"/>
      <c r="D523" s="1033"/>
      <c r="E523" s="1033"/>
      <c r="F523" s="1033"/>
      <c r="G523" s="1033"/>
      <c r="H523" s="1033"/>
      <c r="I523" s="1033"/>
      <c r="J523" s="1033"/>
      <c r="K523" s="1033"/>
      <c r="L523" s="90"/>
      <c r="M523" s="51"/>
      <c r="N523" s="113">
        <f t="shared" si="55"/>
        <v>6438</v>
      </c>
      <c r="O523" s="575">
        <v>0</v>
      </c>
      <c r="P523" s="582">
        <v>0</v>
      </c>
      <c r="Q523" s="589"/>
      <c r="R523" s="576"/>
      <c r="S523" s="583">
        <f t="shared" si="54"/>
        <v>0</v>
      </c>
      <c r="T523" s="580">
        <f t="shared" si="53"/>
        <v>0</v>
      </c>
      <c r="U523" s="51"/>
      <c r="V523" s="2119"/>
      <c r="W523" s="43"/>
      <c r="X523" s="43"/>
      <c r="Y523" s="43"/>
      <c r="Z523" s="43"/>
    </row>
    <row r="524" spans="1:26" ht="15.75" customHeight="1">
      <c r="A524" s="88">
        <v>6440</v>
      </c>
      <c r="B524" s="1033" t="s">
        <v>602</v>
      </c>
      <c r="C524" s="1033"/>
      <c r="D524" s="1033"/>
      <c r="E524" s="1033"/>
      <c r="F524" s="1033"/>
      <c r="G524" s="1033"/>
      <c r="H524" s="1033"/>
      <c r="I524" s="1033"/>
      <c r="J524" s="1033"/>
      <c r="K524" s="1033"/>
      <c r="L524" s="90"/>
      <c r="M524" s="51"/>
      <c r="N524" s="113">
        <f t="shared" si="55"/>
        <v>6440</v>
      </c>
      <c r="O524" s="575">
        <v>0</v>
      </c>
      <c r="P524" s="582">
        <v>0</v>
      </c>
      <c r="Q524" s="589"/>
      <c r="R524" s="576"/>
      <c r="S524" s="583">
        <f t="shared" si="54"/>
        <v>0</v>
      </c>
      <c r="T524" s="580">
        <f t="shared" si="53"/>
        <v>0</v>
      </c>
      <c r="U524" s="51"/>
      <c r="V524" s="2119"/>
      <c r="W524" s="43"/>
      <c r="X524" s="43"/>
      <c r="Y524" s="43"/>
      <c r="Z524" s="43"/>
    </row>
    <row r="525" spans="1:26">
      <c r="A525" s="606">
        <v>6441</v>
      </c>
      <c r="B525" s="378" t="s">
        <v>603</v>
      </c>
      <c r="C525" s="1033"/>
      <c r="D525" s="1033"/>
      <c r="E525" s="1033"/>
      <c r="F525" s="1033"/>
      <c r="G525" s="1033"/>
      <c r="H525" s="1033"/>
      <c r="I525" s="1033"/>
      <c r="J525" s="1033"/>
      <c r="K525" s="1033"/>
      <c r="L525" s="90"/>
      <c r="M525" s="51"/>
      <c r="N525" s="113">
        <f t="shared" si="55"/>
        <v>6441</v>
      </c>
      <c r="O525" s="575">
        <v>0</v>
      </c>
      <c r="P525" s="582">
        <v>0</v>
      </c>
      <c r="Q525" s="589">
        <v>0</v>
      </c>
      <c r="R525" s="576">
        <v>0</v>
      </c>
      <c r="S525" s="583">
        <f t="shared" si="54"/>
        <v>0</v>
      </c>
      <c r="T525" s="580">
        <f t="shared" si="53"/>
        <v>0</v>
      </c>
      <c r="U525" s="51"/>
      <c r="V525" s="2119"/>
      <c r="W525" s="43"/>
      <c r="X525" s="43"/>
      <c r="Y525" s="43"/>
      <c r="Z525" s="43"/>
    </row>
    <row r="526" spans="1:26">
      <c r="A526" s="606">
        <v>6442</v>
      </c>
      <c r="B526" s="378" t="s">
        <v>604</v>
      </c>
      <c r="C526" s="1033"/>
      <c r="D526" s="1033"/>
      <c r="E526" s="1033"/>
      <c r="F526" s="1033"/>
      <c r="G526" s="1033"/>
      <c r="H526" s="1033"/>
      <c r="I526" s="1033"/>
      <c r="J526" s="1033"/>
      <c r="K526" s="1033"/>
      <c r="L526" s="90"/>
      <c r="M526" s="51"/>
      <c r="N526" s="113">
        <f t="shared" si="55"/>
        <v>6442</v>
      </c>
      <c r="O526" s="575">
        <v>0</v>
      </c>
      <c r="P526" s="582">
        <v>0</v>
      </c>
      <c r="Q526" s="589"/>
      <c r="R526" s="576"/>
      <c r="S526" s="583">
        <f t="shared" si="54"/>
        <v>0</v>
      </c>
      <c r="T526" s="580">
        <f t="shared" si="53"/>
        <v>0</v>
      </c>
      <c r="U526" s="51"/>
      <c r="V526" s="2119"/>
      <c r="W526" s="43"/>
      <c r="X526" s="43"/>
      <c r="Y526" s="43"/>
      <c r="Z526" s="43"/>
    </row>
    <row r="527" spans="1:26">
      <c r="A527" s="606">
        <v>6443</v>
      </c>
      <c r="B527" s="378" t="s">
        <v>605</v>
      </c>
      <c r="C527" s="1033"/>
      <c r="D527" s="1033"/>
      <c r="E527" s="1033"/>
      <c r="F527" s="1033"/>
      <c r="G527" s="1033"/>
      <c r="H527" s="1033"/>
      <c r="I527" s="1033"/>
      <c r="J527" s="1033"/>
      <c r="K527" s="1033"/>
      <c r="L527" s="90"/>
      <c r="M527" s="51"/>
      <c r="N527" s="113">
        <f t="shared" si="55"/>
        <v>6443</v>
      </c>
      <c r="O527" s="575">
        <v>0</v>
      </c>
      <c r="P527" s="582">
        <v>0</v>
      </c>
      <c r="Q527" s="589"/>
      <c r="R527" s="576"/>
      <c r="S527" s="583">
        <f t="shared" si="54"/>
        <v>0</v>
      </c>
      <c r="T527" s="580">
        <f t="shared" si="53"/>
        <v>0</v>
      </c>
      <c r="U527" s="51"/>
      <c r="V527" s="2119"/>
      <c r="W527" s="43"/>
      <c r="X527" s="43"/>
      <c r="Y527" s="43"/>
      <c r="Z527" s="43"/>
    </row>
    <row r="528" spans="1:26">
      <c r="A528" s="606">
        <v>6444</v>
      </c>
      <c r="B528" s="378" t="s">
        <v>606</v>
      </c>
      <c r="C528" s="1033"/>
      <c r="D528" s="1033"/>
      <c r="E528" s="1033"/>
      <c r="F528" s="1033"/>
      <c r="G528" s="1033"/>
      <c r="H528" s="1033"/>
      <c r="I528" s="1033"/>
      <c r="J528" s="1033"/>
      <c r="K528" s="1033"/>
      <c r="L528" s="90"/>
      <c r="M528" s="51"/>
      <c r="N528" s="113">
        <f t="shared" si="55"/>
        <v>6444</v>
      </c>
      <c r="O528" s="575">
        <v>0</v>
      </c>
      <c r="P528" s="582">
        <v>0</v>
      </c>
      <c r="Q528" s="589"/>
      <c r="R528" s="576"/>
      <c r="S528" s="583">
        <f t="shared" si="54"/>
        <v>0</v>
      </c>
      <c r="T528" s="580">
        <f t="shared" si="53"/>
        <v>0</v>
      </c>
      <c r="U528" s="51"/>
      <c r="V528" s="2119"/>
      <c r="W528" s="43"/>
      <c r="X528" s="43"/>
      <c r="Y528" s="43"/>
      <c r="Z528" s="43"/>
    </row>
    <row r="529" spans="1:26">
      <c r="A529" s="606">
        <v>6445</v>
      </c>
      <c r="B529" s="378" t="s">
        <v>607</v>
      </c>
      <c r="C529" s="1033"/>
      <c r="D529" s="1033"/>
      <c r="E529" s="1033"/>
      <c r="F529" s="1033"/>
      <c r="G529" s="1033"/>
      <c r="H529" s="1033"/>
      <c r="I529" s="1033"/>
      <c r="J529" s="1033"/>
      <c r="K529" s="1033"/>
      <c r="L529" s="90"/>
      <c r="M529" s="51"/>
      <c r="N529" s="113">
        <f t="shared" si="55"/>
        <v>6445</v>
      </c>
      <c r="O529" s="575">
        <v>0</v>
      </c>
      <c r="P529" s="582">
        <v>0</v>
      </c>
      <c r="Q529" s="589"/>
      <c r="R529" s="576"/>
      <c r="S529" s="583">
        <f t="shared" si="54"/>
        <v>0</v>
      </c>
      <c r="T529" s="580">
        <f t="shared" si="53"/>
        <v>0</v>
      </c>
      <c r="U529" s="51"/>
      <c r="V529" s="2119"/>
      <c r="W529" s="43"/>
      <c r="X529" s="43"/>
      <c r="Y529" s="43"/>
      <c r="Z529" s="43"/>
    </row>
    <row r="530" spans="1:26">
      <c r="A530" s="606">
        <v>6446</v>
      </c>
      <c r="B530" s="378" t="s">
        <v>608</v>
      </c>
      <c r="C530" s="1033"/>
      <c r="D530" s="1033"/>
      <c r="E530" s="1033"/>
      <c r="F530" s="1033"/>
      <c r="G530" s="1033"/>
      <c r="H530" s="1033"/>
      <c r="I530" s="1033"/>
      <c r="J530" s="1033"/>
      <c r="K530" s="1033"/>
      <c r="L530" s="90"/>
      <c r="M530" s="51"/>
      <c r="N530" s="113">
        <f t="shared" si="55"/>
        <v>6446</v>
      </c>
      <c r="O530" s="575">
        <v>0</v>
      </c>
      <c r="P530" s="582">
        <v>0</v>
      </c>
      <c r="Q530" s="589"/>
      <c r="R530" s="576"/>
      <c r="S530" s="583">
        <f t="shared" si="54"/>
        <v>0</v>
      </c>
      <c r="T530" s="580">
        <f t="shared" si="53"/>
        <v>0</v>
      </c>
      <c r="U530" s="51"/>
      <c r="V530" s="2119"/>
      <c r="W530" s="43"/>
      <c r="X530" s="43"/>
      <c r="Y530" s="43"/>
      <c r="Z530" s="43"/>
    </row>
    <row r="531" spans="1:26">
      <c r="A531" s="606">
        <v>6447</v>
      </c>
      <c r="B531" s="378" t="s">
        <v>609</v>
      </c>
      <c r="C531" s="1033"/>
      <c r="D531" s="1033"/>
      <c r="E531" s="1033"/>
      <c r="F531" s="1033"/>
      <c r="G531" s="1033"/>
      <c r="H531" s="1033"/>
      <c r="I531" s="1033"/>
      <c r="J531" s="1033"/>
      <c r="K531" s="1033"/>
      <c r="L531" s="90"/>
      <c r="M531" s="51"/>
      <c r="N531" s="113">
        <f t="shared" si="55"/>
        <v>6447</v>
      </c>
      <c r="O531" s="575">
        <v>0</v>
      </c>
      <c r="P531" s="582">
        <v>0</v>
      </c>
      <c r="Q531" s="589"/>
      <c r="R531" s="576"/>
      <c r="S531" s="583">
        <f t="shared" si="54"/>
        <v>0</v>
      </c>
      <c r="T531" s="580">
        <f t="shared" si="53"/>
        <v>0</v>
      </c>
      <c r="U531" s="51"/>
      <c r="V531" s="2119"/>
      <c r="W531" s="43"/>
      <c r="X531" s="43"/>
      <c r="Y531" s="43"/>
      <c r="Z531" s="43"/>
    </row>
    <row r="532" spans="1:26">
      <c r="A532" s="606">
        <v>6448</v>
      </c>
      <c r="B532" s="378" t="s">
        <v>610</v>
      </c>
      <c r="C532" s="1033"/>
      <c r="D532" s="1033"/>
      <c r="E532" s="1033"/>
      <c r="F532" s="1033"/>
      <c r="G532" s="1033"/>
      <c r="H532" s="1033"/>
      <c r="I532" s="1033"/>
      <c r="J532" s="1033"/>
      <c r="K532" s="1033"/>
      <c r="L532" s="90"/>
      <c r="M532" s="51"/>
      <c r="N532" s="113">
        <f t="shared" si="55"/>
        <v>6448</v>
      </c>
      <c r="O532" s="575">
        <v>0</v>
      </c>
      <c r="P532" s="582">
        <v>0</v>
      </c>
      <c r="Q532" s="589"/>
      <c r="R532" s="576"/>
      <c r="S532" s="583">
        <f t="shared" si="54"/>
        <v>0</v>
      </c>
      <c r="T532" s="580">
        <f t="shared" si="53"/>
        <v>0</v>
      </c>
      <c r="U532" s="51"/>
      <c r="V532" s="2119"/>
      <c r="W532" s="43"/>
      <c r="X532" s="43"/>
      <c r="Y532" s="43"/>
      <c r="Z532" s="43"/>
    </row>
    <row r="533" spans="1:26" ht="15.75" customHeight="1">
      <c r="A533" s="606">
        <v>6449</v>
      </c>
      <c r="B533" s="378" t="s">
        <v>525</v>
      </c>
      <c r="C533" s="1033"/>
      <c r="D533" s="1033"/>
      <c r="E533" s="1033"/>
      <c r="F533" s="1033"/>
      <c r="G533" s="1033"/>
      <c r="H533" s="1033"/>
      <c r="I533" s="1033"/>
      <c r="J533" s="1033"/>
      <c r="K533" s="1033"/>
      <c r="L533" s="90"/>
      <c r="M533" s="51"/>
      <c r="N533" s="113">
        <f t="shared" si="55"/>
        <v>6449</v>
      </c>
      <c r="O533" s="575">
        <v>0</v>
      </c>
      <c r="P533" s="582">
        <v>0</v>
      </c>
      <c r="Q533" s="589"/>
      <c r="R533" s="576"/>
      <c r="S533" s="583">
        <f t="shared" si="54"/>
        <v>0</v>
      </c>
      <c r="T533" s="580">
        <f t="shared" si="53"/>
        <v>0</v>
      </c>
      <c r="U533" s="51"/>
      <c r="V533" s="2119"/>
      <c r="W533" s="43"/>
      <c r="X533" s="43"/>
      <c r="Y533" s="43"/>
      <c r="Z533" s="43"/>
    </row>
    <row r="534" spans="1:26">
      <c r="A534" s="88">
        <v>6451</v>
      </c>
      <c r="B534" s="378" t="s">
        <v>526</v>
      </c>
      <c r="C534" s="1033"/>
      <c r="D534" s="1033"/>
      <c r="E534" s="1033"/>
      <c r="F534" s="1033"/>
      <c r="G534" s="1033"/>
      <c r="H534" s="1033"/>
      <c r="I534" s="1033"/>
      <c r="J534" s="1033"/>
      <c r="K534" s="1033"/>
      <c r="L534" s="90"/>
      <c r="M534" s="51"/>
      <c r="N534" s="113">
        <f t="shared" si="55"/>
        <v>6451</v>
      </c>
      <c r="O534" s="575">
        <v>0</v>
      </c>
      <c r="P534" s="582">
        <v>0</v>
      </c>
      <c r="Q534" s="589">
        <v>0</v>
      </c>
      <c r="R534" s="576">
        <v>0</v>
      </c>
      <c r="S534" s="583">
        <f t="shared" si="54"/>
        <v>0</v>
      </c>
      <c r="T534" s="580">
        <f t="shared" si="53"/>
        <v>0</v>
      </c>
      <c r="U534" s="51"/>
      <c r="V534" s="2119"/>
      <c r="W534" s="43"/>
      <c r="X534" s="43"/>
      <c r="Y534" s="43"/>
      <c r="Z534" s="43"/>
    </row>
    <row r="535" spans="1:26">
      <c r="A535" s="88">
        <v>6453</v>
      </c>
      <c r="B535" s="1032" t="s">
        <v>527</v>
      </c>
      <c r="C535" s="1033"/>
      <c r="D535" s="1033"/>
      <c r="E535" s="1033"/>
      <c r="F535" s="1033"/>
      <c r="G535" s="1033"/>
      <c r="H535" s="1033"/>
      <c r="I535" s="1033"/>
      <c r="J535" s="1033"/>
      <c r="K535" s="1033"/>
      <c r="L535" s="90"/>
      <c r="M535" s="51"/>
      <c r="N535" s="113">
        <f t="shared" si="55"/>
        <v>6453</v>
      </c>
      <c r="O535" s="575">
        <v>0</v>
      </c>
      <c r="P535" s="582">
        <v>0</v>
      </c>
      <c r="Q535" s="589"/>
      <c r="R535" s="576"/>
      <c r="S535" s="583">
        <f t="shared" si="54"/>
        <v>0</v>
      </c>
      <c r="T535" s="580">
        <f t="shared" si="53"/>
        <v>0</v>
      </c>
      <c r="U535" s="51"/>
      <c r="V535" s="2119"/>
      <c r="W535" s="43"/>
      <c r="X535" s="43"/>
      <c r="Y535" s="43"/>
      <c r="Z535" s="43"/>
    </row>
    <row r="536" spans="1:26">
      <c r="A536" s="88">
        <v>6454</v>
      </c>
      <c r="B536" s="1032" t="s">
        <v>528</v>
      </c>
      <c r="C536" s="1033"/>
      <c r="D536" s="1033"/>
      <c r="E536" s="1033"/>
      <c r="F536" s="1033"/>
      <c r="G536" s="1033"/>
      <c r="H536" s="1033"/>
      <c r="I536" s="1033"/>
      <c r="J536" s="1033"/>
      <c r="K536" s="1033"/>
      <c r="L536" s="90"/>
      <c r="M536" s="51"/>
      <c r="N536" s="113">
        <f t="shared" si="55"/>
        <v>6454</v>
      </c>
      <c r="O536" s="575">
        <v>0</v>
      </c>
      <c r="P536" s="582">
        <v>0</v>
      </c>
      <c r="Q536" s="589"/>
      <c r="R536" s="576"/>
      <c r="S536" s="583">
        <f t="shared" si="54"/>
        <v>0</v>
      </c>
      <c r="T536" s="580">
        <f t="shared" si="53"/>
        <v>0</v>
      </c>
      <c r="U536" s="51"/>
      <c r="V536" s="2119"/>
      <c r="W536" s="43"/>
      <c r="X536" s="43"/>
      <c r="Y536" s="43"/>
      <c r="Z536" s="43"/>
    </row>
    <row r="537" spans="1:26">
      <c r="A537" s="88">
        <v>6455</v>
      </c>
      <c r="B537" s="1032" t="s">
        <v>529</v>
      </c>
      <c r="C537" s="1033"/>
      <c r="D537" s="1033"/>
      <c r="E537" s="1033"/>
      <c r="F537" s="1033"/>
      <c r="G537" s="1033"/>
      <c r="H537" s="1033"/>
      <c r="I537" s="1033"/>
      <c r="J537" s="1033"/>
      <c r="K537" s="1033"/>
      <c r="L537" s="90"/>
      <c r="M537" s="51"/>
      <c r="N537" s="113">
        <f t="shared" si="55"/>
        <v>6455</v>
      </c>
      <c r="O537" s="575">
        <v>0</v>
      </c>
      <c r="P537" s="582">
        <v>0</v>
      </c>
      <c r="Q537" s="589">
        <v>0</v>
      </c>
      <c r="R537" s="576">
        <v>0</v>
      </c>
      <c r="S537" s="583">
        <f t="shared" si="54"/>
        <v>0</v>
      </c>
      <c r="T537" s="580">
        <f t="shared" si="53"/>
        <v>0</v>
      </c>
      <c r="U537" s="51"/>
      <c r="V537" s="2119"/>
      <c r="W537" s="43"/>
      <c r="X537" s="43"/>
      <c r="Y537" s="43"/>
      <c r="Z537" s="43"/>
    </row>
    <row r="538" spans="1:26">
      <c r="A538" s="88">
        <v>6457</v>
      </c>
      <c r="B538" s="1032" t="s">
        <v>530</v>
      </c>
      <c r="C538" s="1033"/>
      <c r="D538" s="1033"/>
      <c r="E538" s="1033"/>
      <c r="F538" s="1033"/>
      <c r="G538" s="1033"/>
      <c r="H538" s="1033"/>
      <c r="I538" s="1033"/>
      <c r="J538" s="1033"/>
      <c r="K538" s="1033"/>
      <c r="L538" s="90"/>
      <c r="M538" s="51"/>
      <c r="N538" s="113">
        <f t="shared" si="55"/>
        <v>6457</v>
      </c>
      <c r="O538" s="575">
        <v>0</v>
      </c>
      <c r="P538" s="582">
        <v>0</v>
      </c>
      <c r="Q538" s="589">
        <v>0</v>
      </c>
      <c r="R538" s="576">
        <v>0</v>
      </c>
      <c r="S538" s="583">
        <f t="shared" si="54"/>
        <v>0</v>
      </c>
      <c r="T538" s="580">
        <f t="shared" si="53"/>
        <v>0</v>
      </c>
      <c r="U538" s="51"/>
      <c r="V538" s="2119"/>
      <c r="W538" s="43"/>
      <c r="X538" s="43"/>
      <c r="Y538" s="43"/>
      <c r="Z538" s="43"/>
    </row>
    <row r="539" spans="1:26">
      <c r="A539" s="88">
        <v>6458</v>
      </c>
      <c r="B539" s="1032" t="s">
        <v>531</v>
      </c>
      <c r="C539" s="1033"/>
      <c r="D539" s="1033"/>
      <c r="E539" s="1033"/>
      <c r="F539" s="1033"/>
      <c r="G539" s="1033"/>
      <c r="H539" s="1033"/>
      <c r="I539" s="1033"/>
      <c r="J539" s="1033"/>
      <c r="K539" s="1033"/>
      <c r="L539" s="90"/>
      <c r="M539" s="51"/>
      <c r="N539" s="113">
        <f t="shared" si="55"/>
        <v>6458</v>
      </c>
      <c r="O539" s="575">
        <v>0</v>
      </c>
      <c r="P539" s="582">
        <v>0</v>
      </c>
      <c r="Q539" s="589"/>
      <c r="R539" s="576"/>
      <c r="S539" s="583">
        <f t="shared" si="54"/>
        <v>0</v>
      </c>
      <c r="T539" s="580">
        <f t="shared" si="53"/>
        <v>0</v>
      </c>
      <c r="U539" s="51"/>
      <c r="V539" s="2119"/>
      <c r="W539" s="43"/>
      <c r="X539" s="43"/>
      <c r="Y539" s="43"/>
      <c r="Z539" s="43"/>
    </row>
    <row r="540" spans="1:26" ht="15.75" customHeight="1">
      <c r="A540" s="88">
        <v>6460</v>
      </c>
      <c r="B540" s="1032" t="s">
        <v>532</v>
      </c>
      <c r="C540" s="1033"/>
      <c r="D540" s="1033"/>
      <c r="E540" s="1033"/>
      <c r="F540" s="1033"/>
      <c r="G540" s="1033"/>
      <c r="H540" s="1033"/>
      <c r="I540" s="1033"/>
      <c r="J540" s="1033"/>
      <c r="K540" s="1033"/>
      <c r="L540" s="90"/>
      <c r="M540" s="51"/>
      <c r="N540" s="113">
        <f t="shared" si="55"/>
        <v>6460</v>
      </c>
      <c r="O540" s="575">
        <v>0</v>
      </c>
      <c r="P540" s="582">
        <v>0</v>
      </c>
      <c r="Q540" s="589"/>
      <c r="R540" s="576"/>
      <c r="S540" s="583">
        <f t="shared" si="54"/>
        <v>0</v>
      </c>
      <c r="T540" s="580">
        <f t="shared" si="53"/>
        <v>0</v>
      </c>
      <c r="U540" s="51"/>
      <c r="V540" s="2119"/>
      <c r="W540" s="43"/>
      <c r="X540" s="43"/>
      <c r="Y540" s="43"/>
      <c r="Z540" s="43"/>
    </row>
    <row r="541" spans="1:26" ht="15.75" customHeight="1">
      <c r="A541" s="88">
        <v>6461</v>
      </c>
      <c r="B541" s="1032" t="s">
        <v>533</v>
      </c>
      <c r="C541" s="1033"/>
      <c r="D541" s="1033"/>
      <c r="E541" s="1033"/>
      <c r="F541" s="1033"/>
      <c r="G541" s="1033"/>
      <c r="H541" s="1033"/>
      <c r="I541" s="1033"/>
      <c r="J541" s="1033"/>
      <c r="K541" s="1033"/>
      <c r="L541" s="90"/>
      <c r="M541" s="51"/>
      <c r="N541" s="113">
        <f t="shared" si="55"/>
        <v>6461</v>
      </c>
      <c r="O541" s="575">
        <v>0</v>
      </c>
      <c r="P541" s="582">
        <v>0</v>
      </c>
      <c r="Q541" s="589"/>
      <c r="R541" s="576"/>
      <c r="S541" s="583">
        <f t="shared" si="54"/>
        <v>0</v>
      </c>
      <c r="T541" s="580">
        <f t="shared" si="53"/>
        <v>0</v>
      </c>
      <c r="U541" s="51"/>
      <c r="V541" s="2119"/>
      <c r="W541" s="43"/>
      <c r="X541" s="43"/>
      <c r="Y541" s="43"/>
      <c r="Z541" s="43"/>
    </row>
    <row r="542" spans="1:26" ht="15.75" customHeight="1">
      <c r="A542" s="88">
        <v>6462</v>
      </c>
      <c r="B542" s="1032" t="s">
        <v>535</v>
      </c>
      <c r="C542" s="1033"/>
      <c r="D542" s="1033"/>
      <c r="E542" s="1033"/>
      <c r="F542" s="1033"/>
      <c r="G542" s="1033"/>
      <c r="H542" s="1033"/>
      <c r="I542" s="1033"/>
      <c r="J542" s="1033"/>
      <c r="K542" s="1033"/>
      <c r="L542" s="90"/>
      <c r="M542" s="51"/>
      <c r="N542" s="113">
        <f t="shared" si="55"/>
        <v>6462</v>
      </c>
      <c r="O542" s="575">
        <v>0</v>
      </c>
      <c r="P542" s="582">
        <v>0</v>
      </c>
      <c r="Q542" s="589"/>
      <c r="R542" s="576"/>
      <c r="S542" s="583">
        <f t="shared" si="54"/>
        <v>0</v>
      </c>
      <c r="T542" s="580">
        <f t="shared" si="53"/>
        <v>0</v>
      </c>
      <c r="U542" s="51"/>
      <c r="V542" s="2119"/>
      <c r="W542" s="43"/>
      <c r="X542" s="43"/>
      <c r="Y542" s="43"/>
      <c r="Z542" s="43"/>
    </row>
    <row r="543" spans="1:26" ht="15.75" customHeight="1">
      <c r="A543" s="88">
        <v>6463</v>
      </c>
      <c r="B543" s="1032" t="s">
        <v>536</v>
      </c>
      <c r="C543" s="1033"/>
      <c r="D543" s="1033"/>
      <c r="E543" s="1033"/>
      <c r="F543" s="1033"/>
      <c r="G543" s="1033"/>
      <c r="H543" s="1033"/>
      <c r="I543" s="1033"/>
      <c r="J543" s="1033"/>
      <c r="K543" s="1033"/>
      <c r="L543" s="90"/>
      <c r="M543" s="51"/>
      <c r="N543" s="113">
        <f t="shared" si="55"/>
        <v>6463</v>
      </c>
      <c r="O543" s="575">
        <v>0</v>
      </c>
      <c r="P543" s="582">
        <v>0</v>
      </c>
      <c r="Q543" s="589"/>
      <c r="R543" s="576"/>
      <c r="S543" s="583">
        <f t="shared" si="54"/>
        <v>0</v>
      </c>
      <c r="T543" s="580">
        <f t="shared" si="53"/>
        <v>0</v>
      </c>
      <c r="U543" s="51"/>
      <c r="V543" s="2119"/>
      <c r="W543" s="43"/>
      <c r="X543" s="43"/>
      <c r="Y543" s="43"/>
      <c r="Z543" s="43"/>
    </row>
    <row r="544" spans="1:26" ht="15.75" customHeight="1">
      <c r="A544" s="88">
        <v>6464</v>
      </c>
      <c r="B544" s="1032" t="s">
        <v>537</v>
      </c>
      <c r="C544" s="1033"/>
      <c r="D544" s="1033"/>
      <c r="E544" s="1033"/>
      <c r="F544" s="1033"/>
      <c r="G544" s="1033"/>
      <c r="H544" s="1033"/>
      <c r="I544" s="1033"/>
      <c r="J544" s="1033"/>
      <c r="K544" s="1033"/>
      <c r="L544" s="90"/>
      <c r="M544" s="51"/>
      <c r="N544" s="113">
        <f t="shared" si="55"/>
        <v>6464</v>
      </c>
      <c r="O544" s="575">
        <v>0</v>
      </c>
      <c r="P544" s="582">
        <v>0</v>
      </c>
      <c r="Q544" s="589"/>
      <c r="R544" s="576"/>
      <c r="S544" s="583">
        <f t="shared" si="54"/>
        <v>0</v>
      </c>
      <c r="T544" s="580">
        <f t="shared" ref="T544:T569" si="56">+IF(ABS(+O544+Q544)&lt;=ABS(P544+R544),-O544+P544-Q544+R544,0)</f>
        <v>0</v>
      </c>
      <c r="U544" s="51"/>
      <c r="V544" s="2119"/>
      <c r="W544" s="43"/>
      <c r="X544" s="43"/>
      <c r="Y544" s="43"/>
      <c r="Z544" s="43"/>
    </row>
    <row r="545" spans="1:26" ht="15.75" customHeight="1">
      <c r="A545" s="88">
        <v>6465</v>
      </c>
      <c r="B545" s="1032" t="s">
        <v>538</v>
      </c>
      <c r="C545" s="1033"/>
      <c r="D545" s="1033"/>
      <c r="E545" s="1033"/>
      <c r="F545" s="1033"/>
      <c r="G545" s="1033"/>
      <c r="H545" s="1033"/>
      <c r="I545" s="1033"/>
      <c r="J545" s="1033"/>
      <c r="K545" s="1033"/>
      <c r="L545" s="90"/>
      <c r="M545" s="51"/>
      <c r="N545" s="113">
        <f t="shared" si="55"/>
        <v>6465</v>
      </c>
      <c r="O545" s="575">
        <v>0</v>
      </c>
      <c r="P545" s="582">
        <v>0</v>
      </c>
      <c r="Q545" s="589"/>
      <c r="R545" s="576"/>
      <c r="S545" s="583">
        <f t="shared" ref="S545:S565" si="57">+IF(ABS(+O545+Q545)&gt;=ABS(P545+R545),+O545-P545+Q545-R545,0)</f>
        <v>0</v>
      </c>
      <c r="T545" s="580">
        <f t="shared" si="56"/>
        <v>0</v>
      </c>
      <c r="U545" s="51"/>
      <c r="V545" s="2119"/>
      <c r="W545" s="43"/>
      <c r="X545" s="43"/>
      <c r="Y545" s="43"/>
      <c r="Z545" s="43"/>
    </row>
    <row r="546" spans="1:26" ht="15.75" customHeight="1">
      <c r="A546" s="88">
        <v>6466</v>
      </c>
      <c r="B546" s="1032" t="s">
        <v>539</v>
      </c>
      <c r="C546" s="1033"/>
      <c r="D546" s="1033"/>
      <c r="E546" s="1033"/>
      <c r="F546" s="1033"/>
      <c r="G546" s="1033"/>
      <c r="H546" s="1033"/>
      <c r="I546" s="1033"/>
      <c r="J546" s="1033"/>
      <c r="K546" s="1033"/>
      <c r="L546" s="90"/>
      <c r="M546" s="51"/>
      <c r="N546" s="113">
        <f t="shared" si="55"/>
        <v>6466</v>
      </c>
      <c r="O546" s="575">
        <v>0</v>
      </c>
      <c r="P546" s="582">
        <v>0</v>
      </c>
      <c r="Q546" s="589"/>
      <c r="R546" s="576"/>
      <c r="S546" s="583">
        <f t="shared" si="57"/>
        <v>0</v>
      </c>
      <c r="T546" s="580">
        <f t="shared" si="56"/>
        <v>0</v>
      </c>
      <c r="U546" s="51"/>
      <c r="V546" s="2119"/>
      <c r="W546" s="43"/>
      <c r="X546" s="43"/>
      <c r="Y546" s="43"/>
      <c r="Z546" s="43"/>
    </row>
    <row r="547" spans="1:26" ht="15.75" customHeight="1">
      <c r="A547" s="88">
        <v>6467</v>
      </c>
      <c r="B547" s="1032" t="s">
        <v>540</v>
      </c>
      <c r="C547" s="1033"/>
      <c r="D547" s="1033"/>
      <c r="E547" s="1033"/>
      <c r="F547" s="1033"/>
      <c r="G547" s="1033"/>
      <c r="H547" s="1033"/>
      <c r="I547" s="1033"/>
      <c r="J547" s="1033"/>
      <c r="K547" s="1033"/>
      <c r="L547" s="90"/>
      <c r="M547" s="51"/>
      <c r="N547" s="113">
        <f t="shared" si="55"/>
        <v>6467</v>
      </c>
      <c r="O547" s="575">
        <v>0</v>
      </c>
      <c r="P547" s="582">
        <v>0</v>
      </c>
      <c r="Q547" s="589"/>
      <c r="R547" s="576"/>
      <c r="S547" s="583">
        <f t="shared" si="57"/>
        <v>0</v>
      </c>
      <c r="T547" s="580">
        <f t="shared" si="56"/>
        <v>0</v>
      </c>
      <c r="U547" s="51"/>
      <c r="V547" s="2119"/>
      <c r="W547" s="43"/>
      <c r="X547" s="43"/>
      <c r="Y547" s="43"/>
      <c r="Z547" s="43"/>
    </row>
    <row r="548" spans="1:26" ht="15.75" customHeight="1">
      <c r="A548" s="88">
        <v>6468</v>
      </c>
      <c r="B548" s="1032" t="s">
        <v>541</v>
      </c>
      <c r="C548" s="1033"/>
      <c r="D548" s="1033"/>
      <c r="E548" s="1033"/>
      <c r="F548" s="1033"/>
      <c r="G548" s="1033"/>
      <c r="H548" s="1033"/>
      <c r="I548" s="1033"/>
      <c r="J548" s="1033"/>
      <c r="K548" s="1033"/>
      <c r="L548" s="90"/>
      <c r="M548" s="51"/>
      <c r="N548" s="113">
        <f t="shared" si="55"/>
        <v>6468</v>
      </c>
      <c r="O548" s="575">
        <v>0</v>
      </c>
      <c r="P548" s="582">
        <v>0</v>
      </c>
      <c r="Q548" s="589"/>
      <c r="R548" s="576"/>
      <c r="S548" s="583">
        <f t="shared" si="57"/>
        <v>0</v>
      </c>
      <c r="T548" s="580">
        <f t="shared" si="56"/>
        <v>0</v>
      </c>
      <c r="U548" s="51"/>
      <c r="V548" s="2119"/>
      <c r="W548" s="43"/>
      <c r="X548" s="43"/>
      <c r="Y548" s="43"/>
      <c r="Z548" s="43"/>
    </row>
    <row r="549" spans="1:26" ht="15.75" customHeight="1">
      <c r="A549" s="88">
        <v>6469</v>
      </c>
      <c r="B549" s="1032" t="s">
        <v>542</v>
      </c>
      <c r="C549" s="1033"/>
      <c r="D549" s="1033"/>
      <c r="E549" s="1033"/>
      <c r="F549" s="1033"/>
      <c r="G549" s="1033"/>
      <c r="H549" s="1033"/>
      <c r="I549" s="1033"/>
      <c r="J549" s="1033"/>
      <c r="K549" s="1033"/>
      <c r="L549" s="90"/>
      <c r="M549" s="51"/>
      <c r="N549" s="113">
        <f t="shared" si="55"/>
        <v>6469</v>
      </c>
      <c r="O549" s="575">
        <v>0</v>
      </c>
      <c r="P549" s="582">
        <v>0</v>
      </c>
      <c r="Q549" s="589"/>
      <c r="R549" s="576"/>
      <c r="S549" s="583">
        <f t="shared" si="57"/>
        <v>0</v>
      </c>
      <c r="T549" s="580">
        <f t="shared" si="56"/>
        <v>0</v>
      </c>
      <c r="U549" s="51"/>
      <c r="V549" s="2119"/>
      <c r="W549" s="43"/>
      <c r="X549" s="43"/>
      <c r="Y549" s="43"/>
      <c r="Z549" s="43"/>
    </row>
    <row r="550" spans="1:26">
      <c r="A550" s="88">
        <v>6471</v>
      </c>
      <c r="B550" s="1033" t="s">
        <v>543</v>
      </c>
      <c r="C550" s="1033"/>
      <c r="D550" s="1033"/>
      <c r="E550" s="1033"/>
      <c r="F550" s="1033"/>
      <c r="G550" s="1033"/>
      <c r="H550" s="1033"/>
      <c r="I550" s="1033"/>
      <c r="J550" s="1033"/>
      <c r="K550" s="1033"/>
      <c r="L550" s="90"/>
      <c r="M550" s="51"/>
      <c r="N550" s="113">
        <f t="shared" si="55"/>
        <v>6471</v>
      </c>
      <c r="O550" s="575">
        <v>0</v>
      </c>
      <c r="P550" s="582">
        <v>0</v>
      </c>
      <c r="Q550" s="589"/>
      <c r="R550" s="576"/>
      <c r="S550" s="583">
        <f t="shared" si="57"/>
        <v>0</v>
      </c>
      <c r="T550" s="580">
        <f t="shared" si="56"/>
        <v>0</v>
      </c>
      <c r="U550" s="51"/>
      <c r="V550" s="2119"/>
      <c r="W550" s="43"/>
      <c r="X550" s="43"/>
      <c r="Y550" s="43"/>
      <c r="Z550" s="43"/>
    </row>
    <row r="551" spans="1:26">
      <c r="A551" s="88">
        <f>2+A550</f>
        <v>6473</v>
      </c>
      <c r="B551" s="1033" t="s">
        <v>544</v>
      </c>
      <c r="C551" s="1033"/>
      <c r="D551" s="1033"/>
      <c r="E551" s="1033"/>
      <c r="F551" s="1033"/>
      <c r="G551" s="1033"/>
      <c r="H551" s="1033"/>
      <c r="I551" s="1033"/>
      <c r="J551" s="1033"/>
      <c r="K551" s="1033"/>
      <c r="L551" s="90"/>
      <c r="M551" s="51"/>
      <c r="N551" s="113">
        <f t="shared" si="55"/>
        <v>6473</v>
      </c>
      <c r="O551" s="575">
        <v>0</v>
      </c>
      <c r="P551" s="582">
        <v>0</v>
      </c>
      <c r="Q551" s="589"/>
      <c r="R551" s="576"/>
      <c r="S551" s="583">
        <f t="shared" si="57"/>
        <v>0</v>
      </c>
      <c r="T551" s="580">
        <f t="shared" si="56"/>
        <v>0</v>
      </c>
      <c r="U551" s="51"/>
      <c r="V551" s="2119"/>
      <c r="W551" s="43"/>
      <c r="X551" s="43"/>
      <c r="Y551" s="43"/>
      <c r="Z551" s="43"/>
    </row>
    <row r="552" spans="1:26">
      <c r="A552" s="88">
        <f>2+A551</f>
        <v>6475</v>
      </c>
      <c r="B552" s="1033" t="s">
        <v>545</v>
      </c>
      <c r="C552" s="1033"/>
      <c r="D552" s="1033"/>
      <c r="E552" s="1033"/>
      <c r="F552" s="1033"/>
      <c r="G552" s="1033"/>
      <c r="H552" s="1033"/>
      <c r="I552" s="1033"/>
      <c r="J552" s="1033"/>
      <c r="K552" s="1033"/>
      <c r="L552" s="90"/>
      <c r="M552" s="51"/>
      <c r="N552" s="113">
        <f t="shared" si="55"/>
        <v>6475</v>
      </c>
      <c r="O552" s="575">
        <v>0</v>
      </c>
      <c r="P552" s="582">
        <v>0</v>
      </c>
      <c r="Q552" s="589"/>
      <c r="R552" s="576"/>
      <c r="S552" s="583">
        <f t="shared" si="57"/>
        <v>0</v>
      </c>
      <c r="T552" s="580">
        <f t="shared" si="56"/>
        <v>0</v>
      </c>
      <c r="U552" s="51"/>
      <c r="V552" s="2119"/>
      <c r="W552" s="43"/>
      <c r="X552" s="43"/>
      <c r="Y552" s="43"/>
      <c r="Z552" s="43"/>
    </row>
    <row r="553" spans="1:26">
      <c r="A553" s="88">
        <f>2+A552</f>
        <v>6477</v>
      </c>
      <c r="B553" s="1033" t="s">
        <v>546</v>
      </c>
      <c r="C553" s="1033"/>
      <c r="D553" s="1033"/>
      <c r="E553" s="1033"/>
      <c r="F553" s="1033"/>
      <c r="G553" s="1033"/>
      <c r="H553" s="1033"/>
      <c r="I553" s="1033"/>
      <c r="J553" s="1033"/>
      <c r="K553" s="1033"/>
      <c r="L553" s="90"/>
      <c r="M553" s="51"/>
      <c r="N553" s="113">
        <f t="shared" si="55"/>
        <v>6477</v>
      </c>
      <c r="O553" s="575">
        <v>0</v>
      </c>
      <c r="P553" s="582">
        <v>0</v>
      </c>
      <c r="Q553" s="589"/>
      <c r="R553" s="576"/>
      <c r="S553" s="583">
        <f t="shared" si="57"/>
        <v>0</v>
      </c>
      <c r="T553" s="580">
        <f t="shared" si="56"/>
        <v>0</v>
      </c>
      <c r="U553" s="51"/>
      <c r="V553" s="2119"/>
      <c r="W553" s="43"/>
      <c r="X553" s="43"/>
      <c r="Y553" s="43"/>
      <c r="Z553" s="43"/>
    </row>
    <row r="554" spans="1:26" ht="15.75" customHeight="1">
      <c r="A554" s="88">
        <v>6479</v>
      </c>
      <c r="B554" s="1033" t="s">
        <v>547</v>
      </c>
      <c r="C554" s="1033"/>
      <c r="D554" s="1033"/>
      <c r="E554" s="1033"/>
      <c r="F554" s="1033"/>
      <c r="G554" s="1033"/>
      <c r="H554" s="1033"/>
      <c r="I554" s="1033"/>
      <c r="J554" s="1033"/>
      <c r="K554" s="1033"/>
      <c r="L554" s="90"/>
      <c r="M554" s="51"/>
      <c r="N554" s="113">
        <f t="shared" si="55"/>
        <v>6479</v>
      </c>
      <c r="O554" s="575">
        <v>0</v>
      </c>
      <c r="P554" s="582">
        <v>0</v>
      </c>
      <c r="Q554" s="589"/>
      <c r="R554" s="576"/>
      <c r="S554" s="583">
        <f t="shared" si="57"/>
        <v>0</v>
      </c>
      <c r="T554" s="580">
        <f t="shared" si="56"/>
        <v>0</v>
      </c>
      <c r="U554" s="51"/>
      <c r="V554" s="2119"/>
      <c r="W554" s="43"/>
      <c r="X554" s="43"/>
      <c r="Y554" s="43"/>
      <c r="Z554" s="43"/>
    </row>
    <row r="555" spans="1:26" ht="15.75" customHeight="1">
      <c r="A555" s="88">
        <v>6480</v>
      </c>
      <c r="B555" s="1033" t="s">
        <v>567</v>
      </c>
      <c r="C555" s="1033"/>
      <c r="D555" s="1033"/>
      <c r="E555" s="1033"/>
      <c r="F555" s="1033"/>
      <c r="G555" s="1033"/>
      <c r="H555" s="1033"/>
      <c r="I555" s="1033"/>
      <c r="J555" s="1033"/>
      <c r="K555" s="1033"/>
      <c r="L555" s="90"/>
      <c r="M555" s="51"/>
      <c r="N555" s="113">
        <f t="shared" si="55"/>
        <v>6480</v>
      </c>
      <c r="O555" s="575">
        <v>0</v>
      </c>
      <c r="P555" s="582">
        <v>0</v>
      </c>
      <c r="Q555" s="589"/>
      <c r="R555" s="576"/>
      <c r="S555" s="583">
        <f t="shared" si="57"/>
        <v>0</v>
      </c>
      <c r="T555" s="580">
        <f t="shared" si="56"/>
        <v>0</v>
      </c>
      <c r="U555" s="51"/>
      <c r="V555" s="2119"/>
      <c r="W555" s="43"/>
      <c r="X555" s="43"/>
      <c r="Y555" s="43"/>
      <c r="Z555" s="43"/>
    </row>
    <row r="556" spans="1:26">
      <c r="A556" s="88">
        <v>6481</v>
      </c>
      <c r="B556" s="1033" t="s">
        <v>568</v>
      </c>
      <c r="C556" s="1033"/>
      <c r="D556" s="1033"/>
      <c r="E556" s="1033"/>
      <c r="F556" s="1033"/>
      <c r="G556" s="1033"/>
      <c r="H556" s="1033"/>
      <c r="I556" s="1033"/>
      <c r="J556" s="1033"/>
      <c r="K556" s="1033"/>
      <c r="L556" s="90"/>
      <c r="M556" s="51"/>
      <c r="N556" s="113">
        <f t="shared" si="55"/>
        <v>6481</v>
      </c>
      <c r="O556" s="575">
        <v>0</v>
      </c>
      <c r="P556" s="582">
        <v>0</v>
      </c>
      <c r="Q556" s="589"/>
      <c r="R556" s="576"/>
      <c r="S556" s="583">
        <f t="shared" si="57"/>
        <v>0</v>
      </c>
      <c r="T556" s="580">
        <f t="shared" si="56"/>
        <v>0</v>
      </c>
      <c r="U556" s="51"/>
      <c r="V556" s="2119"/>
      <c r="W556" s="43"/>
      <c r="X556" s="43"/>
      <c r="Y556" s="43"/>
      <c r="Z556" s="43"/>
    </row>
    <row r="557" spans="1:26">
      <c r="A557" s="88">
        <f>2+A556</f>
        <v>6483</v>
      </c>
      <c r="B557" s="1033" t="s">
        <v>569</v>
      </c>
      <c r="C557" s="1033"/>
      <c r="D557" s="1033"/>
      <c r="E557" s="1033"/>
      <c r="F557" s="1033"/>
      <c r="G557" s="1033"/>
      <c r="H557" s="1033"/>
      <c r="I557" s="1033"/>
      <c r="J557" s="1033"/>
      <c r="K557" s="1033"/>
      <c r="L557" s="90"/>
      <c r="M557" s="51"/>
      <c r="N557" s="113">
        <f t="shared" si="55"/>
        <v>6483</v>
      </c>
      <c r="O557" s="575">
        <v>0</v>
      </c>
      <c r="P557" s="582">
        <v>0</v>
      </c>
      <c r="Q557" s="589"/>
      <c r="R557" s="576"/>
      <c r="S557" s="583">
        <f t="shared" si="57"/>
        <v>0</v>
      </c>
      <c r="T557" s="580">
        <f t="shared" si="56"/>
        <v>0</v>
      </c>
      <c r="U557" s="51"/>
      <c r="V557" s="2119"/>
      <c r="W557" s="43"/>
      <c r="X557" s="43"/>
      <c r="Y557" s="43"/>
      <c r="Z557" s="43"/>
    </row>
    <row r="558" spans="1:26">
      <c r="A558" s="88">
        <f>2+A557</f>
        <v>6485</v>
      </c>
      <c r="B558" s="1033" t="s">
        <v>570</v>
      </c>
      <c r="C558" s="1033"/>
      <c r="D558" s="1033"/>
      <c r="E558" s="1033"/>
      <c r="F558" s="1033"/>
      <c r="G558" s="1033"/>
      <c r="H558" s="1033"/>
      <c r="I558" s="1033"/>
      <c r="J558" s="1033"/>
      <c r="K558" s="1033"/>
      <c r="L558" s="90"/>
      <c r="M558" s="51"/>
      <c r="N558" s="113">
        <f t="shared" si="55"/>
        <v>6485</v>
      </c>
      <c r="O558" s="575">
        <v>0</v>
      </c>
      <c r="P558" s="582">
        <v>0</v>
      </c>
      <c r="Q558" s="589"/>
      <c r="R558" s="576"/>
      <c r="S558" s="583">
        <f t="shared" si="57"/>
        <v>0</v>
      </c>
      <c r="T558" s="580">
        <f t="shared" si="56"/>
        <v>0</v>
      </c>
      <c r="U558" s="51"/>
      <c r="V558" s="2119"/>
      <c r="W558" s="43"/>
      <c r="X558" s="43"/>
      <c r="Y558" s="43"/>
      <c r="Z558" s="43"/>
    </row>
    <row r="559" spans="1:26">
      <c r="A559" s="88">
        <f>2+A558</f>
        <v>6487</v>
      </c>
      <c r="B559" s="1033" t="s">
        <v>571</v>
      </c>
      <c r="C559" s="1033"/>
      <c r="D559" s="1033"/>
      <c r="E559" s="1033"/>
      <c r="F559" s="1033"/>
      <c r="G559" s="1033"/>
      <c r="H559" s="1033"/>
      <c r="I559" s="1033"/>
      <c r="J559" s="1033"/>
      <c r="K559" s="1033"/>
      <c r="L559" s="90"/>
      <c r="M559" s="51"/>
      <c r="N559" s="113">
        <f t="shared" si="55"/>
        <v>6487</v>
      </c>
      <c r="O559" s="575">
        <v>0</v>
      </c>
      <c r="P559" s="582">
        <v>0</v>
      </c>
      <c r="Q559" s="589"/>
      <c r="R559" s="576"/>
      <c r="S559" s="583">
        <f t="shared" si="57"/>
        <v>0</v>
      </c>
      <c r="T559" s="580">
        <f t="shared" si="56"/>
        <v>0</v>
      </c>
      <c r="U559" s="51"/>
      <c r="V559" s="2119"/>
      <c r="W559" s="43"/>
      <c r="X559" s="43"/>
      <c r="Y559" s="43"/>
      <c r="Z559" s="43"/>
    </row>
    <row r="560" spans="1:26" ht="15.75" customHeight="1">
      <c r="A560" s="88">
        <v>6489</v>
      </c>
      <c r="B560" s="1033" t="s">
        <v>572</v>
      </c>
      <c r="C560" s="1033"/>
      <c r="D560" s="1033"/>
      <c r="E560" s="1033"/>
      <c r="F560" s="1033"/>
      <c r="G560" s="1033"/>
      <c r="H560" s="1033"/>
      <c r="I560" s="1033"/>
      <c r="J560" s="1033"/>
      <c r="K560" s="1033"/>
      <c r="L560" s="90"/>
      <c r="M560" s="51"/>
      <c r="N560" s="113">
        <f t="shared" si="55"/>
        <v>6489</v>
      </c>
      <c r="O560" s="575">
        <v>0</v>
      </c>
      <c r="P560" s="582">
        <v>0</v>
      </c>
      <c r="Q560" s="589"/>
      <c r="R560" s="576"/>
      <c r="S560" s="583">
        <f t="shared" si="57"/>
        <v>0</v>
      </c>
      <c r="T560" s="580">
        <f t="shared" si="56"/>
        <v>0</v>
      </c>
      <c r="U560" s="51"/>
      <c r="V560" s="2119"/>
      <c r="W560" s="43"/>
      <c r="X560" s="43"/>
      <c r="Y560" s="43"/>
      <c r="Z560" s="43"/>
    </row>
    <row r="561" spans="1:26">
      <c r="A561" s="88">
        <v>6491</v>
      </c>
      <c r="B561" s="1033" t="s">
        <v>573</v>
      </c>
      <c r="C561" s="1033"/>
      <c r="D561" s="1033"/>
      <c r="E561" s="1033"/>
      <c r="F561" s="1033"/>
      <c r="G561" s="1033"/>
      <c r="H561" s="1033"/>
      <c r="I561" s="1033"/>
      <c r="J561" s="1033"/>
      <c r="K561" s="1033"/>
      <c r="L561" s="90"/>
      <c r="M561" s="51"/>
      <c r="N561" s="113">
        <f t="shared" si="55"/>
        <v>6491</v>
      </c>
      <c r="O561" s="575">
        <v>0</v>
      </c>
      <c r="P561" s="582">
        <v>0</v>
      </c>
      <c r="Q561" s="589"/>
      <c r="R561" s="576"/>
      <c r="S561" s="583">
        <f t="shared" si="57"/>
        <v>0</v>
      </c>
      <c r="T561" s="580">
        <f t="shared" si="56"/>
        <v>0</v>
      </c>
      <c r="U561" s="51"/>
      <c r="V561" s="2119"/>
      <c r="W561" s="43"/>
      <c r="X561" s="43"/>
      <c r="Y561" s="43"/>
      <c r="Z561" s="43"/>
    </row>
    <row r="562" spans="1:26">
      <c r="A562" s="88">
        <f>2+A561</f>
        <v>6493</v>
      </c>
      <c r="B562" s="1033" t="s">
        <v>574</v>
      </c>
      <c r="C562" s="1033"/>
      <c r="D562" s="1033"/>
      <c r="E562" s="1033"/>
      <c r="F562" s="1033"/>
      <c r="G562" s="1033"/>
      <c r="H562" s="1033"/>
      <c r="I562" s="1033"/>
      <c r="J562" s="1033"/>
      <c r="K562" s="1033"/>
      <c r="L562" s="90"/>
      <c r="M562" s="51"/>
      <c r="N562" s="113">
        <f t="shared" si="55"/>
        <v>6493</v>
      </c>
      <c r="O562" s="575">
        <v>0</v>
      </c>
      <c r="P562" s="582">
        <v>0</v>
      </c>
      <c r="Q562" s="589"/>
      <c r="R562" s="576"/>
      <c r="S562" s="583">
        <f t="shared" si="57"/>
        <v>0</v>
      </c>
      <c r="T562" s="580">
        <f t="shared" si="56"/>
        <v>0</v>
      </c>
      <c r="U562" s="51"/>
      <c r="V562" s="2119"/>
      <c r="W562" s="43"/>
      <c r="X562" s="43"/>
      <c r="Y562" s="43"/>
      <c r="Z562" s="43"/>
    </row>
    <row r="563" spans="1:26">
      <c r="A563" s="88">
        <f>2+A562</f>
        <v>6495</v>
      </c>
      <c r="B563" s="1033" t="s">
        <v>575</v>
      </c>
      <c r="C563" s="1033"/>
      <c r="D563" s="1033"/>
      <c r="E563" s="1033"/>
      <c r="F563" s="1033"/>
      <c r="G563" s="1033"/>
      <c r="H563" s="1033"/>
      <c r="I563" s="1033"/>
      <c r="J563" s="1033"/>
      <c r="K563" s="1033"/>
      <c r="L563" s="90"/>
      <c r="M563" s="51"/>
      <c r="N563" s="113">
        <f t="shared" si="55"/>
        <v>6495</v>
      </c>
      <c r="O563" s="575">
        <v>0</v>
      </c>
      <c r="P563" s="582">
        <v>0</v>
      </c>
      <c r="Q563" s="589"/>
      <c r="R563" s="576"/>
      <c r="S563" s="583">
        <f t="shared" si="57"/>
        <v>0</v>
      </c>
      <c r="T563" s="580">
        <f t="shared" si="56"/>
        <v>0</v>
      </c>
      <c r="U563" s="51"/>
      <c r="V563" s="2119"/>
      <c r="W563" s="43"/>
      <c r="X563" s="43"/>
      <c r="Y563" s="43"/>
      <c r="Z563" s="43"/>
    </row>
    <row r="564" spans="1:26">
      <c r="A564" s="88">
        <f>2+A563</f>
        <v>6497</v>
      </c>
      <c r="B564" s="1033" t="s">
        <v>576</v>
      </c>
      <c r="C564" s="1033"/>
      <c r="D564" s="1033"/>
      <c r="E564" s="1033"/>
      <c r="F564" s="1033"/>
      <c r="G564" s="1033"/>
      <c r="H564" s="1033"/>
      <c r="I564" s="1033"/>
      <c r="J564" s="1033"/>
      <c r="K564" s="1033"/>
      <c r="L564" s="90"/>
      <c r="M564" s="51"/>
      <c r="N564" s="113">
        <f t="shared" si="55"/>
        <v>6497</v>
      </c>
      <c r="O564" s="575">
        <v>0</v>
      </c>
      <c r="P564" s="582">
        <v>0</v>
      </c>
      <c r="Q564" s="589"/>
      <c r="R564" s="576"/>
      <c r="S564" s="583">
        <f t="shared" si="57"/>
        <v>0</v>
      </c>
      <c r="T564" s="580">
        <f t="shared" si="56"/>
        <v>0</v>
      </c>
      <c r="U564" s="51"/>
      <c r="V564" s="2119"/>
      <c r="W564" s="43"/>
      <c r="X564" s="43"/>
      <c r="Y564" s="43"/>
      <c r="Z564" s="43"/>
    </row>
    <row r="565" spans="1:26" ht="15.75" customHeight="1">
      <c r="A565" s="88">
        <v>6499</v>
      </c>
      <c r="B565" s="1033" t="s">
        <v>577</v>
      </c>
      <c r="C565" s="1033"/>
      <c r="D565" s="1033"/>
      <c r="E565" s="1033"/>
      <c r="F565" s="1033"/>
      <c r="G565" s="1033"/>
      <c r="H565" s="1033"/>
      <c r="I565" s="1033"/>
      <c r="J565" s="1033"/>
      <c r="K565" s="1033"/>
      <c r="L565" s="90"/>
      <c r="M565" s="51"/>
      <c r="N565" s="113">
        <f t="shared" si="55"/>
        <v>6499</v>
      </c>
      <c r="O565" s="575">
        <v>0</v>
      </c>
      <c r="P565" s="582">
        <v>0</v>
      </c>
      <c r="Q565" s="589"/>
      <c r="R565" s="576"/>
      <c r="S565" s="583">
        <f t="shared" si="57"/>
        <v>0</v>
      </c>
      <c r="T565" s="580">
        <f t="shared" si="56"/>
        <v>0</v>
      </c>
      <c r="U565" s="51"/>
      <c r="V565" s="2119"/>
      <c r="W565" s="43"/>
      <c r="X565" s="43"/>
      <c r="Y565" s="43"/>
      <c r="Z565" s="43"/>
    </row>
    <row r="566" spans="1:26">
      <c r="A566" s="88">
        <v>6501</v>
      </c>
      <c r="B566" s="1032" t="s">
        <v>655</v>
      </c>
      <c r="C566" s="1033"/>
      <c r="D566" s="1033"/>
      <c r="E566" s="1033"/>
      <c r="F566" s="1033"/>
      <c r="G566" s="1033"/>
      <c r="H566" s="1033"/>
      <c r="I566" s="1033"/>
      <c r="J566" s="1033"/>
      <c r="K566" s="1033"/>
      <c r="L566" s="90"/>
      <c r="M566" s="51"/>
      <c r="N566" s="113">
        <f t="shared" si="55"/>
        <v>6501</v>
      </c>
      <c r="O566" s="575">
        <v>0</v>
      </c>
      <c r="P566" s="582">
        <v>0</v>
      </c>
      <c r="Q566" s="589">
        <v>0</v>
      </c>
      <c r="R566" s="121">
        <v>0</v>
      </c>
      <c r="S566" s="579">
        <v>0</v>
      </c>
      <c r="T566" s="588">
        <f t="shared" si="56"/>
        <v>0</v>
      </c>
      <c r="U566" s="51"/>
      <c r="V566" s="2119">
        <f>+IF(OR(+ROUND(O566,2)+ROUND(Q566,2)&gt;ROUND(P566,2)+ROUND(R566,2),+ABS(ROUND(O566,2)+ROUND(Q566,2))&gt;+ABS(ROUND(P566,2)+ROUND(R566,2))),+(ROUND(O566,2)+ROUND(Q566,2))-(ROUND(P566,2)+ROUND(R566,2)),0)</f>
        <v>0</v>
      </c>
      <c r="W566" s="43"/>
      <c r="X566" s="43"/>
      <c r="Y566" s="43"/>
      <c r="Z566" s="43"/>
    </row>
    <row r="567" spans="1:26">
      <c r="A567" s="88">
        <v>6502</v>
      </c>
      <c r="B567" s="1032" t="s">
        <v>656</v>
      </c>
      <c r="C567" s="1033"/>
      <c r="D567" s="1033"/>
      <c r="E567" s="1033"/>
      <c r="F567" s="1033"/>
      <c r="G567" s="1033"/>
      <c r="H567" s="1033"/>
      <c r="I567" s="1033"/>
      <c r="J567" s="1033"/>
      <c r="K567" s="1033"/>
      <c r="L567" s="90"/>
      <c r="M567" s="51"/>
      <c r="N567" s="113">
        <f t="shared" si="55"/>
        <v>6502</v>
      </c>
      <c r="O567" s="575">
        <v>0</v>
      </c>
      <c r="P567" s="582">
        <v>0</v>
      </c>
      <c r="Q567" s="589"/>
      <c r="R567" s="121"/>
      <c r="S567" s="579">
        <v>0</v>
      </c>
      <c r="T567" s="588">
        <f t="shared" si="56"/>
        <v>0</v>
      </c>
      <c r="U567" s="51"/>
      <c r="V567" s="2119">
        <f>+IF(OR(+ROUND(O567,2)+ROUND(Q567,2)&gt;ROUND(P567,2)+ROUND(R567,2),+ABS(ROUND(O567,2)+ROUND(Q567,2))&gt;+ABS(ROUND(P567,2)+ROUND(R567,2))),+(ROUND(O567,2)+ROUND(Q567,2))-(ROUND(P567,2)+ROUND(R567,2)),0)</f>
        <v>0</v>
      </c>
      <c r="W567" s="43"/>
      <c r="X567" s="43"/>
      <c r="Y567" s="43"/>
      <c r="Z567" s="43"/>
    </row>
    <row r="568" spans="1:26">
      <c r="A568" s="88">
        <v>6503</v>
      </c>
      <c r="B568" s="1032" t="s">
        <v>657</v>
      </c>
      <c r="C568" s="1033"/>
      <c r="D568" s="1033"/>
      <c r="E568" s="1033"/>
      <c r="F568" s="1033"/>
      <c r="G568" s="1033"/>
      <c r="H568" s="1033"/>
      <c r="I568" s="1033"/>
      <c r="J568" s="1033"/>
      <c r="K568" s="1033"/>
      <c r="L568" s="90"/>
      <c r="M568" s="51"/>
      <c r="N568" s="113">
        <f t="shared" si="55"/>
        <v>6503</v>
      </c>
      <c r="O568" s="575">
        <v>0</v>
      </c>
      <c r="P568" s="582">
        <v>0</v>
      </c>
      <c r="Q568" s="589">
        <v>0</v>
      </c>
      <c r="R568" s="121">
        <v>0</v>
      </c>
      <c r="S568" s="579">
        <v>0</v>
      </c>
      <c r="T568" s="588">
        <f t="shared" si="56"/>
        <v>0</v>
      </c>
      <c r="U568" s="51"/>
      <c r="V568" s="2119">
        <f>+IF(OR(+ROUND(O568,2)+ROUND(Q568,2)&gt;ROUND(P568,2)+ROUND(R568,2),+ABS(ROUND(O568,2)+ROUND(Q568,2))&gt;+ABS(ROUND(P568,2)+ROUND(R568,2))),+(ROUND(O568,2)+ROUND(Q568,2))-(ROUND(P568,2)+ROUND(R568,2)),0)</f>
        <v>0</v>
      </c>
      <c r="W568" s="43"/>
      <c r="X568" s="43"/>
      <c r="Y568" s="43"/>
      <c r="Z568" s="43"/>
    </row>
    <row r="569" spans="1:26">
      <c r="A569" s="88">
        <v>6504</v>
      </c>
      <c r="B569" s="1032" t="s">
        <v>658</v>
      </c>
      <c r="C569" s="1033"/>
      <c r="D569" s="1033"/>
      <c r="E569" s="1033"/>
      <c r="F569" s="1033"/>
      <c r="G569" s="1033"/>
      <c r="H569" s="1033"/>
      <c r="I569" s="1033"/>
      <c r="J569" s="1033"/>
      <c r="K569" s="1033"/>
      <c r="L569" s="90"/>
      <c r="M569" s="51"/>
      <c r="N569" s="113">
        <f t="shared" si="55"/>
        <v>6504</v>
      </c>
      <c r="O569" s="575">
        <v>0</v>
      </c>
      <c r="P569" s="582">
        <v>0</v>
      </c>
      <c r="Q569" s="589"/>
      <c r="R569" s="121"/>
      <c r="S569" s="579">
        <v>0</v>
      </c>
      <c r="T569" s="588">
        <f t="shared" si="56"/>
        <v>0</v>
      </c>
      <c r="U569" s="51"/>
      <c r="V569" s="2119">
        <f>+IF(OR(+ROUND(O569,2)+ROUND(Q569,2)&gt;ROUND(P569,2)+ROUND(R569,2),+ABS(ROUND(O569,2)+ROUND(Q569,2))&gt;+ABS(ROUND(P569,2)+ROUND(R569,2))),+(ROUND(O569,2)+ROUND(Q569,2))-(ROUND(P569,2)+ROUND(R569,2)),0)</f>
        <v>0</v>
      </c>
      <c r="W569" s="43"/>
      <c r="X569" s="43"/>
      <c r="Y569" s="43"/>
      <c r="Z569" s="43"/>
    </row>
    <row r="570" spans="1:26">
      <c r="A570" s="88">
        <v>6506</v>
      </c>
      <c r="B570" s="1032" t="s">
        <v>659</v>
      </c>
      <c r="C570" s="1033"/>
      <c r="D570" s="1033"/>
      <c r="E570" s="1033"/>
      <c r="F570" s="1033"/>
      <c r="G570" s="1033"/>
      <c r="H570" s="1033"/>
      <c r="I570" s="1033"/>
      <c r="J570" s="1033"/>
      <c r="K570" s="1033"/>
      <c r="L570" s="90"/>
      <c r="M570" s="51"/>
      <c r="N570" s="113">
        <f t="shared" si="55"/>
        <v>6506</v>
      </c>
      <c r="O570" s="575">
        <v>0</v>
      </c>
      <c r="P570" s="582">
        <v>0</v>
      </c>
      <c r="Q570" s="589">
        <v>0</v>
      </c>
      <c r="R570" s="576">
        <v>0</v>
      </c>
      <c r="S570" s="2114">
        <v>0</v>
      </c>
      <c r="T570" s="2115">
        <v>0</v>
      </c>
      <c r="U570" s="51"/>
      <c r="V570" s="2125">
        <f>+IF(Q570=R570,0,+Q570-R570)</f>
        <v>0</v>
      </c>
      <c r="W570" s="43"/>
      <c r="X570" s="43"/>
      <c r="Y570" s="43"/>
      <c r="Z570" s="43"/>
    </row>
    <row r="571" spans="1:26">
      <c r="A571" s="88">
        <v>6507</v>
      </c>
      <c r="B571" s="1032" t="s">
        <v>660</v>
      </c>
      <c r="C571" s="1033"/>
      <c r="D571" s="1033"/>
      <c r="E571" s="1033"/>
      <c r="F571" s="1033"/>
      <c r="G571" s="1033"/>
      <c r="H571" s="1033"/>
      <c r="I571" s="1033"/>
      <c r="J571" s="1033"/>
      <c r="K571" s="1033"/>
      <c r="L571" s="90"/>
      <c r="M571" s="51"/>
      <c r="N571" s="113">
        <f t="shared" si="55"/>
        <v>6507</v>
      </c>
      <c r="O571" s="575">
        <v>0</v>
      </c>
      <c r="P571" s="582">
        <v>0</v>
      </c>
      <c r="Q571" s="589">
        <v>0</v>
      </c>
      <c r="R571" s="121">
        <v>0</v>
      </c>
      <c r="S571" s="579">
        <v>0</v>
      </c>
      <c r="T571" s="588">
        <f>+IF(ABS(+O571+Q571)&lt;=ABS(P571+R571),-O571+P571-Q571+R571,0)</f>
        <v>0</v>
      </c>
      <c r="U571" s="51"/>
      <c r="V571" s="2119">
        <f>+IF(OR(+ROUND(O571,2)+ROUND(Q571,2)&gt;ROUND(P571,2)+ROUND(R571,2),+ABS(ROUND(O571,2)+ROUND(Q571,2))&gt;+ABS(ROUND(P571,2)+ROUND(R571,2))),+(ROUND(O571,2)+ROUND(Q571,2))-(ROUND(P571,2)+ROUND(R571,2)),0)</f>
        <v>0</v>
      </c>
      <c r="W571" s="43"/>
      <c r="X571" s="43"/>
      <c r="Y571" s="43"/>
      <c r="Z571" s="43"/>
    </row>
    <row r="572" spans="1:26">
      <c r="A572" s="88">
        <v>6508</v>
      </c>
      <c r="B572" s="1032" t="s">
        <v>661</v>
      </c>
      <c r="C572" s="1033"/>
      <c r="D572" s="1033"/>
      <c r="E572" s="1033"/>
      <c r="F572" s="1033"/>
      <c r="G572" s="1033"/>
      <c r="H572" s="1033"/>
      <c r="I572" s="1033"/>
      <c r="J572" s="1033"/>
      <c r="K572" s="1033"/>
      <c r="L572" s="90"/>
      <c r="M572" s="51"/>
      <c r="N572" s="113">
        <f t="shared" si="55"/>
        <v>6508</v>
      </c>
      <c r="O572" s="575">
        <v>0</v>
      </c>
      <c r="P572" s="582">
        <v>0</v>
      </c>
      <c r="Q572" s="589"/>
      <c r="R572" s="121"/>
      <c r="S572" s="579">
        <v>0</v>
      </c>
      <c r="T572" s="588">
        <f>+IF(ABS(+O572+Q572)&lt;=ABS(P572+R572),-O572+P572-Q572+R572,0)</f>
        <v>0</v>
      </c>
      <c r="U572" s="51"/>
      <c r="V572" s="2119">
        <f>+IF(OR(+ROUND(O572,2)+ROUND(Q572,2)&gt;ROUND(P572,2)+ROUND(R572,2),+ABS(ROUND(O572,2)+ROUND(Q572,2))&gt;+ABS(ROUND(P572,2)+ROUND(R572,2))),+(ROUND(O572,2)+ROUND(Q572,2))-(ROUND(P572,2)+ROUND(R572,2)),0)</f>
        <v>0</v>
      </c>
      <c r="W572" s="43"/>
      <c r="X572" s="43"/>
      <c r="Y572" s="43"/>
      <c r="Z572" s="43"/>
    </row>
    <row r="573" spans="1:26">
      <c r="A573" s="88">
        <v>6711</v>
      </c>
      <c r="B573" s="1033" t="s">
        <v>662</v>
      </c>
      <c r="C573" s="1033"/>
      <c r="D573" s="1033"/>
      <c r="E573" s="1033"/>
      <c r="F573" s="1033"/>
      <c r="G573" s="1033"/>
      <c r="H573" s="1033"/>
      <c r="I573" s="1033"/>
      <c r="J573" s="1033"/>
      <c r="K573" s="1033"/>
      <c r="L573" s="90"/>
      <c r="M573" s="51"/>
      <c r="N573" s="113">
        <f t="shared" si="55"/>
        <v>6711</v>
      </c>
      <c r="O573" s="575">
        <v>0</v>
      </c>
      <c r="P573" s="582">
        <v>0</v>
      </c>
      <c r="Q573" s="589"/>
      <c r="R573" s="576"/>
      <c r="S573" s="583">
        <f>+IF(ABS(+O573+Q573)&gt;=ABS(P573+R573),+O573-P573+Q573-R573,0)</f>
        <v>0</v>
      </c>
      <c r="T573" s="584">
        <v>0</v>
      </c>
      <c r="U573" s="51"/>
      <c r="V573" s="2120">
        <f>+IF(OR(ROUND(P573,2)+ROUND(R573,2)&gt;+ROUND(O573,2)+ROUND(Q573,2),+ABS(ROUND(P573,2)+ROUND(R573,2))&gt;+ABS(ROUND(O573,2)+ROUND(Q573,2))),+(ROUND(P573,2)+ROUND(R573,2))-(ROUND(O573,2)+ROUND(Q573,2)),0)</f>
        <v>0</v>
      </c>
      <c r="W573" s="43"/>
      <c r="X573" s="43"/>
      <c r="Y573" s="43"/>
      <c r="Z573" s="43"/>
    </row>
    <row r="574" spans="1:26">
      <c r="A574" s="88">
        <v>6713</v>
      </c>
      <c r="B574" s="1033" t="s">
        <v>663</v>
      </c>
      <c r="C574" s="1033"/>
      <c r="D574" s="1033"/>
      <c r="E574" s="1033"/>
      <c r="F574" s="1033"/>
      <c r="G574" s="1033"/>
      <c r="H574" s="1033"/>
      <c r="I574" s="1033"/>
      <c r="J574" s="1033"/>
      <c r="K574" s="1033"/>
      <c r="L574" s="90"/>
      <c r="M574" s="51"/>
      <c r="N574" s="113">
        <f t="shared" si="55"/>
        <v>6713</v>
      </c>
      <c r="O574" s="575">
        <v>0</v>
      </c>
      <c r="P574" s="582">
        <v>0</v>
      </c>
      <c r="Q574" s="589"/>
      <c r="R574" s="576"/>
      <c r="S574" s="583">
        <f>+IF(ABS(+O574+Q574)&gt;=ABS(P574+R574),+O574-P574+Q574-R574,0)</f>
        <v>0</v>
      </c>
      <c r="T574" s="584">
        <v>0</v>
      </c>
      <c r="U574" s="51"/>
      <c r="V574" s="2120">
        <f>+IF(OR(ROUND(P574,2)+ROUND(R574,2)&gt;+ROUND(O574,2)+ROUND(Q574,2),+ABS(ROUND(P574,2)+ROUND(R574,2))&gt;+ABS(ROUND(O574,2)+ROUND(Q574,2))),+(ROUND(P574,2)+ROUND(R574,2))-(ROUND(O574,2)+ROUND(Q574,2)),0)</f>
        <v>0</v>
      </c>
      <c r="W574" s="43"/>
      <c r="X574" s="43"/>
      <c r="Y574" s="43"/>
      <c r="Z574" s="43"/>
    </row>
    <row r="575" spans="1:26">
      <c r="A575" s="88">
        <v>6717</v>
      </c>
      <c r="B575" s="1033" t="s">
        <v>9</v>
      </c>
      <c r="C575" s="1033"/>
      <c r="D575" s="1033"/>
      <c r="E575" s="1033"/>
      <c r="F575" s="1033"/>
      <c r="G575" s="1033"/>
      <c r="H575" s="1033"/>
      <c r="I575" s="1033"/>
      <c r="J575" s="1033"/>
      <c r="K575" s="1033"/>
      <c r="L575" s="90"/>
      <c r="M575" s="51"/>
      <c r="N575" s="113">
        <f t="shared" si="55"/>
        <v>6717</v>
      </c>
      <c r="O575" s="575">
        <v>0</v>
      </c>
      <c r="P575" s="582">
        <v>0</v>
      </c>
      <c r="Q575" s="589">
        <v>0</v>
      </c>
      <c r="R575" s="576">
        <v>0</v>
      </c>
      <c r="S575" s="583">
        <f>+IF(ABS(+O575+Q575)&gt;=ABS(P575+R575),+O575-P575+Q575-R575,0)</f>
        <v>0</v>
      </c>
      <c r="T575" s="584">
        <v>0</v>
      </c>
      <c r="U575" s="51"/>
      <c r="V575" s="2120">
        <f>+IF(OR(ROUND(P575,2)+ROUND(R575,2)&gt;+ROUND(O575,2)+ROUND(Q575,2),+ABS(ROUND(P575,2)+ROUND(R575,2))&gt;+ABS(ROUND(O575,2)+ROUND(Q575,2))),+(ROUND(P575,2)+ROUND(R575,2))-(ROUND(O575,2)+ROUND(Q575,2)),0)</f>
        <v>0</v>
      </c>
      <c r="W575" s="43"/>
      <c r="X575" s="43"/>
      <c r="Y575" s="43"/>
      <c r="Z575" s="43"/>
    </row>
    <row r="576" spans="1:26">
      <c r="A576" s="88">
        <v>6721</v>
      </c>
      <c r="B576" s="1033" t="s">
        <v>10</v>
      </c>
      <c r="C576" s="1033"/>
      <c r="D576" s="1033"/>
      <c r="E576" s="1033"/>
      <c r="F576" s="1033"/>
      <c r="G576" s="1033"/>
      <c r="H576" s="1033"/>
      <c r="I576" s="1033"/>
      <c r="J576" s="1033"/>
      <c r="K576" s="1033"/>
      <c r="L576" s="90"/>
      <c r="M576" s="51"/>
      <c r="N576" s="113">
        <f t="shared" ref="N576:N600" si="58">+A576</f>
        <v>6721</v>
      </c>
      <c r="O576" s="575">
        <v>0</v>
      </c>
      <c r="P576" s="582">
        <v>0</v>
      </c>
      <c r="Q576" s="589"/>
      <c r="R576" s="121"/>
      <c r="S576" s="579">
        <v>0</v>
      </c>
      <c r="T576" s="580">
        <f>+IF(ABS(+O576+Q576)&lt;=ABS(P576+R576),-O576+P576-Q576+R576,0)</f>
        <v>0</v>
      </c>
      <c r="U576" s="51"/>
      <c r="V576" s="2119">
        <f>+IF(OR(+ROUND(O576,2)+ROUND(Q576,2)&gt;ROUND(P576,2)+ROUND(R576,2),+ABS(ROUND(O576,2)+ROUND(Q576,2))&gt;+ABS(ROUND(P576,2)+ROUND(R576,2))),+(ROUND(O576,2)+ROUND(Q576,2))-(ROUND(P576,2)+ROUND(R576,2)),0)</f>
        <v>0</v>
      </c>
      <c r="W576" s="43"/>
      <c r="X576" s="43"/>
      <c r="Y576" s="43"/>
      <c r="Z576" s="43"/>
    </row>
    <row r="577" spans="1:26">
      <c r="A577" s="88">
        <v>6723</v>
      </c>
      <c r="B577" s="1033" t="s">
        <v>11</v>
      </c>
      <c r="C577" s="1033"/>
      <c r="D577" s="1033"/>
      <c r="E577" s="1033"/>
      <c r="F577" s="1033"/>
      <c r="G577" s="1033"/>
      <c r="H577" s="1033"/>
      <c r="I577" s="1033"/>
      <c r="J577" s="1033"/>
      <c r="K577" s="1033"/>
      <c r="L577" s="90"/>
      <c r="M577" s="51"/>
      <c r="N577" s="113">
        <f t="shared" si="58"/>
        <v>6723</v>
      </c>
      <c r="O577" s="575">
        <v>0</v>
      </c>
      <c r="P577" s="582">
        <v>0</v>
      </c>
      <c r="Q577" s="589"/>
      <c r="R577" s="121"/>
      <c r="S577" s="579">
        <v>0</v>
      </c>
      <c r="T577" s="580">
        <f>+IF(ABS(+O577+Q577)&lt;=ABS(P577+R577),-O577+P577-Q577+R577,0)</f>
        <v>0</v>
      </c>
      <c r="U577" s="51"/>
      <c r="V577" s="2119">
        <f>+IF(OR(+ROUND(O577,2)+ROUND(Q577,2)&gt;ROUND(P577,2)+ROUND(R577,2),+ABS(ROUND(O577,2)+ROUND(Q577,2))&gt;+ABS(ROUND(P577,2)+ROUND(R577,2))),+(ROUND(O577,2)+ROUND(Q577,2))-(ROUND(P577,2)+ROUND(R577,2)),0)</f>
        <v>0</v>
      </c>
      <c r="W577" s="43"/>
      <c r="X577" s="43"/>
      <c r="Y577" s="43"/>
      <c r="Z577" s="43"/>
    </row>
    <row r="578" spans="1:26">
      <c r="A578" s="88">
        <v>6727</v>
      </c>
      <c r="B578" s="1033" t="s">
        <v>12</v>
      </c>
      <c r="C578" s="1033"/>
      <c r="D578" s="1033"/>
      <c r="E578" s="1033"/>
      <c r="F578" s="1033"/>
      <c r="G578" s="1033"/>
      <c r="H578" s="1033"/>
      <c r="I578" s="1033"/>
      <c r="J578" s="1033"/>
      <c r="K578" s="1033"/>
      <c r="L578" s="90"/>
      <c r="M578" s="51"/>
      <c r="N578" s="113">
        <f t="shared" si="58"/>
        <v>6727</v>
      </c>
      <c r="O578" s="575">
        <v>0</v>
      </c>
      <c r="P578" s="582">
        <v>0</v>
      </c>
      <c r="Q578" s="589">
        <v>0</v>
      </c>
      <c r="R578" s="121">
        <v>0</v>
      </c>
      <c r="S578" s="579">
        <v>0</v>
      </c>
      <c r="T578" s="580">
        <f>+IF(ABS(+O578+Q578)&lt;=ABS(P578+R578),-O578+P578-Q578+R578,0)</f>
        <v>0</v>
      </c>
      <c r="U578" s="51"/>
      <c r="V578" s="2119">
        <f>+IF(OR(+ROUND(O578,2)+ROUND(Q578,2)&gt;ROUND(P578,2)+ROUND(R578,2),+ABS(ROUND(O578,2)+ROUND(Q578,2))&gt;+ABS(ROUND(P578,2)+ROUND(R578,2))),+(ROUND(O578,2)+ROUND(Q578,2))-(ROUND(P578,2)+ROUND(R578,2)),0)</f>
        <v>0</v>
      </c>
      <c r="W578" s="43"/>
      <c r="X578" s="43"/>
      <c r="Y578" s="43"/>
      <c r="Z578" s="43"/>
    </row>
    <row r="579" spans="1:26">
      <c r="A579" s="88">
        <v>6791</v>
      </c>
      <c r="B579" s="378" t="s">
        <v>13</v>
      </c>
      <c r="C579" s="1033"/>
      <c r="D579" s="1033"/>
      <c r="E579" s="1033"/>
      <c r="F579" s="1033"/>
      <c r="G579" s="1033"/>
      <c r="H579" s="1033"/>
      <c r="I579" s="1033"/>
      <c r="J579" s="1033"/>
      <c r="K579" s="1033"/>
      <c r="L579" s="90"/>
      <c r="M579" s="51"/>
      <c r="N579" s="113">
        <f t="shared" si="58"/>
        <v>6791</v>
      </c>
      <c r="O579" s="575">
        <v>0</v>
      </c>
      <c r="P579" s="582">
        <v>0</v>
      </c>
      <c r="Q579" s="589"/>
      <c r="R579" s="576"/>
      <c r="S579" s="583">
        <f>+IF(ABS(+O579+Q579)&gt;=ABS(P579+R579),+O579-P579+Q579-R579,0)</f>
        <v>0</v>
      </c>
      <c r="T579" s="584">
        <v>0</v>
      </c>
      <c r="U579" s="51"/>
      <c r="V579" s="2120">
        <f>+IF(OR(ROUND(P579,2)+ROUND(R579,2)&gt;+ROUND(O579,2)+ROUND(Q579,2),+ABS(ROUND(P579,2)+ROUND(R579,2))&gt;+ABS(ROUND(O579,2)+ROUND(Q579,2))),+(ROUND(P579,2)+ROUND(R579,2))-(ROUND(O579,2)+ROUND(Q579,2)),0)</f>
        <v>0</v>
      </c>
      <c r="W579" s="43"/>
      <c r="X579" s="43"/>
      <c r="Y579" s="43"/>
      <c r="Z579" s="43"/>
    </row>
    <row r="580" spans="1:26">
      <c r="A580" s="88">
        <v>6799</v>
      </c>
      <c r="B580" s="378" t="s">
        <v>14</v>
      </c>
      <c r="C580" s="1033"/>
      <c r="D580" s="1033"/>
      <c r="E580" s="1033"/>
      <c r="F580" s="1033"/>
      <c r="G580" s="1033"/>
      <c r="H580" s="1033"/>
      <c r="I580" s="1033"/>
      <c r="J580" s="1033"/>
      <c r="K580" s="1033"/>
      <c r="L580" s="90"/>
      <c r="M580" s="51"/>
      <c r="N580" s="113">
        <f t="shared" si="58"/>
        <v>6799</v>
      </c>
      <c r="O580" s="575">
        <v>0</v>
      </c>
      <c r="P580" s="582">
        <v>0</v>
      </c>
      <c r="Q580" s="589"/>
      <c r="R580" s="121"/>
      <c r="S580" s="579">
        <v>0</v>
      </c>
      <c r="T580" s="580">
        <f t="shared" ref="T580:T600" si="59">+IF(ABS(+O580+Q580)&lt;=ABS(P580+R580),-O580+P580-Q580+R580,0)</f>
        <v>0</v>
      </c>
      <c r="U580" s="51"/>
      <c r="V580" s="2119">
        <f>+IF(OR(+ROUND(O580,2)+ROUND(Q580,2)&gt;ROUND(P580,2)+ROUND(R580,2),+ABS(ROUND(O580,2)+ROUND(Q580,2))&gt;+ABS(ROUND(P580,2)+ROUND(R580,2))),+(ROUND(O580,2)+ROUND(Q580,2))-(ROUND(P580,2)+ROUND(R580,2)),0)</f>
        <v>0</v>
      </c>
      <c r="W580" s="43"/>
      <c r="X580" s="43"/>
      <c r="Y580" s="43"/>
      <c r="Z580" s="43"/>
    </row>
    <row r="581" spans="1:26" ht="15.75" customHeight="1">
      <c r="A581" s="88">
        <v>6901</v>
      </c>
      <c r="B581" s="378" t="s">
        <v>15</v>
      </c>
      <c r="C581" s="1033"/>
      <c r="D581" s="1033"/>
      <c r="E581" s="1033"/>
      <c r="F581" s="1033"/>
      <c r="G581" s="1033"/>
      <c r="H581" s="1033"/>
      <c r="I581" s="1033"/>
      <c r="J581" s="1033"/>
      <c r="K581" s="1033"/>
      <c r="L581" s="90"/>
      <c r="M581" s="51"/>
      <c r="N581" s="113">
        <f t="shared" si="58"/>
        <v>6901</v>
      </c>
      <c r="O581" s="575">
        <v>0</v>
      </c>
      <c r="P581" s="582">
        <v>0</v>
      </c>
      <c r="Q581" s="589"/>
      <c r="R581" s="576"/>
      <c r="S581" s="583">
        <f t="shared" ref="S581:S600" si="60">+IF(ABS(+O581+Q581)&gt;=ABS(P581+R581),+O581-P581+Q581-R581,0)</f>
        <v>0</v>
      </c>
      <c r="T581" s="580">
        <f t="shared" si="59"/>
        <v>0</v>
      </c>
      <c r="U581" s="51"/>
      <c r="V581" s="2119"/>
      <c r="W581" s="43"/>
      <c r="X581" s="43"/>
      <c r="Y581" s="43"/>
      <c r="Z581" s="43"/>
    </row>
    <row r="582" spans="1:26" ht="15.75" customHeight="1">
      <c r="A582" s="88">
        <v>6902</v>
      </c>
      <c r="B582" s="378" t="s">
        <v>16</v>
      </c>
      <c r="C582" s="1033"/>
      <c r="D582" s="1033"/>
      <c r="E582" s="1033"/>
      <c r="F582" s="1033"/>
      <c r="G582" s="1033"/>
      <c r="H582" s="1033"/>
      <c r="I582" s="1033"/>
      <c r="J582" s="1033"/>
      <c r="K582" s="1033"/>
      <c r="L582" s="90"/>
      <c r="M582" s="51"/>
      <c r="N582" s="113">
        <f t="shared" si="58"/>
        <v>6902</v>
      </c>
      <c r="O582" s="575">
        <v>0</v>
      </c>
      <c r="P582" s="582">
        <v>0</v>
      </c>
      <c r="Q582" s="589"/>
      <c r="R582" s="576"/>
      <c r="S582" s="583">
        <f t="shared" si="60"/>
        <v>0</v>
      </c>
      <c r="T582" s="580">
        <f t="shared" si="59"/>
        <v>0</v>
      </c>
      <c r="U582" s="51"/>
      <c r="V582" s="2119"/>
      <c r="W582" s="43"/>
      <c r="X582" s="43"/>
      <c r="Y582" s="43"/>
      <c r="Z582" s="43"/>
    </row>
    <row r="583" spans="1:26" ht="15.75" customHeight="1">
      <c r="A583" s="88">
        <v>6903</v>
      </c>
      <c r="B583" s="378" t="s">
        <v>17</v>
      </c>
      <c r="C583" s="1033"/>
      <c r="D583" s="1033"/>
      <c r="E583" s="1033"/>
      <c r="F583" s="1033"/>
      <c r="G583" s="1033"/>
      <c r="H583" s="1033"/>
      <c r="I583" s="1033"/>
      <c r="J583" s="1033"/>
      <c r="K583" s="1033"/>
      <c r="L583" s="90"/>
      <c r="M583" s="51"/>
      <c r="N583" s="113">
        <f t="shared" si="58"/>
        <v>6903</v>
      </c>
      <c r="O583" s="575">
        <v>0</v>
      </c>
      <c r="P583" s="582">
        <v>0</v>
      </c>
      <c r="Q583" s="589"/>
      <c r="R583" s="576"/>
      <c r="S583" s="583">
        <f t="shared" si="60"/>
        <v>0</v>
      </c>
      <c r="T583" s="580">
        <f t="shared" si="59"/>
        <v>0</v>
      </c>
      <c r="U583" s="51"/>
      <c r="V583" s="2119"/>
      <c r="W583" s="43"/>
      <c r="X583" s="43"/>
      <c r="Y583" s="43"/>
      <c r="Z583" s="43"/>
    </row>
    <row r="584" spans="1:26" ht="15.75" customHeight="1">
      <c r="A584" s="88">
        <v>6904</v>
      </c>
      <c r="B584" s="378" t="s">
        <v>18</v>
      </c>
      <c r="C584" s="1033"/>
      <c r="D584" s="1033"/>
      <c r="E584" s="1033"/>
      <c r="F584" s="1033"/>
      <c r="G584" s="1033"/>
      <c r="H584" s="1033"/>
      <c r="I584" s="1033"/>
      <c r="J584" s="1033"/>
      <c r="K584" s="1033"/>
      <c r="L584" s="90"/>
      <c r="M584" s="51"/>
      <c r="N584" s="113">
        <f t="shared" si="58"/>
        <v>6904</v>
      </c>
      <c r="O584" s="575">
        <v>0</v>
      </c>
      <c r="P584" s="582">
        <v>0</v>
      </c>
      <c r="Q584" s="589"/>
      <c r="R584" s="576"/>
      <c r="S584" s="583">
        <f t="shared" si="60"/>
        <v>0</v>
      </c>
      <c r="T584" s="580">
        <f t="shared" si="59"/>
        <v>0</v>
      </c>
      <c r="U584" s="51"/>
      <c r="V584" s="2119"/>
      <c r="W584" s="43"/>
      <c r="X584" s="43"/>
      <c r="Y584" s="43"/>
      <c r="Z584" s="43"/>
    </row>
    <row r="585" spans="1:26" ht="15.75" customHeight="1">
      <c r="A585" s="88">
        <v>6905</v>
      </c>
      <c r="B585" s="378" t="s">
        <v>19</v>
      </c>
      <c r="C585" s="1033"/>
      <c r="D585" s="1033"/>
      <c r="E585" s="1033"/>
      <c r="F585" s="1033"/>
      <c r="G585" s="1033"/>
      <c r="H585" s="1033"/>
      <c r="I585" s="1033"/>
      <c r="J585" s="1033"/>
      <c r="K585" s="1033"/>
      <c r="L585" s="90"/>
      <c r="M585" s="51"/>
      <c r="N585" s="113">
        <f t="shared" si="58"/>
        <v>6905</v>
      </c>
      <c r="O585" s="575">
        <v>0</v>
      </c>
      <c r="P585" s="582">
        <v>0</v>
      </c>
      <c r="Q585" s="589"/>
      <c r="R585" s="576"/>
      <c r="S585" s="583">
        <f t="shared" si="60"/>
        <v>0</v>
      </c>
      <c r="T585" s="580">
        <f t="shared" si="59"/>
        <v>0</v>
      </c>
      <c r="U585" s="51"/>
      <c r="V585" s="2119"/>
      <c r="W585" s="43"/>
      <c r="X585" s="43"/>
      <c r="Y585" s="43"/>
      <c r="Z585" s="43"/>
    </row>
    <row r="586" spans="1:26" ht="15.75" customHeight="1">
      <c r="A586" s="88">
        <v>6906</v>
      </c>
      <c r="B586" s="378" t="s">
        <v>20</v>
      </c>
      <c r="C586" s="1033"/>
      <c r="D586" s="1033"/>
      <c r="E586" s="1033"/>
      <c r="F586" s="1033"/>
      <c r="G586" s="1033"/>
      <c r="H586" s="1033"/>
      <c r="I586" s="1033"/>
      <c r="J586" s="1033"/>
      <c r="K586" s="1033"/>
      <c r="L586" s="90"/>
      <c r="M586" s="51"/>
      <c r="N586" s="113">
        <f t="shared" si="58"/>
        <v>6906</v>
      </c>
      <c r="O586" s="575">
        <v>0</v>
      </c>
      <c r="P586" s="582">
        <v>0</v>
      </c>
      <c r="Q586" s="589"/>
      <c r="R586" s="576"/>
      <c r="S586" s="583">
        <f t="shared" si="60"/>
        <v>0</v>
      </c>
      <c r="T586" s="580">
        <f t="shared" si="59"/>
        <v>0</v>
      </c>
      <c r="U586" s="51"/>
      <c r="V586" s="2119"/>
      <c r="W586" s="43"/>
      <c r="X586" s="43"/>
      <c r="Y586" s="43"/>
      <c r="Z586" s="43"/>
    </row>
    <row r="587" spans="1:26" ht="15.75" customHeight="1">
      <c r="A587" s="88">
        <v>6910</v>
      </c>
      <c r="B587" s="378" t="s">
        <v>21</v>
      </c>
      <c r="C587" s="1033"/>
      <c r="D587" s="1033"/>
      <c r="E587" s="1033"/>
      <c r="F587" s="1033"/>
      <c r="G587" s="1033"/>
      <c r="H587" s="1033"/>
      <c r="I587" s="1033"/>
      <c r="J587" s="1033"/>
      <c r="K587" s="1033"/>
      <c r="L587" s="90"/>
      <c r="M587" s="51"/>
      <c r="N587" s="113">
        <f t="shared" si="58"/>
        <v>6910</v>
      </c>
      <c r="O587" s="575">
        <v>0</v>
      </c>
      <c r="P587" s="582">
        <v>0</v>
      </c>
      <c r="Q587" s="589"/>
      <c r="R587" s="576"/>
      <c r="S587" s="583">
        <f t="shared" si="60"/>
        <v>0</v>
      </c>
      <c r="T587" s="580">
        <f t="shared" si="59"/>
        <v>0</v>
      </c>
      <c r="U587" s="51"/>
      <c r="V587" s="2119"/>
      <c r="W587" s="43"/>
      <c r="X587" s="43"/>
      <c r="Y587" s="43"/>
      <c r="Z587" s="43"/>
    </row>
    <row r="588" spans="1:26">
      <c r="A588" s="88">
        <v>6911</v>
      </c>
      <c r="B588" s="1033" t="s">
        <v>22</v>
      </c>
      <c r="C588" s="1033"/>
      <c r="D588" s="1033"/>
      <c r="E588" s="1033"/>
      <c r="F588" s="1033"/>
      <c r="G588" s="1033"/>
      <c r="H588" s="1033"/>
      <c r="I588" s="1033"/>
      <c r="J588" s="1033"/>
      <c r="K588" s="1033"/>
      <c r="L588" s="90"/>
      <c r="M588" s="51"/>
      <c r="N588" s="113">
        <f t="shared" si="58"/>
        <v>6911</v>
      </c>
      <c r="O588" s="575">
        <v>0</v>
      </c>
      <c r="P588" s="582">
        <v>0</v>
      </c>
      <c r="Q588" s="589"/>
      <c r="R588" s="576"/>
      <c r="S588" s="583">
        <f t="shared" si="60"/>
        <v>0</v>
      </c>
      <c r="T588" s="580">
        <f t="shared" si="59"/>
        <v>0</v>
      </c>
      <c r="U588" s="51"/>
      <c r="V588" s="2119"/>
      <c r="W588" s="43"/>
      <c r="X588" s="43"/>
      <c r="Y588" s="43"/>
      <c r="Z588" s="43"/>
    </row>
    <row r="589" spans="1:26">
      <c r="A589" s="88">
        <v>6912</v>
      </c>
      <c r="B589" s="1033" t="s">
        <v>23</v>
      </c>
      <c r="C589" s="1033"/>
      <c r="D589" s="1033"/>
      <c r="E589" s="1033"/>
      <c r="F589" s="1033"/>
      <c r="G589" s="1033"/>
      <c r="H589" s="1033"/>
      <c r="I589" s="1033"/>
      <c r="J589" s="1033"/>
      <c r="K589" s="1033"/>
      <c r="L589" s="90"/>
      <c r="M589" s="51"/>
      <c r="N589" s="113">
        <f t="shared" si="58"/>
        <v>6912</v>
      </c>
      <c r="O589" s="575">
        <v>0</v>
      </c>
      <c r="P589" s="582">
        <v>0</v>
      </c>
      <c r="Q589" s="589"/>
      <c r="R589" s="576"/>
      <c r="S589" s="583">
        <f t="shared" si="60"/>
        <v>0</v>
      </c>
      <c r="T589" s="580">
        <f t="shared" si="59"/>
        <v>0</v>
      </c>
      <c r="U589" s="51"/>
      <c r="V589" s="2119"/>
      <c r="W589" s="43"/>
      <c r="X589" s="43"/>
      <c r="Y589" s="43"/>
      <c r="Z589" s="43"/>
    </row>
    <row r="590" spans="1:26" ht="15.75" customHeight="1">
      <c r="A590" s="88">
        <v>6915</v>
      </c>
      <c r="B590" s="1033" t="s">
        <v>24</v>
      </c>
      <c r="C590" s="1033"/>
      <c r="D590" s="1033"/>
      <c r="E590" s="1033"/>
      <c r="F590" s="1033"/>
      <c r="G590" s="1033"/>
      <c r="H590" s="1033"/>
      <c r="I590" s="1033"/>
      <c r="J590" s="1033"/>
      <c r="K590" s="1033"/>
      <c r="L590" s="90"/>
      <c r="M590" s="51"/>
      <c r="N590" s="113">
        <f t="shared" si="58"/>
        <v>6915</v>
      </c>
      <c r="O590" s="575">
        <v>0</v>
      </c>
      <c r="P590" s="582">
        <v>0</v>
      </c>
      <c r="Q590" s="589">
        <v>0</v>
      </c>
      <c r="R590" s="576">
        <v>0</v>
      </c>
      <c r="S590" s="583">
        <f t="shared" si="60"/>
        <v>0</v>
      </c>
      <c r="T590" s="580">
        <f t="shared" si="59"/>
        <v>0</v>
      </c>
      <c r="U590" s="51"/>
      <c r="V590" s="2119"/>
      <c r="W590" s="43"/>
      <c r="X590" s="43"/>
      <c r="Y590" s="43"/>
      <c r="Z590" s="43"/>
    </row>
    <row r="591" spans="1:26" ht="15.75" customHeight="1">
      <c r="A591" s="88">
        <v>6916</v>
      </c>
      <c r="B591" s="1033" t="s">
        <v>25</v>
      </c>
      <c r="C591" s="1033"/>
      <c r="D591" s="1033"/>
      <c r="E591" s="1033"/>
      <c r="F591" s="1033"/>
      <c r="G591" s="1033"/>
      <c r="H591" s="1033"/>
      <c r="I591" s="1033"/>
      <c r="J591" s="1033"/>
      <c r="K591" s="1033"/>
      <c r="L591" s="90"/>
      <c r="M591" s="51"/>
      <c r="N591" s="113">
        <f t="shared" si="58"/>
        <v>6916</v>
      </c>
      <c r="O591" s="575">
        <v>0</v>
      </c>
      <c r="P591" s="582">
        <v>0</v>
      </c>
      <c r="Q591" s="589"/>
      <c r="R591" s="576"/>
      <c r="S591" s="583">
        <f t="shared" si="60"/>
        <v>0</v>
      </c>
      <c r="T591" s="580">
        <f t="shared" si="59"/>
        <v>0</v>
      </c>
      <c r="U591" s="51"/>
      <c r="V591" s="2119"/>
      <c r="W591" s="43"/>
      <c r="X591" s="43"/>
      <c r="Y591" s="43"/>
      <c r="Z591" s="43"/>
    </row>
    <row r="592" spans="1:26">
      <c r="A592" s="88">
        <v>6917</v>
      </c>
      <c r="B592" s="1033" t="s">
        <v>26</v>
      </c>
      <c r="C592" s="1033"/>
      <c r="D592" s="1033"/>
      <c r="E592" s="1033"/>
      <c r="F592" s="1033"/>
      <c r="G592" s="1033"/>
      <c r="H592" s="1033"/>
      <c r="I592" s="1033"/>
      <c r="J592" s="1033"/>
      <c r="K592" s="1033"/>
      <c r="L592" s="90"/>
      <c r="M592" s="51"/>
      <c r="N592" s="113">
        <f t="shared" si="58"/>
        <v>6917</v>
      </c>
      <c r="O592" s="575">
        <v>0</v>
      </c>
      <c r="P592" s="582">
        <v>0</v>
      </c>
      <c r="Q592" s="589">
        <v>0</v>
      </c>
      <c r="R592" s="576">
        <v>0</v>
      </c>
      <c r="S592" s="583">
        <f t="shared" si="60"/>
        <v>0</v>
      </c>
      <c r="T592" s="580">
        <f t="shared" si="59"/>
        <v>0</v>
      </c>
      <c r="U592" s="51"/>
      <c r="V592" s="2119"/>
      <c r="W592" s="43"/>
      <c r="X592" s="43"/>
      <c r="Y592" s="43"/>
      <c r="Z592" s="43"/>
    </row>
    <row r="593" spans="1:26">
      <c r="A593" s="88">
        <v>6918</v>
      </c>
      <c r="B593" s="1033" t="s">
        <v>27</v>
      </c>
      <c r="C593" s="1033"/>
      <c r="D593" s="1033"/>
      <c r="E593" s="1033"/>
      <c r="F593" s="1033"/>
      <c r="G593" s="1033"/>
      <c r="H593" s="1033"/>
      <c r="I593" s="1033"/>
      <c r="J593" s="1033"/>
      <c r="K593" s="1033"/>
      <c r="L593" s="90"/>
      <c r="M593" s="51"/>
      <c r="N593" s="113">
        <f t="shared" si="58"/>
        <v>6918</v>
      </c>
      <c r="O593" s="575">
        <v>0</v>
      </c>
      <c r="P593" s="582">
        <v>0</v>
      </c>
      <c r="Q593" s="589">
        <v>0</v>
      </c>
      <c r="R593" s="576">
        <v>0</v>
      </c>
      <c r="S593" s="583">
        <f t="shared" si="60"/>
        <v>0</v>
      </c>
      <c r="T593" s="580">
        <f t="shared" si="59"/>
        <v>0</v>
      </c>
      <c r="U593" s="51"/>
      <c r="V593" s="2119"/>
      <c r="W593" s="43"/>
      <c r="X593" s="43"/>
      <c r="Y593" s="43"/>
      <c r="Z593" s="43"/>
    </row>
    <row r="594" spans="1:26" ht="15.75" customHeight="1">
      <c r="A594" s="88">
        <v>6992</v>
      </c>
      <c r="B594" s="1033" t="s">
        <v>28</v>
      </c>
      <c r="C594" s="1033"/>
      <c r="D594" s="1033"/>
      <c r="E594" s="1033"/>
      <c r="F594" s="1033"/>
      <c r="G594" s="1033"/>
      <c r="H594" s="1033"/>
      <c r="I594" s="1033"/>
      <c r="J594" s="1033"/>
      <c r="K594" s="1033"/>
      <c r="L594" s="90"/>
      <c r="M594" s="51"/>
      <c r="N594" s="113">
        <f t="shared" si="58"/>
        <v>6992</v>
      </c>
      <c r="O594" s="575">
        <v>0</v>
      </c>
      <c r="P594" s="582">
        <v>0</v>
      </c>
      <c r="Q594" s="589">
        <v>0</v>
      </c>
      <c r="R594" s="576">
        <v>0</v>
      </c>
      <c r="S594" s="583">
        <f t="shared" si="60"/>
        <v>0</v>
      </c>
      <c r="T594" s="580">
        <f t="shared" si="59"/>
        <v>0</v>
      </c>
      <c r="U594" s="51"/>
      <c r="V594" s="2119"/>
      <c r="W594" s="43"/>
      <c r="X594" s="43"/>
      <c r="Y594" s="43"/>
      <c r="Z594" s="43"/>
    </row>
    <row r="595" spans="1:26" ht="15.75" customHeight="1">
      <c r="A595" s="88">
        <v>6993</v>
      </c>
      <c r="B595" s="1033" t="s">
        <v>29</v>
      </c>
      <c r="C595" s="1033"/>
      <c r="D595" s="1033"/>
      <c r="E595" s="1033"/>
      <c r="F595" s="1033"/>
      <c r="G595" s="1033"/>
      <c r="H595" s="1033"/>
      <c r="I595" s="1033"/>
      <c r="J595" s="1033"/>
      <c r="K595" s="1033"/>
      <c r="L595" s="90"/>
      <c r="M595" s="51"/>
      <c r="N595" s="113">
        <f t="shared" si="58"/>
        <v>6993</v>
      </c>
      <c r="O595" s="575">
        <v>0</v>
      </c>
      <c r="P595" s="582">
        <v>0</v>
      </c>
      <c r="Q595" s="589"/>
      <c r="R595" s="576"/>
      <c r="S595" s="583">
        <f t="shared" si="60"/>
        <v>0</v>
      </c>
      <c r="T595" s="580">
        <f t="shared" si="59"/>
        <v>0</v>
      </c>
      <c r="U595" s="51"/>
      <c r="V595" s="2119"/>
      <c r="W595" s="43"/>
      <c r="X595" s="43"/>
      <c r="Y595" s="43"/>
      <c r="Z595" s="43"/>
    </row>
    <row r="596" spans="1:26" ht="15.75" customHeight="1">
      <c r="A596" s="88">
        <v>6994</v>
      </c>
      <c r="B596" s="1033" t="s">
        <v>30</v>
      </c>
      <c r="C596" s="1033"/>
      <c r="D596" s="1033"/>
      <c r="E596" s="1033"/>
      <c r="F596" s="1033"/>
      <c r="G596" s="1033"/>
      <c r="H596" s="1033"/>
      <c r="I596" s="1033"/>
      <c r="J596" s="1033"/>
      <c r="K596" s="1033"/>
      <c r="L596" s="90"/>
      <c r="M596" s="51"/>
      <c r="N596" s="113">
        <f t="shared" si="58"/>
        <v>6994</v>
      </c>
      <c r="O596" s="575">
        <v>0</v>
      </c>
      <c r="P596" s="582">
        <v>0</v>
      </c>
      <c r="Q596" s="589"/>
      <c r="R596" s="576"/>
      <c r="S596" s="583">
        <f t="shared" si="60"/>
        <v>0</v>
      </c>
      <c r="T596" s="580">
        <f t="shared" si="59"/>
        <v>0</v>
      </c>
      <c r="U596" s="51"/>
      <c r="V596" s="2119"/>
      <c r="W596" s="43"/>
      <c r="X596" s="43"/>
      <c r="Y596" s="43"/>
      <c r="Z596" s="43"/>
    </row>
    <row r="597" spans="1:26" ht="15.75" customHeight="1">
      <c r="A597" s="88">
        <v>6995</v>
      </c>
      <c r="B597" s="1033" t="s">
        <v>31</v>
      </c>
      <c r="C597" s="1033"/>
      <c r="D597" s="1033"/>
      <c r="E597" s="1033"/>
      <c r="F597" s="1033"/>
      <c r="G597" s="1033"/>
      <c r="H597" s="1033"/>
      <c r="I597" s="1033"/>
      <c r="J597" s="1033"/>
      <c r="K597" s="1033"/>
      <c r="L597" s="90"/>
      <c r="M597" s="51"/>
      <c r="N597" s="113">
        <f t="shared" si="58"/>
        <v>6995</v>
      </c>
      <c r="O597" s="575">
        <v>0</v>
      </c>
      <c r="P597" s="582">
        <v>0</v>
      </c>
      <c r="Q597" s="589"/>
      <c r="R597" s="576"/>
      <c r="S597" s="583">
        <f t="shared" si="60"/>
        <v>0</v>
      </c>
      <c r="T597" s="580">
        <f t="shared" si="59"/>
        <v>0</v>
      </c>
      <c r="U597" s="51"/>
      <c r="V597" s="2119"/>
      <c r="W597" s="43"/>
      <c r="X597" s="43"/>
      <c r="Y597" s="43"/>
      <c r="Z597" s="43"/>
    </row>
    <row r="598" spans="1:26" ht="15.75" customHeight="1">
      <c r="A598" s="88">
        <v>6996</v>
      </c>
      <c r="B598" s="1033" t="s">
        <v>32</v>
      </c>
      <c r="C598" s="1033"/>
      <c r="D598" s="1033"/>
      <c r="E598" s="1033"/>
      <c r="F598" s="1033"/>
      <c r="G598" s="1033"/>
      <c r="H598" s="1033"/>
      <c r="I598" s="1033"/>
      <c r="J598" s="1033"/>
      <c r="K598" s="1033"/>
      <c r="L598" s="90"/>
      <c r="M598" s="51"/>
      <c r="N598" s="113">
        <f t="shared" si="58"/>
        <v>6996</v>
      </c>
      <c r="O598" s="575">
        <v>0</v>
      </c>
      <c r="P598" s="582">
        <v>0</v>
      </c>
      <c r="Q598" s="589"/>
      <c r="R598" s="576"/>
      <c r="S598" s="583">
        <f t="shared" si="60"/>
        <v>0</v>
      </c>
      <c r="T598" s="580">
        <f t="shared" si="59"/>
        <v>0</v>
      </c>
      <c r="U598" s="51"/>
      <c r="V598" s="2119"/>
      <c r="W598" s="43"/>
      <c r="X598" s="43"/>
      <c r="Y598" s="43"/>
      <c r="Z598" s="43"/>
    </row>
    <row r="599" spans="1:26" ht="15.75" customHeight="1">
      <c r="A599" s="88">
        <v>6997</v>
      </c>
      <c r="B599" s="1033" t="s">
        <v>33</v>
      </c>
      <c r="C599" s="1033"/>
      <c r="D599" s="1033"/>
      <c r="E599" s="1033"/>
      <c r="F599" s="1033"/>
      <c r="G599" s="1033"/>
      <c r="H599" s="1033"/>
      <c r="I599" s="1033"/>
      <c r="J599" s="1033"/>
      <c r="K599" s="1033"/>
      <c r="L599" s="90"/>
      <c r="M599" s="51"/>
      <c r="N599" s="113">
        <f t="shared" si="58"/>
        <v>6997</v>
      </c>
      <c r="O599" s="575">
        <v>0</v>
      </c>
      <c r="P599" s="582">
        <v>0</v>
      </c>
      <c r="Q599" s="589"/>
      <c r="R599" s="576"/>
      <c r="S599" s="583">
        <f t="shared" si="60"/>
        <v>0</v>
      </c>
      <c r="T599" s="580">
        <f t="shared" si="59"/>
        <v>0</v>
      </c>
      <c r="U599" s="51"/>
      <c r="V599" s="2119"/>
      <c r="W599" s="43"/>
      <c r="X599" s="43"/>
      <c r="Y599" s="43"/>
      <c r="Z599" s="43"/>
    </row>
    <row r="600" spans="1:26" ht="15.75" customHeight="1">
      <c r="A600" s="88">
        <v>6998</v>
      </c>
      <c r="B600" s="1033" t="s">
        <v>34</v>
      </c>
      <c r="C600" s="1033"/>
      <c r="D600" s="1033"/>
      <c r="E600" s="1033"/>
      <c r="F600" s="1033"/>
      <c r="G600" s="1033"/>
      <c r="H600" s="1033"/>
      <c r="I600" s="1033"/>
      <c r="J600" s="1033"/>
      <c r="K600" s="1033"/>
      <c r="L600" s="90"/>
      <c r="M600" s="51"/>
      <c r="N600" s="113">
        <f t="shared" si="58"/>
        <v>6998</v>
      </c>
      <c r="O600" s="575">
        <v>0</v>
      </c>
      <c r="P600" s="582">
        <v>0</v>
      </c>
      <c r="Q600" s="589"/>
      <c r="R600" s="576"/>
      <c r="S600" s="583">
        <f t="shared" si="60"/>
        <v>0</v>
      </c>
      <c r="T600" s="580">
        <f t="shared" si="59"/>
        <v>0</v>
      </c>
      <c r="U600" s="51"/>
      <c r="V600" s="2119"/>
      <c r="W600" s="43"/>
      <c r="X600" s="43"/>
      <c r="Y600" s="43"/>
      <c r="Z600" s="43"/>
    </row>
    <row r="601" spans="1:26">
      <c r="A601" s="1030" t="s">
        <v>1160</v>
      </c>
      <c r="B601" s="399"/>
      <c r="C601" s="399"/>
      <c r="D601" s="399"/>
      <c r="E601" s="399"/>
      <c r="F601" s="399"/>
      <c r="G601" s="399"/>
      <c r="H601" s="399"/>
      <c r="I601" s="399"/>
      <c r="J601" s="399"/>
      <c r="K601" s="399"/>
      <c r="L601" s="381"/>
      <c r="M601" s="51"/>
      <c r="N601" s="383">
        <v>7</v>
      </c>
      <c r="O601" s="384"/>
      <c r="P601" s="385"/>
      <c r="Q601" s="386"/>
      <c r="R601" s="385"/>
      <c r="S601" s="386"/>
      <c r="T601" s="387"/>
      <c r="U601" s="51"/>
      <c r="V601" s="2119"/>
      <c r="W601" s="43"/>
      <c r="X601" s="43"/>
      <c r="Y601" s="43"/>
      <c r="Z601" s="43"/>
    </row>
    <row r="602" spans="1:26">
      <c r="A602" s="85">
        <v>7011</v>
      </c>
      <c r="B602" s="419" t="s">
        <v>667</v>
      </c>
      <c r="C602" s="86"/>
      <c r="D602" s="86"/>
      <c r="E602" s="86"/>
      <c r="F602" s="86"/>
      <c r="G602" s="86"/>
      <c r="H602" s="86"/>
      <c r="I602" s="86"/>
      <c r="J602" s="86"/>
      <c r="K602" s="86"/>
      <c r="L602" s="87"/>
      <c r="M602" s="51"/>
      <c r="N602" s="112">
        <f t="shared" ref="N602:N665" si="61">+A602</f>
        <v>7011</v>
      </c>
      <c r="O602" s="328">
        <v>0</v>
      </c>
      <c r="P602" s="329">
        <v>0</v>
      </c>
      <c r="Q602" s="325">
        <v>0</v>
      </c>
      <c r="R602" s="324">
        <v>0</v>
      </c>
      <c r="S602" s="326">
        <f t="shared" ref="S602:S665" si="62">+IF(ABS(+O602+Q602)&gt;=ABS(P602+R602),+O602-P602+Q602-R602,0)</f>
        <v>0</v>
      </c>
      <c r="T602" s="327">
        <f>+IF(ABS(+O602+Q602)&lt;=ABS(P602+R602),-O602+P602-Q602+R602,0)</f>
        <v>0</v>
      </c>
      <c r="U602" s="51"/>
      <c r="V602" s="2119"/>
      <c r="W602" s="43"/>
      <c r="X602" s="43"/>
      <c r="Y602" s="43"/>
      <c r="Z602" s="43"/>
    </row>
    <row r="603" spans="1:26">
      <c r="A603" s="88">
        <v>7012</v>
      </c>
      <c r="B603" s="1032" t="s">
        <v>668</v>
      </c>
      <c r="C603" s="1033"/>
      <c r="D603" s="1033"/>
      <c r="E603" s="1033"/>
      <c r="F603" s="1033"/>
      <c r="G603" s="1033"/>
      <c r="H603" s="1033"/>
      <c r="I603" s="1033"/>
      <c r="J603" s="1033"/>
      <c r="K603" s="1033"/>
      <c r="L603" s="90"/>
      <c r="M603" s="51"/>
      <c r="N603" s="113">
        <f t="shared" si="61"/>
        <v>7012</v>
      </c>
      <c r="O603" s="575">
        <v>0</v>
      </c>
      <c r="P603" s="582">
        <v>0</v>
      </c>
      <c r="Q603" s="122"/>
      <c r="R603" s="121"/>
      <c r="S603" s="583">
        <f t="shared" si="62"/>
        <v>0</v>
      </c>
      <c r="T603" s="580">
        <f>+IF(ABS(+O603+Q603)&lt;=ABS(P603+R603),-O603+P603-Q603+R603,0)</f>
        <v>0</v>
      </c>
      <c r="U603" s="51"/>
      <c r="V603" s="2119"/>
      <c r="W603" s="43"/>
      <c r="X603" s="43"/>
      <c r="Y603" s="43"/>
      <c r="Z603" s="43"/>
    </row>
    <row r="604" spans="1:26">
      <c r="A604" s="88">
        <v>7013</v>
      </c>
      <c r="B604" s="1032" t="s">
        <v>669</v>
      </c>
      <c r="C604" s="1033"/>
      <c r="D604" s="1033"/>
      <c r="E604" s="1033"/>
      <c r="F604" s="1033"/>
      <c r="G604" s="1033"/>
      <c r="H604" s="1033"/>
      <c r="I604" s="1033"/>
      <c r="J604" s="1033"/>
      <c r="K604" s="1033"/>
      <c r="L604" s="90"/>
      <c r="M604" s="51"/>
      <c r="N604" s="113">
        <f t="shared" si="61"/>
        <v>7013</v>
      </c>
      <c r="O604" s="575">
        <v>0</v>
      </c>
      <c r="P604" s="582">
        <v>0</v>
      </c>
      <c r="Q604" s="122"/>
      <c r="R604" s="576"/>
      <c r="S604" s="583">
        <f t="shared" si="62"/>
        <v>0</v>
      </c>
      <c r="T604" s="584">
        <v>0</v>
      </c>
      <c r="U604" s="51"/>
      <c r="V604" s="2120">
        <f>+IF(OR(ROUND(P604,2)+ROUND(R604,2)&gt;+ROUND(O604,2)+ROUND(Q604,2),+ABS(ROUND(P604,2)+ROUND(R604,2))&gt;+ABS(ROUND(O604,2)+ROUND(Q604,2))),+(ROUND(P604,2)+ROUND(R604,2))-(ROUND(O604,2)+ROUND(Q604,2)),0)</f>
        <v>0</v>
      </c>
      <c r="W604" s="43"/>
      <c r="X604" s="43"/>
      <c r="Y604" s="43"/>
      <c r="Z604" s="43"/>
    </row>
    <row r="605" spans="1:26">
      <c r="A605" s="88">
        <v>7014</v>
      </c>
      <c r="B605" s="1032" t="s">
        <v>670</v>
      </c>
      <c r="C605" s="1033"/>
      <c r="D605" s="1033"/>
      <c r="E605" s="1033"/>
      <c r="F605" s="1033"/>
      <c r="G605" s="1033"/>
      <c r="H605" s="1033"/>
      <c r="I605" s="1033"/>
      <c r="J605" s="1033"/>
      <c r="K605" s="1033"/>
      <c r="L605" s="90"/>
      <c r="M605" s="51"/>
      <c r="N605" s="113">
        <f t="shared" si="61"/>
        <v>7014</v>
      </c>
      <c r="O605" s="575">
        <v>0</v>
      </c>
      <c r="P605" s="582">
        <v>0</v>
      </c>
      <c r="Q605" s="122">
        <v>0</v>
      </c>
      <c r="R605" s="121">
        <v>0</v>
      </c>
      <c r="S605" s="583">
        <f t="shared" si="62"/>
        <v>0</v>
      </c>
      <c r="T605" s="580">
        <f>+IF(ABS(+O605+Q605)&lt;=ABS(P605+R605),-O605+P605-Q605+R605,0)</f>
        <v>0</v>
      </c>
      <c r="U605" s="51"/>
      <c r="V605" s="2119"/>
      <c r="W605" s="43"/>
      <c r="X605" s="43"/>
      <c r="Y605" s="43"/>
      <c r="Z605" s="43"/>
    </row>
    <row r="606" spans="1:26">
      <c r="A606" s="88">
        <v>7041</v>
      </c>
      <c r="B606" s="1032" t="s">
        <v>1936</v>
      </c>
      <c r="C606" s="1033"/>
      <c r="D606" s="1033"/>
      <c r="E606" s="1033"/>
      <c r="F606" s="1033"/>
      <c r="G606" s="1033"/>
      <c r="H606" s="1033"/>
      <c r="I606" s="1033"/>
      <c r="J606" s="1033"/>
      <c r="K606" s="1033"/>
      <c r="L606" s="90"/>
      <c r="M606" s="51"/>
      <c r="N606" s="113">
        <f t="shared" si="61"/>
        <v>7041</v>
      </c>
      <c r="O606" s="575">
        <v>0</v>
      </c>
      <c r="P606" s="582">
        <v>0</v>
      </c>
      <c r="Q606" s="122">
        <v>0</v>
      </c>
      <c r="R606" s="121">
        <v>0</v>
      </c>
      <c r="S606" s="583">
        <f t="shared" si="62"/>
        <v>0</v>
      </c>
      <c r="T606" s="580">
        <f>+IF(ABS(+O606+Q606)&lt;=ABS(P606+R606),-O606+P606-Q606+R606,0)</f>
        <v>0</v>
      </c>
      <c r="U606" s="51"/>
      <c r="V606" s="2119"/>
      <c r="W606" s="43"/>
      <c r="X606" s="43"/>
      <c r="Y606" s="43"/>
      <c r="Z606" s="43"/>
    </row>
    <row r="607" spans="1:26">
      <c r="A607" s="88">
        <v>7042</v>
      </c>
      <c r="B607" s="1032" t="s">
        <v>1937</v>
      </c>
      <c r="C607" s="1033"/>
      <c r="D607" s="1033"/>
      <c r="E607" s="1033"/>
      <c r="F607" s="1033"/>
      <c r="G607" s="1033"/>
      <c r="H607" s="1033"/>
      <c r="I607" s="1033"/>
      <c r="J607" s="1033"/>
      <c r="K607" s="1033"/>
      <c r="L607" s="90"/>
      <c r="M607" s="51"/>
      <c r="N607" s="113">
        <f t="shared" si="61"/>
        <v>7042</v>
      </c>
      <c r="O607" s="575">
        <v>0</v>
      </c>
      <c r="P607" s="582">
        <v>0</v>
      </c>
      <c r="Q607" s="122"/>
      <c r="R607" s="121"/>
      <c r="S607" s="583">
        <f t="shared" si="62"/>
        <v>0</v>
      </c>
      <c r="T607" s="580">
        <f>+IF(ABS(+O607+Q607)&lt;=ABS(P607+R607),-O607+P607-Q607+R607,0)</f>
        <v>0</v>
      </c>
      <c r="U607" s="51"/>
      <c r="V607" s="2119"/>
      <c r="W607" s="43"/>
      <c r="X607" s="43"/>
      <c r="Y607" s="43"/>
      <c r="Z607" s="43"/>
    </row>
    <row r="608" spans="1:26">
      <c r="A608" s="88">
        <v>7043</v>
      </c>
      <c r="B608" s="1032" t="s">
        <v>1938</v>
      </c>
      <c r="C608" s="1033"/>
      <c r="D608" s="1033"/>
      <c r="E608" s="1033"/>
      <c r="F608" s="1033"/>
      <c r="G608" s="1033"/>
      <c r="H608" s="1033"/>
      <c r="I608" s="1033"/>
      <c r="J608" s="1033"/>
      <c r="K608" s="1033"/>
      <c r="L608" s="90"/>
      <c r="M608" s="51"/>
      <c r="N608" s="113">
        <f t="shared" si="61"/>
        <v>7043</v>
      </c>
      <c r="O608" s="575">
        <v>0</v>
      </c>
      <c r="P608" s="582">
        <v>0</v>
      </c>
      <c r="Q608" s="122"/>
      <c r="R608" s="576"/>
      <c r="S608" s="583">
        <f t="shared" si="62"/>
        <v>0</v>
      </c>
      <c r="T608" s="584">
        <v>0</v>
      </c>
      <c r="U608" s="51"/>
      <c r="V608" s="2120">
        <f>+IF(OR(ROUND(P608,2)+ROUND(R608,2)&gt;+ROUND(O608,2)+ROUND(Q608,2),+ABS(ROUND(P608,2)+ROUND(R608,2))&gt;+ABS(ROUND(O608,2)+ROUND(Q608,2))),+(ROUND(P608,2)+ROUND(R608,2))-(ROUND(O608,2)+ROUND(Q608,2)),0)</f>
        <v>0</v>
      </c>
      <c r="W608" s="43"/>
      <c r="X608" s="43"/>
      <c r="Y608" s="43"/>
      <c r="Z608" s="43"/>
    </row>
    <row r="609" spans="1:26">
      <c r="A609" s="88">
        <v>7044</v>
      </c>
      <c r="B609" s="1032" t="s">
        <v>1939</v>
      </c>
      <c r="C609" s="1033"/>
      <c r="D609" s="1033"/>
      <c r="E609" s="1033"/>
      <c r="F609" s="1033"/>
      <c r="G609" s="1033"/>
      <c r="H609" s="1033"/>
      <c r="I609" s="1033"/>
      <c r="J609" s="1033"/>
      <c r="K609" s="1033"/>
      <c r="L609" s="90"/>
      <c r="M609" s="51"/>
      <c r="N609" s="113">
        <f t="shared" si="61"/>
        <v>7044</v>
      </c>
      <c r="O609" s="575">
        <v>0</v>
      </c>
      <c r="P609" s="582">
        <v>0</v>
      </c>
      <c r="Q609" s="122"/>
      <c r="R609" s="121"/>
      <c r="S609" s="583">
        <f t="shared" si="62"/>
        <v>0</v>
      </c>
      <c r="T609" s="580">
        <f t="shared" ref="T609:T672" si="63">+IF(ABS(+O609+Q609)&lt;=ABS(P609+R609),-O609+P609-Q609+R609,0)</f>
        <v>0</v>
      </c>
      <c r="U609" s="51"/>
      <c r="V609" s="2119"/>
      <c r="W609" s="43"/>
      <c r="X609" s="43"/>
      <c r="Y609" s="43"/>
      <c r="Z609" s="43"/>
    </row>
    <row r="610" spans="1:26">
      <c r="A610" s="88">
        <v>7051</v>
      </c>
      <c r="B610" s="1032" t="s">
        <v>671</v>
      </c>
      <c r="C610" s="1033"/>
      <c r="D610" s="1033"/>
      <c r="E610" s="1033"/>
      <c r="F610" s="1033"/>
      <c r="G610" s="1033"/>
      <c r="H610" s="1033"/>
      <c r="I610" s="1033"/>
      <c r="J610" s="1033"/>
      <c r="K610" s="1033"/>
      <c r="L610" s="90"/>
      <c r="M610" s="51"/>
      <c r="N610" s="113">
        <f t="shared" si="61"/>
        <v>7051</v>
      </c>
      <c r="O610" s="575">
        <v>0</v>
      </c>
      <c r="P610" s="582">
        <v>0</v>
      </c>
      <c r="Q610" s="122">
        <v>0</v>
      </c>
      <c r="R610" s="121">
        <v>0</v>
      </c>
      <c r="S610" s="583">
        <f t="shared" si="62"/>
        <v>0</v>
      </c>
      <c r="T610" s="580">
        <f t="shared" si="63"/>
        <v>0</v>
      </c>
      <c r="U610" s="51"/>
      <c r="V610" s="2119"/>
      <c r="W610" s="43"/>
      <c r="X610" s="43"/>
      <c r="Y610" s="43"/>
      <c r="Z610" s="43"/>
    </row>
    <row r="611" spans="1:26">
      <c r="A611" s="88">
        <v>7052</v>
      </c>
      <c r="B611" s="1032" t="s">
        <v>672</v>
      </c>
      <c r="C611" s="1033"/>
      <c r="D611" s="1033"/>
      <c r="E611" s="1033"/>
      <c r="F611" s="1033"/>
      <c r="G611" s="1033"/>
      <c r="H611" s="1033"/>
      <c r="I611" s="1033"/>
      <c r="J611" s="1033"/>
      <c r="K611" s="1033"/>
      <c r="L611" s="90"/>
      <c r="M611" s="51"/>
      <c r="N611" s="113">
        <f t="shared" si="61"/>
        <v>7052</v>
      </c>
      <c r="O611" s="575">
        <v>0</v>
      </c>
      <c r="P611" s="582">
        <v>0</v>
      </c>
      <c r="Q611" s="589"/>
      <c r="R611" s="576"/>
      <c r="S611" s="583">
        <f t="shared" si="62"/>
        <v>0</v>
      </c>
      <c r="T611" s="580">
        <f t="shared" si="63"/>
        <v>0</v>
      </c>
      <c r="U611" s="51"/>
      <c r="V611" s="2119"/>
      <c r="W611" s="43"/>
      <c r="X611" s="43"/>
      <c r="Y611" s="43"/>
      <c r="Z611" s="43"/>
    </row>
    <row r="612" spans="1:26">
      <c r="A612" s="88">
        <v>7090</v>
      </c>
      <c r="B612" s="1035" t="s">
        <v>673</v>
      </c>
      <c r="C612" s="1033"/>
      <c r="D612" s="1033"/>
      <c r="E612" s="1033"/>
      <c r="F612" s="1033"/>
      <c r="G612" s="1033"/>
      <c r="H612" s="1033"/>
      <c r="I612" s="1033"/>
      <c r="J612" s="1033"/>
      <c r="K612" s="1033"/>
      <c r="L612" s="90"/>
      <c r="M612" s="51"/>
      <c r="N612" s="113">
        <f t="shared" si="61"/>
        <v>7090</v>
      </c>
      <c r="O612" s="575">
        <v>0</v>
      </c>
      <c r="P612" s="582">
        <v>0</v>
      </c>
      <c r="Q612" s="589">
        <v>0</v>
      </c>
      <c r="R612" s="576">
        <v>0</v>
      </c>
      <c r="S612" s="583">
        <f t="shared" si="62"/>
        <v>0</v>
      </c>
      <c r="T612" s="580">
        <f t="shared" si="63"/>
        <v>0</v>
      </c>
      <c r="U612" s="51"/>
      <c r="V612" s="2119"/>
      <c r="W612" s="43"/>
      <c r="X612" s="43"/>
      <c r="Y612" s="43"/>
      <c r="Z612" s="43"/>
    </row>
    <row r="613" spans="1:26">
      <c r="A613" s="88">
        <v>7110</v>
      </c>
      <c r="B613" s="1033" t="s">
        <v>674</v>
      </c>
      <c r="C613" s="1033"/>
      <c r="D613" s="1033"/>
      <c r="E613" s="1033"/>
      <c r="F613" s="1033"/>
      <c r="G613" s="1033"/>
      <c r="H613" s="1033"/>
      <c r="I613" s="1033"/>
      <c r="J613" s="1033"/>
      <c r="K613" s="1033"/>
      <c r="L613" s="90"/>
      <c r="M613" s="51"/>
      <c r="N613" s="113">
        <f t="shared" si="61"/>
        <v>7110</v>
      </c>
      <c r="O613" s="575">
        <v>0</v>
      </c>
      <c r="P613" s="582">
        <v>0</v>
      </c>
      <c r="Q613" s="589">
        <v>0</v>
      </c>
      <c r="R613" s="576">
        <v>0</v>
      </c>
      <c r="S613" s="583">
        <f t="shared" si="62"/>
        <v>0</v>
      </c>
      <c r="T613" s="580">
        <f t="shared" si="63"/>
        <v>0</v>
      </c>
      <c r="U613" s="51"/>
      <c r="V613" s="2119"/>
      <c r="W613" s="43"/>
      <c r="X613" s="43"/>
      <c r="Y613" s="43"/>
      <c r="Z613" s="43"/>
    </row>
    <row r="614" spans="1:26">
      <c r="A614" s="88">
        <v>7111</v>
      </c>
      <c r="B614" s="1033" t="s">
        <v>675</v>
      </c>
      <c r="C614" s="1033"/>
      <c r="D614" s="1033"/>
      <c r="E614" s="1033"/>
      <c r="F614" s="1033"/>
      <c r="G614" s="1033"/>
      <c r="H614" s="1033"/>
      <c r="I614" s="1033"/>
      <c r="J614" s="1033"/>
      <c r="K614" s="1033"/>
      <c r="L614" s="90"/>
      <c r="M614" s="51"/>
      <c r="N614" s="113">
        <f t="shared" si="61"/>
        <v>7111</v>
      </c>
      <c r="O614" s="575">
        <v>0</v>
      </c>
      <c r="P614" s="582">
        <v>0</v>
      </c>
      <c r="Q614" s="589"/>
      <c r="R614" s="576"/>
      <c r="S614" s="583">
        <f t="shared" si="62"/>
        <v>0</v>
      </c>
      <c r="T614" s="580">
        <f t="shared" si="63"/>
        <v>0</v>
      </c>
      <c r="U614" s="51"/>
      <c r="V614" s="2119"/>
      <c r="W614" s="43"/>
      <c r="X614" s="43"/>
      <c r="Y614" s="43"/>
      <c r="Z614" s="43"/>
    </row>
    <row r="615" spans="1:26">
      <c r="A615" s="88">
        <v>7112</v>
      </c>
      <c r="B615" s="1033" t="s">
        <v>676</v>
      </c>
      <c r="C615" s="1033"/>
      <c r="D615" s="1033"/>
      <c r="E615" s="1033"/>
      <c r="F615" s="1033"/>
      <c r="G615" s="1033"/>
      <c r="H615" s="1033"/>
      <c r="I615" s="1033"/>
      <c r="J615" s="1033"/>
      <c r="K615" s="1033"/>
      <c r="L615" s="90"/>
      <c r="M615" s="51"/>
      <c r="N615" s="113">
        <f t="shared" si="61"/>
        <v>7112</v>
      </c>
      <c r="O615" s="575">
        <v>0</v>
      </c>
      <c r="P615" s="582">
        <v>0</v>
      </c>
      <c r="Q615" s="589">
        <v>0</v>
      </c>
      <c r="R615" s="576">
        <v>0</v>
      </c>
      <c r="S615" s="583">
        <f t="shared" si="62"/>
        <v>0</v>
      </c>
      <c r="T615" s="580">
        <f t="shared" si="63"/>
        <v>0</v>
      </c>
      <c r="U615" s="51"/>
      <c r="V615" s="2119"/>
      <c r="W615" s="43"/>
      <c r="X615" s="43"/>
      <c r="Y615" s="43"/>
      <c r="Z615" s="43"/>
    </row>
    <row r="616" spans="1:26">
      <c r="A616" s="88">
        <v>7113</v>
      </c>
      <c r="B616" s="1033" t="s">
        <v>677</v>
      </c>
      <c r="C616" s="1033"/>
      <c r="D616" s="1033"/>
      <c r="E616" s="1033"/>
      <c r="F616" s="1033"/>
      <c r="G616" s="1033"/>
      <c r="H616" s="1033"/>
      <c r="I616" s="1033"/>
      <c r="J616" s="1033"/>
      <c r="K616" s="1033"/>
      <c r="L616" s="90"/>
      <c r="M616" s="51"/>
      <c r="N616" s="113">
        <f t="shared" si="61"/>
        <v>7113</v>
      </c>
      <c r="O616" s="575">
        <v>0</v>
      </c>
      <c r="P616" s="582">
        <v>0</v>
      </c>
      <c r="Q616" s="589">
        <v>0</v>
      </c>
      <c r="R616" s="576">
        <v>0</v>
      </c>
      <c r="S616" s="583">
        <f t="shared" si="62"/>
        <v>0</v>
      </c>
      <c r="T616" s="580">
        <f t="shared" si="63"/>
        <v>0</v>
      </c>
      <c r="U616" s="51"/>
      <c r="V616" s="2119"/>
      <c r="W616" s="43"/>
      <c r="X616" s="43"/>
      <c r="Y616" s="43"/>
      <c r="Z616" s="43"/>
    </row>
    <row r="617" spans="1:26">
      <c r="A617" s="88">
        <v>7114</v>
      </c>
      <c r="B617" s="1033" t="s">
        <v>678</v>
      </c>
      <c r="C617" s="1033"/>
      <c r="D617" s="1033"/>
      <c r="E617" s="1033"/>
      <c r="F617" s="1033"/>
      <c r="G617" s="1033"/>
      <c r="H617" s="1033"/>
      <c r="I617" s="1033"/>
      <c r="J617" s="1033"/>
      <c r="K617" s="1033"/>
      <c r="L617" s="90"/>
      <c r="M617" s="51"/>
      <c r="N617" s="113">
        <f t="shared" si="61"/>
        <v>7114</v>
      </c>
      <c r="O617" s="575">
        <v>0</v>
      </c>
      <c r="P617" s="582">
        <v>0</v>
      </c>
      <c r="Q617" s="589">
        <v>0</v>
      </c>
      <c r="R617" s="576">
        <v>0</v>
      </c>
      <c r="S617" s="583">
        <f t="shared" si="62"/>
        <v>0</v>
      </c>
      <c r="T617" s="580">
        <f t="shared" si="63"/>
        <v>0</v>
      </c>
      <c r="U617" s="51"/>
      <c r="V617" s="2119"/>
      <c r="W617" s="43"/>
      <c r="X617" s="43"/>
      <c r="Y617" s="43"/>
      <c r="Z617" s="43"/>
    </row>
    <row r="618" spans="1:26">
      <c r="A618" s="88">
        <v>7115</v>
      </c>
      <c r="B618" s="1033" t="s">
        <v>679</v>
      </c>
      <c r="C618" s="1033"/>
      <c r="D618" s="1033"/>
      <c r="E618" s="1033"/>
      <c r="F618" s="1033"/>
      <c r="G618" s="1033"/>
      <c r="H618" s="1033"/>
      <c r="I618" s="1033"/>
      <c r="J618" s="1033"/>
      <c r="K618" s="1033"/>
      <c r="L618" s="90"/>
      <c r="M618" s="51"/>
      <c r="N618" s="113">
        <f t="shared" si="61"/>
        <v>7115</v>
      </c>
      <c r="O618" s="575">
        <v>0</v>
      </c>
      <c r="P618" s="582">
        <v>0</v>
      </c>
      <c r="Q618" s="589"/>
      <c r="R618" s="576"/>
      <c r="S618" s="583">
        <f t="shared" si="62"/>
        <v>0</v>
      </c>
      <c r="T618" s="580">
        <f t="shared" si="63"/>
        <v>0</v>
      </c>
      <c r="U618" s="51"/>
      <c r="V618" s="2119"/>
      <c r="W618" s="43"/>
      <c r="X618" s="43"/>
      <c r="Y618" s="43"/>
      <c r="Z618" s="43"/>
    </row>
    <row r="619" spans="1:26">
      <c r="A619" s="88">
        <v>7121</v>
      </c>
      <c r="B619" s="1033" t="s">
        <v>680</v>
      </c>
      <c r="C619" s="1033"/>
      <c r="D619" s="1033"/>
      <c r="E619" s="1033"/>
      <c r="F619" s="1033"/>
      <c r="G619" s="1033"/>
      <c r="H619" s="1033"/>
      <c r="I619" s="1033"/>
      <c r="J619" s="1033"/>
      <c r="K619" s="1033"/>
      <c r="L619" s="90"/>
      <c r="M619" s="51"/>
      <c r="N619" s="113">
        <f t="shared" si="61"/>
        <v>7121</v>
      </c>
      <c r="O619" s="575">
        <v>0</v>
      </c>
      <c r="P619" s="582">
        <v>0</v>
      </c>
      <c r="Q619" s="589">
        <v>0</v>
      </c>
      <c r="R619" s="576">
        <v>0</v>
      </c>
      <c r="S619" s="583">
        <f t="shared" si="62"/>
        <v>0</v>
      </c>
      <c r="T619" s="580">
        <f t="shared" si="63"/>
        <v>0</v>
      </c>
      <c r="U619" s="51"/>
      <c r="V619" s="2119"/>
      <c r="W619" s="43"/>
      <c r="X619" s="43"/>
      <c r="Y619" s="43"/>
      <c r="Z619" s="43"/>
    </row>
    <row r="620" spans="1:26">
      <c r="A620" s="88">
        <v>7122</v>
      </c>
      <c r="B620" s="1033" t="s">
        <v>681</v>
      </c>
      <c r="C620" s="1033"/>
      <c r="D620" s="1033"/>
      <c r="E620" s="1033"/>
      <c r="F620" s="1033"/>
      <c r="G620" s="1033"/>
      <c r="H620" s="1033"/>
      <c r="I620" s="1033"/>
      <c r="J620" s="1033"/>
      <c r="K620" s="1033"/>
      <c r="L620" s="90"/>
      <c r="M620" s="51"/>
      <c r="N620" s="113">
        <f t="shared" si="61"/>
        <v>7122</v>
      </c>
      <c r="O620" s="575">
        <v>0</v>
      </c>
      <c r="P620" s="582">
        <v>0</v>
      </c>
      <c r="Q620" s="589"/>
      <c r="R620" s="576"/>
      <c r="S620" s="583">
        <f t="shared" si="62"/>
        <v>0</v>
      </c>
      <c r="T620" s="580">
        <f t="shared" si="63"/>
        <v>0</v>
      </c>
      <c r="U620" s="51"/>
      <c r="V620" s="2119"/>
      <c r="W620" s="43"/>
      <c r="X620" s="43"/>
      <c r="Y620" s="43"/>
      <c r="Z620" s="43"/>
    </row>
    <row r="621" spans="1:26">
      <c r="A621" s="88">
        <v>7123</v>
      </c>
      <c r="B621" s="1033" t="s">
        <v>682</v>
      </c>
      <c r="C621" s="1033"/>
      <c r="D621" s="1033"/>
      <c r="E621" s="1033"/>
      <c r="F621" s="1033"/>
      <c r="G621" s="1033"/>
      <c r="H621" s="1033"/>
      <c r="I621" s="1033"/>
      <c r="J621" s="1033"/>
      <c r="K621" s="1033"/>
      <c r="L621" s="90"/>
      <c r="M621" s="51"/>
      <c r="N621" s="113">
        <f t="shared" si="61"/>
        <v>7123</v>
      </c>
      <c r="O621" s="575">
        <v>0</v>
      </c>
      <c r="P621" s="582">
        <v>0</v>
      </c>
      <c r="Q621" s="589">
        <v>0</v>
      </c>
      <c r="R621" s="576">
        <v>0</v>
      </c>
      <c r="S621" s="583">
        <f t="shared" si="62"/>
        <v>0</v>
      </c>
      <c r="T621" s="580">
        <f t="shared" si="63"/>
        <v>0</v>
      </c>
      <c r="U621" s="51"/>
      <c r="V621" s="2119"/>
      <c r="W621" s="43"/>
      <c r="X621" s="43"/>
      <c r="Y621" s="43"/>
      <c r="Z621" s="43"/>
    </row>
    <row r="622" spans="1:26">
      <c r="A622" s="88">
        <v>7124</v>
      </c>
      <c r="B622" s="1033" t="s">
        <v>683</v>
      </c>
      <c r="C622" s="1033"/>
      <c r="D622" s="1033"/>
      <c r="E622" s="1033"/>
      <c r="F622" s="1033"/>
      <c r="G622" s="1033"/>
      <c r="H622" s="1033"/>
      <c r="I622" s="1033"/>
      <c r="J622" s="1033"/>
      <c r="K622" s="1033"/>
      <c r="L622" s="90"/>
      <c r="M622" s="51"/>
      <c r="N622" s="113">
        <f t="shared" si="61"/>
        <v>7124</v>
      </c>
      <c r="O622" s="575">
        <v>0</v>
      </c>
      <c r="P622" s="582">
        <v>0</v>
      </c>
      <c r="Q622" s="589"/>
      <c r="R622" s="576"/>
      <c r="S622" s="583">
        <f t="shared" si="62"/>
        <v>0</v>
      </c>
      <c r="T622" s="580">
        <f t="shared" si="63"/>
        <v>0</v>
      </c>
      <c r="U622" s="51"/>
      <c r="V622" s="2119"/>
      <c r="W622" s="43"/>
      <c r="X622" s="43"/>
      <c r="Y622" s="43"/>
      <c r="Z622" s="43"/>
    </row>
    <row r="623" spans="1:26">
      <c r="A623" s="88">
        <v>7131</v>
      </c>
      <c r="B623" s="1033" t="s">
        <v>684</v>
      </c>
      <c r="C623" s="1033"/>
      <c r="D623" s="1033"/>
      <c r="E623" s="1033"/>
      <c r="F623" s="1033"/>
      <c r="G623" s="1033"/>
      <c r="H623" s="1033"/>
      <c r="I623" s="1033"/>
      <c r="J623" s="1033"/>
      <c r="K623" s="1033"/>
      <c r="L623" s="90"/>
      <c r="M623" s="51"/>
      <c r="N623" s="113">
        <f t="shared" si="61"/>
        <v>7131</v>
      </c>
      <c r="O623" s="575">
        <v>0</v>
      </c>
      <c r="P623" s="582">
        <v>0</v>
      </c>
      <c r="Q623" s="589">
        <v>0</v>
      </c>
      <c r="R623" s="576">
        <v>0</v>
      </c>
      <c r="S623" s="583">
        <f t="shared" si="62"/>
        <v>0</v>
      </c>
      <c r="T623" s="580">
        <f t="shared" si="63"/>
        <v>0</v>
      </c>
      <c r="U623" s="51"/>
      <c r="V623" s="2119"/>
      <c r="W623" s="43"/>
      <c r="X623" s="43"/>
      <c r="Y623" s="43"/>
      <c r="Z623" s="43"/>
    </row>
    <row r="624" spans="1:26">
      <c r="A624" s="88">
        <f>1+A623</f>
        <v>7132</v>
      </c>
      <c r="B624" s="1033" t="s">
        <v>685</v>
      </c>
      <c r="C624" s="1033"/>
      <c r="D624" s="1033"/>
      <c r="E624" s="1033"/>
      <c r="F624" s="1033"/>
      <c r="G624" s="1033"/>
      <c r="H624" s="1033"/>
      <c r="I624" s="1033"/>
      <c r="J624" s="1033"/>
      <c r="K624" s="1033"/>
      <c r="L624" s="90"/>
      <c r="M624" s="51"/>
      <c r="N624" s="113">
        <f t="shared" si="61"/>
        <v>7132</v>
      </c>
      <c r="O624" s="575">
        <v>0</v>
      </c>
      <c r="P624" s="582">
        <v>0</v>
      </c>
      <c r="Q624" s="589"/>
      <c r="R624" s="576"/>
      <c r="S624" s="583">
        <f t="shared" si="62"/>
        <v>0</v>
      </c>
      <c r="T624" s="580">
        <f t="shared" si="63"/>
        <v>0</v>
      </c>
      <c r="U624" s="51"/>
      <c r="V624" s="2119"/>
      <c r="W624" s="43"/>
      <c r="X624" s="43"/>
      <c r="Y624" s="43"/>
      <c r="Z624" s="43"/>
    </row>
    <row r="625" spans="1:26">
      <c r="A625" s="88">
        <v>7133</v>
      </c>
      <c r="B625" s="1033" t="s">
        <v>686</v>
      </c>
      <c r="C625" s="1033"/>
      <c r="D625" s="1033"/>
      <c r="E625" s="1033"/>
      <c r="F625" s="1033"/>
      <c r="G625" s="1033"/>
      <c r="H625" s="1033"/>
      <c r="I625" s="1033"/>
      <c r="J625" s="1033"/>
      <c r="K625" s="1033"/>
      <c r="L625" s="90"/>
      <c r="M625" s="51"/>
      <c r="N625" s="113">
        <f t="shared" si="61"/>
        <v>7133</v>
      </c>
      <c r="O625" s="575">
        <v>0</v>
      </c>
      <c r="P625" s="582">
        <v>0</v>
      </c>
      <c r="Q625" s="589"/>
      <c r="R625" s="576"/>
      <c r="S625" s="583">
        <f t="shared" si="62"/>
        <v>0</v>
      </c>
      <c r="T625" s="580">
        <f t="shared" si="63"/>
        <v>0</v>
      </c>
      <c r="U625" s="51"/>
      <c r="V625" s="2119"/>
      <c r="W625" s="43"/>
      <c r="X625" s="43"/>
      <c r="Y625" s="43"/>
      <c r="Z625" s="43"/>
    </row>
    <row r="626" spans="1:26">
      <c r="A626" s="88">
        <v>7140</v>
      </c>
      <c r="B626" s="1033" t="s">
        <v>687</v>
      </c>
      <c r="C626" s="1033"/>
      <c r="D626" s="1033"/>
      <c r="E626" s="1033"/>
      <c r="F626" s="1033"/>
      <c r="G626" s="1033"/>
      <c r="H626" s="1033"/>
      <c r="I626" s="1033"/>
      <c r="J626" s="1033"/>
      <c r="K626" s="1033"/>
      <c r="L626" s="90"/>
      <c r="M626" s="51"/>
      <c r="N626" s="113">
        <f t="shared" si="61"/>
        <v>7140</v>
      </c>
      <c r="O626" s="575">
        <v>0</v>
      </c>
      <c r="P626" s="582">
        <v>0</v>
      </c>
      <c r="Q626" s="589"/>
      <c r="R626" s="576"/>
      <c r="S626" s="583">
        <f t="shared" si="62"/>
        <v>0</v>
      </c>
      <c r="T626" s="580">
        <f t="shared" si="63"/>
        <v>0</v>
      </c>
      <c r="U626" s="51"/>
      <c r="V626" s="2119"/>
      <c r="W626" s="43"/>
      <c r="X626" s="43"/>
      <c r="Y626" s="43"/>
      <c r="Z626" s="43"/>
    </row>
    <row r="627" spans="1:26" ht="15.75" customHeight="1">
      <c r="A627" s="88">
        <v>7141</v>
      </c>
      <c r="B627" s="1033" t="s">
        <v>688</v>
      </c>
      <c r="C627" s="1033"/>
      <c r="D627" s="1033"/>
      <c r="E627" s="1033"/>
      <c r="F627" s="1033"/>
      <c r="G627" s="1033"/>
      <c r="H627" s="1033"/>
      <c r="I627" s="1033"/>
      <c r="J627" s="1033"/>
      <c r="K627" s="1033"/>
      <c r="L627" s="90"/>
      <c r="M627" s="51"/>
      <c r="N627" s="113">
        <f t="shared" si="61"/>
        <v>7141</v>
      </c>
      <c r="O627" s="575">
        <v>0</v>
      </c>
      <c r="P627" s="582">
        <v>0</v>
      </c>
      <c r="Q627" s="589"/>
      <c r="R627" s="576"/>
      <c r="S627" s="583">
        <f t="shared" si="62"/>
        <v>0</v>
      </c>
      <c r="T627" s="580">
        <f t="shared" si="63"/>
        <v>0</v>
      </c>
      <c r="U627" s="51"/>
      <c r="V627" s="2119"/>
      <c r="W627" s="43"/>
      <c r="X627" s="43"/>
      <c r="Y627" s="43"/>
      <c r="Z627" s="43"/>
    </row>
    <row r="628" spans="1:26">
      <c r="A628" s="88">
        <v>7142</v>
      </c>
      <c r="B628" s="1033" t="s">
        <v>689</v>
      </c>
      <c r="C628" s="1033"/>
      <c r="D628" s="1033"/>
      <c r="E628" s="1033"/>
      <c r="F628" s="1033"/>
      <c r="G628" s="1033"/>
      <c r="H628" s="1033"/>
      <c r="I628" s="1033"/>
      <c r="J628" s="1033"/>
      <c r="K628" s="1033"/>
      <c r="L628" s="90"/>
      <c r="M628" s="51"/>
      <c r="N628" s="113">
        <f t="shared" si="61"/>
        <v>7142</v>
      </c>
      <c r="O628" s="575">
        <v>0</v>
      </c>
      <c r="P628" s="582">
        <v>0</v>
      </c>
      <c r="Q628" s="589"/>
      <c r="R628" s="576"/>
      <c r="S628" s="583">
        <f t="shared" si="62"/>
        <v>0</v>
      </c>
      <c r="T628" s="580">
        <f t="shared" si="63"/>
        <v>0</v>
      </c>
      <c r="U628" s="51"/>
      <c r="V628" s="2119"/>
      <c r="W628" s="43"/>
      <c r="X628" s="43"/>
      <c r="Y628" s="43"/>
      <c r="Z628" s="43"/>
    </row>
    <row r="629" spans="1:26">
      <c r="A629" s="88">
        <v>7143</v>
      </c>
      <c r="B629" s="1033" t="s">
        <v>690</v>
      </c>
      <c r="C629" s="1033"/>
      <c r="D629" s="1033"/>
      <c r="E629" s="1033"/>
      <c r="F629" s="1033"/>
      <c r="G629" s="1033"/>
      <c r="H629" s="1033"/>
      <c r="I629" s="1033"/>
      <c r="J629" s="1033"/>
      <c r="K629" s="1033"/>
      <c r="L629" s="90"/>
      <c r="M629" s="51"/>
      <c r="N629" s="113">
        <f t="shared" si="61"/>
        <v>7143</v>
      </c>
      <c r="O629" s="575">
        <v>0</v>
      </c>
      <c r="P629" s="582">
        <v>0</v>
      </c>
      <c r="Q629" s="589">
        <v>0</v>
      </c>
      <c r="R629" s="576">
        <v>0</v>
      </c>
      <c r="S629" s="583">
        <f t="shared" si="62"/>
        <v>0</v>
      </c>
      <c r="T629" s="580">
        <f t="shared" si="63"/>
        <v>0</v>
      </c>
      <c r="U629" s="51"/>
      <c r="V629" s="2119"/>
      <c r="W629" s="43"/>
      <c r="X629" s="43"/>
      <c r="Y629" s="43"/>
      <c r="Z629" s="43"/>
    </row>
    <row r="630" spans="1:26">
      <c r="A630" s="88">
        <v>7144</v>
      </c>
      <c r="B630" s="1033" t="s">
        <v>615</v>
      </c>
      <c r="C630" s="1033"/>
      <c r="D630" s="1033"/>
      <c r="E630" s="1033"/>
      <c r="F630" s="1033"/>
      <c r="G630" s="1033"/>
      <c r="H630" s="1033"/>
      <c r="I630" s="1033"/>
      <c r="J630" s="1033"/>
      <c r="K630" s="1033"/>
      <c r="L630" s="90"/>
      <c r="M630" s="51"/>
      <c r="N630" s="113">
        <f t="shared" si="61"/>
        <v>7144</v>
      </c>
      <c r="O630" s="575">
        <v>0</v>
      </c>
      <c r="P630" s="582">
        <v>0</v>
      </c>
      <c r="Q630" s="589">
        <v>0</v>
      </c>
      <c r="R630" s="576">
        <v>0</v>
      </c>
      <c r="S630" s="583">
        <f t="shared" si="62"/>
        <v>0</v>
      </c>
      <c r="T630" s="580">
        <f t="shared" si="63"/>
        <v>0</v>
      </c>
      <c r="U630" s="51"/>
      <c r="V630" s="2119"/>
      <c r="W630" s="43"/>
      <c r="X630" s="43"/>
      <c r="Y630" s="43"/>
      <c r="Z630" s="43"/>
    </row>
    <row r="631" spans="1:26">
      <c r="A631" s="88">
        <v>7145</v>
      </c>
      <c r="B631" s="1033" t="s">
        <v>616</v>
      </c>
      <c r="C631" s="1033"/>
      <c r="D631" s="1033"/>
      <c r="E631" s="1033"/>
      <c r="F631" s="1033"/>
      <c r="G631" s="1033"/>
      <c r="H631" s="1033"/>
      <c r="I631" s="1033"/>
      <c r="J631" s="1033"/>
      <c r="K631" s="1033"/>
      <c r="L631" s="90"/>
      <c r="M631" s="51"/>
      <c r="N631" s="113">
        <f t="shared" si="61"/>
        <v>7145</v>
      </c>
      <c r="O631" s="575">
        <v>0</v>
      </c>
      <c r="P631" s="582">
        <v>0</v>
      </c>
      <c r="Q631" s="589">
        <v>0</v>
      </c>
      <c r="R631" s="576">
        <v>0</v>
      </c>
      <c r="S631" s="583">
        <f t="shared" si="62"/>
        <v>0</v>
      </c>
      <c r="T631" s="580">
        <f t="shared" si="63"/>
        <v>0</v>
      </c>
      <c r="U631" s="51"/>
      <c r="V631" s="2119"/>
      <c r="W631" s="43"/>
      <c r="X631" s="43"/>
      <c r="Y631" s="43"/>
      <c r="Z631" s="43"/>
    </row>
    <row r="632" spans="1:26">
      <c r="A632" s="88">
        <v>7146</v>
      </c>
      <c r="B632" s="1033" t="s">
        <v>617</v>
      </c>
      <c r="C632" s="1033"/>
      <c r="D632" s="1033"/>
      <c r="E632" s="1033"/>
      <c r="F632" s="1033"/>
      <c r="G632" s="1033"/>
      <c r="H632" s="1033"/>
      <c r="I632" s="1033"/>
      <c r="J632" s="1033"/>
      <c r="K632" s="1033"/>
      <c r="L632" s="90"/>
      <c r="M632" s="51"/>
      <c r="N632" s="113">
        <f t="shared" si="61"/>
        <v>7146</v>
      </c>
      <c r="O632" s="575">
        <v>0</v>
      </c>
      <c r="P632" s="582">
        <v>0</v>
      </c>
      <c r="Q632" s="589">
        <v>0</v>
      </c>
      <c r="R632" s="576">
        <v>0</v>
      </c>
      <c r="S632" s="583">
        <f t="shared" si="62"/>
        <v>0</v>
      </c>
      <c r="T632" s="580">
        <f t="shared" si="63"/>
        <v>0</v>
      </c>
      <c r="U632" s="51"/>
      <c r="V632" s="2119"/>
      <c r="W632" s="43"/>
      <c r="X632" s="43"/>
      <c r="Y632" s="43"/>
      <c r="Z632" s="43"/>
    </row>
    <row r="633" spans="1:26">
      <c r="A633" s="88">
        <v>7147</v>
      </c>
      <c r="B633" s="1033" t="s">
        <v>618</v>
      </c>
      <c r="C633" s="1033"/>
      <c r="D633" s="1033"/>
      <c r="E633" s="1033"/>
      <c r="F633" s="1033"/>
      <c r="G633" s="1033"/>
      <c r="H633" s="1033"/>
      <c r="I633" s="1033"/>
      <c r="J633" s="1033"/>
      <c r="K633" s="1033"/>
      <c r="L633" s="90"/>
      <c r="M633" s="51"/>
      <c r="N633" s="113">
        <f t="shared" si="61"/>
        <v>7147</v>
      </c>
      <c r="O633" s="575">
        <v>0</v>
      </c>
      <c r="P633" s="582">
        <v>0</v>
      </c>
      <c r="Q633" s="589"/>
      <c r="R633" s="576"/>
      <c r="S633" s="583">
        <f t="shared" si="62"/>
        <v>0</v>
      </c>
      <c r="T633" s="580">
        <f t="shared" si="63"/>
        <v>0</v>
      </c>
      <c r="U633" s="51"/>
      <c r="V633" s="2119"/>
      <c r="W633" s="43"/>
      <c r="X633" s="43"/>
      <c r="Y633" s="43"/>
      <c r="Z633" s="43"/>
    </row>
    <row r="634" spans="1:26">
      <c r="A634" s="88">
        <v>7149</v>
      </c>
      <c r="B634" s="1033" t="s">
        <v>619</v>
      </c>
      <c r="C634" s="1033"/>
      <c r="D634" s="1033"/>
      <c r="E634" s="1033"/>
      <c r="F634" s="1033"/>
      <c r="G634" s="1033"/>
      <c r="H634" s="1033"/>
      <c r="I634" s="1033"/>
      <c r="J634" s="1033"/>
      <c r="K634" s="1033"/>
      <c r="L634" s="90"/>
      <c r="M634" s="51"/>
      <c r="N634" s="113">
        <f t="shared" si="61"/>
        <v>7149</v>
      </c>
      <c r="O634" s="575">
        <v>0</v>
      </c>
      <c r="P634" s="582">
        <v>0</v>
      </c>
      <c r="Q634" s="589">
        <v>0</v>
      </c>
      <c r="R634" s="576">
        <v>0</v>
      </c>
      <c r="S634" s="583">
        <f t="shared" si="62"/>
        <v>0</v>
      </c>
      <c r="T634" s="580">
        <f t="shared" si="63"/>
        <v>0</v>
      </c>
      <c r="U634" s="51"/>
      <c r="V634" s="2119"/>
      <c r="W634" s="43"/>
      <c r="X634" s="43"/>
      <c r="Y634" s="43"/>
      <c r="Z634" s="43"/>
    </row>
    <row r="635" spans="1:26">
      <c r="A635" s="88">
        <v>7151</v>
      </c>
      <c r="B635" s="1033" t="s">
        <v>620</v>
      </c>
      <c r="C635" s="1033"/>
      <c r="D635" s="1033"/>
      <c r="E635" s="1033"/>
      <c r="F635" s="1033"/>
      <c r="G635" s="1033"/>
      <c r="H635" s="1033"/>
      <c r="I635" s="1033"/>
      <c r="J635" s="1033"/>
      <c r="K635" s="1033"/>
      <c r="L635" s="90"/>
      <c r="M635" s="51"/>
      <c r="N635" s="113">
        <f t="shared" si="61"/>
        <v>7151</v>
      </c>
      <c r="O635" s="575">
        <v>0</v>
      </c>
      <c r="P635" s="582">
        <v>0</v>
      </c>
      <c r="Q635" s="589"/>
      <c r="R635" s="576"/>
      <c r="S635" s="583">
        <f t="shared" si="62"/>
        <v>0</v>
      </c>
      <c r="T635" s="580">
        <f t="shared" si="63"/>
        <v>0</v>
      </c>
      <c r="U635" s="51"/>
      <c r="V635" s="2119"/>
      <c r="W635" s="43"/>
      <c r="X635" s="43"/>
      <c r="Y635" s="43"/>
      <c r="Z635" s="43"/>
    </row>
    <row r="636" spans="1:26">
      <c r="A636" s="88">
        <v>7159</v>
      </c>
      <c r="B636" s="1033" t="s">
        <v>621</v>
      </c>
      <c r="C636" s="1033"/>
      <c r="D636" s="1033"/>
      <c r="E636" s="1033"/>
      <c r="F636" s="1033"/>
      <c r="G636" s="1033"/>
      <c r="H636" s="1033"/>
      <c r="I636" s="1033"/>
      <c r="J636" s="1033"/>
      <c r="K636" s="1033"/>
      <c r="L636" s="90"/>
      <c r="M636" s="51"/>
      <c r="N636" s="113">
        <f t="shared" si="61"/>
        <v>7159</v>
      </c>
      <c r="O636" s="575">
        <v>0</v>
      </c>
      <c r="P636" s="582">
        <v>0</v>
      </c>
      <c r="Q636" s="589"/>
      <c r="R636" s="576"/>
      <c r="S636" s="583">
        <f t="shared" si="62"/>
        <v>0</v>
      </c>
      <c r="T636" s="580">
        <f t="shared" si="63"/>
        <v>0</v>
      </c>
      <c r="U636" s="51"/>
      <c r="V636" s="2119"/>
      <c r="W636" s="43"/>
      <c r="X636" s="43"/>
      <c r="Y636" s="43"/>
      <c r="Z636" s="43"/>
    </row>
    <row r="637" spans="1:26">
      <c r="A637" s="88">
        <v>7161</v>
      </c>
      <c r="B637" s="1033" t="s">
        <v>622</v>
      </c>
      <c r="C637" s="1033"/>
      <c r="D637" s="1033"/>
      <c r="E637" s="1033"/>
      <c r="F637" s="1033"/>
      <c r="G637" s="1033"/>
      <c r="H637" s="1033"/>
      <c r="I637" s="1033"/>
      <c r="J637" s="1033"/>
      <c r="K637" s="1033"/>
      <c r="L637" s="90"/>
      <c r="M637" s="51"/>
      <c r="N637" s="113">
        <f t="shared" si="61"/>
        <v>7161</v>
      </c>
      <c r="O637" s="575">
        <v>0</v>
      </c>
      <c r="P637" s="582">
        <v>0</v>
      </c>
      <c r="Q637" s="589"/>
      <c r="R637" s="576"/>
      <c r="S637" s="583">
        <f t="shared" si="62"/>
        <v>0</v>
      </c>
      <c r="T637" s="580">
        <f t="shared" si="63"/>
        <v>0</v>
      </c>
      <c r="U637" s="51"/>
      <c r="V637" s="2119"/>
      <c r="W637" s="43"/>
      <c r="X637" s="43"/>
      <c r="Y637" s="43"/>
      <c r="Z637" s="43"/>
    </row>
    <row r="638" spans="1:26">
      <c r="A638" s="88">
        <v>7162</v>
      </c>
      <c r="B638" s="1033" t="s">
        <v>623</v>
      </c>
      <c r="C638" s="1033"/>
      <c r="D638" s="1033"/>
      <c r="E638" s="1033"/>
      <c r="F638" s="1033"/>
      <c r="G638" s="1033"/>
      <c r="H638" s="1033"/>
      <c r="I638" s="1033"/>
      <c r="J638" s="1033"/>
      <c r="K638" s="1033"/>
      <c r="L638" s="90"/>
      <c r="M638" s="51"/>
      <c r="N638" s="113">
        <f t="shared" si="61"/>
        <v>7162</v>
      </c>
      <c r="O638" s="575">
        <v>0</v>
      </c>
      <c r="P638" s="582">
        <v>0</v>
      </c>
      <c r="Q638" s="122"/>
      <c r="R638" s="121"/>
      <c r="S638" s="583">
        <f t="shared" si="62"/>
        <v>0</v>
      </c>
      <c r="T638" s="580">
        <f t="shared" si="63"/>
        <v>0</v>
      </c>
      <c r="U638" s="51"/>
      <c r="V638" s="2119"/>
      <c r="W638" s="43"/>
      <c r="X638" s="43"/>
      <c r="Y638" s="43"/>
      <c r="Z638" s="43"/>
    </row>
    <row r="639" spans="1:26">
      <c r="A639" s="88">
        <v>7163</v>
      </c>
      <c r="B639" s="1033" t="s">
        <v>624</v>
      </c>
      <c r="C639" s="1033"/>
      <c r="D639" s="1033"/>
      <c r="E639" s="1033"/>
      <c r="F639" s="1033"/>
      <c r="G639" s="1033"/>
      <c r="H639" s="1033"/>
      <c r="I639" s="1033"/>
      <c r="J639" s="1033"/>
      <c r="K639" s="1033"/>
      <c r="L639" s="90"/>
      <c r="M639" s="51"/>
      <c r="N639" s="113">
        <f t="shared" si="61"/>
        <v>7163</v>
      </c>
      <c r="O639" s="575">
        <v>0</v>
      </c>
      <c r="P639" s="582">
        <v>0</v>
      </c>
      <c r="Q639" s="122"/>
      <c r="R639" s="121"/>
      <c r="S639" s="583">
        <f t="shared" si="62"/>
        <v>0</v>
      </c>
      <c r="T639" s="580">
        <f t="shared" si="63"/>
        <v>0</v>
      </c>
      <c r="U639" s="51"/>
      <c r="V639" s="2119"/>
      <c r="W639" s="43"/>
      <c r="X639" s="43"/>
      <c r="Y639" s="43"/>
      <c r="Z639" s="43"/>
    </row>
    <row r="640" spans="1:26">
      <c r="A640" s="91">
        <v>7170</v>
      </c>
      <c r="B640" s="1036" t="s">
        <v>625</v>
      </c>
      <c r="C640" s="92"/>
      <c r="D640" s="92"/>
      <c r="E640" s="92"/>
      <c r="F640" s="92"/>
      <c r="G640" s="92"/>
      <c r="H640" s="92"/>
      <c r="I640" s="92"/>
      <c r="J640" s="92"/>
      <c r="K640" s="92"/>
      <c r="L640" s="93"/>
      <c r="M640" s="51"/>
      <c r="N640" s="114">
        <f t="shared" si="61"/>
        <v>7170</v>
      </c>
      <c r="O640" s="10">
        <v>0</v>
      </c>
      <c r="P640" s="11">
        <v>0</v>
      </c>
      <c r="Q640" s="31">
        <v>0</v>
      </c>
      <c r="R640" s="11">
        <v>0</v>
      </c>
      <c r="S640" s="829">
        <f t="shared" si="62"/>
        <v>0</v>
      </c>
      <c r="T640" s="828">
        <f t="shared" si="63"/>
        <v>0</v>
      </c>
      <c r="U640" s="51"/>
      <c r="V640" s="2125">
        <f>+IF(OR(O640&lt;&gt;0,P640&lt;&gt;0,Q640&lt;&gt;0,R640&lt;&gt;0,S640&lt;&gt;0,T640&lt;&gt;0),+IF(ABS(O640+Q640)-ABS(P640+R640)&lt;&gt;0,ABS(O640+Q640)-ABS(P640+R640),1),0)</f>
        <v>0</v>
      </c>
      <c r="W640" s="43"/>
      <c r="X640" s="43"/>
      <c r="Y640" s="43"/>
      <c r="Z640" s="43"/>
    </row>
    <row r="641" spans="1:26">
      <c r="A641" s="88">
        <v>7171</v>
      </c>
      <c r="B641" s="1033" t="s">
        <v>626</v>
      </c>
      <c r="C641" s="1033"/>
      <c r="D641" s="1033"/>
      <c r="E641" s="1033"/>
      <c r="F641" s="1033"/>
      <c r="G641" s="1033"/>
      <c r="H641" s="1033"/>
      <c r="I641" s="1033"/>
      <c r="J641" s="1033"/>
      <c r="K641" s="1033"/>
      <c r="L641" s="90"/>
      <c r="M641" s="51"/>
      <c r="N641" s="113">
        <f t="shared" si="61"/>
        <v>7171</v>
      </c>
      <c r="O641" s="8">
        <v>0</v>
      </c>
      <c r="P641" s="9">
        <v>0</v>
      </c>
      <c r="Q641" s="122"/>
      <c r="R641" s="121"/>
      <c r="S641" s="27">
        <f t="shared" si="62"/>
        <v>0</v>
      </c>
      <c r="T641" s="28">
        <f t="shared" si="63"/>
        <v>0</v>
      </c>
      <c r="U641" s="51"/>
      <c r="V641" s="2119"/>
      <c r="W641" s="43"/>
      <c r="X641" s="43"/>
      <c r="Y641" s="43"/>
      <c r="Z641" s="43"/>
    </row>
    <row r="642" spans="1:26">
      <c r="A642" s="88">
        <v>7172</v>
      </c>
      <c r="B642" s="1033" t="s">
        <v>627</v>
      </c>
      <c r="C642" s="1033"/>
      <c r="D642" s="1033"/>
      <c r="E642" s="1033"/>
      <c r="F642" s="1033"/>
      <c r="G642" s="1033"/>
      <c r="H642" s="1033"/>
      <c r="I642" s="1033"/>
      <c r="J642" s="1033"/>
      <c r="K642" s="1033"/>
      <c r="L642" s="90"/>
      <c r="M642" s="51"/>
      <c r="N642" s="113">
        <f t="shared" si="61"/>
        <v>7172</v>
      </c>
      <c r="O642" s="8">
        <v>0</v>
      </c>
      <c r="P642" s="9">
        <v>0</v>
      </c>
      <c r="Q642" s="122"/>
      <c r="R642" s="121"/>
      <c r="S642" s="27">
        <f t="shared" si="62"/>
        <v>0</v>
      </c>
      <c r="T642" s="28">
        <f t="shared" si="63"/>
        <v>0</v>
      </c>
      <c r="U642" s="51"/>
      <c r="V642" s="2119"/>
      <c r="W642" s="43"/>
      <c r="X642" s="43"/>
      <c r="Y642" s="43"/>
      <c r="Z642" s="43"/>
    </row>
    <row r="643" spans="1:26">
      <c r="A643" s="88">
        <v>7173</v>
      </c>
      <c r="B643" s="1035" t="s">
        <v>1169</v>
      </c>
      <c r="C643" s="1033"/>
      <c r="D643" s="1033"/>
      <c r="E643" s="1033"/>
      <c r="F643" s="1033"/>
      <c r="G643" s="1033"/>
      <c r="H643" s="1033"/>
      <c r="I643" s="1033"/>
      <c r="J643" s="1033"/>
      <c r="K643" s="1033"/>
      <c r="L643" s="90"/>
      <c r="M643" s="51"/>
      <c r="N643" s="113">
        <f t="shared" si="61"/>
        <v>7173</v>
      </c>
      <c r="O643" s="575">
        <v>0</v>
      </c>
      <c r="P643" s="582">
        <v>0</v>
      </c>
      <c r="Q643" s="122"/>
      <c r="R643" s="121"/>
      <c r="S643" s="583">
        <f t="shared" si="62"/>
        <v>0</v>
      </c>
      <c r="T643" s="580">
        <f t="shared" si="63"/>
        <v>0</v>
      </c>
      <c r="U643" s="51"/>
      <c r="V643" s="2119"/>
      <c r="W643" s="43"/>
      <c r="X643" s="43"/>
      <c r="Y643" s="43"/>
      <c r="Z643" s="43"/>
    </row>
    <row r="644" spans="1:26">
      <c r="A644" s="88">
        <v>7174</v>
      </c>
      <c r="B644" s="1035" t="s">
        <v>1170</v>
      </c>
      <c r="C644" s="1033"/>
      <c r="D644" s="1033"/>
      <c r="E644" s="1033"/>
      <c r="F644" s="1033"/>
      <c r="G644" s="1033"/>
      <c r="H644" s="1033"/>
      <c r="I644" s="1033"/>
      <c r="J644" s="1033"/>
      <c r="K644" s="1033"/>
      <c r="L644" s="90"/>
      <c r="M644" s="51"/>
      <c r="N644" s="113">
        <f t="shared" si="61"/>
        <v>7174</v>
      </c>
      <c r="O644" s="575">
        <v>0</v>
      </c>
      <c r="P644" s="582">
        <v>0</v>
      </c>
      <c r="Q644" s="589"/>
      <c r="R644" s="576"/>
      <c r="S644" s="583">
        <f t="shared" si="62"/>
        <v>0</v>
      </c>
      <c r="T644" s="580">
        <f t="shared" si="63"/>
        <v>0</v>
      </c>
      <c r="U644" s="51"/>
      <c r="V644" s="2119"/>
      <c r="W644" s="43"/>
      <c r="X644" s="43"/>
      <c r="Y644" s="43"/>
      <c r="Z644" s="43"/>
    </row>
    <row r="645" spans="1:26">
      <c r="A645" s="88">
        <v>7175</v>
      </c>
      <c r="B645" s="1035" t="s">
        <v>628</v>
      </c>
      <c r="C645" s="1033"/>
      <c r="D645" s="1033"/>
      <c r="E645" s="1033"/>
      <c r="F645" s="1033"/>
      <c r="G645" s="1033"/>
      <c r="H645" s="1033"/>
      <c r="I645" s="1033"/>
      <c r="J645" s="1033"/>
      <c r="K645" s="1033"/>
      <c r="L645" s="90"/>
      <c r="M645" s="51"/>
      <c r="N645" s="113">
        <f t="shared" si="61"/>
        <v>7175</v>
      </c>
      <c r="O645" s="575">
        <v>0</v>
      </c>
      <c r="P645" s="582">
        <v>0</v>
      </c>
      <c r="Q645" s="589"/>
      <c r="R645" s="576"/>
      <c r="S645" s="583">
        <f t="shared" si="62"/>
        <v>0</v>
      </c>
      <c r="T645" s="580">
        <f t="shared" si="63"/>
        <v>0</v>
      </c>
      <c r="U645" s="51"/>
      <c r="V645" s="2119"/>
      <c r="W645" s="43"/>
      <c r="X645" s="43"/>
      <c r="Y645" s="43"/>
      <c r="Z645" s="43"/>
    </row>
    <row r="646" spans="1:26">
      <c r="A646" s="88">
        <v>7176</v>
      </c>
      <c r="B646" s="1035" t="s">
        <v>629</v>
      </c>
      <c r="C646" s="1033"/>
      <c r="D646" s="1033"/>
      <c r="E646" s="1033"/>
      <c r="F646" s="1033"/>
      <c r="G646" s="1033"/>
      <c r="H646" s="1033"/>
      <c r="I646" s="1033"/>
      <c r="J646" s="1033"/>
      <c r="K646" s="1033"/>
      <c r="L646" s="90"/>
      <c r="M646" s="51"/>
      <c r="N646" s="113">
        <f t="shared" si="61"/>
        <v>7176</v>
      </c>
      <c r="O646" s="575">
        <v>0</v>
      </c>
      <c r="P646" s="582">
        <v>0</v>
      </c>
      <c r="Q646" s="589"/>
      <c r="R646" s="576"/>
      <c r="S646" s="583">
        <f t="shared" si="62"/>
        <v>0</v>
      </c>
      <c r="T646" s="580">
        <f t="shared" si="63"/>
        <v>0</v>
      </c>
      <c r="U646" s="51"/>
      <c r="V646" s="2119"/>
      <c r="W646" s="43"/>
      <c r="X646" s="43"/>
      <c r="Y646" s="43"/>
      <c r="Z646" s="43"/>
    </row>
    <row r="647" spans="1:26">
      <c r="A647" s="88">
        <v>7177</v>
      </c>
      <c r="B647" s="1035" t="s">
        <v>1171</v>
      </c>
      <c r="C647" s="1033"/>
      <c r="D647" s="1033"/>
      <c r="E647" s="1033"/>
      <c r="F647" s="1033"/>
      <c r="G647" s="1033"/>
      <c r="H647" s="1033"/>
      <c r="I647" s="1033"/>
      <c r="J647" s="1033"/>
      <c r="K647" s="1033"/>
      <c r="L647" s="90"/>
      <c r="M647" s="51"/>
      <c r="N647" s="113">
        <f t="shared" si="61"/>
        <v>7177</v>
      </c>
      <c r="O647" s="575">
        <v>0</v>
      </c>
      <c r="P647" s="582">
        <v>0</v>
      </c>
      <c r="Q647" s="589">
        <v>0</v>
      </c>
      <c r="R647" s="576">
        <v>0</v>
      </c>
      <c r="S647" s="583">
        <f t="shared" si="62"/>
        <v>0</v>
      </c>
      <c r="T647" s="580">
        <f t="shared" si="63"/>
        <v>0</v>
      </c>
      <c r="U647" s="51"/>
      <c r="V647" s="2119"/>
      <c r="W647" s="43"/>
      <c r="X647" s="43"/>
      <c r="Y647" s="43"/>
      <c r="Z647" s="43"/>
    </row>
    <row r="648" spans="1:26">
      <c r="A648" s="88">
        <v>7178</v>
      </c>
      <c r="B648" s="1035" t="s">
        <v>1172</v>
      </c>
      <c r="C648" s="1033"/>
      <c r="D648" s="1033"/>
      <c r="E648" s="1033"/>
      <c r="F648" s="1033"/>
      <c r="G648" s="1033"/>
      <c r="H648" s="1033"/>
      <c r="I648" s="1033"/>
      <c r="J648" s="1033"/>
      <c r="K648" s="1033"/>
      <c r="L648" s="90"/>
      <c r="M648" s="51"/>
      <c r="N648" s="113">
        <f t="shared" si="61"/>
        <v>7178</v>
      </c>
      <c r="O648" s="575">
        <v>0</v>
      </c>
      <c r="P648" s="582">
        <v>0</v>
      </c>
      <c r="Q648" s="589"/>
      <c r="R648" s="576"/>
      <c r="S648" s="583">
        <f t="shared" si="62"/>
        <v>0</v>
      </c>
      <c r="T648" s="580">
        <f t="shared" si="63"/>
        <v>0</v>
      </c>
      <c r="U648" s="51"/>
      <c r="V648" s="2119"/>
      <c r="W648" s="43"/>
      <c r="X648" s="43"/>
      <c r="Y648" s="43"/>
      <c r="Z648" s="43"/>
    </row>
    <row r="649" spans="1:26">
      <c r="A649" s="88">
        <v>7179</v>
      </c>
      <c r="B649" s="378" t="s">
        <v>630</v>
      </c>
      <c r="C649" s="1033"/>
      <c r="D649" s="1033"/>
      <c r="E649" s="1033"/>
      <c r="F649" s="1033"/>
      <c r="G649" s="1033"/>
      <c r="H649" s="1033"/>
      <c r="I649" s="1033"/>
      <c r="J649" s="1033"/>
      <c r="K649" s="1033"/>
      <c r="L649" s="90"/>
      <c r="M649" s="51"/>
      <c r="N649" s="113">
        <f t="shared" si="61"/>
        <v>7179</v>
      </c>
      <c r="O649" s="575">
        <v>0</v>
      </c>
      <c r="P649" s="582">
        <v>0</v>
      </c>
      <c r="Q649" s="589"/>
      <c r="R649" s="576"/>
      <c r="S649" s="583">
        <f t="shared" si="62"/>
        <v>0</v>
      </c>
      <c r="T649" s="580">
        <f t="shared" si="63"/>
        <v>0</v>
      </c>
      <c r="U649" s="51"/>
      <c r="V649" s="2119"/>
      <c r="W649" s="43"/>
      <c r="X649" s="43"/>
      <c r="Y649" s="43"/>
      <c r="Z649" s="43"/>
    </row>
    <row r="650" spans="1:26" ht="15.75" customHeight="1">
      <c r="A650" s="88">
        <v>7180</v>
      </c>
      <c r="B650" s="378" t="s">
        <v>631</v>
      </c>
      <c r="C650" s="1033"/>
      <c r="D650" s="1033"/>
      <c r="E650" s="1033"/>
      <c r="F650" s="1033"/>
      <c r="G650" s="1033"/>
      <c r="H650" s="1033"/>
      <c r="I650" s="1033"/>
      <c r="J650" s="1033"/>
      <c r="K650" s="1033"/>
      <c r="L650" s="90"/>
      <c r="M650" s="51"/>
      <c r="N650" s="113">
        <f t="shared" si="61"/>
        <v>7180</v>
      </c>
      <c r="O650" s="575">
        <v>0</v>
      </c>
      <c r="P650" s="582">
        <v>0</v>
      </c>
      <c r="Q650" s="589"/>
      <c r="R650" s="576"/>
      <c r="S650" s="583">
        <f t="shared" si="62"/>
        <v>0</v>
      </c>
      <c r="T650" s="580">
        <f t="shared" si="63"/>
        <v>0</v>
      </c>
      <c r="U650" s="51"/>
      <c r="V650" s="2119"/>
      <c r="W650" s="43"/>
      <c r="X650" s="43"/>
      <c r="Y650" s="43"/>
      <c r="Z650" s="43"/>
    </row>
    <row r="651" spans="1:26">
      <c r="A651" s="88">
        <v>7181</v>
      </c>
      <c r="B651" s="1033" t="s">
        <v>632</v>
      </c>
      <c r="C651" s="1033"/>
      <c r="D651" s="1033"/>
      <c r="E651" s="1033"/>
      <c r="F651" s="1033"/>
      <c r="G651" s="1033"/>
      <c r="H651" s="1033"/>
      <c r="I651" s="1033"/>
      <c r="J651" s="1033"/>
      <c r="K651" s="1033"/>
      <c r="L651" s="90"/>
      <c r="M651" s="51"/>
      <c r="N651" s="113">
        <f t="shared" si="61"/>
        <v>7181</v>
      </c>
      <c r="O651" s="575">
        <v>0</v>
      </c>
      <c r="P651" s="582">
        <v>0</v>
      </c>
      <c r="Q651" s="589">
        <v>0</v>
      </c>
      <c r="R651" s="576">
        <v>0</v>
      </c>
      <c r="S651" s="583">
        <f t="shared" si="62"/>
        <v>0</v>
      </c>
      <c r="T651" s="580">
        <f t="shared" si="63"/>
        <v>0</v>
      </c>
      <c r="U651" s="51"/>
      <c r="V651" s="2119"/>
      <c r="W651" s="43"/>
      <c r="X651" s="43"/>
      <c r="Y651" s="43"/>
      <c r="Z651" s="43"/>
    </row>
    <row r="652" spans="1:26" ht="15.75" customHeight="1">
      <c r="A652" s="88">
        <v>7182</v>
      </c>
      <c r="B652" s="378" t="s">
        <v>633</v>
      </c>
      <c r="C652" s="1033"/>
      <c r="D652" s="1033"/>
      <c r="E652" s="1033"/>
      <c r="F652" s="1033"/>
      <c r="G652" s="1033"/>
      <c r="H652" s="1033"/>
      <c r="I652" s="1033"/>
      <c r="J652" s="1033"/>
      <c r="K652" s="1033"/>
      <c r="L652" s="90"/>
      <c r="M652" s="51"/>
      <c r="N652" s="113">
        <f t="shared" si="61"/>
        <v>7182</v>
      </c>
      <c r="O652" s="575">
        <v>0</v>
      </c>
      <c r="P652" s="582">
        <v>0</v>
      </c>
      <c r="Q652" s="589"/>
      <c r="R652" s="576"/>
      <c r="S652" s="583">
        <f t="shared" si="62"/>
        <v>0</v>
      </c>
      <c r="T652" s="580">
        <f t="shared" si="63"/>
        <v>0</v>
      </c>
      <c r="U652" s="51"/>
      <c r="V652" s="2119"/>
      <c r="W652" s="43"/>
      <c r="X652" s="43"/>
      <c r="Y652" s="43"/>
      <c r="Z652" s="43"/>
    </row>
    <row r="653" spans="1:26">
      <c r="A653" s="88">
        <v>7189</v>
      </c>
      <c r="B653" s="1033" t="s">
        <v>634</v>
      </c>
      <c r="C653" s="1033"/>
      <c r="D653" s="1033"/>
      <c r="E653" s="1033"/>
      <c r="F653" s="1033"/>
      <c r="G653" s="1033"/>
      <c r="H653" s="1033"/>
      <c r="I653" s="1033"/>
      <c r="J653" s="1033"/>
      <c r="K653" s="1033"/>
      <c r="L653" s="90"/>
      <c r="M653" s="51"/>
      <c r="N653" s="113">
        <f t="shared" si="61"/>
        <v>7189</v>
      </c>
      <c r="O653" s="575">
        <v>0</v>
      </c>
      <c r="P653" s="582">
        <v>0</v>
      </c>
      <c r="Q653" s="589"/>
      <c r="R653" s="576"/>
      <c r="S653" s="583">
        <f t="shared" si="62"/>
        <v>0</v>
      </c>
      <c r="T653" s="580">
        <f t="shared" si="63"/>
        <v>0</v>
      </c>
      <c r="U653" s="51"/>
      <c r="V653" s="2119"/>
      <c r="W653" s="43"/>
      <c r="X653" s="43"/>
      <c r="Y653" s="43"/>
      <c r="Z653" s="43"/>
    </row>
    <row r="654" spans="1:26">
      <c r="A654" s="88">
        <v>7190</v>
      </c>
      <c r="B654" s="1032" t="s">
        <v>635</v>
      </c>
      <c r="C654" s="1033"/>
      <c r="D654" s="1033"/>
      <c r="E654" s="1033"/>
      <c r="F654" s="1033"/>
      <c r="G654" s="1033"/>
      <c r="H654" s="1033"/>
      <c r="I654" s="1033"/>
      <c r="J654" s="1033"/>
      <c r="K654" s="1033"/>
      <c r="L654" s="90"/>
      <c r="M654" s="51"/>
      <c r="N654" s="113">
        <f t="shared" si="61"/>
        <v>7190</v>
      </c>
      <c r="O654" s="575">
        <v>0</v>
      </c>
      <c r="P654" s="582">
        <v>0</v>
      </c>
      <c r="Q654" s="589">
        <v>0</v>
      </c>
      <c r="R654" s="576">
        <v>0</v>
      </c>
      <c r="S654" s="583">
        <f t="shared" si="62"/>
        <v>0</v>
      </c>
      <c r="T654" s="580">
        <f t="shared" si="63"/>
        <v>0</v>
      </c>
      <c r="U654" s="51"/>
      <c r="V654" s="2119"/>
      <c r="W654" s="43"/>
      <c r="X654" s="43"/>
      <c r="Y654" s="43"/>
      <c r="Z654" s="43"/>
    </row>
    <row r="655" spans="1:26">
      <c r="A655" s="88">
        <v>7191</v>
      </c>
      <c r="B655" s="1032" t="s">
        <v>636</v>
      </c>
      <c r="C655" s="1033"/>
      <c r="D655" s="1033"/>
      <c r="E655" s="1033"/>
      <c r="F655" s="1033"/>
      <c r="G655" s="1033"/>
      <c r="H655" s="1033"/>
      <c r="I655" s="1033"/>
      <c r="J655" s="1033"/>
      <c r="K655" s="1033"/>
      <c r="L655" s="90"/>
      <c r="M655" s="51"/>
      <c r="N655" s="113">
        <f t="shared" si="61"/>
        <v>7191</v>
      </c>
      <c r="O655" s="575">
        <v>0</v>
      </c>
      <c r="P655" s="582">
        <v>0</v>
      </c>
      <c r="Q655" s="589"/>
      <c r="R655" s="576"/>
      <c r="S655" s="583">
        <f t="shared" si="62"/>
        <v>0</v>
      </c>
      <c r="T655" s="580">
        <f t="shared" si="63"/>
        <v>0</v>
      </c>
      <c r="U655" s="51"/>
      <c r="V655" s="2119"/>
      <c r="W655" s="43"/>
      <c r="X655" s="43"/>
      <c r="Y655" s="43"/>
      <c r="Z655" s="43"/>
    </row>
    <row r="656" spans="1:26">
      <c r="A656" s="88">
        <v>7192</v>
      </c>
      <c r="B656" s="1032" t="s">
        <v>637</v>
      </c>
      <c r="C656" s="1033"/>
      <c r="D656" s="1033"/>
      <c r="E656" s="1033"/>
      <c r="F656" s="1033"/>
      <c r="G656" s="1033"/>
      <c r="H656" s="1033"/>
      <c r="I656" s="1033"/>
      <c r="J656" s="1033"/>
      <c r="K656" s="1033"/>
      <c r="L656" s="90"/>
      <c r="M656" s="51"/>
      <c r="N656" s="113">
        <f t="shared" si="61"/>
        <v>7192</v>
      </c>
      <c r="O656" s="575">
        <v>0</v>
      </c>
      <c r="P656" s="582">
        <v>0</v>
      </c>
      <c r="Q656" s="589"/>
      <c r="R656" s="576"/>
      <c r="S656" s="583">
        <f t="shared" si="62"/>
        <v>0</v>
      </c>
      <c r="T656" s="580">
        <f t="shared" si="63"/>
        <v>0</v>
      </c>
      <c r="U656" s="51"/>
      <c r="V656" s="2119"/>
      <c r="W656" s="43"/>
      <c r="X656" s="43"/>
      <c r="Y656" s="43"/>
      <c r="Z656" s="43"/>
    </row>
    <row r="657" spans="1:26">
      <c r="A657" s="88">
        <v>7198</v>
      </c>
      <c r="B657" s="1032" t="s">
        <v>638</v>
      </c>
      <c r="C657" s="1033"/>
      <c r="D657" s="1033"/>
      <c r="E657" s="1033"/>
      <c r="F657" s="1033"/>
      <c r="G657" s="1033"/>
      <c r="H657" s="1033"/>
      <c r="I657" s="1033"/>
      <c r="J657" s="1033"/>
      <c r="K657" s="1033"/>
      <c r="L657" s="90"/>
      <c r="M657" s="51"/>
      <c r="N657" s="113">
        <f t="shared" si="61"/>
        <v>7198</v>
      </c>
      <c r="O657" s="575">
        <v>0</v>
      </c>
      <c r="P657" s="582">
        <v>0</v>
      </c>
      <c r="Q657" s="589"/>
      <c r="R657" s="576"/>
      <c r="S657" s="583">
        <f t="shared" si="62"/>
        <v>0</v>
      </c>
      <c r="T657" s="580">
        <f t="shared" si="63"/>
        <v>0</v>
      </c>
      <c r="U657" s="51"/>
      <c r="V657" s="2119"/>
      <c r="W657" s="43"/>
      <c r="X657" s="43"/>
      <c r="Y657" s="43"/>
      <c r="Z657" s="43"/>
    </row>
    <row r="658" spans="1:26">
      <c r="A658" s="88">
        <v>7199</v>
      </c>
      <c r="B658" s="1032" t="s">
        <v>639</v>
      </c>
      <c r="C658" s="1033"/>
      <c r="D658" s="1033"/>
      <c r="E658" s="1033"/>
      <c r="F658" s="1033"/>
      <c r="G658" s="1033"/>
      <c r="H658" s="1033"/>
      <c r="I658" s="1033"/>
      <c r="J658" s="1033"/>
      <c r="K658" s="1033"/>
      <c r="L658" s="90"/>
      <c r="M658" s="51"/>
      <c r="N658" s="113">
        <f t="shared" si="61"/>
        <v>7199</v>
      </c>
      <c r="O658" s="575">
        <v>0</v>
      </c>
      <c r="P658" s="582">
        <v>0</v>
      </c>
      <c r="Q658" s="589">
        <v>0</v>
      </c>
      <c r="R658" s="576">
        <v>0</v>
      </c>
      <c r="S658" s="583">
        <f t="shared" si="62"/>
        <v>0</v>
      </c>
      <c r="T658" s="580">
        <f t="shared" si="63"/>
        <v>0</v>
      </c>
      <c r="U658" s="51"/>
      <c r="V658" s="2119"/>
      <c r="W658" s="43"/>
      <c r="X658" s="43"/>
      <c r="Y658" s="43"/>
      <c r="Z658" s="43"/>
    </row>
    <row r="659" spans="1:26">
      <c r="A659" s="88">
        <v>7200</v>
      </c>
      <c r="B659" s="1033" t="s">
        <v>692</v>
      </c>
      <c r="C659" s="1033"/>
      <c r="D659" s="1033"/>
      <c r="E659" s="1033"/>
      <c r="F659" s="1033"/>
      <c r="G659" s="1033"/>
      <c r="H659" s="1033"/>
      <c r="I659" s="1033"/>
      <c r="J659" s="1033"/>
      <c r="K659" s="1033"/>
      <c r="L659" s="90"/>
      <c r="M659" s="51"/>
      <c r="N659" s="113">
        <f t="shared" si="61"/>
        <v>7200</v>
      </c>
      <c r="O659" s="575">
        <v>0</v>
      </c>
      <c r="P659" s="582">
        <v>0</v>
      </c>
      <c r="Q659" s="589"/>
      <c r="R659" s="576"/>
      <c r="S659" s="583">
        <f t="shared" si="62"/>
        <v>0</v>
      </c>
      <c r="T659" s="580">
        <f t="shared" si="63"/>
        <v>0</v>
      </c>
      <c r="U659" s="51"/>
      <c r="V659" s="2119"/>
      <c r="W659" s="43"/>
      <c r="X659" s="43"/>
      <c r="Y659" s="43"/>
      <c r="Z659" s="43"/>
    </row>
    <row r="660" spans="1:26">
      <c r="A660" s="88">
        <v>7211</v>
      </c>
      <c r="B660" s="1032" t="s">
        <v>640</v>
      </c>
      <c r="C660" s="1033"/>
      <c r="D660" s="1033"/>
      <c r="E660" s="1033"/>
      <c r="F660" s="1033"/>
      <c r="G660" s="1033"/>
      <c r="H660" s="1033"/>
      <c r="I660" s="1033"/>
      <c r="J660" s="1033"/>
      <c r="K660" s="1033"/>
      <c r="L660" s="90"/>
      <c r="M660" s="51"/>
      <c r="N660" s="113">
        <f t="shared" si="61"/>
        <v>7211</v>
      </c>
      <c r="O660" s="575">
        <v>0</v>
      </c>
      <c r="P660" s="582">
        <v>0</v>
      </c>
      <c r="Q660" s="589"/>
      <c r="R660" s="576"/>
      <c r="S660" s="583">
        <f t="shared" si="62"/>
        <v>0</v>
      </c>
      <c r="T660" s="580">
        <f t="shared" si="63"/>
        <v>0</v>
      </c>
      <c r="U660" s="51"/>
      <c r="V660" s="2119"/>
      <c r="W660" s="43"/>
      <c r="X660" s="43"/>
      <c r="Y660" s="43"/>
      <c r="Z660" s="43"/>
    </row>
    <row r="661" spans="1:26">
      <c r="A661" s="88">
        <v>7212</v>
      </c>
      <c r="B661" s="1032" t="s">
        <v>641</v>
      </c>
      <c r="C661" s="1033"/>
      <c r="D661" s="1033"/>
      <c r="E661" s="1033"/>
      <c r="F661" s="1033"/>
      <c r="G661" s="1033"/>
      <c r="H661" s="1033"/>
      <c r="I661" s="1033"/>
      <c r="J661" s="1033"/>
      <c r="K661" s="1033"/>
      <c r="L661" s="90"/>
      <c r="M661" s="51"/>
      <c r="N661" s="113">
        <f t="shared" si="61"/>
        <v>7212</v>
      </c>
      <c r="O661" s="575">
        <v>0</v>
      </c>
      <c r="P661" s="582">
        <v>0</v>
      </c>
      <c r="Q661" s="589"/>
      <c r="R661" s="576"/>
      <c r="S661" s="583">
        <f t="shared" si="62"/>
        <v>0</v>
      </c>
      <c r="T661" s="580">
        <f t="shared" si="63"/>
        <v>0</v>
      </c>
      <c r="U661" s="51"/>
      <c r="V661" s="2119"/>
      <c r="W661" s="43"/>
      <c r="X661" s="43"/>
      <c r="Y661" s="43"/>
      <c r="Z661" s="43"/>
    </row>
    <row r="662" spans="1:26">
      <c r="A662" s="88">
        <v>7215</v>
      </c>
      <c r="B662" s="1032" t="s">
        <v>642</v>
      </c>
      <c r="C662" s="1033"/>
      <c r="D662" s="1033"/>
      <c r="E662" s="1033"/>
      <c r="F662" s="1033"/>
      <c r="G662" s="1033"/>
      <c r="H662" s="1033"/>
      <c r="I662" s="1033"/>
      <c r="J662" s="1033"/>
      <c r="K662" s="1033"/>
      <c r="L662" s="90"/>
      <c r="M662" s="51"/>
      <c r="N662" s="113">
        <f t="shared" si="61"/>
        <v>7215</v>
      </c>
      <c r="O662" s="575">
        <v>0</v>
      </c>
      <c r="P662" s="582">
        <v>0</v>
      </c>
      <c r="Q662" s="589"/>
      <c r="R662" s="576"/>
      <c r="S662" s="583">
        <f t="shared" si="62"/>
        <v>0</v>
      </c>
      <c r="T662" s="580">
        <f t="shared" si="63"/>
        <v>0</v>
      </c>
      <c r="U662" s="51"/>
      <c r="V662" s="2119"/>
      <c r="W662" s="43"/>
      <c r="X662" s="43"/>
      <c r="Y662" s="43"/>
      <c r="Z662" s="43"/>
    </row>
    <row r="663" spans="1:26">
      <c r="A663" s="88">
        <v>7216</v>
      </c>
      <c r="B663" s="1032" t="s">
        <v>643</v>
      </c>
      <c r="C663" s="1033"/>
      <c r="D663" s="1033"/>
      <c r="E663" s="1033"/>
      <c r="F663" s="1033"/>
      <c r="G663" s="1033"/>
      <c r="H663" s="1033"/>
      <c r="I663" s="1033"/>
      <c r="J663" s="1033"/>
      <c r="K663" s="1033"/>
      <c r="L663" s="90"/>
      <c r="M663" s="51"/>
      <c r="N663" s="113">
        <f t="shared" si="61"/>
        <v>7216</v>
      </c>
      <c r="O663" s="575">
        <v>0</v>
      </c>
      <c r="P663" s="582">
        <v>0</v>
      </c>
      <c r="Q663" s="589"/>
      <c r="R663" s="576"/>
      <c r="S663" s="583">
        <f t="shared" si="62"/>
        <v>0</v>
      </c>
      <c r="T663" s="580">
        <f t="shared" si="63"/>
        <v>0</v>
      </c>
      <c r="U663" s="51"/>
      <c r="V663" s="2119"/>
      <c r="W663" s="43"/>
      <c r="X663" s="43"/>
      <c r="Y663" s="43"/>
      <c r="Z663" s="43"/>
    </row>
    <row r="664" spans="1:26">
      <c r="A664" s="88">
        <v>7217</v>
      </c>
      <c r="B664" s="1032" t="s">
        <v>644</v>
      </c>
      <c r="C664" s="1033"/>
      <c r="D664" s="1033"/>
      <c r="E664" s="1033"/>
      <c r="F664" s="1033"/>
      <c r="G664" s="1033"/>
      <c r="H664" s="1033"/>
      <c r="I664" s="1033"/>
      <c r="J664" s="1033"/>
      <c r="K664" s="1033"/>
      <c r="L664" s="90"/>
      <c r="M664" s="51"/>
      <c r="N664" s="113">
        <f t="shared" si="61"/>
        <v>7217</v>
      </c>
      <c r="O664" s="575">
        <v>0</v>
      </c>
      <c r="P664" s="582">
        <v>0</v>
      </c>
      <c r="Q664" s="589"/>
      <c r="R664" s="576"/>
      <c r="S664" s="583">
        <f t="shared" si="62"/>
        <v>0</v>
      </c>
      <c r="T664" s="580">
        <f t="shared" si="63"/>
        <v>0</v>
      </c>
      <c r="U664" s="51"/>
      <c r="V664" s="2119"/>
      <c r="W664" s="43"/>
      <c r="X664" s="43"/>
      <c r="Y664" s="43"/>
      <c r="Z664" s="43"/>
    </row>
    <row r="665" spans="1:26">
      <c r="A665" s="88">
        <v>7218</v>
      </c>
      <c r="B665" s="1032" t="s">
        <v>645</v>
      </c>
      <c r="C665" s="1033"/>
      <c r="D665" s="1033"/>
      <c r="E665" s="1033"/>
      <c r="F665" s="1033"/>
      <c r="G665" s="1033"/>
      <c r="H665" s="1033"/>
      <c r="I665" s="1033"/>
      <c r="J665" s="1033"/>
      <c r="K665" s="1033"/>
      <c r="L665" s="90"/>
      <c r="M665" s="51"/>
      <c r="N665" s="113">
        <f t="shared" si="61"/>
        <v>7218</v>
      </c>
      <c r="O665" s="575">
        <v>0</v>
      </c>
      <c r="P665" s="582">
        <v>0</v>
      </c>
      <c r="Q665" s="589"/>
      <c r="R665" s="576"/>
      <c r="S665" s="583">
        <f t="shared" si="62"/>
        <v>0</v>
      </c>
      <c r="T665" s="580">
        <f t="shared" si="63"/>
        <v>0</v>
      </c>
      <c r="U665" s="51"/>
      <c r="V665" s="2119"/>
      <c r="W665" s="43"/>
      <c r="X665" s="43"/>
      <c r="Y665" s="43"/>
      <c r="Z665" s="43"/>
    </row>
    <row r="666" spans="1:26">
      <c r="A666" s="88">
        <v>7219</v>
      </c>
      <c r="B666" s="1032" t="s">
        <v>646</v>
      </c>
      <c r="C666" s="1033"/>
      <c r="D666" s="1033"/>
      <c r="E666" s="1033"/>
      <c r="F666" s="1033"/>
      <c r="G666" s="1033"/>
      <c r="H666" s="1033"/>
      <c r="I666" s="1033"/>
      <c r="J666" s="1033"/>
      <c r="K666" s="1033"/>
      <c r="L666" s="90"/>
      <c r="M666" s="51"/>
      <c r="N666" s="113">
        <f t="shared" ref="N666:N729" si="64">+A666</f>
        <v>7219</v>
      </c>
      <c r="O666" s="575">
        <v>0</v>
      </c>
      <c r="P666" s="582">
        <v>0</v>
      </c>
      <c r="Q666" s="122"/>
      <c r="R666" s="121"/>
      <c r="S666" s="583">
        <f t="shared" ref="S666:S729" si="65">+IF(ABS(+O666+Q666)&gt;=ABS(P666+R666),+O666-P666+Q666-R666,0)</f>
        <v>0</v>
      </c>
      <c r="T666" s="580">
        <f t="shared" si="63"/>
        <v>0</v>
      </c>
      <c r="U666" s="51"/>
      <c r="V666" s="2119"/>
      <c r="W666" s="43"/>
      <c r="X666" s="43"/>
      <c r="Y666" s="43"/>
      <c r="Z666" s="43"/>
    </row>
    <row r="667" spans="1:26">
      <c r="A667" s="91">
        <v>7220</v>
      </c>
      <c r="B667" s="92" t="s">
        <v>647</v>
      </c>
      <c r="C667" s="92"/>
      <c r="D667" s="92"/>
      <c r="E667" s="92"/>
      <c r="F667" s="92"/>
      <c r="G667" s="92"/>
      <c r="H667" s="92"/>
      <c r="I667" s="92"/>
      <c r="J667" s="92"/>
      <c r="K667" s="92"/>
      <c r="L667" s="93"/>
      <c r="M667" s="51"/>
      <c r="N667" s="114">
        <f t="shared" si="64"/>
        <v>7220</v>
      </c>
      <c r="O667" s="10">
        <v>0</v>
      </c>
      <c r="P667" s="11">
        <v>0</v>
      </c>
      <c r="Q667" s="31">
        <v>0</v>
      </c>
      <c r="R667" s="11">
        <v>0</v>
      </c>
      <c r="S667" s="829">
        <f t="shared" si="65"/>
        <v>0</v>
      </c>
      <c r="T667" s="828">
        <f t="shared" si="63"/>
        <v>0</v>
      </c>
      <c r="U667" s="51"/>
      <c r="V667" s="2125">
        <f>+IF(OR(O667&lt;&gt;0,P667&lt;&gt;0,Q667&lt;&gt;0,R667&lt;&gt;0,S667&lt;&gt;0,T667&lt;&gt;0),+IF(ABS(O667+Q667)-ABS(P667+R667)&lt;&gt;0,ABS(O667+Q667)-ABS(P667+R667),1),0)</f>
        <v>0</v>
      </c>
      <c r="W667" s="43"/>
      <c r="X667" s="43"/>
      <c r="Y667" s="43"/>
      <c r="Z667" s="43"/>
    </row>
    <row r="668" spans="1:26">
      <c r="A668" s="88">
        <v>7221</v>
      </c>
      <c r="B668" s="1033" t="s">
        <v>648</v>
      </c>
      <c r="C668" s="1033"/>
      <c r="D668" s="1033"/>
      <c r="E668" s="1033"/>
      <c r="F668" s="1033"/>
      <c r="G668" s="1033"/>
      <c r="H668" s="1033"/>
      <c r="I668" s="1033"/>
      <c r="J668" s="1033"/>
      <c r="K668" s="1033"/>
      <c r="L668" s="90"/>
      <c r="M668" s="51"/>
      <c r="N668" s="113">
        <f t="shared" si="64"/>
        <v>7221</v>
      </c>
      <c r="O668" s="8">
        <v>0</v>
      </c>
      <c r="P668" s="9">
        <v>0</v>
      </c>
      <c r="Q668" s="122"/>
      <c r="R668" s="121"/>
      <c r="S668" s="27">
        <f t="shared" si="65"/>
        <v>0</v>
      </c>
      <c r="T668" s="28">
        <f t="shared" si="63"/>
        <v>0</v>
      </c>
      <c r="U668" s="51"/>
      <c r="V668" s="2119"/>
      <c r="W668" s="43"/>
      <c r="X668" s="43"/>
      <c r="Y668" s="43"/>
      <c r="Z668" s="43"/>
    </row>
    <row r="669" spans="1:26">
      <c r="A669" s="88">
        <v>7222</v>
      </c>
      <c r="B669" s="1033" t="s">
        <v>649</v>
      </c>
      <c r="C669" s="1033"/>
      <c r="D669" s="1033"/>
      <c r="E669" s="1033"/>
      <c r="F669" s="1033"/>
      <c r="G669" s="1033"/>
      <c r="H669" s="1033"/>
      <c r="I669" s="1033"/>
      <c r="J669" s="1033"/>
      <c r="K669" s="1033"/>
      <c r="L669" s="90"/>
      <c r="M669" s="51"/>
      <c r="N669" s="113">
        <f t="shared" si="64"/>
        <v>7222</v>
      </c>
      <c r="O669" s="8">
        <v>0</v>
      </c>
      <c r="P669" s="9">
        <v>0</v>
      </c>
      <c r="Q669" s="589"/>
      <c r="R669" s="576"/>
      <c r="S669" s="27">
        <f t="shared" si="65"/>
        <v>0</v>
      </c>
      <c r="T669" s="28">
        <f t="shared" si="63"/>
        <v>0</v>
      </c>
      <c r="U669" s="51"/>
      <c r="V669" s="2119"/>
      <c r="W669" s="43"/>
      <c r="X669" s="43"/>
      <c r="Y669" s="43"/>
      <c r="Z669" s="43"/>
    </row>
    <row r="670" spans="1:26">
      <c r="A670" s="88">
        <v>7223</v>
      </c>
      <c r="B670" s="1033" t="s">
        <v>650</v>
      </c>
      <c r="C670" s="1033"/>
      <c r="D670" s="1033"/>
      <c r="E670" s="1033"/>
      <c r="F670" s="1033"/>
      <c r="G670" s="1033"/>
      <c r="H670" s="1033"/>
      <c r="I670" s="1033"/>
      <c r="J670" s="1033"/>
      <c r="K670" s="1033"/>
      <c r="L670" s="90"/>
      <c r="M670" s="51"/>
      <c r="N670" s="113">
        <f t="shared" si="64"/>
        <v>7223</v>
      </c>
      <c r="O670" s="575">
        <v>0</v>
      </c>
      <c r="P670" s="582">
        <v>0</v>
      </c>
      <c r="Q670" s="589"/>
      <c r="R670" s="576"/>
      <c r="S670" s="583">
        <f t="shared" si="65"/>
        <v>0</v>
      </c>
      <c r="T670" s="580">
        <f t="shared" si="63"/>
        <v>0</v>
      </c>
      <c r="U670" s="51"/>
      <c r="V670" s="2119"/>
      <c r="W670" s="43"/>
      <c r="X670" s="43"/>
      <c r="Y670" s="43"/>
      <c r="Z670" s="43"/>
    </row>
    <row r="671" spans="1:26">
      <c r="A671" s="88">
        <v>7224</v>
      </c>
      <c r="B671" s="1033" t="s">
        <v>651</v>
      </c>
      <c r="C671" s="1033"/>
      <c r="D671" s="1033"/>
      <c r="E671" s="1033"/>
      <c r="F671" s="1033"/>
      <c r="G671" s="1033"/>
      <c r="H671" s="1033"/>
      <c r="I671" s="1033"/>
      <c r="J671" s="1033"/>
      <c r="K671" s="1033"/>
      <c r="L671" s="90"/>
      <c r="M671" s="51"/>
      <c r="N671" s="113">
        <f t="shared" si="64"/>
        <v>7224</v>
      </c>
      <c r="O671" s="575">
        <v>0</v>
      </c>
      <c r="P671" s="582">
        <v>0</v>
      </c>
      <c r="Q671" s="589"/>
      <c r="R671" s="576"/>
      <c r="S671" s="583">
        <f t="shared" si="65"/>
        <v>0</v>
      </c>
      <c r="T671" s="580">
        <f t="shared" si="63"/>
        <v>0</v>
      </c>
      <c r="U671" s="51"/>
      <c r="V671" s="2119"/>
      <c r="W671" s="43"/>
      <c r="X671" s="43"/>
      <c r="Y671" s="43"/>
      <c r="Z671" s="43"/>
    </row>
    <row r="672" spans="1:26">
      <c r="A672" s="88">
        <v>7226</v>
      </c>
      <c r="B672" s="1033" t="s">
        <v>652</v>
      </c>
      <c r="C672" s="1033"/>
      <c r="D672" s="1033"/>
      <c r="E672" s="1033"/>
      <c r="F672" s="1033"/>
      <c r="G672" s="1033"/>
      <c r="H672" s="1033"/>
      <c r="I672" s="1033"/>
      <c r="J672" s="1033"/>
      <c r="K672" s="1033"/>
      <c r="L672" s="90"/>
      <c r="M672" s="51"/>
      <c r="N672" s="113">
        <f t="shared" si="64"/>
        <v>7226</v>
      </c>
      <c r="O672" s="575">
        <v>0</v>
      </c>
      <c r="P672" s="582">
        <v>0</v>
      </c>
      <c r="Q672" s="589"/>
      <c r="R672" s="576"/>
      <c r="S672" s="583">
        <f t="shared" si="65"/>
        <v>0</v>
      </c>
      <c r="T672" s="580">
        <f t="shared" si="63"/>
        <v>0</v>
      </c>
      <c r="U672" s="51"/>
      <c r="V672" s="2119"/>
      <c r="W672" s="43"/>
      <c r="X672" s="43"/>
      <c r="Y672" s="43"/>
      <c r="Z672" s="43"/>
    </row>
    <row r="673" spans="1:26">
      <c r="A673" s="88">
        <v>7229</v>
      </c>
      <c r="B673" s="1033" t="s">
        <v>653</v>
      </c>
      <c r="C673" s="1033"/>
      <c r="D673" s="1033"/>
      <c r="E673" s="1033"/>
      <c r="F673" s="1033"/>
      <c r="G673" s="1033"/>
      <c r="H673" s="1033"/>
      <c r="I673" s="1033"/>
      <c r="J673" s="1033"/>
      <c r="K673" s="1033"/>
      <c r="L673" s="90"/>
      <c r="M673" s="51"/>
      <c r="N673" s="113">
        <f t="shared" si="64"/>
        <v>7229</v>
      </c>
      <c r="O673" s="575">
        <v>0</v>
      </c>
      <c r="P673" s="582">
        <v>0</v>
      </c>
      <c r="Q673" s="589"/>
      <c r="R673" s="576"/>
      <c r="S673" s="583">
        <f t="shared" si="65"/>
        <v>0</v>
      </c>
      <c r="T673" s="580">
        <f t="shared" ref="T673:T736" si="66">+IF(ABS(+O673+Q673)&lt;=ABS(P673+R673),-O673+P673-Q673+R673,0)</f>
        <v>0</v>
      </c>
      <c r="U673" s="51"/>
      <c r="V673" s="2119"/>
      <c r="W673" s="43"/>
      <c r="X673" s="43"/>
      <c r="Y673" s="43"/>
      <c r="Z673" s="43"/>
    </row>
    <row r="674" spans="1:26">
      <c r="A674" s="88">
        <v>7231</v>
      </c>
      <c r="B674" s="1033" t="s">
        <v>654</v>
      </c>
      <c r="C674" s="1033"/>
      <c r="D674" s="1033"/>
      <c r="E674" s="1033"/>
      <c r="F674" s="1033"/>
      <c r="G674" s="1033"/>
      <c r="H674" s="1033"/>
      <c r="I674" s="1033"/>
      <c r="J674" s="1033"/>
      <c r="K674" s="1033"/>
      <c r="L674" s="90"/>
      <c r="M674" s="51"/>
      <c r="N674" s="113">
        <f t="shared" si="64"/>
        <v>7231</v>
      </c>
      <c r="O674" s="575">
        <v>0</v>
      </c>
      <c r="P674" s="582">
        <v>0</v>
      </c>
      <c r="Q674" s="589"/>
      <c r="R674" s="576"/>
      <c r="S674" s="583">
        <f t="shared" si="65"/>
        <v>0</v>
      </c>
      <c r="T674" s="580">
        <f t="shared" si="66"/>
        <v>0</v>
      </c>
      <c r="U674" s="51"/>
      <c r="V674" s="2119"/>
      <c r="W674" s="43"/>
      <c r="X674" s="43"/>
      <c r="Y674" s="43"/>
      <c r="Z674" s="43"/>
    </row>
    <row r="675" spans="1:26">
      <c r="A675" s="88">
        <v>7232</v>
      </c>
      <c r="B675" s="1033" t="s">
        <v>0</v>
      </c>
      <c r="C675" s="1033"/>
      <c r="D675" s="1033"/>
      <c r="E675" s="1033"/>
      <c r="F675" s="1033"/>
      <c r="G675" s="1033"/>
      <c r="H675" s="1033"/>
      <c r="I675" s="1033"/>
      <c r="J675" s="1033"/>
      <c r="K675" s="1033"/>
      <c r="L675" s="90"/>
      <c r="M675" s="51"/>
      <c r="N675" s="113">
        <f t="shared" si="64"/>
        <v>7232</v>
      </c>
      <c r="O675" s="575">
        <v>0</v>
      </c>
      <c r="P675" s="582">
        <v>0</v>
      </c>
      <c r="Q675" s="589"/>
      <c r="R675" s="576"/>
      <c r="S675" s="583">
        <f t="shared" si="65"/>
        <v>0</v>
      </c>
      <c r="T675" s="580">
        <f t="shared" si="66"/>
        <v>0</v>
      </c>
      <c r="U675" s="51"/>
      <c r="V675" s="2119"/>
      <c r="W675" s="43"/>
      <c r="X675" s="43"/>
      <c r="Y675" s="43"/>
      <c r="Z675" s="43"/>
    </row>
    <row r="676" spans="1:26">
      <c r="A676" s="88">
        <v>7241</v>
      </c>
      <c r="B676" s="1033" t="s">
        <v>1</v>
      </c>
      <c r="C676" s="1033"/>
      <c r="D676" s="1033"/>
      <c r="E676" s="1033"/>
      <c r="F676" s="1033"/>
      <c r="G676" s="1033"/>
      <c r="H676" s="1033"/>
      <c r="I676" s="1033"/>
      <c r="J676" s="1033"/>
      <c r="K676" s="1033"/>
      <c r="L676" s="90"/>
      <c r="M676" s="51"/>
      <c r="N676" s="113">
        <f t="shared" si="64"/>
        <v>7241</v>
      </c>
      <c r="O676" s="575">
        <v>0</v>
      </c>
      <c r="P676" s="582">
        <v>0</v>
      </c>
      <c r="Q676" s="589"/>
      <c r="R676" s="576"/>
      <c r="S676" s="583">
        <f t="shared" si="65"/>
        <v>0</v>
      </c>
      <c r="T676" s="580">
        <f t="shared" si="66"/>
        <v>0</v>
      </c>
      <c r="U676" s="51"/>
      <c r="V676" s="2119"/>
      <c r="W676" s="43"/>
      <c r="X676" s="43"/>
      <c r="Y676" s="43"/>
      <c r="Z676" s="43"/>
    </row>
    <row r="677" spans="1:26">
      <c r="A677" s="88">
        <v>7242</v>
      </c>
      <c r="B677" s="1033" t="s">
        <v>2</v>
      </c>
      <c r="C677" s="1033"/>
      <c r="D677" s="1033"/>
      <c r="E677" s="1033"/>
      <c r="F677" s="1033"/>
      <c r="G677" s="1033"/>
      <c r="H677" s="1033"/>
      <c r="I677" s="1033"/>
      <c r="J677" s="1033"/>
      <c r="K677" s="1033"/>
      <c r="L677" s="90"/>
      <c r="M677" s="51"/>
      <c r="N677" s="113">
        <f t="shared" si="64"/>
        <v>7242</v>
      </c>
      <c r="O677" s="575">
        <v>0</v>
      </c>
      <c r="P677" s="582">
        <v>0</v>
      </c>
      <c r="Q677" s="589"/>
      <c r="R677" s="576"/>
      <c r="S677" s="583">
        <f t="shared" si="65"/>
        <v>0</v>
      </c>
      <c r="T677" s="580">
        <f t="shared" si="66"/>
        <v>0</v>
      </c>
      <c r="U677" s="51"/>
      <c r="V677" s="2119"/>
      <c r="W677" s="43"/>
      <c r="X677" s="43"/>
      <c r="Y677" s="43"/>
      <c r="Z677" s="43"/>
    </row>
    <row r="678" spans="1:26" ht="15.75" customHeight="1">
      <c r="A678" s="88">
        <v>7250</v>
      </c>
      <c r="B678" s="378" t="s">
        <v>3</v>
      </c>
      <c r="C678" s="1033"/>
      <c r="D678" s="1033"/>
      <c r="E678" s="1033"/>
      <c r="F678" s="1033"/>
      <c r="G678" s="1033"/>
      <c r="H678" s="1033"/>
      <c r="I678" s="1033"/>
      <c r="J678" s="1033"/>
      <c r="K678" s="1033"/>
      <c r="L678" s="90"/>
      <c r="M678" s="51"/>
      <c r="N678" s="113">
        <f t="shared" si="64"/>
        <v>7250</v>
      </c>
      <c r="O678" s="575">
        <v>0</v>
      </c>
      <c r="P678" s="582">
        <v>0</v>
      </c>
      <c r="Q678" s="589"/>
      <c r="R678" s="576"/>
      <c r="S678" s="583">
        <f t="shared" si="65"/>
        <v>0</v>
      </c>
      <c r="T678" s="580">
        <f t="shared" si="66"/>
        <v>0</v>
      </c>
      <c r="U678" s="51"/>
      <c r="V678" s="2119"/>
      <c r="W678" s="43"/>
      <c r="X678" s="43"/>
      <c r="Y678" s="43"/>
      <c r="Z678" s="43"/>
    </row>
    <row r="679" spans="1:26">
      <c r="A679" s="88">
        <v>7251</v>
      </c>
      <c r="B679" s="1033" t="s">
        <v>4</v>
      </c>
      <c r="C679" s="1033"/>
      <c r="D679" s="1033"/>
      <c r="E679" s="1033"/>
      <c r="F679" s="1033"/>
      <c r="G679" s="1033"/>
      <c r="H679" s="1033"/>
      <c r="I679" s="1033"/>
      <c r="J679" s="1033"/>
      <c r="K679" s="1033"/>
      <c r="L679" s="90"/>
      <c r="M679" s="51"/>
      <c r="N679" s="113">
        <f t="shared" si="64"/>
        <v>7251</v>
      </c>
      <c r="O679" s="575">
        <v>0</v>
      </c>
      <c r="P679" s="582">
        <v>0</v>
      </c>
      <c r="Q679" s="589">
        <v>0</v>
      </c>
      <c r="R679" s="576">
        <v>0</v>
      </c>
      <c r="S679" s="583">
        <f t="shared" si="65"/>
        <v>0</v>
      </c>
      <c r="T679" s="580">
        <f t="shared" si="66"/>
        <v>0</v>
      </c>
      <c r="U679" s="51"/>
      <c r="V679" s="2119"/>
      <c r="W679" s="43"/>
      <c r="X679" s="43"/>
      <c r="Y679" s="43"/>
      <c r="Z679" s="43"/>
    </row>
    <row r="680" spans="1:26">
      <c r="A680" s="88">
        <v>7252</v>
      </c>
      <c r="B680" s="1033" t="s">
        <v>5</v>
      </c>
      <c r="C680" s="1033"/>
      <c r="D680" s="1033"/>
      <c r="E680" s="1033"/>
      <c r="F680" s="1033"/>
      <c r="G680" s="1033"/>
      <c r="H680" s="1033"/>
      <c r="I680" s="1033"/>
      <c r="J680" s="1033"/>
      <c r="K680" s="1033"/>
      <c r="L680" s="90"/>
      <c r="M680" s="51"/>
      <c r="N680" s="113">
        <f t="shared" si="64"/>
        <v>7252</v>
      </c>
      <c r="O680" s="575">
        <v>0</v>
      </c>
      <c r="P680" s="582">
        <v>0</v>
      </c>
      <c r="Q680" s="589">
        <v>0</v>
      </c>
      <c r="R680" s="576">
        <v>0</v>
      </c>
      <c r="S680" s="583">
        <f t="shared" si="65"/>
        <v>0</v>
      </c>
      <c r="T680" s="580">
        <f t="shared" si="66"/>
        <v>0</v>
      </c>
      <c r="U680" s="51"/>
      <c r="V680" s="2119"/>
      <c r="W680" s="43"/>
      <c r="X680" s="43"/>
      <c r="Y680" s="43"/>
      <c r="Z680" s="43"/>
    </row>
    <row r="681" spans="1:26">
      <c r="A681" s="88">
        <v>7258</v>
      </c>
      <c r="B681" s="1033" t="s">
        <v>6</v>
      </c>
      <c r="C681" s="1033"/>
      <c r="D681" s="1033"/>
      <c r="E681" s="1033"/>
      <c r="F681" s="1033"/>
      <c r="G681" s="1033"/>
      <c r="H681" s="1033"/>
      <c r="I681" s="1033"/>
      <c r="J681" s="1033"/>
      <c r="K681" s="1033"/>
      <c r="L681" s="90"/>
      <c r="M681" s="51"/>
      <c r="N681" s="113">
        <f t="shared" si="64"/>
        <v>7258</v>
      </c>
      <c r="O681" s="575">
        <v>0</v>
      </c>
      <c r="P681" s="582">
        <v>0</v>
      </c>
      <c r="Q681" s="589"/>
      <c r="R681" s="576"/>
      <c r="S681" s="583">
        <f t="shared" si="65"/>
        <v>0</v>
      </c>
      <c r="T681" s="580">
        <f t="shared" si="66"/>
        <v>0</v>
      </c>
      <c r="U681" s="51"/>
      <c r="V681" s="2119"/>
      <c r="W681" s="43"/>
      <c r="X681" s="43"/>
      <c r="Y681" s="43"/>
      <c r="Z681" s="43"/>
    </row>
    <row r="682" spans="1:26" ht="15.75" customHeight="1">
      <c r="A682" s="88">
        <v>7270</v>
      </c>
      <c r="B682" s="378" t="s">
        <v>7</v>
      </c>
      <c r="C682" s="1033"/>
      <c r="D682" s="1033"/>
      <c r="E682" s="1033"/>
      <c r="F682" s="1033"/>
      <c r="G682" s="1033"/>
      <c r="H682" s="1033"/>
      <c r="I682" s="1033"/>
      <c r="J682" s="1033"/>
      <c r="K682" s="1033"/>
      <c r="L682" s="90"/>
      <c r="M682" s="51"/>
      <c r="N682" s="113">
        <f t="shared" si="64"/>
        <v>7270</v>
      </c>
      <c r="O682" s="575">
        <v>0</v>
      </c>
      <c r="P682" s="582">
        <v>0</v>
      </c>
      <c r="Q682" s="589"/>
      <c r="R682" s="576"/>
      <c r="S682" s="583">
        <f t="shared" si="65"/>
        <v>0</v>
      </c>
      <c r="T682" s="580">
        <f t="shared" si="66"/>
        <v>0</v>
      </c>
      <c r="U682" s="51"/>
      <c r="V682" s="2119"/>
      <c r="W682" s="43"/>
      <c r="X682" s="43"/>
      <c r="Y682" s="43"/>
      <c r="Z682" s="43"/>
    </row>
    <row r="683" spans="1:26">
      <c r="A683" s="88">
        <v>7271</v>
      </c>
      <c r="B683" s="1033" t="s">
        <v>8</v>
      </c>
      <c r="C683" s="1033"/>
      <c r="D683" s="1033"/>
      <c r="E683" s="1033"/>
      <c r="F683" s="1033"/>
      <c r="G683" s="1033"/>
      <c r="H683" s="1033"/>
      <c r="I683" s="1033"/>
      <c r="J683" s="1033"/>
      <c r="K683" s="1033"/>
      <c r="L683" s="90"/>
      <c r="M683" s="51"/>
      <c r="N683" s="113">
        <f t="shared" si="64"/>
        <v>7271</v>
      </c>
      <c r="O683" s="575">
        <v>0</v>
      </c>
      <c r="P683" s="582">
        <v>0</v>
      </c>
      <c r="Q683" s="589"/>
      <c r="R683" s="576"/>
      <c r="S683" s="583">
        <f t="shared" si="65"/>
        <v>0</v>
      </c>
      <c r="T683" s="580">
        <f t="shared" si="66"/>
        <v>0</v>
      </c>
      <c r="U683" s="51"/>
      <c r="V683" s="2119"/>
      <c r="W683" s="43"/>
      <c r="X683" s="43"/>
      <c r="Y683" s="43"/>
      <c r="Z683" s="43"/>
    </row>
    <row r="684" spans="1:26" ht="15.75" customHeight="1">
      <c r="A684" s="88">
        <v>7274</v>
      </c>
      <c r="B684" s="378" t="s">
        <v>725</v>
      </c>
      <c r="C684" s="1033"/>
      <c r="D684" s="1033"/>
      <c r="E684" s="1033"/>
      <c r="F684" s="1033"/>
      <c r="G684" s="1033"/>
      <c r="H684" s="1033"/>
      <c r="I684" s="1033"/>
      <c r="J684" s="1033"/>
      <c r="K684" s="1033"/>
      <c r="L684" s="90"/>
      <c r="M684" s="51"/>
      <c r="N684" s="113">
        <f t="shared" si="64"/>
        <v>7274</v>
      </c>
      <c r="O684" s="575">
        <v>0</v>
      </c>
      <c r="P684" s="582">
        <v>0</v>
      </c>
      <c r="Q684" s="589"/>
      <c r="R684" s="576"/>
      <c r="S684" s="583">
        <f t="shared" si="65"/>
        <v>0</v>
      </c>
      <c r="T684" s="580">
        <f t="shared" si="66"/>
        <v>0</v>
      </c>
      <c r="U684" s="51"/>
      <c r="V684" s="2119"/>
      <c r="W684" s="43"/>
      <c r="X684" s="43"/>
      <c r="Y684" s="43"/>
      <c r="Z684" s="43"/>
    </row>
    <row r="685" spans="1:26" ht="15.75" customHeight="1">
      <c r="A685" s="88">
        <v>7275</v>
      </c>
      <c r="B685" s="378" t="s">
        <v>726</v>
      </c>
      <c r="C685" s="1033"/>
      <c r="D685" s="1033"/>
      <c r="E685" s="1033"/>
      <c r="F685" s="1033"/>
      <c r="G685" s="1033"/>
      <c r="H685" s="1033"/>
      <c r="I685" s="1033"/>
      <c r="J685" s="1033"/>
      <c r="K685" s="1033"/>
      <c r="L685" s="90"/>
      <c r="M685" s="51"/>
      <c r="N685" s="113">
        <f t="shared" si="64"/>
        <v>7275</v>
      </c>
      <c r="O685" s="575">
        <v>0</v>
      </c>
      <c r="P685" s="582">
        <v>0</v>
      </c>
      <c r="Q685" s="589"/>
      <c r="R685" s="576"/>
      <c r="S685" s="583">
        <f t="shared" si="65"/>
        <v>0</v>
      </c>
      <c r="T685" s="580">
        <f t="shared" si="66"/>
        <v>0</v>
      </c>
      <c r="U685" s="51"/>
      <c r="V685" s="2119"/>
      <c r="W685" s="43"/>
      <c r="X685" s="43"/>
      <c r="Y685" s="43"/>
      <c r="Z685" s="43"/>
    </row>
    <row r="686" spans="1:26">
      <c r="A686" s="88">
        <v>7277</v>
      </c>
      <c r="B686" s="1033" t="s">
        <v>727</v>
      </c>
      <c r="C686" s="1033"/>
      <c r="D686" s="1033"/>
      <c r="E686" s="1033"/>
      <c r="F686" s="1033"/>
      <c r="G686" s="1033"/>
      <c r="H686" s="1033"/>
      <c r="I686" s="1033"/>
      <c r="J686" s="1033"/>
      <c r="K686" s="1033"/>
      <c r="L686" s="90"/>
      <c r="M686" s="51"/>
      <c r="N686" s="113">
        <f t="shared" si="64"/>
        <v>7277</v>
      </c>
      <c r="O686" s="575">
        <v>0</v>
      </c>
      <c r="P686" s="582">
        <v>0</v>
      </c>
      <c r="Q686" s="589"/>
      <c r="R686" s="576"/>
      <c r="S686" s="583">
        <f t="shared" si="65"/>
        <v>0</v>
      </c>
      <c r="T686" s="580">
        <f t="shared" si="66"/>
        <v>0</v>
      </c>
      <c r="U686" s="51"/>
      <c r="V686" s="2119"/>
      <c r="W686" s="43"/>
      <c r="X686" s="43"/>
      <c r="Y686" s="43"/>
      <c r="Z686" s="43"/>
    </row>
    <row r="687" spans="1:26">
      <c r="A687" s="88">
        <v>7278</v>
      </c>
      <c r="B687" s="1033" t="s">
        <v>728</v>
      </c>
      <c r="C687" s="1033"/>
      <c r="D687" s="1033"/>
      <c r="E687" s="1033"/>
      <c r="F687" s="1033"/>
      <c r="G687" s="1033"/>
      <c r="H687" s="1033"/>
      <c r="I687" s="1033"/>
      <c r="J687" s="1033"/>
      <c r="K687" s="1033"/>
      <c r="L687" s="90"/>
      <c r="M687" s="51"/>
      <c r="N687" s="113">
        <f t="shared" si="64"/>
        <v>7278</v>
      </c>
      <c r="O687" s="575">
        <v>0</v>
      </c>
      <c r="P687" s="582">
        <v>0</v>
      </c>
      <c r="Q687" s="589"/>
      <c r="R687" s="576"/>
      <c r="S687" s="583">
        <f t="shared" si="65"/>
        <v>0</v>
      </c>
      <c r="T687" s="580">
        <f t="shared" si="66"/>
        <v>0</v>
      </c>
      <c r="U687" s="51"/>
      <c r="V687" s="2119"/>
      <c r="W687" s="43"/>
      <c r="X687" s="43"/>
      <c r="Y687" s="43"/>
      <c r="Z687" s="43"/>
    </row>
    <row r="688" spans="1:26">
      <c r="A688" s="88">
        <v>7282</v>
      </c>
      <c r="B688" s="1033" t="s">
        <v>729</v>
      </c>
      <c r="C688" s="1033"/>
      <c r="D688" s="1033"/>
      <c r="E688" s="1033"/>
      <c r="F688" s="1033"/>
      <c r="G688" s="1033"/>
      <c r="H688" s="1033"/>
      <c r="I688" s="1033"/>
      <c r="J688" s="1033"/>
      <c r="K688" s="1033"/>
      <c r="L688" s="90"/>
      <c r="M688" s="51"/>
      <c r="N688" s="113">
        <f t="shared" si="64"/>
        <v>7282</v>
      </c>
      <c r="O688" s="575">
        <v>0</v>
      </c>
      <c r="P688" s="582">
        <v>0</v>
      </c>
      <c r="Q688" s="589"/>
      <c r="R688" s="576"/>
      <c r="S688" s="583">
        <f t="shared" si="65"/>
        <v>0</v>
      </c>
      <c r="T688" s="580">
        <f t="shared" si="66"/>
        <v>0</v>
      </c>
      <c r="U688" s="51"/>
      <c r="V688" s="2119"/>
      <c r="W688" s="43"/>
      <c r="X688" s="43"/>
      <c r="Y688" s="43"/>
      <c r="Z688" s="43"/>
    </row>
    <row r="689" spans="1:26">
      <c r="A689" s="88">
        <v>7289</v>
      </c>
      <c r="B689" s="1033" t="s">
        <v>730</v>
      </c>
      <c r="C689" s="1033"/>
      <c r="D689" s="1033"/>
      <c r="E689" s="1033"/>
      <c r="F689" s="1033"/>
      <c r="G689" s="1033"/>
      <c r="H689" s="1033"/>
      <c r="I689" s="1033"/>
      <c r="J689" s="1033"/>
      <c r="K689" s="1033"/>
      <c r="L689" s="90"/>
      <c r="M689" s="51"/>
      <c r="N689" s="113">
        <f t="shared" si="64"/>
        <v>7289</v>
      </c>
      <c r="O689" s="575">
        <v>0</v>
      </c>
      <c r="P689" s="582">
        <v>0</v>
      </c>
      <c r="Q689" s="589"/>
      <c r="R689" s="576"/>
      <c r="S689" s="583">
        <f t="shared" si="65"/>
        <v>0</v>
      </c>
      <c r="T689" s="580">
        <f t="shared" si="66"/>
        <v>0</v>
      </c>
      <c r="U689" s="51"/>
      <c r="V689" s="2119"/>
      <c r="W689" s="43"/>
      <c r="X689" s="43"/>
      <c r="Y689" s="43"/>
      <c r="Z689" s="43"/>
    </row>
    <row r="690" spans="1:26">
      <c r="A690" s="88">
        <v>7291</v>
      </c>
      <c r="B690" s="1033" t="s">
        <v>731</v>
      </c>
      <c r="C690" s="1033"/>
      <c r="D690" s="1033"/>
      <c r="E690" s="1033"/>
      <c r="F690" s="1033"/>
      <c r="G690" s="1033"/>
      <c r="H690" s="1033"/>
      <c r="I690" s="1033"/>
      <c r="J690" s="1033"/>
      <c r="K690" s="1033"/>
      <c r="L690" s="90"/>
      <c r="M690" s="51"/>
      <c r="N690" s="113">
        <f t="shared" si="64"/>
        <v>7291</v>
      </c>
      <c r="O690" s="575">
        <v>0</v>
      </c>
      <c r="P690" s="582">
        <v>0</v>
      </c>
      <c r="Q690" s="589"/>
      <c r="R690" s="576"/>
      <c r="S690" s="583">
        <f t="shared" si="65"/>
        <v>0</v>
      </c>
      <c r="T690" s="580">
        <f t="shared" si="66"/>
        <v>0</v>
      </c>
      <c r="U690" s="51"/>
      <c r="V690" s="2119"/>
      <c r="W690" s="43"/>
      <c r="X690" s="43"/>
      <c r="Y690" s="43"/>
      <c r="Z690" s="43"/>
    </row>
    <row r="691" spans="1:26">
      <c r="A691" s="88">
        <v>7292</v>
      </c>
      <c r="B691" s="1033" t="s">
        <v>732</v>
      </c>
      <c r="C691" s="1033"/>
      <c r="D691" s="1033"/>
      <c r="E691" s="1033"/>
      <c r="F691" s="1033"/>
      <c r="G691" s="1033"/>
      <c r="H691" s="1033"/>
      <c r="I691" s="1033"/>
      <c r="J691" s="1033"/>
      <c r="K691" s="1033"/>
      <c r="L691" s="90"/>
      <c r="M691" s="51"/>
      <c r="N691" s="113">
        <f t="shared" si="64"/>
        <v>7292</v>
      </c>
      <c r="O691" s="575">
        <v>0</v>
      </c>
      <c r="P691" s="582">
        <v>0</v>
      </c>
      <c r="Q691" s="589"/>
      <c r="R691" s="576"/>
      <c r="S691" s="583">
        <f t="shared" si="65"/>
        <v>0</v>
      </c>
      <c r="T691" s="580">
        <f t="shared" si="66"/>
        <v>0</v>
      </c>
      <c r="U691" s="51"/>
      <c r="V691" s="2119"/>
      <c r="W691" s="43"/>
      <c r="X691" s="43"/>
      <c r="Y691" s="43"/>
      <c r="Z691" s="43"/>
    </row>
    <row r="692" spans="1:26" ht="15.75" customHeight="1">
      <c r="A692" s="88">
        <v>7298</v>
      </c>
      <c r="B692" s="1033" t="s">
        <v>733</v>
      </c>
      <c r="C692" s="1033"/>
      <c r="D692" s="1033"/>
      <c r="E692" s="1033"/>
      <c r="F692" s="1033"/>
      <c r="G692" s="1033"/>
      <c r="H692" s="1033"/>
      <c r="I692" s="1033"/>
      <c r="J692" s="1033"/>
      <c r="K692" s="1033"/>
      <c r="L692" s="90"/>
      <c r="M692" s="51"/>
      <c r="N692" s="113">
        <f t="shared" si="64"/>
        <v>7298</v>
      </c>
      <c r="O692" s="575">
        <v>0</v>
      </c>
      <c r="P692" s="582">
        <v>0</v>
      </c>
      <c r="Q692" s="589"/>
      <c r="R692" s="576"/>
      <c r="S692" s="583">
        <f t="shared" si="65"/>
        <v>0</v>
      </c>
      <c r="T692" s="580">
        <f t="shared" si="66"/>
        <v>0</v>
      </c>
      <c r="U692" s="51"/>
      <c r="V692" s="2119"/>
      <c r="W692" s="43"/>
      <c r="X692" s="43"/>
      <c r="Y692" s="43"/>
      <c r="Z692" s="43"/>
    </row>
    <row r="693" spans="1:26">
      <c r="A693" s="88">
        <v>7311</v>
      </c>
      <c r="B693" s="1035" t="s">
        <v>1173</v>
      </c>
      <c r="C693" s="1033"/>
      <c r="D693" s="1033"/>
      <c r="E693" s="1033"/>
      <c r="F693" s="1033"/>
      <c r="G693" s="1033"/>
      <c r="H693" s="1033"/>
      <c r="I693" s="1033"/>
      <c r="J693" s="1033"/>
      <c r="K693" s="1033"/>
      <c r="L693" s="90"/>
      <c r="M693" s="51"/>
      <c r="N693" s="113">
        <f t="shared" si="64"/>
        <v>7311</v>
      </c>
      <c r="O693" s="575">
        <v>0</v>
      </c>
      <c r="P693" s="582">
        <v>0</v>
      </c>
      <c r="Q693" s="589">
        <v>0</v>
      </c>
      <c r="R693" s="576">
        <v>0</v>
      </c>
      <c r="S693" s="583">
        <f t="shared" si="65"/>
        <v>0</v>
      </c>
      <c r="T693" s="580">
        <f t="shared" si="66"/>
        <v>0</v>
      </c>
      <c r="U693" s="51"/>
      <c r="V693" s="2119"/>
      <c r="W693" s="43"/>
      <c r="X693" s="43"/>
      <c r="Y693" s="43"/>
      <c r="Z693" s="43"/>
    </row>
    <row r="694" spans="1:26" ht="15.75" customHeight="1">
      <c r="A694" s="88">
        <v>7313</v>
      </c>
      <c r="B694" s="1035" t="s">
        <v>1174</v>
      </c>
      <c r="C694" s="1033"/>
      <c r="D694" s="1033"/>
      <c r="E694" s="1033"/>
      <c r="F694" s="1033"/>
      <c r="G694" s="1033"/>
      <c r="H694" s="1033"/>
      <c r="I694" s="1033"/>
      <c r="J694" s="1033"/>
      <c r="K694" s="1033"/>
      <c r="L694" s="90"/>
      <c r="M694" s="51"/>
      <c r="N694" s="113">
        <f t="shared" si="64"/>
        <v>7313</v>
      </c>
      <c r="O694" s="575">
        <v>0</v>
      </c>
      <c r="P694" s="582">
        <v>0</v>
      </c>
      <c r="Q694" s="589"/>
      <c r="R694" s="576"/>
      <c r="S694" s="583">
        <f t="shared" si="65"/>
        <v>0</v>
      </c>
      <c r="T694" s="580">
        <f t="shared" si="66"/>
        <v>0</v>
      </c>
      <c r="U694" s="51"/>
      <c r="V694" s="2119"/>
      <c r="W694" s="43"/>
      <c r="X694" s="43"/>
      <c r="Y694" s="43"/>
      <c r="Z694" s="43"/>
    </row>
    <row r="695" spans="1:26">
      <c r="A695" s="88">
        <v>7319</v>
      </c>
      <c r="B695" s="1035" t="s">
        <v>1175</v>
      </c>
      <c r="C695" s="1033"/>
      <c r="D695" s="1033"/>
      <c r="E695" s="1033"/>
      <c r="F695" s="1033"/>
      <c r="G695" s="1033"/>
      <c r="H695" s="1033"/>
      <c r="I695" s="1033"/>
      <c r="J695" s="1033"/>
      <c r="K695" s="1033"/>
      <c r="L695" s="90"/>
      <c r="M695" s="51"/>
      <c r="N695" s="113">
        <f t="shared" si="64"/>
        <v>7319</v>
      </c>
      <c r="O695" s="575">
        <v>0</v>
      </c>
      <c r="P695" s="582">
        <v>0</v>
      </c>
      <c r="Q695" s="589">
        <v>0</v>
      </c>
      <c r="R695" s="576">
        <v>0</v>
      </c>
      <c r="S695" s="583">
        <f t="shared" si="65"/>
        <v>0</v>
      </c>
      <c r="T695" s="580">
        <f t="shared" si="66"/>
        <v>0</v>
      </c>
      <c r="U695" s="51"/>
      <c r="V695" s="2119"/>
      <c r="W695" s="43"/>
      <c r="X695" s="43"/>
      <c r="Y695" s="43"/>
      <c r="Z695" s="43"/>
    </row>
    <row r="696" spans="1:26">
      <c r="A696" s="88">
        <v>7381</v>
      </c>
      <c r="B696" s="1033" t="s">
        <v>734</v>
      </c>
      <c r="C696" s="1033"/>
      <c r="D696" s="1033"/>
      <c r="E696" s="1033"/>
      <c r="F696" s="1033"/>
      <c r="G696" s="1033"/>
      <c r="H696" s="1033"/>
      <c r="I696" s="1033"/>
      <c r="J696" s="1033"/>
      <c r="K696" s="1033"/>
      <c r="L696" s="90"/>
      <c r="M696" s="51"/>
      <c r="N696" s="113">
        <f t="shared" si="64"/>
        <v>7381</v>
      </c>
      <c r="O696" s="575">
        <v>0</v>
      </c>
      <c r="P696" s="582">
        <v>0</v>
      </c>
      <c r="Q696" s="589"/>
      <c r="R696" s="576"/>
      <c r="S696" s="583">
        <f t="shared" si="65"/>
        <v>0</v>
      </c>
      <c r="T696" s="580">
        <f t="shared" si="66"/>
        <v>0</v>
      </c>
      <c r="U696" s="51"/>
      <c r="V696" s="2119"/>
      <c r="W696" s="43"/>
      <c r="X696" s="43"/>
      <c r="Y696" s="43"/>
      <c r="Z696" s="43"/>
    </row>
    <row r="697" spans="1:26">
      <c r="A697" s="88">
        <v>7382</v>
      </c>
      <c r="B697" s="1033" t="s">
        <v>735</v>
      </c>
      <c r="C697" s="1033"/>
      <c r="D697" s="1033"/>
      <c r="E697" s="1033"/>
      <c r="F697" s="1033"/>
      <c r="G697" s="1033"/>
      <c r="H697" s="1033"/>
      <c r="I697" s="1033"/>
      <c r="J697" s="1033"/>
      <c r="K697" s="1033"/>
      <c r="L697" s="90"/>
      <c r="M697" s="51"/>
      <c r="N697" s="113">
        <f t="shared" si="64"/>
        <v>7382</v>
      </c>
      <c r="O697" s="575">
        <v>0</v>
      </c>
      <c r="P697" s="582">
        <v>0</v>
      </c>
      <c r="Q697" s="589"/>
      <c r="R697" s="576"/>
      <c r="S697" s="583">
        <f t="shared" si="65"/>
        <v>0</v>
      </c>
      <c r="T697" s="580">
        <f t="shared" si="66"/>
        <v>0</v>
      </c>
      <c r="U697" s="51"/>
      <c r="V697" s="2119"/>
      <c r="W697" s="43"/>
      <c r="X697" s="43"/>
      <c r="Y697" s="43"/>
      <c r="Z697" s="43"/>
    </row>
    <row r="698" spans="1:26" ht="15.75" customHeight="1">
      <c r="A698" s="88">
        <v>7383</v>
      </c>
      <c r="B698" s="1033" t="s">
        <v>736</v>
      </c>
      <c r="C698" s="1033"/>
      <c r="D698" s="1033"/>
      <c r="E698" s="1033"/>
      <c r="F698" s="1033"/>
      <c r="G698" s="1033"/>
      <c r="H698" s="1033"/>
      <c r="I698" s="1033"/>
      <c r="J698" s="1033"/>
      <c r="K698" s="1033"/>
      <c r="L698" s="90"/>
      <c r="M698" s="51"/>
      <c r="N698" s="113">
        <f t="shared" si="64"/>
        <v>7383</v>
      </c>
      <c r="O698" s="575">
        <v>0</v>
      </c>
      <c r="P698" s="582">
        <v>0</v>
      </c>
      <c r="Q698" s="589"/>
      <c r="R698" s="576"/>
      <c r="S698" s="583">
        <f t="shared" si="65"/>
        <v>0</v>
      </c>
      <c r="T698" s="580">
        <f t="shared" si="66"/>
        <v>0</v>
      </c>
      <c r="U698" s="51"/>
      <c r="V698" s="2119"/>
      <c r="W698" s="43"/>
      <c r="X698" s="43"/>
      <c r="Y698" s="43"/>
      <c r="Z698" s="43"/>
    </row>
    <row r="699" spans="1:26" ht="15.75" customHeight="1">
      <c r="A699" s="88">
        <v>7384</v>
      </c>
      <c r="B699" s="1033" t="s">
        <v>737</v>
      </c>
      <c r="C699" s="1033"/>
      <c r="D699" s="1033"/>
      <c r="E699" s="1033"/>
      <c r="F699" s="1033"/>
      <c r="G699" s="1033"/>
      <c r="H699" s="1033"/>
      <c r="I699" s="1033"/>
      <c r="J699" s="1033"/>
      <c r="K699" s="1033"/>
      <c r="L699" s="90"/>
      <c r="M699" s="51"/>
      <c r="N699" s="113">
        <f t="shared" si="64"/>
        <v>7384</v>
      </c>
      <c r="O699" s="575">
        <v>0</v>
      </c>
      <c r="P699" s="582">
        <v>0</v>
      </c>
      <c r="Q699" s="589"/>
      <c r="R699" s="576"/>
      <c r="S699" s="583">
        <f t="shared" si="65"/>
        <v>0</v>
      </c>
      <c r="T699" s="580">
        <f t="shared" si="66"/>
        <v>0</v>
      </c>
      <c r="U699" s="51"/>
      <c r="V699" s="2119"/>
      <c r="W699" s="43"/>
      <c r="X699" s="43"/>
      <c r="Y699" s="43"/>
      <c r="Z699" s="43"/>
    </row>
    <row r="700" spans="1:26" ht="15.75" customHeight="1">
      <c r="A700" s="88">
        <v>7385</v>
      </c>
      <c r="B700" s="1033" t="s">
        <v>738</v>
      </c>
      <c r="C700" s="1033"/>
      <c r="D700" s="1033"/>
      <c r="E700" s="1033"/>
      <c r="F700" s="1033"/>
      <c r="G700" s="1033"/>
      <c r="H700" s="1033"/>
      <c r="I700" s="1033"/>
      <c r="J700" s="1033"/>
      <c r="K700" s="1033"/>
      <c r="L700" s="90"/>
      <c r="M700" s="51"/>
      <c r="N700" s="113">
        <f t="shared" si="64"/>
        <v>7385</v>
      </c>
      <c r="O700" s="575">
        <v>0</v>
      </c>
      <c r="P700" s="582">
        <v>0</v>
      </c>
      <c r="Q700" s="589"/>
      <c r="R700" s="576"/>
      <c r="S700" s="583">
        <f t="shared" si="65"/>
        <v>0</v>
      </c>
      <c r="T700" s="580">
        <f t="shared" si="66"/>
        <v>0</v>
      </c>
      <c r="U700" s="51"/>
      <c r="V700" s="2119"/>
      <c r="W700" s="43"/>
      <c r="X700" s="43"/>
      <c r="Y700" s="43"/>
      <c r="Z700" s="43"/>
    </row>
    <row r="701" spans="1:26" ht="15.75" customHeight="1">
      <c r="A701" s="88">
        <v>7386</v>
      </c>
      <c r="B701" s="1033" t="s">
        <v>739</v>
      </c>
      <c r="C701" s="1033"/>
      <c r="D701" s="1033"/>
      <c r="E701" s="1033"/>
      <c r="F701" s="1033"/>
      <c r="G701" s="1033"/>
      <c r="H701" s="1033"/>
      <c r="I701" s="1033"/>
      <c r="J701" s="1033"/>
      <c r="K701" s="1033"/>
      <c r="L701" s="90"/>
      <c r="M701" s="51"/>
      <c r="N701" s="113">
        <f t="shared" si="64"/>
        <v>7386</v>
      </c>
      <c r="O701" s="575">
        <v>0</v>
      </c>
      <c r="P701" s="582">
        <v>0</v>
      </c>
      <c r="Q701" s="589"/>
      <c r="R701" s="576"/>
      <c r="S701" s="583">
        <f t="shared" si="65"/>
        <v>0</v>
      </c>
      <c r="T701" s="580">
        <f t="shared" si="66"/>
        <v>0</v>
      </c>
      <c r="U701" s="51"/>
      <c r="V701" s="2119"/>
      <c r="W701" s="43"/>
      <c r="X701" s="43"/>
      <c r="Y701" s="43"/>
      <c r="Z701" s="43"/>
    </row>
    <row r="702" spans="1:26" ht="15.75" customHeight="1">
      <c r="A702" s="88">
        <v>7387</v>
      </c>
      <c r="B702" s="1033" t="s">
        <v>740</v>
      </c>
      <c r="C702" s="1033"/>
      <c r="D702" s="1033"/>
      <c r="E702" s="1033"/>
      <c r="F702" s="1033"/>
      <c r="G702" s="1033"/>
      <c r="H702" s="1033"/>
      <c r="I702" s="1033"/>
      <c r="J702" s="1033"/>
      <c r="K702" s="1033"/>
      <c r="L702" s="90"/>
      <c r="M702" s="51"/>
      <c r="N702" s="113">
        <f t="shared" si="64"/>
        <v>7387</v>
      </c>
      <c r="O702" s="575">
        <v>0</v>
      </c>
      <c r="P702" s="582">
        <v>0</v>
      </c>
      <c r="Q702" s="589"/>
      <c r="R702" s="576"/>
      <c r="S702" s="583">
        <f t="shared" si="65"/>
        <v>0</v>
      </c>
      <c r="T702" s="580">
        <f t="shared" si="66"/>
        <v>0</v>
      </c>
      <c r="U702" s="51"/>
      <c r="V702" s="2119"/>
      <c r="W702" s="43"/>
      <c r="X702" s="43"/>
      <c r="Y702" s="43"/>
      <c r="Z702" s="43"/>
    </row>
    <row r="703" spans="1:26" ht="15.75" customHeight="1">
      <c r="A703" s="88">
        <v>7388</v>
      </c>
      <c r="B703" s="1033" t="s">
        <v>741</v>
      </c>
      <c r="C703" s="1033"/>
      <c r="D703" s="1033"/>
      <c r="E703" s="1033"/>
      <c r="F703" s="1033"/>
      <c r="G703" s="1033"/>
      <c r="H703" s="1033"/>
      <c r="I703" s="1033"/>
      <c r="J703" s="1033"/>
      <c r="K703" s="1033"/>
      <c r="L703" s="90"/>
      <c r="M703" s="51"/>
      <c r="N703" s="113">
        <f t="shared" si="64"/>
        <v>7388</v>
      </c>
      <c r="O703" s="575">
        <v>0</v>
      </c>
      <c r="P703" s="582">
        <v>0</v>
      </c>
      <c r="Q703" s="589"/>
      <c r="R703" s="576"/>
      <c r="S703" s="583">
        <f t="shared" si="65"/>
        <v>0</v>
      </c>
      <c r="T703" s="580">
        <f t="shared" si="66"/>
        <v>0</v>
      </c>
      <c r="U703" s="51"/>
      <c r="V703" s="2119"/>
      <c r="W703" s="43"/>
      <c r="X703" s="43"/>
      <c r="Y703" s="43"/>
      <c r="Z703" s="43"/>
    </row>
    <row r="704" spans="1:26">
      <c r="A704" s="88">
        <v>7391</v>
      </c>
      <c r="B704" s="1035" t="s">
        <v>1176</v>
      </c>
      <c r="C704" s="1033"/>
      <c r="D704" s="1033"/>
      <c r="E704" s="1033"/>
      <c r="F704" s="1033"/>
      <c r="G704" s="1033"/>
      <c r="H704" s="1033"/>
      <c r="I704" s="1033"/>
      <c r="J704" s="1033"/>
      <c r="K704" s="1033"/>
      <c r="L704" s="90"/>
      <c r="M704" s="51"/>
      <c r="N704" s="113">
        <f t="shared" si="64"/>
        <v>7391</v>
      </c>
      <c r="O704" s="575">
        <v>0</v>
      </c>
      <c r="P704" s="582">
        <v>0</v>
      </c>
      <c r="Q704" s="589">
        <v>0</v>
      </c>
      <c r="R704" s="576">
        <v>0</v>
      </c>
      <c r="S704" s="583">
        <f t="shared" si="65"/>
        <v>0</v>
      </c>
      <c r="T704" s="580">
        <f t="shared" si="66"/>
        <v>0</v>
      </c>
      <c r="U704" s="51"/>
      <c r="V704" s="2119"/>
      <c r="W704" s="43"/>
      <c r="X704" s="43"/>
      <c r="Y704" s="43"/>
      <c r="Z704" s="43"/>
    </row>
    <row r="705" spans="1:26">
      <c r="A705" s="88">
        <v>7392</v>
      </c>
      <c r="B705" s="1035" t="s">
        <v>1177</v>
      </c>
      <c r="C705" s="1033"/>
      <c r="D705" s="1033"/>
      <c r="E705" s="1033"/>
      <c r="F705" s="1033"/>
      <c r="G705" s="1033"/>
      <c r="H705" s="1033"/>
      <c r="I705" s="1033"/>
      <c r="J705" s="1033"/>
      <c r="K705" s="1033"/>
      <c r="L705" s="90"/>
      <c r="M705" s="51"/>
      <c r="N705" s="113">
        <f t="shared" si="64"/>
        <v>7392</v>
      </c>
      <c r="O705" s="575">
        <v>0</v>
      </c>
      <c r="P705" s="582">
        <v>0</v>
      </c>
      <c r="Q705" s="589">
        <v>0</v>
      </c>
      <c r="R705" s="576">
        <v>0</v>
      </c>
      <c r="S705" s="583">
        <f t="shared" si="65"/>
        <v>0</v>
      </c>
      <c r="T705" s="580">
        <f t="shared" si="66"/>
        <v>0</v>
      </c>
      <c r="U705" s="51"/>
      <c r="V705" s="2119"/>
      <c r="W705" s="43"/>
      <c r="X705" s="43"/>
      <c r="Y705" s="43"/>
      <c r="Z705" s="43"/>
    </row>
    <row r="706" spans="1:26" ht="15.75" customHeight="1">
      <c r="A706" s="88">
        <v>7400</v>
      </c>
      <c r="B706" s="1033" t="s">
        <v>742</v>
      </c>
      <c r="C706" s="1033"/>
      <c r="D706" s="1033"/>
      <c r="E706" s="1033"/>
      <c r="F706" s="1033"/>
      <c r="G706" s="1033"/>
      <c r="H706" s="1033"/>
      <c r="I706" s="1033"/>
      <c r="J706" s="1033"/>
      <c r="K706" s="1033"/>
      <c r="L706" s="90"/>
      <c r="M706" s="51"/>
      <c r="N706" s="113">
        <f t="shared" si="64"/>
        <v>7400</v>
      </c>
      <c r="O706" s="575">
        <v>0</v>
      </c>
      <c r="P706" s="582">
        <v>0</v>
      </c>
      <c r="Q706" s="589"/>
      <c r="R706" s="576"/>
      <c r="S706" s="583">
        <f t="shared" si="65"/>
        <v>0</v>
      </c>
      <c r="T706" s="580">
        <f t="shared" si="66"/>
        <v>0</v>
      </c>
      <c r="U706" s="51"/>
      <c r="V706" s="2119"/>
      <c r="W706" s="43"/>
      <c r="X706" s="43"/>
      <c r="Y706" s="43"/>
      <c r="Z706" s="43"/>
    </row>
    <row r="707" spans="1:26" ht="15.75" customHeight="1">
      <c r="A707" s="88">
        <v>7401</v>
      </c>
      <c r="B707" s="1033" t="s">
        <v>743</v>
      </c>
      <c r="C707" s="1033"/>
      <c r="D707" s="1033"/>
      <c r="E707" s="1033"/>
      <c r="F707" s="1033"/>
      <c r="G707" s="1033"/>
      <c r="H707" s="1033"/>
      <c r="I707" s="1033"/>
      <c r="J707" s="1033"/>
      <c r="K707" s="1033"/>
      <c r="L707" s="90"/>
      <c r="M707" s="51"/>
      <c r="N707" s="113">
        <f t="shared" si="64"/>
        <v>7401</v>
      </c>
      <c r="O707" s="575">
        <v>0</v>
      </c>
      <c r="P707" s="582">
        <v>0</v>
      </c>
      <c r="Q707" s="589"/>
      <c r="R707" s="576"/>
      <c r="S707" s="583">
        <f t="shared" si="65"/>
        <v>0</v>
      </c>
      <c r="T707" s="580">
        <f t="shared" si="66"/>
        <v>0</v>
      </c>
      <c r="U707" s="51"/>
      <c r="V707" s="2119"/>
      <c r="W707" s="43"/>
      <c r="X707" s="43"/>
      <c r="Y707" s="43"/>
      <c r="Z707" s="43"/>
    </row>
    <row r="708" spans="1:26" ht="15.75" customHeight="1">
      <c r="A708" s="88">
        <v>7402</v>
      </c>
      <c r="B708" s="1033" t="s">
        <v>744</v>
      </c>
      <c r="C708" s="1033"/>
      <c r="D708" s="1033"/>
      <c r="E708" s="1033"/>
      <c r="F708" s="1033"/>
      <c r="G708" s="1033"/>
      <c r="H708" s="1033"/>
      <c r="I708" s="1033"/>
      <c r="J708" s="1033"/>
      <c r="K708" s="1033"/>
      <c r="L708" s="90"/>
      <c r="M708" s="51"/>
      <c r="N708" s="113">
        <f t="shared" si="64"/>
        <v>7402</v>
      </c>
      <c r="O708" s="575">
        <v>0</v>
      </c>
      <c r="P708" s="582">
        <v>0</v>
      </c>
      <c r="Q708" s="589"/>
      <c r="R708" s="576"/>
      <c r="S708" s="583">
        <f t="shared" si="65"/>
        <v>0</v>
      </c>
      <c r="T708" s="580">
        <f t="shared" si="66"/>
        <v>0</v>
      </c>
      <c r="U708" s="51"/>
      <c r="V708" s="2119"/>
      <c r="W708" s="43"/>
      <c r="X708" s="43"/>
      <c r="Y708" s="43"/>
      <c r="Z708" s="43"/>
    </row>
    <row r="709" spans="1:26" ht="15.75" customHeight="1">
      <c r="A709" s="88">
        <v>7403</v>
      </c>
      <c r="B709" s="1033" t="s">
        <v>745</v>
      </c>
      <c r="C709" s="1033"/>
      <c r="D709" s="1033"/>
      <c r="E709" s="1033"/>
      <c r="F709" s="1033"/>
      <c r="G709" s="1033"/>
      <c r="H709" s="1033"/>
      <c r="I709" s="1033"/>
      <c r="J709" s="1033"/>
      <c r="K709" s="1033"/>
      <c r="L709" s="90"/>
      <c r="M709" s="51"/>
      <c r="N709" s="113">
        <f t="shared" si="64"/>
        <v>7403</v>
      </c>
      <c r="O709" s="575">
        <v>0</v>
      </c>
      <c r="P709" s="582">
        <v>0</v>
      </c>
      <c r="Q709" s="589"/>
      <c r="R709" s="576"/>
      <c r="S709" s="583">
        <f t="shared" si="65"/>
        <v>0</v>
      </c>
      <c r="T709" s="580">
        <f t="shared" si="66"/>
        <v>0</v>
      </c>
      <c r="U709" s="51"/>
      <c r="V709" s="2119"/>
      <c r="W709" s="43"/>
      <c r="X709" s="43"/>
      <c r="Y709" s="43"/>
      <c r="Z709" s="43"/>
    </row>
    <row r="710" spans="1:26" ht="15.75" customHeight="1">
      <c r="A710" s="88">
        <v>7404</v>
      </c>
      <c r="B710" s="1033" t="s">
        <v>746</v>
      </c>
      <c r="C710" s="1033"/>
      <c r="D710" s="1033"/>
      <c r="E710" s="1033"/>
      <c r="F710" s="1033"/>
      <c r="G710" s="1033"/>
      <c r="H710" s="1033"/>
      <c r="I710" s="1033"/>
      <c r="J710" s="1033"/>
      <c r="K710" s="1033"/>
      <c r="L710" s="90"/>
      <c r="M710" s="51"/>
      <c r="N710" s="113">
        <f t="shared" si="64"/>
        <v>7404</v>
      </c>
      <c r="O710" s="575">
        <v>0</v>
      </c>
      <c r="P710" s="582">
        <v>0</v>
      </c>
      <c r="Q710" s="589"/>
      <c r="R710" s="576"/>
      <c r="S710" s="583">
        <f t="shared" si="65"/>
        <v>0</v>
      </c>
      <c r="T710" s="580">
        <f t="shared" si="66"/>
        <v>0</v>
      </c>
      <c r="U710" s="51"/>
      <c r="V710" s="2119"/>
      <c r="W710" s="43"/>
      <c r="X710" s="43"/>
      <c r="Y710" s="43"/>
      <c r="Z710" s="43"/>
    </row>
    <row r="711" spans="1:26" ht="15.75" customHeight="1">
      <c r="A711" s="88">
        <v>7405</v>
      </c>
      <c r="B711" s="1033" t="s">
        <v>747</v>
      </c>
      <c r="C711" s="1033"/>
      <c r="D711" s="1033"/>
      <c r="E711" s="1033"/>
      <c r="F711" s="1033"/>
      <c r="G711" s="1033"/>
      <c r="H711" s="1033"/>
      <c r="I711" s="1033"/>
      <c r="J711" s="1033"/>
      <c r="K711" s="1033"/>
      <c r="L711" s="90"/>
      <c r="M711" s="51"/>
      <c r="N711" s="113">
        <f t="shared" si="64"/>
        <v>7405</v>
      </c>
      <c r="O711" s="575">
        <v>0</v>
      </c>
      <c r="P711" s="582">
        <v>0</v>
      </c>
      <c r="Q711" s="589"/>
      <c r="R711" s="576"/>
      <c r="S711" s="583">
        <f t="shared" si="65"/>
        <v>0</v>
      </c>
      <c r="T711" s="580">
        <f t="shared" si="66"/>
        <v>0</v>
      </c>
      <c r="U711" s="51"/>
      <c r="V711" s="2119"/>
      <c r="W711" s="43"/>
      <c r="X711" s="43"/>
      <c r="Y711" s="43"/>
      <c r="Z711" s="43"/>
    </row>
    <row r="712" spans="1:26" ht="15.75" customHeight="1">
      <c r="A712" s="88">
        <v>7406</v>
      </c>
      <c r="B712" s="1033" t="s">
        <v>748</v>
      </c>
      <c r="C712" s="1033"/>
      <c r="D712" s="1033"/>
      <c r="E712" s="1033"/>
      <c r="F712" s="1033"/>
      <c r="G712" s="1033"/>
      <c r="H712" s="1033"/>
      <c r="I712" s="1033"/>
      <c r="J712" s="1033"/>
      <c r="K712" s="1033"/>
      <c r="L712" s="90"/>
      <c r="M712" s="51"/>
      <c r="N712" s="113">
        <f t="shared" si="64"/>
        <v>7406</v>
      </c>
      <c r="O712" s="575">
        <v>0</v>
      </c>
      <c r="P712" s="582">
        <v>0</v>
      </c>
      <c r="Q712" s="589"/>
      <c r="R712" s="576"/>
      <c r="S712" s="583">
        <f t="shared" si="65"/>
        <v>0</v>
      </c>
      <c r="T712" s="580">
        <f t="shared" si="66"/>
        <v>0</v>
      </c>
      <c r="U712" s="51"/>
      <c r="V712" s="2119"/>
      <c r="W712" s="43"/>
      <c r="X712" s="43"/>
      <c r="Y712" s="43"/>
      <c r="Z712" s="43"/>
    </row>
    <row r="713" spans="1:26" ht="15.75" customHeight="1">
      <c r="A713" s="88">
        <v>7407</v>
      </c>
      <c r="B713" s="1033" t="s">
        <v>749</v>
      </c>
      <c r="C713" s="1033"/>
      <c r="D713" s="1033"/>
      <c r="E713" s="1033"/>
      <c r="F713" s="1033"/>
      <c r="G713" s="1033"/>
      <c r="H713" s="1033"/>
      <c r="I713" s="1033"/>
      <c r="J713" s="1033"/>
      <c r="K713" s="1033"/>
      <c r="L713" s="90"/>
      <c r="M713" s="51"/>
      <c r="N713" s="113">
        <f t="shared" si="64"/>
        <v>7407</v>
      </c>
      <c r="O713" s="575">
        <v>0</v>
      </c>
      <c r="P713" s="582">
        <v>0</v>
      </c>
      <c r="Q713" s="589"/>
      <c r="R713" s="576"/>
      <c r="S713" s="583">
        <f t="shared" si="65"/>
        <v>0</v>
      </c>
      <c r="T713" s="580">
        <f t="shared" si="66"/>
        <v>0</v>
      </c>
      <c r="U713" s="51"/>
      <c r="V713" s="2119"/>
      <c r="W713" s="43"/>
      <c r="X713" s="43"/>
      <c r="Y713" s="43"/>
      <c r="Z713" s="43"/>
    </row>
    <row r="714" spans="1:26" ht="15.75" customHeight="1">
      <c r="A714" s="88">
        <v>7408</v>
      </c>
      <c r="B714" s="1033" t="s">
        <v>750</v>
      </c>
      <c r="C714" s="1033"/>
      <c r="D714" s="1033"/>
      <c r="E714" s="1033"/>
      <c r="F714" s="1033"/>
      <c r="G714" s="1033"/>
      <c r="H714" s="1033"/>
      <c r="I714" s="1033"/>
      <c r="J714" s="1033"/>
      <c r="K714" s="1033"/>
      <c r="L714" s="90"/>
      <c r="M714" s="51"/>
      <c r="N714" s="113">
        <f t="shared" si="64"/>
        <v>7408</v>
      </c>
      <c r="O714" s="575">
        <v>0</v>
      </c>
      <c r="P714" s="582">
        <v>0</v>
      </c>
      <c r="Q714" s="589"/>
      <c r="R714" s="576"/>
      <c r="S714" s="583">
        <f t="shared" si="65"/>
        <v>0</v>
      </c>
      <c r="T714" s="580">
        <f t="shared" si="66"/>
        <v>0</v>
      </c>
      <c r="U714" s="51"/>
      <c r="V714" s="2119"/>
      <c r="W714" s="43"/>
      <c r="X714" s="43"/>
      <c r="Y714" s="43"/>
      <c r="Z714" s="43"/>
    </row>
    <row r="715" spans="1:26" ht="15.75" customHeight="1">
      <c r="A715" s="88">
        <v>7409</v>
      </c>
      <c r="B715" s="1033" t="s">
        <v>751</v>
      </c>
      <c r="C715" s="1033"/>
      <c r="D715" s="1033"/>
      <c r="E715" s="1033"/>
      <c r="F715" s="1033"/>
      <c r="G715" s="1033"/>
      <c r="H715" s="1033"/>
      <c r="I715" s="1033"/>
      <c r="J715" s="1033"/>
      <c r="K715" s="1033"/>
      <c r="L715" s="90"/>
      <c r="M715" s="51"/>
      <c r="N715" s="113">
        <f t="shared" si="64"/>
        <v>7409</v>
      </c>
      <c r="O715" s="575">
        <v>0</v>
      </c>
      <c r="P715" s="582">
        <v>0</v>
      </c>
      <c r="Q715" s="589"/>
      <c r="R715" s="576"/>
      <c r="S715" s="583">
        <f t="shared" si="65"/>
        <v>0</v>
      </c>
      <c r="T715" s="580">
        <f t="shared" si="66"/>
        <v>0</v>
      </c>
      <c r="U715" s="51"/>
      <c r="V715" s="2119"/>
      <c r="W715" s="43"/>
      <c r="X715" s="43"/>
      <c r="Y715" s="43"/>
      <c r="Z715" s="43"/>
    </row>
    <row r="716" spans="1:26">
      <c r="A716" s="88">
        <v>7411</v>
      </c>
      <c r="B716" s="1032" t="s">
        <v>752</v>
      </c>
      <c r="C716" s="1033"/>
      <c r="D716" s="1033"/>
      <c r="E716" s="1033"/>
      <c r="F716" s="1033"/>
      <c r="G716" s="1033"/>
      <c r="H716" s="1033"/>
      <c r="I716" s="1033"/>
      <c r="J716" s="1033"/>
      <c r="K716" s="1033"/>
      <c r="L716" s="90"/>
      <c r="M716" s="51"/>
      <c r="N716" s="113">
        <f t="shared" si="64"/>
        <v>7411</v>
      </c>
      <c r="O716" s="575">
        <v>0</v>
      </c>
      <c r="P716" s="582">
        <v>0</v>
      </c>
      <c r="Q716" s="589">
        <v>0</v>
      </c>
      <c r="R716" s="576">
        <v>0</v>
      </c>
      <c r="S716" s="583">
        <f t="shared" si="65"/>
        <v>0</v>
      </c>
      <c r="T716" s="580">
        <f t="shared" si="66"/>
        <v>0</v>
      </c>
      <c r="U716" s="51"/>
      <c r="V716" s="2119"/>
      <c r="W716" s="43"/>
      <c r="X716" s="43"/>
      <c r="Y716" s="43"/>
      <c r="Z716" s="43"/>
    </row>
    <row r="717" spans="1:26">
      <c r="A717" s="88">
        <v>7412</v>
      </c>
      <c r="B717" s="1032" t="s">
        <v>753</v>
      </c>
      <c r="C717" s="1033"/>
      <c r="D717" s="1033"/>
      <c r="E717" s="1033"/>
      <c r="F717" s="1033"/>
      <c r="G717" s="1033"/>
      <c r="H717" s="1033"/>
      <c r="I717" s="1033"/>
      <c r="J717" s="1033"/>
      <c r="K717" s="1033"/>
      <c r="L717" s="90"/>
      <c r="M717" s="51"/>
      <c r="N717" s="113">
        <f t="shared" si="64"/>
        <v>7412</v>
      </c>
      <c r="O717" s="575">
        <v>0</v>
      </c>
      <c r="P717" s="582">
        <v>0</v>
      </c>
      <c r="Q717" s="589">
        <v>0</v>
      </c>
      <c r="R717" s="576">
        <v>0</v>
      </c>
      <c r="S717" s="583">
        <f t="shared" si="65"/>
        <v>0</v>
      </c>
      <c r="T717" s="580">
        <f t="shared" si="66"/>
        <v>0</v>
      </c>
      <c r="U717" s="51"/>
      <c r="V717" s="2119"/>
      <c r="W717" s="43"/>
      <c r="X717" s="43"/>
      <c r="Y717" s="43"/>
      <c r="Z717" s="43"/>
    </row>
    <row r="718" spans="1:26">
      <c r="A718" s="88">
        <v>7413</v>
      </c>
      <c r="B718" s="1032" t="s">
        <v>754</v>
      </c>
      <c r="C718" s="1033"/>
      <c r="D718" s="1033"/>
      <c r="E718" s="1033"/>
      <c r="F718" s="1033"/>
      <c r="G718" s="1033"/>
      <c r="H718" s="1033"/>
      <c r="I718" s="1033"/>
      <c r="J718" s="1033"/>
      <c r="K718" s="1033"/>
      <c r="L718" s="90"/>
      <c r="M718" s="51"/>
      <c r="N718" s="113">
        <f t="shared" si="64"/>
        <v>7413</v>
      </c>
      <c r="O718" s="575">
        <v>0</v>
      </c>
      <c r="P718" s="582">
        <v>0</v>
      </c>
      <c r="Q718" s="589">
        <v>0</v>
      </c>
      <c r="R718" s="576">
        <v>0</v>
      </c>
      <c r="S718" s="583">
        <f t="shared" si="65"/>
        <v>0</v>
      </c>
      <c r="T718" s="580">
        <f t="shared" si="66"/>
        <v>0</v>
      </c>
      <c r="U718" s="51"/>
      <c r="V718" s="2119"/>
      <c r="W718" s="43"/>
      <c r="X718" s="43"/>
      <c r="Y718" s="43"/>
      <c r="Z718" s="43"/>
    </row>
    <row r="719" spans="1:26">
      <c r="A719" s="88">
        <v>7414</v>
      </c>
      <c r="B719" s="1032" t="s">
        <v>755</v>
      </c>
      <c r="C719" s="1033"/>
      <c r="D719" s="1033"/>
      <c r="E719" s="1033"/>
      <c r="F719" s="1033"/>
      <c r="G719" s="1033"/>
      <c r="H719" s="1033"/>
      <c r="I719" s="1033"/>
      <c r="J719" s="1033"/>
      <c r="K719" s="1033"/>
      <c r="L719" s="90"/>
      <c r="M719" s="51"/>
      <c r="N719" s="113">
        <f t="shared" si="64"/>
        <v>7414</v>
      </c>
      <c r="O719" s="575">
        <v>0</v>
      </c>
      <c r="P719" s="582">
        <v>0</v>
      </c>
      <c r="Q719" s="589">
        <v>0</v>
      </c>
      <c r="R719" s="576">
        <v>0</v>
      </c>
      <c r="S719" s="583">
        <f t="shared" si="65"/>
        <v>0</v>
      </c>
      <c r="T719" s="580">
        <f t="shared" si="66"/>
        <v>0</v>
      </c>
      <c r="U719" s="51"/>
      <c r="V719" s="2119"/>
      <c r="W719" s="43"/>
      <c r="X719" s="43"/>
      <c r="Y719" s="43"/>
      <c r="Z719" s="43"/>
    </row>
    <row r="720" spans="1:26" ht="15.75" customHeight="1">
      <c r="A720" s="88">
        <v>7419</v>
      </c>
      <c r="B720" s="1032" t="s">
        <v>756</v>
      </c>
      <c r="C720" s="1033"/>
      <c r="D720" s="1033"/>
      <c r="E720" s="1033"/>
      <c r="F720" s="1033"/>
      <c r="G720" s="1033"/>
      <c r="H720" s="1033"/>
      <c r="I720" s="1033"/>
      <c r="J720" s="1033"/>
      <c r="K720" s="1033"/>
      <c r="L720" s="90"/>
      <c r="M720" s="51"/>
      <c r="N720" s="113">
        <f t="shared" si="64"/>
        <v>7419</v>
      </c>
      <c r="O720" s="575">
        <v>0</v>
      </c>
      <c r="P720" s="582">
        <v>0</v>
      </c>
      <c r="Q720" s="589"/>
      <c r="R720" s="576"/>
      <c r="S720" s="583">
        <f t="shared" si="65"/>
        <v>0</v>
      </c>
      <c r="T720" s="580">
        <f t="shared" si="66"/>
        <v>0</v>
      </c>
      <c r="U720" s="51"/>
      <c r="V720" s="2119"/>
      <c r="W720" s="43"/>
      <c r="X720" s="43"/>
      <c r="Y720" s="43"/>
      <c r="Z720" s="43"/>
    </row>
    <row r="721" spans="1:26" ht="15.75" customHeight="1">
      <c r="A721" s="88">
        <v>7450</v>
      </c>
      <c r="B721" s="2181" t="s">
        <v>2088</v>
      </c>
      <c r="C721" s="1033"/>
      <c r="D721" s="1033"/>
      <c r="E721" s="1033"/>
      <c r="F721" s="1033"/>
      <c r="G721" s="1033"/>
      <c r="H721" s="1033"/>
      <c r="I721" s="1033"/>
      <c r="J721" s="1033"/>
      <c r="K721" s="1033"/>
      <c r="L721" s="90"/>
      <c r="M721" s="51"/>
      <c r="N721" s="113">
        <f t="shared" si="64"/>
        <v>7450</v>
      </c>
      <c r="O721" s="575">
        <v>0</v>
      </c>
      <c r="P721" s="582">
        <v>0</v>
      </c>
      <c r="Q721" s="589"/>
      <c r="R721" s="576"/>
      <c r="S721" s="583">
        <f t="shared" si="65"/>
        <v>0</v>
      </c>
      <c r="T721" s="580">
        <f t="shared" si="66"/>
        <v>0</v>
      </c>
      <c r="U721" s="51"/>
      <c r="V721" s="2119"/>
      <c r="W721" s="43"/>
      <c r="X721" s="43"/>
      <c r="Y721" s="43"/>
      <c r="Z721" s="43"/>
    </row>
    <row r="722" spans="1:26">
      <c r="A722" s="88">
        <v>7471</v>
      </c>
      <c r="B722" s="1033" t="s">
        <v>757</v>
      </c>
      <c r="C722" s="1033"/>
      <c r="D722" s="1033"/>
      <c r="E722" s="1033"/>
      <c r="F722" s="1033"/>
      <c r="G722" s="1033"/>
      <c r="H722" s="1033"/>
      <c r="I722" s="1033"/>
      <c r="J722" s="1033"/>
      <c r="K722" s="1033"/>
      <c r="L722" s="90"/>
      <c r="M722" s="51"/>
      <c r="N722" s="113">
        <f t="shared" si="64"/>
        <v>7471</v>
      </c>
      <c r="O722" s="575">
        <v>0</v>
      </c>
      <c r="P722" s="582">
        <v>0</v>
      </c>
      <c r="Q722" s="589"/>
      <c r="R722" s="576"/>
      <c r="S722" s="583">
        <f t="shared" si="65"/>
        <v>0</v>
      </c>
      <c r="T722" s="580">
        <f t="shared" si="66"/>
        <v>0</v>
      </c>
      <c r="U722" s="51"/>
      <c r="V722" s="2119"/>
      <c r="W722" s="43"/>
      <c r="X722" s="43"/>
      <c r="Y722" s="43"/>
      <c r="Z722" s="43"/>
    </row>
    <row r="723" spans="1:26">
      <c r="A723" s="88">
        <v>7472</v>
      </c>
      <c r="B723" s="1033" t="s">
        <v>758</v>
      </c>
      <c r="C723" s="1033"/>
      <c r="D723" s="1033"/>
      <c r="E723" s="1033"/>
      <c r="F723" s="1033"/>
      <c r="G723" s="1033"/>
      <c r="H723" s="1033"/>
      <c r="I723" s="1033"/>
      <c r="J723" s="1033"/>
      <c r="K723" s="1033"/>
      <c r="L723" s="90"/>
      <c r="M723" s="51"/>
      <c r="N723" s="113">
        <f t="shared" si="64"/>
        <v>7472</v>
      </c>
      <c r="O723" s="575">
        <v>0</v>
      </c>
      <c r="P723" s="582">
        <v>0</v>
      </c>
      <c r="Q723" s="589"/>
      <c r="R723" s="576"/>
      <c r="S723" s="583">
        <f t="shared" si="65"/>
        <v>0</v>
      </c>
      <c r="T723" s="580">
        <f t="shared" si="66"/>
        <v>0</v>
      </c>
      <c r="U723" s="51"/>
      <c r="V723" s="2119"/>
      <c r="W723" s="43"/>
      <c r="X723" s="43"/>
      <c r="Y723" s="43"/>
      <c r="Z723" s="43"/>
    </row>
    <row r="724" spans="1:26">
      <c r="A724" s="88">
        <v>7473</v>
      </c>
      <c r="B724" s="1033" t="s">
        <v>759</v>
      </c>
      <c r="C724" s="1033"/>
      <c r="D724" s="1033"/>
      <c r="E724" s="1033"/>
      <c r="F724" s="1033"/>
      <c r="G724" s="1033"/>
      <c r="H724" s="1033"/>
      <c r="I724" s="1033"/>
      <c r="J724" s="1033"/>
      <c r="K724" s="1033"/>
      <c r="L724" s="90"/>
      <c r="M724" s="51"/>
      <c r="N724" s="113">
        <f t="shared" si="64"/>
        <v>7473</v>
      </c>
      <c r="O724" s="575">
        <v>0</v>
      </c>
      <c r="P724" s="582">
        <v>0</v>
      </c>
      <c r="Q724" s="589"/>
      <c r="R724" s="576"/>
      <c r="S724" s="583">
        <f t="shared" si="65"/>
        <v>0</v>
      </c>
      <c r="T724" s="580">
        <f t="shared" si="66"/>
        <v>0</v>
      </c>
      <c r="U724" s="51"/>
      <c r="V724" s="2119"/>
      <c r="W724" s="43"/>
      <c r="X724" s="43"/>
      <c r="Y724" s="43"/>
      <c r="Z724" s="43"/>
    </row>
    <row r="725" spans="1:26">
      <c r="A725" s="88">
        <v>7474</v>
      </c>
      <c r="B725" s="1033" t="s">
        <v>760</v>
      </c>
      <c r="C725" s="1033"/>
      <c r="D725" s="1033"/>
      <c r="E725" s="1033"/>
      <c r="F725" s="1033"/>
      <c r="G725" s="1033"/>
      <c r="H725" s="1033"/>
      <c r="I725" s="1033"/>
      <c r="J725" s="1033"/>
      <c r="K725" s="1033"/>
      <c r="L725" s="90"/>
      <c r="M725" s="51"/>
      <c r="N725" s="113">
        <f t="shared" si="64"/>
        <v>7474</v>
      </c>
      <c r="O725" s="575">
        <v>0</v>
      </c>
      <c r="P725" s="582">
        <v>0</v>
      </c>
      <c r="Q725" s="589"/>
      <c r="R725" s="576"/>
      <c r="S725" s="583">
        <f t="shared" si="65"/>
        <v>0</v>
      </c>
      <c r="T725" s="580">
        <f t="shared" si="66"/>
        <v>0</v>
      </c>
      <c r="U725" s="51"/>
      <c r="V725" s="2119"/>
      <c r="W725" s="43"/>
      <c r="X725" s="43"/>
      <c r="Y725" s="43"/>
      <c r="Z725" s="43"/>
    </row>
    <row r="726" spans="1:26">
      <c r="A726" s="88">
        <v>7481</v>
      </c>
      <c r="B726" s="1033" t="s">
        <v>761</v>
      </c>
      <c r="C726" s="1033"/>
      <c r="D726" s="1033"/>
      <c r="E726" s="1033"/>
      <c r="F726" s="1033"/>
      <c r="G726" s="1033"/>
      <c r="H726" s="1033"/>
      <c r="I726" s="1033"/>
      <c r="J726" s="1033"/>
      <c r="K726" s="1033"/>
      <c r="L726" s="90"/>
      <c r="M726" s="51"/>
      <c r="N726" s="113">
        <f t="shared" si="64"/>
        <v>7481</v>
      </c>
      <c r="O726" s="575">
        <v>0</v>
      </c>
      <c r="P726" s="582">
        <v>0</v>
      </c>
      <c r="Q726" s="589"/>
      <c r="R726" s="576"/>
      <c r="S726" s="583">
        <f t="shared" si="65"/>
        <v>0</v>
      </c>
      <c r="T726" s="580">
        <f t="shared" si="66"/>
        <v>0</v>
      </c>
      <c r="U726" s="51"/>
      <c r="V726" s="2119"/>
      <c r="W726" s="43"/>
      <c r="X726" s="43"/>
      <c r="Y726" s="43"/>
      <c r="Z726" s="43"/>
    </row>
    <row r="727" spans="1:26">
      <c r="A727" s="88">
        <v>7482</v>
      </c>
      <c r="B727" s="1033" t="s">
        <v>762</v>
      </c>
      <c r="C727" s="1033"/>
      <c r="D727" s="1033"/>
      <c r="E727" s="1033"/>
      <c r="F727" s="1033"/>
      <c r="G727" s="1033"/>
      <c r="H727" s="1033"/>
      <c r="I727" s="1033"/>
      <c r="J727" s="1033"/>
      <c r="K727" s="1033"/>
      <c r="L727" s="90"/>
      <c r="M727" s="51"/>
      <c r="N727" s="113">
        <f t="shared" si="64"/>
        <v>7482</v>
      </c>
      <c r="O727" s="575">
        <v>0</v>
      </c>
      <c r="P727" s="582">
        <v>0</v>
      </c>
      <c r="Q727" s="589"/>
      <c r="R727" s="576"/>
      <c r="S727" s="583">
        <f t="shared" si="65"/>
        <v>0</v>
      </c>
      <c r="T727" s="580">
        <f t="shared" si="66"/>
        <v>0</v>
      </c>
      <c r="U727" s="51"/>
      <c r="V727" s="2119"/>
      <c r="W727" s="43"/>
      <c r="X727" s="43"/>
      <c r="Y727" s="43"/>
      <c r="Z727" s="43"/>
    </row>
    <row r="728" spans="1:26">
      <c r="A728" s="88">
        <v>7483</v>
      </c>
      <c r="B728" s="1033" t="s">
        <v>763</v>
      </c>
      <c r="C728" s="1033"/>
      <c r="D728" s="1033"/>
      <c r="E728" s="1033"/>
      <c r="F728" s="1033"/>
      <c r="G728" s="1033"/>
      <c r="H728" s="1033"/>
      <c r="I728" s="1033"/>
      <c r="J728" s="1033"/>
      <c r="K728" s="1033"/>
      <c r="L728" s="90"/>
      <c r="M728" s="51"/>
      <c r="N728" s="113">
        <f t="shared" si="64"/>
        <v>7483</v>
      </c>
      <c r="O728" s="575">
        <v>0</v>
      </c>
      <c r="P728" s="582">
        <v>0</v>
      </c>
      <c r="Q728" s="589"/>
      <c r="R728" s="576"/>
      <c r="S728" s="583">
        <f t="shared" si="65"/>
        <v>0</v>
      </c>
      <c r="T728" s="580">
        <f t="shared" si="66"/>
        <v>0</v>
      </c>
      <c r="U728" s="51"/>
      <c r="V728" s="2119"/>
      <c r="W728" s="43"/>
      <c r="X728" s="43"/>
      <c r="Y728" s="43"/>
      <c r="Z728" s="43"/>
    </row>
    <row r="729" spans="1:26">
      <c r="A729" s="88">
        <v>7484</v>
      </c>
      <c r="B729" s="1033" t="s">
        <v>764</v>
      </c>
      <c r="C729" s="1033"/>
      <c r="D729" s="1033"/>
      <c r="E729" s="1033"/>
      <c r="F729" s="1033"/>
      <c r="G729" s="1033"/>
      <c r="H729" s="1033"/>
      <c r="I729" s="1033"/>
      <c r="J729" s="1033"/>
      <c r="K729" s="1033"/>
      <c r="L729" s="90"/>
      <c r="M729" s="51"/>
      <c r="N729" s="113">
        <f t="shared" si="64"/>
        <v>7484</v>
      </c>
      <c r="O729" s="575">
        <v>0</v>
      </c>
      <c r="P729" s="582">
        <v>0</v>
      </c>
      <c r="Q729" s="589"/>
      <c r="R729" s="576"/>
      <c r="S729" s="583">
        <f t="shared" si="65"/>
        <v>0</v>
      </c>
      <c r="T729" s="580">
        <f t="shared" si="66"/>
        <v>0</v>
      </c>
      <c r="U729" s="51"/>
      <c r="V729" s="2119"/>
      <c r="W729" s="43"/>
      <c r="X729" s="43"/>
      <c r="Y729" s="43"/>
      <c r="Z729" s="43"/>
    </row>
    <row r="730" spans="1:26" ht="15.75" customHeight="1">
      <c r="A730" s="88">
        <v>7485</v>
      </c>
      <c r="B730" s="1032" t="s">
        <v>765</v>
      </c>
      <c r="C730" s="1033"/>
      <c r="D730" s="1033"/>
      <c r="E730" s="1033"/>
      <c r="F730" s="1033"/>
      <c r="G730" s="1033"/>
      <c r="H730" s="1033"/>
      <c r="I730" s="1033"/>
      <c r="J730" s="1033"/>
      <c r="K730" s="1033"/>
      <c r="L730" s="90"/>
      <c r="M730" s="51"/>
      <c r="N730" s="113">
        <f t="shared" ref="N730:N793" si="67">+A730</f>
        <v>7485</v>
      </c>
      <c r="O730" s="575">
        <v>0</v>
      </c>
      <c r="P730" s="582">
        <v>0</v>
      </c>
      <c r="Q730" s="589"/>
      <c r="R730" s="576"/>
      <c r="S730" s="583">
        <f t="shared" ref="S730:S764" si="68">+IF(ABS(+O730+Q730)&gt;=ABS(P730+R730),+O730-P730+Q730-R730,0)</f>
        <v>0</v>
      </c>
      <c r="T730" s="580">
        <f t="shared" si="66"/>
        <v>0</v>
      </c>
      <c r="U730" s="51"/>
      <c r="V730" s="2119"/>
      <c r="W730" s="43"/>
      <c r="X730" s="43"/>
      <c r="Y730" s="43"/>
      <c r="Z730" s="43"/>
    </row>
    <row r="731" spans="1:26" ht="15.75" customHeight="1">
      <c r="A731" s="88">
        <v>7486</v>
      </c>
      <c r="B731" s="1032" t="s">
        <v>766</v>
      </c>
      <c r="C731" s="1033"/>
      <c r="D731" s="1033"/>
      <c r="E731" s="1033"/>
      <c r="F731" s="1033"/>
      <c r="G731" s="1033"/>
      <c r="H731" s="1033"/>
      <c r="I731" s="1033"/>
      <c r="J731" s="1033"/>
      <c r="K731" s="1033"/>
      <c r="L731" s="90"/>
      <c r="M731" s="51"/>
      <c r="N731" s="113">
        <f t="shared" si="67"/>
        <v>7486</v>
      </c>
      <c r="O731" s="575">
        <v>0</v>
      </c>
      <c r="P731" s="582">
        <v>0</v>
      </c>
      <c r="Q731" s="589"/>
      <c r="R731" s="576"/>
      <c r="S731" s="583">
        <f t="shared" si="68"/>
        <v>0</v>
      </c>
      <c r="T731" s="580">
        <f t="shared" si="66"/>
        <v>0</v>
      </c>
      <c r="U731" s="51"/>
      <c r="V731" s="2119"/>
      <c r="W731" s="43"/>
      <c r="X731" s="43"/>
      <c r="Y731" s="43"/>
      <c r="Z731" s="43"/>
    </row>
    <row r="732" spans="1:26" ht="15.75" customHeight="1">
      <c r="A732" s="88">
        <v>7487</v>
      </c>
      <c r="B732" s="1032" t="s">
        <v>767</v>
      </c>
      <c r="C732" s="1033"/>
      <c r="D732" s="1033"/>
      <c r="E732" s="1033"/>
      <c r="F732" s="1033"/>
      <c r="G732" s="1033"/>
      <c r="H732" s="1033"/>
      <c r="I732" s="1033"/>
      <c r="J732" s="1033"/>
      <c r="K732" s="1033"/>
      <c r="L732" s="90"/>
      <c r="M732" s="51"/>
      <c r="N732" s="113">
        <f t="shared" si="67"/>
        <v>7487</v>
      </c>
      <c r="O732" s="575">
        <v>0</v>
      </c>
      <c r="P732" s="582">
        <v>0</v>
      </c>
      <c r="Q732" s="589"/>
      <c r="R732" s="576"/>
      <c r="S732" s="583">
        <f t="shared" si="68"/>
        <v>0</v>
      </c>
      <c r="T732" s="580">
        <f t="shared" si="66"/>
        <v>0</v>
      </c>
      <c r="U732" s="51"/>
      <c r="V732" s="2119"/>
      <c r="W732" s="43"/>
      <c r="X732" s="43"/>
      <c r="Y732" s="43"/>
      <c r="Z732" s="43"/>
    </row>
    <row r="733" spans="1:26" ht="15.75" customHeight="1">
      <c r="A733" s="88">
        <v>7488</v>
      </c>
      <c r="B733" s="1032" t="s">
        <v>768</v>
      </c>
      <c r="C733" s="1033"/>
      <c r="D733" s="1033"/>
      <c r="E733" s="1033"/>
      <c r="F733" s="1033"/>
      <c r="G733" s="1033"/>
      <c r="H733" s="1033"/>
      <c r="I733" s="1033"/>
      <c r="J733" s="1033"/>
      <c r="K733" s="1033"/>
      <c r="L733" s="90"/>
      <c r="M733" s="51"/>
      <c r="N733" s="113">
        <f t="shared" si="67"/>
        <v>7488</v>
      </c>
      <c r="O733" s="575">
        <v>0</v>
      </c>
      <c r="P733" s="582">
        <v>0</v>
      </c>
      <c r="Q733" s="589"/>
      <c r="R733" s="576"/>
      <c r="S733" s="583">
        <f t="shared" si="68"/>
        <v>0</v>
      </c>
      <c r="T733" s="580">
        <f t="shared" si="66"/>
        <v>0</v>
      </c>
      <c r="U733" s="51"/>
      <c r="V733" s="2119"/>
      <c r="W733" s="43"/>
      <c r="X733" s="43"/>
      <c r="Y733" s="43"/>
      <c r="Z733" s="43"/>
    </row>
    <row r="734" spans="1:26">
      <c r="A734" s="88">
        <v>7491</v>
      </c>
      <c r="B734" s="1033" t="s">
        <v>769</v>
      </c>
      <c r="C734" s="1033"/>
      <c r="D734" s="1033"/>
      <c r="E734" s="1033"/>
      <c r="F734" s="1033"/>
      <c r="G734" s="1033"/>
      <c r="H734" s="1033"/>
      <c r="I734" s="1033"/>
      <c r="J734" s="1033"/>
      <c r="K734" s="1033"/>
      <c r="L734" s="90"/>
      <c r="M734" s="51"/>
      <c r="N734" s="113">
        <f t="shared" si="67"/>
        <v>7491</v>
      </c>
      <c r="O734" s="575">
        <v>0</v>
      </c>
      <c r="P734" s="582">
        <v>0</v>
      </c>
      <c r="Q734" s="589"/>
      <c r="R734" s="576"/>
      <c r="S734" s="583">
        <f t="shared" si="68"/>
        <v>0</v>
      </c>
      <c r="T734" s="580">
        <f t="shared" si="66"/>
        <v>0</v>
      </c>
      <c r="U734" s="51"/>
      <c r="V734" s="2119"/>
      <c r="W734" s="43"/>
      <c r="X734" s="43"/>
      <c r="Y734" s="43"/>
      <c r="Z734" s="43"/>
    </row>
    <row r="735" spans="1:26">
      <c r="A735" s="88">
        <v>7492</v>
      </c>
      <c r="B735" s="1033" t="s">
        <v>770</v>
      </c>
      <c r="C735" s="1033"/>
      <c r="D735" s="1033"/>
      <c r="E735" s="1033"/>
      <c r="F735" s="1033"/>
      <c r="G735" s="1033"/>
      <c r="H735" s="1033"/>
      <c r="I735" s="1033"/>
      <c r="J735" s="1033"/>
      <c r="K735" s="1033"/>
      <c r="L735" s="90"/>
      <c r="M735" s="51"/>
      <c r="N735" s="113">
        <f t="shared" si="67"/>
        <v>7492</v>
      </c>
      <c r="O735" s="575">
        <v>0</v>
      </c>
      <c r="P735" s="582">
        <v>0</v>
      </c>
      <c r="Q735" s="589"/>
      <c r="R735" s="576"/>
      <c r="S735" s="583">
        <f t="shared" si="68"/>
        <v>0</v>
      </c>
      <c r="T735" s="580">
        <f t="shared" si="66"/>
        <v>0</v>
      </c>
      <c r="U735" s="51"/>
      <c r="V735" s="2119"/>
      <c r="W735" s="43"/>
      <c r="X735" s="43"/>
      <c r="Y735" s="43"/>
      <c r="Z735" s="43"/>
    </row>
    <row r="736" spans="1:26">
      <c r="A736" s="88">
        <v>7493</v>
      </c>
      <c r="B736" s="1033" t="s">
        <v>771</v>
      </c>
      <c r="C736" s="1033"/>
      <c r="D736" s="1033"/>
      <c r="E736" s="1033"/>
      <c r="F736" s="1033"/>
      <c r="G736" s="1033"/>
      <c r="H736" s="1033"/>
      <c r="I736" s="1033"/>
      <c r="J736" s="1033"/>
      <c r="K736" s="1033"/>
      <c r="L736" s="90"/>
      <c r="M736" s="51"/>
      <c r="N736" s="113">
        <f t="shared" si="67"/>
        <v>7493</v>
      </c>
      <c r="O736" s="575">
        <v>0</v>
      </c>
      <c r="P736" s="582">
        <v>0</v>
      </c>
      <c r="Q736" s="589"/>
      <c r="R736" s="576"/>
      <c r="S736" s="583">
        <f t="shared" si="68"/>
        <v>0</v>
      </c>
      <c r="T736" s="580">
        <f t="shared" si="66"/>
        <v>0</v>
      </c>
      <c r="U736" s="51"/>
      <c r="V736" s="2119"/>
      <c r="W736" s="43"/>
      <c r="X736" s="43"/>
      <c r="Y736" s="43"/>
      <c r="Z736" s="43"/>
    </row>
    <row r="737" spans="1:26">
      <c r="A737" s="88">
        <v>7494</v>
      </c>
      <c r="B737" s="1033" t="s">
        <v>772</v>
      </c>
      <c r="C737" s="1033"/>
      <c r="D737" s="1033"/>
      <c r="E737" s="1033"/>
      <c r="F737" s="1033"/>
      <c r="G737" s="1033"/>
      <c r="H737" s="1033"/>
      <c r="I737" s="1033"/>
      <c r="J737" s="1033"/>
      <c r="K737" s="1033"/>
      <c r="L737" s="90"/>
      <c r="M737" s="51"/>
      <c r="N737" s="113">
        <f t="shared" si="67"/>
        <v>7494</v>
      </c>
      <c r="O737" s="575">
        <v>0</v>
      </c>
      <c r="P737" s="582">
        <v>0</v>
      </c>
      <c r="Q737" s="589"/>
      <c r="R737" s="576"/>
      <c r="S737" s="583">
        <f t="shared" si="68"/>
        <v>0</v>
      </c>
      <c r="T737" s="580">
        <f t="shared" ref="T737:T800" si="69">+IF(ABS(+O737+Q737)&lt;=ABS(P737+R737),-O737+P737-Q737+R737,0)</f>
        <v>0</v>
      </c>
      <c r="U737" s="51"/>
      <c r="V737" s="2119"/>
      <c r="W737" s="43"/>
      <c r="X737" s="43"/>
      <c r="Y737" s="43"/>
      <c r="Z737" s="43"/>
    </row>
    <row r="738" spans="1:26" ht="15.75" customHeight="1">
      <c r="A738" s="88">
        <v>7499</v>
      </c>
      <c r="B738" s="1033" t="s">
        <v>47</v>
      </c>
      <c r="C738" s="1033"/>
      <c r="D738" s="1033"/>
      <c r="E738" s="1033"/>
      <c r="F738" s="1033"/>
      <c r="G738" s="1033"/>
      <c r="H738" s="1033"/>
      <c r="I738" s="1033"/>
      <c r="J738" s="1033"/>
      <c r="K738" s="1033"/>
      <c r="L738" s="90"/>
      <c r="M738" s="51"/>
      <c r="N738" s="113">
        <f t="shared" si="67"/>
        <v>7499</v>
      </c>
      <c r="O738" s="575">
        <v>0</v>
      </c>
      <c r="P738" s="582">
        <v>0</v>
      </c>
      <c r="Q738" s="589"/>
      <c r="R738" s="576"/>
      <c r="S738" s="583">
        <f t="shared" si="68"/>
        <v>0</v>
      </c>
      <c r="T738" s="580">
        <f t="shared" si="69"/>
        <v>0</v>
      </c>
      <c r="U738" s="51"/>
      <c r="V738" s="2119"/>
      <c r="W738" s="43"/>
      <c r="X738" s="43"/>
      <c r="Y738" s="43"/>
      <c r="Z738" s="43"/>
    </row>
    <row r="739" spans="1:26">
      <c r="A739" s="88">
        <v>7500</v>
      </c>
      <c r="B739" s="378" t="s">
        <v>48</v>
      </c>
      <c r="C739" s="1033"/>
      <c r="D739" s="1033"/>
      <c r="E739" s="1033"/>
      <c r="F739" s="1033"/>
      <c r="G739" s="1033"/>
      <c r="H739" s="1033"/>
      <c r="I739" s="1033"/>
      <c r="J739" s="1033"/>
      <c r="K739" s="1033"/>
      <c r="L739" s="90"/>
      <c r="M739" s="51"/>
      <c r="N739" s="113">
        <f t="shared" si="67"/>
        <v>7500</v>
      </c>
      <c r="O739" s="575">
        <v>0</v>
      </c>
      <c r="P739" s="582">
        <v>0</v>
      </c>
      <c r="Q739" s="589">
        <v>0</v>
      </c>
      <c r="R739" s="576">
        <v>0</v>
      </c>
      <c r="S739" s="583">
        <f t="shared" si="68"/>
        <v>0</v>
      </c>
      <c r="T739" s="580">
        <f t="shared" si="69"/>
        <v>0</v>
      </c>
      <c r="U739" s="51"/>
      <c r="V739" s="2119"/>
      <c r="W739" s="43"/>
      <c r="X739" s="43"/>
      <c r="Y739" s="43"/>
      <c r="Z739" s="43"/>
    </row>
    <row r="740" spans="1:26">
      <c r="A740" s="88">
        <v>7501</v>
      </c>
      <c r="B740" s="378" t="s">
        <v>49</v>
      </c>
      <c r="C740" s="1033"/>
      <c r="D740" s="1033"/>
      <c r="E740" s="1033"/>
      <c r="F740" s="1033"/>
      <c r="G740" s="1033"/>
      <c r="H740" s="1033"/>
      <c r="I740" s="1033"/>
      <c r="J740" s="1033"/>
      <c r="K740" s="1033"/>
      <c r="L740" s="90"/>
      <c r="M740" s="51"/>
      <c r="N740" s="113">
        <f t="shared" si="67"/>
        <v>7501</v>
      </c>
      <c r="O740" s="575">
        <v>0</v>
      </c>
      <c r="P740" s="582">
        <v>0</v>
      </c>
      <c r="Q740" s="589">
        <v>0</v>
      </c>
      <c r="R740" s="576">
        <v>0</v>
      </c>
      <c r="S740" s="583">
        <f t="shared" si="68"/>
        <v>0</v>
      </c>
      <c r="T740" s="580">
        <f t="shared" si="69"/>
        <v>0</v>
      </c>
      <c r="U740" s="51"/>
      <c r="V740" s="2119"/>
      <c r="W740" s="43"/>
      <c r="X740" s="43"/>
      <c r="Y740" s="43"/>
      <c r="Z740" s="43"/>
    </row>
    <row r="741" spans="1:26">
      <c r="A741" s="88">
        <v>7502</v>
      </c>
      <c r="B741" s="378" t="s">
        <v>50</v>
      </c>
      <c r="C741" s="1033"/>
      <c r="D741" s="1033"/>
      <c r="E741" s="1033"/>
      <c r="F741" s="1033"/>
      <c r="G741" s="1033"/>
      <c r="H741" s="1033"/>
      <c r="I741" s="1033"/>
      <c r="J741" s="1033"/>
      <c r="K741" s="1033"/>
      <c r="L741" s="90"/>
      <c r="M741" s="51"/>
      <c r="N741" s="113">
        <f t="shared" si="67"/>
        <v>7502</v>
      </c>
      <c r="O741" s="575">
        <v>0</v>
      </c>
      <c r="P741" s="582">
        <v>0</v>
      </c>
      <c r="Q741" s="589"/>
      <c r="R741" s="576"/>
      <c r="S741" s="583">
        <f t="shared" si="68"/>
        <v>0</v>
      </c>
      <c r="T741" s="580">
        <f t="shared" si="69"/>
        <v>0</v>
      </c>
      <c r="U741" s="51"/>
      <c r="V741" s="2119"/>
      <c r="W741" s="43"/>
      <c r="X741" s="43"/>
      <c r="Y741" s="43"/>
      <c r="Z741" s="43"/>
    </row>
    <row r="742" spans="1:26">
      <c r="A742" s="88">
        <v>7511</v>
      </c>
      <c r="B742" s="1033" t="s">
        <v>302</v>
      </c>
      <c r="C742" s="1033"/>
      <c r="D742" s="1033"/>
      <c r="E742" s="1033"/>
      <c r="F742" s="1033"/>
      <c r="G742" s="1033"/>
      <c r="H742" s="1033"/>
      <c r="I742" s="1033"/>
      <c r="J742" s="1033"/>
      <c r="K742" s="1033"/>
      <c r="L742" s="90"/>
      <c r="M742" s="51"/>
      <c r="N742" s="113">
        <f t="shared" si="67"/>
        <v>7511</v>
      </c>
      <c r="O742" s="575">
        <v>0</v>
      </c>
      <c r="P742" s="582">
        <v>0</v>
      </c>
      <c r="Q742" s="589">
        <v>0</v>
      </c>
      <c r="R742" s="576">
        <v>0</v>
      </c>
      <c r="S742" s="583">
        <f t="shared" si="68"/>
        <v>0</v>
      </c>
      <c r="T742" s="580">
        <f t="shared" si="69"/>
        <v>0</v>
      </c>
      <c r="U742" s="51"/>
      <c r="V742" s="2119"/>
      <c r="W742" s="43"/>
      <c r="X742" s="43"/>
      <c r="Y742" s="43"/>
      <c r="Z742" s="43"/>
    </row>
    <row r="743" spans="1:26">
      <c r="A743" s="88">
        <v>7519</v>
      </c>
      <c r="B743" s="1033" t="s">
        <v>51</v>
      </c>
      <c r="C743" s="1033"/>
      <c r="D743" s="1033"/>
      <c r="E743" s="1033"/>
      <c r="F743" s="1033"/>
      <c r="G743" s="1033"/>
      <c r="H743" s="1033"/>
      <c r="I743" s="1033"/>
      <c r="J743" s="1033"/>
      <c r="K743" s="1033"/>
      <c r="L743" s="90"/>
      <c r="M743" s="51"/>
      <c r="N743" s="113">
        <f t="shared" si="67"/>
        <v>7519</v>
      </c>
      <c r="O743" s="575">
        <v>0</v>
      </c>
      <c r="P743" s="582">
        <v>0</v>
      </c>
      <c r="Q743" s="589"/>
      <c r="R743" s="576"/>
      <c r="S743" s="583">
        <f t="shared" si="68"/>
        <v>0</v>
      </c>
      <c r="T743" s="580">
        <f t="shared" si="69"/>
        <v>0</v>
      </c>
      <c r="U743" s="51"/>
      <c r="V743" s="2119"/>
      <c r="W743" s="43"/>
      <c r="X743" s="43"/>
      <c r="Y743" s="43"/>
      <c r="Z743" s="43"/>
    </row>
    <row r="744" spans="1:26">
      <c r="A744" s="88">
        <v>7522</v>
      </c>
      <c r="B744" s="1033" t="s">
        <v>52</v>
      </c>
      <c r="C744" s="1033"/>
      <c r="D744" s="1033"/>
      <c r="E744" s="1033"/>
      <c r="F744" s="1033"/>
      <c r="G744" s="1033"/>
      <c r="H744" s="1033"/>
      <c r="I744" s="1033"/>
      <c r="J744" s="1033"/>
      <c r="K744" s="1033"/>
      <c r="L744" s="90"/>
      <c r="M744" s="51"/>
      <c r="N744" s="113">
        <f t="shared" si="67"/>
        <v>7522</v>
      </c>
      <c r="O744" s="575">
        <v>0</v>
      </c>
      <c r="P744" s="582">
        <v>0</v>
      </c>
      <c r="Q744" s="589">
        <v>0</v>
      </c>
      <c r="R744" s="576">
        <v>0</v>
      </c>
      <c r="S744" s="583">
        <f t="shared" si="68"/>
        <v>0</v>
      </c>
      <c r="T744" s="580">
        <f t="shared" si="69"/>
        <v>0</v>
      </c>
      <c r="U744" s="51"/>
      <c r="V744" s="2119"/>
      <c r="W744" s="43"/>
      <c r="X744" s="43"/>
      <c r="Y744" s="43"/>
      <c r="Z744" s="43"/>
    </row>
    <row r="745" spans="1:26" ht="15.75" customHeight="1">
      <c r="A745" s="88">
        <v>7524</v>
      </c>
      <c r="B745" s="1033" t="s">
        <v>53</v>
      </c>
      <c r="C745" s="1033"/>
      <c r="D745" s="1033"/>
      <c r="E745" s="1033"/>
      <c r="F745" s="1033"/>
      <c r="G745" s="1033"/>
      <c r="H745" s="1033"/>
      <c r="I745" s="1033"/>
      <c r="J745" s="1033"/>
      <c r="K745" s="1033"/>
      <c r="L745" s="90"/>
      <c r="M745" s="51"/>
      <c r="N745" s="113">
        <f t="shared" si="67"/>
        <v>7524</v>
      </c>
      <c r="O745" s="575">
        <v>0</v>
      </c>
      <c r="P745" s="582">
        <v>0</v>
      </c>
      <c r="Q745" s="589"/>
      <c r="R745" s="576"/>
      <c r="S745" s="583">
        <f t="shared" si="68"/>
        <v>0</v>
      </c>
      <c r="T745" s="580">
        <f t="shared" si="69"/>
        <v>0</v>
      </c>
      <c r="U745" s="51"/>
      <c r="V745" s="2119"/>
      <c r="W745" s="43"/>
      <c r="X745" s="43"/>
      <c r="Y745" s="43"/>
      <c r="Z745" s="43"/>
    </row>
    <row r="746" spans="1:26" ht="15.75" customHeight="1">
      <c r="A746" s="88">
        <v>7525</v>
      </c>
      <c r="B746" s="1033" t="s">
        <v>54</v>
      </c>
      <c r="C746" s="1033"/>
      <c r="D746" s="1033"/>
      <c r="E746" s="1033"/>
      <c r="F746" s="1033"/>
      <c r="G746" s="1033"/>
      <c r="H746" s="1033"/>
      <c r="I746" s="1033"/>
      <c r="J746" s="1033"/>
      <c r="K746" s="1033"/>
      <c r="L746" s="90"/>
      <c r="M746" s="51"/>
      <c r="N746" s="113">
        <f t="shared" si="67"/>
        <v>7525</v>
      </c>
      <c r="O746" s="575">
        <v>0</v>
      </c>
      <c r="P746" s="582">
        <v>0</v>
      </c>
      <c r="Q746" s="589"/>
      <c r="R746" s="576"/>
      <c r="S746" s="583">
        <f t="shared" si="68"/>
        <v>0</v>
      </c>
      <c r="T746" s="580">
        <f t="shared" si="69"/>
        <v>0</v>
      </c>
      <c r="U746" s="51"/>
      <c r="V746" s="2119"/>
      <c r="W746" s="43"/>
      <c r="X746" s="43"/>
      <c r="Y746" s="43"/>
      <c r="Z746" s="43"/>
    </row>
    <row r="747" spans="1:26" ht="15.75" customHeight="1">
      <c r="A747" s="88">
        <v>7532</v>
      </c>
      <c r="B747" s="1033" t="s">
        <v>55</v>
      </c>
      <c r="C747" s="1033"/>
      <c r="D747" s="1033"/>
      <c r="E747" s="1033"/>
      <c r="F747" s="1033"/>
      <c r="G747" s="1033"/>
      <c r="H747" s="1033"/>
      <c r="I747" s="1033"/>
      <c r="J747" s="1033"/>
      <c r="K747" s="1033"/>
      <c r="L747" s="90"/>
      <c r="M747" s="51"/>
      <c r="N747" s="113">
        <f t="shared" si="67"/>
        <v>7532</v>
      </c>
      <c r="O747" s="575">
        <v>0</v>
      </c>
      <c r="P747" s="582">
        <v>0</v>
      </c>
      <c r="Q747" s="589"/>
      <c r="R747" s="576"/>
      <c r="S747" s="583">
        <f t="shared" si="68"/>
        <v>0</v>
      </c>
      <c r="T747" s="580">
        <f t="shared" si="69"/>
        <v>0</v>
      </c>
      <c r="U747" s="51"/>
      <c r="V747" s="2119"/>
      <c r="W747" s="43"/>
      <c r="X747" s="43"/>
      <c r="Y747" s="43"/>
      <c r="Z747" s="43"/>
    </row>
    <row r="748" spans="1:26" ht="15.75" customHeight="1">
      <c r="A748" s="88">
        <v>7534</v>
      </c>
      <c r="B748" s="1033" t="s">
        <v>56</v>
      </c>
      <c r="C748" s="1033"/>
      <c r="D748" s="1033"/>
      <c r="E748" s="1033"/>
      <c r="F748" s="1033"/>
      <c r="G748" s="1033"/>
      <c r="H748" s="1033"/>
      <c r="I748" s="1033"/>
      <c r="J748" s="1033"/>
      <c r="K748" s="1033"/>
      <c r="L748" s="90"/>
      <c r="M748" s="51"/>
      <c r="N748" s="113">
        <f t="shared" si="67"/>
        <v>7534</v>
      </c>
      <c r="O748" s="575">
        <v>0</v>
      </c>
      <c r="P748" s="582">
        <v>0</v>
      </c>
      <c r="Q748" s="589">
        <v>0</v>
      </c>
      <c r="R748" s="576">
        <v>0</v>
      </c>
      <c r="S748" s="583">
        <f t="shared" si="68"/>
        <v>0</v>
      </c>
      <c r="T748" s="580">
        <f t="shared" si="69"/>
        <v>0</v>
      </c>
      <c r="U748" s="51"/>
      <c r="V748" s="2119"/>
      <c r="W748" s="43"/>
      <c r="X748" s="43"/>
      <c r="Y748" s="43"/>
      <c r="Z748" s="43"/>
    </row>
    <row r="749" spans="1:26" ht="15.75" customHeight="1">
      <c r="A749" s="88">
        <v>7535</v>
      </c>
      <c r="B749" s="1033" t="s">
        <v>57</v>
      </c>
      <c r="C749" s="1033"/>
      <c r="D749" s="1033"/>
      <c r="E749" s="1033"/>
      <c r="F749" s="1033"/>
      <c r="G749" s="1033"/>
      <c r="H749" s="1033"/>
      <c r="I749" s="1033"/>
      <c r="J749" s="1033"/>
      <c r="K749" s="1033"/>
      <c r="L749" s="90"/>
      <c r="M749" s="51"/>
      <c r="N749" s="113">
        <f t="shared" si="67"/>
        <v>7535</v>
      </c>
      <c r="O749" s="575">
        <v>0</v>
      </c>
      <c r="P749" s="582">
        <v>0</v>
      </c>
      <c r="Q749" s="589"/>
      <c r="R749" s="576"/>
      <c r="S749" s="583">
        <f t="shared" si="68"/>
        <v>0</v>
      </c>
      <c r="T749" s="580">
        <f t="shared" si="69"/>
        <v>0</v>
      </c>
      <c r="U749" s="51"/>
      <c r="V749" s="2119"/>
      <c r="W749" s="43"/>
      <c r="X749" s="43"/>
      <c r="Y749" s="43"/>
      <c r="Z749" s="43"/>
    </row>
    <row r="750" spans="1:26" ht="15.75" customHeight="1">
      <c r="A750" s="88">
        <v>7582</v>
      </c>
      <c r="B750" s="1033" t="s">
        <v>58</v>
      </c>
      <c r="C750" s="1033"/>
      <c r="D750" s="1033"/>
      <c r="E750" s="1033"/>
      <c r="F750" s="1033"/>
      <c r="G750" s="1033"/>
      <c r="H750" s="1033"/>
      <c r="I750" s="1033"/>
      <c r="J750" s="1033"/>
      <c r="K750" s="1033"/>
      <c r="L750" s="90"/>
      <c r="M750" s="51"/>
      <c r="N750" s="113">
        <f t="shared" si="67"/>
        <v>7582</v>
      </c>
      <c r="O750" s="575">
        <v>0</v>
      </c>
      <c r="P750" s="582">
        <v>0</v>
      </c>
      <c r="Q750" s="589"/>
      <c r="R750" s="576"/>
      <c r="S750" s="583">
        <f t="shared" si="68"/>
        <v>0</v>
      </c>
      <c r="T750" s="580">
        <f t="shared" si="69"/>
        <v>0</v>
      </c>
      <c r="U750" s="51"/>
      <c r="V750" s="2119"/>
      <c r="W750" s="43"/>
      <c r="X750" s="43"/>
      <c r="Y750" s="43"/>
      <c r="Z750" s="43"/>
    </row>
    <row r="751" spans="1:26" ht="15.75" customHeight="1">
      <c r="A751" s="88">
        <v>7584</v>
      </c>
      <c r="B751" s="1033" t="s">
        <v>59</v>
      </c>
      <c r="C751" s="1033"/>
      <c r="D751" s="1033"/>
      <c r="E751" s="1033"/>
      <c r="F751" s="1033"/>
      <c r="G751" s="1033"/>
      <c r="H751" s="1033"/>
      <c r="I751" s="1033"/>
      <c r="J751" s="1033"/>
      <c r="K751" s="1033"/>
      <c r="L751" s="90"/>
      <c r="M751" s="51"/>
      <c r="N751" s="113">
        <f t="shared" si="67"/>
        <v>7584</v>
      </c>
      <c r="O751" s="575">
        <v>0</v>
      </c>
      <c r="P751" s="582">
        <v>0</v>
      </c>
      <c r="Q751" s="589"/>
      <c r="R751" s="576"/>
      <c r="S751" s="583">
        <f t="shared" si="68"/>
        <v>0</v>
      </c>
      <c r="T751" s="580">
        <f t="shared" si="69"/>
        <v>0</v>
      </c>
      <c r="U751" s="51"/>
      <c r="V751" s="2119"/>
      <c r="W751" s="43"/>
      <c r="X751" s="43"/>
      <c r="Y751" s="43"/>
      <c r="Z751" s="43"/>
    </row>
    <row r="752" spans="1:26" ht="15.75" customHeight="1">
      <c r="A752" s="88">
        <v>7585</v>
      </c>
      <c r="B752" s="1033" t="s">
        <v>60</v>
      </c>
      <c r="C752" s="1033"/>
      <c r="D752" s="1033"/>
      <c r="E752" s="1033"/>
      <c r="F752" s="1033"/>
      <c r="G752" s="1033"/>
      <c r="H752" s="1033"/>
      <c r="I752" s="1033"/>
      <c r="J752" s="1033"/>
      <c r="K752" s="1033"/>
      <c r="L752" s="90"/>
      <c r="M752" s="51"/>
      <c r="N752" s="113">
        <f t="shared" si="67"/>
        <v>7585</v>
      </c>
      <c r="O752" s="575">
        <v>0</v>
      </c>
      <c r="P752" s="582">
        <v>0</v>
      </c>
      <c r="Q752" s="589"/>
      <c r="R752" s="576"/>
      <c r="S752" s="583">
        <f t="shared" si="68"/>
        <v>0</v>
      </c>
      <c r="T752" s="580">
        <f t="shared" si="69"/>
        <v>0</v>
      </c>
      <c r="U752" s="51"/>
      <c r="V752" s="2119"/>
      <c r="W752" s="43"/>
      <c r="X752" s="43"/>
      <c r="Y752" s="43"/>
      <c r="Z752" s="43"/>
    </row>
    <row r="753" spans="1:26">
      <c r="A753" s="88">
        <v>7591</v>
      </c>
      <c r="B753" s="1042" t="s">
        <v>61</v>
      </c>
      <c r="C753" s="1051"/>
      <c r="D753" s="1051"/>
      <c r="E753" s="1051"/>
      <c r="F753" s="1051"/>
      <c r="G753" s="1051"/>
      <c r="H753" s="1051"/>
      <c r="I753" s="1051"/>
      <c r="J753" s="1051"/>
      <c r="K753" s="1051"/>
      <c r="L753" s="90"/>
      <c r="M753" s="51"/>
      <c r="N753" s="113">
        <f t="shared" si="67"/>
        <v>7591</v>
      </c>
      <c r="O753" s="575">
        <v>0</v>
      </c>
      <c r="P753" s="582">
        <v>0</v>
      </c>
      <c r="Q753" s="589"/>
      <c r="R753" s="576"/>
      <c r="S753" s="583">
        <f t="shared" si="68"/>
        <v>0</v>
      </c>
      <c r="T753" s="580">
        <f t="shared" si="69"/>
        <v>0</v>
      </c>
      <c r="U753" s="51"/>
      <c r="V753" s="2119"/>
      <c r="W753" s="43"/>
      <c r="X753" s="43"/>
      <c r="Y753" s="43"/>
      <c r="Z753" s="43"/>
    </row>
    <row r="754" spans="1:26">
      <c r="A754" s="88">
        <v>7595</v>
      </c>
      <c r="B754" s="1042" t="s">
        <v>62</v>
      </c>
      <c r="C754" s="1051"/>
      <c r="D754" s="1051"/>
      <c r="E754" s="1051"/>
      <c r="F754" s="1051"/>
      <c r="G754" s="1051"/>
      <c r="H754" s="1051"/>
      <c r="I754" s="1051"/>
      <c r="J754" s="1051"/>
      <c r="K754" s="1051"/>
      <c r="L754" s="90"/>
      <c r="M754" s="51"/>
      <c r="N754" s="113">
        <f t="shared" si="67"/>
        <v>7595</v>
      </c>
      <c r="O754" s="575">
        <v>0</v>
      </c>
      <c r="P754" s="582">
        <v>0</v>
      </c>
      <c r="Q754" s="589"/>
      <c r="R754" s="576"/>
      <c r="S754" s="583">
        <f t="shared" si="68"/>
        <v>0</v>
      </c>
      <c r="T754" s="580">
        <f t="shared" si="69"/>
        <v>0</v>
      </c>
      <c r="U754" s="51"/>
      <c r="V754" s="2119"/>
      <c r="W754" s="43"/>
      <c r="X754" s="43"/>
      <c r="Y754" s="43"/>
      <c r="Z754" s="43"/>
    </row>
    <row r="755" spans="1:26">
      <c r="A755" s="88">
        <v>7596</v>
      </c>
      <c r="B755" s="1042" t="s">
        <v>63</v>
      </c>
      <c r="C755" s="1051"/>
      <c r="D755" s="1051"/>
      <c r="E755" s="1051"/>
      <c r="F755" s="1051"/>
      <c r="G755" s="1051"/>
      <c r="H755" s="1051"/>
      <c r="I755" s="1051"/>
      <c r="J755" s="1051"/>
      <c r="K755" s="1051"/>
      <c r="L755" s="90"/>
      <c r="M755" s="51"/>
      <c r="N755" s="113">
        <f t="shared" si="67"/>
        <v>7596</v>
      </c>
      <c r="O755" s="575">
        <v>0</v>
      </c>
      <c r="P755" s="582">
        <v>0</v>
      </c>
      <c r="Q755" s="589"/>
      <c r="R755" s="576"/>
      <c r="S755" s="583">
        <f t="shared" si="68"/>
        <v>0</v>
      </c>
      <c r="T755" s="580">
        <f t="shared" si="69"/>
        <v>0</v>
      </c>
      <c r="U755" s="51"/>
      <c r="V755" s="2119"/>
      <c r="W755" s="43"/>
      <c r="X755" s="43"/>
      <c r="Y755" s="43"/>
      <c r="Z755" s="43"/>
    </row>
    <row r="756" spans="1:26" ht="15.75" customHeight="1">
      <c r="A756" s="88">
        <v>7597</v>
      </c>
      <c r="B756" s="1042" t="s">
        <v>64</v>
      </c>
      <c r="C756" s="1042"/>
      <c r="D756" s="1042"/>
      <c r="E756" s="1042"/>
      <c r="F756" s="1042"/>
      <c r="G756" s="1042"/>
      <c r="H756" s="1042"/>
      <c r="I756" s="1042"/>
      <c r="J756" s="1042"/>
      <c r="K756" s="1042"/>
      <c r="L756" s="90"/>
      <c r="M756" s="51"/>
      <c r="N756" s="113">
        <f t="shared" si="67"/>
        <v>7597</v>
      </c>
      <c r="O756" s="575">
        <v>0</v>
      </c>
      <c r="P756" s="582">
        <v>0</v>
      </c>
      <c r="Q756" s="589"/>
      <c r="R756" s="576"/>
      <c r="S756" s="583">
        <f t="shared" si="68"/>
        <v>0</v>
      </c>
      <c r="T756" s="580">
        <f t="shared" si="69"/>
        <v>0</v>
      </c>
      <c r="U756" s="51"/>
      <c r="V756" s="2119"/>
      <c r="W756" s="43"/>
      <c r="X756" s="43"/>
      <c r="Y756" s="43"/>
      <c r="Z756" s="43"/>
    </row>
    <row r="757" spans="1:26">
      <c r="A757" s="88">
        <v>7598</v>
      </c>
      <c r="B757" s="1042" t="s">
        <v>65</v>
      </c>
      <c r="C757" s="1051"/>
      <c r="D757" s="1051"/>
      <c r="E757" s="1051"/>
      <c r="F757" s="1051"/>
      <c r="G757" s="1051"/>
      <c r="H757" s="1051"/>
      <c r="I757" s="1051"/>
      <c r="J757" s="1051"/>
      <c r="K757" s="1051"/>
      <c r="L757" s="90"/>
      <c r="M757" s="51"/>
      <c r="N757" s="113">
        <f t="shared" si="67"/>
        <v>7598</v>
      </c>
      <c r="O757" s="575">
        <v>0</v>
      </c>
      <c r="P757" s="582">
        <v>0</v>
      </c>
      <c r="Q757" s="589"/>
      <c r="R757" s="576"/>
      <c r="S757" s="583">
        <f t="shared" si="68"/>
        <v>0</v>
      </c>
      <c r="T757" s="580">
        <f t="shared" si="69"/>
        <v>0</v>
      </c>
      <c r="U757" s="51"/>
      <c r="V757" s="2119"/>
      <c r="W757" s="43"/>
      <c r="X757" s="43"/>
      <c r="Y757" s="43"/>
      <c r="Z757" s="43"/>
    </row>
    <row r="758" spans="1:26">
      <c r="A758" s="88">
        <v>7599</v>
      </c>
      <c r="B758" s="1042" t="s">
        <v>66</v>
      </c>
      <c r="C758" s="1051"/>
      <c r="D758" s="1051"/>
      <c r="E758" s="1051"/>
      <c r="F758" s="1051"/>
      <c r="G758" s="1051"/>
      <c r="H758" s="1051"/>
      <c r="I758" s="1051"/>
      <c r="J758" s="1051"/>
      <c r="K758" s="1051"/>
      <c r="L758" s="90"/>
      <c r="M758" s="51"/>
      <c r="N758" s="113">
        <f t="shared" si="67"/>
        <v>7599</v>
      </c>
      <c r="O758" s="575">
        <v>0</v>
      </c>
      <c r="P758" s="582">
        <v>0</v>
      </c>
      <c r="Q758" s="589"/>
      <c r="R758" s="576"/>
      <c r="S758" s="583">
        <f t="shared" si="68"/>
        <v>0</v>
      </c>
      <c r="T758" s="580">
        <f t="shared" si="69"/>
        <v>0</v>
      </c>
      <c r="U758" s="51"/>
      <c r="V758" s="2119"/>
      <c r="W758" s="43"/>
      <c r="X758" s="43"/>
      <c r="Y758" s="43"/>
      <c r="Z758" s="43"/>
    </row>
    <row r="759" spans="1:26" ht="15.75" customHeight="1">
      <c r="A759" s="88">
        <v>7600</v>
      </c>
      <c r="B759" s="1045" t="s">
        <v>2192</v>
      </c>
      <c r="C759" s="1035"/>
      <c r="D759" s="1035"/>
      <c r="E759" s="1035"/>
      <c r="F759" s="1035"/>
      <c r="G759" s="1035"/>
      <c r="H759" s="1035"/>
      <c r="I759" s="1035"/>
      <c r="J759" s="1035"/>
      <c r="K759" s="1035"/>
      <c r="L759" s="90"/>
      <c r="M759" s="51"/>
      <c r="N759" s="113">
        <f t="shared" si="67"/>
        <v>7600</v>
      </c>
      <c r="O759" s="575">
        <v>0</v>
      </c>
      <c r="P759" s="582">
        <v>0</v>
      </c>
      <c r="Q759" s="589"/>
      <c r="R759" s="576"/>
      <c r="S759" s="583">
        <f t="shared" si="68"/>
        <v>0</v>
      </c>
      <c r="T759" s="580">
        <f t="shared" si="69"/>
        <v>0</v>
      </c>
      <c r="U759" s="51"/>
      <c r="V759" s="2119"/>
      <c r="W759" s="43"/>
      <c r="X759" s="43"/>
      <c r="Y759" s="43"/>
      <c r="Z759" s="43"/>
    </row>
    <row r="760" spans="1:26" ht="15.75" customHeight="1">
      <c r="A760" s="88">
        <v>7601</v>
      </c>
      <c r="B760" s="2417" t="s">
        <v>2193</v>
      </c>
      <c r="C760" s="2418"/>
      <c r="D760" s="2418"/>
      <c r="E760" s="2418"/>
      <c r="F760" s="2418"/>
      <c r="G760" s="2418"/>
      <c r="H760" s="2418"/>
      <c r="I760" s="2418"/>
      <c r="J760" s="2418"/>
      <c r="K760" s="1035"/>
      <c r="L760" s="90"/>
      <c r="M760" s="51"/>
      <c r="N760" s="113">
        <f t="shared" si="67"/>
        <v>7601</v>
      </c>
      <c r="O760" s="575">
        <v>0</v>
      </c>
      <c r="P760" s="582">
        <v>0</v>
      </c>
      <c r="Q760" s="589">
        <v>0</v>
      </c>
      <c r="R760" s="576">
        <v>0</v>
      </c>
      <c r="S760" s="583">
        <f t="shared" si="68"/>
        <v>0</v>
      </c>
      <c r="T760" s="580">
        <f t="shared" si="69"/>
        <v>0</v>
      </c>
      <c r="U760" s="51"/>
      <c r="V760" s="2119"/>
      <c r="W760" s="43"/>
      <c r="X760" s="43"/>
      <c r="Y760" s="43"/>
      <c r="Z760" s="43"/>
    </row>
    <row r="761" spans="1:26" ht="15.75" customHeight="1">
      <c r="A761" s="88">
        <v>7602</v>
      </c>
      <c r="B761" s="1045" t="s">
        <v>2194</v>
      </c>
      <c r="C761" s="1035"/>
      <c r="D761" s="1035"/>
      <c r="E761" s="1035"/>
      <c r="F761" s="1035"/>
      <c r="G761" s="1035"/>
      <c r="H761" s="1035"/>
      <c r="I761" s="1035"/>
      <c r="J761" s="1035"/>
      <c r="K761" s="1035"/>
      <c r="L761" s="90"/>
      <c r="M761" s="51"/>
      <c r="N761" s="113">
        <f t="shared" si="67"/>
        <v>7602</v>
      </c>
      <c r="O761" s="575">
        <v>0</v>
      </c>
      <c r="P761" s="582">
        <v>0</v>
      </c>
      <c r="Q761" s="579">
        <v>0</v>
      </c>
      <c r="R761" s="582">
        <v>0</v>
      </c>
      <c r="S761" s="583">
        <f t="shared" si="68"/>
        <v>0</v>
      </c>
      <c r="T761" s="580">
        <f t="shared" si="69"/>
        <v>0</v>
      </c>
      <c r="U761" s="51"/>
      <c r="V761" s="2125">
        <f>+IF(OR(O761&lt;&gt;0,P761&lt;&gt;0,Q761&lt;&gt;0,R761&lt;&gt;0,S761&lt;&gt;0,T761&lt;&gt;0),+IF(ABS(O761+Q761)-ABS(P761+R761)&lt;&gt;0,ABS(O761+Q761)-ABS(P761+R761),1),0)</f>
        <v>0</v>
      </c>
      <c r="W761" s="43"/>
      <c r="X761" s="43"/>
      <c r="Y761" s="43"/>
      <c r="Z761" s="43"/>
    </row>
    <row r="762" spans="1:26" ht="15.75" customHeight="1">
      <c r="A762" s="88">
        <v>7603</v>
      </c>
      <c r="B762" s="2417" t="s">
        <v>2195</v>
      </c>
      <c r="C762" s="2419"/>
      <c r="D762" s="2419"/>
      <c r="E762" s="2419"/>
      <c r="F762" s="2419"/>
      <c r="G762" s="2419"/>
      <c r="H762" s="2419"/>
      <c r="I762" s="2419"/>
      <c r="J762" s="2419"/>
      <c r="K762" s="2419"/>
      <c r="L762" s="90"/>
      <c r="M762" s="51"/>
      <c r="N762" s="113">
        <f t="shared" si="67"/>
        <v>7603</v>
      </c>
      <c r="O762" s="575">
        <v>0</v>
      </c>
      <c r="P762" s="582">
        <v>0</v>
      </c>
      <c r="Q762" s="589"/>
      <c r="R762" s="576"/>
      <c r="S762" s="583">
        <f t="shared" si="68"/>
        <v>0</v>
      </c>
      <c r="T762" s="580">
        <f t="shared" si="69"/>
        <v>0</v>
      </c>
      <c r="U762" s="51"/>
      <c r="V762" s="2119"/>
      <c r="W762" s="43"/>
      <c r="X762" s="43"/>
      <c r="Y762" s="43"/>
      <c r="Z762" s="43"/>
    </row>
    <row r="763" spans="1:26" ht="15.75" customHeight="1">
      <c r="A763" s="88">
        <v>7609</v>
      </c>
      <c r="B763" s="1042" t="s">
        <v>67</v>
      </c>
      <c r="C763" s="1051"/>
      <c r="D763" s="1051"/>
      <c r="E763" s="1051"/>
      <c r="F763" s="1051"/>
      <c r="G763" s="1051"/>
      <c r="H763" s="1051"/>
      <c r="I763" s="1051"/>
      <c r="J763" s="1051"/>
      <c r="K763" s="1051"/>
      <c r="L763" s="90"/>
      <c r="M763" s="51"/>
      <c r="N763" s="113">
        <f t="shared" si="67"/>
        <v>7609</v>
      </c>
      <c r="O763" s="575">
        <v>0</v>
      </c>
      <c r="P763" s="582">
        <v>0</v>
      </c>
      <c r="Q763" s="579">
        <v>0</v>
      </c>
      <c r="R763" s="582">
        <v>0</v>
      </c>
      <c r="S763" s="583">
        <f t="shared" si="68"/>
        <v>0</v>
      </c>
      <c r="T763" s="580">
        <f t="shared" si="69"/>
        <v>0</v>
      </c>
      <c r="U763" s="51"/>
      <c r="V763" s="2125">
        <f>+IF(OR(O763&lt;&gt;0,P763&lt;&gt;0,Q763&lt;&gt;0,R763&lt;&gt;0,S763&lt;&gt;0,T763&lt;&gt;0),+IF(ABS(O763+Q763)-ABS(P763+R763)&lt;&gt;0,ABS(O763+Q763)-ABS(P763+R763),1),0)</f>
        <v>0</v>
      </c>
      <c r="W763" s="43"/>
      <c r="X763" s="43"/>
      <c r="Y763" s="43"/>
      <c r="Z763" s="43"/>
    </row>
    <row r="764" spans="1:26">
      <c r="A764" s="88">
        <v>7612</v>
      </c>
      <c r="B764" s="1033" t="s">
        <v>68</v>
      </c>
      <c r="C764" s="1033"/>
      <c r="D764" s="1033"/>
      <c r="E764" s="1033"/>
      <c r="F764" s="1033"/>
      <c r="G764" s="1033"/>
      <c r="H764" s="1033"/>
      <c r="I764" s="1033"/>
      <c r="J764" s="1033"/>
      <c r="K764" s="1033"/>
      <c r="L764" s="90"/>
      <c r="M764" s="51"/>
      <c r="N764" s="113">
        <f t="shared" si="67"/>
        <v>7612</v>
      </c>
      <c r="O764" s="575">
        <v>0</v>
      </c>
      <c r="P764" s="582">
        <v>0</v>
      </c>
      <c r="Q764" s="589">
        <v>0</v>
      </c>
      <c r="R764" s="576">
        <v>0</v>
      </c>
      <c r="S764" s="583">
        <f t="shared" si="68"/>
        <v>0</v>
      </c>
      <c r="T764" s="580">
        <f t="shared" si="69"/>
        <v>0</v>
      </c>
      <c r="U764" s="51"/>
      <c r="V764" s="2119"/>
      <c r="W764" s="43"/>
      <c r="X764" s="43"/>
      <c r="Y764" s="43"/>
      <c r="Z764" s="43"/>
    </row>
    <row r="765" spans="1:26" ht="15.75" customHeight="1">
      <c r="A765" s="88">
        <v>7613</v>
      </c>
      <c r="B765" s="1042" t="s">
        <v>69</v>
      </c>
      <c r="C765" s="1051"/>
      <c r="D765" s="1051"/>
      <c r="E765" s="1051"/>
      <c r="F765" s="1051"/>
      <c r="G765" s="1051"/>
      <c r="H765" s="1051"/>
      <c r="I765" s="1051"/>
      <c r="J765" s="1051"/>
      <c r="K765" s="1051"/>
      <c r="L765" s="90"/>
      <c r="M765" s="51"/>
      <c r="N765" s="113">
        <f t="shared" si="67"/>
        <v>7613</v>
      </c>
      <c r="O765" s="575">
        <v>0</v>
      </c>
      <c r="P765" s="582">
        <v>0</v>
      </c>
      <c r="Q765" s="589">
        <v>0</v>
      </c>
      <c r="R765" s="576">
        <v>0</v>
      </c>
      <c r="S765" s="583">
        <f>+IF(ABS(+O765+Q765)&gt;=ABS(P765+R765),+O765-P765+Q765-R765,0)</f>
        <v>0</v>
      </c>
      <c r="T765" s="580">
        <f t="shared" si="69"/>
        <v>0</v>
      </c>
      <c r="U765" s="51"/>
      <c r="V765" s="2119"/>
      <c r="W765" s="43"/>
      <c r="X765" s="43"/>
      <c r="Y765" s="43"/>
      <c r="Z765" s="43"/>
    </row>
    <row r="766" spans="1:26" ht="15.75" customHeight="1">
      <c r="A766" s="88">
        <v>7614</v>
      </c>
      <c r="B766" s="1042" t="s">
        <v>70</v>
      </c>
      <c r="C766" s="1051"/>
      <c r="D766" s="1051"/>
      <c r="E766" s="1051"/>
      <c r="F766" s="1051"/>
      <c r="G766" s="1051"/>
      <c r="H766" s="1051"/>
      <c r="I766" s="1051"/>
      <c r="J766" s="1051"/>
      <c r="K766" s="1051"/>
      <c r="L766" s="90"/>
      <c r="M766" s="51"/>
      <c r="N766" s="113">
        <f t="shared" si="67"/>
        <v>7614</v>
      </c>
      <c r="O766" s="575">
        <v>0</v>
      </c>
      <c r="P766" s="582">
        <v>0</v>
      </c>
      <c r="Q766" s="589"/>
      <c r="R766" s="576"/>
      <c r="S766" s="583">
        <f>+IF(ABS(+O766+Q766)&gt;=ABS(P766+R766),+O766-P766+Q766-R766,0)</f>
        <v>0</v>
      </c>
      <c r="T766" s="580">
        <f t="shared" si="69"/>
        <v>0</v>
      </c>
      <c r="U766" s="51"/>
      <c r="V766" s="2119"/>
      <c r="W766" s="43"/>
      <c r="X766" s="43"/>
      <c r="Y766" s="43"/>
      <c r="Z766" s="43"/>
    </row>
    <row r="767" spans="1:26" ht="15.75" customHeight="1">
      <c r="A767" s="88">
        <v>7615</v>
      </c>
      <c r="B767" s="1042" t="s">
        <v>71</v>
      </c>
      <c r="C767" s="1051"/>
      <c r="D767" s="1051"/>
      <c r="E767" s="1051"/>
      <c r="F767" s="1051"/>
      <c r="G767" s="1051"/>
      <c r="H767" s="1051"/>
      <c r="I767" s="1051"/>
      <c r="J767" s="1051"/>
      <c r="K767" s="1051"/>
      <c r="L767" s="90"/>
      <c r="M767" s="51"/>
      <c r="N767" s="113">
        <f t="shared" si="67"/>
        <v>7615</v>
      </c>
      <c r="O767" s="575">
        <v>0</v>
      </c>
      <c r="P767" s="582">
        <v>0</v>
      </c>
      <c r="Q767" s="589"/>
      <c r="R767" s="576"/>
      <c r="S767" s="583">
        <f>+IF(ABS(+O767+Q767)&gt;=ABS(P767+R767),+O767-P767+Q767-R767,0)</f>
        <v>0</v>
      </c>
      <c r="T767" s="580">
        <f t="shared" si="69"/>
        <v>0</v>
      </c>
      <c r="U767" s="51"/>
      <c r="V767" s="2119"/>
      <c r="W767" s="43"/>
      <c r="X767" s="43"/>
      <c r="Y767" s="43"/>
      <c r="Z767" s="43"/>
    </row>
    <row r="768" spans="1:26">
      <c r="A768" s="88">
        <v>7617</v>
      </c>
      <c r="B768" s="1033" t="s">
        <v>72</v>
      </c>
      <c r="C768" s="1033"/>
      <c r="D768" s="1033"/>
      <c r="E768" s="1033"/>
      <c r="F768" s="1033"/>
      <c r="G768" s="1033"/>
      <c r="H768" s="1033"/>
      <c r="I768" s="1033"/>
      <c r="J768" s="1033"/>
      <c r="K768" s="1033"/>
      <c r="L768" s="90"/>
      <c r="M768" s="51"/>
      <c r="N768" s="113">
        <f t="shared" si="67"/>
        <v>7617</v>
      </c>
      <c r="O768" s="575">
        <v>0</v>
      </c>
      <c r="P768" s="582">
        <v>0</v>
      </c>
      <c r="Q768" s="589">
        <v>0</v>
      </c>
      <c r="R768" s="576">
        <v>0</v>
      </c>
      <c r="S768" s="583">
        <f t="shared" ref="S768:S828" si="70">+IF(ABS(+O768+Q768)&gt;=ABS(P768+R768),+O768-P768+Q768-R768,0)</f>
        <v>0</v>
      </c>
      <c r="T768" s="580">
        <f t="shared" si="69"/>
        <v>0</v>
      </c>
      <c r="U768" s="51"/>
      <c r="V768" s="2119"/>
      <c r="W768" s="43"/>
      <c r="X768" s="43"/>
      <c r="Y768" s="43"/>
      <c r="Z768" s="43"/>
    </row>
    <row r="769" spans="1:26">
      <c r="A769" s="88">
        <v>7618</v>
      </c>
      <c r="B769" s="1033" t="s">
        <v>73</v>
      </c>
      <c r="C769" s="1033"/>
      <c r="D769" s="1033"/>
      <c r="E769" s="1033"/>
      <c r="F769" s="1033"/>
      <c r="G769" s="1033"/>
      <c r="H769" s="1033"/>
      <c r="I769" s="1033"/>
      <c r="J769" s="1033"/>
      <c r="K769" s="1033"/>
      <c r="L769" s="90"/>
      <c r="M769" s="51"/>
      <c r="N769" s="113">
        <f t="shared" si="67"/>
        <v>7618</v>
      </c>
      <c r="O769" s="575">
        <v>0</v>
      </c>
      <c r="P769" s="582">
        <v>0</v>
      </c>
      <c r="Q769" s="589"/>
      <c r="R769" s="576"/>
      <c r="S769" s="583">
        <f t="shared" si="70"/>
        <v>0</v>
      </c>
      <c r="T769" s="580">
        <f t="shared" si="69"/>
        <v>0</v>
      </c>
      <c r="U769" s="51"/>
      <c r="V769" s="2119"/>
      <c r="W769" s="43"/>
      <c r="X769" s="43"/>
      <c r="Y769" s="43"/>
      <c r="Z769" s="43"/>
    </row>
    <row r="770" spans="1:26">
      <c r="A770" s="88">
        <v>7642</v>
      </c>
      <c r="B770" s="1033" t="s">
        <v>74</v>
      </c>
      <c r="C770" s="1033"/>
      <c r="D770" s="1033"/>
      <c r="E770" s="1033"/>
      <c r="F770" s="1033"/>
      <c r="G770" s="1033"/>
      <c r="H770" s="1033"/>
      <c r="I770" s="1033"/>
      <c r="J770" s="1033"/>
      <c r="K770" s="1033"/>
      <c r="L770" s="90"/>
      <c r="M770" s="51"/>
      <c r="N770" s="113">
        <f t="shared" si="67"/>
        <v>7642</v>
      </c>
      <c r="O770" s="575">
        <v>0</v>
      </c>
      <c r="P770" s="582">
        <v>0</v>
      </c>
      <c r="Q770" s="589"/>
      <c r="R770" s="576"/>
      <c r="S770" s="583">
        <f t="shared" si="70"/>
        <v>0</v>
      </c>
      <c r="T770" s="580">
        <f t="shared" si="69"/>
        <v>0</v>
      </c>
      <c r="U770" s="51"/>
      <c r="V770" s="2119"/>
      <c r="W770" s="43"/>
      <c r="X770" s="43"/>
      <c r="Y770" s="43"/>
      <c r="Z770" s="43"/>
    </row>
    <row r="771" spans="1:26" ht="15.75" customHeight="1">
      <c r="A771" s="88">
        <v>7643</v>
      </c>
      <c r="B771" s="1033" t="s">
        <v>75</v>
      </c>
      <c r="C771" s="1033"/>
      <c r="D771" s="1033"/>
      <c r="E771" s="1033"/>
      <c r="F771" s="1033"/>
      <c r="G771" s="1033"/>
      <c r="H771" s="1033"/>
      <c r="I771" s="1033"/>
      <c r="J771" s="1033"/>
      <c r="K771" s="1033"/>
      <c r="L771" s="90"/>
      <c r="M771" s="51"/>
      <c r="N771" s="113">
        <f t="shared" si="67"/>
        <v>7643</v>
      </c>
      <c r="O771" s="575">
        <v>0</v>
      </c>
      <c r="P771" s="582">
        <v>0</v>
      </c>
      <c r="Q771" s="589">
        <v>0</v>
      </c>
      <c r="R771" s="576">
        <v>0</v>
      </c>
      <c r="S771" s="583">
        <f t="shared" si="70"/>
        <v>0</v>
      </c>
      <c r="T771" s="580">
        <f t="shared" si="69"/>
        <v>0</v>
      </c>
      <c r="U771" s="51"/>
      <c r="V771" s="2119"/>
      <c r="W771" s="43"/>
      <c r="X771" s="43"/>
      <c r="Y771" s="43"/>
      <c r="Z771" s="43"/>
    </row>
    <row r="772" spans="1:26" ht="15.75" customHeight="1">
      <c r="A772" s="88">
        <v>7644</v>
      </c>
      <c r="B772" s="1033" t="s">
        <v>76</v>
      </c>
      <c r="C772" s="1033"/>
      <c r="D772" s="1033"/>
      <c r="E772" s="1033"/>
      <c r="F772" s="1033"/>
      <c r="G772" s="1033"/>
      <c r="H772" s="1033"/>
      <c r="I772" s="1033"/>
      <c r="J772" s="1033"/>
      <c r="K772" s="1033"/>
      <c r="L772" s="90"/>
      <c r="M772" s="51"/>
      <c r="N772" s="113">
        <f t="shared" si="67"/>
        <v>7644</v>
      </c>
      <c r="O772" s="575">
        <v>0</v>
      </c>
      <c r="P772" s="582">
        <v>0</v>
      </c>
      <c r="Q772" s="589"/>
      <c r="R772" s="576"/>
      <c r="S772" s="583">
        <f t="shared" si="70"/>
        <v>0</v>
      </c>
      <c r="T772" s="580">
        <f t="shared" si="69"/>
        <v>0</v>
      </c>
      <c r="U772" s="51"/>
      <c r="V772" s="2119"/>
      <c r="W772" s="43"/>
      <c r="X772" s="43"/>
      <c r="Y772" s="43"/>
      <c r="Z772" s="43"/>
    </row>
    <row r="773" spans="1:26" ht="15.75" customHeight="1">
      <c r="A773" s="88">
        <v>7645</v>
      </c>
      <c r="B773" s="1033" t="s">
        <v>77</v>
      </c>
      <c r="C773" s="1033"/>
      <c r="D773" s="1033"/>
      <c r="E773" s="1033"/>
      <c r="F773" s="1033"/>
      <c r="G773" s="1033"/>
      <c r="H773" s="1033"/>
      <c r="I773" s="1033"/>
      <c r="J773" s="1033"/>
      <c r="K773" s="1033"/>
      <c r="L773" s="90"/>
      <c r="M773" s="51"/>
      <c r="N773" s="113">
        <f t="shared" si="67"/>
        <v>7645</v>
      </c>
      <c r="O773" s="575">
        <v>0</v>
      </c>
      <c r="P773" s="582">
        <v>0</v>
      </c>
      <c r="Q773" s="589"/>
      <c r="R773" s="576"/>
      <c r="S773" s="583">
        <f t="shared" si="70"/>
        <v>0</v>
      </c>
      <c r="T773" s="580">
        <f t="shared" si="69"/>
        <v>0</v>
      </c>
      <c r="U773" s="51"/>
      <c r="V773" s="2119"/>
      <c r="W773" s="43"/>
      <c r="X773" s="43"/>
      <c r="Y773" s="43"/>
      <c r="Z773" s="43"/>
    </row>
    <row r="774" spans="1:26" ht="15.75" customHeight="1">
      <c r="A774" s="88">
        <v>7647</v>
      </c>
      <c r="B774" s="1033" t="s">
        <v>78</v>
      </c>
      <c r="C774" s="1033"/>
      <c r="D774" s="1033"/>
      <c r="E774" s="1033"/>
      <c r="F774" s="1033"/>
      <c r="G774" s="1033"/>
      <c r="H774" s="1033"/>
      <c r="I774" s="1033"/>
      <c r="J774" s="1033"/>
      <c r="K774" s="1033"/>
      <c r="L774" s="90"/>
      <c r="M774" s="51"/>
      <c r="N774" s="113">
        <f t="shared" si="67"/>
        <v>7647</v>
      </c>
      <c r="O774" s="575">
        <v>0</v>
      </c>
      <c r="P774" s="582">
        <v>0</v>
      </c>
      <c r="Q774" s="589"/>
      <c r="R774" s="576"/>
      <c r="S774" s="583">
        <f t="shared" si="70"/>
        <v>0</v>
      </c>
      <c r="T774" s="580">
        <f t="shared" si="69"/>
        <v>0</v>
      </c>
      <c r="U774" s="51"/>
      <c r="V774" s="2119"/>
      <c r="W774" s="43"/>
      <c r="X774" s="43"/>
      <c r="Y774" s="43"/>
      <c r="Z774" s="43"/>
    </row>
    <row r="775" spans="1:26" ht="15.75" customHeight="1">
      <c r="A775" s="88">
        <v>7648</v>
      </c>
      <c r="B775" s="1033" t="s">
        <v>79</v>
      </c>
      <c r="C775" s="1033"/>
      <c r="D775" s="1033"/>
      <c r="E775" s="1033"/>
      <c r="F775" s="1033"/>
      <c r="G775" s="1033"/>
      <c r="H775" s="1033"/>
      <c r="I775" s="1033"/>
      <c r="J775" s="1033"/>
      <c r="K775" s="1033"/>
      <c r="L775" s="90"/>
      <c r="M775" s="51"/>
      <c r="N775" s="113">
        <f t="shared" si="67"/>
        <v>7648</v>
      </c>
      <c r="O775" s="575">
        <v>0</v>
      </c>
      <c r="P775" s="582">
        <v>0</v>
      </c>
      <c r="Q775" s="589"/>
      <c r="R775" s="576"/>
      <c r="S775" s="583">
        <f t="shared" si="70"/>
        <v>0</v>
      </c>
      <c r="T775" s="580">
        <f t="shared" si="69"/>
        <v>0</v>
      </c>
      <c r="U775" s="51"/>
      <c r="V775" s="2119"/>
      <c r="W775" s="43"/>
      <c r="X775" s="43"/>
      <c r="Y775" s="43"/>
      <c r="Z775" s="43"/>
    </row>
    <row r="776" spans="1:26" ht="15.75" customHeight="1">
      <c r="A776" s="88">
        <v>7652</v>
      </c>
      <c r="B776" s="1033" t="s">
        <v>80</v>
      </c>
      <c r="C776" s="1033"/>
      <c r="D776" s="1033"/>
      <c r="E776" s="1033"/>
      <c r="F776" s="1033"/>
      <c r="G776" s="1033"/>
      <c r="H776" s="1033"/>
      <c r="I776" s="1033"/>
      <c r="J776" s="1033"/>
      <c r="K776" s="1033"/>
      <c r="L776" s="90"/>
      <c r="M776" s="51"/>
      <c r="N776" s="113">
        <f t="shared" si="67"/>
        <v>7652</v>
      </c>
      <c r="O776" s="575">
        <v>0</v>
      </c>
      <c r="P776" s="582">
        <v>0</v>
      </c>
      <c r="Q776" s="589"/>
      <c r="R776" s="576"/>
      <c r="S776" s="583">
        <f t="shared" si="70"/>
        <v>0</v>
      </c>
      <c r="T776" s="580">
        <f t="shared" si="69"/>
        <v>0</v>
      </c>
      <c r="U776" s="51"/>
      <c r="V776" s="2119"/>
      <c r="W776" s="43"/>
      <c r="X776" s="43"/>
      <c r="Y776" s="43"/>
      <c r="Z776" s="43"/>
    </row>
    <row r="777" spans="1:26" ht="15.75" customHeight="1">
      <c r="A777" s="88">
        <v>7653</v>
      </c>
      <c r="B777" s="1033" t="s">
        <v>81</v>
      </c>
      <c r="C777" s="1033"/>
      <c r="D777" s="1033"/>
      <c r="E777" s="1033"/>
      <c r="F777" s="1033"/>
      <c r="G777" s="1033"/>
      <c r="H777" s="1033"/>
      <c r="I777" s="1033"/>
      <c r="J777" s="1033"/>
      <c r="K777" s="1033"/>
      <c r="L777" s="90"/>
      <c r="M777" s="51"/>
      <c r="N777" s="113">
        <f t="shared" si="67"/>
        <v>7653</v>
      </c>
      <c r="O777" s="575">
        <v>0</v>
      </c>
      <c r="P777" s="582">
        <v>0</v>
      </c>
      <c r="Q777" s="589"/>
      <c r="R777" s="576"/>
      <c r="S777" s="583">
        <f t="shared" si="70"/>
        <v>0</v>
      </c>
      <c r="T777" s="580">
        <f t="shared" si="69"/>
        <v>0</v>
      </c>
      <c r="U777" s="51"/>
      <c r="V777" s="2119"/>
      <c r="W777" s="43"/>
      <c r="X777" s="43"/>
      <c r="Y777" s="43"/>
      <c r="Z777" s="43"/>
    </row>
    <row r="778" spans="1:26" ht="15.75" customHeight="1">
      <c r="A778" s="88">
        <v>7654</v>
      </c>
      <c r="B778" s="1033" t="s">
        <v>82</v>
      </c>
      <c r="C778" s="1033"/>
      <c r="D778" s="1033"/>
      <c r="E778" s="1033"/>
      <c r="F778" s="1033"/>
      <c r="G778" s="1033"/>
      <c r="H778" s="1033"/>
      <c r="I778" s="1033"/>
      <c r="J778" s="1033"/>
      <c r="K778" s="1033"/>
      <c r="L778" s="90"/>
      <c r="M778" s="51"/>
      <c r="N778" s="113">
        <f t="shared" si="67"/>
        <v>7654</v>
      </c>
      <c r="O778" s="575">
        <v>0</v>
      </c>
      <c r="P778" s="582">
        <v>0</v>
      </c>
      <c r="Q778" s="589"/>
      <c r="R778" s="576"/>
      <c r="S778" s="583">
        <f t="shared" si="70"/>
        <v>0</v>
      </c>
      <c r="T778" s="580">
        <f t="shared" si="69"/>
        <v>0</v>
      </c>
      <c r="U778" s="51"/>
      <c r="V778" s="2119"/>
      <c r="W778" s="43"/>
      <c r="X778" s="43"/>
      <c r="Y778" s="43"/>
      <c r="Z778" s="43"/>
    </row>
    <row r="779" spans="1:26" ht="15.75" customHeight="1">
      <c r="A779" s="88">
        <v>7655</v>
      </c>
      <c r="B779" s="1033" t="s">
        <v>83</v>
      </c>
      <c r="C779" s="1033"/>
      <c r="D779" s="1033"/>
      <c r="E779" s="1033"/>
      <c r="F779" s="1033"/>
      <c r="G779" s="1033"/>
      <c r="H779" s="1033"/>
      <c r="I779" s="1033"/>
      <c r="J779" s="1033"/>
      <c r="K779" s="1033"/>
      <c r="L779" s="90"/>
      <c r="M779" s="51"/>
      <c r="N779" s="113">
        <f t="shared" si="67"/>
        <v>7655</v>
      </c>
      <c r="O779" s="575">
        <v>0</v>
      </c>
      <c r="P779" s="582">
        <v>0</v>
      </c>
      <c r="Q779" s="589"/>
      <c r="R779" s="576"/>
      <c r="S779" s="583">
        <f t="shared" si="70"/>
        <v>0</v>
      </c>
      <c r="T779" s="580">
        <f t="shared" si="69"/>
        <v>0</v>
      </c>
      <c r="U779" s="51"/>
      <c r="V779" s="2119"/>
      <c r="W779" s="43"/>
      <c r="X779" s="43"/>
      <c r="Y779" s="43"/>
      <c r="Z779" s="43"/>
    </row>
    <row r="780" spans="1:26" ht="15.75" customHeight="1">
      <c r="A780" s="88">
        <v>7657</v>
      </c>
      <c r="B780" s="1033" t="s">
        <v>84</v>
      </c>
      <c r="C780" s="1033"/>
      <c r="D780" s="1033"/>
      <c r="E780" s="1033"/>
      <c r="F780" s="1033"/>
      <c r="G780" s="1033"/>
      <c r="H780" s="1033"/>
      <c r="I780" s="1033"/>
      <c r="J780" s="1033"/>
      <c r="K780" s="1033"/>
      <c r="L780" s="90"/>
      <c r="M780" s="51"/>
      <c r="N780" s="113">
        <f t="shared" si="67"/>
        <v>7657</v>
      </c>
      <c r="O780" s="575">
        <v>0</v>
      </c>
      <c r="P780" s="582">
        <v>0</v>
      </c>
      <c r="Q780" s="589"/>
      <c r="R780" s="576"/>
      <c r="S780" s="583">
        <f t="shared" si="70"/>
        <v>0</v>
      </c>
      <c r="T780" s="580">
        <f t="shared" si="69"/>
        <v>0</v>
      </c>
      <c r="U780" s="51"/>
      <c r="V780" s="2119"/>
      <c r="W780" s="43"/>
      <c r="X780" s="43"/>
      <c r="Y780" s="43"/>
      <c r="Z780" s="43"/>
    </row>
    <row r="781" spans="1:26" ht="15.75" customHeight="1">
      <c r="A781" s="88">
        <v>7658</v>
      </c>
      <c r="B781" s="1033" t="s">
        <v>85</v>
      </c>
      <c r="C781" s="1033"/>
      <c r="D781" s="1033"/>
      <c r="E781" s="1033"/>
      <c r="F781" s="1033"/>
      <c r="G781" s="1033"/>
      <c r="H781" s="1033"/>
      <c r="I781" s="1033"/>
      <c r="J781" s="1033"/>
      <c r="K781" s="1033"/>
      <c r="L781" s="90"/>
      <c r="M781" s="51"/>
      <c r="N781" s="113">
        <f t="shared" si="67"/>
        <v>7658</v>
      </c>
      <c r="O781" s="575">
        <v>0</v>
      </c>
      <c r="P781" s="582">
        <v>0</v>
      </c>
      <c r="Q781" s="589"/>
      <c r="R781" s="576"/>
      <c r="S781" s="583">
        <f t="shared" si="70"/>
        <v>0</v>
      </c>
      <c r="T781" s="580">
        <f t="shared" si="69"/>
        <v>0</v>
      </c>
      <c r="U781" s="51"/>
      <c r="V781" s="2119"/>
      <c r="W781" s="43"/>
      <c r="X781" s="43"/>
      <c r="Y781" s="43"/>
      <c r="Z781" s="43"/>
    </row>
    <row r="782" spans="1:26" ht="15.75" customHeight="1">
      <c r="A782" s="88">
        <v>7672</v>
      </c>
      <c r="B782" s="1033" t="s">
        <v>86</v>
      </c>
      <c r="C782" s="1033"/>
      <c r="D782" s="1033"/>
      <c r="E782" s="1033"/>
      <c r="F782" s="1033"/>
      <c r="G782" s="1033"/>
      <c r="H782" s="1033"/>
      <c r="I782" s="1033"/>
      <c r="J782" s="1033"/>
      <c r="K782" s="1033"/>
      <c r="L782" s="90"/>
      <c r="M782" s="51"/>
      <c r="N782" s="113">
        <f t="shared" si="67"/>
        <v>7672</v>
      </c>
      <c r="O782" s="575">
        <v>0</v>
      </c>
      <c r="P782" s="582">
        <v>0</v>
      </c>
      <c r="Q782" s="589"/>
      <c r="R782" s="576"/>
      <c r="S782" s="583">
        <f t="shared" si="70"/>
        <v>0</v>
      </c>
      <c r="T782" s="580">
        <f t="shared" si="69"/>
        <v>0</v>
      </c>
      <c r="U782" s="51"/>
      <c r="V782" s="2119"/>
      <c r="W782" s="43"/>
      <c r="X782" s="43"/>
      <c r="Y782" s="43"/>
      <c r="Z782" s="43"/>
    </row>
    <row r="783" spans="1:26" ht="15.75" customHeight="1">
      <c r="A783" s="88">
        <v>7673</v>
      </c>
      <c r="B783" s="1033" t="s">
        <v>813</v>
      </c>
      <c r="C783" s="1033"/>
      <c r="D783" s="1033"/>
      <c r="E783" s="1033"/>
      <c r="F783" s="1033"/>
      <c r="G783" s="1033"/>
      <c r="H783" s="1033"/>
      <c r="I783" s="1033"/>
      <c r="J783" s="1033"/>
      <c r="K783" s="1033"/>
      <c r="L783" s="90"/>
      <c r="M783" s="51"/>
      <c r="N783" s="113">
        <f t="shared" si="67"/>
        <v>7673</v>
      </c>
      <c r="O783" s="575">
        <v>0</v>
      </c>
      <c r="P783" s="582">
        <v>0</v>
      </c>
      <c r="Q783" s="589"/>
      <c r="R783" s="576"/>
      <c r="S783" s="583">
        <f t="shared" si="70"/>
        <v>0</v>
      </c>
      <c r="T783" s="580">
        <f t="shared" si="69"/>
        <v>0</v>
      </c>
      <c r="U783" s="51"/>
      <c r="V783" s="2119"/>
      <c r="W783" s="43"/>
      <c r="X783" s="43"/>
      <c r="Y783" s="43"/>
      <c r="Z783" s="43"/>
    </row>
    <row r="784" spans="1:26" ht="15.75" customHeight="1">
      <c r="A784" s="88">
        <v>7674</v>
      </c>
      <c r="B784" s="1033" t="s">
        <v>814</v>
      </c>
      <c r="C784" s="1033"/>
      <c r="D784" s="1033"/>
      <c r="E784" s="1033"/>
      <c r="F784" s="1033"/>
      <c r="G784" s="1033"/>
      <c r="H784" s="1033"/>
      <c r="I784" s="1033"/>
      <c r="J784" s="1033"/>
      <c r="K784" s="1033"/>
      <c r="L784" s="90"/>
      <c r="M784" s="51"/>
      <c r="N784" s="113">
        <f t="shared" si="67"/>
        <v>7674</v>
      </c>
      <c r="O784" s="575">
        <v>0</v>
      </c>
      <c r="P784" s="582">
        <v>0</v>
      </c>
      <c r="Q784" s="589"/>
      <c r="R784" s="576"/>
      <c r="S784" s="583">
        <f t="shared" si="70"/>
        <v>0</v>
      </c>
      <c r="T784" s="580">
        <f t="shared" si="69"/>
        <v>0</v>
      </c>
      <c r="U784" s="51"/>
      <c r="V784" s="2119"/>
      <c r="W784" s="43"/>
      <c r="X784" s="43"/>
      <c r="Y784" s="43"/>
      <c r="Z784" s="43"/>
    </row>
    <row r="785" spans="1:26" ht="15.75" customHeight="1">
      <c r="A785" s="88">
        <v>7675</v>
      </c>
      <c r="B785" s="1033" t="s">
        <v>815</v>
      </c>
      <c r="C785" s="1033"/>
      <c r="D785" s="1033"/>
      <c r="E785" s="1033"/>
      <c r="F785" s="1033"/>
      <c r="G785" s="1033"/>
      <c r="H785" s="1033"/>
      <c r="I785" s="1033"/>
      <c r="J785" s="1033"/>
      <c r="K785" s="1033"/>
      <c r="L785" s="90"/>
      <c r="M785" s="51"/>
      <c r="N785" s="113">
        <f t="shared" si="67"/>
        <v>7675</v>
      </c>
      <c r="O785" s="575">
        <v>0</v>
      </c>
      <c r="P785" s="582">
        <v>0</v>
      </c>
      <c r="Q785" s="589"/>
      <c r="R785" s="576"/>
      <c r="S785" s="583">
        <f t="shared" si="70"/>
        <v>0</v>
      </c>
      <c r="T785" s="580">
        <f t="shared" si="69"/>
        <v>0</v>
      </c>
      <c r="U785" s="51"/>
      <c r="V785" s="2119"/>
      <c r="W785" s="43"/>
      <c r="X785" s="43"/>
      <c r="Y785" s="43"/>
      <c r="Z785" s="43"/>
    </row>
    <row r="786" spans="1:26" ht="15.75" customHeight="1">
      <c r="A786" s="88">
        <v>7677</v>
      </c>
      <c r="B786" s="1033" t="s">
        <v>816</v>
      </c>
      <c r="C786" s="1033"/>
      <c r="D786" s="1033"/>
      <c r="E786" s="1033"/>
      <c r="F786" s="1033"/>
      <c r="G786" s="1033"/>
      <c r="H786" s="1033"/>
      <c r="I786" s="1033"/>
      <c r="J786" s="1033"/>
      <c r="K786" s="1033"/>
      <c r="L786" s="90"/>
      <c r="M786" s="51"/>
      <c r="N786" s="113">
        <f t="shared" si="67"/>
        <v>7677</v>
      </c>
      <c r="O786" s="575">
        <v>0</v>
      </c>
      <c r="P786" s="582">
        <v>0</v>
      </c>
      <c r="Q786" s="589"/>
      <c r="R786" s="576"/>
      <c r="S786" s="583">
        <f t="shared" si="70"/>
        <v>0</v>
      </c>
      <c r="T786" s="580">
        <f t="shared" si="69"/>
        <v>0</v>
      </c>
      <c r="U786" s="51"/>
      <c r="V786" s="2119"/>
      <c r="W786" s="43"/>
      <c r="X786" s="43"/>
      <c r="Y786" s="43"/>
      <c r="Z786" s="43"/>
    </row>
    <row r="787" spans="1:26" ht="15.75" customHeight="1">
      <c r="A787" s="88">
        <v>7678</v>
      </c>
      <c r="B787" s="1033" t="s">
        <v>817</v>
      </c>
      <c r="C787" s="1033"/>
      <c r="D787" s="1033"/>
      <c r="E787" s="1033"/>
      <c r="F787" s="1033"/>
      <c r="G787" s="1033"/>
      <c r="H787" s="1033"/>
      <c r="I787" s="1033"/>
      <c r="J787" s="1033"/>
      <c r="K787" s="1033"/>
      <c r="L787" s="90"/>
      <c r="M787" s="51"/>
      <c r="N787" s="113">
        <f t="shared" si="67"/>
        <v>7678</v>
      </c>
      <c r="O787" s="575">
        <v>0</v>
      </c>
      <c r="P787" s="582">
        <v>0</v>
      </c>
      <c r="Q787" s="589"/>
      <c r="R787" s="576"/>
      <c r="S787" s="583">
        <f t="shared" si="70"/>
        <v>0</v>
      </c>
      <c r="T787" s="580">
        <f t="shared" si="69"/>
        <v>0</v>
      </c>
      <c r="U787" s="51"/>
      <c r="V787" s="2119"/>
      <c r="W787" s="43"/>
      <c r="X787" s="43"/>
      <c r="Y787" s="43"/>
      <c r="Z787" s="43"/>
    </row>
    <row r="788" spans="1:26">
      <c r="A788" s="88">
        <v>7682</v>
      </c>
      <c r="B788" s="1042" t="s">
        <v>818</v>
      </c>
      <c r="C788" s="1033"/>
      <c r="D788" s="1033"/>
      <c r="E788" s="1033"/>
      <c r="F788" s="1033"/>
      <c r="G788" s="1033"/>
      <c r="H788" s="1033"/>
      <c r="I788" s="1033"/>
      <c r="J788" s="1033"/>
      <c r="K788" s="1033"/>
      <c r="L788" s="90"/>
      <c r="M788" s="51"/>
      <c r="N788" s="113">
        <f t="shared" si="67"/>
        <v>7682</v>
      </c>
      <c r="O788" s="575">
        <v>0</v>
      </c>
      <c r="P788" s="582">
        <v>0</v>
      </c>
      <c r="Q788" s="589"/>
      <c r="R788" s="576"/>
      <c r="S788" s="583">
        <f t="shared" si="70"/>
        <v>0</v>
      </c>
      <c r="T788" s="580">
        <f t="shared" si="69"/>
        <v>0</v>
      </c>
      <c r="U788" s="51"/>
      <c r="V788" s="2119"/>
      <c r="W788" s="43"/>
      <c r="X788" s="43"/>
      <c r="Y788" s="43"/>
      <c r="Z788" s="43"/>
    </row>
    <row r="789" spans="1:26">
      <c r="A789" s="88">
        <v>7684</v>
      </c>
      <c r="B789" s="1042" t="s">
        <v>819</v>
      </c>
      <c r="C789" s="1033"/>
      <c r="D789" s="1033"/>
      <c r="E789" s="1033"/>
      <c r="F789" s="1033"/>
      <c r="G789" s="1033"/>
      <c r="H789" s="1033"/>
      <c r="I789" s="1033"/>
      <c r="J789" s="1033"/>
      <c r="K789" s="1033"/>
      <c r="L789" s="90"/>
      <c r="M789" s="51"/>
      <c r="N789" s="113">
        <f t="shared" si="67"/>
        <v>7684</v>
      </c>
      <c r="O789" s="575">
        <v>0</v>
      </c>
      <c r="P789" s="582">
        <v>0</v>
      </c>
      <c r="Q789" s="589">
        <v>0</v>
      </c>
      <c r="R789" s="576">
        <v>0</v>
      </c>
      <c r="S789" s="583">
        <f t="shared" si="70"/>
        <v>0</v>
      </c>
      <c r="T789" s="580">
        <f t="shared" si="69"/>
        <v>0</v>
      </c>
      <c r="U789" s="51"/>
      <c r="V789" s="2119"/>
      <c r="W789" s="43"/>
      <c r="X789" s="43"/>
      <c r="Y789" s="43"/>
      <c r="Z789" s="43"/>
    </row>
    <row r="790" spans="1:26" ht="15.75" customHeight="1">
      <c r="A790" s="88">
        <v>7685</v>
      </c>
      <c r="B790" s="1042" t="s">
        <v>820</v>
      </c>
      <c r="C790" s="1033"/>
      <c r="D790" s="1033"/>
      <c r="E790" s="1033"/>
      <c r="F790" s="1033"/>
      <c r="G790" s="1033"/>
      <c r="H790" s="1033"/>
      <c r="I790" s="1033"/>
      <c r="J790" s="1033"/>
      <c r="K790" s="1033"/>
      <c r="L790" s="90"/>
      <c r="M790" s="51"/>
      <c r="N790" s="113">
        <f t="shared" si="67"/>
        <v>7685</v>
      </c>
      <c r="O790" s="575">
        <v>0</v>
      </c>
      <c r="P790" s="582">
        <v>0</v>
      </c>
      <c r="Q790" s="589"/>
      <c r="R790" s="576"/>
      <c r="S790" s="583">
        <f t="shared" si="70"/>
        <v>0</v>
      </c>
      <c r="T790" s="580">
        <f t="shared" si="69"/>
        <v>0</v>
      </c>
      <c r="U790" s="51"/>
      <c r="V790" s="2119"/>
      <c r="W790" s="43"/>
      <c r="X790" s="43"/>
      <c r="Y790" s="43"/>
      <c r="Z790" s="43"/>
    </row>
    <row r="791" spans="1:26" ht="15.75" customHeight="1">
      <c r="A791" s="88">
        <v>7689</v>
      </c>
      <c r="B791" s="1042" t="s">
        <v>821</v>
      </c>
      <c r="C791" s="1033"/>
      <c r="D791" s="1033"/>
      <c r="E791" s="1033"/>
      <c r="F791" s="1033"/>
      <c r="G791" s="1033"/>
      <c r="H791" s="1033"/>
      <c r="I791" s="1033"/>
      <c r="J791" s="1033"/>
      <c r="K791" s="1033"/>
      <c r="L791" s="90"/>
      <c r="M791" s="51"/>
      <c r="N791" s="113">
        <f t="shared" si="67"/>
        <v>7689</v>
      </c>
      <c r="O791" s="575">
        <v>0</v>
      </c>
      <c r="P791" s="582">
        <v>0</v>
      </c>
      <c r="Q791" s="589"/>
      <c r="R791" s="576"/>
      <c r="S791" s="583">
        <f t="shared" si="70"/>
        <v>0</v>
      </c>
      <c r="T791" s="580">
        <f t="shared" si="69"/>
        <v>0</v>
      </c>
      <c r="U791" s="51"/>
      <c r="V791" s="2119"/>
      <c r="W791" s="43"/>
      <c r="X791" s="43"/>
      <c r="Y791" s="43"/>
      <c r="Z791" s="43"/>
    </row>
    <row r="792" spans="1:26">
      <c r="A792" s="88">
        <v>7692</v>
      </c>
      <c r="B792" s="378" t="s">
        <v>822</v>
      </c>
      <c r="C792" s="1033"/>
      <c r="D792" s="1033"/>
      <c r="E792" s="1033"/>
      <c r="F792" s="1033"/>
      <c r="G792" s="1033"/>
      <c r="H792" s="1033"/>
      <c r="I792" s="1033"/>
      <c r="J792" s="1033"/>
      <c r="K792" s="1033"/>
      <c r="L792" s="90"/>
      <c r="M792" s="51"/>
      <c r="N792" s="113">
        <f t="shared" si="67"/>
        <v>7692</v>
      </c>
      <c r="O792" s="575">
        <v>0</v>
      </c>
      <c r="P792" s="582">
        <v>0</v>
      </c>
      <c r="Q792" s="589"/>
      <c r="R792" s="576"/>
      <c r="S792" s="583">
        <f t="shared" si="70"/>
        <v>0</v>
      </c>
      <c r="T792" s="580">
        <f t="shared" si="69"/>
        <v>0</v>
      </c>
      <c r="U792" s="51"/>
      <c r="V792" s="2119"/>
      <c r="W792" s="43"/>
      <c r="X792" s="43"/>
      <c r="Y792" s="43"/>
      <c r="Z792" s="43"/>
    </row>
    <row r="793" spans="1:26" ht="15.75" customHeight="1">
      <c r="A793" s="88">
        <v>7693</v>
      </c>
      <c r="B793" s="1042" t="s">
        <v>823</v>
      </c>
      <c r="C793" s="1033"/>
      <c r="D793" s="1033"/>
      <c r="E793" s="1033"/>
      <c r="F793" s="1033"/>
      <c r="G793" s="1033"/>
      <c r="H793" s="1033"/>
      <c r="I793" s="1033"/>
      <c r="J793" s="1033"/>
      <c r="K793" s="1033"/>
      <c r="L793" s="90"/>
      <c r="M793" s="51"/>
      <c r="N793" s="113">
        <f t="shared" si="67"/>
        <v>7693</v>
      </c>
      <c r="O793" s="575">
        <v>0</v>
      </c>
      <c r="P793" s="582">
        <v>0</v>
      </c>
      <c r="Q793" s="589"/>
      <c r="R793" s="576"/>
      <c r="S793" s="583">
        <f t="shared" si="70"/>
        <v>0</v>
      </c>
      <c r="T793" s="580">
        <f t="shared" si="69"/>
        <v>0</v>
      </c>
      <c r="U793" s="51"/>
      <c r="V793" s="2119"/>
      <c r="W793" s="43"/>
      <c r="X793" s="43"/>
      <c r="Y793" s="43"/>
      <c r="Z793" s="43"/>
    </row>
    <row r="794" spans="1:26" ht="15.75" customHeight="1">
      <c r="A794" s="88">
        <v>7694</v>
      </c>
      <c r="B794" s="1042" t="s">
        <v>824</v>
      </c>
      <c r="C794" s="1033"/>
      <c r="D794" s="1033"/>
      <c r="E794" s="1033"/>
      <c r="F794" s="1033"/>
      <c r="G794" s="1033"/>
      <c r="H794" s="1033"/>
      <c r="I794" s="1033"/>
      <c r="J794" s="1033"/>
      <c r="K794" s="1033"/>
      <c r="L794" s="90"/>
      <c r="M794" s="51"/>
      <c r="N794" s="113">
        <f t="shared" ref="N794:N828" si="71">+A794</f>
        <v>7694</v>
      </c>
      <c r="O794" s="575">
        <v>0</v>
      </c>
      <c r="P794" s="582">
        <v>0</v>
      </c>
      <c r="Q794" s="589"/>
      <c r="R794" s="576"/>
      <c r="S794" s="583">
        <f t="shared" si="70"/>
        <v>0</v>
      </c>
      <c r="T794" s="580">
        <f t="shared" si="69"/>
        <v>0</v>
      </c>
      <c r="U794" s="51"/>
      <c r="V794" s="2119"/>
      <c r="W794" s="43"/>
      <c r="X794" s="43"/>
      <c r="Y794" s="43"/>
      <c r="Z794" s="43"/>
    </row>
    <row r="795" spans="1:26" ht="15.75" customHeight="1">
      <c r="A795" s="88">
        <v>7695</v>
      </c>
      <c r="B795" s="1042" t="s">
        <v>2108</v>
      </c>
      <c r="C795" s="1033"/>
      <c r="D795" s="1033"/>
      <c r="E795" s="1033"/>
      <c r="F795" s="1033"/>
      <c r="G795" s="1033"/>
      <c r="H795" s="1033"/>
      <c r="I795" s="1033"/>
      <c r="J795" s="1033"/>
      <c r="K795" s="1033"/>
      <c r="L795" s="90"/>
      <c r="M795" s="51"/>
      <c r="N795" s="113">
        <f t="shared" si="71"/>
        <v>7695</v>
      </c>
      <c r="O795" s="575">
        <v>0</v>
      </c>
      <c r="P795" s="582">
        <v>0</v>
      </c>
      <c r="Q795" s="589"/>
      <c r="R795" s="576"/>
      <c r="S795" s="583">
        <f t="shared" si="70"/>
        <v>0</v>
      </c>
      <c r="T795" s="580">
        <f t="shared" si="69"/>
        <v>0</v>
      </c>
      <c r="U795" s="51"/>
      <c r="V795" s="2119"/>
      <c r="W795" s="43"/>
      <c r="X795" s="43"/>
      <c r="Y795" s="43"/>
      <c r="Z795" s="43"/>
    </row>
    <row r="796" spans="1:26">
      <c r="A796" s="88">
        <v>7697</v>
      </c>
      <c r="B796" s="378" t="s">
        <v>825</v>
      </c>
      <c r="C796" s="1033"/>
      <c r="D796" s="1033"/>
      <c r="E796" s="1033"/>
      <c r="F796" s="1033"/>
      <c r="G796" s="1033"/>
      <c r="H796" s="1033"/>
      <c r="I796" s="1033"/>
      <c r="J796" s="1033"/>
      <c r="K796" s="1033"/>
      <c r="L796" s="90"/>
      <c r="M796" s="51"/>
      <c r="N796" s="113">
        <f t="shared" si="71"/>
        <v>7697</v>
      </c>
      <c r="O796" s="575">
        <v>0</v>
      </c>
      <c r="P796" s="582">
        <v>0</v>
      </c>
      <c r="Q796" s="589"/>
      <c r="R796" s="576"/>
      <c r="S796" s="583">
        <f t="shared" si="70"/>
        <v>0</v>
      </c>
      <c r="T796" s="580">
        <f t="shared" si="69"/>
        <v>0</v>
      </c>
      <c r="U796" s="51"/>
      <c r="V796" s="2119"/>
      <c r="W796" s="43"/>
      <c r="X796" s="43"/>
      <c r="Y796" s="43"/>
      <c r="Z796" s="43"/>
    </row>
    <row r="797" spans="1:26">
      <c r="A797" s="88">
        <v>7698</v>
      </c>
      <c r="B797" s="378" t="s">
        <v>826</v>
      </c>
      <c r="C797" s="1033"/>
      <c r="D797" s="1033"/>
      <c r="E797" s="1033"/>
      <c r="F797" s="1033"/>
      <c r="G797" s="1033"/>
      <c r="H797" s="1033"/>
      <c r="I797" s="1033"/>
      <c r="J797" s="1033"/>
      <c r="K797" s="1033"/>
      <c r="L797" s="90"/>
      <c r="M797" s="51"/>
      <c r="N797" s="113">
        <f t="shared" si="71"/>
        <v>7698</v>
      </c>
      <c r="O797" s="575">
        <v>0</v>
      </c>
      <c r="P797" s="582">
        <v>0</v>
      </c>
      <c r="Q797" s="589"/>
      <c r="R797" s="576"/>
      <c r="S797" s="583">
        <f t="shared" si="70"/>
        <v>0</v>
      </c>
      <c r="T797" s="580">
        <f t="shared" si="69"/>
        <v>0</v>
      </c>
      <c r="U797" s="51"/>
      <c r="V797" s="2119"/>
      <c r="W797" s="43"/>
      <c r="X797" s="43"/>
      <c r="Y797" s="43"/>
      <c r="Z797" s="43"/>
    </row>
    <row r="798" spans="1:26">
      <c r="A798" s="88">
        <v>7699</v>
      </c>
      <c r="B798" s="1032" t="s">
        <v>827</v>
      </c>
      <c r="C798" s="1033"/>
      <c r="D798" s="1033"/>
      <c r="E798" s="1033"/>
      <c r="F798" s="1033"/>
      <c r="G798" s="1033"/>
      <c r="H798" s="1033"/>
      <c r="I798" s="1033"/>
      <c r="J798" s="1033"/>
      <c r="K798" s="1033"/>
      <c r="L798" s="90"/>
      <c r="M798" s="51"/>
      <c r="N798" s="113">
        <f t="shared" si="71"/>
        <v>7699</v>
      </c>
      <c r="O798" s="575">
        <v>0</v>
      </c>
      <c r="P798" s="582">
        <v>0</v>
      </c>
      <c r="Q798" s="589"/>
      <c r="R798" s="576"/>
      <c r="S798" s="583">
        <f t="shared" si="70"/>
        <v>0</v>
      </c>
      <c r="T798" s="580">
        <f t="shared" si="69"/>
        <v>0</v>
      </c>
      <c r="U798" s="51"/>
      <c r="V798" s="2119"/>
      <c r="W798" s="43"/>
      <c r="X798" s="43"/>
      <c r="Y798" s="43"/>
      <c r="Z798" s="43"/>
    </row>
    <row r="799" spans="1:26">
      <c r="A799" s="88">
        <v>7801</v>
      </c>
      <c r="B799" s="378" t="s">
        <v>828</v>
      </c>
      <c r="C799" s="1033"/>
      <c r="D799" s="1033"/>
      <c r="E799" s="1033"/>
      <c r="F799" s="1033"/>
      <c r="G799" s="1033"/>
      <c r="H799" s="1033"/>
      <c r="I799" s="1033"/>
      <c r="J799" s="1033"/>
      <c r="K799" s="1033"/>
      <c r="L799" s="90"/>
      <c r="M799" s="51"/>
      <c r="N799" s="113">
        <f t="shared" si="71"/>
        <v>7801</v>
      </c>
      <c r="O799" s="575">
        <v>0</v>
      </c>
      <c r="P799" s="582">
        <v>0</v>
      </c>
      <c r="Q799" s="589">
        <v>0</v>
      </c>
      <c r="R799" s="576">
        <v>0</v>
      </c>
      <c r="S799" s="583">
        <f t="shared" si="70"/>
        <v>0</v>
      </c>
      <c r="T799" s="580">
        <f t="shared" si="69"/>
        <v>0</v>
      </c>
      <c r="U799" s="51"/>
      <c r="V799" s="2119"/>
      <c r="W799" s="43"/>
      <c r="X799" s="43"/>
      <c r="Y799" s="43"/>
      <c r="Z799" s="43"/>
    </row>
    <row r="800" spans="1:26">
      <c r="A800" s="88">
        <v>7802</v>
      </c>
      <c r="B800" s="378" t="s">
        <v>829</v>
      </c>
      <c r="C800" s="1033"/>
      <c r="D800" s="1033"/>
      <c r="E800" s="1033"/>
      <c r="F800" s="1033"/>
      <c r="G800" s="1033"/>
      <c r="H800" s="1033"/>
      <c r="I800" s="1033"/>
      <c r="J800" s="1033"/>
      <c r="K800" s="1033"/>
      <c r="L800" s="90"/>
      <c r="M800" s="51"/>
      <c r="N800" s="113">
        <f t="shared" si="71"/>
        <v>7802</v>
      </c>
      <c r="O800" s="575">
        <v>0</v>
      </c>
      <c r="P800" s="582">
        <v>0</v>
      </c>
      <c r="Q800" s="589">
        <v>0</v>
      </c>
      <c r="R800" s="576">
        <v>0</v>
      </c>
      <c r="S800" s="583">
        <f t="shared" si="70"/>
        <v>0</v>
      </c>
      <c r="T800" s="580">
        <f t="shared" si="69"/>
        <v>0</v>
      </c>
      <c r="U800" s="51"/>
      <c r="V800" s="2119"/>
      <c r="W800" s="43"/>
      <c r="X800" s="43"/>
      <c r="Y800" s="43"/>
      <c r="Z800" s="43"/>
    </row>
    <row r="801" spans="1:26" ht="15.75" customHeight="1">
      <c r="A801" s="88">
        <v>7803</v>
      </c>
      <c r="B801" s="1042" t="s">
        <v>830</v>
      </c>
      <c r="C801" s="1033"/>
      <c r="D801" s="1033"/>
      <c r="E801" s="1033"/>
      <c r="F801" s="1033"/>
      <c r="G801" s="1033"/>
      <c r="H801" s="1033"/>
      <c r="I801" s="1033"/>
      <c r="J801" s="1033"/>
      <c r="K801" s="1033"/>
      <c r="L801" s="90"/>
      <c r="M801" s="51"/>
      <c r="N801" s="113">
        <f t="shared" si="71"/>
        <v>7803</v>
      </c>
      <c r="O801" s="575">
        <v>0</v>
      </c>
      <c r="P801" s="582">
        <v>0</v>
      </c>
      <c r="Q801" s="589"/>
      <c r="R801" s="576"/>
      <c r="S801" s="583">
        <f t="shared" si="70"/>
        <v>0</v>
      </c>
      <c r="T801" s="580">
        <f t="shared" ref="T801:T828" si="72">+IF(ABS(+O801+Q801)&lt;=ABS(P801+R801),-O801+P801-Q801+R801,0)</f>
        <v>0</v>
      </c>
      <c r="U801" s="51"/>
      <c r="V801" s="2119"/>
      <c r="W801" s="43"/>
      <c r="X801" s="43"/>
      <c r="Y801" s="43"/>
      <c r="Z801" s="43"/>
    </row>
    <row r="802" spans="1:26" ht="15.75" customHeight="1">
      <c r="A802" s="88">
        <v>7804</v>
      </c>
      <c r="B802" s="1042" t="s">
        <v>831</v>
      </c>
      <c r="C802" s="1033"/>
      <c r="D802" s="1033"/>
      <c r="E802" s="1033"/>
      <c r="F802" s="1033"/>
      <c r="G802" s="1033"/>
      <c r="H802" s="1033"/>
      <c r="I802" s="1033"/>
      <c r="J802" s="1033"/>
      <c r="K802" s="1033"/>
      <c r="L802" s="90"/>
      <c r="M802" s="51"/>
      <c r="N802" s="113">
        <f t="shared" si="71"/>
        <v>7804</v>
      </c>
      <c r="O802" s="575">
        <v>0</v>
      </c>
      <c r="P802" s="582">
        <v>0</v>
      </c>
      <c r="Q802" s="589"/>
      <c r="R802" s="576"/>
      <c r="S802" s="583">
        <f t="shared" si="70"/>
        <v>0</v>
      </c>
      <c r="T802" s="580">
        <f t="shared" si="72"/>
        <v>0</v>
      </c>
      <c r="U802" s="51"/>
      <c r="V802" s="2119"/>
      <c r="W802" s="43"/>
      <c r="X802" s="43"/>
      <c r="Y802" s="43"/>
      <c r="Z802" s="43"/>
    </row>
    <row r="803" spans="1:26">
      <c r="A803" s="88">
        <v>7807</v>
      </c>
      <c r="B803" s="378" t="s">
        <v>832</v>
      </c>
      <c r="C803" s="1033"/>
      <c r="D803" s="1033"/>
      <c r="E803" s="1033"/>
      <c r="F803" s="1033"/>
      <c r="G803" s="1033"/>
      <c r="H803" s="1033"/>
      <c r="I803" s="1033"/>
      <c r="J803" s="1033"/>
      <c r="K803" s="1033"/>
      <c r="L803" s="90"/>
      <c r="M803" s="51"/>
      <c r="N803" s="113">
        <f t="shared" si="71"/>
        <v>7807</v>
      </c>
      <c r="O803" s="575">
        <v>0</v>
      </c>
      <c r="P803" s="582">
        <v>0</v>
      </c>
      <c r="Q803" s="589"/>
      <c r="R803" s="576"/>
      <c r="S803" s="583">
        <f t="shared" si="70"/>
        <v>0</v>
      </c>
      <c r="T803" s="580">
        <f t="shared" si="72"/>
        <v>0</v>
      </c>
      <c r="U803" s="51"/>
      <c r="V803" s="2119"/>
      <c r="W803" s="43"/>
      <c r="X803" s="43"/>
      <c r="Y803" s="43"/>
      <c r="Z803" s="43"/>
    </row>
    <row r="804" spans="1:26">
      <c r="A804" s="88">
        <v>7808</v>
      </c>
      <c r="B804" s="378" t="s">
        <v>833</v>
      </c>
      <c r="C804" s="1033"/>
      <c r="D804" s="1033"/>
      <c r="E804" s="1033"/>
      <c r="F804" s="1033"/>
      <c r="G804" s="1033"/>
      <c r="H804" s="1033"/>
      <c r="I804" s="1033"/>
      <c r="J804" s="1033"/>
      <c r="K804" s="1033"/>
      <c r="L804" s="90"/>
      <c r="M804" s="51"/>
      <c r="N804" s="113">
        <f t="shared" si="71"/>
        <v>7808</v>
      </c>
      <c r="O804" s="575">
        <v>0</v>
      </c>
      <c r="P804" s="582">
        <v>0</v>
      </c>
      <c r="Q804" s="589"/>
      <c r="R804" s="576"/>
      <c r="S804" s="583">
        <f t="shared" si="70"/>
        <v>0</v>
      </c>
      <c r="T804" s="580">
        <f t="shared" si="72"/>
        <v>0</v>
      </c>
      <c r="U804" s="51"/>
      <c r="V804" s="2119"/>
      <c r="W804" s="43"/>
      <c r="X804" s="43"/>
      <c r="Y804" s="43"/>
      <c r="Z804" s="43"/>
    </row>
    <row r="805" spans="1:26" ht="15.75" customHeight="1">
      <c r="A805" s="88">
        <v>7901</v>
      </c>
      <c r="B805" s="1042" t="s">
        <v>834</v>
      </c>
      <c r="C805" s="1033"/>
      <c r="D805" s="1033"/>
      <c r="E805" s="1033"/>
      <c r="F805" s="1033"/>
      <c r="G805" s="1033"/>
      <c r="H805" s="1033"/>
      <c r="I805" s="1033"/>
      <c r="J805" s="1033"/>
      <c r="K805" s="1033"/>
      <c r="L805" s="90"/>
      <c r="M805" s="51"/>
      <c r="N805" s="113">
        <f t="shared" si="71"/>
        <v>7901</v>
      </c>
      <c r="O805" s="575">
        <v>0</v>
      </c>
      <c r="P805" s="582">
        <v>0</v>
      </c>
      <c r="Q805" s="589"/>
      <c r="R805" s="576"/>
      <c r="S805" s="583">
        <f t="shared" si="70"/>
        <v>0</v>
      </c>
      <c r="T805" s="580">
        <f t="shared" si="72"/>
        <v>0</v>
      </c>
      <c r="U805" s="51"/>
      <c r="V805" s="2119"/>
      <c r="W805" s="43"/>
      <c r="X805" s="43"/>
      <c r="Y805" s="43"/>
      <c r="Z805" s="43"/>
    </row>
    <row r="806" spans="1:26" ht="15.75" customHeight="1">
      <c r="A806" s="88">
        <v>7902</v>
      </c>
      <c r="B806" s="1042" t="s">
        <v>835</v>
      </c>
      <c r="C806" s="1033"/>
      <c r="D806" s="1033"/>
      <c r="E806" s="1033"/>
      <c r="F806" s="1033"/>
      <c r="G806" s="1033"/>
      <c r="H806" s="1033"/>
      <c r="I806" s="1033"/>
      <c r="J806" s="1033"/>
      <c r="K806" s="1033"/>
      <c r="L806" s="90"/>
      <c r="M806" s="51"/>
      <c r="N806" s="113">
        <f t="shared" si="71"/>
        <v>7902</v>
      </c>
      <c r="O806" s="575">
        <v>0</v>
      </c>
      <c r="P806" s="582">
        <v>0</v>
      </c>
      <c r="Q806" s="589"/>
      <c r="R806" s="576"/>
      <c r="S806" s="583">
        <f t="shared" si="70"/>
        <v>0</v>
      </c>
      <c r="T806" s="580">
        <f t="shared" si="72"/>
        <v>0</v>
      </c>
      <c r="U806" s="51"/>
      <c r="V806" s="2119"/>
      <c r="W806" s="43"/>
      <c r="X806" s="43"/>
      <c r="Y806" s="43"/>
      <c r="Z806" s="43"/>
    </row>
    <row r="807" spans="1:26" ht="15.75" customHeight="1">
      <c r="A807" s="88">
        <v>7903</v>
      </c>
      <c r="B807" s="1042" t="s">
        <v>836</v>
      </c>
      <c r="C807" s="1033"/>
      <c r="D807" s="1033"/>
      <c r="E807" s="1033"/>
      <c r="F807" s="1033"/>
      <c r="G807" s="1033"/>
      <c r="H807" s="1033"/>
      <c r="I807" s="1033"/>
      <c r="J807" s="1033"/>
      <c r="K807" s="1033"/>
      <c r="L807" s="90"/>
      <c r="M807" s="51"/>
      <c r="N807" s="113">
        <f t="shared" si="71"/>
        <v>7903</v>
      </c>
      <c r="O807" s="575">
        <v>0</v>
      </c>
      <c r="P807" s="582">
        <v>0</v>
      </c>
      <c r="Q807" s="589"/>
      <c r="R807" s="576"/>
      <c r="S807" s="583">
        <f t="shared" si="70"/>
        <v>0</v>
      </c>
      <c r="T807" s="580">
        <f t="shared" si="72"/>
        <v>0</v>
      </c>
      <c r="U807" s="51"/>
      <c r="V807" s="2119"/>
      <c r="W807" s="43"/>
      <c r="X807" s="43"/>
      <c r="Y807" s="43"/>
      <c r="Z807" s="43"/>
    </row>
    <row r="808" spans="1:26" ht="15.75" customHeight="1">
      <c r="A808" s="88">
        <v>7904</v>
      </c>
      <c r="B808" s="1042" t="s">
        <v>837</v>
      </c>
      <c r="C808" s="1033"/>
      <c r="D808" s="1033"/>
      <c r="E808" s="1033"/>
      <c r="F808" s="1033"/>
      <c r="G808" s="1033"/>
      <c r="H808" s="1033"/>
      <c r="I808" s="1033"/>
      <c r="J808" s="1033"/>
      <c r="K808" s="1033"/>
      <c r="L808" s="90"/>
      <c r="M808" s="51"/>
      <c r="N808" s="113">
        <f t="shared" si="71"/>
        <v>7904</v>
      </c>
      <c r="O808" s="575">
        <v>0</v>
      </c>
      <c r="P808" s="582">
        <v>0</v>
      </c>
      <c r="Q808" s="589"/>
      <c r="R808" s="576"/>
      <c r="S808" s="583">
        <f t="shared" si="70"/>
        <v>0</v>
      </c>
      <c r="T808" s="580">
        <f t="shared" si="72"/>
        <v>0</v>
      </c>
      <c r="U808" s="51"/>
      <c r="V808" s="2119"/>
      <c r="W808" s="43"/>
      <c r="X808" s="43"/>
      <c r="Y808" s="43"/>
      <c r="Z808" s="43"/>
    </row>
    <row r="809" spans="1:26" ht="15.75" customHeight="1">
      <c r="A809" s="88">
        <v>7905</v>
      </c>
      <c r="B809" s="1042" t="s">
        <v>838</v>
      </c>
      <c r="C809" s="1033"/>
      <c r="D809" s="1033"/>
      <c r="E809" s="1033"/>
      <c r="F809" s="1033"/>
      <c r="G809" s="1033"/>
      <c r="H809" s="1033"/>
      <c r="I809" s="1033"/>
      <c r="J809" s="1033"/>
      <c r="K809" s="1033"/>
      <c r="L809" s="90"/>
      <c r="M809" s="51"/>
      <c r="N809" s="113">
        <f t="shared" si="71"/>
        <v>7905</v>
      </c>
      <c r="O809" s="575">
        <v>0</v>
      </c>
      <c r="P809" s="582">
        <v>0</v>
      </c>
      <c r="Q809" s="589"/>
      <c r="R809" s="576"/>
      <c r="S809" s="583">
        <f t="shared" si="70"/>
        <v>0</v>
      </c>
      <c r="T809" s="580">
        <f t="shared" si="72"/>
        <v>0</v>
      </c>
      <c r="U809" s="51"/>
      <c r="V809" s="2119"/>
      <c r="W809" s="43"/>
      <c r="X809" s="43"/>
      <c r="Y809" s="43"/>
      <c r="Z809" s="43"/>
    </row>
    <row r="810" spans="1:26" ht="15.75" customHeight="1">
      <c r="A810" s="88">
        <v>7906</v>
      </c>
      <c r="B810" s="1042" t="s">
        <v>839</v>
      </c>
      <c r="C810" s="1033"/>
      <c r="D810" s="1033"/>
      <c r="E810" s="1033"/>
      <c r="F810" s="1033"/>
      <c r="G810" s="1033"/>
      <c r="H810" s="1033"/>
      <c r="I810" s="1033"/>
      <c r="J810" s="1033"/>
      <c r="K810" s="1033"/>
      <c r="L810" s="90"/>
      <c r="M810" s="51"/>
      <c r="N810" s="113">
        <f t="shared" si="71"/>
        <v>7906</v>
      </c>
      <c r="O810" s="575">
        <v>0</v>
      </c>
      <c r="P810" s="582">
        <v>0</v>
      </c>
      <c r="Q810" s="589"/>
      <c r="R810" s="576"/>
      <c r="S810" s="583">
        <f t="shared" si="70"/>
        <v>0</v>
      </c>
      <c r="T810" s="580">
        <f t="shared" si="72"/>
        <v>0</v>
      </c>
      <c r="U810" s="51"/>
      <c r="V810" s="2119"/>
      <c r="W810" s="43"/>
      <c r="X810" s="43"/>
      <c r="Y810" s="43"/>
      <c r="Z810" s="43"/>
    </row>
    <row r="811" spans="1:26">
      <c r="A811" s="88">
        <v>7911</v>
      </c>
      <c r="B811" s="1042" t="s">
        <v>840</v>
      </c>
      <c r="C811" s="1033"/>
      <c r="D811" s="1033"/>
      <c r="E811" s="1033"/>
      <c r="F811" s="1033"/>
      <c r="G811" s="1033"/>
      <c r="H811" s="1033"/>
      <c r="I811" s="1033"/>
      <c r="J811" s="1033"/>
      <c r="K811" s="1033"/>
      <c r="L811" s="90"/>
      <c r="M811" s="51"/>
      <c r="N811" s="113">
        <f t="shared" si="71"/>
        <v>7911</v>
      </c>
      <c r="O811" s="575">
        <v>0</v>
      </c>
      <c r="P811" s="582">
        <v>0</v>
      </c>
      <c r="Q811" s="589"/>
      <c r="R811" s="576"/>
      <c r="S811" s="583">
        <f t="shared" si="70"/>
        <v>0</v>
      </c>
      <c r="T811" s="580">
        <f t="shared" si="72"/>
        <v>0</v>
      </c>
      <c r="U811" s="51"/>
      <c r="V811" s="2119"/>
      <c r="W811" s="43"/>
      <c r="X811" s="43"/>
      <c r="Y811" s="43"/>
      <c r="Z811" s="43"/>
    </row>
    <row r="812" spans="1:26">
      <c r="A812" s="88">
        <v>7912</v>
      </c>
      <c r="B812" s="1042" t="s">
        <v>841</v>
      </c>
      <c r="C812" s="1033"/>
      <c r="D812" s="1033"/>
      <c r="E812" s="1033"/>
      <c r="F812" s="1033"/>
      <c r="G812" s="1033"/>
      <c r="H812" s="1033"/>
      <c r="I812" s="1033"/>
      <c r="J812" s="1033"/>
      <c r="K812" s="1033"/>
      <c r="L812" s="90"/>
      <c r="M812" s="51"/>
      <c r="N812" s="113">
        <f t="shared" si="71"/>
        <v>7912</v>
      </c>
      <c r="O812" s="575">
        <v>0</v>
      </c>
      <c r="P812" s="582">
        <v>0</v>
      </c>
      <c r="Q812" s="589"/>
      <c r="R812" s="576"/>
      <c r="S812" s="583">
        <f t="shared" si="70"/>
        <v>0</v>
      </c>
      <c r="T812" s="580">
        <f t="shared" si="72"/>
        <v>0</v>
      </c>
      <c r="U812" s="51"/>
      <c r="V812" s="2119"/>
      <c r="W812" s="43"/>
      <c r="X812" s="43"/>
      <c r="Y812" s="43"/>
      <c r="Z812" s="43"/>
    </row>
    <row r="813" spans="1:26" ht="15.75" customHeight="1">
      <c r="A813" s="88">
        <v>7915</v>
      </c>
      <c r="B813" s="1042" t="s">
        <v>842</v>
      </c>
      <c r="C813" s="1033"/>
      <c r="D813" s="1033"/>
      <c r="E813" s="1033"/>
      <c r="F813" s="1033"/>
      <c r="G813" s="1033"/>
      <c r="H813" s="1033"/>
      <c r="I813" s="1033"/>
      <c r="J813" s="1033"/>
      <c r="K813" s="1033"/>
      <c r="L813" s="90"/>
      <c r="M813" s="51"/>
      <c r="N813" s="113">
        <f t="shared" si="71"/>
        <v>7915</v>
      </c>
      <c r="O813" s="575">
        <v>0</v>
      </c>
      <c r="P813" s="582">
        <v>0</v>
      </c>
      <c r="Q813" s="589"/>
      <c r="R813" s="576"/>
      <c r="S813" s="583">
        <f t="shared" si="70"/>
        <v>0</v>
      </c>
      <c r="T813" s="580">
        <f t="shared" si="72"/>
        <v>0</v>
      </c>
      <c r="U813" s="51"/>
      <c r="V813" s="2119"/>
      <c r="W813" s="43"/>
      <c r="X813" s="43"/>
      <c r="Y813" s="43"/>
      <c r="Z813" s="43"/>
    </row>
    <row r="814" spans="1:26" ht="15.75" customHeight="1">
      <c r="A814" s="88">
        <v>7916</v>
      </c>
      <c r="B814" s="1042" t="s">
        <v>843</v>
      </c>
      <c r="C814" s="1033"/>
      <c r="D814" s="1033"/>
      <c r="E814" s="1033"/>
      <c r="F814" s="1033"/>
      <c r="G814" s="1033"/>
      <c r="H814" s="1033"/>
      <c r="I814" s="1033"/>
      <c r="J814" s="1033"/>
      <c r="K814" s="1033"/>
      <c r="L814" s="90"/>
      <c r="M814" s="51"/>
      <c r="N814" s="113">
        <f t="shared" si="71"/>
        <v>7916</v>
      </c>
      <c r="O814" s="575">
        <v>0</v>
      </c>
      <c r="P814" s="582">
        <v>0</v>
      </c>
      <c r="Q814" s="589"/>
      <c r="R814" s="576"/>
      <c r="S814" s="583">
        <f t="shared" si="70"/>
        <v>0</v>
      </c>
      <c r="T814" s="580">
        <f t="shared" si="72"/>
        <v>0</v>
      </c>
      <c r="U814" s="51"/>
      <c r="V814" s="2119"/>
      <c r="W814" s="43"/>
      <c r="X814" s="43"/>
      <c r="Y814" s="43"/>
      <c r="Z814" s="43"/>
    </row>
    <row r="815" spans="1:26">
      <c r="A815" s="88">
        <v>7917</v>
      </c>
      <c r="B815" s="1033" t="s">
        <v>844</v>
      </c>
      <c r="C815" s="1033"/>
      <c r="D815" s="1033"/>
      <c r="E815" s="1033"/>
      <c r="F815" s="1033"/>
      <c r="G815" s="1033"/>
      <c r="H815" s="1033"/>
      <c r="I815" s="1033"/>
      <c r="J815" s="1033"/>
      <c r="K815" s="1033"/>
      <c r="L815" s="90"/>
      <c r="M815" s="51"/>
      <c r="N815" s="113">
        <f t="shared" si="71"/>
        <v>7917</v>
      </c>
      <c r="O815" s="575">
        <v>0</v>
      </c>
      <c r="P815" s="582">
        <v>0</v>
      </c>
      <c r="Q815" s="589"/>
      <c r="R815" s="576"/>
      <c r="S815" s="583">
        <f t="shared" si="70"/>
        <v>0</v>
      </c>
      <c r="T815" s="580">
        <f t="shared" si="72"/>
        <v>0</v>
      </c>
      <c r="U815" s="51"/>
      <c r="V815" s="2119"/>
      <c r="W815" s="43"/>
      <c r="X815" s="43"/>
      <c r="Y815" s="43"/>
      <c r="Z815" s="43"/>
    </row>
    <row r="816" spans="1:26">
      <c r="A816" s="88">
        <v>7918</v>
      </c>
      <c r="B816" s="1033" t="s">
        <v>845</v>
      </c>
      <c r="C816" s="1033"/>
      <c r="D816" s="1033"/>
      <c r="E816" s="1033"/>
      <c r="F816" s="1033"/>
      <c r="G816" s="1033"/>
      <c r="H816" s="1033"/>
      <c r="I816" s="1033"/>
      <c r="J816" s="1033"/>
      <c r="K816" s="1033"/>
      <c r="L816" s="90"/>
      <c r="M816" s="51"/>
      <c r="N816" s="113">
        <f t="shared" si="71"/>
        <v>7918</v>
      </c>
      <c r="O816" s="575">
        <v>0</v>
      </c>
      <c r="P816" s="582">
        <v>0</v>
      </c>
      <c r="Q816" s="589"/>
      <c r="R816" s="576"/>
      <c r="S816" s="583">
        <f t="shared" si="70"/>
        <v>0</v>
      </c>
      <c r="T816" s="580">
        <f t="shared" si="72"/>
        <v>0</v>
      </c>
      <c r="U816" s="51"/>
      <c r="V816" s="2119"/>
      <c r="W816" s="43"/>
      <c r="X816" s="43"/>
      <c r="Y816" s="43"/>
      <c r="Z816" s="43"/>
    </row>
    <row r="817" spans="1:26">
      <c r="A817" s="88">
        <v>7922</v>
      </c>
      <c r="B817" s="1033" t="s">
        <v>846</v>
      </c>
      <c r="C817" s="1033"/>
      <c r="D817" s="1033"/>
      <c r="E817" s="1033"/>
      <c r="F817" s="1033"/>
      <c r="G817" s="1033"/>
      <c r="H817" s="1033"/>
      <c r="I817" s="1033"/>
      <c r="J817" s="1033"/>
      <c r="K817" s="1033"/>
      <c r="L817" s="90"/>
      <c r="M817" s="51"/>
      <c r="N817" s="113">
        <f t="shared" si="71"/>
        <v>7922</v>
      </c>
      <c r="O817" s="575">
        <v>0</v>
      </c>
      <c r="P817" s="582">
        <v>0</v>
      </c>
      <c r="Q817" s="589"/>
      <c r="R817" s="576"/>
      <c r="S817" s="583">
        <f t="shared" si="70"/>
        <v>0</v>
      </c>
      <c r="T817" s="580">
        <f t="shared" si="72"/>
        <v>0</v>
      </c>
      <c r="U817" s="51"/>
      <c r="V817" s="2119"/>
      <c r="W817" s="43"/>
      <c r="X817" s="43"/>
      <c r="Y817" s="43"/>
      <c r="Z817" s="43"/>
    </row>
    <row r="818" spans="1:26">
      <c r="A818" s="88">
        <v>7923</v>
      </c>
      <c r="B818" s="1033" t="s">
        <v>847</v>
      </c>
      <c r="C818" s="1033"/>
      <c r="D818" s="1033"/>
      <c r="E818" s="1033"/>
      <c r="F818" s="1033"/>
      <c r="G818" s="1033"/>
      <c r="H818" s="1033"/>
      <c r="I818" s="1033"/>
      <c r="J818" s="1033"/>
      <c r="K818" s="1033"/>
      <c r="L818" s="90"/>
      <c r="M818" s="51"/>
      <c r="N818" s="113">
        <f t="shared" si="71"/>
        <v>7923</v>
      </c>
      <c r="O818" s="575">
        <v>0</v>
      </c>
      <c r="P818" s="582">
        <v>0</v>
      </c>
      <c r="Q818" s="589"/>
      <c r="R818" s="576"/>
      <c r="S818" s="583">
        <f t="shared" si="70"/>
        <v>0</v>
      </c>
      <c r="T818" s="580">
        <f t="shared" si="72"/>
        <v>0</v>
      </c>
      <c r="U818" s="51"/>
      <c r="V818" s="2119"/>
      <c r="W818" s="43"/>
      <c r="X818" s="43"/>
      <c r="Y818" s="43"/>
      <c r="Z818" s="43"/>
    </row>
    <row r="819" spans="1:26">
      <c r="A819" s="88">
        <v>7924</v>
      </c>
      <c r="B819" s="1033" t="s">
        <v>848</v>
      </c>
      <c r="C819" s="1033"/>
      <c r="D819" s="1033"/>
      <c r="E819" s="1033"/>
      <c r="F819" s="1033"/>
      <c r="G819" s="1033"/>
      <c r="H819" s="1033"/>
      <c r="I819" s="1033"/>
      <c r="J819" s="1033"/>
      <c r="K819" s="1033"/>
      <c r="L819" s="90"/>
      <c r="M819" s="51"/>
      <c r="N819" s="113">
        <f t="shared" si="71"/>
        <v>7924</v>
      </c>
      <c r="O819" s="575">
        <v>0</v>
      </c>
      <c r="P819" s="582">
        <v>0</v>
      </c>
      <c r="Q819" s="589"/>
      <c r="R819" s="576"/>
      <c r="S819" s="583">
        <f t="shared" si="70"/>
        <v>0</v>
      </c>
      <c r="T819" s="580">
        <f t="shared" si="72"/>
        <v>0</v>
      </c>
      <c r="U819" s="51"/>
      <c r="V819" s="2119"/>
      <c r="W819" s="43"/>
      <c r="X819" s="43"/>
      <c r="Y819" s="43"/>
      <c r="Z819" s="43"/>
    </row>
    <row r="820" spans="1:26">
      <c r="A820" s="88">
        <v>7925</v>
      </c>
      <c r="B820" s="1033" t="s">
        <v>849</v>
      </c>
      <c r="C820" s="1033"/>
      <c r="D820" s="1033"/>
      <c r="E820" s="1033"/>
      <c r="F820" s="1033"/>
      <c r="G820" s="1033"/>
      <c r="H820" s="1033"/>
      <c r="I820" s="1033"/>
      <c r="J820" s="1033"/>
      <c r="K820" s="1033"/>
      <c r="L820" s="90"/>
      <c r="M820" s="51"/>
      <c r="N820" s="113">
        <f t="shared" si="71"/>
        <v>7925</v>
      </c>
      <c r="O820" s="575">
        <v>0</v>
      </c>
      <c r="P820" s="582">
        <v>0</v>
      </c>
      <c r="Q820" s="589"/>
      <c r="R820" s="576"/>
      <c r="S820" s="583">
        <f t="shared" si="70"/>
        <v>0</v>
      </c>
      <c r="T820" s="580">
        <f t="shared" si="72"/>
        <v>0</v>
      </c>
      <c r="U820" s="51"/>
      <c r="V820" s="2119"/>
      <c r="W820" s="43"/>
      <c r="X820" s="43"/>
      <c r="Y820" s="43"/>
      <c r="Z820" s="43"/>
    </row>
    <row r="821" spans="1:26" ht="15.75" customHeight="1">
      <c r="A821" s="88">
        <v>7926</v>
      </c>
      <c r="B821" s="1033" t="s">
        <v>850</v>
      </c>
      <c r="C821" s="1033"/>
      <c r="D821" s="1033"/>
      <c r="E821" s="1033"/>
      <c r="F821" s="1033"/>
      <c r="G821" s="1033"/>
      <c r="H821" s="1033"/>
      <c r="I821" s="1033"/>
      <c r="J821" s="1033"/>
      <c r="K821" s="1033"/>
      <c r="L821" s="90"/>
      <c r="M821" s="51"/>
      <c r="N821" s="113">
        <f t="shared" si="71"/>
        <v>7926</v>
      </c>
      <c r="O821" s="575">
        <v>0</v>
      </c>
      <c r="P821" s="582">
        <v>0</v>
      </c>
      <c r="Q821" s="589"/>
      <c r="R821" s="576"/>
      <c r="S821" s="583">
        <f t="shared" si="70"/>
        <v>0</v>
      </c>
      <c r="T821" s="580">
        <f t="shared" si="72"/>
        <v>0</v>
      </c>
      <c r="U821" s="51"/>
      <c r="V821" s="2119"/>
      <c r="W821" s="43"/>
      <c r="X821" s="43"/>
      <c r="Y821" s="43"/>
      <c r="Z821" s="43"/>
    </row>
    <row r="822" spans="1:26" ht="15.75" customHeight="1">
      <c r="A822" s="88">
        <v>7992</v>
      </c>
      <c r="B822" s="1033" t="s">
        <v>851</v>
      </c>
      <c r="C822" s="1033"/>
      <c r="D822" s="1033"/>
      <c r="E822" s="1033"/>
      <c r="F822" s="1033"/>
      <c r="G822" s="1033"/>
      <c r="H822" s="1033"/>
      <c r="I822" s="1033"/>
      <c r="J822" s="1033"/>
      <c r="K822" s="1033"/>
      <c r="L822" s="90"/>
      <c r="M822" s="51"/>
      <c r="N822" s="113">
        <f t="shared" si="71"/>
        <v>7992</v>
      </c>
      <c r="O822" s="575">
        <v>0</v>
      </c>
      <c r="P822" s="582">
        <v>0</v>
      </c>
      <c r="Q822" s="589">
        <v>0</v>
      </c>
      <c r="R822" s="576">
        <v>0</v>
      </c>
      <c r="S822" s="583">
        <f t="shared" si="70"/>
        <v>0</v>
      </c>
      <c r="T822" s="580">
        <f t="shared" si="72"/>
        <v>0</v>
      </c>
      <c r="U822" s="51"/>
      <c r="V822" s="2119"/>
      <c r="W822" s="43"/>
      <c r="X822" s="43"/>
      <c r="Y822" s="43"/>
      <c r="Z822" s="43"/>
    </row>
    <row r="823" spans="1:26" ht="15.75" customHeight="1">
      <c r="A823" s="88">
        <v>7993</v>
      </c>
      <c r="B823" s="1033" t="s">
        <v>852</v>
      </c>
      <c r="C823" s="1033"/>
      <c r="D823" s="1033"/>
      <c r="E823" s="1033"/>
      <c r="F823" s="1033"/>
      <c r="G823" s="1033"/>
      <c r="H823" s="1033"/>
      <c r="I823" s="1033"/>
      <c r="J823" s="1033"/>
      <c r="K823" s="1033"/>
      <c r="L823" s="90"/>
      <c r="M823" s="51"/>
      <c r="N823" s="113">
        <f t="shared" si="71"/>
        <v>7993</v>
      </c>
      <c r="O823" s="575">
        <v>0</v>
      </c>
      <c r="P823" s="582">
        <v>0</v>
      </c>
      <c r="Q823" s="589"/>
      <c r="R823" s="576"/>
      <c r="S823" s="583">
        <f t="shared" si="70"/>
        <v>0</v>
      </c>
      <c r="T823" s="580">
        <f t="shared" si="72"/>
        <v>0</v>
      </c>
      <c r="U823" s="51"/>
      <c r="V823" s="2119"/>
      <c r="W823" s="43"/>
      <c r="X823" s="43"/>
      <c r="Y823" s="43"/>
      <c r="Z823" s="43"/>
    </row>
    <row r="824" spans="1:26" ht="15.75" customHeight="1">
      <c r="A824" s="88">
        <v>7994</v>
      </c>
      <c r="B824" s="1033" t="s">
        <v>853</v>
      </c>
      <c r="C824" s="1033"/>
      <c r="D824" s="1033"/>
      <c r="E824" s="1033"/>
      <c r="F824" s="1033"/>
      <c r="G824" s="1033"/>
      <c r="H824" s="1033"/>
      <c r="I824" s="1033"/>
      <c r="J824" s="1033"/>
      <c r="K824" s="1033"/>
      <c r="L824" s="90"/>
      <c r="M824" s="51"/>
      <c r="N824" s="113">
        <f t="shared" si="71"/>
        <v>7994</v>
      </c>
      <c r="O824" s="575">
        <v>0</v>
      </c>
      <c r="P824" s="582">
        <v>0</v>
      </c>
      <c r="Q824" s="589"/>
      <c r="R824" s="576"/>
      <c r="S824" s="583">
        <f t="shared" si="70"/>
        <v>0</v>
      </c>
      <c r="T824" s="580">
        <f t="shared" si="72"/>
        <v>0</v>
      </c>
      <c r="U824" s="51"/>
      <c r="V824" s="2119"/>
      <c r="W824" s="43"/>
      <c r="X824" s="43"/>
      <c r="Y824" s="43"/>
      <c r="Z824" s="43"/>
    </row>
    <row r="825" spans="1:26" ht="15.75" customHeight="1">
      <c r="A825" s="88">
        <v>7995</v>
      </c>
      <c r="B825" s="1033" t="s">
        <v>854</v>
      </c>
      <c r="C825" s="1033"/>
      <c r="D825" s="1033"/>
      <c r="E825" s="1033"/>
      <c r="F825" s="1033"/>
      <c r="G825" s="1033"/>
      <c r="H825" s="1033"/>
      <c r="I825" s="1033"/>
      <c r="J825" s="1033"/>
      <c r="K825" s="1033"/>
      <c r="L825" s="90"/>
      <c r="M825" s="51"/>
      <c r="N825" s="113">
        <f t="shared" si="71"/>
        <v>7995</v>
      </c>
      <c r="O825" s="575">
        <v>0</v>
      </c>
      <c r="P825" s="582">
        <v>0</v>
      </c>
      <c r="Q825" s="589"/>
      <c r="R825" s="576"/>
      <c r="S825" s="583">
        <f t="shared" si="70"/>
        <v>0</v>
      </c>
      <c r="T825" s="580">
        <f t="shared" si="72"/>
        <v>0</v>
      </c>
      <c r="U825" s="51"/>
      <c r="V825" s="2119"/>
      <c r="W825" s="43"/>
      <c r="X825" s="43"/>
      <c r="Y825" s="43"/>
      <c r="Z825" s="43"/>
    </row>
    <row r="826" spans="1:26" ht="15.75" customHeight="1">
      <c r="A826" s="88">
        <v>7996</v>
      </c>
      <c r="B826" s="1033" t="s">
        <v>142</v>
      </c>
      <c r="C826" s="1033"/>
      <c r="D826" s="1033"/>
      <c r="E826" s="1033"/>
      <c r="F826" s="1033"/>
      <c r="G826" s="1033"/>
      <c r="H826" s="1033"/>
      <c r="I826" s="1033"/>
      <c r="J826" s="1033"/>
      <c r="K826" s="1033"/>
      <c r="L826" s="90"/>
      <c r="M826" s="51"/>
      <c r="N826" s="113">
        <f t="shared" si="71"/>
        <v>7996</v>
      </c>
      <c r="O826" s="575">
        <v>0</v>
      </c>
      <c r="P826" s="582">
        <v>0</v>
      </c>
      <c r="Q826" s="589"/>
      <c r="R826" s="576"/>
      <c r="S826" s="583">
        <f t="shared" si="70"/>
        <v>0</v>
      </c>
      <c r="T826" s="580">
        <f t="shared" si="72"/>
        <v>0</v>
      </c>
      <c r="U826" s="51"/>
      <c r="V826" s="2119"/>
      <c r="W826" s="43"/>
      <c r="X826" s="43"/>
      <c r="Y826" s="43"/>
      <c r="Z826" s="43"/>
    </row>
    <row r="827" spans="1:26" ht="15.75" customHeight="1">
      <c r="A827" s="88">
        <v>7997</v>
      </c>
      <c r="B827" s="1033" t="s">
        <v>143</v>
      </c>
      <c r="C827" s="1033"/>
      <c r="D827" s="1033"/>
      <c r="E827" s="1033"/>
      <c r="F827" s="1033"/>
      <c r="G827" s="1033"/>
      <c r="H827" s="1033"/>
      <c r="I827" s="1033"/>
      <c r="J827" s="1033"/>
      <c r="K827" s="1033"/>
      <c r="L827" s="90"/>
      <c r="M827" s="51"/>
      <c r="N827" s="113">
        <f t="shared" si="71"/>
        <v>7997</v>
      </c>
      <c r="O827" s="575">
        <v>0</v>
      </c>
      <c r="P827" s="582">
        <v>0</v>
      </c>
      <c r="Q827" s="589"/>
      <c r="R827" s="576"/>
      <c r="S827" s="583">
        <f t="shared" si="70"/>
        <v>0</v>
      </c>
      <c r="T827" s="580">
        <f t="shared" si="72"/>
        <v>0</v>
      </c>
      <c r="U827" s="51"/>
      <c r="V827" s="2119"/>
      <c r="W827" s="43"/>
      <c r="X827" s="43"/>
      <c r="Y827" s="43"/>
      <c r="Z827" s="43"/>
    </row>
    <row r="828" spans="1:26" ht="15.75" customHeight="1" thickBot="1">
      <c r="A828" s="88">
        <v>7998</v>
      </c>
      <c r="B828" s="1033" t="s">
        <v>144</v>
      </c>
      <c r="C828" s="1033"/>
      <c r="D828" s="1033"/>
      <c r="E828" s="1033"/>
      <c r="F828" s="1033"/>
      <c r="G828" s="1033"/>
      <c r="H828" s="1033"/>
      <c r="I828" s="1033"/>
      <c r="J828" s="1033"/>
      <c r="K828" s="1033"/>
      <c r="L828" s="90"/>
      <c r="M828" s="51"/>
      <c r="N828" s="113">
        <f t="shared" si="71"/>
        <v>7998</v>
      </c>
      <c r="O828" s="575">
        <v>0</v>
      </c>
      <c r="P828" s="582">
        <v>0</v>
      </c>
      <c r="Q828" s="589"/>
      <c r="R828" s="576"/>
      <c r="S828" s="583">
        <f t="shared" si="70"/>
        <v>0</v>
      </c>
      <c r="T828" s="580">
        <f t="shared" si="72"/>
        <v>0</v>
      </c>
      <c r="U828" s="51"/>
      <c r="V828" s="2119"/>
      <c r="W828" s="43"/>
      <c r="X828" s="43"/>
      <c r="Y828" s="43"/>
      <c r="Z828" s="43"/>
    </row>
    <row r="829" spans="1:26" ht="16.5" thickBot="1">
      <c r="A829" s="94" t="s">
        <v>592</v>
      </c>
      <c r="B829" s="95"/>
      <c r="C829" s="95"/>
      <c r="D829" s="95"/>
      <c r="E829" s="95"/>
      <c r="F829" s="95"/>
      <c r="G829" s="95"/>
      <c r="H829" s="95"/>
      <c r="I829" s="2616" t="str">
        <f>+E12</f>
        <v>NF-CSF</v>
      </c>
      <c r="J829" s="2616"/>
      <c r="K829" s="2616"/>
      <c r="L829" s="96"/>
      <c r="M829" s="51"/>
      <c r="N829" s="128" t="s">
        <v>666</v>
      </c>
      <c r="O829" s="846">
        <f t="shared" ref="O829:T829" si="73">+ROUND(+SUM(O14:O828),2)</f>
        <v>0</v>
      </c>
      <c r="P829" s="847">
        <f t="shared" si="73"/>
        <v>0</v>
      </c>
      <c r="Q829" s="869">
        <f t="shared" si="73"/>
        <v>0</v>
      </c>
      <c r="R829" s="870">
        <f t="shared" si="73"/>
        <v>0</v>
      </c>
      <c r="S829" s="871">
        <f t="shared" si="73"/>
        <v>0</v>
      </c>
      <c r="T829" s="872">
        <f t="shared" si="73"/>
        <v>0</v>
      </c>
      <c r="U829" s="51"/>
      <c r="V829" s="2119"/>
      <c r="W829" s="43"/>
      <c r="X829" s="43"/>
      <c r="Y829" s="43"/>
      <c r="Z829" s="43"/>
    </row>
    <row r="830" spans="1:26" ht="7.5" customHeight="1" thickBot="1">
      <c r="A830" s="100"/>
      <c r="B830" s="100"/>
      <c r="C830" s="100"/>
      <c r="D830" s="100"/>
      <c r="E830" s="100"/>
      <c r="F830" s="100"/>
      <c r="G830" s="100"/>
      <c r="H830" s="100"/>
      <c r="I830" s="100"/>
      <c r="J830" s="100"/>
      <c r="K830" s="100"/>
      <c r="L830" s="100"/>
      <c r="M830" s="51"/>
      <c r="N830" s="115"/>
      <c r="O830" s="16"/>
      <c r="P830" s="16"/>
      <c r="Q830" s="16"/>
      <c r="R830" s="16"/>
      <c r="S830" s="16"/>
      <c r="T830" s="16"/>
      <c r="U830" s="44"/>
      <c r="V830" s="2119"/>
      <c r="W830" s="43"/>
      <c r="X830" s="43"/>
      <c r="Y830" s="43"/>
      <c r="Z830" s="43"/>
    </row>
    <row r="831" spans="1:26">
      <c r="A831" s="405" t="s">
        <v>375</v>
      </c>
      <c r="B831" s="406"/>
      <c r="C831" s="406"/>
      <c r="D831" s="406"/>
      <c r="E831" s="406"/>
      <c r="F831" s="406"/>
      <c r="G831" s="406"/>
      <c r="H831" s="406"/>
      <c r="I831" s="2615" t="str">
        <f>+I829</f>
        <v>NF-CSF</v>
      </c>
      <c r="J831" s="2615"/>
      <c r="K831" s="2615"/>
      <c r="L831" s="407"/>
      <c r="M831" s="51"/>
      <c r="N831" s="408">
        <v>9</v>
      </c>
      <c r="O831" s="409"/>
      <c r="P831" s="410"/>
      <c r="Q831" s="411"/>
      <c r="R831" s="410"/>
      <c r="S831" s="411"/>
      <c r="T831" s="412"/>
      <c r="U831" s="51"/>
      <c r="V831" s="2119"/>
      <c r="W831" s="43"/>
      <c r="X831" s="43"/>
      <c r="Y831" s="43"/>
      <c r="Z831" s="43"/>
    </row>
    <row r="832" spans="1:26">
      <c r="A832" s="85">
        <v>9110</v>
      </c>
      <c r="B832" s="404" t="s">
        <v>914</v>
      </c>
      <c r="C832" s="86"/>
      <c r="D832" s="86"/>
      <c r="E832" s="86"/>
      <c r="F832" s="86"/>
      <c r="G832" s="86"/>
      <c r="H832" s="86"/>
      <c r="I832" s="86"/>
      <c r="J832" s="86"/>
      <c r="K832" s="86"/>
      <c r="L832" s="87"/>
      <c r="M832" s="51"/>
      <c r="N832" s="112">
        <f t="shared" ref="N832:N857" si="74">+A832</f>
        <v>9110</v>
      </c>
      <c r="O832" s="323">
        <v>0</v>
      </c>
      <c r="P832" s="329">
        <v>0</v>
      </c>
      <c r="Q832" s="577">
        <v>0</v>
      </c>
      <c r="R832" s="578">
        <v>0</v>
      </c>
      <c r="S832" s="326">
        <f>+IF(ABS(+O832+Q832)&gt;=ABS(P832+R832),+O832-P832+Q832-R832,0)</f>
        <v>0</v>
      </c>
      <c r="T832" s="331">
        <v>0</v>
      </c>
      <c r="U832" s="51"/>
      <c r="V832" s="2120">
        <f>+IF(OR(ROUND(P832,2)+ROUND(R832,2)&gt;+ROUND(O832,2)+ROUND(Q832,2),+ABS(ROUND(P832,2)+ROUND(R832,2))&gt;+ABS(ROUND(O832,2)+ROUND(Q832,2))),+(ROUND(P832,2)+ROUND(R832,2))-(ROUND(O832,2)+ROUND(Q832,2)),0)</f>
        <v>0</v>
      </c>
      <c r="W832" s="43"/>
      <c r="X832" s="43"/>
      <c r="Y832" s="43"/>
      <c r="Z832" s="43"/>
    </row>
    <row r="833" spans="1:26">
      <c r="A833" s="88">
        <v>9120</v>
      </c>
      <c r="B833" s="1042" t="s">
        <v>709</v>
      </c>
      <c r="C833" s="1033"/>
      <c r="D833" s="1033"/>
      <c r="E833" s="1033"/>
      <c r="F833" s="1033"/>
      <c r="G833" s="1033"/>
      <c r="H833" s="1033"/>
      <c r="I833" s="1033"/>
      <c r="J833" s="1033"/>
      <c r="K833" s="1033"/>
      <c r="L833" s="90"/>
      <c r="M833" s="51"/>
      <c r="N833" s="113">
        <f t="shared" si="74"/>
        <v>9120</v>
      </c>
      <c r="O833" s="120">
        <v>0</v>
      </c>
      <c r="P833" s="9">
        <v>0</v>
      </c>
      <c r="Q833" s="589">
        <v>0</v>
      </c>
      <c r="R833" s="576">
        <v>0</v>
      </c>
      <c r="S833" s="27">
        <f>+IF(ABS(+O833+Q833)&gt;=ABS(P833+R833),+O833-P833+Q833-R833,0)</f>
        <v>0</v>
      </c>
      <c r="T833" s="30">
        <v>0</v>
      </c>
      <c r="U833" s="51"/>
      <c r="V833" s="2120">
        <f>+IF(OR(ROUND(P833,2)+ROUND(R833,2)&gt;+ROUND(O833,2)+ROUND(Q833,2),+ABS(ROUND(P833,2)+ROUND(R833,2))&gt;+ABS(ROUND(O833,2)+ROUND(Q833,2))),+(ROUND(P833,2)+ROUND(R833,2))-(ROUND(O833,2)+ROUND(Q833,2)),0)</f>
        <v>0</v>
      </c>
      <c r="W833" s="43"/>
      <c r="X833" s="43"/>
      <c r="Y833" s="43"/>
      <c r="Z833" s="43"/>
    </row>
    <row r="834" spans="1:26">
      <c r="A834" s="88">
        <v>9130</v>
      </c>
      <c r="B834" s="1033" t="s">
        <v>376</v>
      </c>
      <c r="C834" s="1033"/>
      <c r="D834" s="1033"/>
      <c r="E834" s="1033"/>
      <c r="F834" s="1033"/>
      <c r="G834" s="1033"/>
      <c r="H834" s="1033"/>
      <c r="I834" s="1033"/>
      <c r="J834" s="1033"/>
      <c r="K834" s="1033"/>
      <c r="L834" s="90"/>
      <c r="M834" s="51"/>
      <c r="N834" s="113">
        <f t="shared" si="74"/>
        <v>9130</v>
      </c>
      <c r="O834" s="120"/>
      <c r="P834" s="9">
        <v>0</v>
      </c>
      <c r="Q834" s="589"/>
      <c r="R834" s="576"/>
      <c r="S834" s="27">
        <f>+IF(ABS(+O834+Q834)&gt;=ABS(P834+R834),+O834-P834+Q834-R834,0)</f>
        <v>0</v>
      </c>
      <c r="T834" s="30">
        <v>0</v>
      </c>
      <c r="U834" s="51"/>
      <c r="V834" s="2120">
        <f>+IF(OR(ROUND(P834,2)+ROUND(R834,2)&gt;+ROUND(O834,2)+ROUND(Q834,2),+ABS(ROUND(P834,2)+ROUND(R834,2))&gt;+ABS(ROUND(O834,2)+ROUND(Q834,2))),+(ROUND(P834,2)+ROUND(R834,2))-(ROUND(O834,2)+ROUND(Q834,2)),0)</f>
        <v>0</v>
      </c>
      <c r="W834" s="43"/>
      <c r="X834" s="43"/>
      <c r="Y834" s="43"/>
      <c r="Z834" s="43"/>
    </row>
    <row r="835" spans="1:26">
      <c r="A835" s="88">
        <v>9200</v>
      </c>
      <c r="B835" s="1033" t="s">
        <v>710</v>
      </c>
      <c r="C835" s="1033"/>
      <c r="D835" s="1033"/>
      <c r="E835" s="1033"/>
      <c r="F835" s="1033"/>
      <c r="G835" s="1033"/>
      <c r="H835" s="1033"/>
      <c r="I835" s="1033"/>
      <c r="J835" s="1033"/>
      <c r="K835" s="1033"/>
      <c r="L835" s="90"/>
      <c r="M835" s="51"/>
      <c r="N835" s="113">
        <f t="shared" si="74"/>
        <v>9200</v>
      </c>
      <c r="O835" s="8">
        <v>0</v>
      </c>
      <c r="P835" s="121">
        <v>0</v>
      </c>
      <c r="Q835" s="589">
        <v>0</v>
      </c>
      <c r="R835" s="121">
        <v>0</v>
      </c>
      <c r="S835" s="29">
        <v>0</v>
      </c>
      <c r="T835" s="28">
        <f>+IF(ABS(+O835+Q835)&lt;=ABS(P835+R835),-O835+P835-Q835+R835,0)</f>
        <v>0</v>
      </c>
      <c r="U835" s="51"/>
      <c r="V835" s="2119">
        <f>+IF(OR(+ROUND(O835,2)+ROUND(Q835,2)&gt;ROUND(P835,2)+ROUND(R835,2),+ABS(ROUND(O835,2)+ROUND(Q835,2))&gt;+ABS(ROUND(P835,2)+ROUND(R835,2))),+(ROUND(O835,2)+ROUND(Q835,2))-(ROUND(P835,2)+ROUND(R835,2)),0)</f>
        <v>0</v>
      </c>
      <c r="W835" s="43"/>
      <c r="X835" s="43"/>
      <c r="Y835" s="43"/>
      <c r="Z835" s="43"/>
    </row>
    <row r="836" spans="1:26">
      <c r="A836" s="346">
        <v>9208</v>
      </c>
      <c r="B836" s="1042" t="s">
        <v>711</v>
      </c>
      <c r="C836" s="1033"/>
      <c r="D836" s="1033"/>
      <c r="E836" s="1033"/>
      <c r="F836" s="1033"/>
      <c r="G836" s="1033"/>
      <c r="H836" s="1033"/>
      <c r="I836" s="1033"/>
      <c r="J836" s="1033"/>
      <c r="K836" s="1033"/>
      <c r="L836" s="90"/>
      <c r="M836" s="51"/>
      <c r="N836" s="113">
        <f t="shared" si="74"/>
        <v>9208</v>
      </c>
      <c r="O836" s="575">
        <v>0</v>
      </c>
      <c r="P836" s="576"/>
      <c r="Q836" s="589"/>
      <c r="R836" s="121"/>
      <c r="S836" s="579">
        <v>0</v>
      </c>
      <c r="T836" s="580">
        <f>+IF(ABS(+O836+Q836)&lt;=ABS(P836+R836),-O836+P836-Q836+R836,0)</f>
        <v>0</v>
      </c>
      <c r="U836" s="51"/>
      <c r="V836" s="2119">
        <f>+IF(OR(+ROUND(O836,2)+ROUND(Q836,2)&gt;ROUND(P836,2)+ROUND(R836,2),+ABS(ROUND(O836,2)+ROUND(Q836,2))&gt;+ABS(ROUND(P836,2)+ROUND(R836,2))),+(ROUND(O836,2)+ROUND(Q836,2))-(ROUND(P836,2)+ROUND(R836,2)),0)</f>
        <v>0</v>
      </c>
      <c r="W836" s="43"/>
      <c r="X836" s="43"/>
      <c r="Y836" s="43"/>
      <c r="Z836" s="43"/>
    </row>
    <row r="837" spans="1:26">
      <c r="A837" s="88">
        <v>9211</v>
      </c>
      <c r="B837" s="378" t="s">
        <v>712</v>
      </c>
      <c r="C837" s="1033"/>
      <c r="D837" s="1033"/>
      <c r="E837" s="1033"/>
      <c r="F837" s="1033"/>
      <c r="G837" s="1033"/>
      <c r="H837" s="1033"/>
      <c r="I837" s="1033"/>
      <c r="J837" s="1033"/>
      <c r="K837" s="1033"/>
      <c r="L837" s="90"/>
      <c r="M837" s="51"/>
      <c r="N837" s="113">
        <f t="shared" si="74"/>
        <v>9211</v>
      </c>
      <c r="O837" s="581"/>
      <c r="P837" s="582">
        <v>0</v>
      </c>
      <c r="Q837" s="589"/>
      <c r="R837" s="576"/>
      <c r="S837" s="583">
        <f>+IF(ABS(+O837+Q837)&gt;=ABS(P837+R837),+O837-P837+Q837-R837,0)</f>
        <v>0</v>
      </c>
      <c r="T837" s="584">
        <v>0</v>
      </c>
      <c r="U837" s="51"/>
      <c r="V837" s="2120">
        <f>+IF(OR(ROUND(P837,2)+ROUND(R837,2)&gt;+ROUND(O837,2)+ROUND(Q837,2),+ABS(ROUND(P837,2)+ROUND(R837,2))&gt;+ABS(ROUND(O837,2)+ROUND(Q837,2))),+(ROUND(P837,2)+ROUND(R837,2))-(ROUND(O837,2)+ROUND(Q837,2)),0)</f>
        <v>0</v>
      </c>
      <c r="W837" s="43"/>
      <c r="X837" s="43"/>
      <c r="Y837" s="43"/>
      <c r="Z837" s="43"/>
    </row>
    <row r="838" spans="1:26">
      <c r="A838" s="88">
        <v>9212</v>
      </c>
      <c r="B838" s="378" t="s">
        <v>713</v>
      </c>
      <c r="C838" s="1033"/>
      <c r="D838" s="1033"/>
      <c r="E838" s="1033"/>
      <c r="F838" s="1033"/>
      <c r="G838" s="1033"/>
      <c r="H838" s="1033"/>
      <c r="I838" s="1033"/>
      <c r="J838" s="1033"/>
      <c r="K838" s="1033"/>
      <c r="L838" s="90"/>
      <c r="M838" s="51"/>
      <c r="N838" s="113">
        <f t="shared" si="74"/>
        <v>9212</v>
      </c>
      <c r="O838" s="581"/>
      <c r="P838" s="582">
        <v>0</v>
      </c>
      <c r="Q838" s="589"/>
      <c r="R838" s="576"/>
      <c r="S838" s="583">
        <f>+IF(ABS(+O838+Q838)&gt;=ABS(P838+R838),+O838-P838+Q838-R838,0)</f>
        <v>0</v>
      </c>
      <c r="T838" s="584">
        <v>0</v>
      </c>
      <c r="U838" s="51"/>
      <c r="V838" s="2120">
        <f>+IF(OR(ROUND(P838,2)+ROUND(R838,2)&gt;+ROUND(O838,2)+ROUND(Q838,2),+ABS(ROUND(P838,2)+ROUND(R838,2))&gt;+ABS(ROUND(O838,2)+ROUND(Q838,2))),+(ROUND(P838,2)+ROUND(R838,2))-(ROUND(O838,2)+ROUND(Q838,2)),0)</f>
        <v>0</v>
      </c>
      <c r="W838" s="43"/>
      <c r="X838" s="43"/>
      <c r="Y838" s="43"/>
      <c r="Z838" s="43"/>
    </row>
    <row r="839" spans="1:26">
      <c r="A839" s="88">
        <v>9214</v>
      </c>
      <c r="B839" s="1033" t="s">
        <v>714</v>
      </c>
      <c r="C839" s="1033"/>
      <c r="D839" s="1033"/>
      <c r="E839" s="1033"/>
      <c r="F839" s="1033"/>
      <c r="G839" s="1033"/>
      <c r="H839" s="1033"/>
      <c r="I839" s="1033"/>
      <c r="J839" s="1033"/>
      <c r="K839" s="1033"/>
      <c r="L839" s="90"/>
      <c r="M839" s="51"/>
      <c r="N839" s="113">
        <f t="shared" si="74"/>
        <v>9214</v>
      </c>
      <c r="O839" s="581"/>
      <c r="P839" s="582">
        <v>0</v>
      </c>
      <c r="Q839" s="589"/>
      <c r="R839" s="576"/>
      <c r="S839" s="583">
        <f>+IF(ABS(+O839+Q839)&gt;=ABS(P839+R839),+O839-P839+Q839-R839,0)</f>
        <v>0</v>
      </c>
      <c r="T839" s="584">
        <v>0</v>
      </c>
      <c r="U839" s="51"/>
      <c r="V839" s="2120">
        <f>+IF(OR(ROUND(P839,2)+ROUND(R839,2)&gt;+ROUND(O839,2)+ROUND(Q839,2),+ABS(ROUND(P839,2)+ROUND(R839,2))&gt;+ABS(ROUND(O839,2)+ROUND(Q839,2))),+(ROUND(P839,2)+ROUND(R839,2))-(ROUND(O839,2)+ROUND(Q839,2)),0)</f>
        <v>0</v>
      </c>
      <c r="W839" s="43"/>
      <c r="X839" s="43"/>
      <c r="Y839" s="43"/>
      <c r="Z839" s="43"/>
    </row>
    <row r="840" spans="1:26">
      <c r="A840" s="88">
        <v>9215</v>
      </c>
      <c r="B840" s="1033" t="s">
        <v>715</v>
      </c>
      <c r="C840" s="1033"/>
      <c r="D840" s="1033"/>
      <c r="E840" s="1033"/>
      <c r="F840" s="1033"/>
      <c r="G840" s="1033"/>
      <c r="H840" s="1033"/>
      <c r="I840" s="1033"/>
      <c r="J840" s="1033"/>
      <c r="K840" s="1033"/>
      <c r="L840" s="90"/>
      <c r="M840" s="51"/>
      <c r="N840" s="113">
        <f t="shared" si="74"/>
        <v>9215</v>
      </c>
      <c r="O840" s="581"/>
      <c r="P840" s="582">
        <v>0</v>
      </c>
      <c r="Q840" s="589"/>
      <c r="R840" s="576"/>
      <c r="S840" s="583">
        <f>+IF(ABS(+O840+Q840)&gt;=ABS(P840+R840),+O840-P840+Q840-R840,0)</f>
        <v>0</v>
      </c>
      <c r="T840" s="584">
        <v>0</v>
      </c>
      <c r="U840" s="51"/>
      <c r="V840" s="2120">
        <f>+IF(OR(ROUND(P840,2)+ROUND(R840,2)&gt;+ROUND(O840,2)+ROUND(Q840,2),+ABS(ROUND(P840,2)+ROUND(R840,2))&gt;+ABS(ROUND(O840,2)+ROUND(Q840,2))),+(ROUND(P840,2)+ROUND(R840,2))-(ROUND(O840,2)+ROUND(Q840,2)),0)</f>
        <v>0</v>
      </c>
      <c r="W840" s="43"/>
      <c r="X840" s="43"/>
      <c r="Y840" s="43"/>
      <c r="Z840" s="43"/>
    </row>
    <row r="841" spans="1:26">
      <c r="A841" s="88">
        <v>9216</v>
      </c>
      <c r="B841" s="1033" t="s">
        <v>716</v>
      </c>
      <c r="C841" s="1033"/>
      <c r="D841" s="1033"/>
      <c r="E841" s="1033"/>
      <c r="F841" s="1033"/>
      <c r="G841" s="1033"/>
      <c r="H841" s="1033"/>
      <c r="I841" s="1033"/>
      <c r="J841" s="1033"/>
      <c r="K841" s="1033"/>
      <c r="L841" s="90"/>
      <c r="M841" s="51"/>
      <c r="N841" s="113">
        <f t="shared" si="74"/>
        <v>9216</v>
      </c>
      <c r="O841" s="581"/>
      <c r="P841" s="582">
        <v>0</v>
      </c>
      <c r="Q841" s="589"/>
      <c r="R841" s="576"/>
      <c r="S841" s="583">
        <f>+IF(ABS(+O841+Q841)&gt;=ABS(P841+R841),+O841-P841+Q841-R841,0)</f>
        <v>0</v>
      </c>
      <c r="T841" s="584">
        <v>0</v>
      </c>
      <c r="U841" s="51"/>
      <c r="V841" s="2120">
        <f>+IF(OR(ROUND(P841,2)+ROUND(R841,2)&gt;+ROUND(O841,2)+ROUND(Q841,2),+ABS(ROUND(P841,2)+ROUND(R841,2))&gt;+ABS(ROUND(O841,2)+ROUND(Q841,2))),+(ROUND(P841,2)+ROUND(R841,2))-(ROUND(O841,2)+ROUND(Q841,2)),0)</f>
        <v>0</v>
      </c>
      <c r="W841" s="43"/>
      <c r="X841" s="43"/>
      <c r="Y841" s="43"/>
      <c r="Z841" s="43"/>
    </row>
    <row r="842" spans="1:26">
      <c r="A842" s="88">
        <v>9221</v>
      </c>
      <c r="B842" s="1033" t="s">
        <v>717</v>
      </c>
      <c r="C842" s="1033"/>
      <c r="D842" s="1033"/>
      <c r="E842" s="1033"/>
      <c r="F842" s="1033"/>
      <c r="G842" s="1033"/>
      <c r="H842" s="1033"/>
      <c r="I842" s="1033"/>
      <c r="J842" s="1033"/>
      <c r="K842" s="1033"/>
      <c r="L842" s="90"/>
      <c r="M842" s="51"/>
      <c r="N842" s="113">
        <f t="shared" si="74"/>
        <v>9221</v>
      </c>
      <c r="O842" s="575">
        <v>0</v>
      </c>
      <c r="P842" s="576"/>
      <c r="Q842" s="589"/>
      <c r="R842" s="121"/>
      <c r="S842" s="579">
        <v>0</v>
      </c>
      <c r="T842" s="580">
        <f>+IF(ABS(+O842+Q842)&lt;=ABS(P842+R842),-O842+P842-Q842+R842,0)</f>
        <v>0</v>
      </c>
      <c r="U842" s="51"/>
      <c r="V842" s="2119">
        <f>+IF(OR(+ROUND(O842,2)+ROUND(Q842,2)&gt;ROUND(P842,2)+ROUND(R842,2),+ABS(ROUND(O842,2)+ROUND(Q842,2))&gt;+ABS(ROUND(P842,2)+ROUND(R842,2))),+(ROUND(O842,2)+ROUND(Q842,2))-(ROUND(P842,2)+ROUND(R842,2)),0)</f>
        <v>0</v>
      </c>
      <c r="W842" s="43"/>
      <c r="X842" s="43"/>
      <c r="Y842" s="43"/>
      <c r="Z842" s="43"/>
    </row>
    <row r="843" spans="1:26">
      <c r="A843" s="88">
        <v>9222</v>
      </c>
      <c r="B843" s="1033" t="s">
        <v>718</v>
      </c>
      <c r="C843" s="1033"/>
      <c r="D843" s="1033"/>
      <c r="E843" s="1033"/>
      <c r="F843" s="1033"/>
      <c r="G843" s="1033"/>
      <c r="H843" s="1033"/>
      <c r="I843" s="1033"/>
      <c r="J843" s="1033"/>
      <c r="K843" s="1033"/>
      <c r="L843" s="90"/>
      <c r="M843" s="51"/>
      <c r="N843" s="113">
        <f t="shared" si="74"/>
        <v>9222</v>
      </c>
      <c r="O843" s="575">
        <v>0</v>
      </c>
      <c r="P843" s="576"/>
      <c r="Q843" s="589"/>
      <c r="R843" s="121"/>
      <c r="S843" s="579">
        <v>0</v>
      </c>
      <c r="T843" s="580">
        <f>+IF(ABS(+O843+Q843)&lt;=ABS(P843+R843),-O843+P843-Q843+R843,0)</f>
        <v>0</v>
      </c>
      <c r="U843" s="51"/>
      <c r="V843" s="2119">
        <f>+IF(OR(+ROUND(O843,2)+ROUND(Q843,2)&gt;ROUND(P843,2)+ROUND(R843,2),+ABS(ROUND(O843,2)+ROUND(Q843,2))&gt;+ABS(ROUND(P843,2)+ROUND(R843,2))),+(ROUND(O843,2)+ROUND(Q843,2))-(ROUND(P843,2)+ROUND(R843,2)),0)</f>
        <v>0</v>
      </c>
      <c r="W843" s="43"/>
      <c r="X843" s="43"/>
      <c r="Y843" s="43"/>
      <c r="Z843" s="43"/>
    </row>
    <row r="844" spans="1:26">
      <c r="A844" s="88">
        <v>9231</v>
      </c>
      <c r="B844" s="1033" t="s">
        <v>719</v>
      </c>
      <c r="C844" s="1033"/>
      <c r="D844" s="1033"/>
      <c r="E844" s="1033"/>
      <c r="F844" s="1033"/>
      <c r="G844" s="1033"/>
      <c r="H844" s="1033"/>
      <c r="I844" s="1033"/>
      <c r="J844" s="1033"/>
      <c r="K844" s="1033"/>
      <c r="L844" s="90"/>
      <c r="M844" s="51"/>
      <c r="N844" s="113">
        <f t="shared" si="74"/>
        <v>9231</v>
      </c>
      <c r="O844" s="575">
        <v>0</v>
      </c>
      <c r="P844" s="576"/>
      <c r="Q844" s="589"/>
      <c r="R844" s="121"/>
      <c r="S844" s="579">
        <v>0</v>
      </c>
      <c r="T844" s="580">
        <f>+IF(ABS(+O844+Q844)&lt;=ABS(P844+R844),-O844+P844-Q844+R844,0)</f>
        <v>0</v>
      </c>
      <c r="U844" s="51"/>
      <c r="V844" s="2119">
        <f>+IF(OR(+ROUND(O844,2)+ROUND(Q844,2)&gt;ROUND(P844,2)+ROUND(R844,2),+ABS(ROUND(O844,2)+ROUND(Q844,2))&gt;+ABS(ROUND(P844,2)+ROUND(R844,2))),+(ROUND(O844,2)+ROUND(Q844,2))-(ROUND(P844,2)+ROUND(R844,2)),0)</f>
        <v>0</v>
      </c>
      <c r="W844" s="43"/>
      <c r="X844" s="43"/>
      <c r="Y844" s="43"/>
      <c r="Z844" s="43"/>
    </row>
    <row r="845" spans="1:26">
      <c r="A845" s="88">
        <v>9233</v>
      </c>
      <c r="B845" s="1033" t="s">
        <v>720</v>
      </c>
      <c r="C845" s="1033"/>
      <c r="D845" s="1033"/>
      <c r="E845" s="1033"/>
      <c r="F845" s="1033"/>
      <c r="G845" s="1033"/>
      <c r="H845" s="1033"/>
      <c r="I845" s="1033"/>
      <c r="J845" s="1033"/>
      <c r="K845" s="1033"/>
      <c r="L845" s="90"/>
      <c r="M845" s="51"/>
      <c r="N845" s="113">
        <f t="shared" si="74"/>
        <v>9233</v>
      </c>
      <c r="O845" s="575">
        <v>0</v>
      </c>
      <c r="P845" s="576"/>
      <c r="Q845" s="589"/>
      <c r="R845" s="121"/>
      <c r="S845" s="579">
        <v>0</v>
      </c>
      <c r="T845" s="580">
        <f>+IF(ABS(+O845+Q845)&lt;=ABS(P845+R845),-O845+P845-Q845+R845,0)</f>
        <v>0</v>
      </c>
      <c r="U845" s="51"/>
      <c r="V845" s="2119">
        <f>+IF(OR(+ROUND(O845,2)+ROUND(Q845,2)&gt;ROUND(P845,2)+ROUND(R845,2),+ABS(ROUND(O845,2)+ROUND(Q845,2))&gt;+ABS(ROUND(P845,2)+ROUND(R845,2))),+(ROUND(O845,2)+ROUND(Q845,2))-(ROUND(P845,2)+ROUND(R845,2)),0)</f>
        <v>0</v>
      </c>
      <c r="W845" s="43"/>
      <c r="X845" s="43"/>
      <c r="Y845" s="43"/>
      <c r="Z845" s="43"/>
    </row>
    <row r="846" spans="1:26">
      <c r="A846" s="88">
        <v>9289</v>
      </c>
      <c r="B846" s="1033" t="s">
        <v>381</v>
      </c>
      <c r="C846" s="1033"/>
      <c r="D846" s="1033"/>
      <c r="E846" s="1033"/>
      <c r="F846" s="1033"/>
      <c r="G846" s="1033"/>
      <c r="H846" s="1033"/>
      <c r="I846" s="1033"/>
      <c r="J846" s="1033"/>
      <c r="K846" s="1033"/>
      <c r="L846" s="90"/>
      <c r="M846" s="51"/>
      <c r="N846" s="113">
        <f t="shared" si="74"/>
        <v>9289</v>
      </c>
      <c r="O846" s="581"/>
      <c r="P846" s="582">
        <v>0</v>
      </c>
      <c r="Q846" s="589"/>
      <c r="R846" s="576"/>
      <c r="S846" s="583">
        <f>+IF(ABS(+O846+Q846)&gt;=ABS(P846+R846),+O846-P846+Q846-R846,0)</f>
        <v>0</v>
      </c>
      <c r="T846" s="584">
        <v>0</v>
      </c>
      <c r="U846" s="51"/>
      <c r="V846" s="2120">
        <f>+IF(OR(ROUND(P846,2)+ROUND(R846,2)&gt;+ROUND(O846,2)+ROUND(Q846,2),+ABS(ROUND(P846,2)+ROUND(R846,2))&gt;+ABS(ROUND(O846,2)+ROUND(Q846,2))),+(ROUND(P846,2)+ROUND(R846,2))-(ROUND(O846,2)+ROUND(Q846,2)),0)</f>
        <v>0</v>
      </c>
      <c r="W846" s="43"/>
      <c r="X846" s="43"/>
      <c r="Y846" s="43"/>
      <c r="Z846" s="43"/>
    </row>
    <row r="847" spans="1:26">
      <c r="A847" s="88">
        <v>9295</v>
      </c>
      <c r="B847" s="1033" t="s">
        <v>721</v>
      </c>
      <c r="C847" s="1039"/>
      <c r="D847" s="1039"/>
      <c r="E847" s="1039"/>
      <c r="F847" s="1039"/>
      <c r="G847" s="1039"/>
      <c r="H847" s="1039"/>
      <c r="I847" s="1039"/>
      <c r="J847" s="1039"/>
      <c r="K847" s="1039"/>
      <c r="L847" s="574"/>
      <c r="M847" s="51"/>
      <c r="N847" s="113">
        <f t="shared" si="74"/>
        <v>9295</v>
      </c>
      <c r="O847" s="575">
        <v>0</v>
      </c>
      <c r="P847" s="582">
        <v>0</v>
      </c>
      <c r="Q847" s="579">
        <v>0</v>
      </c>
      <c r="R847" s="582">
        <v>0</v>
      </c>
      <c r="S847" s="579">
        <v>0</v>
      </c>
      <c r="T847" s="584">
        <v>0</v>
      </c>
      <c r="U847" s="51"/>
      <c r="V847" s="2125">
        <f>+IF(OR(O847&lt;&gt;0,P847&lt;&gt;0,Q847&lt;&gt;0,R847&lt;&gt;0,S847&lt;&gt;0,T847&lt;&gt;0),+IF(ABS(O847+Q847)-ABS(P847+R847)&lt;&gt;0,ABS(O847+Q847)-ABS(P847+R847),1),0)</f>
        <v>0</v>
      </c>
      <c r="W847" s="43"/>
      <c r="X847" s="43"/>
      <c r="Y847" s="43"/>
      <c r="Z847" s="43"/>
    </row>
    <row r="848" spans="1:26">
      <c r="A848" s="88">
        <v>9299</v>
      </c>
      <c r="B848" s="1033" t="s">
        <v>382</v>
      </c>
      <c r="C848" s="1033"/>
      <c r="D848" s="1033"/>
      <c r="E848" s="1033"/>
      <c r="F848" s="1033"/>
      <c r="G848" s="1033"/>
      <c r="H848" s="1033"/>
      <c r="I848" s="1033"/>
      <c r="J848" s="1033"/>
      <c r="K848" s="1033"/>
      <c r="L848" s="90"/>
      <c r="M848" s="51"/>
      <c r="N848" s="113">
        <f t="shared" si="74"/>
        <v>9299</v>
      </c>
      <c r="O848" s="575">
        <v>0</v>
      </c>
      <c r="P848" s="576"/>
      <c r="Q848" s="589"/>
      <c r="R848" s="121"/>
      <c r="S848" s="579">
        <v>0</v>
      </c>
      <c r="T848" s="580">
        <f t="shared" ref="T848:T857" si="75">+IF(ABS(+O848+Q848)&lt;=ABS(P848+R848),-O848+P848-Q848+R848,0)</f>
        <v>0</v>
      </c>
      <c r="U848" s="51"/>
      <c r="V848" s="2119">
        <f>+IF(OR(+ROUND(O848,2)+ROUND(Q848,2)&gt;ROUND(P848,2)+ROUND(R848,2),+ABS(ROUND(O848,2)+ROUND(Q848,2))&gt;+ABS(ROUND(P848,2)+ROUND(R848,2))),+(ROUND(O848,2)+ROUND(Q848,2))-(ROUND(P848,2)+ROUND(R848,2)),0)</f>
        <v>0</v>
      </c>
      <c r="W848" s="43"/>
      <c r="X848" s="43"/>
      <c r="Y848" s="43"/>
      <c r="Z848" s="43"/>
    </row>
    <row r="849" spans="1:26" ht="15.75" customHeight="1">
      <c r="A849" s="88">
        <v>9800</v>
      </c>
      <c r="B849" s="1033" t="s">
        <v>722</v>
      </c>
      <c r="C849" s="1038"/>
      <c r="D849" s="1038"/>
      <c r="E849" s="1038"/>
      <c r="F849" s="1038"/>
      <c r="G849" s="1038"/>
      <c r="H849" s="1038"/>
      <c r="I849" s="1038"/>
      <c r="J849" s="1038"/>
      <c r="K849" s="1038"/>
      <c r="L849" s="590"/>
      <c r="M849" s="51"/>
      <c r="N849" s="113">
        <f t="shared" si="74"/>
        <v>9800</v>
      </c>
      <c r="O849" s="575">
        <v>0</v>
      </c>
      <c r="P849" s="582">
        <v>0</v>
      </c>
      <c r="Q849" s="589">
        <v>0</v>
      </c>
      <c r="R849" s="576">
        <v>0</v>
      </c>
      <c r="S849" s="583">
        <f t="shared" ref="S849:S867" si="76">+IF(ABS(+O849+Q849)&gt;=ABS(P849+R849),+O849-P849+Q849-R849,0)</f>
        <v>0</v>
      </c>
      <c r="T849" s="580">
        <f t="shared" si="75"/>
        <v>0</v>
      </c>
      <c r="U849" s="51"/>
      <c r="V849" s="2119"/>
      <c r="W849" s="43"/>
      <c r="X849" s="43"/>
      <c r="Y849" s="43"/>
      <c r="Z849" s="43"/>
    </row>
    <row r="850" spans="1:26" ht="15.75" customHeight="1">
      <c r="A850" s="88">
        <v>9801</v>
      </c>
      <c r="B850" s="1033" t="s">
        <v>723</v>
      </c>
      <c r="C850" s="1038"/>
      <c r="D850" s="1038"/>
      <c r="E850" s="1038"/>
      <c r="F850" s="1038"/>
      <c r="G850" s="1038"/>
      <c r="H850" s="1038"/>
      <c r="I850" s="1038"/>
      <c r="J850" s="1038"/>
      <c r="K850" s="1038"/>
      <c r="L850" s="590"/>
      <c r="M850" s="51"/>
      <c r="N850" s="113">
        <f t="shared" si="74"/>
        <v>9801</v>
      </c>
      <c r="O850" s="575">
        <v>0</v>
      </c>
      <c r="P850" s="582">
        <v>0</v>
      </c>
      <c r="Q850" s="589">
        <v>0</v>
      </c>
      <c r="R850" s="576">
        <v>0</v>
      </c>
      <c r="S850" s="583">
        <f t="shared" si="76"/>
        <v>0</v>
      </c>
      <c r="T850" s="580">
        <f t="shared" si="75"/>
        <v>0</v>
      </c>
      <c r="U850" s="51"/>
      <c r="V850" s="2119"/>
      <c r="W850" s="43"/>
      <c r="X850" s="43"/>
      <c r="Y850" s="43"/>
      <c r="Z850" s="43"/>
    </row>
    <row r="851" spans="1:26" ht="15.75" customHeight="1">
      <c r="A851" s="88">
        <v>9803</v>
      </c>
      <c r="B851" s="1033" t="s">
        <v>724</v>
      </c>
      <c r="C851" s="1038"/>
      <c r="D851" s="1038"/>
      <c r="E851" s="1038"/>
      <c r="F851" s="1038"/>
      <c r="G851" s="1038"/>
      <c r="H851" s="1038"/>
      <c r="I851" s="1038"/>
      <c r="J851" s="1038"/>
      <c r="K851" s="1038"/>
      <c r="L851" s="590"/>
      <c r="M851" s="51"/>
      <c r="N851" s="113">
        <f t="shared" si="74"/>
        <v>9803</v>
      </c>
      <c r="O851" s="575">
        <v>0</v>
      </c>
      <c r="P851" s="582">
        <v>0</v>
      </c>
      <c r="Q851" s="589">
        <v>0</v>
      </c>
      <c r="R851" s="576">
        <v>0</v>
      </c>
      <c r="S851" s="583">
        <f t="shared" si="76"/>
        <v>0</v>
      </c>
      <c r="T851" s="580">
        <f t="shared" si="75"/>
        <v>0</v>
      </c>
      <c r="U851" s="51"/>
      <c r="V851" s="2119"/>
      <c r="W851" s="43"/>
      <c r="X851" s="43"/>
      <c r="Y851" s="43"/>
      <c r="Z851" s="43"/>
    </row>
    <row r="852" spans="1:26" ht="15.75" customHeight="1">
      <c r="A852" s="88">
        <v>9804</v>
      </c>
      <c r="B852" s="1033" t="s">
        <v>87</v>
      </c>
      <c r="C852" s="1038"/>
      <c r="D852" s="1038"/>
      <c r="E852" s="1038"/>
      <c r="F852" s="1038"/>
      <c r="G852" s="1038"/>
      <c r="H852" s="1038"/>
      <c r="I852" s="1038"/>
      <c r="J852" s="1038"/>
      <c r="K852" s="1038"/>
      <c r="L852" s="590"/>
      <c r="M852" s="51"/>
      <c r="N852" s="113">
        <f t="shared" si="74"/>
        <v>9804</v>
      </c>
      <c r="O852" s="575">
        <v>0</v>
      </c>
      <c r="P852" s="582">
        <v>0</v>
      </c>
      <c r="Q852" s="589"/>
      <c r="R852" s="576"/>
      <c r="S852" s="583">
        <f t="shared" si="76"/>
        <v>0</v>
      </c>
      <c r="T852" s="580">
        <f t="shared" si="75"/>
        <v>0</v>
      </c>
      <c r="U852" s="51"/>
      <c r="V852" s="2119"/>
      <c r="W852" s="43"/>
      <c r="X852" s="43"/>
      <c r="Y852" s="43"/>
      <c r="Z852" s="43"/>
    </row>
    <row r="853" spans="1:26" ht="15.75" customHeight="1">
      <c r="A853" s="88">
        <v>9805</v>
      </c>
      <c r="B853" s="1033" t="s">
        <v>88</v>
      </c>
      <c r="C853" s="1038"/>
      <c r="D853" s="1038"/>
      <c r="E853" s="1038"/>
      <c r="F853" s="1038"/>
      <c r="G853" s="1038"/>
      <c r="H853" s="1038"/>
      <c r="I853" s="1038"/>
      <c r="J853" s="1038"/>
      <c r="K853" s="1038"/>
      <c r="L853" s="590"/>
      <c r="M853" s="51"/>
      <c r="N853" s="113">
        <f t="shared" si="74"/>
        <v>9805</v>
      </c>
      <c r="O853" s="575">
        <v>0</v>
      </c>
      <c r="P853" s="582">
        <v>0</v>
      </c>
      <c r="Q853" s="589"/>
      <c r="R853" s="576"/>
      <c r="S853" s="583">
        <f t="shared" si="76"/>
        <v>0</v>
      </c>
      <c r="T853" s="580">
        <f t="shared" si="75"/>
        <v>0</v>
      </c>
      <c r="U853" s="51"/>
      <c r="V853" s="2119"/>
      <c r="W853" s="43"/>
      <c r="X853" s="43"/>
      <c r="Y853" s="43"/>
      <c r="Z853" s="43"/>
    </row>
    <row r="854" spans="1:26" ht="15.75" customHeight="1">
      <c r="A854" s="88">
        <v>9806</v>
      </c>
      <c r="B854" s="1033" t="s">
        <v>89</v>
      </c>
      <c r="C854" s="1038"/>
      <c r="D854" s="1038"/>
      <c r="E854" s="1038"/>
      <c r="F854" s="1038"/>
      <c r="G854" s="1038"/>
      <c r="H854" s="1038"/>
      <c r="I854" s="1038"/>
      <c r="J854" s="1038"/>
      <c r="K854" s="1038"/>
      <c r="L854" s="590"/>
      <c r="M854" s="51"/>
      <c r="N854" s="113">
        <f t="shared" si="74"/>
        <v>9806</v>
      </c>
      <c r="O854" s="575">
        <v>0</v>
      </c>
      <c r="P854" s="582">
        <v>0</v>
      </c>
      <c r="Q854" s="589"/>
      <c r="R854" s="576"/>
      <c r="S854" s="583">
        <f t="shared" si="76"/>
        <v>0</v>
      </c>
      <c r="T854" s="580">
        <f t="shared" si="75"/>
        <v>0</v>
      </c>
      <c r="U854" s="51"/>
      <c r="V854" s="2119"/>
      <c r="W854" s="43"/>
      <c r="X854" s="43"/>
      <c r="Y854" s="43"/>
      <c r="Z854" s="43"/>
    </row>
    <row r="855" spans="1:26" ht="15.75" customHeight="1">
      <c r="A855" s="88">
        <v>9808</v>
      </c>
      <c r="B855" s="1033" t="s">
        <v>90</v>
      </c>
      <c r="C855" s="1038"/>
      <c r="D855" s="1038"/>
      <c r="E855" s="1038"/>
      <c r="F855" s="1038"/>
      <c r="G855" s="1038"/>
      <c r="H855" s="1038"/>
      <c r="I855" s="1038"/>
      <c r="J855" s="1038"/>
      <c r="K855" s="1038"/>
      <c r="L855" s="590"/>
      <c r="M855" s="51"/>
      <c r="N855" s="113">
        <f t="shared" si="74"/>
        <v>9808</v>
      </c>
      <c r="O855" s="575">
        <v>0</v>
      </c>
      <c r="P855" s="582">
        <v>0</v>
      </c>
      <c r="Q855" s="589">
        <v>0</v>
      </c>
      <c r="R855" s="576">
        <v>0</v>
      </c>
      <c r="S855" s="583">
        <f t="shared" si="76"/>
        <v>0</v>
      </c>
      <c r="T855" s="580">
        <f t="shared" si="75"/>
        <v>0</v>
      </c>
      <c r="U855" s="51"/>
      <c r="V855" s="2119"/>
      <c r="W855" s="43"/>
      <c r="X855" s="43"/>
      <c r="Y855" s="43"/>
      <c r="Z855" s="43"/>
    </row>
    <row r="856" spans="1:26" ht="15.75" customHeight="1">
      <c r="A856" s="88">
        <v>9809</v>
      </c>
      <c r="B856" s="1033" t="s">
        <v>91</v>
      </c>
      <c r="C856" s="1038"/>
      <c r="D856" s="1038"/>
      <c r="E856" s="1038"/>
      <c r="F856" s="1038"/>
      <c r="G856" s="1038"/>
      <c r="H856" s="1038"/>
      <c r="I856" s="1038"/>
      <c r="J856" s="1038"/>
      <c r="K856" s="1038"/>
      <c r="L856" s="590"/>
      <c r="M856" s="51"/>
      <c r="N856" s="113">
        <f t="shared" si="74"/>
        <v>9809</v>
      </c>
      <c r="O856" s="575">
        <v>0</v>
      </c>
      <c r="P856" s="582">
        <v>0</v>
      </c>
      <c r="Q856" s="589"/>
      <c r="R856" s="576"/>
      <c r="S856" s="583">
        <f t="shared" si="76"/>
        <v>0</v>
      </c>
      <c r="T856" s="580">
        <f t="shared" si="75"/>
        <v>0</v>
      </c>
      <c r="U856" s="51"/>
      <c r="V856" s="2119"/>
      <c r="W856" s="43"/>
      <c r="X856" s="43"/>
      <c r="Y856" s="43"/>
      <c r="Z856" s="43"/>
    </row>
    <row r="857" spans="1:26" ht="15.75" customHeight="1">
      <c r="A857" s="88">
        <v>9860</v>
      </c>
      <c r="B857" s="1033" t="s">
        <v>92</v>
      </c>
      <c r="C857" s="1038"/>
      <c r="D857" s="1038"/>
      <c r="E857" s="1038"/>
      <c r="F857" s="1038"/>
      <c r="G857" s="1038"/>
      <c r="H857" s="1038"/>
      <c r="I857" s="1038"/>
      <c r="J857" s="1038"/>
      <c r="K857" s="1038"/>
      <c r="L857" s="590"/>
      <c r="M857" s="51"/>
      <c r="N857" s="113">
        <f t="shared" si="74"/>
        <v>9860</v>
      </c>
      <c r="O857" s="575">
        <v>0</v>
      </c>
      <c r="P857" s="582">
        <v>0</v>
      </c>
      <c r="Q857" s="589">
        <v>0</v>
      </c>
      <c r="R857" s="576">
        <v>0</v>
      </c>
      <c r="S857" s="583">
        <f t="shared" si="76"/>
        <v>0</v>
      </c>
      <c r="T857" s="580">
        <f t="shared" si="75"/>
        <v>0</v>
      </c>
      <c r="U857" s="51"/>
      <c r="V857" s="2119"/>
      <c r="W857" s="43"/>
      <c r="X857" s="43"/>
      <c r="Y857" s="43"/>
      <c r="Z857" s="43"/>
    </row>
    <row r="858" spans="1:26">
      <c r="A858" s="88">
        <v>9909</v>
      </c>
      <c r="B858" s="1033" t="s">
        <v>93</v>
      </c>
      <c r="C858" s="1033"/>
      <c r="D858" s="1033"/>
      <c r="E858" s="1033"/>
      <c r="F858" s="1033"/>
      <c r="G858" s="1033"/>
      <c r="H858" s="1033"/>
      <c r="I858" s="1033"/>
      <c r="J858" s="1033"/>
      <c r="K858" s="1033"/>
      <c r="L858" s="90"/>
      <c r="M858" s="51"/>
      <c r="N858" s="113">
        <f t="shared" ref="N858:N887" si="77">+A858</f>
        <v>9909</v>
      </c>
      <c r="O858" s="581">
        <v>0</v>
      </c>
      <c r="P858" s="582">
        <v>0</v>
      </c>
      <c r="Q858" s="589">
        <v>0</v>
      </c>
      <c r="R858" s="576">
        <v>0</v>
      </c>
      <c r="S858" s="583">
        <f t="shared" si="76"/>
        <v>0</v>
      </c>
      <c r="T858" s="584">
        <v>0</v>
      </c>
      <c r="U858" s="51"/>
      <c r="V858" s="2120">
        <f t="shared" ref="V858:V867" si="78">+IF(OR(ROUND(P858,2)+ROUND(R858,2)&gt;+ROUND(O858,2)+ROUND(Q858,2),+ABS(ROUND(P858,2)+ROUND(R858,2))&gt;+ABS(ROUND(O858,2)+ROUND(Q858,2))),+(ROUND(P858,2)+ROUND(R858,2))-(ROUND(O858,2)+ROUND(Q858,2)),0)</f>
        <v>0</v>
      </c>
      <c r="W858" s="43"/>
      <c r="X858" s="43"/>
      <c r="Y858" s="43"/>
      <c r="Z858" s="43"/>
    </row>
    <row r="859" spans="1:26">
      <c r="A859" s="88">
        <v>9911</v>
      </c>
      <c r="B859" s="1033" t="s">
        <v>94</v>
      </c>
      <c r="C859" s="1033"/>
      <c r="D859" s="1033"/>
      <c r="E859" s="1033"/>
      <c r="F859" s="1033"/>
      <c r="G859" s="1033"/>
      <c r="H859" s="1033"/>
      <c r="I859" s="1033"/>
      <c r="J859" s="1033"/>
      <c r="K859" s="1033"/>
      <c r="L859" s="90"/>
      <c r="M859" s="51"/>
      <c r="N859" s="113">
        <f t="shared" si="77"/>
        <v>9911</v>
      </c>
      <c r="O859" s="581"/>
      <c r="P859" s="582">
        <v>0</v>
      </c>
      <c r="Q859" s="589"/>
      <c r="R859" s="576"/>
      <c r="S859" s="583">
        <f t="shared" si="76"/>
        <v>0</v>
      </c>
      <c r="T859" s="584">
        <v>0</v>
      </c>
      <c r="U859" s="51"/>
      <c r="V859" s="2120">
        <f t="shared" si="78"/>
        <v>0</v>
      </c>
      <c r="W859" s="43"/>
      <c r="X859" s="43"/>
      <c r="Y859" s="43"/>
      <c r="Z859" s="43"/>
    </row>
    <row r="860" spans="1:26">
      <c r="A860" s="88">
        <v>9912</v>
      </c>
      <c r="B860" s="1033" t="s">
        <v>95</v>
      </c>
      <c r="C860" s="1033"/>
      <c r="D860" s="1033"/>
      <c r="E860" s="1033"/>
      <c r="F860" s="1033"/>
      <c r="G860" s="1033"/>
      <c r="H860" s="1033"/>
      <c r="I860" s="1033"/>
      <c r="J860" s="1033"/>
      <c r="K860" s="1033"/>
      <c r="L860" s="90"/>
      <c r="M860" s="51"/>
      <c r="N860" s="113">
        <f t="shared" si="77"/>
        <v>9912</v>
      </c>
      <c r="O860" s="581"/>
      <c r="P860" s="582">
        <v>0</v>
      </c>
      <c r="Q860" s="589"/>
      <c r="R860" s="576"/>
      <c r="S860" s="583">
        <f t="shared" si="76"/>
        <v>0</v>
      </c>
      <c r="T860" s="584">
        <v>0</v>
      </c>
      <c r="U860" s="51"/>
      <c r="V860" s="2120">
        <f t="shared" si="78"/>
        <v>0</v>
      </c>
      <c r="W860" s="43"/>
      <c r="X860" s="43"/>
      <c r="Y860" s="43"/>
      <c r="Z860" s="43"/>
    </row>
    <row r="861" spans="1:26">
      <c r="A861" s="88">
        <v>9913</v>
      </c>
      <c r="B861" s="1033" t="s">
        <v>96</v>
      </c>
      <c r="C861" s="1033"/>
      <c r="D861" s="1033"/>
      <c r="E861" s="1033"/>
      <c r="F861" s="1033"/>
      <c r="G861" s="1033"/>
      <c r="H861" s="1033"/>
      <c r="I861" s="1033"/>
      <c r="J861" s="1033"/>
      <c r="K861" s="1033"/>
      <c r="L861" s="90"/>
      <c r="M861" s="51"/>
      <c r="N861" s="113">
        <f t="shared" si="77"/>
        <v>9913</v>
      </c>
      <c r="O861" s="581">
        <v>0</v>
      </c>
      <c r="P861" s="582">
        <v>0</v>
      </c>
      <c r="Q861" s="589">
        <v>0</v>
      </c>
      <c r="R861" s="576">
        <v>0</v>
      </c>
      <c r="S861" s="583">
        <f t="shared" si="76"/>
        <v>0</v>
      </c>
      <c r="T861" s="584">
        <v>0</v>
      </c>
      <c r="U861" s="51"/>
      <c r="V861" s="2120">
        <f t="shared" si="78"/>
        <v>0</v>
      </c>
      <c r="W861" s="43"/>
      <c r="X861" s="43"/>
      <c r="Y861" s="43"/>
      <c r="Z861" s="43"/>
    </row>
    <row r="862" spans="1:26">
      <c r="A862" s="88">
        <v>9914</v>
      </c>
      <c r="B862" s="1033" t="s">
        <v>97</v>
      </c>
      <c r="C862" s="1033"/>
      <c r="D862" s="1033"/>
      <c r="E862" s="1033"/>
      <c r="F862" s="1033"/>
      <c r="G862" s="1033"/>
      <c r="H862" s="1033"/>
      <c r="I862" s="1033"/>
      <c r="J862" s="1033"/>
      <c r="K862" s="1033"/>
      <c r="L862" s="90"/>
      <c r="M862" s="51"/>
      <c r="N862" s="113">
        <f t="shared" si="77"/>
        <v>9914</v>
      </c>
      <c r="O862" s="581"/>
      <c r="P862" s="582">
        <v>0</v>
      </c>
      <c r="Q862" s="589"/>
      <c r="R862" s="576"/>
      <c r="S862" s="583">
        <f t="shared" si="76"/>
        <v>0</v>
      </c>
      <c r="T862" s="584">
        <v>0</v>
      </c>
      <c r="U862" s="51"/>
      <c r="V862" s="2120">
        <f t="shared" si="78"/>
        <v>0</v>
      </c>
      <c r="W862" s="43"/>
      <c r="X862" s="43"/>
      <c r="Y862" s="43"/>
      <c r="Z862" s="43"/>
    </row>
    <row r="863" spans="1:26">
      <c r="A863" s="88">
        <v>9915</v>
      </c>
      <c r="B863" s="1033" t="s">
        <v>98</v>
      </c>
      <c r="C863" s="1033"/>
      <c r="D863" s="1033"/>
      <c r="E863" s="1033"/>
      <c r="F863" s="1033"/>
      <c r="G863" s="1033"/>
      <c r="H863" s="1033"/>
      <c r="I863" s="1033"/>
      <c r="J863" s="1033"/>
      <c r="K863" s="1033"/>
      <c r="L863" s="90"/>
      <c r="M863" s="51"/>
      <c r="N863" s="113">
        <f t="shared" si="77"/>
        <v>9915</v>
      </c>
      <c r="O863" s="581"/>
      <c r="P863" s="582">
        <v>0</v>
      </c>
      <c r="Q863" s="589"/>
      <c r="R863" s="576"/>
      <c r="S863" s="583">
        <f t="shared" si="76"/>
        <v>0</v>
      </c>
      <c r="T863" s="584">
        <v>0</v>
      </c>
      <c r="U863" s="51"/>
      <c r="V863" s="2120">
        <f t="shared" si="78"/>
        <v>0</v>
      </c>
      <c r="W863" s="43"/>
      <c r="X863" s="43"/>
      <c r="Y863" s="43"/>
      <c r="Z863" s="43"/>
    </row>
    <row r="864" spans="1:26">
      <c r="A864" s="88">
        <v>9916</v>
      </c>
      <c r="B864" s="1033" t="s">
        <v>99</v>
      </c>
      <c r="C864" s="1033"/>
      <c r="D864" s="1033"/>
      <c r="E864" s="1033"/>
      <c r="F864" s="1033"/>
      <c r="G864" s="1033"/>
      <c r="H864" s="1033"/>
      <c r="I864" s="1033"/>
      <c r="J864" s="1033"/>
      <c r="K864" s="1033"/>
      <c r="L864" s="574"/>
      <c r="M864" s="51"/>
      <c r="N864" s="113">
        <f t="shared" si="77"/>
        <v>9916</v>
      </c>
      <c r="O864" s="581"/>
      <c r="P864" s="582">
        <v>0</v>
      </c>
      <c r="Q864" s="589"/>
      <c r="R864" s="576"/>
      <c r="S864" s="583">
        <f t="shared" si="76"/>
        <v>0</v>
      </c>
      <c r="T864" s="584">
        <v>0</v>
      </c>
      <c r="U864" s="51"/>
      <c r="V864" s="2120">
        <f t="shared" si="78"/>
        <v>0</v>
      </c>
      <c r="W864" s="43"/>
      <c r="X864" s="43"/>
      <c r="Y864" s="43"/>
      <c r="Z864" s="43"/>
    </row>
    <row r="865" spans="1:26">
      <c r="A865" s="88">
        <v>9917</v>
      </c>
      <c r="B865" s="1033" t="s">
        <v>100</v>
      </c>
      <c r="C865" s="1033"/>
      <c r="D865" s="1033"/>
      <c r="E865" s="1033"/>
      <c r="F865" s="1033"/>
      <c r="G865" s="1033"/>
      <c r="H865" s="1033"/>
      <c r="I865" s="1033"/>
      <c r="J865" s="1033"/>
      <c r="K865" s="1033"/>
      <c r="L865" s="574"/>
      <c r="M865" s="51"/>
      <c r="N865" s="113">
        <f t="shared" si="77"/>
        <v>9917</v>
      </c>
      <c r="O865" s="581"/>
      <c r="P865" s="582">
        <v>0</v>
      </c>
      <c r="Q865" s="589"/>
      <c r="R865" s="576"/>
      <c r="S865" s="583">
        <f t="shared" si="76"/>
        <v>0</v>
      </c>
      <c r="T865" s="584">
        <v>0</v>
      </c>
      <c r="U865" s="51"/>
      <c r="V865" s="2120">
        <f t="shared" si="78"/>
        <v>0</v>
      </c>
      <c r="W865" s="43"/>
      <c r="X865" s="43"/>
      <c r="Y865" s="43"/>
      <c r="Z865" s="43"/>
    </row>
    <row r="866" spans="1:26">
      <c r="A866" s="88">
        <v>9918</v>
      </c>
      <c r="B866" s="1032" t="s">
        <v>101</v>
      </c>
      <c r="C866" s="1033"/>
      <c r="D866" s="1033"/>
      <c r="E866" s="1033"/>
      <c r="F866" s="1033"/>
      <c r="G866" s="1033"/>
      <c r="H866" s="1033"/>
      <c r="I866" s="1033"/>
      <c r="J866" s="1033"/>
      <c r="K866" s="1033"/>
      <c r="L866" s="90"/>
      <c r="M866" s="51"/>
      <c r="N866" s="113">
        <f t="shared" si="77"/>
        <v>9918</v>
      </c>
      <c r="O866" s="581"/>
      <c r="P866" s="582">
        <v>0</v>
      </c>
      <c r="Q866" s="589"/>
      <c r="R866" s="576"/>
      <c r="S866" s="583">
        <f t="shared" si="76"/>
        <v>0</v>
      </c>
      <c r="T866" s="584">
        <v>0</v>
      </c>
      <c r="U866" s="51"/>
      <c r="V866" s="2120">
        <f t="shared" si="78"/>
        <v>0</v>
      </c>
      <c r="W866" s="43"/>
      <c r="X866" s="43"/>
      <c r="Y866" s="43"/>
      <c r="Z866" s="43"/>
    </row>
    <row r="867" spans="1:26">
      <c r="A867" s="88">
        <v>9919</v>
      </c>
      <c r="B867" s="1032" t="s">
        <v>102</v>
      </c>
      <c r="C867" s="1033"/>
      <c r="D867" s="1033"/>
      <c r="E867" s="1033"/>
      <c r="F867" s="1033"/>
      <c r="G867" s="1033"/>
      <c r="H867" s="1033"/>
      <c r="I867" s="1033"/>
      <c r="J867" s="1033"/>
      <c r="K867" s="1033"/>
      <c r="L867" s="90"/>
      <c r="M867" s="51"/>
      <c r="N867" s="113">
        <f t="shared" si="77"/>
        <v>9919</v>
      </c>
      <c r="O867" s="581"/>
      <c r="P867" s="582">
        <v>0</v>
      </c>
      <c r="Q867" s="589"/>
      <c r="R867" s="576"/>
      <c r="S867" s="583">
        <f t="shared" si="76"/>
        <v>0</v>
      </c>
      <c r="T867" s="584">
        <v>0</v>
      </c>
      <c r="U867" s="51"/>
      <c r="V867" s="2120">
        <f t="shared" si="78"/>
        <v>0</v>
      </c>
      <c r="W867" s="43"/>
      <c r="X867" s="43"/>
      <c r="Y867" s="43"/>
      <c r="Z867" s="43"/>
    </row>
    <row r="868" spans="1:26">
      <c r="A868" s="88">
        <v>9921</v>
      </c>
      <c r="B868" s="1033" t="s">
        <v>103</v>
      </c>
      <c r="C868" s="1033"/>
      <c r="D868" s="1033"/>
      <c r="E868" s="1033"/>
      <c r="F868" s="1033"/>
      <c r="G868" s="1033"/>
      <c r="H868" s="1033"/>
      <c r="I868" s="1033"/>
      <c r="J868" s="1033"/>
      <c r="K868" s="1033"/>
      <c r="L868" s="90"/>
      <c r="M868" s="51"/>
      <c r="N868" s="113">
        <f t="shared" si="77"/>
        <v>9921</v>
      </c>
      <c r="O868" s="575">
        <v>0</v>
      </c>
      <c r="P868" s="576"/>
      <c r="Q868" s="589"/>
      <c r="R868" s="121"/>
      <c r="S868" s="579">
        <v>0</v>
      </c>
      <c r="T868" s="580">
        <f t="shared" ref="T868:T883" si="79">+IF(ABS(+O868+Q868)&lt;=ABS(P868+R868),-O868+P868-Q868+R868,0)</f>
        <v>0</v>
      </c>
      <c r="U868" s="51"/>
      <c r="V868" s="2119">
        <f t="shared" ref="V868:V875" si="80">+IF(OR(+ROUND(O868,2)+ROUND(Q868,2)&gt;ROUND(P868,2)+ROUND(R868,2),+ABS(ROUND(O868,2)+ROUND(Q868,2))&gt;+ABS(ROUND(P868,2)+ROUND(R868,2))),+(ROUND(O868,2)+ROUND(Q868,2))-(ROUND(P868,2)+ROUND(R868,2)),0)</f>
        <v>0</v>
      </c>
      <c r="W868" s="43"/>
      <c r="X868" s="43"/>
      <c r="Y868" s="43"/>
      <c r="Z868" s="43"/>
    </row>
    <row r="869" spans="1:26">
      <c r="A869" s="88">
        <v>9922</v>
      </c>
      <c r="B869" s="1033" t="s">
        <v>104</v>
      </c>
      <c r="C869" s="1033"/>
      <c r="D869" s="1033"/>
      <c r="E869" s="1033"/>
      <c r="F869" s="1033"/>
      <c r="G869" s="1033"/>
      <c r="H869" s="1033"/>
      <c r="I869" s="1033"/>
      <c r="J869" s="1033"/>
      <c r="K869" s="1033"/>
      <c r="L869" s="90"/>
      <c r="M869" s="51"/>
      <c r="N869" s="113">
        <f t="shared" si="77"/>
        <v>9922</v>
      </c>
      <c r="O869" s="575">
        <v>0</v>
      </c>
      <c r="P869" s="576"/>
      <c r="Q869" s="589"/>
      <c r="R869" s="121"/>
      <c r="S869" s="579">
        <v>0</v>
      </c>
      <c r="T869" s="580">
        <f t="shared" si="79"/>
        <v>0</v>
      </c>
      <c r="U869" s="51"/>
      <c r="V869" s="2119">
        <f t="shared" si="80"/>
        <v>0</v>
      </c>
      <c r="W869" s="43"/>
      <c r="X869" s="43"/>
      <c r="Y869" s="43"/>
      <c r="Z869" s="43"/>
    </row>
    <row r="870" spans="1:26">
      <c r="A870" s="88">
        <v>9923</v>
      </c>
      <c r="B870" s="1033" t="s">
        <v>105</v>
      </c>
      <c r="C870" s="1033"/>
      <c r="D870" s="1033"/>
      <c r="E870" s="1033"/>
      <c r="F870" s="1033"/>
      <c r="G870" s="1033"/>
      <c r="H870" s="1033"/>
      <c r="I870" s="1033"/>
      <c r="J870" s="1033"/>
      <c r="K870" s="1033"/>
      <c r="L870" s="90"/>
      <c r="M870" s="51"/>
      <c r="N870" s="113">
        <f t="shared" si="77"/>
        <v>9923</v>
      </c>
      <c r="O870" s="575">
        <v>0</v>
      </c>
      <c r="P870" s="576">
        <v>0</v>
      </c>
      <c r="Q870" s="589">
        <v>0</v>
      </c>
      <c r="R870" s="121">
        <v>0</v>
      </c>
      <c r="S870" s="579">
        <v>0</v>
      </c>
      <c r="T870" s="580">
        <f t="shared" si="79"/>
        <v>0</v>
      </c>
      <c r="U870" s="51"/>
      <c r="V870" s="2119">
        <f t="shared" si="80"/>
        <v>0</v>
      </c>
      <c r="W870" s="43"/>
      <c r="X870" s="43"/>
      <c r="Y870" s="43"/>
      <c r="Z870" s="43"/>
    </row>
    <row r="871" spans="1:26">
      <c r="A871" s="88">
        <v>9924</v>
      </c>
      <c r="B871" s="1033" t="s">
        <v>106</v>
      </c>
      <c r="C871" s="1033"/>
      <c r="D871" s="1033"/>
      <c r="E871" s="1033"/>
      <c r="F871" s="1033"/>
      <c r="G871" s="1033"/>
      <c r="H871" s="1033"/>
      <c r="I871" s="1033"/>
      <c r="J871" s="1033"/>
      <c r="K871" s="1033"/>
      <c r="L871" s="90"/>
      <c r="M871" s="51"/>
      <c r="N871" s="113">
        <f t="shared" si="77"/>
        <v>9924</v>
      </c>
      <c r="O871" s="575">
        <v>0</v>
      </c>
      <c r="P871" s="576">
        <v>0</v>
      </c>
      <c r="Q871" s="589">
        <v>0</v>
      </c>
      <c r="R871" s="121">
        <v>0</v>
      </c>
      <c r="S871" s="579">
        <v>0</v>
      </c>
      <c r="T871" s="580">
        <f t="shared" si="79"/>
        <v>0</v>
      </c>
      <c r="U871" s="51"/>
      <c r="V871" s="2119">
        <f t="shared" si="80"/>
        <v>0</v>
      </c>
      <c r="W871" s="43"/>
      <c r="X871" s="43"/>
      <c r="Y871" s="43"/>
      <c r="Z871" s="43"/>
    </row>
    <row r="872" spans="1:26">
      <c r="A872" s="88">
        <v>9925</v>
      </c>
      <c r="B872" s="1033" t="s">
        <v>107</v>
      </c>
      <c r="C872" s="1033"/>
      <c r="D872" s="1033"/>
      <c r="E872" s="1033"/>
      <c r="F872" s="1033"/>
      <c r="G872" s="1033"/>
      <c r="H872" s="1033"/>
      <c r="I872" s="1033"/>
      <c r="J872" s="1033"/>
      <c r="K872" s="1033"/>
      <c r="L872" s="90"/>
      <c r="M872" s="51"/>
      <c r="N872" s="113">
        <f t="shared" si="77"/>
        <v>9925</v>
      </c>
      <c r="O872" s="575">
        <v>0</v>
      </c>
      <c r="P872" s="576"/>
      <c r="Q872" s="589"/>
      <c r="R872" s="121"/>
      <c r="S872" s="579">
        <v>0</v>
      </c>
      <c r="T872" s="580">
        <f t="shared" si="79"/>
        <v>0</v>
      </c>
      <c r="U872" s="51"/>
      <c r="V872" s="2119">
        <f t="shared" si="80"/>
        <v>0</v>
      </c>
      <c r="W872" s="43"/>
      <c r="X872" s="43"/>
      <c r="Y872" s="43"/>
      <c r="Z872" s="43"/>
    </row>
    <row r="873" spans="1:26">
      <c r="A873" s="88">
        <v>9926</v>
      </c>
      <c r="B873" s="1033" t="s">
        <v>108</v>
      </c>
      <c r="C873" s="1039"/>
      <c r="D873" s="1039"/>
      <c r="E873" s="1039"/>
      <c r="F873" s="1039"/>
      <c r="G873" s="1039"/>
      <c r="H873" s="1039"/>
      <c r="I873" s="1039"/>
      <c r="J873" s="1039"/>
      <c r="K873" s="1039"/>
      <c r="L873" s="574"/>
      <c r="M873" s="51"/>
      <c r="N873" s="113">
        <f t="shared" si="77"/>
        <v>9926</v>
      </c>
      <c r="O873" s="575">
        <v>0</v>
      </c>
      <c r="P873" s="576"/>
      <c r="Q873" s="589"/>
      <c r="R873" s="121"/>
      <c r="S873" s="579">
        <v>0</v>
      </c>
      <c r="T873" s="580">
        <f t="shared" si="79"/>
        <v>0</v>
      </c>
      <c r="U873" s="51"/>
      <c r="V873" s="2119">
        <f t="shared" si="80"/>
        <v>0</v>
      </c>
      <c r="W873" s="43"/>
      <c r="X873" s="43"/>
      <c r="Y873" s="43"/>
      <c r="Z873" s="43"/>
    </row>
    <row r="874" spans="1:26">
      <c r="A874" s="88">
        <v>9928</v>
      </c>
      <c r="B874" s="1033" t="s">
        <v>109</v>
      </c>
      <c r="C874" s="1033"/>
      <c r="D874" s="1033"/>
      <c r="E874" s="1033"/>
      <c r="F874" s="1033"/>
      <c r="G874" s="1033"/>
      <c r="H874" s="1033"/>
      <c r="I874" s="1033"/>
      <c r="J874" s="1033"/>
      <c r="K874" s="1033"/>
      <c r="L874" s="90"/>
      <c r="M874" s="51"/>
      <c r="N874" s="113">
        <f t="shared" si="77"/>
        <v>9928</v>
      </c>
      <c r="O874" s="575">
        <v>0</v>
      </c>
      <c r="P874" s="576"/>
      <c r="Q874" s="589"/>
      <c r="R874" s="121"/>
      <c r="S874" s="579">
        <v>0</v>
      </c>
      <c r="T874" s="580">
        <f t="shared" si="79"/>
        <v>0</v>
      </c>
      <c r="U874" s="51"/>
      <c r="V874" s="2119">
        <f t="shared" si="80"/>
        <v>0</v>
      </c>
      <c r="W874" s="43"/>
      <c r="X874" s="43"/>
      <c r="Y874" s="43"/>
      <c r="Z874" s="43"/>
    </row>
    <row r="875" spans="1:26">
      <c r="A875" s="88">
        <v>9929</v>
      </c>
      <c r="B875" s="1033" t="s">
        <v>110</v>
      </c>
      <c r="C875" s="1033"/>
      <c r="D875" s="1033"/>
      <c r="E875" s="1033"/>
      <c r="F875" s="1033"/>
      <c r="G875" s="1033"/>
      <c r="H875" s="1033"/>
      <c r="I875" s="1033"/>
      <c r="J875" s="1033"/>
      <c r="K875" s="1033"/>
      <c r="L875" s="90"/>
      <c r="M875" s="51"/>
      <c r="N875" s="113">
        <f t="shared" si="77"/>
        <v>9929</v>
      </c>
      <c r="O875" s="575">
        <v>0</v>
      </c>
      <c r="P875" s="576"/>
      <c r="Q875" s="589"/>
      <c r="R875" s="121"/>
      <c r="S875" s="579">
        <v>0</v>
      </c>
      <c r="T875" s="580">
        <f t="shared" si="79"/>
        <v>0</v>
      </c>
      <c r="U875" s="51"/>
      <c r="V875" s="2119">
        <f t="shared" si="80"/>
        <v>0</v>
      </c>
      <c r="W875" s="43"/>
      <c r="X875" s="43"/>
      <c r="Y875" s="43"/>
      <c r="Z875" s="43"/>
    </row>
    <row r="876" spans="1:26" ht="15.75" customHeight="1">
      <c r="A876" s="88">
        <v>9940</v>
      </c>
      <c r="B876" s="1033" t="s">
        <v>111</v>
      </c>
      <c r="C876" s="1038"/>
      <c r="D876" s="1038"/>
      <c r="E876" s="1038"/>
      <c r="F876" s="1038"/>
      <c r="G876" s="1038"/>
      <c r="H876" s="1038"/>
      <c r="I876" s="1038"/>
      <c r="J876" s="1038"/>
      <c r="K876" s="1038"/>
      <c r="L876" s="590"/>
      <c r="M876" s="51"/>
      <c r="N876" s="113">
        <f t="shared" si="77"/>
        <v>9940</v>
      </c>
      <c r="O876" s="575">
        <v>0</v>
      </c>
      <c r="P876" s="582">
        <v>0</v>
      </c>
      <c r="Q876" s="589"/>
      <c r="R876" s="576"/>
      <c r="S876" s="583">
        <f t="shared" ref="S876:S884" si="81">+IF(ABS(+O876+Q876)&gt;=ABS(P876+R876),+O876-P876+Q876-R876,0)</f>
        <v>0</v>
      </c>
      <c r="T876" s="580">
        <f t="shared" si="79"/>
        <v>0</v>
      </c>
      <c r="U876" s="51"/>
      <c r="V876" s="2119"/>
      <c r="W876" s="43"/>
      <c r="X876" s="43"/>
      <c r="Y876" s="43"/>
      <c r="Z876" s="43"/>
    </row>
    <row r="877" spans="1:26" ht="15.75" customHeight="1">
      <c r="A877" s="88">
        <v>9941</v>
      </c>
      <c r="B877" s="1033" t="s">
        <v>112</v>
      </c>
      <c r="C877" s="1038"/>
      <c r="D877" s="1038"/>
      <c r="E877" s="1038"/>
      <c r="F877" s="1038"/>
      <c r="G877" s="1038"/>
      <c r="H877" s="1038"/>
      <c r="I877" s="1038"/>
      <c r="J877" s="1038"/>
      <c r="K877" s="1038"/>
      <c r="L877" s="590"/>
      <c r="M877" s="51"/>
      <c r="N877" s="113">
        <f t="shared" si="77"/>
        <v>9941</v>
      </c>
      <c r="O877" s="575">
        <v>0</v>
      </c>
      <c r="P877" s="582">
        <v>0</v>
      </c>
      <c r="Q877" s="589"/>
      <c r="R877" s="576"/>
      <c r="S877" s="583">
        <f t="shared" si="81"/>
        <v>0</v>
      </c>
      <c r="T877" s="580">
        <f t="shared" si="79"/>
        <v>0</v>
      </c>
      <c r="U877" s="51"/>
      <c r="V877" s="2119"/>
      <c r="W877" s="43"/>
      <c r="X877" s="43"/>
      <c r="Y877" s="43"/>
      <c r="Z877" s="43"/>
    </row>
    <row r="878" spans="1:26" ht="15.75" customHeight="1">
      <c r="A878" s="88">
        <v>9944</v>
      </c>
      <c r="B878" s="1033" t="s">
        <v>113</v>
      </c>
      <c r="C878" s="1038"/>
      <c r="D878" s="1038"/>
      <c r="E878" s="1038"/>
      <c r="F878" s="1038"/>
      <c r="G878" s="1038"/>
      <c r="H878" s="1038"/>
      <c r="I878" s="1038"/>
      <c r="J878" s="1038"/>
      <c r="K878" s="1038"/>
      <c r="L878" s="590"/>
      <c r="M878" s="51"/>
      <c r="N878" s="113">
        <f t="shared" si="77"/>
        <v>9944</v>
      </c>
      <c r="O878" s="575">
        <v>0</v>
      </c>
      <c r="P878" s="582">
        <v>0</v>
      </c>
      <c r="Q878" s="589"/>
      <c r="R878" s="576"/>
      <c r="S878" s="583">
        <f t="shared" si="81"/>
        <v>0</v>
      </c>
      <c r="T878" s="580">
        <f t="shared" si="79"/>
        <v>0</v>
      </c>
      <c r="U878" s="51"/>
      <c r="V878" s="2119"/>
      <c r="W878" s="43"/>
      <c r="X878" s="43"/>
      <c r="Y878" s="43"/>
      <c r="Z878" s="43"/>
    </row>
    <row r="879" spans="1:26" ht="15.75" customHeight="1">
      <c r="A879" s="88">
        <v>9945</v>
      </c>
      <c r="B879" s="1033" t="s">
        <v>114</v>
      </c>
      <c r="C879" s="1038"/>
      <c r="D879" s="1038"/>
      <c r="E879" s="1038"/>
      <c r="F879" s="1038"/>
      <c r="G879" s="1038"/>
      <c r="H879" s="1038"/>
      <c r="I879" s="1038"/>
      <c r="J879" s="1038"/>
      <c r="K879" s="1038"/>
      <c r="L879" s="590"/>
      <c r="M879" s="51"/>
      <c r="N879" s="113">
        <f t="shared" si="77"/>
        <v>9945</v>
      </c>
      <c r="O879" s="575">
        <v>0</v>
      </c>
      <c r="P879" s="582">
        <v>0</v>
      </c>
      <c r="Q879" s="589"/>
      <c r="R879" s="576"/>
      <c r="S879" s="583">
        <f t="shared" si="81"/>
        <v>0</v>
      </c>
      <c r="T879" s="580">
        <f t="shared" si="79"/>
        <v>0</v>
      </c>
      <c r="U879" s="51"/>
      <c r="V879" s="2119"/>
      <c r="W879" s="43"/>
      <c r="X879" s="43"/>
      <c r="Y879" s="43"/>
      <c r="Z879" s="43"/>
    </row>
    <row r="880" spans="1:26" ht="15.75" customHeight="1">
      <c r="A880" s="88">
        <v>9946</v>
      </c>
      <c r="B880" s="1033" t="s">
        <v>115</v>
      </c>
      <c r="C880" s="1038"/>
      <c r="D880" s="1038"/>
      <c r="E880" s="1038"/>
      <c r="F880" s="1038"/>
      <c r="G880" s="1038"/>
      <c r="H880" s="1038"/>
      <c r="I880" s="1038"/>
      <c r="J880" s="1038"/>
      <c r="K880" s="1038"/>
      <c r="L880" s="590"/>
      <c r="M880" s="51"/>
      <c r="N880" s="113">
        <f t="shared" si="77"/>
        <v>9946</v>
      </c>
      <c r="O880" s="575">
        <v>0</v>
      </c>
      <c r="P880" s="582">
        <v>0</v>
      </c>
      <c r="Q880" s="589"/>
      <c r="R880" s="576"/>
      <c r="S880" s="583">
        <f t="shared" si="81"/>
        <v>0</v>
      </c>
      <c r="T880" s="580">
        <f t="shared" si="79"/>
        <v>0</v>
      </c>
      <c r="U880" s="51"/>
      <c r="V880" s="2119"/>
      <c r="W880" s="43"/>
      <c r="X880" s="43"/>
      <c r="Y880" s="43"/>
      <c r="Z880" s="43"/>
    </row>
    <row r="881" spans="1:26" ht="15.75" customHeight="1">
      <c r="A881" s="88">
        <v>9947</v>
      </c>
      <c r="B881" s="1033" t="s">
        <v>116</v>
      </c>
      <c r="C881" s="1038"/>
      <c r="D881" s="1038"/>
      <c r="E881" s="1038"/>
      <c r="F881" s="1038"/>
      <c r="G881" s="1038"/>
      <c r="H881" s="1038"/>
      <c r="I881" s="1038"/>
      <c r="J881" s="1038"/>
      <c r="K881" s="1038"/>
      <c r="L881" s="590"/>
      <c r="M881" s="51"/>
      <c r="N881" s="113">
        <f t="shared" si="77"/>
        <v>9947</v>
      </c>
      <c r="O881" s="575">
        <v>0</v>
      </c>
      <c r="P881" s="582">
        <v>0</v>
      </c>
      <c r="Q881" s="589"/>
      <c r="R881" s="576"/>
      <c r="S881" s="583">
        <f t="shared" si="81"/>
        <v>0</v>
      </c>
      <c r="T881" s="580">
        <f t="shared" si="79"/>
        <v>0</v>
      </c>
      <c r="U881" s="51"/>
      <c r="V881" s="2119"/>
      <c r="W881" s="43"/>
      <c r="X881" s="43"/>
      <c r="Y881" s="43"/>
      <c r="Z881" s="43"/>
    </row>
    <row r="882" spans="1:26" ht="15.75" customHeight="1">
      <c r="A882" s="88">
        <v>9948</v>
      </c>
      <c r="B882" s="1033" t="s">
        <v>117</v>
      </c>
      <c r="C882" s="1038"/>
      <c r="D882" s="1038"/>
      <c r="E882" s="1038"/>
      <c r="F882" s="1038"/>
      <c r="G882" s="1038"/>
      <c r="H882" s="1038"/>
      <c r="I882" s="1038"/>
      <c r="J882" s="1038"/>
      <c r="K882" s="1038"/>
      <c r="L882" s="590"/>
      <c r="M882" s="51"/>
      <c r="N882" s="113">
        <f t="shared" si="77"/>
        <v>9948</v>
      </c>
      <c r="O882" s="575">
        <v>0</v>
      </c>
      <c r="P882" s="582">
        <v>0</v>
      </c>
      <c r="Q882" s="589"/>
      <c r="R882" s="576"/>
      <c r="S882" s="583">
        <f t="shared" si="81"/>
        <v>0</v>
      </c>
      <c r="T882" s="580">
        <f t="shared" si="79"/>
        <v>0</v>
      </c>
      <c r="U882" s="51"/>
      <c r="V882" s="2119"/>
      <c r="W882" s="43"/>
      <c r="X882" s="43"/>
      <c r="Y882" s="43"/>
      <c r="Z882" s="43"/>
    </row>
    <row r="883" spans="1:26" ht="15.75" customHeight="1">
      <c r="A883" s="88">
        <v>9949</v>
      </c>
      <c r="B883" s="1033" t="s">
        <v>118</v>
      </c>
      <c r="C883" s="1038"/>
      <c r="D883" s="1038"/>
      <c r="E883" s="1038"/>
      <c r="F883" s="1038"/>
      <c r="G883" s="1038"/>
      <c r="H883" s="1038"/>
      <c r="I883" s="1038"/>
      <c r="J883" s="1038"/>
      <c r="K883" s="1038"/>
      <c r="L883" s="590"/>
      <c r="M883" s="51"/>
      <c r="N883" s="113">
        <f t="shared" si="77"/>
        <v>9949</v>
      </c>
      <c r="O883" s="575">
        <v>0</v>
      </c>
      <c r="P883" s="582">
        <v>0</v>
      </c>
      <c r="Q883" s="589"/>
      <c r="R883" s="576"/>
      <c r="S883" s="583">
        <f t="shared" si="81"/>
        <v>0</v>
      </c>
      <c r="T883" s="580">
        <f t="shared" si="79"/>
        <v>0</v>
      </c>
      <c r="U883" s="51"/>
      <c r="V883" s="2119"/>
      <c r="W883" s="43"/>
      <c r="X883" s="43"/>
      <c r="Y883" s="43"/>
      <c r="Z883" s="43"/>
    </row>
    <row r="884" spans="1:26">
      <c r="A884" s="88">
        <v>9978</v>
      </c>
      <c r="B884" s="1033" t="s">
        <v>119</v>
      </c>
      <c r="C884" s="1033"/>
      <c r="D884" s="1033"/>
      <c r="E884" s="1033"/>
      <c r="F884" s="1033"/>
      <c r="G884" s="1033"/>
      <c r="H884" s="1033"/>
      <c r="I884" s="1033"/>
      <c r="J884" s="1033"/>
      <c r="K884" s="1033"/>
      <c r="L884" s="90"/>
      <c r="M884" s="51"/>
      <c r="N884" s="113">
        <f t="shared" si="77"/>
        <v>9978</v>
      </c>
      <c r="O884" s="581">
        <v>0</v>
      </c>
      <c r="P884" s="582">
        <v>0</v>
      </c>
      <c r="Q884" s="589">
        <v>0</v>
      </c>
      <c r="R884" s="576">
        <v>0</v>
      </c>
      <c r="S884" s="583">
        <f t="shared" si="81"/>
        <v>0</v>
      </c>
      <c r="T884" s="584">
        <v>0</v>
      </c>
      <c r="U884" s="51"/>
      <c r="V884" s="2120">
        <f>+IF(OR(ROUND(P884,2)+ROUND(R884,2)&gt;+ROUND(O884,2)+ROUND(Q884,2),+ABS(ROUND(P884,2)+ROUND(R884,2))&gt;+ABS(ROUND(O884,2)+ROUND(Q884,2))),+(ROUND(P884,2)+ROUND(R884,2))-(ROUND(O884,2)+ROUND(Q884,2)),0)</f>
        <v>0</v>
      </c>
      <c r="W884" s="43"/>
      <c r="X884" s="43"/>
      <c r="Y884" s="43"/>
      <c r="Z884" s="43"/>
    </row>
    <row r="885" spans="1:26">
      <c r="A885" s="88">
        <v>9979</v>
      </c>
      <c r="B885" s="1033" t="s">
        <v>120</v>
      </c>
      <c r="C885" s="1033"/>
      <c r="D885" s="1033"/>
      <c r="E885" s="1033"/>
      <c r="F885" s="1033"/>
      <c r="G885" s="1033"/>
      <c r="H885" s="1033"/>
      <c r="I885" s="1033"/>
      <c r="J885" s="1033"/>
      <c r="K885" s="1033"/>
      <c r="L885" s="90"/>
      <c r="M885" s="51"/>
      <c r="N885" s="113">
        <f t="shared" si="77"/>
        <v>9979</v>
      </c>
      <c r="O885" s="575">
        <v>0</v>
      </c>
      <c r="P885" s="576">
        <v>0</v>
      </c>
      <c r="Q885" s="589">
        <v>0</v>
      </c>
      <c r="R885" s="121">
        <v>0</v>
      </c>
      <c r="S885" s="579">
        <v>0</v>
      </c>
      <c r="T885" s="580">
        <f>+IF(ABS(+O885+Q885)&lt;=ABS(P885+R885),-O885+P885-Q885+R885,0)</f>
        <v>0</v>
      </c>
      <c r="U885" s="51"/>
      <c r="V885" s="2119">
        <f>+IF(OR(+ROUND(O885,2)+ROUND(Q885,2)&gt;ROUND(P885,2)+ROUND(R885,2),+ABS(ROUND(O885,2)+ROUND(Q885,2))&gt;+ABS(ROUND(P885,2)+ROUND(R885,2))),+(ROUND(O885,2)+ROUND(Q885,2))-(ROUND(P885,2)+ROUND(R885,2)),0)</f>
        <v>0</v>
      </c>
      <c r="W885" s="43"/>
      <c r="X885" s="43"/>
      <c r="Y885" s="43"/>
      <c r="Z885" s="43"/>
    </row>
    <row r="886" spans="1:26">
      <c r="A886" s="88">
        <v>9981</v>
      </c>
      <c r="B886" s="1032" t="s">
        <v>121</v>
      </c>
      <c r="C886" s="1033"/>
      <c r="D886" s="1033"/>
      <c r="E886" s="1033"/>
      <c r="F886" s="1033"/>
      <c r="G886" s="1033"/>
      <c r="H886" s="1033"/>
      <c r="I886" s="1033"/>
      <c r="J886" s="1033"/>
      <c r="K886" s="1033"/>
      <c r="L886" s="90"/>
      <c r="M886" s="51"/>
      <c r="N886" s="113">
        <f t="shared" si="77"/>
        <v>9981</v>
      </c>
      <c r="O886" s="575">
        <v>0</v>
      </c>
      <c r="P886" s="576">
        <v>0</v>
      </c>
      <c r="Q886" s="589">
        <v>0</v>
      </c>
      <c r="R886" s="121">
        <v>0</v>
      </c>
      <c r="S886" s="579">
        <v>0</v>
      </c>
      <c r="T886" s="580">
        <f>+IF(ABS(+O886+Q886)&lt;=ABS(P886+R886),-O886+P886-Q886+R886,0)</f>
        <v>0</v>
      </c>
      <c r="U886" s="51"/>
      <c r="V886" s="2119">
        <f>+IF(OR(+ROUND(O886,2)+ROUND(Q886,2)&gt;ROUND(P886,2)+ROUND(R886,2),+ABS(ROUND(O886,2)+ROUND(Q886,2))&gt;+ABS(ROUND(P886,2)+ROUND(R886,2))),+(ROUND(O886,2)+ROUND(Q886,2))-(ROUND(P886,2)+ROUND(R886,2)),0)</f>
        <v>0</v>
      </c>
      <c r="W886" s="43"/>
      <c r="X886" s="43"/>
      <c r="Y886" s="43"/>
      <c r="Z886" s="43"/>
    </row>
    <row r="887" spans="1:26" ht="16.5" thickBot="1">
      <c r="A887" s="1052">
        <v>9989</v>
      </c>
      <c r="B887" s="1031" t="s">
        <v>122</v>
      </c>
      <c r="C887" s="101"/>
      <c r="D887" s="101"/>
      <c r="E887" s="101"/>
      <c r="F887" s="101"/>
      <c r="G887" s="101"/>
      <c r="H887" s="101"/>
      <c r="I887" s="101"/>
      <c r="J887" s="101"/>
      <c r="K887" s="101"/>
      <c r="L887" s="102"/>
      <c r="M887" s="51"/>
      <c r="N887" s="116">
        <f t="shared" si="77"/>
        <v>9989</v>
      </c>
      <c r="O887" s="123">
        <v>0</v>
      </c>
      <c r="P887" s="37">
        <v>0</v>
      </c>
      <c r="Q887" s="598">
        <v>0</v>
      </c>
      <c r="R887" s="597">
        <v>0</v>
      </c>
      <c r="S887" s="56">
        <f>+IF(ABS(+O887+Q887)&gt;=ABS(P887+R887),+O887-P887+Q887-R887,0)</f>
        <v>0</v>
      </c>
      <c r="T887" s="60">
        <v>0</v>
      </c>
      <c r="U887" s="51"/>
      <c r="V887" s="2119"/>
      <c r="W887" s="43"/>
      <c r="X887" s="43"/>
      <c r="Y887" s="43"/>
      <c r="Z887" s="43"/>
    </row>
    <row r="888" spans="1:26" ht="16.5" thickBot="1">
      <c r="A888" s="103" t="s">
        <v>593</v>
      </c>
      <c r="B888" s="104"/>
      <c r="C888" s="104"/>
      <c r="D888" s="104"/>
      <c r="E888" s="104"/>
      <c r="F888" s="104"/>
      <c r="G888" s="104"/>
      <c r="H888" s="104"/>
      <c r="I888" s="2623" t="str">
        <f>+I831</f>
        <v>NF-CSF</v>
      </c>
      <c r="J888" s="2623"/>
      <c r="K888" s="2623"/>
      <c r="L888" s="105"/>
      <c r="M888" s="51"/>
      <c r="N888" s="117">
        <v>9</v>
      </c>
      <c r="O888" s="846">
        <f t="shared" ref="O888:T888" si="82">+ROUND(SUM(O831:O887),2)</f>
        <v>0</v>
      </c>
      <c r="P888" s="849">
        <f t="shared" si="82"/>
        <v>0</v>
      </c>
      <c r="Q888" s="848">
        <f t="shared" si="82"/>
        <v>0</v>
      </c>
      <c r="R888" s="849">
        <f t="shared" si="82"/>
        <v>0</v>
      </c>
      <c r="S888" s="850">
        <f t="shared" si="82"/>
        <v>0</v>
      </c>
      <c r="T888" s="851">
        <f t="shared" si="82"/>
        <v>0</v>
      </c>
      <c r="U888" s="51"/>
      <c r="V888" s="2119"/>
      <c r="W888" s="43"/>
      <c r="X888" s="43"/>
      <c r="Y888" s="43"/>
      <c r="Z888" s="43"/>
    </row>
    <row r="889" spans="1:26" ht="12" customHeight="1" thickBot="1">
      <c r="A889" s="106"/>
      <c r="B889" s="49"/>
      <c r="C889" s="49"/>
      <c r="D889" s="49"/>
      <c r="E889" s="49"/>
      <c r="F889" s="49"/>
      <c r="G889" s="49"/>
      <c r="H889" s="49"/>
      <c r="I889" s="560"/>
      <c r="J889" s="560"/>
      <c r="K889" s="560"/>
      <c r="L889" s="49"/>
      <c r="M889" s="51"/>
      <c r="N889" s="118"/>
      <c r="O889" s="38"/>
      <c r="P889" s="38"/>
      <c r="Q889" s="38"/>
      <c r="R889" s="38"/>
      <c r="S889" s="38"/>
      <c r="T889" s="38"/>
      <c r="U889" s="51"/>
      <c r="V889" s="2119"/>
      <c r="W889" s="43"/>
      <c r="X889" s="43"/>
      <c r="Y889" s="43"/>
      <c r="Z889" s="43"/>
    </row>
    <row r="890" spans="1:26" ht="16.5" thickBot="1">
      <c r="A890" s="285" t="s">
        <v>594</v>
      </c>
      <c r="B890" s="286"/>
      <c r="C890" s="286"/>
      <c r="D890" s="286"/>
      <c r="E890" s="286"/>
      <c r="F890" s="286"/>
      <c r="G890" s="286"/>
      <c r="H890" s="286"/>
      <c r="I890" s="2619" t="str">
        <f>+I888</f>
        <v>NF-CSF</v>
      </c>
      <c r="J890" s="2619"/>
      <c r="K890" s="2619"/>
      <c r="L890" s="287"/>
      <c r="M890" s="51"/>
      <c r="N890" s="288" t="s">
        <v>665</v>
      </c>
      <c r="O890" s="852">
        <f t="shared" ref="O890:T890" si="83">+ROUND(+O829+O888,2)</f>
        <v>0</v>
      </c>
      <c r="P890" s="853">
        <f t="shared" si="83"/>
        <v>0</v>
      </c>
      <c r="Q890" s="854">
        <f t="shared" si="83"/>
        <v>0</v>
      </c>
      <c r="R890" s="853">
        <f t="shared" si="83"/>
        <v>0</v>
      </c>
      <c r="S890" s="854">
        <f t="shared" si="83"/>
        <v>0</v>
      </c>
      <c r="T890" s="855">
        <f t="shared" si="83"/>
        <v>0</v>
      </c>
      <c r="U890" s="51"/>
      <c r="V890" s="2119"/>
      <c r="W890" s="43"/>
      <c r="X890" s="43"/>
      <c r="Y890" s="43"/>
      <c r="Z890" s="43"/>
    </row>
    <row r="891" spans="1:26" ht="17.25" thickTop="1" thickBot="1">
      <c r="A891" s="43"/>
      <c r="B891" s="43"/>
      <c r="C891" s="43"/>
      <c r="D891" s="43"/>
      <c r="E891" s="43"/>
      <c r="F891" s="43"/>
      <c r="G891" s="43"/>
      <c r="H891" s="43"/>
      <c r="I891" s="43"/>
      <c r="J891" s="43"/>
      <c r="K891" s="43"/>
      <c r="L891" s="43"/>
      <c r="M891" s="44"/>
      <c r="N891" s="119"/>
      <c r="O891" s="38"/>
      <c r="P891" s="38"/>
      <c r="Q891" s="38"/>
      <c r="R891" s="38"/>
      <c r="S891" s="38"/>
      <c r="T891" s="38"/>
      <c r="U891" s="44"/>
      <c r="V891" s="2119"/>
      <c r="W891" s="43"/>
      <c r="X891" s="43"/>
      <c r="Y891" s="43"/>
      <c r="Z891" s="43"/>
    </row>
    <row r="892" spans="1:26" ht="16.5" thickBot="1">
      <c r="A892" s="97" t="s">
        <v>597</v>
      </c>
      <c r="B892" s="98"/>
      <c r="C892" s="98"/>
      <c r="D892" s="98"/>
      <c r="E892" s="98"/>
      <c r="F892" s="98"/>
      <c r="G892" s="98"/>
      <c r="H892" s="98"/>
      <c r="I892" s="98"/>
      <c r="J892" s="98"/>
      <c r="K892" s="98"/>
      <c r="L892" s="99"/>
      <c r="M892" s="51"/>
      <c r="N892" s="129" t="s">
        <v>666</v>
      </c>
      <c r="O892" s="58" t="s">
        <v>595</v>
      </c>
      <c r="P892" s="78">
        <f>+ROUND(+O829-P829,2)</f>
        <v>0</v>
      </c>
      <c r="Q892" s="62" t="s">
        <v>596</v>
      </c>
      <c r="R892" s="61">
        <f>+ROUND(+Q829-R829,2)</f>
        <v>0</v>
      </c>
      <c r="S892" s="63" t="s">
        <v>187</v>
      </c>
      <c r="T892" s="59">
        <f>+ROUND(+S829-T829,2)</f>
        <v>0</v>
      </c>
      <c r="U892" s="51"/>
      <c r="V892" s="2119"/>
      <c r="W892" s="43"/>
      <c r="X892" s="43"/>
      <c r="Y892" s="43"/>
      <c r="Z892" s="43"/>
    </row>
    <row r="893" spans="1:26" ht="7.5" customHeight="1" thickBot="1">
      <c r="A893" s="43"/>
      <c r="B893" s="43"/>
      <c r="C893" s="43"/>
      <c r="D893" s="43"/>
      <c r="E893" s="43"/>
      <c r="F893" s="43"/>
      <c r="G893" s="43"/>
      <c r="H893" s="43"/>
      <c r="I893" s="43"/>
      <c r="J893" s="43"/>
      <c r="K893" s="43"/>
      <c r="L893" s="43"/>
      <c r="M893" s="44"/>
      <c r="N893" s="119"/>
      <c r="O893" s="38"/>
      <c r="P893" s="38"/>
      <c r="Q893" s="38"/>
      <c r="R893" s="38"/>
      <c r="S893" s="38"/>
      <c r="T893" s="38"/>
      <c r="U893" s="44"/>
      <c r="V893" s="2119"/>
      <c r="W893" s="43"/>
      <c r="X893" s="43"/>
      <c r="Y893" s="43"/>
      <c r="Z893" s="43"/>
    </row>
    <row r="894" spans="1:26" ht="16.5" thickBot="1">
      <c r="A894" s="97" t="s">
        <v>186</v>
      </c>
      <c r="B894" s="98"/>
      <c r="C894" s="98"/>
      <c r="D894" s="98"/>
      <c r="E894" s="98"/>
      <c r="F894" s="98"/>
      <c r="G894" s="98"/>
      <c r="H894" s="98"/>
      <c r="I894" s="98"/>
      <c r="J894" s="98"/>
      <c r="K894" s="98"/>
      <c r="L894" s="99"/>
      <c r="M894" s="51"/>
      <c r="N894" s="130">
        <v>9</v>
      </c>
      <c r="O894" s="58" t="s">
        <v>595</v>
      </c>
      <c r="P894" s="61">
        <f>+ROUND(+O888-P888,2)</f>
        <v>0</v>
      </c>
      <c r="Q894" s="62" t="s">
        <v>596</v>
      </c>
      <c r="R894" s="61">
        <f>+ROUND(+Q888-R888,2)</f>
        <v>0</v>
      </c>
      <c r="S894" s="63" t="s">
        <v>187</v>
      </c>
      <c r="T894" s="59">
        <f>+ROUND(+S888-T888,2)</f>
        <v>0</v>
      </c>
      <c r="U894" s="51"/>
      <c r="V894" s="2119"/>
      <c r="W894" s="43"/>
      <c r="X894" s="43"/>
      <c r="Y894" s="43"/>
      <c r="Z894" s="43"/>
    </row>
    <row r="895" spans="1:26" ht="7.5" customHeight="1" thickBot="1">
      <c r="A895" s="43"/>
      <c r="B895" s="43"/>
      <c r="C895" s="43"/>
      <c r="D895" s="43"/>
      <c r="E895" s="43"/>
      <c r="F895" s="43"/>
      <c r="G895" s="43"/>
      <c r="H895" s="43"/>
      <c r="I895" s="43"/>
      <c r="J895" s="43"/>
      <c r="K895" s="43"/>
      <c r="L895" s="43"/>
      <c r="M895" s="44"/>
      <c r="N895" s="119"/>
      <c r="O895" s="38"/>
      <c r="P895" s="38"/>
      <c r="Q895" s="38"/>
      <c r="R895" s="38"/>
      <c r="S895" s="38"/>
      <c r="T895" s="38"/>
      <c r="U895" s="44"/>
      <c r="V895" s="2119"/>
      <c r="W895" s="43"/>
      <c r="X895" s="43"/>
      <c r="Y895" s="43"/>
      <c r="Z895" s="43"/>
    </row>
    <row r="896" spans="1:26" ht="16.5" thickBot="1">
      <c r="A896" s="107" t="s">
        <v>377</v>
      </c>
      <c r="B896" s="108"/>
      <c r="C896" s="108"/>
      <c r="D896" s="108"/>
      <c r="E896" s="108"/>
      <c r="F896" s="108"/>
      <c r="G896" s="108"/>
      <c r="H896" s="108"/>
      <c r="I896" s="108"/>
      <c r="J896" s="108"/>
      <c r="K896" s="108"/>
      <c r="L896" s="109"/>
      <c r="M896" s="51"/>
      <c r="N896" s="131" t="s">
        <v>665</v>
      </c>
      <c r="O896" s="67" t="s">
        <v>595</v>
      </c>
      <c r="P896" s="65">
        <f>+ROUND(+O890-P890,2)</f>
        <v>0</v>
      </c>
      <c r="Q896" s="64" t="s">
        <v>596</v>
      </c>
      <c r="R896" s="65">
        <f>+ROUND(+Q890-R890,2)</f>
        <v>0</v>
      </c>
      <c r="S896" s="64" t="s">
        <v>187</v>
      </c>
      <c r="T896" s="66">
        <f>+ROUND(+S890-T890,2)</f>
        <v>0</v>
      </c>
      <c r="U896" s="51"/>
      <c r="V896" s="2119"/>
      <c r="W896" s="43"/>
      <c r="X896" s="43"/>
      <c r="Y896" s="43"/>
      <c r="Z896" s="43"/>
    </row>
    <row r="897" spans="1:26" s="1399" customFormat="1" ht="17.25" thickTop="1" thickBot="1">
      <c r="A897" s="258"/>
      <c r="B897" s="258"/>
      <c r="C897" s="258"/>
      <c r="D897" s="258"/>
      <c r="E897" s="258"/>
      <c r="F897" s="258"/>
      <c r="G897" s="258"/>
      <c r="H897" s="258"/>
      <c r="I897" s="258"/>
      <c r="J897" s="258"/>
      <c r="K897" s="258"/>
      <c r="L897" s="258"/>
      <c r="M897" s="259"/>
      <c r="N897" s="260"/>
      <c r="O897" s="261"/>
      <c r="P897" s="261"/>
      <c r="Q897" s="261"/>
      <c r="R897" s="261"/>
      <c r="S897" s="261"/>
      <c r="T897" s="261"/>
      <c r="U897" s="259"/>
      <c r="V897" s="2119"/>
      <c r="W897" s="258"/>
      <c r="X897" s="258"/>
      <c r="Y897" s="258"/>
      <c r="Z897" s="258"/>
    </row>
    <row r="898" spans="1:26" s="1399" customFormat="1">
      <c r="A898" s="258"/>
      <c r="B898" s="262"/>
      <c r="C898" s="258"/>
      <c r="D898" s="267" t="s">
        <v>590</v>
      </c>
      <c r="E898" s="268"/>
      <c r="F898" s="268"/>
      <c r="G898" s="268"/>
      <c r="H898" s="268"/>
      <c r="I898" s="268"/>
      <c r="J898" s="268"/>
      <c r="K898" s="268"/>
      <c r="L898" s="269"/>
      <c r="M898" s="51"/>
      <c r="N898" s="260"/>
      <c r="O898" s="434" t="s">
        <v>696</v>
      </c>
      <c r="P898" s="274">
        <f>+IF((+SUM(O348:O350)+SUM(O354:O356)+O357+O359+SUM(O368:O369)+SUM(O372:O374)+O376+SUM(O351:O353)+SUM(O370:O371)+SUM(O375))&gt;0,+(+SUM(O348:O350)+SUM(O354:O356)+O357+O359+SUM(O368:O369)+SUM(O372:O374)+SUM(O376))/(+SUM(O348:O350)+SUM(O354:O356)+SUM(O357:O359)+SUM(O368:O369)+SUM(O372:O374)+SUM(O376)+SUM(O351:O353)+SUM(O370:O371)+O375),0)</f>
        <v>0</v>
      </c>
      <c r="Q898" s="263">
        <v>0</v>
      </c>
      <c r="R898" s="264">
        <v>0</v>
      </c>
      <c r="S898" s="436" t="s">
        <v>698</v>
      </c>
      <c r="T898" s="275">
        <f>+IF((+SUM(S348:S350)+SUM(S354:S356)+S357+S359+SUM(S368:S369)+SUM(S372:S374)+S376+SUM(S351:S353)+SUM(S370:S371)+SUM(S375))&gt;0,+(+SUM(S348:S350)+SUM(S354:S356)+S357+S359+SUM(S368:S369)+SUM(S372:S374)+SUM(S376))/(+SUM(S348:S350)+SUM(S354:S356)+SUM(S357:S359)+SUM(S368:S369)+SUM(S372:S374)+SUM(S376)+SUM(S351:S353)+SUM(S370:S371)+S375),0)</f>
        <v>0</v>
      </c>
      <c r="U898" s="51"/>
      <c r="V898" s="2119"/>
      <c r="W898" s="258"/>
      <c r="X898" s="258"/>
      <c r="Y898" s="258"/>
      <c r="Z898" s="258"/>
    </row>
    <row r="899" spans="1:26" s="1399" customFormat="1" ht="16.5" thickBot="1">
      <c r="A899" s="258"/>
      <c r="B899" s="262"/>
      <c r="C899" s="258"/>
      <c r="D899" s="270" t="s">
        <v>591</v>
      </c>
      <c r="E899" s="271"/>
      <c r="F899" s="271"/>
      <c r="G899" s="271"/>
      <c r="H899" s="271"/>
      <c r="I899" s="271"/>
      <c r="J899" s="271"/>
      <c r="K899" s="271"/>
      <c r="L899" s="272"/>
      <c r="M899" s="51"/>
      <c r="N899" s="260"/>
      <c r="O899" s="435" t="s">
        <v>697</v>
      </c>
      <c r="P899" s="273">
        <f>+IF((+SUM(O348:O350)+SUM(O354:O356)+O358+SUM(O368:O369)+SUM(O372:O374)+O376+SUM(O351:O353)+SUM(O370:O371)+SUM(O375))&gt;0,1-P898,0)</f>
        <v>0</v>
      </c>
      <c r="Q899" s="265">
        <v>0</v>
      </c>
      <c r="R899" s="266">
        <v>0</v>
      </c>
      <c r="S899" s="437" t="s">
        <v>699</v>
      </c>
      <c r="T899" s="276">
        <f>+IF((+SUM(S348:S350)+SUM(S354:S356)+S358+SUM(S368:S369)+SUM(S372:S374)+S376+SUM(S351:S353)+SUM(S370:S371)+SUM(S375))&gt;0,1-T898,0)</f>
        <v>0</v>
      </c>
      <c r="U899" s="51"/>
      <c r="V899" s="2119"/>
      <c r="W899" s="258"/>
      <c r="X899" s="258"/>
      <c r="Y899" s="258"/>
      <c r="Z899" s="258"/>
    </row>
    <row r="900" spans="1:26" s="1399" customFormat="1" ht="16.5" thickBot="1">
      <c r="A900" s="258"/>
      <c r="B900" s="258"/>
      <c r="C900" s="258"/>
      <c r="D900" s="258"/>
      <c r="E900" s="258"/>
      <c r="F900" s="258"/>
      <c r="G900" s="258"/>
      <c r="H900" s="258"/>
      <c r="I900" s="258"/>
      <c r="J900" s="258"/>
      <c r="K900" s="258"/>
      <c r="L900" s="258"/>
      <c r="M900" s="259"/>
      <c r="N900" s="260"/>
      <c r="O900" s="261"/>
      <c r="P900" s="261"/>
      <c r="Q900" s="261"/>
      <c r="R900" s="261"/>
      <c r="S900" s="261"/>
      <c r="T900" s="261"/>
      <c r="U900" s="259"/>
      <c r="V900" s="2119"/>
      <c r="W900" s="258"/>
      <c r="X900" s="258"/>
      <c r="Y900" s="258"/>
      <c r="Z900" s="258"/>
    </row>
    <row r="901" spans="1:26" s="1399" customFormat="1">
      <c r="A901" s="258"/>
      <c r="B901" s="262"/>
      <c r="C901" s="258"/>
      <c r="D901" s="267" t="s">
        <v>518</v>
      </c>
      <c r="E901" s="268"/>
      <c r="F901" s="268"/>
      <c r="G901" s="268"/>
      <c r="H901" s="268"/>
      <c r="I901" s="268"/>
      <c r="J901" s="268"/>
      <c r="K901" s="268"/>
      <c r="L901" s="269"/>
      <c r="M901" s="51"/>
      <c r="N901" s="260"/>
      <c r="O901" s="434" t="s">
        <v>701</v>
      </c>
      <c r="P901" s="274">
        <f>+IF((+P19+P20)&gt;0,(+P19)/(+P19+P20),0)</f>
        <v>0</v>
      </c>
      <c r="Q901" s="263">
        <v>0</v>
      </c>
      <c r="R901" s="264">
        <v>0</v>
      </c>
      <c r="S901" s="436" t="s">
        <v>703</v>
      </c>
      <c r="T901" s="275">
        <f>+IF((+T19+T20)&gt;0,(+T19)/(+T19+T20),0)</f>
        <v>0</v>
      </c>
      <c r="U901" s="51"/>
      <c r="V901" s="2119"/>
      <c r="W901" s="258"/>
      <c r="X901" s="258"/>
      <c r="Y901" s="258"/>
      <c r="Z901" s="258"/>
    </row>
    <row r="902" spans="1:26" s="1399" customFormat="1" ht="16.5" thickBot="1">
      <c r="A902" s="258"/>
      <c r="B902" s="262"/>
      <c r="C902" s="258"/>
      <c r="D902" s="270" t="s">
        <v>519</v>
      </c>
      <c r="E902" s="271"/>
      <c r="F902" s="271"/>
      <c r="G902" s="271"/>
      <c r="H902" s="271"/>
      <c r="I902" s="271"/>
      <c r="J902" s="271"/>
      <c r="K902" s="271"/>
      <c r="L902" s="272"/>
      <c r="M902" s="51"/>
      <c r="N902" s="260"/>
      <c r="O902" s="435" t="s">
        <v>700</v>
      </c>
      <c r="P902" s="273">
        <f>+IF((+P19+P20)&gt;0,1-P901,0)</f>
        <v>0</v>
      </c>
      <c r="Q902" s="265">
        <v>0</v>
      </c>
      <c r="R902" s="266">
        <v>0</v>
      </c>
      <c r="S902" s="437" t="s">
        <v>702</v>
      </c>
      <c r="T902" s="276">
        <f>+IF((+T19+T20)&gt;0,1-T901,0)</f>
        <v>0</v>
      </c>
      <c r="U902" s="51"/>
      <c r="V902" s="2119"/>
      <c r="W902" s="258"/>
      <c r="X902" s="258"/>
      <c r="Y902" s="258"/>
      <c r="Z902" s="258"/>
    </row>
    <row r="903" spans="1:26" s="1399" customFormat="1" ht="16.5" thickBot="1">
      <c r="A903" s="258"/>
      <c r="B903" s="258"/>
      <c r="C903" s="258"/>
      <c r="D903" s="258"/>
      <c r="E903" s="258"/>
      <c r="F903" s="258"/>
      <c r="G903" s="258"/>
      <c r="H903" s="258"/>
      <c r="I903" s="258"/>
      <c r="J903" s="258"/>
      <c r="K903" s="258"/>
      <c r="L903" s="258"/>
      <c r="M903" s="259"/>
      <c r="N903" s="260"/>
      <c r="O903" s="561"/>
      <c r="P903" s="261"/>
      <c r="Q903" s="261"/>
      <c r="R903" s="261"/>
      <c r="S903" s="261"/>
      <c r="T903" s="261"/>
      <c r="U903" s="259"/>
      <c r="V903" s="2119"/>
      <c r="W903" s="258"/>
      <c r="X903" s="258"/>
      <c r="Y903" s="258"/>
      <c r="Z903" s="258"/>
    </row>
    <row r="904" spans="1:26" s="1399" customFormat="1">
      <c r="A904" s="258"/>
      <c r="B904" s="262"/>
      <c r="C904" s="258"/>
      <c r="D904" s="267" t="s">
        <v>175</v>
      </c>
      <c r="E904" s="268"/>
      <c r="F904" s="268"/>
      <c r="G904" s="268"/>
      <c r="H904" s="268"/>
      <c r="I904" s="268"/>
      <c r="J904" s="268"/>
      <c r="K904" s="268"/>
      <c r="L904" s="269"/>
      <c r="M904" s="51"/>
      <c r="N904" s="260"/>
      <c r="O904" s="434" t="s">
        <v>705</v>
      </c>
      <c r="P904" s="274">
        <f>+IF((+P50+P51+P52+P53)&gt;0,(+P50+P51)/(+P50+P51+P52+P53),0)</f>
        <v>0</v>
      </c>
      <c r="Q904" s="263">
        <v>0</v>
      </c>
      <c r="R904" s="264">
        <v>0</v>
      </c>
      <c r="S904" s="436" t="s">
        <v>706</v>
      </c>
      <c r="T904" s="275">
        <f>+IF((+T50+T51+T52+T53)&gt;0,(+T50+T51)/(+T50+T51+T52+T53),0)</f>
        <v>0</v>
      </c>
      <c r="U904" s="51"/>
      <c r="V904" s="2119"/>
      <c r="W904" s="258"/>
      <c r="X904" s="258"/>
      <c r="Y904" s="258"/>
      <c r="Z904" s="258"/>
    </row>
    <row r="905" spans="1:26" s="1399" customFormat="1" ht="16.5" thickBot="1">
      <c r="A905" s="258"/>
      <c r="B905" s="262"/>
      <c r="C905" s="258"/>
      <c r="D905" s="270" t="s">
        <v>176</v>
      </c>
      <c r="E905" s="271"/>
      <c r="F905" s="271"/>
      <c r="G905" s="271"/>
      <c r="H905" s="271"/>
      <c r="I905" s="271"/>
      <c r="J905" s="271"/>
      <c r="K905" s="271"/>
      <c r="L905" s="272"/>
      <c r="M905" s="51"/>
      <c r="N905" s="260"/>
      <c r="O905" s="435" t="s">
        <v>704</v>
      </c>
      <c r="P905" s="273">
        <f>+IF((+P50+P51+P52+P53)&gt;0,1-P904,0)</f>
        <v>0</v>
      </c>
      <c r="Q905" s="265">
        <v>0</v>
      </c>
      <c r="R905" s="266">
        <v>0</v>
      </c>
      <c r="S905" s="437" t="s">
        <v>707</v>
      </c>
      <c r="T905" s="276">
        <f>+IF((+T50+T51+T52+T53)&gt;0,1-T904,0)</f>
        <v>0</v>
      </c>
      <c r="U905" s="51"/>
      <c r="V905" s="2119"/>
      <c r="W905" s="258"/>
      <c r="X905" s="258"/>
      <c r="Y905" s="258"/>
      <c r="Z905" s="258"/>
    </row>
    <row r="906" spans="1:26" s="1399" customFormat="1" ht="16.5" thickBot="1">
      <c r="A906" s="258"/>
      <c r="B906" s="258"/>
      <c r="C906" s="258"/>
      <c r="D906" s="258"/>
      <c r="E906" s="258"/>
      <c r="F906" s="258"/>
      <c r="G906" s="258"/>
      <c r="H906" s="258"/>
      <c r="I906" s="258"/>
      <c r="J906" s="258"/>
      <c r="K906" s="258"/>
      <c r="L906" s="258"/>
      <c r="M906" s="259"/>
      <c r="N906" s="260"/>
      <c r="O906" s="561"/>
      <c r="P906" s="261"/>
      <c r="Q906" s="261"/>
      <c r="R906" s="261"/>
      <c r="S906" s="261"/>
      <c r="T906" s="261"/>
      <c r="U906" s="259"/>
      <c r="V906" s="2119"/>
      <c r="W906" s="258"/>
      <c r="X906" s="258"/>
      <c r="Y906" s="258"/>
      <c r="Z906" s="258"/>
    </row>
    <row r="907" spans="1:26" s="1399" customFormat="1">
      <c r="A907" s="258"/>
      <c r="B907" s="262"/>
      <c r="C907" s="258"/>
      <c r="D907" s="267" t="s">
        <v>177</v>
      </c>
      <c r="E907" s="268"/>
      <c r="F907" s="268"/>
      <c r="G907" s="268"/>
      <c r="H907" s="268"/>
      <c r="I907" s="268"/>
      <c r="J907" s="268"/>
      <c r="K907" s="268"/>
      <c r="L907" s="269"/>
      <c r="M907" s="51"/>
      <c r="N907" s="260"/>
      <c r="O907" s="434" t="s">
        <v>179</v>
      </c>
      <c r="P907" s="274">
        <f>+IF((+P56+P57+P58+P59)&gt;0,(+P56+P57)/(+P56+P57+P58+P59),0)</f>
        <v>0</v>
      </c>
      <c r="Q907" s="263">
        <v>0</v>
      </c>
      <c r="R907" s="264">
        <v>0</v>
      </c>
      <c r="S907" s="434" t="s">
        <v>181</v>
      </c>
      <c r="T907" s="275">
        <f>+IF((+T56+T57+T58+T59)&gt;0,(+T56+T57)/(+T56+T57+T58+T59),0)</f>
        <v>0</v>
      </c>
      <c r="U907" s="51"/>
      <c r="V907" s="2119"/>
      <c r="W907" s="258"/>
      <c r="X907" s="258"/>
      <c r="Y907" s="258"/>
      <c r="Z907" s="258"/>
    </row>
    <row r="908" spans="1:26" s="1399" customFormat="1" ht="16.5" thickBot="1">
      <c r="A908" s="258"/>
      <c r="B908" s="262"/>
      <c r="C908" s="258"/>
      <c r="D908" s="270" t="s">
        <v>178</v>
      </c>
      <c r="E908" s="271"/>
      <c r="F908" s="271"/>
      <c r="G908" s="271"/>
      <c r="H908" s="271"/>
      <c r="I908" s="271"/>
      <c r="J908" s="271"/>
      <c r="K908" s="271"/>
      <c r="L908" s="272"/>
      <c r="M908" s="51"/>
      <c r="N908" s="260"/>
      <c r="O908" s="562" t="s">
        <v>180</v>
      </c>
      <c r="P908" s="273">
        <f>+IF((+P56+P57+P58+P59)&gt;0,1-P907,0)</f>
        <v>0</v>
      </c>
      <c r="Q908" s="265">
        <v>0</v>
      </c>
      <c r="R908" s="266">
        <v>0</v>
      </c>
      <c r="S908" s="562" t="s">
        <v>182</v>
      </c>
      <c r="T908" s="276">
        <f>+IF((+T56+T57+T58+T59)&gt;0,1-T907,0)</f>
        <v>0</v>
      </c>
      <c r="U908" s="51"/>
      <c r="V908" s="2119"/>
      <c r="W908" s="258"/>
      <c r="X908" s="258"/>
      <c r="Y908" s="258"/>
      <c r="Z908" s="258"/>
    </row>
    <row r="909" spans="1:26" s="1399" customFormat="1" ht="16.5" thickBot="1">
      <c r="A909" s="258"/>
      <c r="B909" s="258"/>
      <c r="C909" s="258"/>
      <c r="D909" s="258"/>
      <c r="E909" s="258"/>
      <c r="F909" s="258"/>
      <c r="G909" s="258"/>
      <c r="H909" s="258"/>
      <c r="I909" s="258"/>
      <c r="J909" s="258"/>
      <c r="K909" s="258"/>
      <c r="L909" s="258"/>
      <c r="M909" s="259"/>
      <c r="N909" s="260"/>
      <c r="O909" s="561"/>
      <c r="P909" s="261"/>
      <c r="Q909" s="261"/>
      <c r="R909" s="261"/>
      <c r="S909" s="261"/>
      <c r="T909" s="261"/>
      <c r="U909" s="259"/>
      <c r="V909" s="2119"/>
      <c r="W909" s="258"/>
      <c r="X909" s="258"/>
      <c r="Y909" s="258"/>
      <c r="Z909" s="258"/>
    </row>
    <row r="910" spans="1:26" s="1399" customFormat="1">
      <c r="A910" s="258"/>
      <c r="B910" s="262"/>
      <c r="C910" s="258"/>
      <c r="D910" s="267" t="s">
        <v>199</v>
      </c>
      <c r="E910" s="268"/>
      <c r="F910" s="268"/>
      <c r="G910" s="268"/>
      <c r="H910" s="268"/>
      <c r="I910" s="268"/>
      <c r="J910" s="268"/>
      <c r="K910" s="268"/>
      <c r="L910" s="269"/>
      <c r="M910" s="51"/>
      <c r="N910" s="260"/>
      <c r="O910" s="563" t="s">
        <v>146</v>
      </c>
      <c r="P910" s="463">
        <f>+'NF-KSF-TRIAL-BAL-2020'!O149+'NF-KSF-TRIAL-BAL-2020'!O154+'NF-KSF-TRIAL-BAL-2020'!O155+'NF-KSF-TRIAL-BAL-2020'!O229+'NF-KSF-TRIAL-BAL-2020'!O230+'NF-KSF-TRIAL-BAL-2020'!O231+'NF-KSF-TRIAL-BAL-2020'!O249+'NF-KSF-TRIAL-BAL-2020'!O250++'NF-KSF-TRIAL-BAL-2020'!O306+'NF-KSF-TRIAL-BAL-2020'!O307+'NF-KSF-TRIAL-BAL-2020'!O308+SUM('NF-KSF-TRIAL-BAL-2020'!O331:O335)+'NF-KSF-TRIAL-BAL-2020'!O346+'NF-KSF-TRIAL-BAL-2020'!O347+SUM('NF-KSF-TRIAL-BAL-2020'!O360:'NF-KSF-TRIAL-BAL-2020'!O363)+SUM('NF-KSF-TRIAL-BAL-2020'!O377:'NF-KSF-TRIAL-BAL-2020'!O379)</f>
        <v>0</v>
      </c>
      <c r="Q910" s="263">
        <v>0</v>
      </c>
      <c r="R910" s="264">
        <v>0</v>
      </c>
      <c r="S910" s="563" t="s">
        <v>148</v>
      </c>
      <c r="T910" s="465">
        <f>+'NF-KSF-TRIAL-BAL-2020'!S149+'NF-KSF-TRIAL-BAL-2020'!S154+'NF-KSF-TRIAL-BAL-2020'!S155+'NF-KSF-TRIAL-BAL-2020'!S229+'NF-KSF-TRIAL-BAL-2020'!S230+'NF-KSF-TRIAL-BAL-2020'!S231+'NF-KSF-TRIAL-BAL-2020'!S249+'NF-KSF-TRIAL-BAL-2020'!S250++'NF-KSF-TRIAL-BAL-2020'!S306+'NF-KSF-TRIAL-BAL-2020'!S307+'NF-KSF-TRIAL-BAL-2020'!S308+SUM('NF-KSF-TRIAL-BAL-2020'!S331:S335)+'NF-KSF-TRIAL-BAL-2020'!S346+'NF-KSF-TRIAL-BAL-2020'!S347+SUM('NF-KSF-TRIAL-BAL-2020'!S360:'NF-KSF-TRIAL-BAL-2020'!S363)+SUM('NF-KSF-TRIAL-BAL-2020'!S377:'NF-KSF-TRIAL-BAL-2020'!S379)</f>
        <v>0</v>
      </c>
      <c r="U910" s="51"/>
      <c r="V910" s="2119"/>
      <c r="W910" s="258"/>
      <c r="X910" s="258"/>
      <c r="Y910" s="258"/>
      <c r="Z910" s="258"/>
    </row>
    <row r="911" spans="1:26" s="1399" customFormat="1" ht="16.5" thickBot="1">
      <c r="A911" s="258"/>
      <c r="B911" s="262"/>
      <c r="C911" s="258"/>
      <c r="D911" s="270" t="s">
        <v>198</v>
      </c>
      <c r="E911" s="271"/>
      <c r="F911" s="271"/>
      <c r="G911" s="271"/>
      <c r="H911" s="271"/>
      <c r="I911" s="271"/>
      <c r="J911" s="271"/>
      <c r="K911" s="271"/>
      <c r="L911" s="272"/>
      <c r="M911" s="51"/>
      <c r="N911" s="260"/>
      <c r="O911" s="562" t="s">
        <v>147</v>
      </c>
      <c r="P911" s="464">
        <f>+P22-O23+SUM('NF-KSF-TRIAL-BAL-2020'!P41:P45)+SUM(P48:P49)+P65+P69+P151+P232+P233+P234+P251+P252</f>
        <v>0</v>
      </c>
      <c r="Q911" s="265">
        <v>0</v>
      </c>
      <c r="R911" s="266">
        <v>0</v>
      </c>
      <c r="S911" s="562" t="s">
        <v>149</v>
      </c>
      <c r="T911" s="466">
        <f>+T22-S23+SUM('NF-KSF-TRIAL-BAL-2020'!T41:T45)+SUM(T48:T49)+T65+T69+T151+T232+T233+T234+T251+T252</f>
        <v>0</v>
      </c>
      <c r="U911" s="51"/>
      <c r="V911" s="2119"/>
      <c r="W911" s="258"/>
      <c r="X911" s="258"/>
      <c r="Y911" s="258"/>
      <c r="Z911" s="258"/>
    </row>
    <row r="912" spans="1:26">
      <c r="A912" s="43"/>
      <c r="B912" s="43"/>
      <c r="C912" s="43"/>
      <c r="D912" s="43"/>
      <c r="E912" s="43"/>
      <c r="F912" s="43"/>
      <c r="G912" s="43"/>
      <c r="H912" s="43"/>
      <c r="I912" s="43"/>
      <c r="J912" s="43"/>
      <c r="K912" s="43"/>
      <c r="L912" s="43"/>
      <c r="M912" s="44"/>
      <c r="N912" s="119"/>
      <c r="O912" s="38"/>
      <c r="P912" s="38"/>
      <c r="Q912" s="38"/>
      <c r="R912" s="38"/>
      <c r="S912" s="38"/>
      <c r="T912" s="38"/>
      <c r="U912" s="44"/>
      <c r="V912" s="2119"/>
      <c r="W912" s="43"/>
      <c r="X912" s="43"/>
      <c r="Y912" s="43"/>
      <c r="Z912" s="43"/>
    </row>
    <row r="913" spans="1:26">
      <c r="A913" s="43"/>
      <c r="B913" s="43"/>
      <c r="C913" s="43"/>
      <c r="D913" s="43"/>
      <c r="E913" s="43"/>
      <c r="F913" s="43"/>
      <c r="G913" s="43"/>
      <c r="H913" s="43"/>
      <c r="I913" s="43"/>
      <c r="J913" s="43"/>
      <c r="K913" s="43"/>
      <c r="L913" s="43"/>
      <c r="M913" s="44"/>
      <c r="N913" s="119"/>
      <c r="O913" s="38"/>
      <c r="P913" s="38"/>
      <c r="Q913" s="38"/>
      <c r="R913" s="38"/>
      <c r="S913" s="38"/>
      <c r="T913" s="38"/>
      <c r="U913" s="44"/>
      <c r="V913" s="2119"/>
      <c r="W913" s="43"/>
      <c r="X913" s="43"/>
      <c r="Y913" s="43"/>
      <c r="Z913" s="43"/>
    </row>
    <row r="914" spans="1:26">
      <c r="A914" s="43"/>
      <c r="B914" s="43"/>
      <c r="C914" s="43"/>
      <c r="D914" s="43"/>
      <c r="E914" s="43"/>
      <c r="F914" s="43"/>
      <c r="G914" s="43"/>
      <c r="H914" s="43"/>
      <c r="I914" s="43"/>
      <c r="J914" s="43"/>
      <c r="K914" s="43"/>
      <c r="L914" s="43"/>
      <c r="M914" s="44"/>
      <c r="N914" s="119"/>
      <c r="O914" s="38"/>
      <c r="P914" s="38"/>
      <c r="Q914" s="38"/>
      <c r="R914" s="38"/>
      <c r="S914" s="38"/>
      <c r="T914" s="38"/>
      <c r="U914" s="44"/>
      <c r="V914" s="2119"/>
      <c r="W914" s="43"/>
      <c r="X914" s="43"/>
      <c r="Y914" s="43"/>
      <c r="Z914" s="43"/>
    </row>
    <row r="915" spans="1:26">
      <c r="A915" s="43"/>
      <c r="B915" s="43"/>
      <c r="C915" s="43"/>
      <c r="D915" s="43"/>
      <c r="E915" s="43"/>
      <c r="F915" s="43"/>
      <c r="G915" s="43"/>
      <c r="H915" s="43"/>
      <c r="I915" s="43"/>
      <c r="J915" s="43"/>
      <c r="K915" s="43"/>
      <c r="L915" s="43"/>
      <c r="M915" s="44"/>
      <c r="N915" s="119"/>
      <c r="O915" s="38"/>
      <c r="P915" s="38"/>
      <c r="Q915" s="38"/>
      <c r="R915" s="38"/>
      <c r="S915" s="38"/>
      <c r="T915" s="38"/>
      <c r="U915" s="44"/>
      <c r="V915" s="2119"/>
      <c r="W915" s="43"/>
      <c r="X915" s="43"/>
      <c r="Y915" s="43"/>
      <c r="Z915" s="43"/>
    </row>
    <row r="916" spans="1:26">
      <c r="A916" s="43"/>
      <c r="B916" s="43"/>
      <c r="C916" s="43"/>
      <c r="D916" s="43"/>
      <c r="E916" s="43"/>
      <c r="F916" s="43"/>
      <c r="G916" s="43"/>
      <c r="H916" s="43"/>
      <c r="I916" s="43"/>
      <c r="J916" s="43"/>
      <c r="K916" s="43"/>
      <c r="L916" s="43"/>
      <c r="M916" s="44"/>
      <c r="N916" s="119"/>
      <c r="O916" s="38"/>
      <c r="P916" s="38"/>
      <c r="Q916" s="38"/>
      <c r="R916" s="38"/>
      <c r="S916" s="38"/>
      <c r="T916" s="38"/>
      <c r="U916" s="44"/>
      <c r="V916" s="2119"/>
      <c r="W916" s="43"/>
      <c r="X916" s="43"/>
      <c r="Y916" s="43"/>
      <c r="Z916" s="43"/>
    </row>
    <row r="917" spans="1:26">
      <c r="A917" s="43"/>
      <c r="B917" s="43"/>
      <c r="C917" s="43"/>
      <c r="D917" s="43"/>
      <c r="E917" s="43"/>
      <c r="F917" s="43"/>
      <c r="G917" s="43"/>
      <c r="H917" s="43"/>
      <c r="I917" s="43"/>
      <c r="J917" s="43"/>
      <c r="K917" s="43"/>
      <c r="L917" s="43"/>
      <c r="M917" s="44"/>
      <c r="N917" s="119"/>
      <c r="O917" s="38"/>
      <c r="P917" s="38"/>
      <c r="Q917" s="38"/>
      <c r="R917" s="38"/>
      <c r="S917" s="38"/>
      <c r="T917" s="38"/>
      <c r="U917" s="44"/>
      <c r="V917" s="2119"/>
      <c r="W917" s="43"/>
      <c r="X917" s="43"/>
      <c r="Y917" s="43"/>
      <c r="Z917" s="43"/>
    </row>
    <row r="918" spans="1:26">
      <c r="A918" s="43"/>
      <c r="B918" s="43"/>
      <c r="C918" s="43"/>
      <c r="D918" s="43"/>
      <c r="E918" s="43"/>
      <c r="F918" s="43"/>
      <c r="G918" s="43"/>
      <c r="H918" s="43"/>
      <c r="I918" s="43"/>
      <c r="J918" s="43"/>
      <c r="K918" s="43"/>
      <c r="L918" s="43"/>
      <c r="M918" s="44"/>
      <c r="N918" s="119"/>
      <c r="O918" s="38"/>
      <c r="P918" s="38"/>
      <c r="Q918" s="38"/>
      <c r="R918" s="38"/>
      <c r="S918" s="38"/>
      <c r="T918" s="38"/>
      <c r="U918" s="44"/>
      <c r="V918" s="2119"/>
      <c r="W918" s="43"/>
      <c r="X918" s="43"/>
      <c r="Y918" s="43"/>
      <c r="Z918" s="43"/>
    </row>
    <row r="919" spans="1:26">
      <c r="A919" s="43"/>
      <c r="B919" s="43"/>
      <c r="C919" s="43"/>
      <c r="D919" s="43"/>
      <c r="E919" s="43"/>
      <c r="F919" s="43"/>
      <c r="G919" s="43"/>
      <c r="H919" s="43"/>
      <c r="I919" s="43"/>
      <c r="J919" s="43"/>
      <c r="K919" s="43"/>
      <c r="L919" s="43"/>
      <c r="M919" s="44"/>
      <c r="N919" s="119"/>
      <c r="O919" s="38"/>
      <c r="P919" s="38"/>
      <c r="Q919" s="38"/>
      <c r="R919" s="38"/>
      <c r="S919" s="38"/>
      <c r="T919" s="38"/>
      <c r="U919" s="44"/>
      <c r="V919" s="2119"/>
      <c r="W919" s="43"/>
      <c r="X919" s="43"/>
      <c r="Y919" s="43"/>
      <c r="Z919" s="43"/>
    </row>
    <row r="920" spans="1:26">
      <c r="A920" s="43"/>
      <c r="B920" s="43"/>
      <c r="C920" s="43"/>
      <c r="D920" s="43"/>
      <c r="E920" s="43"/>
      <c r="F920" s="43"/>
      <c r="G920" s="43"/>
      <c r="H920" s="43"/>
      <c r="I920" s="43"/>
      <c r="J920" s="43"/>
      <c r="K920" s="43"/>
      <c r="L920" s="43"/>
      <c r="M920" s="44"/>
      <c r="N920" s="119"/>
      <c r="O920" s="38"/>
      <c r="P920" s="38"/>
      <c r="Q920" s="38"/>
      <c r="R920" s="38"/>
      <c r="S920" s="38"/>
      <c r="T920" s="38"/>
      <c r="U920" s="44"/>
      <c r="V920" s="2119"/>
      <c r="W920" s="43"/>
      <c r="X920" s="43"/>
      <c r="Y920" s="43"/>
      <c r="Z920" s="43"/>
    </row>
    <row r="921" spans="1:26">
      <c r="A921" s="43"/>
      <c r="B921" s="43"/>
      <c r="C921" s="43"/>
      <c r="D921" s="43"/>
      <c r="E921" s="43"/>
      <c r="F921" s="43"/>
      <c r="G921" s="43"/>
      <c r="H921" s="43"/>
      <c r="I921" s="43"/>
      <c r="J921" s="43"/>
      <c r="K921" s="43"/>
      <c r="L921" s="43"/>
      <c r="M921" s="44"/>
      <c r="N921" s="119"/>
      <c r="O921" s="38"/>
      <c r="P921" s="38"/>
      <c r="Q921" s="38"/>
      <c r="R921" s="38"/>
      <c r="S921" s="38"/>
      <c r="T921" s="38"/>
      <c r="U921" s="44"/>
      <c r="V921" s="2119"/>
      <c r="W921" s="43"/>
      <c r="X921" s="43"/>
      <c r="Y921" s="43"/>
      <c r="Z921" s="43"/>
    </row>
    <row r="922" spans="1:26">
      <c r="A922" s="43"/>
      <c r="B922" s="43"/>
      <c r="C922" s="43"/>
      <c r="D922" s="43"/>
      <c r="E922" s="43"/>
      <c r="F922" s="43"/>
      <c r="G922" s="43"/>
      <c r="H922" s="43"/>
      <c r="I922" s="43"/>
      <c r="J922" s="43"/>
      <c r="K922" s="43"/>
      <c r="L922" s="43"/>
      <c r="M922" s="44"/>
      <c r="N922" s="119"/>
      <c r="O922" s="38"/>
      <c r="P922" s="38"/>
      <c r="Q922" s="38"/>
      <c r="R922" s="38"/>
      <c r="S922" s="38"/>
      <c r="T922" s="38"/>
      <c r="U922" s="44"/>
      <c r="V922" s="2119"/>
      <c r="W922" s="43"/>
      <c r="X922" s="43"/>
      <c r="Y922" s="43"/>
      <c r="Z922" s="43"/>
    </row>
    <row r="923" spans="1:26">
      <c r="A923" s="43"/>
      <c r="B923" s="43"/>
      <c r="C923" s="43"/>
      <c r="D923" s="43"/>
      <c r="E923" s="43"/>
      <c r="F923" s="43"/>
      <c r="G923" s="43"/>
      <c r="H923" s="43"/>
      <c r="I923" s="43"/>
      <c r="J923" s="43"/>
      <c r="K923" s="43"/>
      <c r="L923" s="43"/>
      <c r="M923" s="44"/>
      <c r="N923" s="119"/>
      <c r="O923" s="38"/>
      <c r="P923" s="38"/>
      <c r="Q923" s="38"/>
      <c r="R923" s="38"/>
      <c r="S923" s="38"/>
      <c r="T923" s="38"/>
      <c r="U923" s="44"/>
      <c r="V923" s="2119"/>
      <c r="W923" s="43"/>
      <c r="X923" s="43"/>
      <c r="Y923" s="43"/>
      <c r="Z923" s="43"/>
    </row>
    <row r="924" spans="1:26">
      <c r="A924" s="43"/>
      <c r="B924" s="43"/>
      <c r="C924" s="43"/>
      <c r="D924" s="43"/>
      <c r="E924" s="43"/>
      <c r="F924" s="43"/>
      <c r="G924" s="43"/>
      <c r="H924" s="43"/>
      <c r="I924" s="43"/>
      <c r="J924" s="43"/>
      <c r="K924" s="43"/>
      <c r="L924" s="43"/>
      <c r="M924" s="44"/>
      <c r="N924" s="119"/>
      <c r="O924" s="38"/>
      <c r="P924" s="38"/>
      <c r="Q924" s="38"/>
      <c r="R924" s="38"/>
      <c r="S924" s="38"/>
      <c r="T924" s="38"/>
      <c r="U924" s="44"/>
      <c r="V924" s="2119"/>
      <c r="W924" s="43"/>
      <c r="X924" s="43"/>
      <c r="Y924" s="43"/>
      <c r="Z924" s="43"/>
    </row>
    <row r="925" spans="1:26">
      <c r="A925" s="43"/>
      <c r="B925" s="43"/>
      <c r="C925" s="43"/>
      <c r="D925" s="43"/>
      <c r="E925" s="43"/>
      <c r="F925" s="43"/>
      <c r="G925" s="43"/>
      <c r="H925" s="43"/>
      <c r="I925" s="43"/>
      <c r="J925" s="43"/>
      <c r="K925" s="43"/>
      <c r="L925" s="43"/>
      <c r="M925" s="44"/>
      <c r="N925" s="119"/>
      <c r="O925" s="38"/>
      <c r="P925" s="38"/>
      <c r="Q925" s="38"/>
      <c r="R925" s="38"/>
      <c r="S925" s="38"/>
      <c r="T925" s="38"/>
      <c r="U925" s="44"/>
      <c r="V925" s="2119"/>
      <c r="W925" s="43"/>
      <c r="X925" s="43"/>
      <c r="Y925" s="43"/>
      <c r="Z925" s="43"/>
    </row>
    <row r="926" spans="1:26">
      <c r="A926" s="43"/>
      <c r="B926" s="43"/>
      <c r="C926" s="43"/>
      <c r="D926" s="43"/>
      <c r="E926" s="43"/>
      <c r="F926" s="43"/>
      <c r="G926" s="43"/>
      <c r="H926" s="43"/>
      <c r="I926" s="43"/>
      <c r="J926" s="43"/>
      <c r="K926" s="43"/>
      <c r="L926" s="43"/>
      <c r="M926" s="44"/>
      <c r="N926" s="119"/>
      <c r="O926" s="38"/>
      <c r="P926" s="38"/>
      <c r="Q926" s="38"/>
      <c r="R926" s="38"/>
      <c r="S926" s="38"/>
      <c r="T926" s="38"/>
      <c r="U926" s="44"/>
      <c r="V926" s="2119"/>
      <c r="W926" s="43"/>
      <c r="X926" s="43"/>
      <c r="Y926" s="43"/>
      <c r="Z926" s="43"/>
    </row>
    <row r="927" spans="1:26">
      <c r="A927" s="43"/>
      <c r="B927" s="43"/>
      <c r="C927" s="43"/>
      <c r="D927" s="43"/>
      <c r="E927" s="43"/>
      <c r="F927" s="43"/>
      <c r="G927" s="43"/>
      <c r="H927" s="43"/>
      <c r="I927" s="43"/>
      <c r="J927" s="43"/>
      <c r="K927" s="43"/>
      <c r="L927" s="43"/>
      <c r="M927" s="44"/>
      <c r="N927" s="119"/>
      <c r="O927" s="38"/>
      <c r="P927" s="38"/>
      <c r="Q927" s="38"/>
      <c r="R927" s="38"/>
      <c r="S927" s="38"/>
      <c r="T927" s="38"/>
      <c r="U927" s="44"/>
      <c r="V927" s="2119"/>
      <c r="W927" s="43"/>
      <c r="X927" s="43"/>
      <c r="Y927" s="43"/>
      <c r="Z927" s="43"/>
    </row>
    <row r="928" spans="1:26">
      <c r="A928" s="43"/>
      <c r="B928" s="43"/>
      <c r="C928" s="43"/>
      <c r="D928" s="43"/>
      <c r="E928" s="43"/>
      <c r="F928" s="43"/>
      <c r="G928" s="43"/>
      <c r="H928" s="43"/>
      <c r="I928" s="43"/>
      <c r="J928" s="43"/>
      <c r="K928" s="43"/>
      <c r="L928" s="43"/>
      <c r="M928" s="44"/>
      <c r="N928" s="119"/>
      <c r="O928" s="38"/>
      <c r="P928" s="38"/>
      <c r="Q928" s="38"/>
      <c r="R928" s="38"/>
      <c r="S928" s="38"/>
      <c r="T928" s="38"/>
      <c r="U928" s="44"/>
      <c r="V928" s="2119"/>
      <c r="W928" s="43"/>
      <c r="X928" s="43"/>
      <c r="Y928" s="43"/>
      <c r="Z928" s="43"/>
    </row>
    <row r="929" spans="1:26">
      <c r="A929" s="43"/>
      <c r="B929" s="43"/>
      <c r="C929" s="43"/>
      <c r="D929" s="43"/>
      <c r="E929" s="43"/>
      <c r="F929" s="43"/>
      <c r="G929" s="43"/>
      <c r="H929" s="43"/>
      <c r="I929" s="43"/>
      <c r="J929" s="43"/>
      <c r="K929" s="43"/>
      <c r="L929" s="43"/>
      <c r="M929" s="44"/>
      <c r="N929" s="119"/>
      <c r="O929" s="38"/>
      <c r="P929" s="38"/>
      <c r="Q929" s="38"/>
      <c r="R929" s="38"/>
      <c r="S929" s="38"/>
      <c r="T929" s="38"/>
      <c r="U929" s="44"/>
      <c r="V929" s="2119"/>
      <c r="W929" s="43"/>
      <c r="X929" s="43"/>
      <c r="Y929" s="43"/>
      <c r="Z929" s="43"/>
    </row>
    <row r="930" spans="1:26">
      <c r="A930" s="43"/>
      <c r="B930" s="43"/>
      <c r="C930" s="43"/>
      <c r="D930" s="43"/>
      <c r="E930" s="43"/>
      <c r="F930" s="43"/>
      <c r="G930" s="43"/>
      <c r="H930" s="43"/>
      <c r="I930" s="43"/>
      <c r="J930" s="43"/>
      <c r="K930" s="43"/>
      <c r="L930" s="43"/>
      <c r="M930" s="44"/>
      <c r="N930" s="119"/>
      <c r="O930" s="38"/>
      <c r="P930" s="38"/>
      <c r="Q930" s="38"/>
      <c r="R930" s="38"/>
      <c r="S930" s="38"/>
      <c r="T930" s="38"/>
      <c r="U930" s="44"/>
      <c r="V930" s="2119"/>
      <c r="W930" s="43"/>
      <c r="X930" s="43"/>
      <c r="Y930" s="43"/>
      <c r="Z930" s="43"/>
    </row>
    <row r="931" spans="1:26">
      <c r="A931" s="43"/>
      <c r="B931" s="43"/>
      <c r="C931" s="43"/>
      <c r="D931" s="43"/>
      <c r="E931" s="43"/>
      <c r="F931" s="43"/>
      <c r="G931" s="43"/>
      <c r="H931" s="43"/>
      <c r="I931" s="43"/>
      <c r="J931" s="43"/>
      <c r="K931" s="43"/>
      <c r="L931" s="43"/>
      <c r="M931" s="44"/>
      <c r="N931" s="119"/>
      <c r="O931" s="38"/>
      <c r="P931" s="38"/>
      <c r="Q931" s="38"/>
      <c r="R931" s="38"/>
      <c r="S931" s="38"/>
      <c r="T931" s="38"/>
      <c r="U931" s="44"/>
      <c r="V931" s="2119"/>
      <c r="W931" s="43"/>
      <c r="X931" s="43"/>
      <c r="Y931" s="43"/>
      <c r="Z931" s="43"/>
    </row>
    <row r="932" spans="1:26">
      <c r="A932" s="43"/>
      <c r="B932" s="43"/>
      <c r="C932" s="43"/>
      <c r="D932" s="43"/>
      <c r="E932" s="43"/>
      <c r="F932" s="43"/>
      <c r="G932" s="43"/>
      <c r="H932" s="43"/>
      <c r="I932" s="43"/>
      <c r="J932" s="43"/>
      <c r="K932" s="43"/>
      <c r="L932" s="43"/>
      <c r="M932" s="44"/>
      <c r="N932" s="119"/>
      <c r="O932" s="38"/>
      <c r="P932" s="38"/>
      <c r="Q932" s="38"/>
      <c r="R932" s="38"/>
      <c r="S932" s="38"/>
      <c r="T932" s="38"/>
      <c r="U932" s="44"/>
      <c r="V932" s="2119"/>
      <c r="W932" s="43"/>
      <c r="X932" s="43"/>
      <c r="Y932" s="43"/>
      <c r="Z932" s="43"/>
    </row>
    <row r="933" spans="1:26">
      <c r="A933" s="43"/>
      <c r="B933" s="43"/>
      <c r="C933" s="43"/>
      <c r="D933" s="43"/>
      <c r="E933" s="43"/>
      <c r="F933" s="43"/>
      <c r="G933" s="43"/>
      <c r="H933" s="43"/>
      <c r="I933" s="43"/>
      <c r="J933" s="43"/>
      <c r="K933" s="43"/>
      <c r="L933" s="43"/>
      <c r="M933" s="44"/>
      <c r="N933" s="119"/>
      <c r="O933" s="38"/>
      <c r="P933" s="38"/>
      <c r="Q933" s="38"/>
      <c r="R933" s="38"/>
      <c r="S933" s="38"/>
      <c r="T933" s="38"/>
      <c r="U933" s="44"/>
      <c r="V933" s="2119"/>
      <c r="W933" s="43"/>
      <c r="X933" s="43"/>
      <c r="Y933" s="43"/>
      <c r="Z933" s="43"/>
    </row>
    <row r="934" spans="1:26">
      <c r="A934" s="43"/>
      <c r="B934" s="43"/>
      <c r="C934" s="43"/>
      <c r="D934" s="43"/>
      <c r="E934" s="43"/>
      <c r="F934" s="43"/>
      <c r="G934" s="43"/>
      <c r="H934" s="43"/>
      <c r="I934" s="43"/>
      <c r="J934" s="43"/>
      <c r="K934" s="43"/>
      <c r="L934" s="43"/>
      <c r="M934" s="44"/>
      <c r="N934" s="119"/>
      <c r="O934" s="38"/>
      <c r="P934" s="38"/>
      <c r="Q934" s="38"/>
      <c r="R934" s="38"/>
      <c r="S934" s="38"/>
      <c r="T934" s="38"/>
      <c r="U934" s="44"/>
      <c r="V934" s="2119"/>
      <c r="W934" s="43"/>
      <c r="X934" s="43"/>
      <c r="Y934" s="43"/>
      <c r="Z934" s="43"/>
    </row>
    <row r="935" spans="1:26">
      <c r="A935" s="43"/>
      <c r="B935" s="43"/>
      <c r="C935" s="43"/>
      <c r="D935" s="43"/>
      <c r="E935" s="43"/>
      <c r="F935" s="43"/>
      <c r="G935" s="43"/>
      <c r="H935" s="43"/>
      <c r="I935" s="43"/>
      <c r="J935" s="43"/>
      <c r="K935" s="43"/>
      <c r="L935" s="43"/>
      <c r="M935" s="44"/>
      <c r="N935" s="119"/>
      <c r="O935" s="38"/>
      <c r="P935" s="38"/>
      <c r="Q935" s="38"/>
      <c r="R935" s="38"/>
      <c r="S935" s="38"/>
      <c r="T935" s="38"/>
      <c r="U935" s="44"/>
      <c r="V935" s="2119"/>
      <c r="W935" s="43"/>
      <c r="X935" s="43"/>
      <c r="Y935" s="43"/>
      <c r="Z935" s="43"/>
    </row>
    <row r="936" spans="1:26">
      <c r="A936" s="43"/>
      <c r="B936" s="43"/>
      <c r="C936" s="43"/>
      <c r="D936" s="43"/>
      <c r="E936" s="43"/>
      <c r="F936" s="43"/>
      <c r="G936" s="43"/>
      <c r="H936" s="43"/>
      <c r="I936" s="43"/>
      <c r="J936" s="43"/>
      <c r="K936" s="43"/>
      <c r="L936" s="43"/>
      <c r="M936" s="44"/>
      <c r="N936" s="119"/>
      <c r="O936" s="38"/>
      <c r="P936" s="38"/>
      <c r="Q936" s="38"/>
      <c r="R936" s="38"/>
      <c r="S936" s="38"/>
      <c r="T936" s="38"/>
      <c r="U936" s="44"/>
      <c r="V936" s="2119"/>
      <c r="W936" s="43"/>
      <c r="X936" s="43"/>
      <c r="Y936" s="43"/>
      <c r="Z936" s="43"/>
    </row>
    <row r="937" spans="1:26">
      <c r="A937" s="43"/>
      <c r="B937" s="43"/>
      <c r="C937" s="43"/>
      <c r="D937" s="43"/>
      <c r="E937" s="43"/>
      <c r="F937" s="43"/>
      <c r="G937" s="43"/>
      <c r="H937" s="43"/>
      <c r="I937" s="43"/>
      <c r="J937" s="43"/>
      <c r="K937" s="43"/>
      <c r="L937" s="43"/>
      <c r="M937" s="44"/>
      <c r="N937" s="119"/>
      <c r="O937" s="38"/>
      <c r="P937" s="38"/>
      <c r="Q937" s="38"/>
      <c r="R937" s="38"/>
      <c r="S937" s="38"/>
      <c r="T937" s="38"/>
      <c r="U937" s="44"/>
      <c r="V937" s="2119"/>
      <c r="W937" s="43"/>
      <c r="X937" s="43"/>
      <c r="Y937" s="43"/>
      <c r="Z937" s="43"/>
    </row>
    <row r="938" spans="1:26">
      <c r="A938" s="43"/>
      <c r="B938" s="43"/>
      <c r="C938" s="43"/>
      <c r="D938" s="43"/>
      <c r="E938" s="43"/>
      <c r="F938" s="43"/>
      <c r="G938" s="43"/>
      <c r="H938" s="43"/>
      <c r="I938" s="43"/>
      <c r="J938" s="43"/>
      <c r="K938" s="43"/>
      <c r="L938" s="43"/>
      <c r="M938" s="44"/>
      <c r="N938" s="119"/>
      <c r="O938" s="38"/>
      <c r="P938" s="38"/>
      <c r="Q938" s="38"/>
      <c r="R938" s="38"/>
      <c r="S938" s="38"/>
      <c r="T938" s="38"/>
      <c r="U938" s="44"/>
      <c r="V938" s="2119"/>
      <c r="W938" s="43"/>
      <c r="X938" s="43"/>
      <c r="Y938" s="43"/>
      <c r="Z938" s="43"/>
    </row>
    <row r="939" spans="1:26">
      <c r="A939" s="43"/>
      <c r="B939" s="43"/>
      <c r="C939" s="43"/>
      <c r="D939" s="43"/>
      <c r="E939" s="43"/>
      <c r="F939" s="43"/>
      <c r="G939" s="43"/>
      <c r="H939" s="43"/>
      <c r="I939" s="43"/>
      <c r="J939" s="43"/>
      <c r="K939" s="43"/>
      <c r="L939" s="43"/>
      <c r="M939" s="44"/>
      <c r="N939" s="119"/>
      <c r="O939" s="38"/>
      <c r="P939" s="38"/>
      <c r="Q939" s="38"/>
      <c r="R939" s="38"/>
      <c r="S939" s="38"/>
      <c r="T939" s="38"/>
      <c r="U939" s="44"/>
      <c r="V939" s="2119"/>
      <c r="W939" s="43"/>
      <c r="X939" s="43"/>
      <c r="Y939" s="43"/>
      <c r="Z939" s="43"/>
    </row>
    <row r="940" spans="1:26">
      <c r="A940" s="43"/>
      <c r="B940" s="43"/>
      <c r="C940" s="43"/>
      <c r="D940" s="43"/>
      <c r="E940" s="43"/>
      <c r="F940" s="43"/>
      <c r="G940" s="43"/>
      <c r="H940" s="43"/>
      <c r="I940" s="43"/>
      <c r="J940" s="43"/>
      <c r="K940" s="43"/>
      <c r="L940" s="43"/>
      <c r="M940" s="44"/>
      <c r="N940" s="119"/>
      <c r="O940" s="38"/>
      <c r="P940" s="38"/>
      <c r="Q940" s="38"/>
      <c r="R940" s="38"/>
      <c r="S940" s="38"/>
      <c r="T940" s="38"/>
      <c r="U940" s="44"/>
      <c r="V940" s="2119"/>
      <c r="W940" s="43"/>
      <c r="X940" s="43"/>
      <c r="Y940" s="43"/>
      <c r="Z940" s="43"/>
    </row>
    <row r="941" spans="1:26">
      <c r="A941" s="43"/>
      <c r="B941" s="43"/>
      <c r="C941" s="43"/>
      <c r="D941" s="43"/>
      <c r="E941" s="43"/>
      <c r="F941" s="43"/>
      <c r="G941" s="43"/>
      <c r="H941" s="43"/>
      <c r="I941" s="43"/>
      <c r="J941" s="43"/>
      <c r="K941" s="43"/>
      <c r="L941" s="43"/>
      <c r="M941" s="44"/>
      <c r="N941" s="119"/>
      <c r="O941" s="38"/>
      <c r="P941" s="38"/>
      <c r="Q941" s="38"/>
      <c r="R941" s="38"/>
      <c r="S941" s="38"/>
      <c r="T941" s="38"/>
      <c r="U941" s="44"/>
      <c r="V941" s="2116"/>
      <c r="W941" s="43"/>
      <c r="X941" s="43"/>
      <c r="Y941" s="43"/>
      <c r="Z941" s="43"/>
    </row>
    <row r="942" spans="1:26">
      <c r="A942" s="43"/>
      <c r="B942" s="43"/>
      <c r="C942" s="43"/>
      <c r="D942" s="43"/>
      <c r="E942" s="43"/>
      <c r="F942" s="43"/>
      <c r="G942" s="43"/>
      <c r="H942" s="43"/>
      <c r="I942" s="43"/>
      <c r="J942" s="43"/>
      <c r="K942" s="43"/>
      <c r="L942" s="43"/>
      <c r="M942" s="44"/>
      <c r="N942" s="119"/>
      <c r="O942" s="38"/>
      <c r="P942" s="38"/>
      <c r="Q942" s="38"/>
      <c r="R942" s="38"/>
      <c r="S942" s="38"/>
      <c r="T942" s="38"/>
      <c r="U942" s="44"/>
      <c r="V942" s="2116"/>
      <c r="W942" s="43"/>
      <c r="X942" s="43"/>
      <c r="Y942" s="43"/>
      <c r="Z942" s="43"/>
    </row>
    <row r="943" spans="1:26">
      <c r="A943" s="43"/>
      <c r="B943" s="43"/>
      <c r="C943" s="43"/>
      <c r="D943" s="43"/>
      <c r="E943" s="43"/>
      <c r="F943" s="43"/>
      <c r="G943" s="43"/>
      <c r="H943" s="43"/>
      <c r="I943" s="43"/>
      <c r="J943" s="43"/>
      <c r="K943" s="43"/>
      <c r="L943" s="43"/>
      <c r="M943" s="44"/>
      <c r="N943" s="119"/>
      <c r="O943" s="38"/>
      <c r="P943" s="38"/>
      <c r="Q943" s="38"/>
      <c r="R943" s="38"/>
      <c r="S943" s="38"/>
      <c r="T943" s="38"/>
      <c r="U943" s="44"/>
      <c r="V943" s="2116"/>
      <c r="W943" s="43"/>
      <c r="X943" s="43"/>
      <c r="Y943" s="43"/>
      <c r="Z943" s="43"/>
    </row>
    <row r="944" spans="1:26">
      <c r="A944" s="43"/>
      <c r="B944" s="43"/>
      <c r="C944" s="43"/>
      <c r="D944" s="43"/>
      <c r="E944" s="43"/>
      <c r="F944" s="43"/>
      <c r="G944" s="43"/>
      <c r="H944" s="43"/>
      <c r="I944" s="43"/>
      <c r="J944" s="43"/>
      <c r="K944" s="43"/>
      <c r="L944" s="43"/>
      <c r="M944" s="44"/>
      <c r="N944" s="119"/>
      <c r="O944" s="38"/>
      <c r="P944" s="38"/>
      <c r="Q944" s="38"/>
      <c r="R944" s="38"/>
      <c r="S944" s="38"/>
      <c r="T944" s="38"/>
      <c r="U944" s="44"/>
      <c r="V944" s="2116"/>
      <c r="W944" s="43"/>
      <c r="X944" s="43"/>
      <c r="Y944" s="43"/>
      <c r="Z944" s="43"/>
    </row>
    <row r="945" spans="1:26">
      <c r="A945" s="43"/>
      <c r="B945" s="43"/>
      <c r="C945" s="43"/>
      <c r="D945" s="43"/>
      <c r="E945" s="43"/>
      <c r="F945" s="43"/>
      <c r="G945" s="43"/>
      <c r="H945" s="43"/>
      <c r="I945" s="43"/>
      <c r="J945" s="43"/>
      <c r="K945" s="43"/>
      <c r="L945" s="43"/>
      <c r="M945" s="44"/>
      <c r="N945" s="119"/>
      <c r="O945" s="38"/>
      <c r="P945" s="38"/>
      <c r="Q945" s="38"/>
      <c r="R945" s="38"/>
      <c r="S945" s="38"/>
      <c r="T945" s="38"/>
      <c r="U945" s="44"/>
      <c r="V945" s="2116"/>
      <c r="W945" s="43"/>
      <c r="X945" s="43"/>
      <c r="Y945" s="43"/>
      <c r="Z945" s="43"/>
    </row>
    <row r="946" spans="1:26">
      <c r="A946" s="43"/>
      <c r="B946" s="43"/>
      <c r="C946" s="43"/>
      <c r="D946" s="43"/>
      <c r="E946" s="43"/>
      <c r="F946" s="43"/>
      <c r="G946" s="43"/>
      <c r="H946" s="43"/>
      <c r="I946" s="43"/>
      <c r="J946" s="43"/>
      <c r="K946" s="43"/>
      <c r="L946" s="43"/>
      <c r="M946" s="44"/>
      <c r="N946" s="119"/>
      <c r="O946" s="38"/>
      <c r="P946" s="38"/>
      <c r="Q946" s="38"/>
      <c r="R946" s="38"/>
      <c r="S946" s="38"/>
      <c r="T946" s="38"/>
      <c r="U946" s="44"/>
      <c r="V946" s="2116"/>
      <c r="W946" s="43"/>
      <c r="X946" s="43"/>
      <c r="Y946" s="43"/>
      <c r="Z946" s="43"/>
    </row>
    <row r="947" spans="1:26">
      <c r="A947" s="43"/>
      <c r="B947" s="43"/>
      <c r="C947" s="43"/>
      <c r="D947" s="43"/>
      <c r="E947" s="43"/>
      <c r="F947" s="43"/>
      <c r="G947" s="43"/>
      <c r="H947" s="43"/>
      <c r="I947" s="43"/>
      <c r="J947" s="43"/>
      <c r="K947" s="43"/>
      <c r="L947" s="43"/>
      <c r="M947" s="44"/>
      <c r="N947" s="119"/>
      <c r="O947" s="38"/>
      <c r="P947" s="38"/>
      <c r="Q947" s="38"/>
      <c r="R947" s="38"/>
      <c r="S947" s="38"/>
      <c r="T947" s="38"/>
      <c r="U947" s="44"/>
      <c r="V947" s="2116"/>
      <c r="W947" s="43"/>
      <c r="X947" s="43"/>
      <c r="Y947" s="43"/>
      <c r="Z947" s="43"/>
    </row>
    <row r="948" spans="1:26">
      <c r="A948" s="43"/>
      <c r="B948" s="43"/>
      <c r="C948" s="43"/>
      <c r="D948" s="43"/>
      <c r="E948" s="43"/>
      <c r="F948" s="43"/>
      <c r="G948" s="43"/>
      <c r="H948" s="43"/>
      <c r="I948" s="43"/>
      <c r="J948" s="43"/>
      <c r="K948" s="43"/>
      <c r="L948" s="43"/>
      <c r="M948" s="44"/>
      <c r="N948" s="119"/>
      <c r="O948" s="38"/>
      <c r="P948" s="38"/>
      <c r="Q948" s="38"/>
      <c r="R948" s="38"/>
      <c r="S948" s="38"/>
      <c r="T948" s="38"/>
      <c r="U948" s="44"/>
      <c r="V948" s="2116"/>
      <c r="W948" s="43"/>
      <c r="X948" s="43"/>
      <c r="Y948" s="43"/>
      <c r="Z948" s="43"/>
    </row>
    <row r="949" spans="1:26">
      <c r="A949" s="43"/>
      <c r="B949" s="43"/>
      <c r="C949" s="43"/>
      <c r="D949" s="43"/>
      <c r="E949" s="43"/>
      <c r="F949" s="43"/>
      <c r="G949" s="43"/>
      <c r="H949" s="43"/>
      <c r="I949" s="43"/>
      <c r="J949" s="43"/>
      <c r="K949" s="43"/>
      <c r="L949" s="43"/>
      <c r="M949" s="44"/>
      <c r="N949" s="119"/>
      <c r="O949" s="38"/>
      <c r="P949" s="38"/>
      <c r="Q949" s="38"/>
      <c r="R949" s="38"/>
      <c r="S949" s="38"/>
      <c r="T949" s="38"/>
      <c r="U949" s="44"/>
      <c r="V949" s="2116"/>
      <c r="W949" s="43"/>
      <c r="X949" s="43"/>
      <c r="Y949" s="43"/>
      <c r="Z949" s="43"/>
    </row>
  </sheetData>
  <sheetProtection password="889B" sheet="1" objects="1" scenarios="1"/>
  <mergeCells count="19">
    <mergeCell ref="I890:K890"/>
    <mergeCell ref="O6:T7"/>
    <mergeCell ref="I888:K888"/>
    <mergeCell ref="E12:F12"/>
    <mergeCell ref="K10:L10"/>
    <mergeCell ref="H12:K12"/>
    <mergeCell ref="G8:H8"/>
    <mergeCell ref="J8:L8"/>
    <mergeCell ref="B760:J760"/>
    <mergeCell ref="B762:K762"/>
    <mergeCell ref="E2:L2"/>
    <mergeCell ref="C6:E6"/>
    <mergeCell ref="G6:L6"/>
    <mergeCell ref="I831:K831"/>
    <mergeCell ref="I829:K829"/>
    <mergeCell ref="A3:C5"/>
    <mergeCell ref="D4:E4"/>
    <mergeCell ref="G4:L4"/>
    <mergeCell ref="H13:L13"/>
  </mergeCells>
  <phoneticPr fontId="0" type="noConversion"/>
  <conditionalFormatting sqref="Q907:S908 O907:O908 O898:O899 O910:O911 O901:O902 O904:O905 Q898:S899 Q901:S902 Q910:S911 Q904:S905 O831:P887 O13:T13 O14:P335 O338:P828">
    <cfRule type="cellIs" dxfId="1114" priority="2072" stopIfTrue="1" operator="lessThan">
      <formula>0</formula>
    </cfRule>
  </conditionalFormatting>
  <conditionalFormatting sqref="P898:P899 T898:T899 P901:P902 T901:T902 P904:P905 T904:T905 P907:P908 T907:T908 T910:T911 P910:P911">
    <cfRule type="cellIs" dxfId="1113" priority="2073" stopIfTrue="1" operator="equal">
      <formula>0</formula>
    </cfRule>
  </conditionalFormatting>
  <conditionalFormatting sqref="M890 O890:U890 O829:P829 M888:U888">
    <cfRule type="cellIs" dxfId="1112" priority="2074" stopIfTrue="1" operator="lessThan">
      <formula>0</formula>
    </cfRule>
  </conditionalFormatting>
  <conditionalFormatting sqref="O2 Q2 S2">
    <cfRule type="cellIs" dxfId="1111" priority="2075" stopIfTrue="1" operator="equal">
      <formula>"""O K"""</formula>
    </cfRule>
  </conditionalFormatting>
  <conditionalFormatting sqref="T2 T4 R2 R4 P2 P4">
    <cfRule type="cellIs" dxfId="1110" priority="2076" stopIfTrue="1" operator="equal">
      <formula>"O K"</formula>
    </cfRule>
    <cfRule type="cellIs" dxfId="1109" priority="2077" stopIfTrue="1" operator="notEqual">
      <formula>"O K"</formula>
    </cfRule>
  </conditionalFormatting>
  <conditionalFormatting sqref="E12:F12">
    <cfRule type="cellIs" dxfId="1108" priority="2078" stopIfTrue="1" operator="equal">
      <formula>0</formula>
    </cfRule>
  </conditionalFormatting>
  <conditionalFormatting sqref="N10">
    <cfRule type="cellIs" dxfId="1107" priority="2079" stopIfTrue="1" operator="equal">
      <formula>0</formula>
    </cfRule>
  </conditionalFormatting>
  <conditionalFormatting sqref="E2:L2 C6:E6 G6:L6 C8">
    <cfRule type="cellIs" dxfId="1106" priority="2080" stopIfTrue="1" operator="equal">
      <formula>0</formula>
    </cfRule>
  </conditionalFormatting>
  <conditionalFormatting sqref="G8:H8">
    <cfRule type="cellIs" dxfId="1105" priority="2070" stopIfTrue="1" operator="equal">
      <formula>0</formula>
    </cfRule>
  </conditionalFormatting>
  <conditionalFormatting sqref="J8:L8">
    <cfRule type="cellIs" dxfId="1104" priority="2069" stopIfTrue="1" operator="equal">
      <formula>0</formula>
    </cfRule>
  </conditionalFormatting>
  <conditionalFormatting sqref="O336:P337">
    <cfRule type="cellIs" dxfId="1103" priority="1089" stopIfTrue="1" operator="lessThan">
      <formula>0</formula>
    </cfRule>
  </conditionalFormatting>
  <conditionalFormatting sqref="E2:L2 C8">
    <cfRule type="cellIs" dxfId="1102" priority="1087" stopIfTrue="1" operator="equal">
      <formula>0</formula>
    </cfRule>
  </conditionalFormatting>
  <conditionalFormatting sqref="K10:L10">
    <cfRule type="cellIs" dxfId="1101" priority="1086" stopIfTrue="1" operator="equal">
      <formula>0</formula>
    </cfRule>
  </conditionalFormatting>
  <conditionalFormatting sqref="D4">
    <cfRule type="cellIs" dxfId="1100" priority="1076" stopIfTrue="1" operator="between">
      <formula>1000000000000</formula>
      <formula>9999999999999990</formula>
    </cfRule>
    <cfRule type="cellIs" dxfId="1099" priority="1077" stopIfTrue="1" operator="between">
      <formula>1000000000</formula>
      <formula>999999999999</formula>
    </cfRule>
    <cfRule type="cellIs" dxfId="1098" priority="1078" stopIfTrue="1" operator="between">
      <formula>10000</formula>
      <formula>99999999</formula>
    </cfRule>
    <cfRule type="cellIs" dxfId="1097" priority="1079" stopIfTrue="1" operator="between">
      <formula>10</formula>
      <formula>9999</formula>
    </cfRule>
  </conditionalFormatting>
  <conditionalFormatting sqref="D4">
    <cfRule type="cellIs" dxfId="1096" priority="1075" operator="equal">
      <formula>0</formula>
    </cfRule>
  </conditionalFormatting>
  <conditionalFormatting sqref="A3:C5">
    <cfRule type="cellIs" dxfId="1095" priority="1074" operator="equal">
      <formula>"Код на общински разпоредител с бюджет"</formula>
    </cfRule>
  </conditionalFormatting>
  <conditionalFormatting sqref="G4:L4">
    <cfRule type="cellIs" dxfId="1094" priority="1069" operator="equal">
      <formula>0</formula>
    </cfRule>
  </conditionalFormatting>
  <conditionalFormatting sqref="Q831:T831 Q322:R322 Q570:R570 Q764:R828 Q344:R345 Q60:R61 Q54:R55 Q56:Q59 Q70:R70 Q62:Q69 Q26:Q53 Q90:R102 Q71:Q89 Q103:Q112 Q113:R113 Q119:R121 Q14:R25 Q160:R160 Q122:Q159 Q161:Q175 Q176:R183 Q191:R194 Q184:Q190 Q199:R218 Q195:Q198 Q271:R282 Q219:Q270 Q285:R286 Q283:Q284 Q287:Q321 Q327:R330 Q323:Q326 Q331:Q335 Q338:Q343 Q383:R414 Q346:Q382 Q417:R565 Q415:Q416 Q566:Q569 Q581:R603 Q571:Q580 Q605:R607 Q604 Q609:R760 Q608 Q847:R847 Q832:Q846 Q876:R883 Q884:Q887 Q849:R857 Q848 Q858:Q875 Q762:R762 Q114:Q118">
    <cfRule type="cellIs" dxfId="1093" priority="1067" stopIfTrue="1" operator="lessThan">
      <formula>0</formula>
    </cfRule>
  </conditionalFormatting>
  <conditionalFormatting sqref="Q829:U829">
    <cfRule type="cellIs" dxfId="1092" priority="1068" stopIfTrue="1" operator="lessThan">
      <formula>0</formula>
    </cfRule>
  </conditionalFormatting>
  <conditionalFormatting sqref="Q763:R763">
    <cfRule type="cellIs" dxfId="1091" priority="1061" stopIfTrue="1" operator="lessThan">
      <formula>0</formula>
    </cfRule>
  </conditionalFormatting>
  <conditionalFormatting sqref="Q336:Q337">
    <cfRule type="cellIs" dxfId="1090" priority="1060" stopIfTrue="1" operator="lessThan">
      <formula>0</formula>
    </cfRule>
  </conditionalFormatting>
  <conditionalFormatting sqref="R56:R59">
    <cfRule type="cellIs" dxfId="1089" priority="1048" stopIfTrue="1" operator="lessThan">
      <formula>0</formula>
    </cfRule>
  </conditionalFormatting>
  <conditionalFormatting sqref="R62:R69">
    <cfRule type="cellIs" dxfId="1088" priority="1047" stopIfTrue="1" operator="lessThan">
      <formula>0</formula>
    </cfRule>
  </conditionalFormatting>
  <conditionalFormatting sqref="R26:R52">
    <cfRule type="cellIs" dxfId="1087" priority="1046" stopIfTrue="1" operator="lessThan">
      <formula>0</formula>
    </cfRule>
  </conditionalFormatting>
  <conditionalFormatting sqref="R71:R89">
    <cfRule type="cellIs" dxfId="1086" priority="1045" stopIfTrue="1" operator="lessThan">
      <formula>0</formula>
    </cfRule>
  </conditionalFormatting>
  <conditionalFormatting sqref="R103:R112">
    <cfRule type="cellIs" dxfId="1085" priority="1044" stopIfTrue="1" operator="lessThan">
      <formula>0</formula>
    </cfRule>
  </conditionalFormatting>
  <conditionalFormatting sqref="R118">
    <cfRule type="cellIs" dxfId="1084" priority="1043" stopIfTrue="1" operator="lessThan">
      <formula>0</formula>
    </cfRule>
  </conditionalFormatting>
  <conditionalFormatting sqref="R122">
    <cfRule type="cellIs" dxfId="1083" priority="1042" stopIfTrue="1" operator="lessThan">
      <formula>0</formula>
    </cfRule>
  </conditionalFormatting>
  <conditionalFormatting sqref="R125">
    <cfRule type="cellIs" dxfId="1082" priority="1041" stopIfTrue="1" operator="lessThan">
      <formula>0</formula>
    </cfRule>
  </conditionalFormatting>
  <conditionalFormatting sqref="R127">
    <cfRule type="cellIs" dxfId="1081" priority="1040" stopIfTrue="1" operator="lessThan">
      <formula>0</formula>
    </cfRule>
  </conditionalFormatting>
  <conditionalFormatting sqref="R128">
    <cfRule type="cellIs" dxfId="1080" priority="1039" stopIfTrue="1" operator="lessThan">
      <formula>0</formula>
    </cfRule>
  </conditionalFormatting>
  <conditionalFormatting sqref="R130">
    <cfRule type="cellIs" dxfId="1079" priority="1038" stopIfTrue="1" operator="lessThan">
      <formula>0</formula>
    </cfRule>
  </conditionalFormatting>
  <conditionalFormatting sqref="R132">
    <cfRule type="cellIs" dxfId="1078" priority="1037" stopIfTrue="1" operator="lessThan">
      <formula>0</formula>
    </cfRule>
  </conditionalFormatting>
  <conditionalFormatting sqref="R133">
    <cfRule type="cellIs" dxfId="1077" priority="1036" stopIfTrue="1" operator="lessThan">
      <formula>0</formula>
    </cfRule>
  </conditionalFormatting>
  <conditionalFormatting sqref="R135">
    <cfRule type="cellIs" dxfId="1076" priority="1035" stopIfTrue="1" operator="lessThan">
      <formula>0</formula>
    </cfRule>
  </conditionalFormatting>
  <conditionalFormatting sqref="R123">
    <cfRule type="cellIs" dxfId="1075" priority="1034" stopIfTrue="1" operator="lessThan">
      <formula>0</formula>
    </cfRule>
  </conditionalFormatting>
  <conditionalFormatting sqref="R124">
    <cfRule type="cellIs" dxfId="1074" priority="1033" stopIfTrue="1" operator="lessThan">
      <formula>0</formula>
    </cfRule>
  </conditionalFormatting>
  <conditionalFormatting sqref="R126">
    <cfRule type="cellIs" dxfId="1073" priority="1032" stopIfTrue="1" operator="lessThan">
      <formula>0</formula>
    </cfRule>
  </conditionalFormatting>
  <conditionalFormatting sqref="R129">
    <cfRule type="cellIs" dxfId="1072" priority="1031" stopIfTrue="1" operator="lessThan">
      <formula>0</formula>
    </cfRule>
  </conditionalFormatting>
  <conditionalFormatting sqref="R131">
    <cfRule type="cellIs" dxfId="1071" priority="1030" stopIfTrue="1" operator="lessThan">
      <formula>0</formula>
    </cfRule>
  </conditionalFormatting>
  <conditionalFormatting sqref="R134">
    <cfRule type="cellIs" dxfId="1070" priority="1029" stopIfTrue="1" operator="lessThan">
      <formula>0</formula>
    </cfRule>
  </conditionalFormatting>
  <conditionalFormatting sqref="R136:R138">
    <cfRule type="cellIs" dxfId="1069" priority="1028" stopIfTrue="1" operator="lessThan">
      <formula>0</formula>
    </cfRule>
  </conditionalFormatting>
  <conditionalFormatting sqref="R141">
    <cfRule type="cellIs" dxfId="1068" priority="1027" stopIfTrue="1" operator="lessThan">
      <formula>0</formula>
    </cfRule>
  </conditionalFormatting>
  <conditionalFormatting sqref="R144:R145">
    <cfRule type="cellIs" dxfId="1067" priority="1026" stopIfTrue="1" operator="lessThan">
      <formula>0</formula>
    </cfRule>
  </conditionalFormatting>
  <conditionalFormatting sqref="R147:R149">
    <cfRule type="cellIs" dxfId="1066" priority="1025" stopIfTrue="1" operator="lessThan">
      <formula>0</formula>
    </cfRule>
  </conditionalFormatting>
  <conditionalFormatting sqref="R139">
    <cfRule type="cellIs" dxfId="1065" priority="1023" stopIfTrue="1" operator="lessThan">
      <formula>0</formula>
    </cfRule>
  </conditionalFormatting>
  <conditionalFormatting sqref="R140">
    <cfRule type="cellIs" dxfId="1064" priority="1021" stopIfTrue="1" operator="lessThan">
      <formula>0</formula>
    </cfRule>
  </conditionalFormatting>
  <conditionalFormatting sqref="R142">
    <cfRule type="cellIs" dxfId="1063" priority="1019" stopIfTrue="1" operator="lessThan">
      <formula>0</formula>
    </cfRule>
  </conditionalFormatting>
  <conditionalFormatting sqref="R143">
    <cfRule type="cellIs" dxfId="1062" priority="1017" stopIfTrue="1" operator="lessThan">
      <formula>0</formula>
    </cfRule>
  </conditionalFormatting>
  <conditionalFormatting sqref="R146">
    <cfRule type="cellIs" dxfId="1061" priority="1015" stopIfTrue="1" operator="lessThan">
      <formula>0</formula>
    </cfRule>
  </conditionalFormatting>
  <conditionalFormatting sqref="R150">
    <cfRule type="cellIs" dxfId="1060" priority="1013" stopIfTrue="1" operator="lessThan">
      <formula>0</formula>
    </cfRule>
  </conditionalFormatting>
  <conditionalFormatting sqref="R151">
    <cfRule type="cellIs" dxfId="1059" priority="1011" stopIfTrue="1" operator="lessThan">
      <formula>0</formula>
    </cfRule>
  </conditionalFormatting>
  <conditionalFormatting sqref="R152">
    <cfRule type="cellIs" dxfId="1058" priority="1010" stopIfTrue="1" operator="lessThan">
      <formula>0</formula>
    </cfRule>
  </conditionalFormatting>
  <conditionalFormatting sqref="R153">
    <cfRule type="cellIs" dxfId="1057" priority="1009" stopIfTrue="1" operator="lessThan">
      <formula>0</formula>
    </cfRule>
  </conditionalFormatting>
  <conditionalFormatting sqref="R154:R159">
    <cfRule type="cellIs" dxfId="1056" priority="1008" stopIfTrue="1" operator="lessThan">
      <formula>0</formula>
    </cfRule>
  </conditionalFormatting>
  <conditionalFormatting sqref="R161:R172">
    <cfRule type="cellIs" dxfId="1055" priority="1007" stopIfTrue="1" operator="lessThan">
      <formula>0</formula>
    </cfRule>
  </conditionalFormatting>
  <conditionalFormatting sqref="R173:R175">
    <cfRule type="cellIs" dxfId="1054" priority="1006" stopIfTrue="1" operator="lessThan">
      <formula>0</formula>
    </cfRule>
  </conditionalFormatting>
  <conditionalFormatting sqref="R184">
    <cfRule type="cellIs" dxfId="1053" priority="1004" stopIfTrue="1" operator="lessThan">
      <formula>0</formula>
    </cfRule>
  </conditionalFormatting>
  <conditionalFormatting sqref="R186:R187">
    <cfRule type="cellIs" dxfId="1052" priority="1002" stopIfTrue="1" operator="lessThan">
      <formula>0</formula>
    </cfRule>
  </conditionalFormatting>
  <conditionalFormatting sqref="R190">
    <cfRule type="cellIs" dxfId="1051" priority="1000" stopIfTrue="1" operator="lessThan">
      <formula>0</formula>
    </cfRule>
  </conditionalFormatting>
  <conditionalFormatting sqref="R185">
    <cfRule type="cellIs" dxfId="1050" priority="999" stopIfTrue="1" operator="lessThan">
      <formula>0</formula>
    </cfRule>
  </conditionalFormatting>
  <conditionalFormatting sqref="R188:R189">
    <cfRule type="cellIs" dxfId="1049" priority="998" stopIfTrue="1" operator="lessThan">
      <formula>0</formula>
    </cfRule>
  </conditionalFormatting>
  <conditionalFormatting sqref="R196">
    <cfRule type="cellIs" dxfId="1048" priority="997" stopIfTrue="1" operator="lessThan">
      <formula>0</formula>
    </cfRule>
  </conditionalFormatting>
  <conditionalFormatting sqref="R195">
    <cfRule type="cellIs" dxfId="1047" priority="995" stopIfTrue="1" operator="lessThan">
      <formula>0</formula>
    </cfRule>
  </conditionalFormatting>
  <conditionalFormatting sqref="R197:R198">
    <cfRule type="cellIs" dxfId="1046" priority="993" stopIfTrue="1" operator="lessThan">
      <formula>0</formula>
    </cfRule>
  </conditionalFormatting>
  <conditionalFormatting sqref="R220">
    <cfRule type="cellIs" dxfId="1045" priority="991" stopIfTrue="1" operator="lessThan">
      <formula>0</formula>
    </cfRule>
  </conditionalFormatting>
  <conditionalFormatting sqref="R222">
    <cfRule type="cellIs" dxfId="1044" priority="989" stopIfTrue="1" operator="lessThan">
      <formula>0</formula>
    </cfRule>
  </conditionalFormatting>
  <conditionalFormatting sqref="R224:R228">
    <cfRule type="cellIs" dxfId="1043" priority="987" stopIfTrue="1" operator="lessThan">
      <formula>0</formula>
    </cfRule>
  </conditionalFormatting>
  <conditionalFormatting sqref="R219">
    <cfRule type="cellIs" dxfId="1042" priority="986" stopIfTrue="1" operator="lessThan">
      <formula>0</formula>
    </cfRule>
  </conditionalFormatting>
  <conditionalFormatting sqref="R221">
    <cfRule type="cellIs" dxfId="1041" priority="985" stopIfTrue="1" operator="lessThan">
      <formula>0</formula>
    </cfRule>
  </conditionalFormatting>
  <conditionalFormatting sqref="R223">
    <cfRule type="cellIs" dxfId="1040" priority="984" stopIfTrue="1" operator="lessThan">
      <formula>0</formula>
    </cfRule>
  </conditionalFormatting>
  <conditionalFormatting sqref="R229:R231">
    <cfRule type="cellIs" dxfId="1039" priority="983" stopIfTrue="1" operator="lessThan">
      <formula>0</formula>
    </cfRule>
  </conditionalFormatting>
  <conditionalFormatting sqref="R232:R235">
    <cfRule type="cellIs" dxfId="1038" priority="981" stopIfTrue="1" operator="lessThan">
      <formula>0</formula>
    </cfRule>
  </conditionalFormatting>
  <conditionalFormatting sqref="R237:R238">
    <cfRule type="cellIs" dxfId="1037" priority="979" stopIfTrue="1" operator="lessThan">
      <formula>0</formula>
    </cfRule>
  </conditionalFormatting>
  <conditionalFormatting sqref="R241:R244">
    <cfRule type="cellIs" dxfId="1036" priority="977" stopIfTrue="1" operator="lessThan">
      <formula>0</formula>
    </cfRule>
  </conditionalFormatting>
  <conditionalFormatting sqref="R251:R252">
    <cfRule type="cellIs" dxfId="1035" priority="975" stopIfTrue="1" operator="lessThan">
      <formula>0</formula>
    </cfRule>
  </conditionalFormatting>
  <conditionalFormatting sqref="R257:R270">
    <cfRule type="cellIs" dxfId="1034" priority="973" stopIfTrue="1" operator="lessThan">
      <formula>0</formula>
    </cfRule>
  </conditionalFormatting>
  <conditionalFormatting sqref="R284">
    <cfRule type="cellIs" dxfId="1033" priority="971" stopIfTrue="1" operator="lessThan">
      <formula>0</formula>
    </cfRule>
  </conditionalFormatting>
  <conditionalFormatting sqref="R236">
    <cfRule type="cellIs" dxfId="1032" priority="970" stopIfTrue="1" operator="lessThan">
      <formula>0</formula>
    </cfRule>
  </conditionalFormatting>
  <conditionalFormatting sqref="R239:R240">
    <cfRule type="cellIs" dxfId="1031" priority="969" stopIfTrue="1" operator="lessThan">
      <formula>0</formula>
    </cfRule>
  </conditionalFormatting>
  <conditionalFormatting sqref="R245:R250">
    <cfRule type="cellIs" dxfId="1030" priority="968" stopIfTrue="1" operator="lessThan">
      <formula>0</formula>
    </cfRule>
  </conditionalFormatting>
  <conditionalFormatting sqref="R253:R256">
    <cfRule type="cellIs" dxfId="1029" priority="967" stopIfTrue="1" operator="lessThan">
      <formula>0</formula>
    </cfRule>
  </conditionalFormatting>
  <conditionalFormatting sqref="R283">
    <cfRule type="cellIs" dxfId="1028" priority="966" stopIfTrue="1" operator="lessThan">
      <formula>0</formula>
    </cfRule>
  </conditionalFormatting>
  <conditionalFormatting sqref="R287:R288">
    <cfRule type="cellIs" dxfId="1027" priority="965" stopIfTrue="1" operator="lessThan">
      <formula>0</formula>
    </cfRule>
  </conditionalFormatting>
  <conditionalFormatting sqref="R291:R292">
    <cfRule type="cellIs" dxfId="1026" priority="964" stopIfTrue="1" operator="lessThan">
      <formula>0</formula>
    </cfRule>
  </conditionalFormatting>
  <conditionalFormatting sqref="R289:R290">
    <cfRule type="cellIs" dxfId="1025" priority="963" stopIfTrue="1" operator="lessThan">
      <formula>0</formula>
    </cfRule>
  </conditionalFormatting>
  <conditionalFormatting sqref="R293">
    <cfRule type="cellIs" dxfId="1024" priority="961" stopIfTrue="1" operator="lessThan">
      <formula>0</formula>
    </cfRule>
  </conditionalFormatting>
  <conditionalFormatting sqref="R294:R321">
    <cfRule type="cellIs" dxfId="1023" priority="959" stopIfTrue="1" operator="lessThan">
      <formula>0</formula>
    </cfRule>
  </conditionalFormatting>
  <conditionalFormatting sqref="R323:R326">
    <cfRule type="cellIs" dxfId="1022" priority="958" stopIfTrue="1" operator="lessThan">
      <formula>0</formula>
    </cfRule>
  </conditionalFormatting>
  <conditionalFormatting sqref="R331:R336">
    <cfRule type="cellIs" dxfId="1021" priority="957" stopIfTrue="1" operator="lessThan">
      <formula>0</formula>
    </cfRule>
  </conditionalFormatting>
  <conditionalFormatting sqref="R338:R343">
    <cfRule type="cellIs" dxfId="1020" priority="956" stopIfTrue="1" operator="lessThan">
      <formula>0</formula>
    </cfRule>
  </conditionalFormatting>
  <conditionalFormatting sqref="R346:R363">
    <cfRule type="cellIs" dxfId="1019" priority="955" stopIfTrue="1" operator="lessThan">
      <formula>0</formula>
    </cfRule>
  </conditionalFormatting>
  <conditionalFormatting sqref="R368:R379">
    <cfRule type="cellIs" dxfId="1018" priority="954" stopIfTrue="1" operator="lessThan">
      <formula>0</formula>
    </cfRule>
  </conditionalFormatting>
  <conditionalFormatting sqref="R337">
    <cfRule type="cellIs" dxfId="1017" priority="952" stopIfTrue="1" operator="lessThan">
      <formula>0</formula>
    </cfRule>
  </conditionalFormatting>
  <conditionalFormatting sqref="R364:R367">
    <cfRule type="cellIs" dxfId="1016" priority="950" stopIfTrue="1" operator="lessThan">
      <formula>0</formula>
    </cfRule>
  </conditionalFormatting>
  <conditionalFormatting sqref="R380:R382">
    <cfRule type="cellIs" dxfId="1015" priority="948" stopIfTrue="1" operator="lessThan">
      <formula>0</formula>
    </cfRule>
  </conditionalFormatting>
  <conditionalFormatting sqref="R415">
    <cfRule type="cellIs" dxfId="1014" priority="947" stopIfTrue="1" operator="lessThan">
      <formula>0</formula>
    </cfRule>
  </conditionalFormatting>
  <conditionalFormatting sqref="R416">
    <cfRule type="cellIs" dxfId="1013" priority="945" stopIfTrue="1" operator="lessThan">
      <formula>0</formula>
    </cfRule>
  </conditionalFormatting>
  <conditionalFormatting sqref="R566:R569">
    <cfRule type="cellIs" dxfId="1012" priority="939" stopIfTrue="1" operator="lessThan">
      <formula>0</formula>
    </cfRule>
  </conditionalFormatting>
  <conditionalFormatting sqref="R571:R572">
    <cfRule type="cellIs" dxfId="1011" priority="937" stopIfTrue="1" operator="lessThan">
      <formula>0</formula>
    </cfRule>
  </conditionalFormatting>
  <conditionalFormatting sqref="R576:R578">
    <cfRule type="cellIs" dxfId="1010" priority="935" stopIfTrue="1" operator="lessThan">
      <formula>0</formula>
    </cfRule>
  </conditionalFormatting>
  <conditionalFormatting sqref="R580">
    <cfRule type="cellIs" dxfId="1009" priority="933" stopIfTrue="1" operator="lessThan">
      <formula>0</formula>
    </cfRule>
  </conditionalFormatting>
  <conditionalFormatting sqref="R573:R575">
    <cfRule type="cellIs" dxfId="1008" priority="932" stopIfTrue="1" operator="lessThan">
      <formula>0</formula>
    </cfRule>
  </conditionalFormatting>
  <conditionalFormatting sqref="R579">
    <cfRule type="cellIs" dxfId="1007" priority="931" stopIfTrue="1" operator="lessThan">
      <formula>0</formula>
    </cfRule>
  </conditionalFormatting>
  <conditionalFormatting sqref="R604">
    <cfRule type="cellIs" dxfId="1006" priority="930" stopIfTrue="1" operator="lessThan">
      <formula>0</formula>
    </cfRule>
  </conditionalFormatting>
  <conditionalFormatting sqref="R608">
    <cfRule type="cellIs" dxfId="1005" priority="929" stopIfTrue="1" operator="lessThan">
      <formula>0</formula>
    </cfRule>
  </conditionalFormatting>
  <conditionalFormatting sqref="R832:R834">
    <cfRule type="cellIs" dxfId="1004" priority="928" stopIfTrue="1" operator="lessThan">
      <formula>0</formula>
    </cfRule>
  </conditionalFormatting>
  <conditionalFormatting sqref="R837:R841">
    <cfRule type="cellIs" dxfId="1003" priority="927" stopIfTrue="1" operator="lessThan">
      <formula>0</formula>
    </cfRule>
  </conditionalFormatting>
  <conditionalFormatting sqref="R846">
    <cfRule type="cellIs" dxfId="1002" priority="926" stopIfTrue="1" operator="lessThan">
      <formula>0</formula>
    </cfRule>
  </conditionalFormatting>
  <conditionalFormatting sqref="R858:R867">
    <cfRule type="cellIs" dxfId="1001" priority="925" stopIfTrue="1" operator="lessThan">
      <formula>0</formula>
    </cfRule>
  </conditionalFormatting>
  <conditionalFormatting sqref="R884">
    <cfRule type="cellIs" dxfId="1000" priority="924" stopIfTrue="1" operator="lessThan">
      <formula>0</formula>
    </cfRule>
  </conditionalFormatting>
  <conditionalFormatting sqref="R887">
    <cfRule type="cellIs" dxfId="999" priority="923" stopIfTrue="1" operator="lessThan">
      <formula>0</formula>
    </cfRule>
  </conditionalFormatting>
  <conditionalFormatting sqref="R835:R836">
    <cfRule type="cellIs" dxfId="998" priority="922" stopIfTrue="1" operator="lessThan">
      <formula>0</formula>
    </cfRule>
  </conditionalFormatting>
  <conditionalFormatting sqref="R842:R845">
    <cfRule type="cellIs" dxfId="997" priority="921" stopIfTrue="1" operator="lessThan">
      <formula>0</formula>
    </cfRule>
  </conditionalFormatting>
  <conditionalFormatting sqref="R848">
    <cfRule type="cellIs" dxfId="996" priority="920" stopIfTrue="1" operator="lessThan">
      <formula>0</formula>
    </cfRule>
  </conditionalFormatting>
  <conditionalFormatting sqref="R868:R875">
    <cfRule type="cellIs" dxfId="995" priority="919" stopIfTrue="1" operator="lessThan">
      <formula>0</formula>
    </cfRule>
  </conditionalFormatting>
  <conditionalFormatting sqref="R885:R886">
    <cfRule type="cellIs" dxfId="994" priority="918" stopIfTrue="1" operator="lessThan">
      <formula>0</formula>
    </cfRule>
  </conditionalFormatting>
  <conditionalFormatting sqref="R53">
    <cfRule type="cellIs" dxfId="993" priority="917" stopIfTrue="1" operator="lessThan">
      <formula>0</formula>
    </cfRule>
  </conditionalFormatting>
  <conditionalFormatting sqref="S115 S113:T113 S117 S383:T383">
    <cfRule type="cellIs" dxfId="992" priority="585" stopIfTrue="1" operator="lessThan">
      <formula>0</formula>
    </cfRule>
  </conditionalFormatting>
  <conditionalFormatting sqref="S570">
    <cfRule type="cellIs" dxfId="991" priority="514" stopIfTrue="1" operator="lessThan">
      <formula>0</formula>
    </cfRule>
  </conditionalFormatting>
  <conditionalFormatting sqref="T570">
    <cfRule type="cellIs" dxfId="990" priority="512" stopIfTrue="1" operator="lessThan">
      <formula>0</formula>
    </cfRule>
  </conditionalFormatting>
  <conditionalFormatting sqref="S570">
    <cfRule type="expression" dxfId="989" priority="513">
      <formula>(#REF!+#REF!)&lt;&gt;(#REF!+#REF!)</formula>
    </cfRule>
  </conditionalFormatting>
  <conditionalFormatting sqref="T570">
    <cfRule type="expression" dxfId="988" priority="511">
      <formula>(#REF!+#REF!)&lt;&gt;(#REF!+#REF!)</formula>
    </cfRule>
  </conditionalFormatting>
  <conditionalFormatting sqref="T115">
    <cfRule type="cellIs" dxfId="987" priority="164" stopIfTrue="1" operator="lessThan">
      <formula>0</formula>
    </cfRule>
  </conditionalFormatting>
  <conditionalFormatting sqref="T115">
    <cfRule type="expression" dxfId="986" priority="161">
      <formula>#REF!&lt;0</formula>
    </cfRule>
    <cfRule type="expression" dxfId="985" priority="162">
      <formula>AND($N$4="12",ABS(#REF!+#REF!)&gt;ABS(#REF!+#REF!),#REF!+#REF!&lt;0)</formula>
    </cfRule>
    <cfRule type="expression" dxfId="984" priority="163">
      <formula>AND(ABS(#REF!+#REF!)&gt;ABS(#REF!+#REF!),#REF!+#REF!&gt;0)</formula>
    </cfRule>
  </conditionalFormatting>
  <conditionalFormatting sqref="T117">
    <cfRule type="cellIs" dxfId="983" priority="160" stopIfTrue="1" operator="lessThan">
      <formula>0</formula>
    </cfRule>
  </conditionalFormatting>
  <conditionalFormatting sqref="T117">
    <cfRule type="expression" dxfId="982" priority="157">
      <formula>#REF!&lt;0</formula>
    </cfRule>
    <cfRule type="expression" dxfId="981" priority="158">
      <formula>AND($N$4="12",ABS(#REF!+#REF!)&gt;ABS(#REF!+#REF!),#REF!+#REF!&lt;0)</formula>
    </cfRule>
    <cfRule type="expression" dxfId="980" priority="159">
      <formula>AND(ABS(#REF!+#REF!)&gt;ABS(#REF!+#REF!),#REF!+#REF!&gt;0)</formula>
    </cfRule>
  </conditionalFormatting>
  <conditionalFormatting sqref="V53">
    <cfRule type="cellIs" dxfId="979" priority="135" operator="notEqual">
      <formula>0</formula>
    </cfRule>
  </conditionalFormatting>
  <conditionalFormatting sqref="V54">
    <cfRule type="cellIs" dxfId="978" priority="134" operator="notEqual">
      <formula>0</formula>
    </cfRule>
  </conditionalFormatting>
  <conditionalFormatting sqref="V13">
    <cfRule type="cellIs" dxfId="977" priority="133" operator="notEqual">
      <formula>0</formula>
    </cfRule>
  </conditionalFormatting>
  <conditionalFormatting sqref="V12">
    <cfRule type="cellIs" dxfId="976" priority="132" operator="notEqual">
      <formula>0</formula>
    </cfRule>
  </conditionalFormatting>
  <conditionalFormatting sqref="V10">
    <cfRule type="cellIs" dxfId="975" priority="131" operator="notEqual">
      <formula>0</formula>
    </cfRule>
  </conditionalFormatting>
  <conditionalFormatting sqref="V14:V15">
    <cfRule type="cellIs" dxfId="974" priority="130" operator="notEqual">
      <formula>0</formula>
    </cfRule>
  </conditionalFormatting>
  <conditionalFormatting sqref="V70 V102 V120:V121 V160 V176:V177 V191:V194 V199:V218 V271:V282 V285 V344:V345 V383:V401 V417:V565 V581:V603 V849:V857 V876:V883 V887:V940 V113 V322 V327:V330 V605:V607 V609:V639 V179:V183 V570 V410:V414 V641:V666 V668:V760 V764:V831 V762">
    <cfRule type="cellIs" dxfId="973" priority="129" operator="notEqual">
      <formula>0</formula>
    </cfRule>
  </conditionalFormatting>
  <conditionalFormatting sqref="V60:V61">
    <cfRule type="cellIs" dxfId="972" priority="128" operator="notEqual">
      <formula>0</formula>
    </cfRule>
  </conditionalFormatting>
  <conditionalFormatting sqref="V26">
    <cfRule type="cellIs" dxfId="971" priority="127" operator="notEqual">
      <formula>0</formula>
    </cfRule>
  </conditionalFormatting>
  <conditionalFormatting sqref="V27:V52">
    <cfRule type="cellIs" dxfId="970" priority="126" operator="notEqual">
      <formula>0</formula>
    </cfRule>
  </conditionalFormatting>
  <conditionalFormatting sqref="V56:V59">
    <cfRule type="cellIs" dxfId="969" priority="125" operator="notEqual">
      <formula>0</formula>
    </cfRule>
  </conditionalFormatting>
  <conditionalFormatting sqref="V62:V69">
    <cfRule type="cellIs" dxfId="968" priority="124" operator="notEqual">
      <formula>0</formula>
    </cfRule>
  </conditionalFormatting>
  <conditionalFormatting sqref="V94:V101">
    <cfRule type="cellIs" dxfId="967" priority="123" operator="notEqual">
      <formula>0</formula>
    </cfRule>
  </conditionalFormatting>
  <conditionalFormatting sqref="V114">
    <cfRule type="cellIs" dxfId="966" priority="122" operator="notEqual">
      <formula>0</formula>
    </cfRule>
  </conditionalFormatting>
  <conditionalFormatting sqref="V116">
    <cfRule type="cellIs" dxfId="965" priority="121" operator="notEqual">
      <formula>0</formula>
    </cfRule>
  </conditionalFormatting>
  <conditionalFormatting sqref="V118">
    <cfRule type="cellIs" dxfId="964" priority="120" operator="notEqual">
      <formula>0</formula>
    </cfRule>
  </conditionalFormatting>
  <conditionalFormatting sqref="V122">
    <cfRule type="cellIs" dxfId="963" priority="119" operator="notEqual">
      <formula>0</formula>
    </cfRule>
  </conditionalFormatting>
  <conditionalFormatting sqref="V125">
    <cfRule type="cellIs" dxfId="962" priority="118" operator="notEqual">
      <formula>0</formula>
    </cfRule>
  </conditionalFormatting>
  <conditionalFormatting sqref="V127:V128">
    <cfRule type="cellIs" dxfId="961" priority="117" operator="notEqual">
      <formula>0</formula>
    </cfRule>
  </conditionalFormatting>
  <conditionalFormatting sqref="V130">
    <cfRule type="cellIs" dxfId="960" priority="116" operator="notEqual">
      <formula>0</formula>
    </cfRule>
  </conditionalFormatting>
  <conditionalFormatting sqref="V132:V133">
    <cfRule type="cellIs" dxfId="959" priority="115" operator="notEqual">
      <formula>0</formula>
    </cfRule>
  </conditionalFormatting>
  <conditionalFormatting sqref="V135">
    <cfRule type="cellIs" dxfId="958" priority="114" operator="notEqual">
      <formula>0</formula>
    </cfRule>
  </conditionalFormatting>
  <conditionalFormatting sqref="V139:V140">
    <cfRule type="cellIs" dxfId="957" priority="113" operator="notEqual">
      <formula>0</formula>
    </cfRule>
  </conditionalFormatting>
  <conditionalFormatting sqref="V142:V143">
    <cfRule type="cellIs" dxfId="956" priority="112" operator="notEqual">
      <formula>0</formula>
    </cfRule>
  </conditionalFormatting>
  <conditionalFormatting sqref="V146">
    <cfRule type="cellIs" dxfId="955" priority="111" operator="notEqual">
      <formula>0</formula>
    </cfRule>
  </conditionalFormatting>
  <conditionalFormatting sqref="V150:V151">
    <cfRule type="cellIs" dxfId="954" priority="110" operator="notEqual">
      <formula>0</formula>
    </cfRule>
  </conditionalFormatting>
  <conditionalFormatting sqref="V173:V175">
    <cfRule type="cellIs" dxfId="953" priority="109" operator="notEqual">
      <formula>0</formula>
    </cfRule>
  </conditionalFormatting>
  <conditionalFormatting sqref="V184">
    <cfRule type="cellIs" dxfId="952" priority="108" operator="notEqual">
      <formula>0</formula>
    </cfRule>
  </conditionalFormatting>
  <conditionalFormatting sqref="V186:V187">
    <cfRule type="cellIs" dxfId="951" priority="107" operator="notEqual">
      <formula>0</formula>
    </cfRule>
  </conditionalFormatting>
  <conditionalFormatting sqref="V190">
    <cfRule type="cellIs" dxfId="950" priority="106" operator="notEqual">
      <formula>0</formula>
    </cfRule>
  </conditionalFormatting>
  <conditionalFormatting sqref="V195">
    <cfRule type="cellIs" dxfId="949" priority="105" operator="notEqual">
      <formula>0</formula>
    </cfRule>
  </conditionalFormatting>
  <conditionalFormatting sqref="V197:V198">
    <cfRule type="cellIs" dxfId="948" priority="104" operator="notEqual">
      <formula>0</formula>
    </cfRule>
  </conditionalFormatting>
  <conditionalFormatting sqref="V220">
    <cfRule type="cellIs" dxfId="947" priority="103" operator="notEqual">
      <formula>0</formula>
    </cfRule>
  </conditionalFormatting>
  <conditionalFormatting sqref="V222">
    <cfRule type="cellIs" dxfId="946" priority="102" operator="notEqual">
      <formula>0</formula>
    </cfRule>
  </conditionalFormatting>
  <conditionalFormatting sqref="V224:V228">
    <cfRule type="cellIs" dxfId="945" priority="101" operator="notEqual">
      <formula>0</formula>
    </cfRule>
  </conditionalFormatting>
  <conditionalFormatting sqref="V232:V235">
    <cfRule type="cellIs" dxfId="944" priority="100" operator="notEqual">
      <formula>0</formula>
    </cfRule>
  </conditionalFormatting>
  <conditionalFormatting sqref="V237:V238">
    <cfRule type="cellIs" dxfId="943" priority="99" operator="notEqual">
      <formula>0</formula>
    </cfRule>
  </conditionalFormatting>
  <conditionalFormatting sqref="V241:V244">
    <cfRule type="cellIs" dxfId="942" priority="98" operator="notEqual">
      <formula>0</formula>
    </cfRule>
  </conditionalFormatting>
  <conditionalFormatting sqref="V251:V252">
    <cfRule type="cellIs" dxfId="941" priority="97" operator="notEqual">
      <formula>0</formula>
    </cfRule>
  </conditionalFormatting>
  <conditionalFormatting sqref="V257:V270">
    <cfRule type="cellIs" dxfId="940" priority="96" operator="notEqual">
      <formula>0</formula>
    </cfRule>
  </conditionalFormatting>
  <conditionalFormatting sqref="V284">
    <cfRule type="cellIs" dxfId="939" priority="95" operator="notEqual">
      <formula>0</formula>
    </cfRule>
  </conditionalFormatting>
  <conditionalFormatting sqref="V337">
    <cfRule type="cellIs" dxfId="938" priority="94" operator="notEqual">
      <formula>0</formula>
    </cfRule>
  </conditionalFormatting>
  <conditionalFormatting sqref="V364:V367">
    <cfRule type="cellIs" dxfId="937" priority="93" operator="notEqual">
      <formula>0</formula>
    </cfRule>
  </conditionalFormatting>
  <conditionalFormatting sqref="V380:V382">
    <cfRule type="cellIs" dxfId="936" priority="92" operator="notEqual">
      <formula>0</formula>
    </cfRule>
  </conditionalFormatting>
  <conditionalFormatting sqref="V416">
    <cfRule type="cellIs" dxfId="935" priority="91" operator="notEqual">
      <formula>0</formula>
    </cfRule>
  </conditionalFormatting>
  <conditionalFormatting sqref="V566:V569">
    <cfRule type="cellIs" dxfId="934" priority="90" operator="notEqual">
      <formula>0</formula>
    </cfRule>
  </conditionalFormatting>
  <conditionalFormatting sqref="V571:V572">
    <cfRule type="cellIs" dxfId="933" priority="89" operator="notEqual">
      <formula>0</formula>
    </cfRule>
  </conditionalFormatting>
  <conditionalFormatting sqref="V576:V578">
    <cfRule type="cellIs" dxfId="932" priority="88" operator="notEqual">
      <formula>0</formula>
    </cfRule>
  </conditionalFormatting>
  <conditionalFormatting sqref="V580">
    <cfRule type="cellIs" dxfId="931" priority="87" operator="notEqual">
      <formula>0</formula>
    </cfRule>
  </conditionalFormatting>
  <conditionalFormatting sqref="V835:V836">
    <cfRule type="cellIs" dxfId="930" priority="86" operator="notEqual">
      <formula>0</formula>
    </cfRule>
  </conditionalFormatting>
  <conditionalFormatting sqref="V842:V845">
    <cfRule type="cellIs" dxfId="929" priority="85" operator="notEqual">
      <formula>0</formula>
    </cfRule>
  </conditionalFormatting>
  <conditionalFormatting sqref="V848">
    <cfRule type="cellIs" dxfId="928" priority="84" operator="notEqual">
      <formula>0</formula>
    </cfRule>
  </conditionalFormatting>
  <conditionalFormatting sqref="V868:V875">
    <cfRule type="cellIs" dxfId="927" priority="83" operator="notEqual">
      <formula>0</formula>
    </cfRule>
  </conditionalFormatting>
  <conditionalFormatting sqref="V885:V886">
    <cfRule type="cellIs" dxfId="926" priority="82" operator="notEqual">
      <formula>0</formula>
    </cfRule>
  </conditionalFormatting>
  <conditionalFormatting sqref="V55">
    <cfRule type="cellIs" dxfId="925" priority="81" operator="notEqual">
      <formula>0</formula>
    </cfRule>
  </conditionalFormatting>
  <conditionalFormatting sqref="V71:V89">
    <cfRule type="cellIs" dxfId="924" priority="80" operator="notEqual">
      <formula>0</formula>
    </cfRule>
  </conditionalFormatting>
  <conditionalFormatting sqref="V103:V112">
    <cfRule type="cellIs" dxfId="923" priority="79" operator="notEqual">
      <formula>0</formula>
    </cfRule>
  </conditionalFormatting>
  <conditionalFormatting sqref="V115">
    <cfRule type="cellIs" dxfId="922" priority="78" operator="notEqual">
      <formula>0</formula>
    </cfRule>
  </conditionalFormatting>
  <conditionalFormatting sqref="V119">
    <cfRule type="cellIs" dxfId="921" priority="77" operator="notEqual">
      <formula>0</formula>
    </cfRule>
  </conditionalFormatting>
  <conditionalFormatting sqref="V123:V124">
    <cfRule type="cellIs" dxfId="920" priority="76" operator="notEqual">
      <formula>0</formula>
    </cfRule>
  </conditionalFormatting>
  <conditionalFormatting sqref="V126">
    <cfRule type="cellIs" dxfId="919" priority="75" operator="notEqual">
      <formula>0</formula>
    </cfRule>
  </conditionalFormatting>
  <conditionalFormatting sqref="V129">
    <cfRule type="cellIs" dxfId="918" priority="74" operator="notEqual">
      <formula>0</formula>
    </cfRule>
  </conditionalFormatting>
  <conditionalFormatting sqref="V131">
    <cfRule type="cellIs" dxfId="917" priority="73" operator="notEqual">
      <formula>0</formula>
    </cfRule>
  </conditionalFormatting>
  <conditionalFormatting sqref="V134">
    <cfRule type="cellIs" dxfId="916" priority="72" operator="notEqual">
      <formula>0</formula>
    </cfRule>
  </conditionalFormatting>
  <conditionalFormatting sqref="V136:V138">
    <cfRule type="cellIs" dxfId="915" priority="71" operator="notEqual">
      <formula>0</formula>
    </cfRule>
  </conditionalFormatting>
  <conditionalFormatting sqref="V141">
    <cfRule type="cellIs" dxfId="914" priority="70" operator="notEqual">
      <formula>0</formula>
    </cfRule>
  </conditionalFormatting>
  <conditionalFormatting sqref="V144:V145">
    <cfRule type="cellIs" dxfId="913" priority="69" operator="notEqual">
      <formula>0</formula>
    </cfRule>
  </conditionalFormatting>
  <conditionalFormatting sqref="V147:V149">
    <cfRule type="cellIs" dxfId="912" priority="68" operator="notEqual">
      <formula>0</formula>
    </cfRule>
  </conditionalFormatting>
  <conditionalFormatting sqref="V152:V159">
    <cfRule type="cellIs" dxfId="911" priority="67" operator="notEqual">
      <formula>0</formula>
    </cfRule>
  </conditionalFormatting>
  <conditionalFormatting sqref="V161:V172">
    <cfRule type="cellIs" dxfId="910" priority="66" operator="notEqual">
      <formula>0</formula>
    </cfRule>
  </conditionalFormatting>
  <conditionalFormatting sqref="V185">
    <cfRule type="cellIs" dxfId="909" priority="65" operator="notEqual">
      <formula>0</formula>
    </cfRule>
  </conditionalFormatting>
  <conditionalFormatting sqref="V188:V189">
    <cfRule type="cellIs" dxfId="908" priority="64" operator="notEqual">
      <formula>0</formula>
    </cfRule>
  </conditionalFormatting>
  <conditionalFormatting sqref="V196">
    <cfRule type="cellIs" dxfId="907" priority="63" operator="notEqual">
      <formula>0</formula>
    </cfRule>
  </conditionalFormatting>
  <conditionalFormatting sqref="V219">
    <cfRule type="cellIs" dxfId="906" priority="62" operator="notEqual">
      <formula>0</formula>
    </cfRule>
  </conditionalFormatting>
  <conditionalFormatting sqref="V221">
    <cfRule type="cellIs" dxfId="905" priority="61" operator="notEqual">
      <formula>0</formula>
    </cfRule>
  </conditionalFormatting>
  <conditionalFormatting sqref="V223">
    <cfRule type="cellIs" dxfId="904" priority="60" operator="notEqual">
      <formula>0</formula>
    </cfRule>
  </conditionalFormatting>
  <conditionalFormatting sqref="V229:V231">
    <cfRule type="cellIs" dxfId="903" priority="59" operator="notEqual">
      <formula>0</formula>
    </cfRule>
  </conditionalFormatting>
  <conditionalFormatting sqref="V236">
    <cfRule type="cellIs" dxfId="902" priority="58" operator="notEqual">
      <formula>0</formula>
    </cfRule>
  </conditionalFormatting>
  <conditionalFormatting sqref="V239:V240">
    <cfRule type="cellIs" dxfId="901" priority="57" operator="notEqual">
      <formula>0</formula>
    </cfRule>
  </conditionalFormatting>
  <conditionalFormatting sqref="V245:V250">
    <cfRule type="cellIs" dxfId="900" priority="56" operator="notEqual">
      <formula>0</formula>
    </cfRule>
  </conditionalFormatting>
  <conditionalFormatting sqref="V253:V256">
    <cfRule type="cellIs" dxfId="899" priority="55" operator="notEqual">
      <formula>0</formula>
    </cfRule>
  </conditionalFormatting>
  <conditionalFormatting sqref="V283">
    <cfRule type="cellIs" dxfId="898" priority="54" operator="notEqual">
      <formula>0</formula>
    </cfRule>
  </conditionalFormatting>
  <conditionalFormatting sqref="V286:V288">
    <cfRule type="cellIs" dxfId="897" priority="53" operator="notEqual">
      <formula>0</formula>
    </cfRule>
  </conditionalFormatting>
  <conditionalFormatting sqref="V289:V321">
    <cfRule type="cellIs" dxfId="896" priority="52" operator="notEqual">
      <formula>0</formula>
    </cfRule>
  </conditionalFormatting>
  <conditionalFormatting sqref="V323:V326">
    <cfRule type="cellIs" dxfId="895" priority="51" operator="notEqual">
      <formula>0</formula>
    </cfRule>
  </conditionalFormatting>
  <conditionalFormatting sqref="V331:V336">
    <cfRule type="cellIs" dxfId="894" priority="50" operator="notEqual">
      <formula>0</formula>
    </cfRule>
  </conditionalFormatting>
  <conditionalFormatting sqref="V338:V343">
    <cfRule type="cellIs" dxfId="893" priority="49" operator="notEqual">
      <formula>0</formula>
    </cfRule>
  </conditionalFormatting>
  <conditionalFormatting sqref="V346:V363">
    <cfRule type="cellIs" dxfId="892" priority="48" operator="notEqual">
      <formula>0</formula>
    </cfRule>
  </conditionalFormatting>
  <conditionalFormatting sqref="V368:V379">
    <cfRule type="cellIs" dxfId="891" priority="47" operator="notEqual">
      <formula>0</formula>
    </cfRule>
  </conditionalFormatting>
  <conditionalFormatting sqref="V415">
    <cfRule type="cellIs" dxfId="890" priority="46" operator="notEqual">
      <formula>0</formula>
    </cfRule>
  </conditionalFormatting>
  <conditionalFormatting sqref="V573:V575">
    <cfRule type="cellIs" dxfId="889" priority="45" operator="notEqual">
      <formula>0</formula>
    </cfRule>
  </conditionalFormatting>
  <conditionalFormatting sqref="V579">
    <cfRule type="cellIs" dxfId="888" priority="44" operator="notEqual">
      <formula>0</formula>
    </cfRule>
  </conditionalFormatting>
  <conditionalFormatting sqref="V604">
    <cfRule type="cellIs" dxfId="887" priority="43" operator="notEqual">
      <formula>0</formula>
    </cfRule>
  </conditionalFormatting>
  <conditionalFormatting sqref="V608">
    <cfRule type="cellIs" dxfId="886" priority="42" operator="notEqual">
      <formula>0</formula>
    </cfRule>
  </conditionalFormatting>
  <conditionalFormatting sqref="V832:V834">
    <cfRule type="cellIs" dxfId="885" priority="41" operator="notEqual">
      <formula>0</formula>
    </cfRule>
  </conditionalFormatting>
  <conditionalFormatting sqref="V837:V841">
    <cfRule type="cellIs" dxfId="884" priority="40" operator="notEqual">
      <formula>0</formula>
    </cfRule>
  </conditionalFormatting>
  <conditionalFormatting sqref="V846">
    <cfRule type="cellIs" dxfId="883" priority="39" operator="notEqual">
      <formula>0</formula>
    </cfRule>
  </conditionalFormatting>
  <conditionalFormatting sqref="V858:V867">
    <cfRule type="cellIs" dxfId="882" priority="38" operator="notEqual">
      <formula>0</formula>
    </cfRule>
  </conditionalFormatting>
  <conditionalFormatting sqref="V884">
    <cfRule type="cellIs" dxfId="881" priority="37" operator="notEqual">
      <formula>0</formula>
    </cfRule>
  </conditionalFormatting>
  <conditionalFormatting sqref="V117">
    <cfRule type="cellIs" dxfId="880" priority="36" operator="notEqual">
      <formula>0</formula>
    </cfRule>
  </conditionalFormatting>
  <conditionalFormatting sqref="V847">
    <cfRule type="cellIs" dxfId="879" priority="34" operator="equal">
      <formula>1</formula>
    </cfRule>
    <cfRule type="cellIs" dxfId="878" priority="35" operator="notEqual">
      <formula>0</formula>
    </cfRule>
  </conditionalFormatting>
  <conditionalFormatting sqref="V178">
    <cfRule type="cellIs" dxfId="877" priority="32" operator="equal">
      <formula>1</formula>
    </cfRule>
    <cfRule type="cellIs" dxfId="876" priority="33" operator="notEqual">
      <formula>0</formula>
    </cfRule>
  </conditionalFormatting>
  <conditionalFormatting sqref="V90:V93">
    <cfRule type="cellIs" dxfId="875" priority="30" operator="equal">
      <formula>1</formula>
    </cfRule>
    <cfRule type="cellIs" dxfId="874" priority="31" operator="notEqual">
      <formula>0</formula>
    </cfRule>
  </conditionalFormatting>
  <conditionalFormatting sqref="V16:V25">
    <cfRule type="cellIs" dxfId="873" priority="28" operator="equal">
      <formula>1</formula>
    </cfRule>
    <cfRule type="cellIs" dxfId="872" priority="29" operator="notEqual">
      <formula>0</formula>
    </cfRule>
  </conditionalFormatting>
  <conditionalFormatting sqref="V402:V409">
    <cfRule type="cellIs" dxfId="871" priority="26" operator="equal">
      <formula>1</formula>
    </cfRule>
    <cfRule type="cellIs" dxfId="870" priority="27" operator="notEqual">
      <formula>0</formula>
    </cfRule>
  </conditionalFormatting>
  <conditionalFormatting sqref="V640">
    <cfRule type="cellIs" dxfId="869" priority="24" operator="equal">
      <formula>1</formula>
    </cfRule>
    <cfRule type="cellIs" dxfId="868" priority="25" operator="notEqual">
      <formula>0</formula>
    </cfRule>
  </conditionalFormatting>
  <conditionalFormatting sqref="V667">
    <cfRule type="cellIs" dxfId="867" priority="22" operator="equal">
      <formula>1</formula>
    </cfRule>
    <cfRule type="cellIs" dxfId="866" priority="23" operator="notEqual">
      <formula>0</formula>
    </cfRule>
  </conditionalFormatting>
  <conditionalFormatting sqref="V763">
    <cfRule type="cellIs" dxfId="865" priority="20" operator="equal">
      <formula>1</formula>
    </cfRule>
    <cfRule type="cellIs" dxfId="864" priority="21" operator="notEqual">
      <formula>0</formula>
    </cfRule>
  </conditionalFormatting>
  <conditionalFormatting sqref="Q761:R761">
    <cfRule type="cellIs" dxfId="863" priority="18" stopIfTrue="1" operator="lessThan">
      <formula>0</formula>
    </cfRule>
  </conditionalFormatting>
  <conditionalFormatting sqref="V761">
    <cfRule type="cellIs" dxfId="862" priority="16" operator="equal">
      <formula>1</formula>
    </cfRule>
    <cfRule type="cellIs" dxfId="861" priority="17" operator="notEqual">
      <formula>0</formula>
    </cfRule>
  </conditionalFormatting>
  <conditionalFormatting sqref="H13:L13">
    <cfRule type="cellIs" dxfId="860" priority="15" operator="notEqual">
      <formula>0</formula>
    </cfRule>
  </conditionalFormatting>
  <conditionalFormatting sqref="S14:T112">
    <cfRule type="cellIs" dxfId="859" priority="14" stopIfTrue="1" operator="lessThan">
      <formula>0</formula>
    </cfRule>
  </conditionalFormatting>
  <conditionalFormatting sqref="S114:T114">
    <cfRule type="cellIs" dxfId="858" priority="13" stopIfTrue="1" operator="lessThan">
      <formula>0</formula>
    </cfRule>
  </conditionalFormatting>
  <conditionalFormatting sqref="S116:T116">
    <cfRule type="cellIs" dxfId="857" priority="12" stopIfTrue="1" operator="lessThan">
      <formula>0</formula>
    </cfRule>
  </conditionalFormatting>
  <conditionalFormatting sqref="S118:T335 S338:T382">
    <cfRule type="cellIs" dxfId="856" priority="11" stopIfTrue="1" operator="lessThan">
      <formula>0</formula>
    </cfRule>
  </conditionalFormatting>
  <conditionalFormatting sqref="S336:T337">
    <cfRule type="cellIs" dxfId="855" priority="10" stopIfTrue="1" operator="lessThan">
      <formula>0</formula>
    </cfRule>
  </conditionalFormatting>
  <conditionalFormatting sqref="S384:T565">
    <cfRule type="cellIs" dxfId="854" priority="9" stopIfTrue="1" operator="lessThan">
      <formula>0</formula>
    </cfRule>
  </conditionalFormatting>
  <conditionalFormatting sqref="S566:T569">
    <cfRule type="cellIs" dxfId="853" priority="8" stopIfTrue="1" operator="lessThan">
      <formula>0</formula>
    </cfRule>
  </conditionalFormatting>
  <conditionalFormatting sqref="S573:T828">
    <cfRule type="cellIs" dxfId="852" priority="7" stopIfTrue="1" operator="lessThan">
      <formula>0</formula>
    </cfRule>
  </conditionalFormatting>
  <conditionalFormatting sqref="S571:T572">
    <cfRule type="cellIs" dxfId="851" priority="6" stopIfTrue="1" operator="lessThan">
      <formula>0</formula>
    </cfRule>
  </conditionalFormatting>
  <conditionalFormatting sqref="S832:T887">
    <cfRule type="cellIs" dxfId="850" priority="5" stopIfTrue="1" operator="lessThan">
      <formula>0</formula>
    </cfRule>
  </conditionalFormatting>
  <conditionalFormatting sqref="R115">
    <cfRule type="cellIs" dxfId="849" priority="4" stopIfTrue="1" operator="lessThan">
      <formula>0</formula>
    </cfRule>
  </conditionalFormatting>
  <conditionalFormatting sqref="R114">
    <cfRule type="cellIs" dxfId="848" priority="3" stopIfTrue="1" operator="lessThan">
      <formula>0</formula>
    </cfRule>
  </conditionalFormatting>
  <conditionalFormatting sqref="R117">
    <cfRule type="cellIs" dxfId="847" priority="2" stopIfTrue="1" operator="lessThan">
      <formula>0</formula>
    </cfRule>
  </conditionalFormatting>
  <conditionalFormatting sqref="R116">
    <cfRule type="cellIs" dxfId="846" priority="1" stopIfTrue="1" operator="lessThan">
      <formula>0</formula>
    </cfRule>
  </conditionalFormatting>
  <dataValidations disablePrompts="1" count="1">
    <dataValidation type="whole" allowBlank="1" showInputMessage="1" showErrorMessage="1" sqref="D4:E4">
      <formula1>0</formula1>
      <formula2>9999999999999990</formula2>
    </dataValidation>
  </dataValidations>
  <pageMargins left="0.24" right="0.24" top="0.43" bottom="0.35" header="0.23" footer="0.24"/>
  <pageSetup paperSize="9" scale="75" orientation="portrait" horizontalDpi="4294967292" r:id="rId1"/>
  <headerFooter alignWithMargins="0">
    <oddHeader>&amp;C&amp;"Times New Roman CYR,Bold"&amp;12- &amp;P / &amp;N -</oddHeader>
  </headerFooter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>
  <dimension ref="A1:Z949"/>
  <sheetViews>
    <sheetView zoomScaleNormal="100" workbookViewId="0">
      <pane xSplit="12" ySplit="13" topLeftCell="M14" activePane="bottomRight" state="frozen"/>
      <selection pane="topRight" activeCell="M1" sqref="M1"/>
      <selection pane="bottomLeft" activeCell="A14" sqref="A14"/>
      <selection pane="bottomRight" activeCell="M14" sqref="M14"/>
    </sheetView>
  </sheetViews>
  <sheetFormatPr defaultRowHeight="15.75"/>
  <cols>
    <col min="1" max="1" width="6.140625" style="1392" customWidth="1"/>
    <col min="2" max="2" width="8.7109375" style="1392" customWidth="1"/>
    <col min="3" max="3" width="9.7109375" style="1392" customWidth="1"/>
    <col min="4" max="4" width="9.42578125" style="1392" customWidth="1"/>
    <col min="5" max="5" width="9.140625" style="1392"/>
    <col min="6" max="6" width="9.85546875" style="1392" customWidth="1"/>
    <col min="7" max="7" width="9" style="1392" customWidth="1"/>
    <col min="8" max="8" width="8.140625" style="1392" customWidth="1"/>
    <col min="9" max="9" width="10.7109375" style="1392" customWidth="1"/>
    <col min="10" max="10" width="1.140625" style="1392" customWidth="1"/>
    <col min="11" max="11" width="11.140625" style="1392" customWidth="1"/>
    <col min="12" max="12" width="12" style="1392" customWidth="1"/>
    <col min="13" max="13" width="1" style="1395" customWidth="1"/>
    <col min="14" max="14" width="7.28515625" style="1396" customWidth="1"/>
    <col min="15" max="20" width="21" style="1393" customWidth="1"/>
    <col min="21" max="21" width="1" style="1395" customWidth="1"/>
    <col min="22" max="22" width="26.140625" style="2118" customWidth="1"/>
    <col min="23" max="16384" width="9.140625" style="1392"/>
  </cols>
  <sheetData>
    <row r="1" spans="1:26" ht="2.25" customHeight="1" thickBot="1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45"/>
      <c r="N1" s="110"/>
      <c r="O1" s="17"/>
      <c r="P1" s="17"/>
      <c r="Q1" s="17"/>
      <c r="R1" s="17"/>
      <c r="S1" s="17"/>
      <c r="T1" s="17"/>
      <c r="U1" s="45"/>
      <c r="V1" s="2116"/>
      <c r="W1" s="43"/>
      <c r="X1" s="43"/>
      <c r="Y1" s="43"/>
      <c r="Z1" s="43"/>
    </row>
    <row r="2" spans="1:26" ht="18" customHeight="1" thickBot="1">
      <c r="A2" s="439" t="s">
        <v>257</v>
      </c>
      <c r="B2" s="3"/>
      <c r="C2" s="4"/>
      <c r="D2" s="3"/>
      <c r="E2" s="2517" t="str">
        <f>+'TRIAL-BALANCE'!E2:L2</f>
        <v>ОУ "ПРОФЕСОР МАРИН ДРИНОВ"</v>
      </c>
      <c r="F2" s="2518"/>
      <c r="G2" s="2518"/>
      <c r="H2" s="2518"/>
      <c r="I2" s="2518"/>
      <c r="J2" s="2518"/>
      <c r="K2" s="2518"/>
      <c r="L2" s="2519"/>
      <c r="M2" s="46"/>
      <c r="N2" s="1950" t="str">
        <f>+LEFT(H12,6)</f>
        <v>31 мар</v>
      </c>
      <c r="O2" s="422" t="s">
        <v>191</v>
      </c>
      <c r="P2" s="423" t="str">
        <f>+IF(+P892=0,"O K","НЕРАВНЕНИЕ !")</f>
        <v>O K</v>
      </c>
      <c r="Q2" s="424" t="s">
        <v>188</v>
      </c>
      <c r="R2" s="425" t="str">
        <f>+IF(+R892=0,"O K","НЕРАВНЕНИЕ !")</f>
        <v>O K</v>
      </c>
      <c r="S2" s="426" t="s">
        <v>192</v>
      </c>
      <c r="T2" s="427" t="str">
        <f>+IF(+T892=0,"O K","НЕРАВНЕНИЕ !")</f>
        <v>O K</v>
      </c>
      <c r="U2" s="521"/>
      <c r="V2" s="2117"/>
      <c r="W2" s="522"/>
      <c r="X2" s="43"/>
      <c r="Y2" s="43"/>
      <c r="Z2" s="43"/>
    </row>
    <row r="3" spans="1:26" ht="3.75" customHeight="1" thickBot="1">
      <c r="A3" s="2459" t="str">
        <f>+IF('Local-&amp;-SSF'!E6&gt;0,"Код на общински разпоредител с бюджет","код от Регистъра на бюдж. организации в СЕБРА")</f>
        <v>код от Регистъра на бюдж. организации в СЕБРА</v>
      </c>
      <c r="B3" s="2459"/>
      <c r="C3" s="2459"/>
      <c r="D3" s="1918"/>
      <c r="E3" s="1918"/>
      <c r="F3" s="1918"/>
      <c r="G3" s="1918"/>
      <c r="H3" s="1918"/>
      <c r="I3" s="1918"/>
      <c r="J3" s="1918"/>
      <c r="K3" s="1918"/>
      <c r="L3" s="1918"/>
      <c r="M3" s="45"/>
      <c r="N3" s="110"/>
      <c r="O3" s="428"/>
      <c r="P3" s="428"/>
      <c r="Q3" s="428"/>
      <c r="R3" s="428"/>
      <c r="S3" s="428"/>
      <c r="T3" s="428"/>
      <c r="U3" s="523"/>
      <c r="V3" s="2117"/>
      <c r="W3" s="522"/>
      <c r="X3" s="43"/>
      <c r="Y3" s="43"/>
      <c r="Z3" s="43"/>
    </row>
    <row r="4" spans="1:26" ht="16.5" customHeight="1" thickBot="1">
      <c r="A4" s="2459"/>
      <c r="B4" s="2459"/>
      <c r="C4" s="2459"/>
      <c r="D4" s="2460">
        <f>+'TRIAL-BALANCE'!D4:E4</f>
        <v>0</v>
      </c>
      <c r="E4" s="2461"/>
      <c r="F4" s="1919" t="s">
        <v>1949</v>
      </c>
      <c r="G4" s="2462">
        <f>+'TRIAL-BALANCE'!G4:L4</f>
        <v>0</v>
      </c>
      <c r="H4" s="2463"/>
      <c r="I4" s="2463"/>
      <c r="J4" s="2463"/>
      <c r="K4" s="2463"/>
      <c r="L4" s="2464"/>
      <c r="M4" s="47"/>
      <c r="N4" s="1950" t="str">
        <f>+IF($N$2="31 дек","12",+IF($N$2="30 сеп","09",+IF($N$2="30 юни","06",+IF($N$2="31 мар","03",0))))</f>
        <v>03</v>
      </c>
      <c r="O4" s="422" t="s">
        <v>189</v>
      </c>
      <c r="P4" s="423" t="str">
        <f>+IF(+P894=0,"O K","НЕРАВНЕНИЕ !")</f>
        <v>O K</v>
      </c>
      <c r="Q4" s="424" t="s">
        <v>190</v>
      </c>
      <c r="R4" s="425" t="str">
        <f>+IF(+R894=0,"O K","НЕРАВНЕНИЕ !")</f>
        <v>O K</v>
      </c>
      <c r="S4" s="426" t="s">
        <v>193</v>
      </c>
      <c r="T4" s="429" t="str">
        <f>+IF(+T894=0,"O K","НЕРАВНЕНИЕ !")</f>
        <v>O K</v>
      </c>
      <c r="U4" s="524"/>
      <c r="V4" s="2117"/>
      <c r="W4" s="522"/>
      <c r="X4" s="43"/>
      <c r="Y4" s="43"/>
      <c r="Z4" s="43"/>
    </row>
    <row r="5" spans="1:26" ht="3.75" customHeight="1" thickBot="1">
      <c r="A5" s="2459"/>
      <c r="B5" s="2459"/>
      <c r="C5" s="2459"/>
      <c r="D5" s="1918"/>
      <c r="E5" s="1918"/>
      <c r="F5" s="1918"/>
      <c r="G5" s="1918"/>
      <c r="H5" s="1918"/>
      <c r="I5" s="1918"/>
      <c r="J5" s="1918"/>
      <c r="K5" s="1918"/>
      <c r="L5" s="1918"/>
      <c r="M5" s="45"/>
      <c r="N5" s="111"/>
      <c r="O5" s="428"/>
      <c r="P5" s="428"/>
      <c r="Q5" s="428"/>
      <c r="R5" s="428"/>
      <c r="S5" s="428"/>
      <c r="T5" s="428"/>
      <c r="U5" s="45"/>
      <c r="V5" s="2116"/>
      <c r="W5" s="43"/>
      <c r="X5" s="43"/>
      <c r="Y5" s="43"/>
      <c r="Z5" s="43"/>
    </row>
    <row r="6" spans="1:26" ht="18" customHeight="1">
      <c r="A6" s="518" t="s">
        <v>792</v>
      </c>
      <c r="B6" s="3"/>
      <c r="C6" s="2451">
        <f>+'TRIAL-BALANCE'!C6:E6</f>
        <v>341731</v>
      </c>
      <c r="D6" s="2452"/>
      <c r="E6" s="2453"/>
      <c r="F6" s="205" t="s">
        <v>534</v>
      </c>
      <c r="G6" s="2454" t="str">
        <f>+'TRIAL-BALANCE'!G6:L6</f>
        <v xml:space="preserve">                              </v>
      </c>
      <c r="H6" s="2455"/>
      <c r="I6" s="2455"/>
      <c r="J6" s="2455"/>
      <c r="K6" s="2455"/>
      <c r="L6" s="2456"/>
      <c r="M6" s="48"/>
      <c r="N6" s="111"/>
      <c r="O6" s="2426" t="s">
        <v>185</v>
      </c>
      <c r="P6" s="2427"/>
      <c r="Q6" s="2427"/>
      <c r="R6" s="2427"/>
      <c r="S6" s="2427"/>
      <c r="T6" s="2428"/>
      <c r="U6" s="48"/>
      <c r="V6" s="2116"/>
      <c r="W6" s="43"/>
      <c r="X6" s="43"/>
      <c r="Y6" s="43"/>
      <c r="Z6" s="43"/>
    </row>
    <row r="7" spans="1:26" ht="3.75" customHeight="1">
      <c r="A7" s="440"/>
      <c r="B7" s="2"/>
      <c r="C7" s="45"/>
      <c r="D7" s="45"/>
      <c r="E7" s="45"/>
      <c r="F7" s="45"/>
      <c r="G7" s="45"/>
      <c r="H7" s="45"/>
      <c r="I7" s="45"/>
      <c r="J7" s="45"/>
      <c r="K7" s="45"/>
      <c r="L7" s="45"/>
      <c r="M7" s="421"/>
      <c r="N7" s="1119"/>
      <c r="O7" s="2620"/>
      <c r="P7" s="2621"/>
      <c r="Q7" s="2621"/>
      <c r="R7" s="2621"/>
      <c r="S7" s="2621"/>
      <c r="T7" s="2622"/>
      <c r="U7" s="45"/>
      <c r="V7" s="2116"/>
      <c r="W7" s="43"/>
      <c r="X7" s="43"/>
      <c r="Y7" s="43"/>
      <c r="Z7" s="43"/>
    </row>
    <row r="8" spans="1:26" ht="18" customHeight="1">
      <c r="A8" s="441" t="s">
        <v>258</v>
      </c>
      <c r="B8" s="6"/>
      <c r="C8" s="1056">
        <f>+'TRIAL-BALANCE'!C8</f>
        <v>0</v>
      </c>
      <c r="D8" s="199" t="s">
        <v>1137</v>
      </c>
      <c r="E8" s="964">
        <f>+'TRIAL-BALANCE'!E8</f>
        <v>2020</v>
      </c>
      <c r="F8" s="443" t="s">
        <v>1204</v>
      </c>
      <c r="G8" s="2457" t="str">
        <f>+'TRIAL-BALANCE'!G8:H8</f>
        <v xml:space="preserve">;                             </v>
      </c>
      <c r="H8" s="2458"/>
      <c r="I8" s="1269" t="s">
        <v>1206</v>
      </c>
      <c r="J8" s="2454">
        <f>+'TRIAL-BALANCE'!J8:L8</f>
        <v>0</v>
      </c>
      <c r="K8" s="2455"/>
      <c r="L8" s="2456"/>
      <c r="M8" s="48"/>
      <c r="N8" s="1579" t="s">
        <v>378</v>
      </c>
      <c r="O8" s="1120" t="s">
        <v>1285</v>
      </c>
      <c r="P8" s="1121"/>
      <c r="Q8" s="1137" t="str">
        <f>+O8</f>
        <v xml:space="preserve">     "Сметки за средства от ЕС" - RA</v>
      </c>
      <c r="R8" s="1121"/>
      <c r="S8" s="1138" t="str">
        <f>+O8</f>
        <v xml:space="preserve">     "Сметки за средства от ЕС" - RA</v>
      </c>
      <c r="T8" s="1139"/>
      <c r="U8" s="48"/>
      <c r="V8" s="2116"/>
      <c r="W8" s="43"/>
      <c r="X8" s="43"/>
      <c r="Y8" s="43"/>
      <c r="Z8" s="43"/>
    </row>
    <row r="9" spans="1:26" ht="3.75" customHeight="1">
      <c r="A9" s="440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45"/>
      <c r="N9" s="1566"/>
      <c r="O9" s="22"/>
      <c r="P9" s="23"/>
      <c r="Q9" s="24"/>
      <c r="R9" s="23"/>
      <c r="S9" s="1099"/>
      <c r="T9" s="25"/>
      <c r="U9" s="45"/>
      <c r="V9" s="2116"/>
      <c r="W9" s="43"/>
      <c r="X9" s="43"/>
      <c r="Y9" s="43"/>
      <c r="Z9" s="43"/>
    </row>
    <row r="10" spans="1:26" ht="18" customHeight="1">
      <c r="A10" s="199" t="s">
        <v>259</v>
      </c>
      <c r="B10" s="5"/>
      <c r="C10" s="965" t="str">
        <f>+'TRIAL-BALANCE'!C10</f>
        <v>/с б о р е н/</v>
      </c>
      <c r="D10" s="7" t="s">
        <v>261</v>
      </c>
      <c r="E10" s="5"/>
      <c r="F10" s="966" t="s">
        <v>491</v>
      </c>
      <c r="G10" s="199" t="s">
        <v>380</v>
      </c>
      <c r="H10" s="147"/>
      <c r="I10" s="5"/>
      <c r="J10" s="5"/>
      <c r="K10" s="2446">
        <f>+'TRIAL-BALANCE'!K10:L10</f>
        <v>0</v>
      </c>
      <c r="L10" s="2447"/>
      <c r="M10" s="49"/>
      <c r="N10" s="1577">
        <f>+C8</f>
        <v>0</v>
      </c>
      <c r="O10" s="142" t="s">
        <v>379</v>
      </c>
      <c r="P10" s="143"/>
      <c r="Q10" s="26" t="s">
        <v>262</v>
      </c>
      <c r="R10" s="144"/>
      <c r="S10" s="145" t="s">
        <v>263</v>
      </c>
      <c r="T10" s="146"/>
      <c r="U10" s="49"/>
      <c r="V10" s="2122">
        <f>+IF(V13&gt;0,"СЕС - RA",0)</f>
        <v>0</v>
      </c>
      <c r="W10" s="43"/>
      <c r="X10" s="43"/>
      <c r="Y10" s="43"/>
      <c r="Z10" s="43"/>
    </row>
    <row r="11" spans="1:26" ht="3.75" customHeight="1">
      <c r="A11" s="53"/>
      <c r="B11" s="45"/>
      <c r="C11" s="45"/>
      <c r="D11" s="45"/>
      <c r="E11" s="45"/>
      <c r="F11" s="45"/>
      <c r="G11" s="45"/>
      <c r="H11" s="45"/>
      <c r="I11" s="45"/>
      <c r="J11" s="45"/>
      <c r="K11" s="45"/>
      <c r="L11" s="45"/>
      <c r="M11" s="45"/>
      <c r="N11" s="1401"/>
      <c r="O11" s="132"/>
      <c r="P11" s="133"/>
      <c r="Q11" s="134"/>
      <c r="R11" s="135"/>
      <c r="S11" s="134"/>
      <c r="T11" s="136"/>
      <c r="U11" s="45"/>
      <c r="V11" s="2116"/>
      <c r="W11" s="43"/>
      <c r="X11" s="43"/>
      <c r="Y11" s="43"/>
      <c r="Z11" s="43"/>
    </row>
    <row r="12" spans="1:26" ht="19.5" customHeight="1">
      <c r="A12" s="1126" t="s">
        <v>1002</v>
      </c>
      <c r="B12" s="1127"/>
      <c r="C12" s="1128"/>
      <c r="D12" s="1129"/>
      <c r="E12" s="2629" t="str">
        <f>+F10</f>
        <v>R A</v>
      </c>
      <c r="F12" s="2629"/>
      <c r="G12" s="1130" t="s">
        <v>1003</v>
      </c>
      <c r="H12" s="2625" t="str">
        <f>+'TRIAL-BALANCE'!H12:K12</f>
        <v>31 март 2020 г.</v>
      </c>
      <c r="I12" s="2625"/>
      <c r="J12" s="2625"/>
      <c r="K12" s="2625"/>
      <c r="L12" s="1131" t="str">
        <f>+'TRIAL-BALANCE'!L12</f>
        <v xml:space="preserve"> (в левове)</v>
      </c>
      <c r="M12" s="50"/>
      <c r="N12" s="1402" t="s">
        <v>162</v>
      </c>
      <c r="O12" s="1140" t="s">
        <v>370</v>
      </c>
      <c r="P12" s="1141" t="s">
        <v>371</v>
      </c>
      <c r="Q12" s="1142" t="s">
        <v>46</v>
      </c>
      <c r="R12" s="1143" t="s">
        <v>386</v>
      </c>
      <c r="S12" s="1144" t="s">
        <v>370</v>
      </c>
      <c r="T12" s="1145" t="s">
        <v>371</v>
      </c>
      <c r="U12" s="50"/>
      <c r="V12" s="2121">
        <f>+IF(V13&gt;0,"брой грешни крайни с/да",0)</f>
        <v>0</v>
      </c>
      <c r="W12" s="43"/>
      <c r="X12" s="43"/>
      <c r="Y12" s="43"/>
      <c r="Z12" s="43"/>
    </row>
    <row r="13" spans="1:26">
      <c r="A13" s="515" t="s">
        <v>202</v>
      </c>
      <c r="B13" s="516" t="s">
        <v>372</v>
      </c>
      <c r="C13" s="517"/>
      <c r="D13" s="517"/>
      <c r="E13" s="517"/>
      <c r="F13" s="517"/>
      <c r="G13" s="517"/>
      <c r="H13" s="2617">
        <f>+IF(V13=0,0,"ИМА грешни КРАЙНИ салда - виж колона V")</f>
        <v>0</v>
      </c>
      <c r="I13" s="2617"/>
      <c r="J13" s="2617"/>
      <c r="K13" s="2617"/>
      <c r="L13" s="2618"/>
      <c r="M13" s="344"/>
      <c r="N13" s="1146" t="s">
        <v>202</v>
      </c>
      <c r="O13" s="1147">
        <f t="shared" ref="O13:T13" si="0">+O890</f>
        <v>0</v>
      </c>
      <c r="P13" s="1148">
        <f t="shared" si="0"/>
        <v>0</v>
      </c>
      <c r="Q13" s="1149">
        <f t="shared" si="0"/>
        <v>0</v>
      </c>
      <c r="R13" s="1148">
        <f t="shared" si="0"/>
        <v>0</v>
      </c>
      <c r="S13" s="1149">
        <f t="shared" si="0"/>
        <v>0</v>
      </c>
      <c r="T13" s="1150">
        <f t="shared" si="0"/>
        <v>0</v>
      </c>
      <c r="U13" s="344"/>
      <c r="V13" s="2122">
        <f>COUNTIF(V14:V887,"&gt;0")+COUNTIF(V14:V887,"&lt;0")</f>
        <v>0</v>
      </c>
      <c r="W13" s="43"/>
      <c r="X13" s="43"/>
      <c r="Y13" s="43"/>
      <c r="Z13" s="43"/>
    </row>
    <row r="14" spans="1:26">
      <c r="A14" s="85">
        <v>1001</v>
      </c>
      <c r="B14" s="377" t="s">
        <v>953</v>
      </c>
      <c r="C14" s="86"/>
      <c r="D14" s="86"/>
      <c r="E14" s="86"/>
      <c r="F14" s="86"/>
      <c r="G14" s="86"/>
      <c r="H14" s="86"/>
      <c r="I14" s="86"/>
      <c r="J14" s="86"/>
      <c r="K14" s="86"/>
      <c r="L14" s="87"/>
      <c r="M14" s="51"/>
      <c r="N14" s="112">
        <f t="shared" ref="N14:N26" si="1">+A14</f>
        <v>1001</v>
      </c>
      <c r="O14" s="323">
        <v>0</v>
      </c>
      <c r="P14" s="324">
        <v>0</v>
      </c>
      <c r="Q14" s="325">
        <v>0</v>
      </c>
      <c r="R14" s="324">
        <v>0</v>
      </c>
      <c r="S14" s="326">
        <f>+IF(ABS(+O14+Q14)&gt;=ABS(P14+R14),+O14-P14+Q14-R14,0)</f>
        <v>0</v>
      </c>
      <c r="T14" s="327">
        <f>+IF(ABS(+O14+Q14)&lt;=ABS(P14+R14),-O14+P14-Q14+R14,0)</f>
        <v>0</v>
      </c>
      <c r="U14" s="51"/>
      <c r="V14" s="2119"/>
      <c r="W14" s="43"/>
      <c r="X14" s="376"/>
      <c r="Y14" s="43"/>
      <c r="Z14" s="43"/>
    </row>
    <row r="15" spans="1:26">
      <c r="A15" s="88">
        <v>1101</v>
      </c>
      <c r="B15" s="378" t="s">
        <v>954</v>
      </c>
      <c r="C15" s="1033"/>
      <c r="D15" s="1033"/>
      <c r="E15" s="1033"/>
      <c r="F15" s="1033"/>
      <c r="G15" s="1033"/>
      <c r="H15" s="1033"/>
      <c r="I15" s="1033"/>
      <c r="J15" s="1033"/>
      <c r="K15" s="1033"/>
      <c r="L15" s="90"/>
      <c r="M15" s="51"/>
      <c r="N15" s="113">
        <f t="shared" si="1"/>
        <v>1101</v>
      </c>
      <c r="O15" s="323">
        <v>0</v>
      </c>
      <c r="P15" s="324">
        <v>0</v>
      </c>
      <c r="Q15" s="325">
        <v>0</v>
      </c>
      <c r="R15" s="324">
        <v>0</v>
      </c>
      <c r="S15" s="326">
        <f>+IF(ABS(+O15+Q15)&gt;=ABS(P15+R15),+O15-P15+Q15-R15,0)</f>
        <v>0</v>
      </c>
      <c r="T15" s="327">
        <f>+IF(ABS(+O15+Q15)&lt;=ABS(P15+R15),-O15+P15-Q15+R15,0)</f>
        <v>0</v>
      </c>
      <c r="U15" s="51"/>
      <c r="V15" s="2119"/>
      <c r="W15" s="43"/>
      <c r="X15" s="376"/>
      <c r="Y15" s="43"/>
      <c r="Z15" s="43"/>
    </row>
    <row r="16" spans="1:26">
      <c r="A16" s="88">
        <v>1201</v>
      </c>
      <c r="B16" s="378" t="s">
        <v>955</v>
      </c>
      <c r="C16" s="1033"/>
      <c r="D16" s="1033"/>
      <c r="E16" s="1033"/>
      <c r="F16" s="1033"/>
      <c r="G16" s="1033"/>
      <c r="H16" s="1033"/>
      <c r="I16" s="1033"/>
      <c r="J16" s="1033"/>
      <c r="K16" s="1033"/>
      <c r="L16" s="90"/>
      <c r="M16" s="51"/>
      <c r="N16" s="113">
        <f t="shared" si="1"/>
        <v>1201</v>
      </c>
      <c r="O16" s="575">
        <v>0</v>
      </c>
      <c r="P16" s="582">
        <v>0</v>
      </c>
      <c r="Q16" s="29">
        <v>0</v>
      </c>
      <c r="R16" s="9">
        <v>0</v>
      </c>
      <c r="S16" s="579">
        <v>0</v>
      </c>
      <c r="T16" s="584">
        <v>0</v>
      </c>
      <c r="U16" s="51"/>
      <c r="V16" s="2125">
        <f t="shared" ref="V16:V25" si="2">+IF(OR(O16&lt;&gt;0,P16&lt;&gt;0,Q16&lt;&gt;0,R16&lt;&gt;0,S16&lt;&gt;0,T16&lt;&gt;0),+IF(ABS(O16+Q16)-ABS(P16+R16)&lt;&gt;0,ABS(O16+Q16)-ABS(P16+R16),1),0)</f>
        <v>0</v>
      </c>
      <c r="W16" s="43"/>
      <c r="X16" s="43"/>
      <c r="Y16" s="43"/>
      <c r="Z16" s="43"/>
    </row>
    <row r="17" spans="1:26">
      <c r="A17" s="88">
        <v>1511</v>
      </c>
      <c r="B17" s="378" t="s">
        <v>956</v>
      </c>
      <c r="C17" s="1033"/>
      <c r="D17" s="1033"/>
      <c r="E17" s="1033"/>
      <c r="F17" s="1033"/>
      <c r="G17" s="1033"/>
      <c r="H17" s="1033"/>
      <c r="I17" s="1033"/>
      <c r="J17" s="1033"/>
      <c r="K17" s="1033"/>
      <c r="L17" s="90"/>
      <c r="M17" s="51"/>
      <c r="N17" s="113">
        <f t="shared" si="1"/>
        <v>1511</v>
      </c>
      <c r="O17" s="575">
        <v>0</v>
      </c>
      <c r="P17" s="582">
        <v>0</v>
      </c>
      <c r="Q17" s="29">
        <v>0</v>
      </c>
      <c r="R17" s="9">
        <v>0</v>
      </c>
      <c r="S17" s="579">
        <v>0</v>
      </c>
      <c r="T17" s="584">
        <v>0</v>
      </c>
      <c r="U17" s="51"/>
      <c r="V17" s="2125">
        <f t="shared" si="2"/>
        <v>0</v>
      </c>
      <c r="W17" s="43"/>
      <c r="X17" s="43"/>
      <c r="Y17" s="43"/>
      <c r="Z17" s="43"/>
    </row>
    <row r="18" spans="1:26">
      <c r="A18" s="88">
        <v>1517</v>
      </c>
      <c r="B18" s="378" t="s">
        <v>957</v>
      </c>
      <c r="C18" s="1033"/>
      <c r="D18" s="1033"/>
      <c r="E18" s="1033"/>
      <c r="F18" s="1033"/>
      <c r="G18" s="1033"/>
      <c r="H18" s="1033"/>
      <c r="I18" s="1033"/>
      <c r="J18" s="1033"/>
      <c r="K18" s="1033"/>
      <c r="L18" s="90"/>
      <c r="M18" s="51"/>
      <c r="N18" s="113">
        <f t="shared" si="1"/>
        <v>1517</v>
      </c>
      <c r="O18" s="575">
        <v>0</v>
      </c>
      <c r="P18" s="582">
        <v>0</v>
      </c>
      <c r="Q18" s="29">
        <v>0</v>
      </c>
      <c r="R18" s="9">
        <v>0</v>
      </c>
      <c r="S18" s="579">
        <v>0</v>
      </c>
      <c r="T18" s="584">
        <v>0</v>
      </c>
      <c r="U18" s="51"/>
      <c r="V18" s="2125">
        <f t="shared" si="2"/>
        <v>0</v>
      </c>
      <c r="W18" s="43"/>
      <c r="X18" s="43"/>
      <c r="Y18" s="43"/>
      <c r="Z18" s="43"/>
    </row>
    <row r="19" spans="1:26">
      <c r="A19" s="88">
        <v>1521</v>
      </c>
      <c r="B19" s="378" t="s">
        <v>958</v>
      </c>
      <c r="C19" s="1033"/>
      <c r="D19" s="1033"/>
      <c r="E19" s="1033"/>
      <c r="F19" s="1033"/>
      <c r="G19" s="1033"/>
      <c r="H19" s="1033"/>
      <c r="I19" s="1033"/>
      <c r="J19" s="1033"/>
      <c r="K19" s="1033"/>
      <c r="L19" s="90"/>
      <c r="M19" s="51"/>
      <c r="N19" s="113">
        <f t="shared" si="1"/>
        <v>1521</v>
      </c>
      <c r="O19" s="575">
        <v>0</v>
      </c>
      <c r="P19" s="582">
        <v>0</v>
      </c>
      <c r="Q19" s="29">
        <v>0</v>
      </c>
      <c r="R19" s="9">
        <v>0</v>
      </c>
      <c r="S19" s="579">
        <v>0</v>
      </c>
      <c r="T19" s="584">
        <v>0</v>
      </c>
      <c r="U19" s="51"/>
      <c r="V19" s="2125">
        <f t="shared" si="2"/>
        <v>0</v>
      </c>
      <c r="W19" s="43"/>
      <c r="X19" s="43"/>
      <c r="Y19" s="43"/>
      <c r="Z19" s="43"/>
    </row>
    <row r="20" spans="1:26">
      <c r="A20" s="88">
        <v>1523</v>
      </c>
      <c r="B20" s="378" t="s">
        <v>959</v>
      </c>
      <c r="C20" s="1033"/>
      <c r="D20" s="1033"/>
      <c r="E20" s="1033"/>
      <c r="F20" s="1033"/>
      <c r="G20" s="1033"/>
      <c r="H20" s="1033"/>
      <c r="I20" s="1033"/>
      <c r="J20" s="1033"/>
      <c r="K20" s="1033"/>
      <c r="L20" s="90"/>
      <c r="M20" s="51"/>
      <c r="N20" s="113">
        <f t="shared" si="1"/>
        <v>1523</v>
      </c>
      <c r="O20" s="575">
        <v>0</v>
      </c>
      <c r="P20" s="582">
        <v>0</v>
      </c>
      <c r="Q20" s="29">
        <v>0</v>
      </c>
      <c r="R20" s="9">
        <v>0</v>
      </c>
      <c r="S20" s="579">
        <v>0</v>
      </c>
      <c r="T20" s="584">
        <v>0</v>
      </c>
      <c r="U20" s="51"/>
      <c r="V20" s="2125">
        <f t="shared" si="2"/>
        <v>0</v>
      </c>
      <c r="W20" s="43"/>
      <c r="X20" s="43"/>
      <c r="Y20" s="43"/>
      <c r="Z20" s="43"/>
    </row>
    <row r="21" spans="1:26">
      <c r="A21" s="88">
        <v>1527</v>
      </c>
      <c r="B21" s="378" t="s">
        <v>960</v>
      </c>
      <c r="C21" s="1033"/>
      <c r="D21" s="1033"/>
      <c r="E21" s="1033"/>
      <c r="F21" s="1033"/>
      <c r="G21" s="1033"/>
      <c r="H21" s="1033"/>
      <c r="I21" s="1033"/>
      <c r="J21" s="1033"/>
      <c r="K21" s="1033"/>
      <c r="L21" s="90"/>
      <c r="M21" s="51"/>
      <c r="N21" s="113">
        <f t="shared" si="1"/>
        <v>1527</v>
      </c>
      <c r="O21" s="575">
        <v>0</v>
      </c>
      <c r="P21" s="582">
        <v>0</v>
      </c>
      <c r="Q21" s="579">
        <v>0</v>
      </c>
      <c r="R21" s="582">
        <v>0</v>
      </c>
      <c r="S21" s="579">
        <v>0</v>
      </c>
      <c r="T21" s="584">
        <v>0</v>
      </c>
      <c r="U21" s="51"/>
      <c r="V21" s="2125">
        <f t="shared" si="2"/>
        <v>0</v>
      </c>
      <c r="W21" s="43"/>
      <c r="X21" s="43"/>
      <c r="Y21" s="43"/>
      <c r="Z21" s="43"/>
    </row>
    <row r="22" spans="1:26">
      <c r="A22" s="88">
        <v>1581</v>
      </c>
      <c r="B22" s="378" t="s">
        <v>961</v>
      </c>
      <c r="C22" s="1033"/>
      <c r="D22" s="1033"/>
      <c r="E22" s="1033"/>
      <c r="F22" s="1033"/>
      <c r="G22" s="1033"/>
      <c r="H22" s="1033"/>
      <c r="I22" s="1033"/>
      <c r="J22" s="1033"/>
      <c r="K22" s="1033"/>
      <c r="L22" s="90"/>
      <c r="M22" s="51"/>
      <c r="N22" s="113">
        <f t="shared" si="1"/>
        <v>1581</v>
      </c>
      <c r="O22" s="575">
        <v>0</v>
      </c>
      <c r="P22" s="582">
        <v>0</v>
      </c>
      <c r="Q22" s="579">
        <v>0</v>
      </c>
      <c r="R22" s="582">
        <v>0</v>
      </c>
      <c r="S22" s="579">
        <v>0</v>
      </c>
      <c r="T22" s="584">
        <v>0</v>
      </c>
      <c r="U22" s="51"/>
      <c r="V22" s="2125">
        <f t="shared" si="2"/>
        <v>0</v>
      </c>
      <c r="W22" s="43"/>
      <c r="X22" s="43"/>
      <c r="Y22" s="43"/>
      <c r="Z22" s="43"/>
    </row>
    <row r="23" spans="1:26">
      <c r="A23" s="88">
        <v>1587</v>
      </c>
      <c r="B23" s="378" t="s">
        <v>962</v>
      </c>
      <c r="C23" s="1033"/>
      <c r="D23" s="1033"/>
      <c r="E23" s="1033"/>
      <c r="F23" s="1033"/>
      <c r="G23" s="1033"/>
      <c r="H23" s="1033"/>
      <c r="I23" s="1033"/>
      <c r="J23" s="1033"/>
      <c r="K23" s="1033"/>
      <c r="L23" s="90"/>
      <c r="M23" s="51"/>
      <c r="N23" s="113">
        <f t="shared" si="1"/>
        <v>1587</v>
      </c>
      <c r="O23" s="575">
        <v>0</v>
      </c>
      <c r="P23" s="582">
        <v>0</v>
      </c>
      <c r="Q23" s="579">
        <v>0</v>
      </c>
      <c r="R23" s="582">
        <v>0</v>
      </c>
      <c r="S23" s="579">
        <v>0</v>
      </c>
      <c r="T23" s="584">
        <v>0</v>
      </c>
      <c r="U23" s="51"/>
      <c r="V23" s="2125">
        <f t="shared" si="2"/>
        <v>0</v>
      </c>
      <c r="W23" s="43"/>
      <c r="X23" s="43"/>
      <c r="Y23" s="43"/>
      <c r="Z23" s="43"/>
    </row>
    <row r="24" spans="1:26">
      <c r="A24" s="88">
        <v>1591</v>
      </c>
      <c r="B24" s="378" t="s">
        <v>963</v>
      </c>
      <c r="C24" s="1033"/>
      <c r="D24" s="1033"/>
      <c r="E24" s="1033"/>
      <c r="F24" s="1033"/>
      <c r="G24" s="1033"/>
      <c r="H24" s="1033"/>
      <c r="I24" s="1033"/>
      <c r="J24" s="1033"/>
      <c r="K24" s="1033"/>
      <c r="L24" s="90"/>
      <c r="M24" s="51"/>
      <c r="N24" s="113">
        <f t="shared" si="1"/>
        <v>1591</v>
      </c>
      <c r="O24" s="575">
        <v>0</v>
      </c>
      <c r="P24" s="582">
        <v>0</v>
      </c>
      <c r="Q24" s="29">
        <v>0</v>
      </c>
      <c r="R24" s="9">
        <v>0</v>
      </c>
      <c r="S24" s="579">
        <v>0</v>
      </c>
      <c r="T24" s="584">
        <v>0</v>
      </c>
      <c r="U24" s="51"/>
      <c r="V24" s="2125">
        <f t="shared" si="2"/>
        <v>0</v>
      </c>
      <c r="W24" s="43"/>
      <c r="X24" s="43"/>
      <c r="Y24" s="43"/>
      <c r="Z24" s="43"/>
    </row>
    <row r="25" spans="1:26">
      <c r="A25" s="88">
        <v>1593</v>
      </c>
      <c r="B25" s="378" t="s">
        <v>964</v>
      </c>
      <c r="C25" s="1033"/>
      <c r="D25" s="1033"/>
      <c r="E25" s="1033"/>
      <c r="F25" s="1033"/>
      <c r="G25" s="1033"/>
      <c r="H25" s="1033"/>
      <c r="I25" s="1033"/>
      <c r="J25" s="1033"/>
      <c r="K25" s="1033"/>
      <c r="L25" s="90"/>
      <c r="M25" s="51"/>
      <c r="N25" s="113">
        <f t="shared" si="1"/>
        <v>1593</v>
      </c>
      <c r="O25" s="575">
        <v>0</v>
      </c>
      <c r="P25" s="582">
        <v>0</v>
      </c>
      <c r="Q25" s="29">
        <v>0</v>
      </c>
      <c r="R25" s="9">
        <v>0</v>
      </c>
      <c r="S25" s="579">
        <v>0</v>
      </c>
      <c r="T25" s="584">
        <v>0</v>
      </c>
      <c r="U25" s="51"/>
      <c r="V25" s="2125">
        <f t="shared" si="2"/>
        <v>0</v>
      </c>
      <c r="W25" s="43"/>
      <c r="X25" s="43"/>
      <c r="Y25" s="43"/>
      <c r="Z25" s="43"/>
    </row>
    <row r="26" spans="1:26">
      <c r="A26" s="88">
        <v>1621</v>
      </c>
      <c r="B26" s="378" t="s">
        <v>938</v>
      </c>
      <c r="C26" s="1033"/>
      <c r="D26" s="1033"/>
      <c r="E26" s="1033"/>
      <c r="F26" s="1033"/>
      <c r="G26" s="1033"/>
      <c r="H26" s="1033"/>
      <c r="I26" s="1033"/>
      <c r="J26" s="1033"/>
      <c r="K26" s="1033"/>
      <c r="L26" s="90"/>
      <c r="M26" s="51"/>
      <c r="N26" s="113">
        <f t="shared" si="1"/>
        <v>1621</v>
      </c>
      <c r="O26" s="575">
        <v>0</v>
      </c>
      <c r="P26" s="576"/>
      <c r="Q26" s="122"/>
      <c r="R26" s="121"/>
      <c r="S26" s="579">
        <v>0</v>
      </c>
      <c r="T26" s="580">
        <f t="shared" ref="T26:T53" si="3">+IF(ABS(+O26+Q26)&lt;=ABS(P26+R26),-O26+P26-Q26+R26,0)</f>
        <v>0</v>
      </c>
      <c r="U26" s="51"/>
      <c r="V26" s="2119">
        <f>+IF(OR(+ROUND(O26,2)+ROUND(Q26,2)&gt;ROUND(P26,2)+ROUND(R26,2),+ABS(ROUND(O26,2)+ROUND(Q26,2))&gt;+ABS(ROUND(P26,2)+ROUND(R26,2))),+(ROUND(O26,2)+ROUND(Q26,2))-(ROUND(P26,2)+ROUND(R26,2)),0)</f>
        <v>0</v>
      </c>
      <c r="W26" s="43"/>
      <c r="X26" s="43"/>
      <c r="Y26" s="43"/>
      <c r="Z26" s="43"/>
    </row>
    <row r="27" spans="1:26">
      <c r="A27" s="88">
        <v>1623</v>
      </c>
      <c r="B27" s="378" t="s">
        <v>939</v>
      </c>
      <c r="C27" s="1033"/>
      <c r="D27" s="1033"/>
      <c r="E27" s="1033"/>
      <c r="F27" s="1033"/>
      <c r="G27" s="1033"/>
      <c r="H27" s="1033"/>
      <c r="I27" s="1033"/>
      <c r="J27" s="1033"/>
      <c r="K27" s="1033"/>
      <c r="L27" s="90"/>
      <c r="M27" s="51"/>
      <c r="N27" s="113">
        <f t="shared" ref="N27:N57" si="4">+A27</f>
        <v>1623</v>
      </c>
      <c r="O27" s="575">
        <v>0</v>
      </c>
      <c r="P27" s="576"/>
      <c r="Q27" s="122"/>
      <c r="R27" s="121"/>
      <c r="S27" s="579">
        <v>0</v>
      </c>
      <c r="T27" s="580">
        <f t="shared" si="3"/>
        <v>0</v>
      </c>
      <c r="U27" s="51"/>
      <c r="V27" s="2119">
        <f t="shared" ref="V27:V52" si="5">+IF(OR(+ROUND(O27,2)+ROUND(Q27,2)&gt;ROUND(P27,2)+ROUND(R27,2),+ABS(ROUND(O27,2)+ROUND(Q27,2))&gt;+ABS(ROUND(P27,2)+ROUND(R27,2))),+(ROUND(O27,2)+ROUND(Q27,2))-(ROUND(P27,2)+ROUND(R27,2)),0)</f>
        <v>0</v>
      </c>
      <c r="W27" s="43"/>
      <c r="X27" s="43"/>
      <c r="Y27" s="43"/>
      <c r="Z27" s="43"/>
    </row>
    <row r="28" spans="1:26">
      <c r="A28" s="88">
        <v>1625</v>
      </c>
      <c r="B28" s="378" t="s">
        <v>940</v>
      </c>
      <c r="C28" s="1033"/>
      <c r="D28" s="1033"/>
      <c r="E28" s="1033"/>
      <c r="F28" s="1033"/>
      <c r="G28" s="1033"/>
      <c r="H28" s="1033"/>
      <c r="I28" s="1033"/>
      <c r="J28" s="1033"/>
      <c r="K28" s="1033"/>
      <c r="L28" s="90"/>
      <c r="M28" s="51"/>
      <c r="N28" s="113">
        <f t="shared" si="4"/>
        <v>1625</v>
      </c>
      <c r="O28" s="575">
        <v>0</v>
      </c>
      <c r="P28" s="576"/>
      <c r="Q28" s="122"/>
      <c r="R28" s="121"/>
      <c r="S28" s="579">
        <v>0</v>
      </c>
      <c r="T28" s="580">
        <f t="shared" si="3"/>
        <v>0</v>
      </c>
      <c r="U28" s="51"/>
      <c r="V28" s="2119">
        <f t="shared" si="5"/>
        <v>0</v>
      </c>
      <c r="W28" s="43"/>
      <c r="X28" s="43"/>
      <c r="Y28" s="43"/>
      <c r="Z28" s="43"/>
    </row>
    <row r="29" spans="1:26">
      <c r="A29" s="88">
        <v>1651</v>
      </c>
      <c r="B29" s="378" t="s">
        <v>941</v>
      </c>
      <c r="C29" s="1033"/>
      <c r="D29" s="1033"/>
      <c r="E29" s="1033"/>
      <c r="F29" s="1033"/>
      <c r="G29" s="1033"/>
      <c r="H29" s="1033"/>
      <c r="I29" s="1033"/>
      <c r="J29" s="1033"/>
      <c r="K29" s="1033"/>
      <c r="L29" s="90"/>
      <c r="M29" s="51"/>
      <c r="N29" s="113">
        <f t="shared" si="4"/>
        <v>1651</v>
      </c>
      <c r="O29" s="575">
        <v>0</v>
      </c>
      <c r="P29" s="576"/>
      <c r="Q29" s="122"/>
      <c r="R29" s="121"/>
      <c r="S29" s="579">
        <v>0</v>
      </c>
      <c r="T29" s="580">
        <f t="shared" si="3"/>
        <v>0</v>
      </c>
      <c r="U29" s="51"/>
      <c r="V29" s="2119">
        <f t="shared" si="5"/>
        <v>0</v>
      </c>
      <c r="W29" s="43"/>
      <c r="X29" s="43"/>
      <c r="Y29" s="43"/>
      <c r="Z29" s="43"/>
    </row>
    <row r="30" spans="1:26">
      <c r="A30" s="88">
        <v>1652</v>
      </c>
      <c r="B30" s="378" t="s">
        <v>942</v>
      </c>
      <c r="C30" s="1033"/>
      <c r="D30" s="1033"/>
      <c r="E30" s="1033"/>
      <c r="F30" s="1033"/>
      <c r="G30" s="1033"/>
      <c r="H30" s="1033"/>
      <c r="I30" s="1033"/>
      <c r="J30" s="1033"/>
      <c r="K30" s="1033"/>
      <c r="L30" s="90"/>
      <c r="M30" s="51"/>
      <c r="N30" s="113">
        <f t="shared" si="4"/>
        <v>1652</v>
      </c>
      <c r="O30" s="575">
        <v>0</v>
      </c>
      <c r="P30" s="576"/>
      <c r="Q30" s="122"/>
      <c r="R30" s="121"/>
      <c r="S30" s="579">
        <v>0</v>
      </c>
      <c r="T30" s="580">
        <f t="shared" si="3"/>
        <v>0</v>
      </c>
      <c r="U30" s="51"/>
      <c r="V30" s="2119">
        <f t="shared" si="5"/>
        <v>0</v>
      </c>
      <c r="W30" s="43"/>
      <c r="X30" s="43"/>
      <c r="Y30" s="43"/>
      <c r="Z30" s="43"/>
    </row>
    <row r="31" spans="1:26">
      <c r="A31" s="88">
        <v>1654</v>
      </c>
      <c r="B31" s="378" t="s">
        <v>943</v>
      </c>
      <c r="C31" s="1033"/>
      <c r="D31" s="1033"/>
      <c r="E31" s="1033"/>
      <c r="F31" s="1033"/>
      <c r="G31" s="1033"/>
      <c r="H31" s="1033"/>
      <c r="I31" s="1033"/>
      <c r="J31" s="1033"/>
      <c r="K31" s="1033"/>
      <c r="L31" s="90"/>
      <c r="M31" s="51"/>
      <c r="N31" s="113">
        <f t="shared" si="4"/>
        <v>1654</v>
      </c>
      <c r="O31" s="575">
        <v>0</v>
      </c>
      <c r="P31" s="576"/>
      <c r="Q31" s="122"/>
      <c r="R31" s="121"/>
      <c r="S31" s="579">
        <v>0</v>
      </c>
      <c r="T31" s="580">
        <f t="shared" si="3"/>
        <v>0</v>
      </c>
      <c r="U31" s="51"/>
      <c r="V31" s="2119">
        <f t="shared" si="5"/>
        <v>0</v>
      </c>
      <c r="W31" s="43"/>
      <c r="X31" s="43"/>
      <c r="Y31" s="43"/>
      <c r="Z31" s="43"/>
    </row>
    <row r="32" spans="1:26">
      <c r="A32" s="88">
        <v>1655</v>
      </c>
      <c r="B32" s="378" t="s">
        <v>944</v>
      </c>
      <c r="C32" s="1033"/>
      <c r="D32" s="1033"/>
      <c r="E32" s="1033"/>
      <c r="F32" s="1033"/>
      <c r="G32" s="1033"/>
      <c r="H32" s="1033"/>
      <c r="I32" s="1033"/>
      <c r="J32" s="1033"/>
      <c r="K32" s="1033"/>
      <c r="L32" s="90"/>
      <c r="M32" s="51"/>
      <c r="N32" s="113">
        <f t="shared" si="4"/>
        <v>1655</v>
      </c>
      <c r="O32" s="575">
        <v>0</v>
      </c>
      <c r="P32" s="576"/>
      <c r="Q32" s="122"/>
      <c r="R32" s="121"/>
      <c r="S32" s="579">
        <v>0</v>
      </c>
      <c r="T32" s="580">
        <f t="shared" si="3"/>
        <v>0</v>
      </c>
      <c r="U32" s="51"/>
      <c r="V32" s="2119">
        <f t="shared" si="5"/>
        <v>0</v>
      </c>
      <c r="W32" s="43"/>
      <c r="X32" s="43"/>
      <c r="Y32" s="43"/>
      <c r="Z32" s="43"/>
    </row>
    <row r="33" spans="1:26">
      <c r="A33" s="88">
        <v>1657</v>
      </c>
      <c r="B33" s="378" t="s">
        <v>945</v>
      </c>
      <c r="C33" s="1033"/>
      <c r="D33" s="1033"/>
      <c r="E33" s="1033"/>
      <c r="F33" s="1033"/>
      <c r="G33" s="1033"/>
      <c r="H33" s="1033"/>
      <c r="I33" s="1033"/>
      <c r="J33" s="1033"/>
      <c r="K33" s="1033"/>
      <c r="L33" s="90"/>
      <c r="M33" s="51"/>
      <c r="N33" s="113">
        <f t="shared" si="4"/>
        <v>1657</v>
      </c>
      <c r="O33" s="575">
        <v>0</v>
      </c>
      <c r="P33" s="576"/>
      <c r="Q33" s="122"/>
      <c r="R33" s="121"/>
      <c r="S33" s="579">
        <v>0</v>
      </c>
      <c r="T33" s="580">
        <f t="shared" si="3"/>
        <v>0</v>
      </c>
      <c r="U33" s="51"/>
      <c r="V33" s="2119">
        <f t="shared" si="5"/>
        <v>0</v>
      </c>
      <c r="W33" s="43"/>
      <c r="X33" s="43"/>
      <c r="Y33" s="43"/>
      <c r="Z33" s="43"/>
    </row>
    <row r="34" spans="1:26">
      <c r="A34" s="88">
        <v>1658</v>
      </c>
      <c r="B34" s="378" t="s">
        <v>946</v>
      </c>
      <c r="C34" s="1033"/>
      <c r="D34" s="1033"/>
      <c r="E34" s="1033"/>
      <c r="F34" s="1033"/>
      <c r="G34" s="1033"/>
      <c r="H34" s="1033"/>
      <c r="I34" s="1033"/>
      <c r="J34" s="1033"/>
      <c r="K34" s="1033"/>
      <c r="L34" s="90"/>
      <c r="M34" s="51"/>
      <c r="N34" s="113">
        <f t="shared" si="4"/>
        <v>1658</v>
      </c>
      <c r="O34" s="575">
        <v>0</v>
      </c>
      <c r="P34" s="576"/>
      <c r="Q34" s="122"/>
      <c r="R34" s="121"/>
      <c r="S34" s="579">
        <v>0</v>
      </c>
      <c r="T34" s="580">
        <f t="shared" si="3"/>
        <v>0</v>
      </c>
      <c r="U34" s="51"/>
      <c r="V34" s="2119">
        <f t="shared" si="5"/>
        <v>0</v>
      </c>
      <c r="W34" s="43"/>
      <c r="X34" s="43"/>
      <c r="Y34" s="43"/>
      <c r="Z34" s="43"/>
    </row>
    <row r="35" spans="1:26">
      <c r="A35" s="88">
        <v>1661</v>
      </c>
      <c r="B35" s="378" t="s">
        <v>947</v>
      </c>
      <c r="C35" s="1033"/>
      <c r="D35" s="1033"/>
      <c r="E35" s="1033"/>
      <c r="F35" s="1033"/>
      <c r="G35" s="1033"/>
      <c r="H35" s="1033"/>
      <c r="I35" s="1033"/>
      <c r="J35" s="1033"/>
      <c r="K35" s="1033"/>
      <c r="L35" s="90"/>
      <c r="M35" s="51"/>
      <c r="N35" s="113">
        <f t="shared" si="4"/>
        <v>1661</v>
      </c>
      <c r="O35" s="575">
        <v>0</v>
      </c>
      <c r="P35" s="576"/>
      <c r="Q35" s="122"/>
      <c r="R35" s="121"/>
      <c r="S35" s="579">
        <v>0</v>
      </c>
      <c r="T35" s="580">
        <f t="shared" si="3"/>
        <v>0</v>
      </c>
      <c r="U35" s="51"/>
      <c r="V35" s="2119">
        <f t="shared" si="5"/>
        <v>0</v>
      </c>
      <c r="W35" s="43"/>
      <c r="X35" s="43"/>
      <c r="Y35" s="43"/>
      <c r="Z35" s="43"/>
    </row>
    <row r="36" spans="1:26">
      <c r="A36" s="88">
        <v>1663</v>
      </c>
      <c r="B36" s="378" t="s">
        <v>948</v>
      </c>
      <c r="C36" s="1033"/>
      <c r="D36" s="1033"/>
      <c r="E36" s="1033"/>
      <c r="F36" s="1033"/>
      <c r="G36" s="1033"/>
      <c r="H36" s="1033"/>
      <c r="I36" s="1033"/>
      <c r="J36" s="1033"/>
      <c r="K36" s="1033"/>
      <c r="L36" s="90"/>
      <c r="M36" s="51"/>
      <c r="N36" s="113">
        <f t="shared" si="4"/>
        <v>1663</v>
      </c>
      <c r="O36" s="575">
        <v>0</v>
      </c>
      <c r="P36" s="576"/>
      <c r="Q36" s="122"/>
      <c r="R36" s="121"/>
      <c r="S36" s="579">
        <v>0</v>
      </c>
      <c r="T36" s="580">
        <f t="shared" si="3"/>
        <v>0</v>
      </c>
      <c r="U36" s="51"/>
      <c r="V36" s="2119">
        <f t="shared" si="5"/>
        <v>0</v>
      </c>
      <c r="W36" s="43"/>
      <c r="X36" s="43"/>
      <c r="Y36" s="43"/>
      <c r="Z36" s="43"/>
    </row>
    <row r="37" spans="1:26">
      <c r="A37" s="88">
        <v>1664</v>
      </c>
      <c r="B37" s="378" t="s">
        <v>949</v>
      </c>
      <c r="C37" s="1033"/>
      <c r="D37" s="1033"/>
      <c r="E37" s="1033"/>
      <c r="F37" s="1033"/>
      <c r="G37" s="1033"/>
      <c r="H37" s="1033"/>
      <c r="I37" s="1033"/>
      <c r="J37" s="1033"/>
      <c r="K37" s="1033"/>
      <c r="L37" s="90"/>
      <c r="M37" s="51"/>
      <c r="N37" s="113">
        <f t="shared" si="4"/>
        <v>1664</v>
      </c>
      <c r="O37" s="575">
        <v>0</v>
      </c>
      <c r="P37" s="576"/>
      <c r="Q37" s="122"/>
      <c r="R37" s="121"/>
      <c r="S37" s="579">
        <v>0</v>
      </c>
      <c r="T37" s="580">
        <f t="shared" si="3"/>
        <v>0</v>
      </c>
      <c r="U37" s="51"/>
      <c r="V37" s="2119">
        <f t="shared" si="5"/>
        <v>0</v>
      </c>
      <c r="W37" s="43"/>
      <c r="X37" s="43"/>
      <c r="Y37" s="43"/>
      <c r="Z37" s="43"/>
    </row>
    <row r="38" spans="1:26">
      <c r="A38" s="88">
        <v>1666</v>
      </c>
      <c r="B38" s="378" t="s">
        <v>950</v>
      </c>
      <c r="C38" s="1033"/>
      <c r="D38" s="1033"/>
      <c r="E38" s="1033"/>
      <c r="F38" s="1033"/>
      <c r="G38" s="1033"/>
      <c r="H38" s="1033"/>
      <c r="I38" s="1033"/>
      <c r="J38" s="1033"/>
      <c r="K38" s="1033"/>
      <c r="L38" s="90"/>
      <c r="M38" s="51"/>
      <c r="N38" s="113">
        <f t="shared" si="4"/>
        <v>1666</v>
      </c>
      <c r="O38" s="575">
        <v>0</v>
      </c>
      <c r="P38" s="576"/>
      <c r="Q38" s="122"/>
      <c r="R38" s="121"/>
      <c r="S38" s="579">
        <v>0</v>
      </c>
      <c r="T38" s="580">
        <f t="shared" si="3"/>
        <v>0</v>
      </c>
      <c r="U38" s="51"/>
      <c r="V38" s="2119">
        <f t="shared" si="5"/>
        <v>0</v>
      </c>
      <c r="W38" s="43"/>
      <c r="X38" s="43"/>
      <c r="Y38" s="43"/>
      <c r="Z38" s="43"/>
    </row>
    <row r="39" spans="1:26">
      <c r="A39" s="88">
        <v>1667</v>
      </c>
      <c r="B39" s="378" t="s">
        <v>951</v>
      </c>
      <c r="C39" s="1033"/>
      <c r="D39" s="1033"/>
      <c r="E39" s="1033"/>
      <c r="F39" s="1033"/>
      <c r="G39" s="1033"/>
      <c r="H39" s="1033"/>
      <c r="I39" s="1033"/>
      <c r="J39" s="1033"/>
      <c r="K39" s="1033"/>
      <c r="L39" s="90"/>
      <c r="M39" s="51"/>
      <c r="N39" s="113">
        <f t="shared" si="4"/>
        <v>1667</v>
      </c>
      <c r="O39" s="575">
        <v>0</v>
      </c>
      <c r="P39" s="576"/>
      <c r="Q39" s="122"/>
      <c r="R39" s="121"/>
      <c r="S39" s="579">
        <v>0</v>
      </c>
      <c r="T39" s="580">
        <f t="shared" si="3"/>
        <v>0</v>
      </c>
      <c r="U39" s="51"/>
      <c r="V39" s="2119">
        <f t="shared" si="5"/>
        <v>0</v>
      </c>
      <c r="W39" s="43"/>
      <c r="X39" s="43"/>
      <c r="Y39" s="43"/>
      <c r="Z39" s="43"/>
    </row>
    <row r="40" spans="1:26">
      <c r="A40" s="88">
        <v>1669</v>
      </c>
      <c r="B40" s="378" t="s">
        <v>212</v>
      </c>
      <c r="C40" s="1033"/>
      <c r="D40" s="1033"/>
      <c r="E40" s="1033"/>
      <c r="F40" s="1033"/>
      <c r="G40" s="1033"/>
      <c r="H40" s="1033"/>
      <c r="I40" s="1033"/>
      <c r="J40" s="1033"/>
      <c r="K40" s="1033"/>
      <c r="L40" s="90"/>
      <c r="M40" s="51"/>
      <c r="N40" s="113">
        <f t="shared" si="4"/>
        <v>1669</v>
      </c>
      <c r="O40" s="575">
        <v>0</v>
      </c>
      <c r="P40" s="576"/>
      <c r="Q40" s="122"/>
      <c r="R40" s="121"/>
      <c r="S40" s="579">
        <v>0</v>
      </c>
      <c r="T40" s="580">
        <f t="shared" si="3"/>
        <v>0</v>
      </c>
      <c r="U40" s="51"/>
      <c r="V40" s="2119">
        <f t="shared" si="5"/>
        <v>0</v>
      </c>
      <c r="W40" s="43"/>
      <c r="X40" s="43"/>
      <c r="Y40" s="43"/>
      <c r="Z40" s="43"/>
    </row>
    <row r="41" spans="1:26">
      <c r="A41" s="88">
        <v>1681</v>
      </c>
      <c r="B41" s="378" t="s">
        <v>965</v>
      </c>
      <c r="C41" s="1033"/>
      <c r="D41" s="1033"/>
      <c r="E41" s="1033"/>
      <c r="F41" s="1033"/>
      <c r="G41" s="1033"/>
      <c r="H41" s="1033"/>
      <c r="I41" s="1033"/>
      <c r="J41" s="1033"/>
      <c r="K41" s="1033"/>
      <c r="L41" s="574"/>
      <c r="M41" s="51"/>
      <c r="N41" s="113">
        <f t="shared" si="4"/>
        <v>1681</v>
      </c>
      <c r="O41" s="575">
        <v>0</v>
      </c>
      <c r="P41" s="576"/>
      <c r="Q41" s="122"/>
      <c r="R41" s="121"/>
      <c r="S41" s="579">
        <v>0</v>
      </c>
      <c r="T41" s="580">
        <f t="shared" si="3"/>
        <v>0</v>
      </c>
      <c r="U41" s="51"/>
      <c r="V41" s="2119">
        <f t="shared" si="5"/>
        <v>0</v>
      </c>
      <c r="W41" s="43"/>
      <c r="X41" s="43"/>
      <c r="Y41" s="43"/>
      <c r="Z41" s="43"/>
    </row>
    <row r="42" spans="1:26">
      <c r="A42" s="88">
        <v>1685</v>
      </c>
      <c r="B42" s="378" t="s">
        <v>966</v>
      </c>
      <c r="C42" s="1033"/>
      <c r="D42" s="1033"/>
      <c r="E42" s="1033"/>
      <c r="F42" s="1033"/>
      <c r="G42" s="1033"/>
      <c r="H42" s="1033"/>
      <c r="I42" s="1033"/>
      <c r="J42" s="1033"/>
      <c r="K42" s="1033"/>
      <c r="L42" s="574"/>
      <c r="M42" s="51"/>
      <c r="N42" s="113">
        <f t="shared" si="4"/>
        <v>1685</v>
      </c>
      <c r="O42" s="575">
        <v>0</v>
      </c>
      <c r="P42" s="576"/>
      <c r="Q42" s="122"/>
      <c r="R42" s="121"/>
      <c r="S42" s="579">
        <v>0</v>
      </c>
      <c r="T42" s="580">
        <f t="shared" si="3"/>
        <v>0</v>
      </c>
      <c r="U42" s="51"/>
      <c r="V42" s="2119">
        <f t="shared" si="5"/>
        <v>0</v>
      </c>
      <c r="W42" s="43"/>
      <c r="X42" s="43"/>
      <c r="Y42" s="43"/>
      <c r="Z42" s="43"/>
    </row>
    <row r="43" spans="1:26">
      <c r="A43" s="88">
        <v>1686</v>
      </c>
      <c r="B43" s="378" t="s">
        <v>967</v>
      </c>
      <c r="C43" s="1033"/>
      <c r="D43" s="1033"/>
      <c r="E43" s="1033"/>
      <c r="F43" s="1033"/>
      <c r="G43" s="1033"/>
      <c r="H43" s="1033"/>
      <c r="I43" s="1033"/>
      <c r="J43" s="1033"/>
      <c r="K43" s="1033"/>
      <c r="L43" s="574"/>
      <c r="M43" s="51"/>
      <c r="N43" s="113">
        <f t="shared" si="4"/>
        <v>1686</v>
      </c>
      <c r="O43" s="575">
        <v>0</v>
      </c>
      <c r="P43" s="576"/>
      <c r="Q43" s="122"/>
      <c r="R43" s="121"/>
      <c r="S43" s="579">
        <v>0</v>
      </c>
      <c r="T43" s="580">
        <f t="shared" si="3"/>
        <v>0</v>
      </c>
      <c r="U43" s="51"/>
      <c r="V43" s="2119">
        <f t="shared" si="5"/>
        <v>0</v>
      </c>
      <c r="W43" s="43"/>
      <c r="X43" s="43"/>
      <c r="Y43" s="43"/>
      <c r="Z43" s="43"/>
    </row>
    <row r="44" spans="1:26">
      <c r="A44" s="88">
        <v>1688</v>
      </c>
      <c r="B44" s="378" t="s">
        <v>968</v>
      </c>
      <c r="C44" s="1033"/>
      <c r="D44" s="1033"/>
      <c r="E44" s="1033"/>
      <c r="F44" s="1033"/>
      <c r="G44" s="1033"/>
      <c r="H44" s="1033"/>
      <c r="I44" s="1033"/>
      <c r="J44" s="1033"/>
      <c r="K44" s="1033"/>
      <c r="L44" s="574"/>
      <c r="M44" s="51"/>
      <c r="N44" s="113">
        <f t="shared" si="4"/>
        <v>1688</v>
      </c>
      <c r="O44" s="575">
        <v>0</v>
      </c>
      <c r="P44" s="576"/>
      <c r="Q44" s="122"/>
      <c r="R44" s="121"/>
      <c r="S44" s="579">
        <v>0</v>
      </c>
      <c r="T44" s="580">
        <f t="shared" si="3"/>
        <v>0</v>
      </c>
      <c r="U44" s="51"/>
      <c r="V44" s="2119">
        <f t="shared" si="5"/>
        <v>0</v>
      </c>
      <c r="W44" s="43"/>
      <c r="X44" s="43"/>
      <c r="Y44" s="43"/>
      <c r="Z44" s="43"/>
    </row>
    <row r="45" spans="1:26">
      <c r="A45" s="88">
        <v>1689</v>
      </c>
      <c r="B45" s="378" t="s">
        <v>969</v>
      </c>
      <c r="C45" s="1033"/>
      <c r="D45" s="1033"/>
      <c r="E45" s="1033"/>
      <c r="F45" s="1033"/>
      <c r="G45" s="1033"/>
      <c r="H45" s="1033"/>
      <c r="I45" s="1033"/>
      <c r="J45" s="1033"/>
      <c r="K45" s="1033"/>
      <c r="L45" s="574"/>
      <c r="M45" s="51"/>
      <c r="N45" s="113">
        <f t="shared" si="4"/>
        <v>1689</v>
      </c>
      <c r="O45" s="575">
        <v>0</v>
      </c>
      <c r="P45" s="576"/>
      <c r="Q45" s="122"/>
      <c r="R45" s="121"/>
      <c r="S45" s="579">
        <v>0</v>
      </c>
      <c r="T45" s="580">
        <f t="shared" si="3"/>
        <v>0</v>
      </c>
      <c r="U45" s="51"/>
      <c r="V45" s="2119">
        <f t="shared" si="5"/>
        <v>0</v>
      </c>
      <c r="W45" s="43"/>
      <c r="X45" s="43"/>
      <c r="Y45" s="43"/>
      <c r="Z45" s="43"/>
    </row>
    <row r="46" spans="1:26">
      <c r="A46" s="370">
        <v>1701</v>
      </c>
      <c r="B46" s="378" t="s">
        <v>213</v>
      </c>
      <c r="C46" s="1033"/>
      <c r="D46" s="1033"/>
      <c r="E46" s="1033"/>
      <c r="F46" s="1033"/>
      <c r="G46" s="1033"/>
      <c r="H46" s="1033"/>
      <c r="I46" s="1033"/>
      <c r="J46" s="1033"/>
      <c r="K46" s="1033"/>
      <c r="L46" s="90"/>
      <c r="M46" s="51"/>
      <c r="N46" s="113">
        <f t="shared" si="4"/>
        <v>1701</v>
      </c>
      <c r="O46" s="575">
        <v>0</v>
      </c>
      <c r="P46" s="576"/>
      <c r="Q46" s="122"/>
      <c r="R46" s="121"/>
      <c r="S46" s="579">
        <v>0</v>
      </c>
      <c r="T46" s="580">
        <f t="shared" si="3"/>
        <v>0</v>
      </c>
      <c r="U46" s="51"/>
      <c r="V46" s="2119">
        <f t="shared" si="5"/>
        <v>0</v>
      </c>
      <c r="W46" s="43"/>
      <c r="X46" s="43"/>
      <c r="Y46" s="43"/>
      <c r="Z46" s="43"/>
    </row>
    <row r="47" spans="1:26">
      <c r="A47" s="88">
        <v>1702</v>
      </c>
      <c r="B47" s="378" t="s">
        <v>214</v>
      </c>
      <c r="C47" s="1033"/>
      <c r="D47" s="1033"/>
      <c r="E47" s="1033"/>
      <c r="F47" s="1033"/>
      <c r="G47" s="1033"/>
      <c r="H47" s="1033"/>
      <c r="I47" s="1033"/>
      <c r="J47" s="1033"/>
      <c r="K47" s="1033"/>
      <c r="L47" s="90"/>
      <c r="M47" s="51"/>
      <c r="N47" s="113">
        <f t="shared" si="4"/>
        <v>1702</v>
      </c>
      <c r="O47" s="575">
        <v>0</v>
      </c>
      <c r="P47" s="576"/>
      <c r="Q47" s="122"/>
      <c r="R47" s="121"/>
      <c r="S47" s="579">
        <v>0</v>
      </c>
      <c r="T47" s="580">
        <f t="shared" si="3"/>
        <v>0</v>
      </c>
      <c r="U47" s="51"/>
      <c r="V47" s="2119">
        <f t="shared" si="5"/>
        <v>0</v>
      </c>
      <c r="W47" s="43"/>
      <c r="X47" s="43"/>
      <c r="Y47" s="43"/>
      <c r="Z47" s="43"/>
    </row>
    <row r="48" spans="1:26">
      <c r="A48" s="88">
        <v>1707</v>
      </c>
      <c r="B48" s="378" t="s">
        <v>970</v>
      </c>
      <c r="C48" s="1033"/>
      <c r="D48" s="1033"/>
      <c r="E48" s="1033"/>
      <c r="F48" s="1033"/>
      <c r="G48" s="1033"/>
      <c r="H48" s="1033"/>
      <c r="I48" s="1033"/>
      <c r="J48" s="1033"/>
      <c r="K48" s="1033"/>
      <c r="L48" s="90"/>
      <c r="M48" s="51"/>
      <c r="N48" s="113">
        <f t="shared" si="4"/>
        <v>1707</v>
      </c>
      <c r="O48" s="575">
        <v>0</v>
      </c>
      <c r="P48" s="576"/>
      <c r="Q48" s="122"/>
      <c r="R48" s="121"/>
      <c r="S48" s="579">
        <v>0</v>
      </c>
      <c r="T48" s="580">
        <f t="shared" si="3"/>
        <v>0</v>
      </c>
      <c r="U48" s="51"/>
      <c r="V48" s="2119">
        <f t="shared" si="5"/>
        <v>0</v>
      </c>
      <c r="W48" s="43"/>
      <c r="X48" s="43"/>
      <c r="Y48" s="43"/>
      <c r="Z48" s="43"/>
    </row>
    <row r="49" spans="1:26">
      <c r="A49" s="88">
        <v>1708</v>
      </c>
      <c r="B49" s="378" t="s">
        <v>971</v>
      </c>
      <c r="C49" s="1033"/>
      <c r="D49" s="1033"/>
      <c r="E49" s="1033"/>
      <c r="F49" s="1033"/>
      <c r="G49" s="1033"/>
      <c r="H49" s="1033"/>
      <c r="I49" s="1033"/>
      <c r="J49" s="1033"/>
      <c r="K49" s="1033"/>
      <c r="L49" s="90"/>
      <c r="M49" s="51"/>
      <c r="N49" s="113">
        <f t="shared" si="4"/>
        <v>1708</v>
      </c>
      <c r="O49" s="575">
        <v>0</v>
      </c>
      <c r="P49" s="576"/>
      <c r="Q49" s="122"/>
      <c r="R49" s="121"/>
      <c r="S49" s="579">
        <v>0</v>
      </c>
      <c r="T49" s="580">
        <f t="shared" si="3"/>
        <v>0</v>
      </c>
      <c r="U49" s="51"/>
      <c r="V49" s="2119">
        <f t="shared" si="5"/>
        <v>0</v>
      </c>
      <c r="W49" s="43"/>
      <c r="X49" s="43"/>
      <c r="Y49" s="43"/>
      <c r="Z49" s="43"/>
    </row>
    <row r="50" spans="1:26">
      <c r="A50" s="88">
        <v>1911</v>
      </c>
      <c r="B50" s="378" t="s">
        <v>215</v>
      </c>
      <c r="C50" s="1033"/>
      <c r="D50" s="1033"/>
      <c r="E50" s="1033"/>
      <c r="F50" s="1033"/>
      <c r="G50" s="1033"/>
      <c r="H50" s="1033"/>
      <c r="I50" s="1033"/>
      <c r="J50" s="1033"/>
      <c r="K50" s="1033"/>
      <c r="L50" s="90"/>
      <c r="M50" s="51"/>
      <c r="N50" s="113">
        <f t="shared" si="4"/>
        <v>1911</v>
      </c>
      <c r="O50" s="575">
        <v>0</v>
      </c>
      <c r="P50" s="576">
        <v>0</v>
      </c>
      <c r="Q50" s="122">
        <v>0</v>
      </c>
      <c r="R50" s="121">
        <v>0</v>
      </c>
      <c r="S50" s="579">
        <v>0</v>
      </c>
      <c r="T50" s="580">
        <f t="shared" si="3"/>
        <v>0</v>
      </c>
      <c r="U50" s="51"/>
      <c r="V50" s="2119">
        <f t="shared" si="5"/>
        <v>0</v>
      </c>
      <c r="W50" s="43"/>
      <c r="X50" s="43"/>
      <c r="Y50" s="43"/>
      <c r="Z50" s="43"/>
    </row>
    <row r="51" spans="1:26">
      <c r="A51" s="88">
        <v>1912</v>
      </c>
      <c r="B51" s="378" t="s">
        <v>216</v>
      </c>
      <c r="C51" s="1033"/>
      <c r="D51" s="1033"/>
      <c r="E51" s="1033"/>
      <c r="F51" s="1033"/>
      <c r="G51" s="1033"/>
      <c r="H51" s="1033"/>
      <c r="I51" s="1033"/>
      <c r="J51" s="1033"/>
      <c r="K51" s="1033"/>
      <c r="L51" s="90"/>
      <c r="M51" s="51"/>
      <c r="N51" s="113">
        <f t="shared" si="4"/>
        <v>1912</v>
      </c>
      <c r="O51" s="575">
        <v>0</v>
      </c>
      <c r="P51" s="576"/>
      <c r="Q51" s="122"/>
      <c r="R51" s="121"/>
      <c r="S51" s="579">
        <v>0</v>
      </c>
      <c r="T51" s="580">
        <f t="shared" si="3"/>
        <v>0</v>
      </c>
      <c r="U51" s="51"/>
      <c r="V51" s="2119">
        <f t="shared" si="5"/>
        <v>0</v>
      </c>
      <c r="W51" s="43"/>
      <c r="X51" s="43"/>
      <c r="Y51" s="43"/>
      <c r="Z51" s="43"/>
    </row>
    <row r="52" spans="1:26">
      <c r="A52" s="88">
        <v>1913</v>
      </c>
      <c r="B52" s="378" t="s">
        <v>217</v>
      </c>
      <c r="C52" s="1033"/>
      <c r="D52" s="1033"/>
      <c r="E52" s="1033"/>
      <c r="F52" s="1033"/>
      <c r="G52" s="1033"/>
      <c r="H52" s="1033"/>
      <c r="I52" s="1033"/>
      <c r="J52" s="1033"/>
      <c r="K52" s="1033"/>
      <c r="L52" s="90"/>
      <c r="M52" s="51"/>
      <c r="N52" s="113">
        <f t="shared" si="4"/>
        <v>1913</v>
      </c>
      <c r="O52" s="575">
        <v>0</v>
      </c>
      <c r="P52" s="576"/>
      <c r="Q52" s="122"/>
      <c r="R52" s="121"/>
      <c r="S52" s="579">
        <v>0</v>
      </c>
      <c r="T52" s="580">
        <f t="shared" si="3"/>
        <v>0</v>
      </c>
      <c r="U52" s="51"/>
      <c r="V52" s="2119">
        <f t="shared" si="5"/>
        <v>0</v>
      </c>
      <c r="W52" s="43"/>
      <c r="X52" s="43"/>
      <c r="Y52" s="43"/>
      <c r="Z52" s="43"/>
    </row>
    <row r="53" spans="1:26">
      <c r="A53" s="88">
        <v>1914</v>
      </c>
      <c r="B53" s="378" t="s">
        <v>218</v>
      </c>
      <c r="C53" s="1033"/>
      <c r="D53" s="1033"/>
      <c r="E53" s="1033"/>
      <c r="F53" s="1033"/>
      <c r="G53" s="1033"/>
      <c r="H53" s="1033"/>
      <c r="I53" s="1033"/>
      <c r="J53" s="1033"/>
      <c r="K53" s="1033"/>
      <c r="L53" s="90"/>
      <c r="M53" s="51"/>
      <c r="N53" s="113">
        <f t="shared" si="4"/>
        <v>1914</v>
      </c>
      <c r="O53" s="575">
        <v>0</v>
      </c>
      <c r="P53" s="576"/>
      <c r="Q53" s="122"/>
      <c r="R53" s="121"/>
      <c r="S53" s="579">
        <v>0</v>
      </c>
      <c r="T53" s="580">
        <f t="shared" si="3"/>
        <v>0</v>
      </c>
      <c r="U53" s="51"/>
      <c r="V53" s="2119">
        <f>+IF(OR(+ROUND(O53,2)+ROUND(Q53,2)&gt;ROUND(P53,2)+ROUND(R53,2),+ABS(ROUND(O53,2)+ROUND(Q53,2))&gt;+ABS(ROUND(P53,2)+ROUND(R53,2))),+(ROUND(O53,2)+ROUND(Q53,2))-(ROUND(P53,2)+ROUND(R53,2)),0)</f>
        <v>0</v>
      </c>
      <c r="W53" s="43"/>
      <c r="X53" s="43"/>
      <c r="Y53" s="43"/>
      <c r="Z53" s="43"/>
    </row>
    <row r="54" spans="1:26">
      <c r="A54" s="88">
        <v>1917</v>
      </c>
      <c r="B54" s="378" t="s">
        <v>219</v>
      </c>
      <c r="C54" s="1033"/>
      <c r="D54" s="1033"/>
      <c r="E54" s="1033"/>
      <c r="F54" s="1033"/>
      <c r="G54" s="1033"/>
      <c r="H54" s="1033"/>
      <c r="I54" s="1033"/>
      <c r="J54" s="1033"/>
      <c r="K54" s="1033"/>
      <c r="L54" s="90"/>
      <c r="M54" s="51"/>
      <c r="N54" s="113">
        <f t="shared" si="4"/>
        <v>1917</v>
      </c>
      <c r="O54" s="581">
        <v>0</v>
      </c>
      <c r="P54" s="582">
        <v>0</v>
      </c>
      <c r="Q54" s="122">
        <v>0</v>
      </c>
      <c r="R54" s="121">
        <v>0</v>
      </c>
      <c r="S54" s="583">
        <f>+IF(ABS(+O54+Q54)&gt;=ABS(P54+R54),+O54-P54+Q54-R54,0)</f>
        <v>0</v>
      </c>
      <c r="T54" s="584">
        <v>0</v>
      </c>
      <c r="U54" s="51"/>
      <c r="V54" s="2120">
        <f>+IF(OR(ROUND(P54,2)+ROUND(R54,2)&gt;+ROUND(O54,2)+ROUND(Q54,2),+ABS(ROUND(P54,2)+ROUND(R54,2))&gt;+ABS(ROUND(O54,2)+ROUND(Q54,2))),+(ROUND(P54,2)+ROUND(R54,2))-(ROUND(O54,2)+ROUND(Q54,2)),0)</f>
        <v>0</v>
      </c>
      <c r="W54" s="43"/>
      <c r="X54" s="43"/>
      <c r="Y54" s="43"/>
      <c r="Z54" s="43"/>
    </row>
    <row r="55" spans="1:26">
      <c r="A55" s="88">
        <v>1918</v>
      </c>
      <c r="B55" s="378" t="s">
        <v>952</v>
      </c>
      <c r="C55" s="1033"/>
      <c r="D55" s="1033"/>
      <c r="E55" s="1033"/>
      <c r="F55" s="1033"/>
      <c r="G55" s="1033"/>
      <c r="H55" s="1033"/>
      <c r="I55" s="1033"/>
      <c r="J55" s="1033"/>
      <c r="K55" s="1033"/>
      <c r="L55" s="90"/>
      <c r="M55" s="51"/>
      <c r="N55" s="113">
        <f t="shared" si="4"/>
        <v>1918</v>
      </c>
      <c r="O55" s="581"/>
      <c r="P55" s="582">
        <v>0</v>
      </c>
      <c r="Q55" s="122"/>
      <c r="R55" s="121"/>
      <c r="S55" s="583">
        <f>+IF(ABS(+O55+Q55)&gt;=ABS(P55+R55),+O55-P55+Q55-R55,0)</f>
        <v>0</v>
      </c>
      <c r="T55" s="584">
        <v>0</v>
      </c>
      <c r="U55" s="51"/>
      <c r="V55" s="2120">
        <f>+IF(OR(ROUND(P55,2)+ROUND(R55,2)&gt;+ROUND(O55,2)+ROUND(Q55,2),+ABS(ROUND(P55,2)+ROUND(R55,2))&gt;+ABS(ROUND(O55,2)+ROUND(Q55,2))),+(ROUND(P55,2)+ROUND(R55,2))-(ROUND(O55,2)+ROUND(Q55,2)),0)</f>
        <v>0</v>
      </c>
      <c r="W55" s="43"/>
      <c r="X55" s="43"/>
      <c r="Y55" s="43"/>
      <c r="Z55" s="43"/>
    </row>
    <row r="56" spans="1:26">
      <c r="A56" s="88">
        <v>1921</v>
      </c>
      <c r="B56" s="378" t="s">
        <v>860</v>
      </c>
      <c r="C56" s="1037"/>
      <c r="D56" s="1037"/>
      <c r="E56" s="1037"/>
      <c r="F56" s="1037"/>
      <c r="G56" s="1037"/>
      <c r="H56" s="1037"/>
      <c r="I56" s="1037"/>
      <c r="J56" s="1037"/>
      <c r="K56" s="1037"/>
      <c r="L56" s="590"/>
      <c r="M56" s="51"/>
      <c r="N56" s="113">
        <f t="shared" si="4"/>
        <v>1921</v>
      </c>
      <c r="O56" s="575">
        <v>0</v>
      </c>
      <c r="P56" s="576"/>
      <c r="Q56" s="589"/>
      <c r="R56" s="121"/>
      <c r="S56" s="579">
        <v>0</v>
      </c>
      <c r="T56" s="580">
        <f t="shared" ref="T56:T69" si="6">+IF(ABS(+O56+Q56)&lt;=ABS(P56+R56),-O56+P56-Q56+R56,0)</f>
        <v>0</v>
      </c>
      <c r="U56" s="51"/>
      <c r="V56" s="2119">
        <f>+IF(OR(+ROUND(O56,2)+ROUND(Q56,2)&gt;ROUND(P56,2)+ROUND(R56,2),+ABS(ROUND(O56,2)+ROUND(Q56,2))&gt;+ABS(ROUND(P56,2)+ROUND(R56,2))),+(ROUND(O56,2)+ROUND(Q56,2))-(ROUND(P56,2)+ROUND(R56,2)),0)</f>
        <v>0</v>
      </c>
      <c r="W56" s="43"/>
      <c r="X56" s="43"/>
      <c r="Y56" s="43"/>
      <c r="Z56" s="43"/>
    </row>
    <row r="57" spans="1:26">
      <c r="A57" s="88">
        <v>1922</v>
      </c>
      <c r="B57" s="378" t="s">
        <v>861</v>
      </c>
      <c r="C57" s="1037"/>
      <c r="D57" s="1037"/>
      <c r="E57" s="1037"/>
      <c r="F57" s="1037"/>
      <c r="G57" s="1037"/>
      <c r="H57" s="1037"/>
      <c r="I57" s="1037"/>
      <c r="J57" s="1037"/>
      <c r="K57" s="1037"/>
      <c r="L57" s="590"/>
      <c r="M57" s="51"/>
      <c r="N57" s="113">
        <f t="shared" si="4"/>
        <v>1922</v>
      </c>
      <c r="O57" s="575">
        <v>0</v>
      </c>
      <c r="P57" s="576"/>
      <c r="Q57" s="589"/>
      <c r="R57" s="121"/>
      <c r="S57" s="579">
        <v>0</v>
      </c>
      <c r="T57" s="580">
        <f t="shared" si="6"/>
        <v>0</v>
      </c>
      <c r="U57" s="51"/>
      <c r="V57" s="2119">
        <f>+IF(OR(+ROUND(O57,2)+ROUND(Q57,2)&gt;ROUND(P57,2)+ROUND(R57,2),+ABS(ROUND(O57,2)+ROUND(Q57,2))&gt;+ABS(ROUND(P57,2)+ROUND(R57,2))),+(ROUND(O57,2)+ROUND(Q57,2))-(ROUND(P57,2)+ROUND(R57,2)),0)</f>
        <v>0</v>
      </c>
      <c r="W57" s="43"/>
      <c r="X57" s="43"/>
      <c r="Y57" s="43"/>
      <c r="Z57" s="43"/>
    </row>
    <row r="58" spans="1:26">
      <c r="A58" s="88">
        <v>1923</v>
      </c>
      <c r="B58" s="378" t="s">
        <v>220</v>
      </c>
      <c r="C58" s="1037"/>
      <c r="D58" s="1037"/>
      <c r="E58" s="1037"/>
      <c r="F58" s="1037"/>
      <c r="G58" s="1037"/>
      <c r="H58" s="1037"/>
      <c r="I58" s="1037"/>
      <c r="J58" s="1037"/>
      <c r="K58" s="1037"/>
      <c r="L58" s="590"/>
      <c r="M58" s="51"/>
      <c r="N58" s="113">
        <f t="shared" ref="N58:N69" si="7">+A58</f>
        <v>1923</v>
      </c>
      <c r="O58" s="575">
        <v>0</v>
      </c>
      <c r="P58" s="576"/>
      <c r="Q58" s="589"/>
      <c r="R58" s="121"/>
      <c r="S58" s="579">
        <v>0</v>
      </c>
      <c r="T58" s="580">
        <f t="shared" si="6"/>
        <v>0</v>
      </c>
      <c r="U58" s="51"/>
      <c r="V58" s="2119">
        <f>+IF(OR(+ROUND(O58,2)+ROUND(Q58,2)&gt;ROUND(P58,2)+ROUND(R58,2),+ABS(ROUND(O58,2)+ROUND(Q58,2))&gt;+ABS(ROUND(P58,2)+ROUND(R58,2))),+(ROUND(O58,2)+ROUND(Q58,2))-(ROUND(P58,2)+ROUND(R58,2)),0)</f>
        <v>0</v>
      </c>
      <c r="W58" s="43"/>
      <c r="X58" s="43"/>
      <c r="Y58" s="43"/>
      <c r="Z58" s="43"/>
    </row>
    <row r="59" spans="1:26">
      <c r="A59" s="88">
        <v>1924</v>
      </c>
      <c r="B59" s="378" t="s">
        <v>221</v>
      </c>
      <c r="C59" s="1037"/>
      <c r="D59" s="1037"/>
      <c r="E59" s="1037"/>
      <c r="F59" s="1037"/>
      <c r="G59" s="1037"/>
      <c r="H59" s="1037"/>
      <c r="I59" s="1037"/>
      <c r="J59" s="1037"/>
      <c r="K59" s="1037"/>
      <c r="L59" s="590"/>
      <c r="M59" s="51"/>
      <c r="N59" s="113">
        <f t="shared" si="7"/>
        <v>1924</v>
      </c>
      <c r="O59" s="575">
        <v>0</v>
      </c>
      <c r="P59" s="576"/>
      <c r="Q59" s="589"/>
      <c r="R59" s="121"/>
      <c r="S59" s="579">
        <v>0</v>
      </c>
      <c r="T59" s="580">
        <f t="shared" si="6"/>
        <v>0</v>
      </c>
      <c r="U59" s="51"/>
      <c r="V59" s="2119">
        <f>+IF(OR(+ROUND(O59,2)+ROUND(Q59,2)&gt;ROUND(P59,2)+ROUND(R59,2),+ABS(ROUND(O59,2)+ROUND(Q59,2))&gt;+ABS(ROUND(P59,2)+ROUND(R59,2))),+(ROUND(O59,2)+ROUND(Q59,2))-(ROUND(P59,2)+ROUND(R59,2)),0)</f>
        <v>0</v>
      </c>
      <c r="W59" s="43"/>
      <c r="X59" s="43"/>
      <c r="Y59" s="43"/>
      <c r="Z59" s="43"/>
    </row>
    <row r="60" spans="1:26" ht="15.75" customHeight="1">
      <c r="A60" s="88">
        <v>1927</v>
      </c>
      <c r="B60" s="378" t="s">
        <v>222</v>
      </c>
      <c r="C60" s="1038"/>
      <c r="D60" s="1038"/>
      <c r="E60" s="1038"/>
      <c r="F60" s="1038"/>
      <c r="G60" s="1038"/>
      <c r="H60" s="1038"/>
      <c r="I60" s="1038"/>
      <c r="J60" s="1038"/>
      <c r="K60" s="1038"/>
      <c r="L60" s="590"/>
      <c r="M60" s="51"/>
      <c r="N60" s="113">
        <f t="shared" si="7"/>
        <v>1927</v>
      </c>
      <c r="O60" s="581"/>
      <c r="P60" s="576"/>
      <c r="Q60" s="589"/>
      <c r="R60" s="576"/>
      <c r="S60" s="583">
        <f>+IF(ABS(+O60+Q60)&gt;=ABS(P60+R60),+O60-P60+Q60-R60,0)</f>
        <v>0</v>
      </c>
      <c r="T60" s="580">
        <f t="shared" si="6"/>
        <v>0</v>
      </c>
      <c r="U60" s="51"/>
      <c r="V60" s="2119"/>
      <c r="W60" s="43"/>
      <c r="X60" s="43"/>
      <c r="Y60" s="43"/>
      <c r="Z60" s="43"/>
    </row>
    <row r="61" spans="1:26" ht="15.75" customHeight="1">
      <c r="A61" s="88">
        <v>1928</v>
      </c>
      <c r="B61" s="378" t="s">
        <v>223</v>
      </c>
      <c r="C61" s="1038"/>
      <c r="D61" s="1038"/>
      <c r="E61" s="1038"/>
      <c r="F61" s="1038"/>
      <c r="G61" s="1038"/>
      <c r="H61" s="1038"/>
      <c r="I61" s="1038"/>
      <c r="J61" s="1038"/>
      <c r="K61" s="1038"/>
      <c r="L61" s="590"/>
      <c r="M61" s="51"/>
      <c r="N61" s="113">
        <f t="shared" si="7"/>
        <v>1928</v>
      </c>
      <c r="O61" s="581"/>
      <c r="P61" s="576"/>
      <c r="Q61" s="589"/>
      <c r="R61" s="576"/>
      <c r="S61" s="583">
        <f>+IF(ABS(+O61+Q61)&gt;=ABS(P61+R61),+O61-P61+Q61-R61,0)</f>
        <v>0</v>
      </c>
      <c r="T61" s="580">
        <f t="shared" si="6"/>
        <v>0</v>
      </c>
      <c r="U61" s="51"/>
      <c r="V61" s="2119"/>
      <c r="W61" s="43"/>
      <c r="X61" s="43"/>
      <c r="Y61" s="43"/>
      <c r="Z61" s="43"/>
    </row>
    <row r="62" spans="1:26">
      <c r="A62" s="88">
        <v>1991</v>
      </c>
      <c r="B62" s="378" t="s">
        <v>855</v>
      </c>
      <c r="C62" s="1039"/>
      <c r="D62" s="1039"/>
      <c r="E62" s="1039"/>
      <c r="F62" s="1039"/>
      <c r="G62" s="1039"/>
      <c r="H62" s="1039"/>
      <c r="I62" s="1039"/>
      <c r="J62" s="1039"/>
      <c r="K62" s="1039"/>
      <c r="L62" s="574"/>
      <c r="M62" s="51"/>
      <c r="N62" s="113">
        <f t="shared" si="7"/>
        <v>1991</v>
      </c>
      <c r="O62" s="575">
        <v>0</v>
      </c>
      <c r="P62" s="576"/>
      <c r="Q62" s="589"/>
      <c r="R62" s="121"/>
      <c r="S62" s="579">
        <v>0</v>
      </c>
      <c r="T62" s="580">
        <f t="shared" si="6"/>
        <v>0</v>
      </c>
      <c r="U62" s="51"/>
      <c r="V62" s="2119">
        <f t="shared" ref="V62:V69" si="8">+IF(OR(+ROUND(O62,2)+ROUND(Q62,2)&gt;ROUND(P62,2)+ROUND(R62,2),+ABS(ROUND(O62,2)+ROUND(Q62,2))&gt;+ABS(ROUND(P62,2)+ROUND(R62,2))),+(ROUND(O62,2)+ROUND(Q62,2))-(ROUND(P62,2)+ROUND(R62,2)),0)</f>
        <v>0</v>
      </c>
      <c r="W62" s="43"/>
      <c r="X62" s="43"/>
      <c r="Y62" s="43"/>
      <c r="Z62" s="43"/>
    </row>
    <row r="63" spans="1:26">
      <c r="A63" s="88">
        <v>1992</v>
      </c>
      <c r="B63" s="378" t="s">
        <v>856</v>
      </c>
      <c r="C63" s="1039"/>
      <c r="D63" s="1039"/>
      <c r="E63" s="1039"/>
      <c r="F63" s="1039"/>
      <c r="G63" s="1039"/>
      <c r="H63" s="1039"/>
      <c r="I63" s="1039"/>
      <c r="J63" s="1039"/>
      <c r="K63" s="1039"/>
      <c r="L63" s="574"/>
      <c r="M63" s="51"/>
      <c r="N63" s="113">
        <f t="shared" si="7"/>
        <v>1992</v>
      </c>
      <c r="O63" s="575">
        <v>0</v>
      </c>
      <c r="P63" s="576"/>
      <c r="Q63" s="589"/>
      <c r="R63" s="121"/>
      <c r="S63" s="579">
        <v>0</v>
      </c>
      <c r="T63" s="580">
        <f t="shared" si="6"/>
        <v>0</v>
      </c>
      <c r="U63" s="51"/>
      <c r="V63" s="2119">
        <f t="shared" si="8"/>
        <v>0</v>
      </c>
      <c r="W63" s="43"/>
      <c r="X63" s="43"/>
      <c r="Y63" s="43"/>
      <c r="Z63" s="43"/>
    </row>
    <row r="64" spans="1:26" ht="15.75" customHeight="1">
      <c r="A64" s="88">
        <v>1993</v>
      </c>
      <c r="B64" s="378" t="s">
        <v>857</v>
      </c>
      <c r="C64" s="1039"/>
      <c r="D64" s="1039"/>
      <c r="E64" s="1039"/>
      <c r="F64" s="1039"/>
      <c r="G64" s="1039"/>
      <c r="H64" s="1039"/>
      <c r="I64" s="1039"/>
      <c r="J64" s="1039"/>
      <c r="K64" s="1039"/>
      <c r="L64" s="574"/>
      <c r="M64" s="51"/>
      <c r="N64" s="113">
        <f t="shared" si="7"/>
        <v>1993</v>
      </c>
      <c r="O64" s="575">
        <v>0</v>
      </c>
      <c r="P64" s="576"/>
      <c r="Q64" s="589"/>
      <c r="R64" s="121"/>
      <c r="S64" s="579">
        <v>0</v>
      </c>
      <c r="T64" s="580">
        <f t="shared" si="6"/>
        <v>0</v>
      </c>
      <c r="U64" s="51"/>
      <c r="V64" s="2119">
        <f t="shared" si="8"/>
        <v>0</v>
      </c>
      <c r="W64" s="43"/>
      <c r="X64" s="43"/>
      <c r="Y64" s="43"/>
      <c r="Z64" s="43"/>
    </row>
    <row r="65" spans="1:26" ht="15.75" customHeight="1">
      <c r="A65" s="88">
        <v>1994</v>
      </c>
      <c r="B65" s="378" t="s">
        <v>858</v>
      </c>
      <c r="C65" s="1039"/>
      <c r="D65" s="1039"/>
      <c r="E65" s="1039"/>
      <c r="F65" s="1039"/>
      <c r="G65" s="1039"/>
      <c r="H65" s="1039"/>
      <c r="I65" s="1039"/>
      <c r="J65" s="1039"/>
      <c r="K65" s="1039"/>
      <c r="L65" s="574"/>
      <c r="M65" s="51"/>
      <c r="N65" s="113">
        <f t="shared" si="7"/>
        <v>1994</v>
      </c>
      <c r="O65" s="575">
        <v>0</v>
      </c>
      <c r="P65" s="576"/>
      <c r="Q65" s="589"/>
      <c r="R65" s="121"/>
      <c r="S65" s="579">
        <v>0</v>
      </c>
      <c r="T65" s="580">
        <f t="shared" si="6"/>
        <v>0</v>
      </c>
      <c r="U65" s="51"/>
      <c r="V65" s="2119">
        <f t="shared" si="8"/>
        <v>0</v>
      </c>
      <c r="W65" s="43"/>
      <c r="X65" s="43"/>
      <c r="Y65" s="43"/>
      <c r="Z65" s="43"/>
    </row>
    <row r="66" spans="1:26">
      <c r="A66" s="88">
        <v>1995</v>
      </c>
      <c r="B66" s="378" t="s">
        <v>859</v>
      </c>
      <c r="C66" s="1039"/>
      <c r="D66" s="1039"/>
      <c r="E66" s="1039"/>
      <c r="F66" s="1039"/>
      <c r="G66" s="1039"/>
      <c r="H66" s="1039"/>
      <c r="I66" s="1039"/>
      <c r="J66" s="1039"/>
      <c r="K66" s="1039"/>
      <c r="L66" s="574"/>
      <c r="M66" s="51"/>
      <c r="N66" s="113">
        <f t="shared" si="7"/>
        <v>1995</v>
      </c>
      <c r="O66" s="575">
        <v>0</v>
      </c>
      <c r="P66" s="576"/>
      <c r="Q66" s="589"/>
      <c r="R66" s="121"/>
      <c r="S66" s="579">
        <v>0</v>
      </c>
      <c r="T66" s="580">
        <f t="shared" si="6"/>
        <v>0</v>
      </c>
      <c r="U66" s="51"/>
      <c r="V66" s="2119">
        <f t="shared" si="8"/>
        <v>0</v>
      </c>
      <c r="W66" s="43"/>
      <c r="X66" s="43"/>
      <c r="Y66" s="43"/>
      <c r="Z66" s="43"/>
    </row>
    <row r="67" spans="1:26">
      <c r="A67" s="88">
        <v>1996</v>
      </c>
      <c r="B67" s="378" t="s">
        <v>972</v>
      </c>
      <c r="C67" s="1039"/>
      <c r="D67" s="1039"/>
      <c r="E67" s="1039"/>
      <c r="F67" s="1039"/>
      <c r="G67" s="1039"/>
      <c r="H67" s="1039"/>
      <c r="I67" s="1039"/>
      <c r="J67" s="1039"/>
      <c r="K67" s="1039"/>
      <c r="L67" s="574"/>
      <c r="M67" s="51"/>
      <c r="N67" s="113">
        <f t="shared" si="7"/>
        <v>1996</v>
      </c>
      <c r="O67" s="575">
        <v>0</v>
      </c>
      <c r="P67" s="576"/>
      <c r="Q67" s="589"/>
      <c r="R67" s="121"/>
      <c r="S67" s="579">
        <v>0</v>
      </c>
      <c r="T67" s="580">
        <f t="shared" si="6"/>
        <v>0</v>
      </c>
      <c r="U67" s="51"/>
      <c r="V67" s="2119">
        <f t="shared" si="8"/>
        <v>0</v>
      </c>
      <c r="W67" s="43"/>
      <c r="X67" s="43"/>
      <c r="Y67" s="43"/>
      <c r="Z67" s="43"/>
    </row>
    <row r="68" spans="1:26">
      <c r="A68" s="88">
        <v>1997</v>
      </c>
      <c r="B68" s="378" t="s">
        <v>224</v>
      </c>
      <c r="C68" s="1033"/>
      <c r="D68" s="1033"/>
      <c r="E68" s="1033"/>
      <c r="F68" s="1033"/>
      <c r="G68" s="1033"/>
      <c r="H68" s="1033"/>
      <c r="I68" s="1033"/>
      <c r="J68" s="1033"/>
      <c r="K68" s="1033"/>
      <c r="L68" s="90"/>
      <c r="M68" s="51"/>
      <c r="N68" s="113">
        <f t="shared" si="7"/>
        <v>1997</v>
      </c>
      <c r="O68" s="575">
        <v>0</v>
      </c>
      <c r="P68" s="576"/>
      <c r="Q68" s="122"/>
      <c r="R68" s="121"/>
      <c r="S68" s="579">
        <v>0</v>
      </c>
      <c r="T68" s="580">
        <f t="shared" si="6"/>
        <v>0</v>
      </c>
      <c r="U68" s="51"/>
      <c r="V68" s="2119">
        <f t="shared" si="8"/>
        <v>0</v>
      </c>
      <c r="W68" s="43"/>
      <c r="X68" s="43"/>
      <c r="Y68" s="43"/>
      <c r="Z68" s="43"/>
    </row>
    <row r="69" spans="1:26">
      <c r="A69" s="88">
        <v>1998</v>
      </c>
      <c r="B69" s="378" t="s">
        <v>225</v>
      </c>
      <c r="C69" s="101"/>
      <c r="D69" s="101"/>
      <c r="E69" s="101"/>
      <c r="F69" s="101"/>
      <c r="G69" s="101"/>
      <c r="H69" s="101"/>
      <c r="I69" s="101"/>
      <c r="J69" s="101"/>
      <c r="K69" s="101"/>
      <c r="L69" s="102"/>
      <c r="M69" s="51"/>
      <c r="N69" s="116">
        <f t="shared" si="7"/>
        <v>1998</v>
      </c>
      <c r="O69" s="55">
        <v>0</v>
      </c>
      <c r="P69" s="127"/>
      <c r="Q69" s="126"/>
      <c r="R69" s="121"/>
      <c r="S69" s="382">
        <v>0</v>
      </c>
      <c r="T69" s="57">
        <f t="shared" si="6"/>
        <v>0</v>
      </c>
      <c r="U69" s="51"/>
      <c r="V69" s="2119">
        <f t="shared" si="8"/>
        <v>0</v>
      </c>
      <c r="W69" s="43"/>
      <c r="X69" s="43"/>
      <c r="Y69" s="43"/>
      <c r="Z69" s="43"/>
    </row>
    <row r="70" spans="1:26">
      <c r="A70" s="379" t="s">
        <v>811</v>
      </c>
      <c r="B70" s="380"/>
      <c r="C70" s="380"/>
      <c r="D70" s="380"/>
      <c r="E70" s="380"/>
      <c r="F70" s="380"/>
      <c r="G70" s="380"/>
      <c r="H70" s="380"/>
      <c r="I70" s="380"/>
      <c r="J70" s="380"/>
      <c r="K70" s="380"/>
      <c r="L70" s="381"/>
      <c r="M70" s="51"/>
      <c r="N70" s="383">
        <v>2</v>
      </c>
      <c r="O70" s="384"/>
      <c r="P70" s="385"/>
      <c r="Q70" s="386"/>
      <c r="R70" s="385"/>
      <c r="S70" s="386"/>
      <c r="T70" s="387"/>
      <c r="U70" s="51"/>
      <c r="V70" s="2119"/>
      <c r="W70" s="43"/>
      <c r="X70" s="43"/>
      <c r="Y70" s="43"/>
      <c r="Z70" s="43"/>
    </row>
    <row r="71" spans="1:26">
      <c r="A71" s="85">
        <v>2010</v>
      </c>
      <c r="B71" s="86" t="s">
        <v>973</v>
      </c>
      <c r="C71" s="86"/>
      <c r="D71" s="86"/>
      <c r="E71" s="86"/>
      <c r="F71" s="86"/>
      <c r="G71" s="86"/>
      <c r="H71" s="86"/>
      <c r="I71" s="86"/>
      <c r="J71" s="86"/>
      <c r="K71" s="86"/>
      <c r="L71" s="87"/>
      <c r="M71" s="51"/>
      <c r="N71" s="112">
        <f t="shared" ref="N71:N101" si="9">+A71</f>
        <v>2010</v>
      </c>
      <c r="O71" s="835"/>
      <c r="P71" s="836">
        <v>0</v>
      </c>
      <c r="Q71" s="577"/>
      <c r="R71" s="324"/>
      <c r="S71" s="837">
        <f t="shared" ref="S71:S89" si="10">+IF(ABS(+O71+Q71)&gt;=ABS(P71+R71),+O71-P71+Q71-R71,0)</f>
        <v>0</v>
      </c>
      <c r="T71" s="2168">
        <v>0</v>
      </c>
      <c r="U71" s="51"/>
      <c r="V71" s="2120">
        <f t="shared" ref="V71:V89" si="11">+IF(OR(ROUND(P71,2)+ROUND(R71,2)&gt;+ROUND(O71,2)+ROUND(Q71,2),+ABS(ROUND(P71,2)+ROUND(R71,2))&gt;+ABS(ROUND(O71,2)+ROUND(Q71,2))),+(ROUND(P71,2)+ROUND(R71,2))-(ROUND(O71,2)+ROUND(Q71,2)),0)</f>
        <v>0</v>
      </c>
      <c r="W71" s="43"/>
      <c r="X71" s="43"/>
      <c r="Y71" s="43"/>
      <c r="Z71" s="43"/>
    </row>
    <row r="72" spans="1:26">
      <c r="A72" s="88">
        <v>2020</v>
      </c>
      <c r="B72" s="86" t="s">
        <v>812</v>
      </c>
      <c r="C72" s="86"/>
      <c r="D72" s="86"/>
      <c r="E72" s="86"/>
      <c r="F72" s="86"/>
      <c r="G72" s="86"/>
      <c r="H72" s="86"/>
      <c r="I72" s="86"/>
      <c r="J72" s="86"/>
      <c r="K72" s="86"/>
      <c r="L72" s="90"/>
      <c r="M72" s="51"/>
      <c r="N72" s="112">
        <f t="shared" si="9"/>
        <v>2020</v>
      </c>
      <c r="O72" s="835"/>
      <c r="P72" s="836">
        <v>0</v>
      </c>
      <c r="Q72" s="577"/>
      <c r="R72" s="324"/>
      <c r="S72" s="837">
        <f t="shared" si="10"/>
        <v>0</v>
      </c>
      <c r="T72" s="2168">
        <v>0</v>
      </c>
      <c r="U72" s="51"/>
      <c r="V72" s="2120">
        <f t="shared" si="11"/>
        <v>0</v>
      </c>
      <c r="W72" s="43"/>
      <c r="X72" s="43"/>
      <c r="Y72" s="43"/>
      <c r="Z72" s="43"/>
    </row>
    <row r="73" spans="1:26">
      <c r="A73" s="88">
        <v>2031</v>
      </c>
      <c r="B73" s="86" t="s">
        <v>548</v>
      </c>
      <c r="C73" s="1033"/>
      <c r="D73" s="1033"/>
      <c r="E73" s="1033"/>
      <c r="F73" s="1033"/>
      <c r="G73" s="1033"/>
      <c r="H73" s="1033"/>
      <c r="I73" s="1033"/>
      <c r="J73" s="1033"/>
      <c r="K73" s="1033"/>
      <c r="L73" s="90"/>
      <c r="M73" s="51"/>
      <c r="N73" s="113">
        <f t="shared" si="9"/>
        <v>2031</v>
      </c>
      <c r="O73" s="581">
        <v>0</v>
      </c>
      <c r="P73" s="582">
        <v>0</v>
      </c>
      <c r="Q73" s="589">
        <v>0</v>
      </c>
      <c r="R73" s="121">
        <v>0</v>
      </c>
      <c r="S73" s="583">
        <f t="shared" si="10"/>
        <v>0</v>
      </c>
      <c r="T73" s="584">
        <v>0</v>
      </c>
      <c r="U73" s="51"/>
      <c r="V73" s="2120">
        <f t="shared" si="11"/>
        <v>0</v>
      </c>
      <c r="W73" s="43"/>
      <c r="X73" s="43"/>
      <c r="Y73" s="43"/>
      <c r="Z73" s="43"/>
    </row>
    <row r="74" spans="1:26">
      <c r="A74" s="88">
        <v>2032</v>
      </c>
      <c r="B74" s="86" t="s">
        <v>974</v>
      </c>
      <c r="C74" s="1033"/>
      <c r="D74" s="1033"/>
      <c r="E74" s="1033"/>
      <c r="F74" s="1033"/>
      <c r="G74" s="1033"/>
      <c r="H74" s="1033"/>
      <c r="I74" s="1033"/>
      <c r="J74" s="1033"/>
      <c r="K74" s="1033"/>
      <c r="L74" s="90"/>
      <c r="M74" s="51"/>
      <c r="N74" s="113">
        <f t="shared" si="9"/>
        <v>2032</v>
      </c>
      <c r="O74" s="581"/>
      <c r="P74" s="582">
        <v>0</v>
      </c>
      <c r="Q74" s="589"/>
      <c r="R74" s="121"/>
      <c r="S74" s="583">
        <f t="shared" si="10"/>
        <v>0</v>
      </c>
      <c r="T74" s="584">
        <v>0</v>
      </c>
      <c r="U74" s="51"/>
      <c r="V74" s="2120">
        <f t="shared" si="11"/>
        <v>0</v>
      </c>
      <c r="W74" s="43"/>
      <c r="X74" s="43"/>
      <c r="Y74" s="43"/>
      <c r="Z74" s="43"/>
    </row>
    <row r="75" spans="1:26">
      <c r="A75" s="88">
        <v>2038</v>
      </c>
      <c r="B75" s="86" t="s">
        <v>358</v>
      </c>
      <c r="C75" s="1033"/>
      <c r="D75" s="1033"/>
      <c r="E75" s="1033"/>
      <c r="F75" s="1033"/>
      <c r="G75" s="1033"/>
      <c r="H75" s="1033"/>
      <c r="I75" s="1033"/>
      <c r="J75" s="1033"/>
      <c r="K75" s="1033"/>
      <c r="L75" s="90"/>
      <c r="M75" s="51"/>
      <c r="N75" s="113">
        <f t="shared" si="9"/>
        <v>2038</v>
      </c>
      <c r="O75" s="581"/>
      <c r="P75" s="582">
        <v>0</v>
      </c>
      <c r="Q75" s="589"/>
      <c r="R75" s="121"/>
      <c r="S75" s="583">
        <f t="shared" si="10"/>
        <v>0</v>
      </c>
      <c r="T75" s="584">
        <v>0</v>
      </c>
      <c r="U75" s="51"/>
      <c r="V75" s="2120">
        <f t="shared" si="11"/>
        <v>0</v>
      </c>
      <c r="W75" s="43"/>
      <c r="X75" s="43"/>
      <c r="Y75" s="43"/>
      <c r="Z75" s="43"/>
    </row>
    <row r="76" spans="1:26">
      <c r="A76" s="88">
        <v>2039</v>
      </c>
      <c r="B76" s="86" t="s">
        <v>549</v>
      </c>
      <c r="C76" s="1033"/>
      <c r="D76" s="1033"/>
      <c r="E76" s="1033"/>
      <c r="F76" s="1033"/>
      <c r="G76" s="1033"/>
      <c r="H76" s="1033"/>
      <c r="I76" s="1033"/>
      <c r="J76" s="1033"/>
      <c r="K76" s="1033"/>
      <c r="L76" s="90"/>
      <c r="M76" s="51"/>
      <c r="N76" s="113">
        <f t="shared" si="9"/>
        <v>2039</v>
      </c>
      <c r="O76" s="581"/>
      <c r="P76" s="582">
        <v>0</v>
      </c>
      <c r="Q76" s="589"/>
      <c r="R76" s="121"/>
      <c r="S76" s="583">
        <f t="shared" si="10"/>
        <v>0</v>
      </c>
      <c r="T76" s="584">
        <v>0</v>
      </c>
      <c r="U76" s="51"/>
      <c r="V76" s="2120">
        <f t="shared" si="11"/>
        <v>0</v>
      </c>
      <c r="W76" s="43"/>
      <c r="X76" s="43"/>
      <c r="Y76" s="43"/>
      <c r="Z76" s="43"/>
    </row>
    <row r="77" spans="1:26">
      <c r="A77" s="88">
        <v>2041</v>
      </c>
      <c r="B77" s="86" t="s">
        <v>550</v>
      </c>
      <c r="C77" s="1033"/>
      <c r="D77" s="1033"/>
      <c r="E77" s="1033"/>
      <c r="F77" s="1033"/>
      <c r="G77" s="1033"/>
      <c r="H77" s="1033"/>
      <c r="I77" s="1033"/>
      <c r="J77" s="1033"/>
      <c r="K77" s="1033"/>
      <c r="L77" s="90"/>
      <c r="M77" s="51"/>
      <c r="N77" s="113">
        <f t="shared" si="9"/>
        <v>2041</v>
      </c>
      <c r="O77" s="581">
        <v>0</v>
      </c>
      <c r="P77" s="582">
        <v>0</v>
      </c>
      <c r="Q77" s="589">
        <v>0</v>
      </c>
      <c r="R77" s="121">
        <v>0</v>
      </c>
      <c r="S77" s="583">
        <f t="shared" si="10"/>
        <v>0</v>
      </c>
      <c r="T77" s="584">
        <v>0</v>
      </c>
      <c r="U77" s="51"/>
      <c r="V77" s="2120">
        <f t="shared" si="11"/>
        <v>0</v>
      </c>
      <c r="W77" s="43"/>
      <c r="X77" s="43"/>
      <c r="Y77" s="43"/>
      <c r="Z77" s="43"/>
    </row>
    <row r="78" spans="1:26">
      <c r="A78" s="88">
        <v>2049</v>
      </c>
      <c r="B78" s="86" t="s">
        <v>551</v>
      </c>
      <c r="C78" s="1033"/>
      <c r="D78" s="1033"/>
      <c r="E78" s="1033"/>
      <c r="F78" s="1033"/>
      <c r="G78" s="1033"/>
      <c r="H78" s="1033"/>
      <c r="I78" s="1033"/>
      <c r="J78" s="1033"/>
      <c r="K78" s="1033"/>
      <c r="L78" s="90"/>
      <c r="M78" s="51"/>
      <c r="N78" s="113">
        <f t="shared" si="9"/>
        <v>2049</v>
      </c>
      <c r="O78" s="581">
        <v>0</v>
      </c>
      <c r="P78" s="582">
        <v>0</v>
      </c>
      <c r="Q78" s="589">
        <v>0</v>
      </c>
      <c r="R78" s="121">
        <v>0</v>
      </c>
      <c r="S78" s="583">
        <f t="shared" si="10"/>
        <v>0</v>
      </c>
      <c r="T78" s="584">
        <v>0</v>
      </c>
      <c r="U78" s="51"/>
      <c r="V78" s="2120">
        <f t="shared" si="11"/>
        <v>0</v>
      </c>
      <c r="W78" s="43"/>
      <c r="X78" s="43"/>
      <c r="Y78" s="43"/>
      <c r="Z78" s="43"/>
    </row>
    <row r="79" spans="1:26">
      <c r="A79" s="88">
        <v>2051</v>
      </c>
      <c r="B79" s="86" t="s">
        <v>552</v>
      </c>
      <c r="C79" s="1033"/>
      <c r="D79" s="1033"/>
      <c r="E79" s="1033"/>
      <c r="F79" s="1033"/>
      <c r="G79" s="1033"/>
      <c r="H79" s="1033"/>
      <c r="I79" s="1033"/>
      <c r="J79" s="1033"/>
      <c r="K79" s="1033"/>
      <c r="L79" s="90"/>
      <c r="M79" s="51"/>
      <c r="N79" s="113">
        <f t="shared" si="9"/>
        <v>2051</v>
      </c>
      <c r="O79" s="581"/>
      <c r="P79" s="582">
        <v>0</v>
      </c>
      <c r="Q79" s="589"/>
      <c r="R79" s="121"/>
      <c r="S79" s="583">
        <f t="shared" si="10"/>
        <v>0</v>
      </c>
      <c r="T79" s="584">
        <v>0</v>
      </c>
      <c r="U79" s="51"/>
      <c r="V79" s="2120">
        <f t="shared" si="11"/>
        <v>0</v>
      </c>
      <c r="W79" s="43"/>
      <c r="X79" s="43"/>
      <c r="Y79" s="43"/>
      <c r="Z79" s="43"/>
    </row>
    <row r="80" spans="1:26">
      <c r="A80" s="88">
        <v>2059</v>
      </c>
      <c r="B80" s="86" t="s">
        <v>553</v>
      </c>
      <c r="C80" s="1033"/>
      <c r="D80" s="1033"/>
      <c r="E80" s="1033"/>
      <c r="F80" s="1033"/>
      <c r="G80" s="1033"/>
      <c r="H80" s="1033"/>
      <c r="I80" s="1033"/>
      <c r="J80" s="1033"/>
      <c r="K80" s="1033"/>
      <c r="L80" s="90"/>
      <c r="M80" s="51"/>
      <c r="N80" s="113">
        <f t="shared" si="9"/>
        <v>2059</v>
      </c>
      <c r="O80" s="581">
        <v>0</v>
      </c>
      <c r="P80" s="582">
        <v>0</v>
      </c>
      <c r="Q80" s="589">
        <v>0</v>
      </c>
      <c r="R80" s="121">
        <v>0</v>
      </c>
      <c r="S80" s="583">
        <f t="shared" si="10"/>
        <v>0</v>
      </c>
      <c r="T80" s="584">
        <v>0</v>
      </c>
      <c r="U80" s="51"/>
      <c r="V80" s="2120">
        <f t="shared" si="11"/>
        <v>0</v>
      </c>
      <c r="W80" s="43"/>
      <c r="X80" s="43"/>
      <c r="Y80" s="43"/>
      <c r="Z80" s="43"/>
    </row>
    <row r="81" spans="1:26">
      <c r="A81" s="88">
        <v>2060</v>
      </c>
      <c r="B81" s="86" t="s">
        <v>554</v>
      </c>
      <c r="C81" s="1033"/>
      <c r="D81" s="1033"/>
      <c r="E81" s="1033"/>
      <c r="F81" s="1033"/>
      <c r="G81" s="1033"/>
      <c r="H81" s="1033"/>
      <c r="I81" s="1033"/>
      <c r="J81" s="1033"/>
      <c r="K81" s="1033"/>
      <c r="L81" s="90"/>
      <c r="M81" s="51"/>
      <c r="N81" s="113">
        <f t="shared" si="9"/>
        <v>2060</v>
      </c>
      <c r="O81" s="581">
        <v>0</v>
      </c>
      <c r="P81" s="582">
        <v>0</v>
      </c>
      <c r="Q81" s="589">
        <v>0</v>
      </c>
      <c r="R81" s="121">
        <v>0</v>
      </c>
      <c r="S81" s="583">
        <f t="shared" si="10"/>
        <v>0</v>
      </c>
      <c r="T81" s="584">
        <v>0</v>
      </c>
      <c r="U81" s="51"/>
      <c r="V81" s="2120">
        <f t="shared" si="11"/>
        <v>0</v>
      </c>
      <c r="W81" s="43"/>
      <c r="X81" s="43"/>
      <c r="Y81" s="43"/>
      <c r="Z81" s="43"/>
    </row>
    <row r="82" spans="1:26">
      <c r="A82" s="88">
        <v>2071</v>
      </c>
      <c r="B82" s="86" t="s">
        <v>43</v>
      </c>
      <c r="C82" s="1033"/>
      <c r="D82" s="1033"/>
      <c r="E82" s="1033"/>
      <c r="F82" s="1033"/>
      <c r="G82" s="1033"/>
      <c r="H82" s="1033"/>
      <c r="I82" s="1033"/>
      <c r="J82" s="1033"/>
      <c r="K82" s="1033"/>
      <c r="L82" s="90"/>
      <c r="M82" s="51"/>
      <c r="N82" s="113">
        <f t="shared" si="9"/>
        <v>2071</v>
      </c>
      <c r="O82" s="581">
        <v>0</v>
      </c>
      <c r="P82" s="582">
        <v>0</v>
      </c>
      <c r="Q82" s="589">
        <v>0</v>
      </c>
      <c r="R82" s="121">
        <v>0</v>
      </c>
      <c r="S82" s="583">
        <f t="shared" si="10"/>
        <v>0</v>
      </c>
      <c r="T82" s="584">
        <v>0</v>
      </c>
      <c r="U82" s="51"/>
      <c r="V82" s="2120">
        <f t="shared" si="11"/>
        <v>0</v>
      </c>
      <c r="W82" s="43"/>
      <c r="X82" s="43"/>
      <c r="Y82" s="43"/>
      <c r="Z82" s="43"/>
    </row>
    <row r="83" spans="1:26">
      <c r="A83" s="88">
        <v>2079</v>
      </c>
      <c r="B83" s="86" t="s">
        <v>555</v>
      </c>
      <c r="C83" s="1033"/>
      <c r="D83" s="1033"/>
      <c r="E83" s="1033"/>
      <c r="F83" s="1033"/>
      <c r="G83" s="1033"/>
      <c r="H83" s="1033"/>
      <c r="I83" s="1033"/>
      <c r="J83" s="1033"/>
      <c r="K83" s="1033"/>
      <c r="L83" s="90"/>
      <c r="M83" s="51"/>
      <c r="N83" s="113">
        <f t="shared" si="9"/>
        <v>2079</v>
      </c>
      <c r="O83" s="581">
        <v>0</v>
      </c>
      <c r="P83" s="582">
        <v>0</v>
      </c>
      <c r="Q83" s="589">
        <v>0</v>
      </c>
      <c r="R83" s="121">
        <v>0</v>
      </c>
      <c r="S83" s="583">
        <f t="shared" si="10"/>
        <v>0</v>
      </c>
      <c r="T83" s="584">
        <v>0</v>
      </c>
      <c r="U83" s="51"/>
      <c r="V83" s="2120">
        <f t="shared" si="11"/>
        <v>0</v>
      </c>
      <c r="W83" s="43"/>
      <c r="X83" s="43"/>
      <c r="Y83" s="43"/>
      <c r="Z83" s="43"/>
    </row>
    <row r="84" spans="1:26">
      <c r="A84" s="88">
        <v>2091</v>
      </c>
      <c r="B84" s="86" t="s">
        <v>359</v>
      </c>
      <c r="C84" s="1033"/>
      <c r="D84" s="1033"/>
      <c r="E84" s="1033"/>
      <c r="F84" s="1033"/>
      <c r="G84" s="1033"/>
      <c r="H84" s="1033"/>
      <c r="I84" s="1033"/>
      <c r="J84" s="1033"/>
      <c r="K84" s="1033"/>
      <c r="L84" s="90"/>
      <c r="M84" s="51"/>
      <c r="N84" s="113">
        <f t="shared" si="9"/>
        <v>2091</v>
      </c>
      <c r="O84" s="581"/>
      <c r="P84" s="582">
        <v>0</v>
      </c>
      <c r="Q84" s="589"/>
      <c r="R84" s="121"/>
      <c r="S84" s="583">
        <f t="shared" si="10"/>
        <v>0</v>
      </c>
      <c r="T84" s="584">
        <v>0</v>
      </c>
      <c r="U84" s="51"/>
      <c r="V84" s="2120">
        <f t="shared" si="11"/>
        <v>0</v>
      </c>
      <c r="W84" s="43"/>
      <c r="X84" s="43"/>
      <c r="Y84" s="43"/>
      <c r="Z84" s="43"/>
    </row>
    <row r="85" spans="1:26">
      <c r="A85" s="88">
        <v>2099</v>
      </c>
      <c r="B85" s="86" t="s">
        <v>556</v>
      </c>
      <c r="C85" s="1033"/>
      <c r="D85" s="1033"/>
      <c r="E85" s="1033"/>
      <c r="F85" s="1033"/>
      <c r="G85" s="1033"/>
      <c r="H85" s="1033"/>
      <c r="I85" s="1033"/>
      <c r="J85" s="1033"/>
      <c r="K85" s="1033"/>
      <c r="L85" s="90"/>
      <c r="M85" s="51"/>
      <c r="N85" s="113">
        <f t="shared" si="9"/>
        <v>2099</v>
      </c>
      <c r="O85" s="581">
        <v>0</v>
      </c>
      <c r="P85" s="582">
        <v>0</v>
      </c>
      <c r="Q85" s="589">
        <v>0</v>
      </c>
      <c r="R85" s="121">
        <v>0</v>
      </c>
      <c r="S85" s="583">
        <f t="shared" si="10"/>
        <v>0</v>
      </c>
      <c r="T85" s="584">
        <v>0</v>
      </c>
      <c r="U85" s="51"/>
      <c r="V85" s="2120">
        <f t="shared" si="11"/>
        <v>0</v>
      </c>
      <c r="W85" s="43"/>
      <c r="X85" s="43"/>
      <c r="Y85" s="43"/>
      <c r="Z85" s="43"/>
    </row>
    <row r="86" spans="1:26">
      <c r="A86" s="88">
        <v>2101</v>
      </c>
      <c r="B86" s="86" t="s">
        <v>360</v>
      </c>
      <c r="C86" s="1033"/>
      <c r="D86" s="1033"/>
      <c r="E86" s="1033"/>
      <c r="F86" s="1033"/>
      <c r="G86" s="1033"/>
      <c r="H86" s="1033"/>
      <c r="I86" s="1033"/>
      <c r="J86" s="1033"/>
      <c r="K86" s="1033"/>
      <c r="L86" s="90"/>
      <c r="M86" s="51"/>
      <c r="N86" s="113">
        <f t="shared" si="9"/>
        <v>2101</v>
      </c>
      <c r="O86" s="581">
        <v>0</v>
      </c>
      <c r="P86" s="582">
        <v>0</v>
      </c>
      <c r="Q86" s="589">
        <v>0</v>
      </c>
      <c r="R86" s="121">
        <v>0</v>
      </c>
      <c r="S86" s="583">
        <f t="shared" si="10"/>
        <v>0</v>
      </c>
      <c r="T86" s="584">
        <v>0</v>
      </c>
      <c r="U86" s="51"/>
      <c r="V86" s="2120">
        <f t="shared" si="11"/>
        <v>0</v>
      </c>
      <c r="W86" s="43"/>
      <c r="X86" s="43"/>
      <c r="Y86" s="43"/>
      <c r="Z86" s="43"/>
    </row>
    <row r="87" spans="1:26">
      <c r="A87" s="88">
        <v>2102</v>
      </c>
      <c r="B87" s="86" t="s">
        <v>557</v>
      </c>
      <c r="C87" s="1033"/>
      <c r="D87" s="1033"/>
      <c r="E87" s="1033"/>
      <c r="F87" s="1033"/>
      <c r="G87" s="1033"/>
      <c r="H87" s="1033"/>
      <c r="I87" s="1033"/>
      <c r="J87" s="1033"/>
      <c r="K87" s="1033"/>
      <c r="L87" s="90"/>
      <c r="M87" s="51"/>
      <c r="N87" s="113">
        <f t="shared" si="9"/>
        <v>2102</v>
      </c>
      <c r="O87" s="581">
        <v>0</v>
      </c>
      <c r="P87" s="582">
        <v>0</v>
      </c>
      <c r="Q87" s="589">
        <v>0</v>
      </c>
      <c r="R87" s="121">
        <v>0</v>
      </c>
      <c r="S87" s="583">
        <f t="shared" si="10"/>
        <v>0</v>
      </c>
      <c r="T87" s="584">
        <v>0</v>
      </c>
      <c r="U87" s="51"/>
      <c r="V87" s="2120">
        <f t="shared" si="11"/>
        <v>0</v>
      </c>
      <c r="W87" s="43"/>
      <c r="X87" s="43"/>
      <c r="Y87" s="43"/>
      <c r="Z87" s="43"/>
    </row>
    <row r="88" spans="1:26">
      <c r="A88" s="88">
        <v>2107</v>
      </c>
      <c r="B88" s="86" t="s">
        <v>361</v>
      </c>
      <c r="C88" s="1033"/>
      <c r="D88" s="1033"/>
      <c r="E88" s="1033"/>
      <c r="F88" s="1033"/>
      <c r="G88" s="1033"/>
      <c r="H88" s="1033"/>
      <c r="I88" s="1033"/>
      <c r="J88" s="1033"/>
      <c r="K88" s="1033"/>
      <c r="L88" s="90"/>
      <c r="M88" s="51"/>
      <c r="N88" s="113">
        <f t="shared" si="9"/>
        <v>2107</v>
      </c>
      <c r="O88" s="581"/>
      <c r="P88" s="582">
        <v>0</v>
      </c>
      <c r="Q88" s="589"/>
      <c r="R88" s="121"/>
      <c r="S88" s="583">
        <f t="shared" si="10"/>
        <v>0</v>
      </c>
      <c r="T88" s="584">
        <v>0</v>
      </c>
      <c r="U88" s="51"/>
      <c r="V88" s="2120">
        <f t="shared" si="11"/>
        <v>0</v>
      </c>
      <c r="W88" s="43"/>
      <c r="X88" s="43"/>
      <c r="Y88" s="43"/>
      <c r="Z88" s="43"/>
    </row>
    <row r="89" spans="1:26">
      <c r="A89" s="88">
        <v>2109</v>
      </c>
      <c r="B89" s="86" t="s">
        <v>558</v>
      </c>
      <c r="C89" s="1033"/>
      <c r="D89" s="1033"/>
      <c r="E89" s="1033"/>
      <c r="F89" s="1033"/>
      <c r="G89" s="1033"/>
      <c r="H89" s="1033"/>
      <c r="I89" s="1033"/>
      <c r="J89" s="1033"/>
      <c r="K89" s="1033"/>
      <c r="L89" s="90"/>
      <c r="M89" s="51"/>
      <c r="N89" s="113">
        <f t="shared" si="9"/>
        <v>2109</v>
      </c>
      <c r="O89" s="581">
        <v>0</v>
      </c>
      <c r="P89" s="582">
        <v>0</v>
      </c>
      <c r="Q89" s="589">
        <v>0</v>
      </c>
      <c r="R89" s="121">
        <v>0</v>
      </c>
      <c r="S89" s="583">
        <f t="shared" si="10"/>
        <v>0</v>
      </c>
      <c r="T89" s="584">
        <v>0</v>
      </c>
      <c r="U89" s="51"/>
      <c r="V89" s="2120">
        <f t="shared" si="11"/>
        <v>0</v>
      </c>
      <c r="W89" s="43"/>
      <c r="X89" s="43"/>
      <c r="Y89" s="43"/>
      <c r="Z89" s="43"/>
    </row>
    <row r="90" spans="1:26">
      <c r="A90" s="88">
        <v>2201</v>
      </c>
      <c r="B90" s="86" t="s">
        <v>383</v>
      </c>
      <c r="C90" s="1033"/>
      <c r="D90" s="1033"/>
      <c r="E90" s="1033"/>
      <c r="F90" s="1033"/>
      <c r="G90" s="1033"/>
      <c r="H90" s="1033"/>
      <c r="I90" s="1033"/>
      <c r="J90" s="1033"/>
      <c r="K90" s="1033"/>
      <c r="L90" s="574"/>
      <c r="M90" s="51"/>
      <c r="N90" s="113">
        <f t="shared" si="9"/>
        <v>2201</v>
      </c>
      <c r="O90" s="575">
        <v>0</v>
      </c>
      <c r="P90" s="582">
        <v>0</v>
      </c>
      <c r="Q90" s="579">
        <v>0</v>
      </c>
      <c r="R90" s="582">
        <v>0</v>
      </c>
      <c r="S90" s="579">
        <v>0</v>
      </c>
      <c r="T90" s="584">
        <v>0</v>
      </c>
      <c r="U90" s="51"/>
      <c r="V90" s="2125">
        <f>+IF(OR(O90&lt;&gt;0,P90&lt;&gt;0,Q90&lt;&gt;0,R90&lt;&gt;0,S90&lt;&gt;0,T90&lt;&gt;0),+IF(ABS(O90+Q90)-ABS(P90+R90)&lt;&gt;0,ABS(O90+Q90)-ABS(P90+R90),1),0)</f>
        <v>0</v>
      </c>
      <c r="W90" s="43"/>
      <c r="X90" s="43"/>
      <c r="Y90" s="43"/>
      <c r="Z90" s="43"/>
    </row>
    <row r="91" spans="1:26">
      <c r="A91" s="88">
        <v>2202</v>
      </c>
      <c r="B91" s="86" t="s">
        <v>384</v>
      </c>
      <c r="C91" s="1033"/>
      <c r="D91" s="1033"/>
      <c r="E91" s="1033"/>
      <c r="F91" s="1033"/>
      <c r="G91" s="1033"/>
      <c r="H91" s="1033"/>
      <c r="I91" s="1033"/>
      <c r="J91" s="1033"/>
      <c r="K91" s="1033"/>
      <c r="L91" s="574"/>
      <c r="M91" s="51"/>
      <c r="N91" s="113">
        <f t="shared" si="9"/>
        <v>2202</v>
      </c>
      <c r="O91" s="575">
        <v>0</v>
      </c>
      <c r="P91" s="582">
        <v>0</v>
      </c>
      <c r="Q91" s="579">
        <v>0</v>
      </c>
      <c r="R91" s="582">
        <v>0</v>
      </c>
      <c r="S91" s="579">
        <v>0</v>
      </c>
      <c r="T91" s="584">
        <v>0</v>
      </c>
      <c r="U91" s="51"/>
      <c r="V91" s="2125">
        <f>+IF(OR(O91&lt;&gt;0,P91&lt;&gt;0,Q91&lt;&gt;0,R91&lt;&gt;0,S91&lt;&gt;0,T91&lt;&gt;0),+IF(ABS(O91+Q91)-ABS(P91+R91)&lt;&gt;0,ABS(O91+Q91)-ABS(P91+R91),1),0)</f>
        <v>0</v>
      </c>
      <c r="W91" s="43"/>
      <c r="X91" s="43"/>
      <c r="Y91" s="43"/>
      <c r="Z91" s="43"/>
    </row>
    <row r="92" spans="1:26">
      <c r="A92" s="88">
        <v>2203</v>
      </c>
      <c r="B92" s="86" t="s">
        <v>385</v>
      </c>
      <c r="C92" s="1033"/>
      <c r="D92" s="1033"/>
      <c r="E92" s="1033"/>
      <c r="F92" s="1033"/>
      <c r="G92" s="1033"/>
      <c r="H92" s="1033"/>
      <c r="I92" s="1033"/>
      <c r="J92" s="1033"/>
      <c r="K92" s="1033"/>
      <c r="L92" s="574"/>
      <c r="M92" s="51"/>
      <c r="N92" s="113">
        <f t="shared" si="9"/>
        <v>2203</v>
      </c>
      <c r="O92" s="575">
        <v>0</v>
      </c>
      <c r="P92" s="582">
        <v>0</v>
      </c>
      <c r="Q92" s="579">
        <v>0</v>
      </c>
      <c r="R92" s="582">
        <v>0</v>
      </c>
      <c r="S92" s="579">
        <v>0</v>
      </c>
      <c r="T92" s="584">
        <v>0</v>
      </c>
      <c r="U92" s="51"/>
      <c r="V92" s="2125">
        <f>+IF(OR(O92&lt;&gt;0,P92&lt;&gt;0,Q92&lt;&gt;0,R92&lt;&gt;0,S92&lt;&gt;0,T92&lt;&gt;0),+IF(ABS(O92+Q92)-ABS(P92+R92)&lt;&gt;0,ABS(O92+Q92)-ABS(P92+R92),1),0)</f>
        <v>0</v>
      </c>
      <c r="W92" s="43"/>
      <c r="X92" s="43"/>
      <c r="Y92" s="43"/>
      <c r="Z92" s="43"/>
    </row>
    <row r="93" spans="1:26">
      <c r="A93" s="88">
        <v>2204</v>
      </c>
      <c r="B93" s="86" t="s">
        <v>691</v>
      </c>
      <c r="C93" s="1033"/>
      <c r="D93" s="1033"/>
      <c r="E93" s="1033"/>
      <c r="F93" s="1033"/>
      <c r="G93" s="1033"/>
      <c r="H93" s="1033"/>
      <c r="I93" s="1033"/>
      <c r="J93" s="1033"/>
      <c r="K93" s="1033"/>
      <c r="L93" s="574"/>
      <c r="M93" s="51"/>
      <c r="N93" s="113">
        <f t="shared" si="9"/>
        <v>2204</v>
      </c>
      <c r="O93" s="575">
        <v>0</v>
      </c>
      <c r="P93" s="582">
        <v>0</v>
      </c>
      <c r="Q93" s="579">
        <v>0</v>
      </c>
      <c r="R93" s="582">
        <v>0</v>
      </c>
      <c r="S93" s="579">
        <v>0</v>
      </c>
      <c r="T93" s="584">
        <v>0</v>
      </c>
      <c r="U93" s="51"/>
      <c r="V93" s="2125">
        <f>+IF(OR(O93&lt;&gt;0,P93&lt;&gt;0,Q93&lt;&gt;0,R93&lt;&gt;0,S93&lt;&gt;0,T93&lt;&gt;0),+IF(ABS(O93+Q93)-ABS(P93+R93)&lt;&gt;0,ABS(O93+Q93)-ABS(P93+R93),1),0)</f>
        <v>0</v>
      </c>
      <c r="W93" s="43"/>
      <c r="X93" s="43"/>
      <c r="Y93" s="43"/>
      <c r="Z93" s="43"/>
    </row>
    <row r="94" spans="1:26">
      <c r="A94" s="591">
        <v>2412</v>
      </c>
      <c r="B94" s="1034" t="s">
        <v>975</v>
      </c>
      <c r="C94" s="1033"/>
      <c r="D94" s="1033"/>
      <c r="E94" s="1033"/>
      <c r="F94" s="1033"/>
      <c r="G94" s="1033"/>
      <c r="H94" s="1033"/>
      <c r="I94" s="1033"/>
      <c r="J94" s="1033"/>
      <c r="K94" s="1033"/>
      <c r="L94" s="574"/>
      <c r="M94" s="51"/>
      <c r="N94" s="1733">
        <f t="shared" si="9"/>
        <v>2412</v>
      </c>
      <c r="O94" s="575">
        <v>0</v>
      </c>
      <c r="P94" s="582">
        <v>0</v>
      </c>
      <c r="Q94" s="579">
        <v>0</v>
      </c>
      <c r="R94" s="582">
        <v>0</v>
      </c>
      <c r="S94" s="29">
        <v>0</v>
      </c>
      <c r="T94" s="28">
        <f t="shared" ref="T94:T101" si="12">+IF(ABS(+O94+Q94)&lt;=ABS(P94+R94),-O94+P94-Q94+R94,0)</f>
        <v>0</v>
      </c>
      <c r="U94" s="51"/>
      <c r="V94" s="2119">
        <f t="shared" ref="V94:V101" si="13">+IF(OR(+ROUND(O94,2)+ROUND(Q94,2)&gt;ROUND(P94,2)+ROUND(R94,2),+ABS(ROUND(O94,2)+ROUND(Q94,2))&gt;+ABS(ROUND(P94,2)+ROUND(R94,2))),+(ROUND(O94,2)+ROUND(Q94,2))-(ROUND(P94,2)+ROUND(R94,2)),0)</f>
        <v>0</v>
      </c>
      <c r="W94" s="43"/>
      <c r="X94" s="43"/>
      <c r="Y94" s="43"/>
      <c r="Z94" s="43"/>
    </row>
    <row r="95" spans="1:26">
      <c r="A95" s="591">
        <v>2413</v>
      </c>
      <c r="B95" s="1034" t="s">
        <v>976</v>
      </c>
      <c r="C95" s="1033"/>
      <c r="D95" s="1033"/>
      <c r="E95" s="1033"/>
      <c r="F95" s="1033"/>
      <c r="G95" s="1033"/>
      <c r="H95" s="1033"/>
      <c r="I95" s="1033"/>
      <c r="J95" s="1033"/>
      <c r="K95" s="1033"/>
      <c r="L95" s="574"/>
      <c r="M95" s="51"/>
      <c r="N95" s="1733">
        <f t="shared" si="9"/>
        <v>2413</v>
      </c>
      <c r="O95" s="575">
        <v>0</v>
      </c>
      <c r="P95" s="582">
        <v>0</v>
      </c>
      <c r="Q95" s="579">
        <v>0</v>
      </c>
      <c r="R95" s="582">
        <v>0</v>
      </c>
      <c r="S95" s="29">
        <v>0</v>
      </c>
      <c r="T95" s="28">
        <f t="shared" si="12"/>
        <v>0</v>
      </c>
      <c r="U95" s="51"/>
      <c r="V95" s="2119">
        <f t="shared" si="13"/>
        <v>0</v>
      </c>
      <c r="W95" s="43"/>
      <c r="X95" s="43"/>
      <c r="Y95" s="43"/>
      <c r="Z95" s="43"/>
    </row>
    <row r="96" spans="1:26">
      <c r="A96" s="591">
        <v>2414</v>
      </c>
      <c r="B96" s="1034" t="s">
        <v>977</v>
      </c>
      <c r="C96" s="1033"/>
      <c r="D96" s="1033"/>
      <c r="E96" s="1033"/>
      <c r="F96" s="1033"/>
      <c r="G96" s="1033"/>
      <c r="H96" s="1033"/>
      <c r="I96" s="1033"/>
      <c r="J96" s="1033"/>
      <c r="K96" s="1033"/>
      <c r="L96" s="574"/>
      <c r="M96" s="51"/>
      <c r="N96" s="1733">
        <f t="shared" si="9"/>
        <v>2414</v>
      </c>
      <c r="O96" s="575">
        <v>0</v>
      </c>
      <c r="P96" s="582">
        <v>0</v>
      </c>
      <c r="Q96" s="579">
        <v>0</v>
      </c>
      <c r="R96" s="582">
        <v>0</v>
      </c>
      <c r="S96" s="29">
        <v>0</v>
      </c>
      <c r="T96" s="28">
        <f t="shared" si="12"/>
        <v>0</v>
      </c>
      <c r="U96" s="51"/>
      <c r="V96" s="2119">
        <f t="shared" si="13"/>
        <v>0</v>
      </c>
      <c r="W96" s="43"/>
      <c r="X96" s="43"/>
      <c r="Y96" s="43"/>
      <c r="Z96" s="43"/>
    </row>
    <row r="97" spans="1:26">
      <c r="A97" s="591">
        <v>2415</v>
      </c>
      <c r="B97" s="1034" t="s">
        <v>355</v>
      </c>
      <c r="C97" s="1034"/>
      <c r="D97" s="1034"/>
      <c r="E97" s="1034"/>
      <c r="F97" s="1033"/>
      <c r="G97" s="1033"/>
      <c r="H97" s="1033"/>
      <c r="I97" s="1033"/>
      <c r="J97" s="1033"/>
      <c r="K97" s="1033"/>
      <c r="L97" s="574"/>
      <c r="M97" s="51"/>
      <c r="N97" s="1733">
        <f t="shared" si="9"/>
        <v>2415</v>
      </c>
      <c r="O97" s="575">
        <v>0</v>
      </c>
      <c r="P97" s="582">
        <v>0</v>
      </c>
      <c r="Q97" s="579">
        <v>0</v>
      </c>
      <c r="R97" s="582">
        <v>0</v>
      </c>
      <c r="S97" s="29">
        <v>0</v>
      </c>
      <c r="T97" s="28">
        <f t="shared" si="12"/>
        <v>0</v>
      </c>
      <c r="U97" s="51"/>
      <c r="V97" s="2119">
        <f t="shared" si="13"/>
        <v>0</v>
      </c>
      <c r="W97" s="43"/>
      <c r="X97" s="43"/>
      <c r="Y97" s="43"/>
      <c r="Z97" s="43"/>
    </row>
    <row r="98" spans="1:26">
      <c r="A98" s="591">
        <v>2416</v>
      </c>
      <c r="B98" s="1034" t="s">
        <v>356</v>
      </c>
      <c r="C98" s="1033"/>
      <c r="D98" s="1033"/>
      <c r="E98" s="1033"/>
      <c r="F98" s="1033"/>
      <c r="G98" s="1033"/>
      <c r="H98" s="1033"/>
      <c r="I98" s="1033"/>
      <c r="J98" s="1033"/>
      <c r="K98" s="1033"/>
      <c r="L98" s="574"/>
      <c r="M98" s="51"/>
      <c r="N98" s="1733">
        <f t="shared" si="9"/>
        <v>2416</v>
      </c>
      <c r="O98" s="575">
        <v>0</v>
      </c>
      <c r="P98" s="582">
        <v>0</v>
      </c>
      <c r="Q98" s="579">
        <v>0</v>
      </c>
      <c r="R98" s="582">
        <v>0</v>
      </c>
      <c r="S98" s="29">
        <v>0</v>
      </c>
      <c r="T98" s="28">
        <f t="shared" si="12"/>
        <v>0</v>
      </c>
      <c r="U98" s="51"/>
      <c r="V98" s="2119">
        <f t="shared" si="13"/>
        <v>0</v>
      </c>
      <c r="W98" s="43"/>
      <c r="X98" s="43"/>
      <c r="Y98" s="43"/>
      <c r="Z98" s="43"/>
    </row>
    <row r="99" spans="1:26">
      <c r="A99" s="591">
        <v>2417</v>
      </c>
      <c r="B99" s="1034" t="s">
        <v>362</v>
      </c>
      <c r="C99" s="591"/>
      <c r="D99" s="1034"/>
      <c r="E99" s="591"/>
      <c r="F99" s="1034"/>
      <c r="G99" s="1033"/>
      <c r="H99" s="1033"/>
      <c r="I99" s="1033"/>
      <c r="J99" s="1033"/>
      <c r="K99" s="1033"/>
      <c r="L99" s="574"/>
      <c r="M99" s="51"/>
      <c r="N99" s="1733">
        <f t="shared" si="9"/>
        <v>2417</v>
      </c>
      <c r="O99" s="575">
        <v>0</v>
      </c>
      <c r="P99" s="582">
        <v>0</v>
      </c>
      <c r="Q99" s="579">
        <v>0</v>
      </c>
      <c r="R99" s="582">
        <v>0</v>
      </c>
      <c r="S99" s="29">
        <v>0</v>
      </c>
      <c r="T99" s="28">
        <f t="shared" si="12"/>
        <v>0</v>
      </c>
      <c r="U99" s="51"/>
      <c r="V99" s="2119">
        <f t="shared" si="13"/>
        <v>0</v>
      </c>
      <c r="W99" s="43"/>
      <c r="X99" s="43"/>
      <c r="Y99" s="43"/>
      <c r="Z99" s="43"/>
    </row>
    <row r="100" spans="1:26">
      <c r="A100" s="591">
        <v>2419</v>
      </c>
      <c r="B100" s="1034" t="s">
        <v>357</v>
      </c>
      <c r="C100" s="1033"/>
      <c r="D100" s="1033"/>
      <c r="E100" s="1033"/>
      <c r="F100" s="1033"/>
      <c r="G100" s="1033"/>
      <c r="H100" s="1033"/>
      <c r="I100" s="1033"/>
      <c r="J100" s="1033"/>
      <c r="K100" s="1033"/>
      <c r="L100" s="574"/>
      <c r="M100" s="51"/>
      <c r="N100" s="1733">
        <f t="shared" si="9"/>
        <v>2419</v>
      </c>
      <c r="O100" s="575">
        <v>0</v>
      </c>
      <c r="P100" s="582">
        <v>0</v>
      </c>
      <c r="Q100" s="579">
        <v>0</v>
      </c>
      <c r="R100" s="582">
        <v>0</v>
      </c>
      <c r="S100" s="29">
        <v>0</v>
      </c>
      <c r="T100" s="28">
        <f t="shared" si="12"/>
        <v>0</v>
      </c>
      <c r="U100" s="51"/>
      <c r="V100" s="2119">
        <f t="shared" si="13"/>
        <v>0</v>
      </c>
      <c r="W100" s="43"/>
      <c r="X100" s="43"/>
      <c r="Y100" s="43"/>
      <c r="Z100" s="43"/>
    </row>
    <row r="101" spans="1:26">
      <c r="A101" s="1047">
        <v>2420</v>
      </c>
      <c r="B101" s="1049" t="s">
        <v>902</v>
      </c>
      <c r="C101" s="1049"/>
      <c r="D101" s="1049"/>
      <c r="E101" s="1049"/>
      <c r="F101" s="1049"/>
      <c r="G101" s="1049"/>
      <c r="H101" s="1049"/>
      <c r="I101" s="1049"/>
      <c r="J101" s="1049"/>
      <c r="K101" s="1049"/>
      <c r="L101" s="1050"/>
      <c r="M101" s="51"/>
      <c r="N101" s="2134">
        <f t="shared" si="9"/>
        <v>2420</v>
      </c>
      <c r="O101" s="856">
        <v>0</v>
      </c>
      <c r="P101" s="839">
        <v>0</v>
      </c>
      <c r="Q101" s="857">
        <v>0</v>
      </c>
      <c r="R101" s="839">
        <v>0</v>
      </c>
      <c r="S101" s="382">
        <v>0</v>
      </c>
      <c r="T101" s="57">
        <f t="shared" si="12"/>
        <v>0</v>
      </c>
      <c r="U101" s="51"/>
      <c r="V101" s="2119">
        <f t="shared" si="13"/>
        <v>0</v>
      </c>
      <c r="W101" s="43"/>
      <c r="X101" s="43"/>
      <c r="Y101" s="43"/>
      <c r="Z101" s="43"/>
    </row>
    <row r="102" spans="1:26">
      <c r="A102" s="379" t="s">
        <v>903</v>
      </c>
      <c r="B102" s="380"/>
      <c r="C102" s="380"/>
      <c r="D102" s="380"/>
      <c r="E102" s="380"/>
      <c r="F102" s="380"/>
      <c r="G102" s="380"/>
      <c r="H102" s="380"/>
      <c r="I102" s="380"/>
      <c r="J102" s="380"/>
      <c r="K102" s="380"/>
      <c r="L102" s="381"/>
      <c r="M102" s="51"/>
      <c r="N102" s="383">
        <v>3</v>
      </c>
      <c r="O102" s="384"/>
      <c r="P102" s="385"/>
      <c r="Q102" s="386"/>
      <c r="R102" s="385"/>
      <c r="S102" s="386"/>
      <c r="T102" s="387"/>
      <c r="U102" s="51"/>
      <c r="V102" s="2119"/>
      <c r="W102" s="43"/>
      <c r="X102" s="43"/>
      <c r="Y102" s="43"/>
      <c r="Z102" s="43"/>
    </row>
    <row r="103" spans="1:26">
      <c r="A103" s="85">
        <v>3010</v>
      </c>
      <c r="B103" s="86" t="s">
        <v>904</v>
      </c>
      <c r="C103" s="86"/>
      <c r="D103" s="86"/>
      <c r="E103" s="86"/>
      <c r="F103" s="86"/>
      <c r="G103" s="86"/>
      <c r="H103" s="86"/>
      <c r="I103" s="86"/>
      <c r="J103" s="86"/>
      <c r="K103" s="86"/>
      <c r="L103" s="87"/>
      <c r="M103" s="51"/>
      <c r="N103" s="112">
        <f t="shared" ref="N103:N112" si="14">+A103</f>
        <v>3010</v>
      </c>
      <c r="O103" s="323"/>
      <c r="P103" s="329">
        <v>0</v>
      </c>
      <c r="Q103" s="325"/>
      <c r="R103" s="324"/>
      <c r="S103" s="326">
        <f t="shared" ref="S103:S112" si="15">+IF(ABS(+O103+Q103)&gt;=ABS(P103+R103),+O103-P103+Q103-R103,0)</f>
        <v>0</v>
      </c>
      <c r="T103" s="331">
        <v>0</v>
      </c>
      <c r="U103" s="51"/>
      <c r="V103" s="2120">
        <f t="shared" ref="V103:V112" si="16">+IF(OR(ROUND(P103,2)+ROUND(R103,2)&gt;+ROUND(O103,2)+ROUND(Q103,2),+ABS(ROUND(P103,2)+ROUND(R103,2))&gt;+ABS(ROUND(O103,2)+ROUND(Q103,2))),+(ROUND(P103,2)+ROUND(R103,2))-(ROUND(O103,2)+ROUND(Q103,2)),0)</f>
        <v>0</v>
      </c>
      <c r="W103" s="43"/>
      <c r="X103" s="43"/>
      <c r="Y103" s="43"/>
      <c r="Z103" s="43"/>
    </row>
    <row r="104" spans="1:26">
      <c r="A104" s="88">
        <v>3020</v>
      </c>
      <c r="B104" s="1033" t="s">
        <v>363</v>
      </c>
      <c r="C104" s="1033"/>
      <c r="D104" s="1033"/>
      <c r="E104" s="1033"/>
      <c r="F104" s="1033"/>
      <c r="G104" s="1033"/>
      <c r="H104" s="1033"/>
      <c r="I104" s="1033"/>
      <c r="J104" s="1033"/>
      <c r="K104" s="1033"/>
      <c r="L104" s="90"/>
      <c r="M104" s="51"/>
      <c r="N104" s="113">
        <f t="shared" si="14"/>
        <v>3020</v>
      </c>
      <c r="O104" s="120">
        <v>0</v>
      </c>
      <c r="P104" s="9">
        <v>0</v>
      </c>
      <c r="Q104" s="122">
        <v>0</v>
      </c>
      <c r="R104" s="121">
        <v>0</v>
      </c>
      <c r="S104" s="27">
        <f t="shared" si="15"/>
        <v>0</v>
      </c>
      <c r="T104" s="30">
        <v>0</v>
      </c>
      <c r="U104" s="51"/>
      <c r="V104" s="2120">
        <f t="shared" si="16"/>
        <v>0</v>
      </c>
      <c r="W104" s="43"/>
      <c r="X104" s="43"/>
      <c r="Y104" s="43"/>
      <c r="Z104" s="43"/>
    </row>
    <row r="105" spans="1:26">
      <c r="A105" s="88">
        <v>3030</v>
      </c>
      <c r="B105" s="1033" t="s">
        <v>905</v>
      </c>
      <c r="C105" s="1033"/>
      <c r="D105" s="1033"/>
      <c r="E105" s="1033"/>
      <c r="F105" s="1033"/>
      <c r="G105" s="1033"/>
      <c r="H105" s="1033"/>
      <c r="I105" s="1033"/>
      <c r="J105" s="1033"/>
      <c r="K105" s="1033"/>
      <c r="L105" s="90"/>
      <c r="M105" s="51"/>
      <c r="N105" s="113">
        <f t="shared" si="14"/>
        <v>3030</v>
      </c>
      <c r="O105" s="120">
        <v>0</v>
      </c>
      <c r="P105" s="9">
        <v>0</v>
      </c>
      <c r="Q105" s="122">
        <v>0</v>
      </c>
      <c r="R105" s="121">
        <v>0</v>
      </c>
      <c r="S105" s="27">
        <f t="shared" si="15"/>
        <v>0</v>
      </c>
      <c r="T105" s="30">
        <v>0</v>
      </c>
      <c r="U105" s="51"/>
      <c r="V105" s="2120">
        <f t="shared" si="16"/>
        <v>0</v>
      </c>
      <c r="W105" s="43"/>
      <c r="X105" s="43"/>
      <c r="Y105" s="43"/>
      <c r="Z105" s="43"/>
    </row>
    <row r="106" spans="1:26">
      <c r="A106" s="88">
        <v>3040</v>
      </c>
      <c r="B106" s="1033" t="s">
        <v>906</v>
      </c>
      <c r="C106" s="1033"/>
      <c r="D106" s="1033"/>
      <c r="E106" s="1033"/>
      <c r="F106" s="1033"/>
      <c r="G106" s="1033"/>
      <c r="H106" s="1033"/>
      <c r="I106" s="1033"/>
      <c r="J106" s="1033"/>
      <c r="K106" s="1033"/>
      <c r="L106" s="90"/>
      <c r="M106" s="51"/>
      <c r="N106" s="113">
        <f t="shared" si="14"/>
        <v>3040</v>
      </c>
      <c r="O106" s="120">
        <v>0</v>
      </c>
      <c r="P106" s="9">
        <v>0</v>
      </c>
      <c r="Q106" s="122">
        <v>0</v>
      </c>
      <c r="R106" s="121">
        <v>0</v>
      </c>
      <c r="S106" s="27">
        <f t="shared" si="15"/>
        <v>0</v>
      </c>
      <c r="T106" s="30">
        <v>0</v>
      </c>
      <c r="U106" s="51"/>
      <c r="V106" s="2120">
        <f t="shared" si="16"/>
        <v>0</v>
      </c>
      <c r="W106" s="43"/>
      <c r="X106" s="43"/>
      <c r="Y106" s="43"/>
      <c r="Z106" s="43"/>
    </row>
    <row r="107" spans="1:26">
      <c r="A107" s="88">
        <v>3100</v>
      </c>
      <c r="B107" s="1033" t="s">
        <v>907</v>
      </c>
      <c r="C107" s="1033"/>
      <c r="D107" s="1033"/>
      <c r="E107" s="1033"/>
      <c r="F107" s="1033"/>
      <c r="G107" s="1033"/>
      <c r="H107" s="1033"/>
      <c r="I107" s="1033"/>
      <c r="J107" s="1033"/>
      <c r="K107" s="1033"/>
      <c r="L107" s="90"/>
      <c r="M107" s="51"/>
      <c r="N107" s="113">
        <f t="shared" si="14"/>
        <v>3100</v>
      </c>
      <c r="O107" s="120"/>
      <c r="P107" s="9">
        <v>0</v>
      </c>
      <c r="Q107" s="122"/>
      <c r="R107" s="121"/>
      <c r="S107" s="27">
        <f t="shared" si="15"/>
        <v>0</v>
      </c>
      <c r="T107" s="30">
        <v>0</v>
      </c>
      <c r="U107" s="51"/>
      <c r="V107" s="2120">
        <f t="shared" si="16"/>
        <v>0</v>
      </c>
      <c r="W107" s="43"/>
      <c r="X107" s="43"/>
      <c r="Y107" s="43"/>
      <c r="Z107" s="43"/>
    </row>
    <row r="108" spans="1:26">
      <c r="A108" s="88">
        <v>3210</v>
      </c>
      <c r="B108" s="1033" t="s">
        <v>908</v>
      </c>
      <c r="C108" s="1033"/>
      <c r="D108" s="1033"/>
      <c r="E108" s="1033"/>
      <c r="F108" s="1033"/>
      <c r="G108" s="1033"/>
      <c r="H108" s="1033"/>
      <c r="I108" s="1033"/>
      <c r="J108" s="1033"/>
      <c r="K108" s="1033"/>
      <c r="L108" s="90"/>
      <c r="M108" s="51"/>
      <c r="N108" s="113">
        <f t="shared" si="14"/>
        <v>3210</v>
      </c>
      <c r="O108" s="120"/>
      <c r="P108" s="9">
        <v>0</v>
      </c>
      <c r="Q108" s="122"/>
      <c r="R108" s="121"/>
      <c r="S108" s="27">
        <f t="shared" si="15"/>
        <v>0</v>
      </c>
      <c r="T108" s="30">
        <v>0</v>
      </c>
      <c r="U108" s="51"/>
      <c r="V108" s="2120">
        <f t="shared" si="16"/>
        <v>0</v>
      </c>
      <c r="W108" s="43"/>
      <c r="X108" s="43"/>
      <c r="Y108" s="43"/>
      <c r="Z108" s="43"/>
    </row>
    <row r="109" spans="1:26">
      <c r="A109" s="88">
        <v>3220</v>
      </c>
      <c r="B109" s="1033" t="s">
        <v>909</v>
      </c>
      <c r="C109" s="1033"/>
      <c r="D109" s="1033"/>
      <c r="E109" s="1033"/>
      <c r="F109" s="1033"/>
      <c r="G109" s="1033"/>
      <c r="H109" s="1033"/>
      <c r="I109" s="1033"/>
      <c r="J109" s="1033"/>
      <c r="K109" s="1033"/>
      <c r="L109" s="90"/>
      <c r="M109" s="51"/>
      <c r="N109" s="113">
        <f t="shared" si="14"/>
        <v>3220</v>
      </c>
      <c r="O109" s="120"/>
      <c r="P109" s="9">
        <v>0</v>
      </c>
      <c r="Q109" s="122"/>
      <c r="R109" s="121"/>
      <c r="S109" s="27">
        <f t="shared" si="15"/>
        <v>0</v>
      </c>
      <c r="T109" s="30">
        <v>0</v>
      </c>
      <c r="U109" s="51"/>
      <c r="V109" s="2120">
        <f t="shared" si="16"/>
        <v>0</v>
      </c>
      <c r="W109" s="43"/>
      <c r="X109" s="43"/>
      <c r="Y109" s="43"/>
      <c r="Z109" s="43"/>
    </row>
    <row r="110" spans="1:26">
      <c r="A110" s="88">
        <v>3310</v>
      </c>
      <c r="B110" s="1033" t="s">
        <v>910</v>
      </c>
      <c r="C110" s="1033"/>
      <c r="D110" s="1033"/>
      <c r="E110" s="1033"/>
      <c r="F110" s="1033"/>
      <c r="G110" s="1033"/>
      <c r="H110" s="1033"/>
      <c r="I110" s="1033"/>
      <c r="J110" s="1033"/>
      <c r="K110" s="1033"/>
      <c r="L110" s="90"/>
      <c r="M110" s="51"/>
      <c r="N110" s="113">
        <f t="shared" si="14"/>
        <v>3310</v>
      </c>
      <c r="O110" s="120"/>
      <c r="P110" s="9">
        <v>0</v>
      </c>
      <c r="Q110" s="122"/>
      <c r="R110" s="121"/>
      <c r="S110" s="27">
        <f t="shared" si="15"/>
        <v>0</v>
      </c>
      <c r="T110" s="30">
        <v>0</v>
      </c>
      <c r="U110" s="51"/>
      <c r="V110" s="2120">
        <f t="shared" si="16"/>
        <v>0</v>
      </c>
      <c r="W110" s="43"/>
      <c r="X110" s="43"/>
      <c r="Y110" s="43"/>
      <c r="Z110" s="43"/>
    </row>
    <row r="111" spans="1:26">
      <c r="A111" s="88">
        <v>3320</v>
      </c>
      <c r="B111" s="1033" t="s">
        <v>911</v>
      </c>
      <c r="C111" s="1033"/>
      <c r="D111" s="1033"/>
      <c r="E111" s="1033"/>
      <c r="F111" s="1033"/>
      <c r="G111" s="1033"/>
      <c r="H111" s="1033"/>
      <c r="I111" s="1033"/>
      <c r="J111" s="1033"/>
      <c r="K111" s="1033"/>
      <c r="L111" s="90"/>
      <c r="M111" s="51"/>
      <c r="N111" s="113">
        <f t="shared" si="14"/>
        <v>3320</v>
      </c>
      <c r="O111" s="120"/>
      <c r="P111" s="9">
        <v>0</v>
      </c>
      <c r="Q111" s="122"/>
      <c r="R111" s="121"/>
      <c r="S111" s="27">
        <f t="shared" si="15"/>
        <v>0</v>
      </c>
      <c r="T111" s="30">
        <v>0</v>
      </c>
      <c r="U111" s="51"/>
      <c r="V111" s="2120">
        <f t="shared" si="16"/>
        <v>0</v>
      </c>
      <c r="W111" s="43"/>
      <c r="X111" s="43"/>
      <c r="Y111" s="43"/>
      <c r="Z111" s="43"/>
    </row>
    <row r="112" spans="1:26">
      <c r="A112" s="1040">
        <v>3330</v>
      </c>
      <c r="B112" s="101" t="s">
        <v>912</v>
      </c>
      <c r="C112" s="101"/>
      <c r="D112" s="101"/>
      <c r="E112" s="101"/>
      <c r="F112" s="101"/>
      <c r="G112" s="101"/>
      <c r="H112" s="101"/>
      <c r="I112" s="101"/>
      <c r="J112" s="101"/>
      <c r="K112" s="101"/>
      <c r="L112" s="102"/>
      <c r="M112" s="51"/>
      <c r="N112" s="116">
        <f t="shared" si="14"/>
        <v>3330</v>
      </c>
      <c r="O112" s="123"/>
      <c r="P112" s="37">
        <v>0</v>
      </c>
      <c r="Q112" s="126"/>
      <c r="R112" s="127"/>
      <c r="S112" s="56">
        <f t="shared" si="15"/>
        <v>0</v>
      </c>
      <c r="T112" s="60">
        <v>0</v>
      </c>
      <c r="U112" s="51"/>
      <c r="V112" s="2120">
        <f t="shared" si="16"/>
        <v>0</v>
      </c>
      <c r="W112" s="43"/>
      <c r="X112" s="43"/>
      <c r="Y112" s="43"/>
      <c r="Z112" s="43"/>
    </row>
    <row r="113" spans="1:26">
      <c r="A113" s="379" t="s">
        <v>913</v>
      </c>
      <c r="B113" s="380"/>
      <c r="C113" s="380"/>
      <c r="D113" s="380"/>
      <c r="E113" s="380"/>
      <c r="F113" s="380"/>
      <c r="G113" s="380"/>
      <c r="H113" s="380"/>
      <c r="I113" s="380"/>
      <c r="J113" s="380"/>
      <c r="K113" s="380"/>
      <c r="L113" s="381"/>
      <c r="M113" s="51"/>
      <c r="N113" s="383">
        <v>4</v>
      </c>
      <c r="O113" s="384"/>
      <c r="P113" s="385"/>
      <c r="Q113" s="386"/>
      <c r="R113" s="385"/>
      <c r="S113" s="386"/>
      <c r="T113" s="387"/>
      <c r="U113" s="51"/>
      <c r="V113" s="2119"/>
      <c r="W113" s="43"/>
      <c r="X113" s="43"/>
      <c r="Y113" s="43"/>
      <c r="Z113" s="43"/>
    </row>
    <row r="114" spans="1:26">
      <c r="A114" s="85">
        <v>4010</v>
      </c>
      <c r="B114" s="86" t="s">
        <v>200</v>
      </c>
      <c r="C114" s="86"/>
      <c r="D114" s="86"/>
      <c r="E114" s="86"/>
      <c r="F114" s="86"/>
      <c r="G114" s="86"/>
      <c r="H114" s="86"/>
      <c r="I114" s="86"/>
      <c r="J114" s="86"/>
      <c r="K114" s="86"/>
      <c r="L114" s="87"/>
      <c r="M114" s="51"/>
      <c r="N114" s="112">
        <f t="shared" ref="N114:N172" si="17">+A114</f>
        <v>4010</v>
      </c>
      <c r="O114" s="328">
        <v>0</v>
      </c>
      <c r="P114" s="324">
        <v>0</v>
      </c>
      <c r="Q114" s="325">
        <v>0</v>
      </c>
      <c r="R114" s="324">
        <v>0</v>
      </c>
      <c r="S114" s="330">
        <v>0</v>
      </c>
      <c r="T114" s="327">
        <f>+IF(ABS(+O114+Q114)&lt;=ABS(P114+R114),-O114+P114-Q114+R114,0)</f>
        <v>0</v>
      </c>
      <c r="U114" s="51"/>
      <c r="V114" s="2119">
        <f>+IF(OR(+ROUND(O114,2)+ROUND(Q114,2)&gt;ROUND(P114,2)+ROUND(R114,2),+ABS(ROUND(O114,2)+ROUND(Q114,2))&gt;+ABS(ROUND(P114,2)+ROUND(R114,2))),+(ROUND(O114,2)+ROUND(Q114,2))-(ROUND(P114,2)+ROUND(R114,2)),0)</f>
        <v>0</v>
      </c>
      <c r="W114" s="43"/>
      <c r="X114" s="43"/>
      <c r="Y114" s="43"/>
      <c r="Z114" s="43"/>
    </row>
    <row r="115" spans="1:26">
      <c r="A115" s="88">
        <v>4020</v>
      </c>
      <c r="B115" s="1033" t="s">
        <v>203</v>
      </c>
      <c r="C115" s="1033"/>
      <c r="D115" s="1033"/>
      <c r="E115" s="1033"/>
      <c r="F115" s="1033"/>
      <c r="G115" s="1033"/>
      <c r="H115" s="1033"/>
      <c r="I115" s="1033"/>
      <c r="J115" s="1033"/>
      <c r="K115" s="1033"/>
      <c r="L115" s="90"/>
      <c r="M115" s="51"/>
      <c r="N115" s="113">
        <f t="shared" si="17"/>
        <v>4020</v>
      </c>
      <c r="O115" s="120">
        <v>0</v>
      </c>
      <c r="P115" s="9">
        <v>0</v>
      </c>
      <c r="Q115" s="122">
        <v>0</v>
      </c>
      <c r="R115" s="324">
        <v>0</v>
      </c>
      <c r="S115" s="27">
        <f>+IF(ABS(+O115+Q115)&gt;=ABS(P115+R115),+O115-P115+Q115-R115,0)</f>
        <v>0</v>
      </c>
      <c r="T115" s="2123">
        <f>+IF(OR($N$4="03",$N$4="06",$N$4="09"),+IF(AND(ABS(+O115+Q115)&lt;ABS(P115+R115),P115+R115&lt;0),-O115+P115-Q115+R115,0),+IF(AND(N$4="12",ABS(+O115+Q115)&lt;ABS(P115+R115)),-O115+P115-Q115+R115,0))</f>
        <v>0</v>
      </c>
      <c r="U115" s="51"/>
      <c r="V115" s="2124">
        <f>+IF(OR(ROUND(P115,2)+ROUND(R115,2)&gt;+ROUND(O115,2)+ROUND(Q115,2),+AND($N$4="12",ABS(ROUND(P115,2)+ROUND(R115,2))&gt;+ABS(ROUND(O115,2)+ROUND(Q115,2)))),+(ROUND(P115,2)+ROUND(R115,2))-(ROUND(O115,2)+ROUND(Q115,2)),0)</f>
        <v>0</v>
      </c>
      <c r="W115" s="43"/>
      <c r="X115" s="43"/>
      <c r="Y115" s="43"/>
      <c r="Z115" s="43"/>
    </row>
    <row r="116" spans="1:26">
      <c r="A116" s="88">
        <v>4030</v>
      </c>
      <c r="B116" s="1033" t="s">
        <v>204</v>
      </c>
      <c r="C116" s="1033"/>
      <c r="D116" s="1033"/>
      <c r="E116" s="1033"/>
      <c r="F116" s="1033"/>
      <c r="G116" s="1033"/>
      <c r="H116" s="1033"/>
      <c r="I116" s="1033"/>
      <c r="J116" s="1033"/>
      <c r="K116" s="1033"/>
      <c r="L116" s="90"/>
      <c r="M116" s="51"/>
      <c r="N116" s="113">
        <f t="shared" si="17"/>
        <v>4030</v>
      </c>
      <c r="O116" s="575">
        <v>0</v>
      </c>
      <c r="P116" s="576"/>
      <c r="Q116" s="122"/>
      <c r="R116" s="324"/>
      <c r="S116" s="579">
        <v>0</v>
      </c>
      <c r="T116" s="580">
        <f>+IF(ABS(+O116+Q116)&lt;=ABS(P116+R116),-O116+P116-Q116+R116,0)</f>
        <v>0</v>
      </c>
      <c r="U116" s="51"/>
      <c r="V116" s="2119">
        <f>+IF(OR(+ROUND(O116,2)+ROUND(Q116,2)&gt;ROUND(P116,2)+ROUND(R116,2),+ABS(ROUND(O116,2)+ROUND(Q116,2))&gt;+ABS(ROUND(P116,2)+ROUND(R116,2))),+(ROUND(O116,2)+ROUND(Q116,2))-(ROUND(P116,2)+ROUND(R116,2)),0)</f>
        <v>0</v>
      </c>
      <c r="W116" s="43"/>
      <c r="X116" s="43"/>
      <c r="Y116" s="43"/>
      <c r="Z116" s="43"/>
    </row>
    <row r="117" spans="1:26">
      <c r="A117" s="88">
        <v>4040</v>
      </c>
      <c r="B117" s="1033" t="s">
        <v>205</v>
      </c>
      <c r="C117" s="1033"/>
      <c r="D117" s="1033"/>
      <c r="E117" s="1033"/>
      <c r="F117" s="1033"/>
      <c r="G117" s="1033"/>
      <c r="H117" s="1033"/>
      <c r="I117" s="1033"/>
      <c r="J117" s="1033"/>
      <c r="K117" s="1033"/>
      <c r="L117" s="90"/>
      <c r="M117" s="51"/>
      <c r="N117" s="113">
        <f t="shared" si="17"/>
        <v>4040</v>
      </c>
      <c r="O117" s="581"/>
      <c r="P117" s="582">
        <v>0</v>
      </c>
      <c r="Q117" s="122"/>
      <c r="R117" s="324"/>
      <c r="S117" s="27">
        <f>+IF(ABS(+O117+Q117)&gt;=ABS(P117+R117),+O117-P117+Q117-R117,0)</f>
        <v>0</v>
      </c>
      <c r="T117" s="2123">
        <f>+IF(OR($N$4="03",$N$4="06",$N$4="09"),+IF(AND(ABS(+O117+Q117)&lt;ABS(P117+R117),P117+R117&lt;0),-O117+P117-Q117+R117,0),+IF(AND(N$4="12",ABS(+O117+Q117)&lt;ABS(P117+R117)),-O117+P117-Q117+R117,0))</f>
        <v>0</v>
      </c>
      <c r="U117" s="51"/>
      <c r="V117" s="2124">
        <f>+IF(OR(ROUND(P117,2)+ROUND(R117,2)&gt;+ROUND(O117,2)+ROUND(Q117,2),+AND($N$4="12",ABS(ROUND(P117,2)+ROUND(R117,2))&gt;+ABS(ROUND(O117,2)+ROUND(Q117,2)))),+(ROUND(P117,2)+ROUND(R117,2))-(ROUND(O117,2)+ROUND(Q117,2)),0)</f>
        <v>0</v>
      </c>
      <c r="W117" s="43"/>
      <c r="X117" s="43"/>
      <c r="Y117" s="43"/>
      <c r="Z117" s="43"/>
    </row>
    <row r="118" spans="1:26">
      <c r="A118" s="88">
        <v>4050</v>
      </c>
      <c r="B118" s="1033" t="s">
        <v>473</v>
      </c>
      <c r="C118" s="1033"/>
      <c r="D118" s="1033"/>
      <c r="E118" s="1033"/>
      <c r="F118" s="1033"/>
      <c r="G118" s="1033"/>
      <c r="H118" s="1033"/>
      <c r="I118" s="1033"/>
      <c r="J118" s="1033"/>
      <c r="K118" s="1033"/>
      <c r="L118" s="90"/>
      <c r="M118" s="51"/>
      <c r="N118" s="113">
        <f t="shared" si="17"/>
        <v>4050</v>
      </c>
      <c r="O118" s="575">
        <v>0</v>
      </c>
      <c r="P118" s="576"/>
      <c r="Q118" s="122"/>
      <c r="R118" s="324"/>
      <c r="S118" s="579">
        <v>0</v>
      </c>
      <c r="T118" s="580">
        <f>+IF(ABS(+O118+Q118)&lt;=ABS(P118+R118),-O118+P118-Q118+R118,0)</f>
        <v>0</v>
      </c>
      <c r="U118" s="51"/>
      <c r="V118" s="2119">
        <f>+IF(OR(+ROUND(O118,2)+ROUND(Q118,2)&gt;ROUND(P118,2)+ROUND(R118,2),+ABS(ROUND(O118,2)+ROUND(Q118,2))&gt;+ABS(ROUND(P118,2)+ROUND(R118,2))),+(ROUND(O118,2)+ROUND(Q118,2))-(ROUND(P118,2)+ROUND(R118,2)),0)</f>
        <v>0</v>
      </c>
      <c r="W118" s="43"/>
      <c r="X118" s="43"/>
      <c r="Y118" s="43"/>
      <c r="Z118" s="43"/>
    </row>
    <row r="119" spans="1:26">
      <c r="A119" s="88">
        <v>4052</v>
      </c>
      <c r="B119" s="1033" t="s">
        <v>474</v>
      </c>
      <c r="C119" s="1033"/>
      <c r="D119" s="1033"/>
      <c r="E119" s="1033"/>
      <c r="F119" s="1033"/>
      <c r="G119" s="1033"/>
      <c r="H119" s="1033"/>
      <c r="I119" s="1033"/>
      <c r="J119" s="1033"/>
      <c r="K119" s="1033"/>
      <c r="L119" s="90"/>
      <c r="M119" s="51"/>
      <c r="N119" s="113">
        <f t="shared" si="17"/>
        <v>4052</v>
      </c>
      <c r="O119" s="581"/>
      <c r="P119" s="582">
        <v>0</v>
      </c>
      <c r="Q119" s="589"/>
      <c r="R119" s="576"/>
      <c r="S119" s="583">
        <f>+IF(ABS(+O119+Q119)&gt;=ABS(P119+R119),+O119-P119+Q119-R119,0)</f>
        <v>0</v>
      </c>
      <c r="T119" s="584">
        <v>0</v>
      </c>
      <c r="U119" s="51"/>
      <c r="V119" s="2120">
        <f>+IF(OR(ROUND(P119,2)+ROUND(R119,2)&gt;+ROUND(O119,2)+ROUND(Q119,2),+ABS(ROUND(P119,2)+ROUND(R119,2))&gt;+ABS(ROUND(O119,2)+ROUND(Q119,2))),+(ROUND(P119,2)+ROUND(R119,2))-(ROUND(O119,2)+ROUND(Q119,2)),0)</f>
        <v>0</v>
      </c>
      <c r="W119" s="43"/>
      <c r="X119" s="43"/>
      <c r="Y119" s="43"/>
      <c r="Z119" s="43"/>
    </row>
    <row r="120" spans="1:26" ht="15.75" customHeight="1">
      <c r="A120" s="88">
        <v>4057</v>
      </c>
      <c r="B120" s="1033" t="s">
        <v>475</v>
      </c>
      <c r="C120" s="1041"/>
      <c r="D120" s="1041"/>
      <c r="E120" s="1041"/>
      <c r="F120" s="1041"/>
      <c r="G120" s="1041"/>
      <c r="H120" s="1041"/>
      <c r="I120" s="1041"/>
      <c r="J120" s="1041"/>
      <c r="K120" s="1041"/>
      <c r="L120" s="590"/>
      <c r="M120" s="51"/>
      <c r="N120" s="1733">
        <f t="shared" si="17"/>
        <v>4057</v>
      </c>
      <c r="O120" s="581"/>
      <c r="P120" s="576"/>
      <c r="Q120" s="589"/>
      <c r="R120" s="576"/>
      <c r="S120" s="583">
        <f>+IF(ABS(+O120+Q120)&gt;=ABS(P120+R120),+O120-P120+Q120-R120,0)</f>
        <v>0</v>
      </c>
      <c r="T120" s="580">
        <f>+IF(ABS(+O120+Q120)&lt;=ABS(P120+R120),-O120+P120-Q120+R120,0)</f>
        <v>0</v>
      </c>
      <c r="U120" s="51"/>
      <c r="V120" s="2119"/>
      <c r="W120" s="43"/>
      <c r="X120" s="43"/>
      <c r="Y120" s="43"/>
      <c r="Z120" s="43"/>
    </row>
    <row r="121" spans="1:26" ht="15.75" customHeight="1">
      <c r="A121" s="88">
        <v>4058</v>
      </c>
      <c r="B121" s="1033" t="s">
        <v>476</v>
      </c>
      <c r="C121" s="1041"/>
      <c r="D121" s="1041"/>
      <c r="E121" s="1041"/>
      <c r="F121" s="1041"/>
      <c r="G121" s="1041"/>
      <c r="H121" s="1041"/>
      <c r="I121" s="1041"/>
      <c r="J121" s="1041"/>
      <c r="K121" s="1041"/>
      <c r="L121" s="590"/>
      <c r="M121" s="51"/>
      <c r="N121" s="1733">
        <f t="shared" si="17"/>
        <v>4058</v>
      </c>
      <c r="O121" s="581"/>
      <c r="P121" s="576"/>
      <c r="Q121" s="589"/>
      <c r="R121" s="576"/>
      <c r="S121" s="583">
        <f>+IF(ABS(+O121+Q121)&gt;=ABS(P121+R121),+O121-P121+Q121-R121,0)</f>
        <v>0</v>
      </c>
      <c r="T121" s="580">
        <f>+IF(ABS(+O121+Q121)&lt;=ABS(P121+R121),-O121+P121-Q121+R121,0)</f>
        <v>0</v>
      </c>
      <c r="U121" s="51"/>
      <c r="V121" s="2119"/>
      <c r="W121" s="43"/>
      <c r="X121" s="43"/>
      <c r="Y121" s="43"/>
      <c r="Z121" s="43"/>
    </row>
    <row r="122" spans="1:26">
      <c r="A122" s="88">
        <v>4071</v>
      </c>
      <c r="B122" s="1033" t="s">
        <v>477</v>
      </c>
      <c r="C122" s="1033"/>
      <c r="D122" s="1033"/>
      <c r="E122" s="1033"/>
      <c r="F122" s="1033"/>
      <c r="G122" s="1033"/>
      <c r="H122" s="1033"/>
      <c r="I122" s="1033"/>
      <c r="J122" s="1033"/>
      <c r="K122" s="1033"/>
      <c r="L122" s="90"/>
      <c r="M122" s="51"/>
      <c r="N122" s="113">
        <f t="shared" si="17"/>
        <v>4071</v>
      </c>
      <c r="O122" s="575">
        <v>0</v>
      </c>
      <c r="P122" s="576"/>
      <c r="Q122" s="589"/>
      <c r="R122" s="324"/>
      <c r="S122" s="579">
        <v>0</v>
      </c>
      <c r="T122" s="580">
        <f>+IF(ABS(+O122+Q122)&lt;=ABS(P122+R122),-O122+P122-Q122+R122,0)</f>
        <v>0</v>
      </c>
      <c r="U122" s="51"/>
      <c r="V122" s="2119">
        <f>+IF(OR(+ROUND(O122,2)+ROUND(Q122,2)&gt;ROUND(P122,2)+ROUND(R122,2),+ABS(ROUND(O122,2)+ROUND(Q122,2))&gt;+ABS(ROUND(P122,2)+ROUND(R122,2))),+(ROUND(O122,2)+ROUND(Q122,2))-(ROUND(P122,2)+ROUND(R122,2)),0)</f>
        <v>0</v>
      </c>
      <c r="W122" s="43"/>
      <c r="X122" s="43"/>
      <c r="Y122" s="43"/>
      <c r="Z122" s="43"/>
    </row>
    <row r="123" spans="1:26">
      <c r="A123" s="88">
        <v>4072</v>
      </c>
      <c r="B123" s="1033" t="s">
        <v>478</v>
      </c>
      <c r="C123" s="1033"/>
      <c r="D123" s="1033"/>
      <c r="E123" s="1033"/>
      <c r="F123" s="1033"/>
      <c r="G123" s="1033"/>
      <c r="H123" s="1033"/>
      <c r="I123" s="1033"/>
      <c r="J123" s="1033"/>
      <c r="K123" s="1033"/>
      <c r="L123" s="90"/>
      <c r="M123" s="51"/>
      <c r="N123" s="113">
        <f t="shared" si="17"/>
        <v>4072</v>
      </c>
      <c r="O123" s="581"/>
      <c r="P123" s="582">
        <v>0</v>
      </c>
      <c r="Q123" s="589"/>
      <c r="R123" s="576"/>
      <c r="S123" s="583">
        <f>+IF(ABS(+O123+Q123)&gt;=ABS(P123+R123),+O123-P123+Q123-R123,0)</f>
        <v>0</v>
      </c>
      <c r="T123" s="584">
        <v>0</v>
      </c>
      <c r="U123" s="51"/>
      <c r="V123" s="2120">
        <f>+IF(OR(ROUND(P123,2)+ROUND(R123,2)&gt;+ROUND(O123,2)+ROUND(Q123,2),+ABS(ROUND(P123,2)+ROUND(R123,2))&gt;+ABS(ROUND(O123,2)+ROUND(Q123,2))),+(ROUND(P123,2)+ROUND(R123,2))-(ROUND(O123,2)+ROUND(Q123,2)),0)</f>
        <v>0</v>
      </c>
      <c r="W123" s="43"/>
      <c r="X123" s="43"/>
      <c r="Y123" s="43"/>
      <c r="Z123" s="43"/>
    </row>
    <row r="124" spans="1:26">
      <c r="A124" s="88">
        <v>4110</v>
      </c>
      <c r="B124" s="378" t="s">
        <v>206</v>
      </c>
      <c r="C124" s="1033"/>
      <c r="D124" s="1033"/>
      <c r="E124" s="1033"/>
      <c r="F124" s="1033"/>
      <c r="G124" s="1033"/>
      <c r="H124" s="1033"/>
      <c r="I124" s="1033"/>
      <c r="J124" s="1033"/>
      <c r="K124" s="1033"/>
      <c r="L124" s="90"/>
      <c r="M124" s="51"/>
      <c r="N124" s="113">
        <f t="shared" si="17"/>
        <v>4110</v>
      </c>
      <c r="O124" s="581">
        <v>0</v>
      </c>
      <c r="P124" s="582">
        <v>0</v>
      </c>
      <c r="Q124" s="122">
        <v>0</v>
      </c>
      <c r="R124" s="576">
        <v>0</v>
      </c>
      <c r="S124" s="583">
        <f>+IF(ABS(+O124+Q124)&gt;=ABS(P124+R124),+O124-P124+Q124-R124,0)</f>
        <v>0</v>
      </c>
      <c r="T124" s="584">
        <v>0</v>
      </c>
      <c r="U124" s="51"/>
      <c r="V124" s="2120">
        <f>+IF(OR(ROUND(P124,2)+ROUND(R124,2)&gt;+ROUND(O124,2)+ROUND(Q124,2),+ABS(ROUND(P124,2)+ROUND(R124,2))&gt;+ABS(ROUND(O124,2)+ROUND(Q124,2))),+(ROUND(P124,2)+ROUND(R124,2))-(ROUND(O124,2)+ROUND(Q124,2)),0)</f>
        <v>0</v>
      </c>
      <c r="W124" s="43"/>
      <c r="X124" s="43"/>
      <c r="Y124" s="43"/>
      <c r="Z124" s="43"/>
    </row>
    <row r="125" spans="1:26">
      <c r="A125" s="88">
        <v>4120</v>
      </c>
      <c r="B125" s="378" t="s">
        <v>896</v>
      </c>
      <c r="C125" s="1033"/>
      <c r="D125" s="1033"/>
      <c r="E125" s="1033"/>
      <c r="F125" s="1033"/>
      <c r="G125" s="1033"/>
      <c r="H125" s="1033"/>
      <c r="I125" s="1033"/>
      <c r="J125" s="1033"/>
      <c r="K125" s="1033"/>
      <c r="L125" s="90"/>
      <c r="M125" s="51"/>
      <c r="N125" s="113">
        <f t="shared" si="17"/>
        <v>4120</v>
      </c>
      <c r="O125" s="575">
        <v>0</v>
      </c>
      <c r="P125" s="576"/>
      <c r="Q125" s="122"/>
      <c r="R125" s="324"/>
      <c r="S125" s="579">
        <v>0</v>
      </c>
      <c r="T125" s="580">
        <f>+IF(ABS(+O125+Q125)&lt;=ABS(P125+R125),-O125+P125-Q125+R125,0)</f>
        <v>0</v>
      </c>
      <c r="U125" s="51"/>
      <c r="V125" s="2119">
        <f>+IF(OR(+ROUND(O125,2)+ROUND(Q125,2)&gt;ROUND(P125,2)+ROUND(R125,2),+ABS(ROUND(O125,2)+ROUND(Q125,2))&gt;+ABS(ROUND(P125,2)+ROUND(R125,2))),+(ROUND(O125,2)+ROUND(Q125,2))-(ROUND(P125,2)+ROUND(R125,2)),0)</f>
        <v>0</v>
      </c>
      <c r="W125" s="43"/>
      <c r="X125" s="43"/>
      <c r="Y125" s="43"/>
      <c r="Z125" s="43"/>
    </row>
    <row r="126" spans="1:26">
      <c r="A126" s="88">
        <v>4130</v>
      </c>
      <c r="B126" s="378" t="s">
        <v>897</v>
      </c>
      <c r="C126" s="1033"/>
      <c r="D126" s="1033"/>
      <c r="E126" s="1033"/>
      <c r="F126" s="1033"/>
      <c r="G126" s="1033"/>
      <c r="H126" s="1033"/>
      <c r="I126" s="1033"/>
      <c r="J126" s="1033"/>
      <c r="K126" s="1033"/>
      <c r="L126" s="90"/>
      <c r="M126" s="51"/>
      <c r="N126" s="113">
        <f t="shared" si="17"/>
        <v>4130</v>
      </c>
      <c r="O126" s="581"/>
      <c r="P126" s="582">
        <v>0</v>
      </c>
      <c r="Q126" s="122"/>
      <c r="R126" s="576"/>
      <c r="S126" s="583">
        <f>+IF(ABS(+O126+Q126)&gt;=ABS(P126+R126),+O126-P126+Q126-R126,0)</f>
        <v>0</v>
      </c>
      <c r="T126" s="584">
        <v>0</v>
      </c>
      <c r="U126" s="51"/>
      <c r="V126" s="2120">
        <f>+IF(OR(ROUND(P126,2)+ROUND(R126,2)&gt;+ROUND(O126,2)+ROUND(Q126,2),+ABS(ROUND(P126,2)+ROUND(R126,2))&gt;+ABS(ROUND(O126,2)+ROUND(Q126,2))),+(ROUND(P126,2)+ROUND(R126,2))-(ROUND(O126,2)+ROUND(Q126,2)),0)</f>
        <v>0</v>
      </c>
      <c r="W126" s="43"/>
      <c r="X126" s="43"/>
      <c r="Y126" s="43"/>
      <c r="Z126" s="43"/>
    </row>
    <row r="127" spans="1:26">
      <c r="A127" s="88">
        <v>4140</v>
      </c>
      <c r="B127" s="378" t="s">
        <v>898</v>
      </c>
      <c r="C127" s="1033"/>
      <c r="D127" s="1033"/>
      <c r="E127" s="1033"/>
      <c r="F127" s="1033"/>
      <c r="G127" s="1033"/>
      <c r="H127" s="1033"/>
      <c r="I127" s="1033"/>
      <c r="J127" s="1033"/>
      <c r="K127" s="1033"/>
      <c r="L127" s="90"/>
      <c r="M127" s="51"/>
      <c r="N127" s="113">
        <f t="shared" si="17"/>
        <v>4140</v>
      </c>
      <c r="O127" s="575">
        <v>0</v>
      </c>
      <c r="P127" s="576"/>
      <c r="Q127" s="122"/>
      <c r="R127" s="324"/>
      <c r="S127" s="579">
        <v>0</v>
      </c>
      <c r="T127" s="580">
        <f>+IF(ABS(+O127+Q127)&lt;=ABS(P127+R127),-O127+P127-Q127+R127,0)</f>
        <v>0</v>
      </c>
      <c r="U127" s="51"/>
      <c r="V127" s="2119">
        <f>+IF(OR(+ROUND(O127,2)+ROUND(Q127,2)&gt;ROUND(P127,2)+ROUND(R127,2),+ABS(ROUND(O127,2)+ROUND(Q127,2))&gt;+ABS(ROUND(P127,2)+ROUND(R127,2))),+(ROUND(O127,2)+ROUND(Q127,2))-(ROUND(P127,2)+ROUND(R127,2)),0)</f>
        <v>0</v>
      </c>
      <c r="W127" s="43"/>
      <c r="X127" s="43"/>
      <c r="Y127" s="43"/>
      <c r="Z127" s="43"/>
    </row>
    <row r="128" spans="1:26">
      <c r="A128" s="88">
        <v>4211</v>
      </c>
      <c r="B128" s="378" t="s">
        <v>480</v>
      </c>
      <c r="C128" s="1033"/>
      <c r="D128" s="1033"/>
      <c r="E128" s="1033"/>
      <c r="F128" s="1033"/>
      <c r="G128" s="1033"/>
      <c r="H128" s="1033"/>
      <c r="I128" s="1033"/>
      <c r="J128" s="1033"/>
      <c r="K128" s="1033"/>
      <c r="L128" s="90"/>
      <c r="M128" s="51"/>
      <c r="N128" s="113">
        <f t="shared" si="17"/>
        <v>4211</v>
      </c>
      <c r="O128" s="575">
        <v>0</v>
      </c>
      <c r="P128" s="576">
        <v>0</v>
      </c>
      <c r="Q128" s="122">
        <v>0</v>
      </c>
      <c r="R128" s="324">
        <v>0</v>
      </c>
      <c r="S128" s="579">
        <v>0</v>
      </c>
      <c r="T128" s="580">
        <f>+IF(ABS(+O128+Q128)&lt;=ABS(P128+R128),-O128+P128-Q128+R128,0)</f>
        <v>0</v>
      </c>
      <c r="U128" s="51"/>
      <c r="V128" s="2119">
        <f>+IF(OR(+ROUND(O128,2)+ROUND(Q128,2)&gt;ROUND(P128,2)+ROUND(R128,2),+ABS(ROUND(O128,2)+ROUND(Q128,2))&gt;+ABS(ROUND(P128,2)+ROUND(R128,2))),+(ROUND(O128,2)+ROUND(Q128,2))-(ROUND(P128,2)+ROUND(R128,2)),0)</f>
        <v>0</v>
      </c>
      <c r="W128" s="43"/>
      <c r="X128" s="43"/>
      <c r="Y128" s="43"/>
      <c r="Z128" s="43"/>
    </row>
    <row r="129" spans="1:26">
      <c r="A129" s="88">
        <v>4213</v>
      </c>
      <c r="B129" s="378" t="s">
        <v>481</v>
      </c>
      <c r="C129" s="1033"/>
      <c r="D129" s="1033"/>
      <c r="E129" s="1033"/>
      <c r="F129" s="1033"/>
      <c r="G129" s="1033"/>
      <c r="H129" s="1033"/>
      <c r="I129" s="1033"/>
      <c r="J129" s="1033"/>
      <c r="K129" s="1033"/>
      <c r="L129" s="90"/>
      <c r="M129" s="51"/>
      <c r="N129" s="113">
        <f t="shared" si="17"/>
        <v>4213</v>
      </c>
      <c r="O129" s="581">
        <v>0</v>
      </c>
      <c r="P129" s="582">
        <v>0</v>
      </c>
      <c r="Q129" s="122">
        <v>0</v>
      </c>
      <c r="R129" s="576">
        <v>0</v>
      </c>
      <c r="S129" s="583">
        <f>+IF(ABS(+O129+Q129)&gt;=ABS(P129+R129),+O129-P129+Q129-R129,0)</f>
        <v>0</v>
      </c>
      <c r="T129" s="584">
        <v>0</v>
      </c>
      <c r="U129" s="51"/>
      <c r="V129" s="2120">
        <f>+IF(OR(ROUND(P129,2)+ROUND(R129,2)&gt;+ROUND(O129,2)+ROUND(Q129,2),+ABS(ROUND(P129,2)+ROUND(R129,2))&gt;+ABS(ROUND(O129,2)+ROUND(Q129,2))),+(ROUND(P129,2)+ROUND(R129,2))-(ROUND(O129,2)+ROUND(Q129,2)),0)</f>
        <v>0</v>
      </c>
      <c r="W129" s="43"/>
      <c r="X129" s="43"/>
      <c r="Y129" s="43"/>
      <c r="Z129" s="43"/>
    </row>
    <row r="130" spans="1:26">
      <c r="A130" s="88">
        <v>4222</v>
      </c>
      <c r="B130" s="378" t="s">
        <v>482</v>
      </c>
      <c r="C130" s="1033"/>
      <c r="D130" s="1033"/>
      <c r="E130" s="1033"/>
      <c r="F130" s="1033"/>
      <c r="G130" s="1033"/>
      <c r="H130" s="1033"/>
      <c r="I130" s="1033"/>
      <c r="J130" s="1033"/>
      <c r="K130" s="1033"/>
      <c r="L130" s="90"/>
      <c r="M130" s="51"/>
      <c r="N130" s="113">
        <f t="shared" si="17"/>
        <v>4222</v>
      </c>
      <c r="O130" s="575">
        <v>0</v>
      </c>
      <c r="P130" s="576"/>
      <c r="Q130" s="122"/>
      <c r="R130" s="324"/>
      <c r="S130" s="579">
        <v>0</v>
      </c>
      <c r="T130" s="580">
        <f>+IF(ABS(+O130+Q130)&lt;=ABS(P130+R130),-O130+P130-Q130+R130,0)</f>
        <v>0</v>
      </c>
      <c r="U130" s="51"/>
      <c r="V130" s="2119">
        <f>+IF(OR(+ROUND(O130,2)+ROUND(Q130,2)&gt;ROUND(P130,2)+ROUND(R130,2),+ABS(ROUND(O130,2)+ROUND(Q130,2))&gt;+ABS(ROUND(P130,2)+ROUND(R130,2))),+(ROUND(O130,2)+ROUND(Q130,2))-(ROUND(P130,2)+ROUND(R130,2)),0)</f>
        <v>0</v>
      </c>
      <c r="W130" s="43"/>
      <c r="X130" s="43"/>
      <c r="Y130" s="43"/>
      <c r="Z130" s="43"/>
    </row>
    <row r="131" spans="1:26">
      <c r="A131" s="88">
        <v>4224</v>
      </c>
      <c r="B131" s="378" t="s">
        <v>483</v>
      </c>
      <c r="C131" s="1033"/>
      <c r="D131" s="1033"/>
      <c r="E131" s="1033"/>
      <c r="F131" s="1033"/>
      <c r="G131" s="1033"/>
      <c r="H131" s="1033"/>
      <c r="I131" s="1033"/>
      <c r="J131" s="1033"/>
      <c r="K131" s="1033"/>
      <c r="L131" s="90"/>
      <c r="M131" s="51"/>
      <c r="N131" s="113">
        <f t="shared" si="17"/>
        <v>4224</v>
      </c>
      <c r="O131" s="581"/>
      <c r="P131" s="582">
        <v>0</v>
      </c>
      <c r="Q131" s="122"/>
      <c r="R131" s="576"/>
      <c r="S131" s="583">
        <f>+IF(ABS(+O131+Q131)&gt;=ABS(P131+R131),+O131-P131+Q131-R131,0)</f>
        <v>0</v>
      </c>
      <c r="T131" s="584">
        <v>0</v>
      </c>
      <c r="U131" s="51"/>
      <c r="V131" s="2120">
        <f>+IF(OR(ROUND(P131,2)+ROUND(R131,2)&gt;+ROUND(O131,2)+ROUND(Q131,2),+ABS(ROUND(P131,2)+ROUND(R131,2))&gt;+ABS(ROUND(O131,2)+ROUND(Q131,2))),+(ROUND(P131,2)+ROUND(R131,2))-(ROUND(O131,2)+ROUND(Q131,2)),0)</f>
        <v>0</v>
      </c>
      <c r="W131" s="43"/>
      <c r="X131" s="43"/>
      <c r="Y131" s="43"/>
      <c r="Z131" s="43"/>
    </row>
    <row r="132" spans="1:26">
      <c r="A132" s="88">
        <v>4230</v>
      </c>
      <c r="B132" s="378" t="s">
        <v>1001</v>
      </c>
      <c r="C132" s="1033"/>
      <c r="D132" s="1033"/>
      <c r="E132" s="1033"/>
      <c r="F132" s="1033"/>
      <c r="G132" s="1033"/>
      <c r="H132" s="1033"/>
      <c r="I132" s="1033"/>
      <c r="J132" s="1033"/>
      <c r="K132" s="1033"/>
      <c r="L132" s="90"/>
      <c r="M132" s="51"/>
      <c r="N132" s="113">
        <f t="shared" si="17"/>
        <v>4230</v>
      </c>
      <c r="O132" s="575">
        <v>0</v>
      </c>
      <c r="P132" s="594">
        <v>0</v>
      </c>
      <c r="Q132" s="122">
        <v>0</v>
      </c>
      <c r="R132" s="324">
        <v>0</v>
      </c>
      <c r="S132" s="579">
        <v>0</v>
      </c>
      <c r="T132" s="580">
        <f>+IF(ABS(+O132+Q132)&lt;=ABS(P132+R132),-O132+P132-Q132+R132,0)</f>
        <v>0</v>
      </c>
      <c r="U132" s="51"/>
      <c r="V132" s="2119">
        <f>+IF(OR(+ROUND(O132,2)+ROUND(Q132,2)&gt;ROUND(P132,2)+ROUND(R132,2),+ABS(ROUND(O132,2)+ROUND(Q132,2))&gt;+ABS(ROUND(P132,2)+ROUND(R132,2))),+(ROUND(O132,2)+ROUND(Q132,2))-(ROUND(P132,2)+ROUND(R132,2)),0)</f>
        <v>0</v>
      </c>
      <c r="W132" s="43"/>
      <c r="X132" s="43"/>
      <c r="Y132" s="43"/>
      <c r="Z132" s="43"/>
    </row>
    <row r="133" spans="1:26">
      <c r="A133" s="88">
        <v>4241</v>
      </c>
      <c r="B133" s="1032" t="s">
        <v>484</v>
      </c>
      <c r="C133" s="1033"/>
      <c r="D133" s="1033"/>
      <c r="E133" s="1033"/>
      <c r="F133" s="1033"/>
      <c r="G133" s="1033"/>
      <c r="H133" s="1033"/>
      <c r="I133" s="1033"/>
      <c r="J133" s="1033"/>
      <c r="K133" s="1033"/>
      <c r="L133" s="90"/>
      <c r="M133" s="51"/>
      <c r="N133" s="113">
        <f t="shared" si="17"/>
        <v>4241</v>
      </c>
      <c r="O133" s="575">
        <v>0</v>
      </c>
      <c r="P133" s="576"/>
      <c r="Q133" s="122"/>
      <c r="R133" s="324"/>
      <c r="S133" s="579">
        <v>0</v>
      </c>
      <c r="T133" s="580">
        <f>+IF(ABS(+O133+Q133)&lt;=ABS(P133+R133),-O133+P133-Q133+R133,0)</f>
        <v>0</v>
      </c>
      <c r="U133" s="51"/>
      <c r="V133" s="2119">
        <f>+IF(OR(+ROUND(O133,2)+ROUND(Q133,2)&gt;ROUND(P133,2)+ROUND(R133,2),+ABS(ROUND(O133,2)+ROUND(Q133,2))&gt;+ABS(ROUND(P133,2)+ROUND(R133,2))),+(ROUND(O133,2)+ROUND(Q133,2))-(ROUND(P133,2)+ROUND(R133,2)),0)</f>
        <v>0</v>
      </c>
      <c r="W133" s="43"/>
      <c r="X133" s="43"/>
      <c r="Y133" s="43"/>
      <c r="Z133" s="43"/>
    </row>
    <row r="134" spans="1:26">
      <c r="A134" s="88">
        <v>4243</v>
      </c>
      <c r="B134" s="1032" t="s">
        <v>485</v>
      </c>
      <c r="C134" s="1033"/>
      <c r="D134" s="1033"/>
      <c r="E134" s="1033"/>
      <c r="F134" s="1033"/>
      <c r="G134" s="1033"/>
      <c r="H134" s="1033"/>
      <c r="I134" s="1033"/>
      <c r="J134" s="1033"/>
      <c r="K134" s="1033"/>
      <c r="L134" s="90"/>
      <c r="M134" s="51"/>
      <c r="N134" s="113">
        <f t="shared" si="17"/>
        <v>4243</v>
      </c>
      <c r="O134" s="581"/>
      <c r="P134" s="582">
        <v>0</v>
      </c>
      <c r="Q134" s="122"/>
      <c r="R134" s="576"/>
      <c r="S134" s="583">
        <f>+IF(ABS(+O134+Q134)&gt;=ABS(P134+R134),+O134-P134+Q134-R134,0)</f>
        <v>0</v>
      </c>
      <c r="T134" s="584">
        <v>0</v>
      </c>
      <c r="U134" s="51"/>
      <c r="V134" s="2120">
        <f>+IF(OR(ROUND(P134,2)+ROUND(R134,2)&gt;+ROUND(O134,2)+ROUND(Q134,2),+ABS(ROUND(P134,2)+ROUND(R134,2))&gt;+ABS(ROUND(O134,2)+ROUND(Q134,2))),+(ROUND(P134,2)+ROUND(R134,2))-(ROUND(O134,2)+ROUND(Q134,2)),0)</f>
        <v>0</v>
      </c>
      <c r="W134" s="43"/>
      <c r="X134" s="43"/>
      <c r="Y134" s="43"/>
      <c r="Z134" s="43"/>
    </row>
    <row r="135" spans="1:26">
      <c r="A135" s="88">
        <v>4252</v>
      </c>
      <c r="B135" s="378" t="s">
        <v>486</v>
      </c>
      <c r="C135" s="1033"/>
      <c r="D135" s="1033"/>
      <c r="E135" s="1033"/>
      <c r="F135" s="1033"/>
      <c r="G135" s="1033"/>
      <c r="H135" s="1033"/>
      <c r="I135" s="1033"/>
      <c r="J135" s="1033"/>
      <c r="K135" s="1033"/>
      <c r="L135" s="90"/>
      <c r="M135" s="51"/>
      <c r="N135" s="113">
        <f t="shared" si="17"/>
        <v>4252</v>
      </c>
      <c r="O135" s="575">
        <v>0</v>
      </c>
      <c r="P135" s="576"/>
      <c r="Q135" s="122"/>
      <c r="R135" s="324"/>
      <c r="S135" s="579">
        <v>0</v>
      </c>
      <c r="T135" s="580">
        <f>+IF(ABS(+O135+Q135)&lt;=ABS(P135+R135),-O135+P135-Q135+R135,0)</f>
        <v>0</v>
      </c>
      <c r="U135" s="51"/>
      <c r="V135" s="2119">
        <f>+IF(OR(+ROUND(O135,2)+ROUND(Q135,2)&gt;ROUND(P135,2)+ROUND(R135,2),+ABS(ROUND(O135,2)+ROUND(Q135,2))&gt;+ABS(ROUND(P135,2)+ROUND(R135,2))),+(ROUND(O135,2)+ROUND(Q135,2))-(ROUND(P135,2)+ROUND(R135,2)),0)</f>
        <v>0</v>
      </c>
      <c r="W135" s="43"/>
      <c r="X135" s="43"/>
      <c r="Y135" s="43"/>
      <c r="Z135" s="43"/>
    </row>
    <row r="136" spans="1:26">
      <c r="A136" s="88">
        <v>4254</v>
      </c>
      <c r="B136" s="378" t="s">
        <v>487</v>
      </c>
      <c r="C136" s="1033"/>
      <c r="D136" s="1033"/>
      <c r="E136" s="1033"/>
      <c r="F136" s="1033"/>
      <c r="G136" s="1033"/>
      <c r="H136" s="1033"/>
      <c r="I136" s="1033"/>
      <c r="J136" s="1033"/>
      <c r="K136" s="1033"/>
      <c r="L136" s="90"/>
      <c r="M136" s="51"/>
      <c r="N136" s="113">
        <f t="shared" si="17"/>
        <v>4254</v>
      </c>
      <c r="O136" s="581"/>
      <c r="P136" s="582">
        <v>0</v>
      </c>
      <c r="Q136" s="122"/>
      <c r="R136" s="576"/>
      <c r="S136" s="583">
        <f>+IF(ABS(+O136+Q136)&gt;=ABS(P136+R136),+O136-P136+Q136-R136,0)</f>
        <v>0</v>
      </c>
      <c r="T136" s="584">
        <v>0</v>
      </c>
      <c r="U136" s="51"/>
      <c r="V136" s="2120">
        <f>+IF(OR(ROUND(P136,2)+ROUND(R136,2)&gt;+ROUND(O136,2)+ROUND(Q136,2),+ABS(ROUND(P136,2)+ROUND(R136,2))&gt;+ABS(ROUND(O136,2)+ROUND(Q136,2))),+(ROUND(P136,2)+ROUND(R136,2))-(ROUND(O136,2)+ROUND(Q136,2)),0)</f>
        <v>0</v>
      </c>
      <c r="W136" s="43"/>
      <c r="X136" s="43"/>
      <c r="Y136" s="43"/>
      <c r="Z136" s="43"/>
    </row>
    <row r="137" spans="1:26">
      <c r="A137" s="88">
        <v>4261</v>
      </c>
      <c r="B137" s="378" t="s">
        <v>488</v>
      </c>
      <c r="C137" s="1033"/>
      <c r="D137" s="1033"/>
      <c r="E137" s="1033"/>
      <c r="F137" s="1033"/>
      <c r="G137" s="1033"/>
      <c r="H137" s="1033"/>
      <c r="I137" s="1033"/>
      <c r="J137" s="1033"/>
      <c r="K137" s="1033"/>
      <c r="L137" s="90"/>
      <c r="M137" s="51"/>
      <c r="N137" s="113">
        <f t="shared" si="17"/>
        <v>4261</v>
      </c>
      <c r="O137" s="581">
        <v>0</v>
      </c>
      <c r="P137" s="582">
        <v>0</v>
      </c>
      <c r="Q137" s="122">
        <v>0</v>
      </c>
      <c r="R137" s="576">
        <v>0</v>
      </c>
      <c r="S137" s="583">
        <f>+IF(ABS(+O137+Q137)&gt;=ABS(P137+R137),+O137-P137+Q137-R137,0)</f>
        <v>0</v>
      </c>
      <c r="T137" s="584">
        <v>0</v>
      </c>
      <c r="U137" s="51"/>
      <c r="V137" s="2120">
        <f>+IF(OR(ROUND(P137,2)+ROUND(R137,2)&gt;+ROUND(O137,2)+ROUND(Q137,2),+ABS(ROUND(P137,2)+ROUND(R137,2))&gt;+ABS(ROUND(O137,2)+ROUND(Q137,2))),+(ROUND(P137,2)+ROUND(R137,2))-(ROUND(O137,2)+ROUND(Q137,2)),0)</f>
        <v>0</v>
      </c>
      <c r="W137" s="43"/>
      <c r="X137" s="43"/>
      <c r="Y137" s="43"/>
      <c r="Z137" s="43"/>
    </row>
    <row r="138" spans="1:26">
      <c r="A138" s="88">
        <v>4262</v>
      </c>
      <c r="B138" s="378" t="s">
        <v>489</v>
      </c>
      <c r="C138" s="1033"/>
      <c r="D138" s="1033"/>
      <c r="E138" s="1033"/>
      <c r="F138" s="1033"/>
      <c r="G138" s="1033"/>
      <c r="H138" s="1033"/>
      <c r="I138" s="1033"/>
      <c r="J138" s="1033"/>
      <c r="K138" s="1033"/>
      <c r="L138" s="90"/>
      <c r="M138" s="51"/>
      <c r="N138" s="113">
        <f t="shared" si="17"/>
        <v>4262</v>
      </c>
      <c r="O138" s="581"/>
      <c r="P138" s="582">
        <v>0</v>
      </c>
      <c r="Q138" s="122"/>
      <c r="R138" s="576"/>
      <c r="S138" s="583">
        <f>+IF(ABS(+O138+Q138)&gt;=ABS(P138+R138),+O138-P138+Q138-R138,0)</f>
        <v>0</v>
      </c>
      <c r="T138" s="584">
        <v>0</v>
      </c>
      <c r="U138" s="51"/>
      <c r="V138" s="2120">
        <f>+IF(OR(ROUND(P138,2)+ROUND(R138,2)&gt;+ROUND(O138,2)+ROUND(Q138,2),+ABS(ROUND(P138,2)+ROUND(R138,2))&gt;+ABS(ROUND(O138,2)+ROUND(Q138,2))),+(ROUND(P138,2)+ROUND(R138,2))-(ROUND(O138,2)+ROUND(Q138,2)),0)</f>
        <v>0</v>
      </c>
      <c r="W138" s="43"/>
      <c r="X138" s="43"/>
      <c r="Y138" s="43"/>
      <c r="Z138" s="43"/>
    </row>
    <row r="139" spans="1:26">
      <c r="A139" s="88">
        <v>4271</v>
      </c>
      <c r="B139" s="378" t="s">
        <v>392</v>
      </c>
      <c r="C139" s="1033"/>
      <c r="D139" s="1033"/>
      <c r="E139" s="1033"/>
      <c r="F139" s="1033"/>
      <c r="G139" s="1033"/>
      <c r="H139" s="1033"/>
      <c r="I139" s="1033"/>
      <c r="J139" s="1033"/>
      <c r="K139" s="1033"/>
      <c r="L139" s="90"/>
      <c r="M139" s="51"/>
      <c r="N139" s="113">
        <f t="shared" si="17"/>
        <v>4271</v>
      </c>
      <c r="O139" s="575">
        <v>0</v>
      </c>
      <c r="P139" s="576"/>
      <c r="Q139" s="122"/>
      <c r="R139" s="324"/>
      <c r="S139" s="579">
        <v>0</v>
      </c>
      <c r="T139" s="580">
        <f>+IF(ABS(+O139+Q139)&lt;=ABS(P139+R139),-O139+P139-Q139+R139,0)</f>
        <v>0</v>
      </c>
      <c r="U139" s="51"/>
      <c r="V139" s="2119">
        <f>+IF(OR(+ROUND(O139,2)+ROUND(Q139,2)&gt;ROUND(P139,2)+ROUND(R139,2),+ABS(ROUND(O139,2)+ROUND(Q139,2))&gt;+ABS(ROUND(P139,2)+ROUND(R139,2))),+(ROUND(O139,2)+ROUND(Q139,2))-(ROUND(P139,2)+ROUND(R139,2)),0)</f>
        <v>0</v>
      </c>
      <c r="W139" s="43"/>
      <c r="X139" s="43"/>
      <c r="Y139" s="43"/>
      <c r="Z139" s="43"/>
    </row>
    <row r="140" spans="1:26">
      <c r="A140" s="88">
        <v>4272</v>
      </c>
      <c r="B140" s="378" t="s">
        <v>393</v>
      </c>
      <c r="C140" s="1033"/>
      <c r="D140" s="1033"/>
      <c r="E140" s="1033"/>
      <c r="F140" s="1033"/>
      <c r="G140" s="1033"/>
      <c r="H140" s="1033"/>
      <c r="I140" s="1033"/>
      <c r="J140" s="1033"/>
      <c r="K140" s="1033"/>
      <c r="L140" s="90"/>
      <c r="M140" s="51"/>
      <c r="N140" s="113">
        <f t="shared" si="17"/>
        <v>4272</v>
      </c>
      <c r="O140" s="575">
        <v>0</v>
      </c>
      <c r="P140" s="576"/>
      <c r="Q140" s="122"/>
      <c r="R140" s="324"/>
      <c r="S140" s="579">
        <v>0</v>
      </c>
      <c r="T140" s="580">
        <f>+IF(ABS(+O140+Q140)&lt;=ABS(P140+R140),-O140+P140-Q140+R140,0)</f>
        <v>0</v>
      </c>
      <c r="U140" s="51"/>
      <c r="V140" s="2119">
        <f>+IF(OR(+ROUND(O140,2)+ROUND(Q140,2)&gt;ROUND(P140,2)+ROUND(R140,2),+ABS(ROUND(O140,2)+ROUND(Q140,2))&gt;+ABS(ROUND(P140,2)+ROUND(R140,2))),+(ROUND(O140,2)+ROUND(Q140,2))-(ROUND(P140,2)+ROUND(R140,2)),0)</f>
        <v>0</v>
      </c>
      <c r="W140" s="43"/>
      <c r="X140" s="43"/>
      <c r="Y140" s="43"/>
      <c r="Z140" s="43"/>
    </row>
    <row r="141" spans="1:26">
      <c r="A141" s="88">
        <v>4279</v>
      </c>
      <c r="B141" s="378" t="s">
        <v>479</v>
      </c>
      <c r="C141" s="378"/>
      <c r="D141" s="1033"/>
      <c r="E141" s="1033"/>
      <c r="F141" s="1033"/>
      <c r="G141" s="1033"/>
      <c r="H141" s="1033"/>
      <c r="I141" s="1033"/>
      <c r="J141" s="1033"/>
      <c r="K141" s="1033"/>
      <c r="L141" s="90"/>
      <c r="M141" s="51"/>
      <c r="N141" s="113">
        <f t="shared" si="17"/>
        <v>4279</v>
      </c>
      <c r="O141" s="581"/>
      <c r="P141" s="582">
        <v>0</v>
      </c>
      <c r="Q141" s="122"/>
      <c r="R141" s="576"/>
      <c r="S141" s="583">
        <f>+IF(ABS(+O141+Q141)&gt;=ABS(P141+R141),+O141-P141+Q141-R141,0)</f>
        <v>0</v>
      </c>
      <c r="T141" s="584">
        <v>0</v>
      </c>
      <c r="U141" s="51"/>
      <c r="V141" s="2120">
        <f>+IF(OR(ROUND(P141,2)+ROUND(R141,2)&gt;+ROUND(O141,2)+ROUND(Q141,2),+ABS(ROUND(P141,2)+ROUND(R141,2))&gt;+ABS(ROUND(O141,2)+ROUND(Q141,2))),+(ROUND(P141,2)+ROUND(R141,2))-(ROUND(O141,2)+ROUND(Q141,2)),0)</f>
        <v>0</v>
      </c>
      <c r="W141" s="43"/>
      <c r="X141" s="43"/>
      <c r="Y141" s="43"/>
      <c r="Z141" s="43"/>
    </row>
    <row r="142" spans="1:26">
      <c r="A142" s="88">
        <v>4281</v>
      </c>
      <c r="B142" s="378" t="s">
        <v>394</v>
      </c>
      <c r="C142" s="1033"/>
      <c r="D142" s="1033"/>
      <c r="E142" s="1033"/>
      <c r="F142" s="1033"/>
      <c r="G142" s="1033"/>
      <c r="H142" s="1033"/>
      <c r="I142" s="1033"/>
      <c r="J142" s="1033"/>
      <c r="K142" s="1033"/>
      <c r="L142" s="90"/>
      <c r="M142" s="51"/>
      <c r="N142" s="113">
        <f t="shared" si="17"/>
        <v>4281</v>
      </c>
      <c r="O142" s="575">
        <v>0</v>
      </c>
      <c r="P142" s="576"/>
      <c r="Q142" s="122"/>
      <c r="R142" s="324"/>
      <c r="S142" s="579">
        <v>0</v>
      </c>
      <c r="T142" s="580">
        <f>+IF(ABS(+O142+Q142)&lt;=ABS(P142+R142),-O142+P142-Q142+R142,0)</f>
        <v>0</v>
      </c>
      <c r="U142" s="51"/>
      <c r="V142" s="2119">
        <f>+IF(OR(+ROUND(O142,2)+ROUND(Q142,2)&gt;ROUND(P142,2)+ROUND(R142,2),+ABS(ROUND(O142,2)+ROUND(Q142,2))&gt;+ABS(ROUND(P142,2)+ROUND(R142,2))),+(ROUND(O142,2)+ROUND(Q142,2))-(ROUND(P142,2)+ROUND(R142,2)),0)</f>
        <v>0</v>
      </c>
      <c r="W142" s="43"/>
      <c r="X142" s="43"/>
      <c r="Y142" s="43"/>
      <c r="Z142" s="43"/>
    </row>
    <row r="143" spans="1:26">
      <c r="A143" s="88">
        <v>4282</v>
      </c>
      <c r="B143" s="378" t="s">
        <v>395</v>
      </c>
      <c r="C143" s="1033"/>
      <c r="D143" s="1033"/>
      <c r="E143" s="1033"/>
      <c r="F143" s="1033"/>
      <c r="G143" s="1033"/>
      <c r="H143" s="1033"/>
      <c r="I143" s="1033"/>
      <c r="J143" s="1033"/>
      <c r="K143" s="1033"/>
      <c r="L143" s="90"/>
      <c r="M143" s="51"/>
      <c r="N143" s="113">
        <f t="shared" si="17"/>
        <v>4282</v>
      </c>
      <c r="O143" s="575">
        <v>0</v>
      </c>
      <c r="P143" s="576"/>
      <c r="Q143" s="122"/>
      <c r="R143" s="324"/>
      <c r="S143" s="579">
        <v>0</v>
      </c>
      <c r="T143" s="580">
        <f>+IF(ABS(+O143+Q143)&lt;=ABS(P143+R143),-O143+P143-Q143+R143,0)</f>
        <v>0</v>
      </c>
      <c r="U143" s="51"/>
      <c r="V143" s="2119">
        <f>+IF(OR(+ROUND(O143,2)+ROUND(Q143,2)&gt;ROUND(P143,2)+ROUND(R143,2),+ABS(ROUND(O143,2)+ROUND(Q143,2))&gt;+ABS(ROUND(P143,2)+ROUND(R143,2))),+(ROUND(O143,2)+ROUND(Q143,2))-(ROUND(P143,2)+ROUND(R143,2)),0)</f>
        <v>0</v>
      </c>
      <c r="W143" s="43"/>
      <c r="X143" s="43"/>
      <c r="Y143" s="43"/>
      <c r="Z143" s="43"/>
    </row>
    <row r="144" spans="1:26">
      <c r="A144" s="88">
        <v>4287</v>
      </c>
      <c r="B144" s="378" t="s">
        <v>396</v>
      </c>
      <c r="C144" s="1033"/>
      <c r="D144" s="1033"/>
      <c r="E144" s="1033"/>
      <c r="F144" s="1033"/>
      <c r="G144" s="1033"/>
      <c r="H144" s="1033"/>
      <c r="I144" s="1033"/>
      <c r="J144" s="1033"/>
      <c r="K144" s="1033"/>
      <c r="L144" s="90"/>
      <c r="M144" s="51"/>
      <c r="N144" s="113">
        <f t="shared" si="17"/>
        <v>4287</v>
      </c>
      <c r="O144" s="581"/>
      <c r="P144" s="582">
        <v>0</v>
      </c>
      <c r="Q144" s="122"/>
      <c r="R144" s="576"/>
      <c r="S144" s="583">
        <f>+IF(ABS(+O144+Q144)&gt;=ABS(P144+R144),+O144-P144+Q144-R144,0)</f>
        <v>0</v>
      </c>
      <c r="T144" s="584">
        <v>0</v>
      </c>
      <c r="U144" s="51"/>
      <c r="V144" s="2120">
        <f>+IF(OR(ROUND(P144,2)+ROUND(R144,2)&gt;+ROUND(O144,2)+ROUND(Q144,2),+ABS(ROUND(P144,2)+ROUND(R144,2))&gt;+ABS(ROUND(O144,2)+ROUND(Q144,2))),+(ROUND(P144,2)+ROUND(R144,2))-(ROUND(O144,2)+ROUND(Q144,2)),0)</f>
        <v>0</v>
      </c>
      <c r="W144" s="43"/>
      <c r="X144" s="43"/>
      <c r="Y144" s="43"/>
      <c r="Z144" s="43"/>
    </row>
    <row r="145" spans="1:26">
      <c r="A145" s="88">
        <v>4288</v>
      </c>
      <c r="B145" s="378" t="s">
        <v>397</v>
      </c>
      <c r="C145" s="1033"/>
      <c r="D145" s="1033"/>
      <c r="E145" s="1033"/>
      <c r="F145" s="1033"/>
      <c r="G145" s="1033"/>
      <c r="H145" s="1033"/>
      <c r="I145" s="1033"/>
      <c r="J145" s="1033"/>
      <c r="K145" s="1033"/>
      <c r="L145" s="90"/>
      <c r="M145" s="51"/>
      <c r="N145" s="113">
        <f t="shared" si="17"/>
        <v>4288</v>
      </c>
      <c r="O145" s="581"/>
      <c r="P145" s="582">
        <v>0</v>
      </c>
      <c r="Q145" s="122"/>
      <c r="R145" s="576"/>
      <c r="S145" s="583">
        <f>+IF(ABS(+O145+Q145)&gt;=ABS(P145+R145),+O145-P145+Q145-R145,0)</f>
        <v>0</v>
      </c>
      <c r="T145" s="584">
        <v>0</v>
      </c>
      <c r="U145" s="51"/>
      <c r="V145" s="2120">
        <f>+IF(OR(ROUND(P145,2)+ROUND(R145,2)&gt;+ROUND(O145,2)+ROUND(Q145,2),+ABS(ROUND(P145,2)+ROUND(R145,2))&gt;+ABS(ROUND(O145,2)+ROUND(Q145,2))),+(ROUND(P145,2)+ROUND(R145,2))-(ROUND(O145,2)+ROUND(Q145,2)),0)</f>
        <v>0</v>
      </c>
      <c r="W145" s="43"/>
      <c r="X145" s="43"/>
      <c r="Y145" s="43"/>
      <c r="Z145" s="43"/>
    </row>
    <row r="146" spans="1:26">
      <c r="A146" s="88">
        <v>4291</v>
      </c>
      <c r="B146" s="378" t="s">
        <v>400</v>
      </c>
      <c r="C146" s="1033"/>
      <c r="D146" s="1033"/>
      <c r="E146" s="1033"/>
      <c r="F146" s="1033"/>
      <c r="G146" s="1033"/>
      <c r="H146" s="1033"/>
      <c r="I146" s="1033"/>
      <c r="J146" s="1033"/>
      <c r="K146" s="1033"/>
      <c r="L146" s="90"/>
      <c r="M146" s="51"/>
      <c r="N146" s="113">
        <f t="shared" si="17"/>
        <v>4291</v>
      </c>
      <c r="O146" s="575">
        <v>0</v>
      </c>
      <c r="P146" s="576">
        <v>0</v>
      </c>
      <c r="Q146" s="122">
        <v>0</v>
      </c>
      <c r="R146" s="324">
        <v>0</v>
      </c>
      <c r="S146" s="579">
        <v>0</v>
      </c>
      <c r="T146" s="580">
        <f>+IF(ABS(+O146+Q146)&lt;=ABS(P146+R146),-O146+P146-Q146+R146,0)</f>
        <v>0</v>
      </c>
      <c r="U146" s="51"/>
      <c r="V146" s="2119">
        <f>+IF(OR(+ROUND(O146,2)+ROUND(Q146,2)&gt;ROUND(P146,2)+ROUND(R146,2),+ABS(ROUND(O146,2)+ROUND(Q146,2))&gt;+ABS(ROUND(P146,2)+ROUND(R146,2))),+(ROUND(O146,2)+ROUND(Q146,2))-(ROUND(P146,2)+ROUND(R146,2)),0)</f>
        <v>0</v>
      </c>
      <c r="W146" s="43"/>
      <c r="X146" s="43"/>
      <c r="Y146" s="43"/>
      <c r="Z146" s="43"/>
    </row>
    <row r="147" spans="1:26">
      <c r="A147" s="88">
        <v>4299</v>
      </c>
      <c r="B147" s="1032" t="s">
        <v>401</v>
      </c>
      <c r="C147" s="1033"/>
      <c r="D147" s="1033"/>
      <c r="E147" s="1033"/>
      <c r="F147" s="1033"/>
      <c r="G147" s="1033"/>
      <c r="H147" s="1033"/>
      <c r="I147" s="1033"/>
      <c r="J147" s="1033"/>
      <c r="K147" s="1033"/>
      <c r="L147" s="90"/>
      <c r="M147" s="51"/>
      <c r="N147" s="113">
        <f t="shared" si="17"/>
        <v>4299</v>
      </c>
      <c r="O147" s="581">
        <v>0</v>
      </c>
      <c r="P147" s="582">
        <v>0</v>
      </c>
      <c r="Q147" s="122">
        <v>0</v>
      </c>
      <c r="R147" s="576">
        <v>0</v>
      </c>
      <c r="S147" s="583">
        <f>+IF(ABS(+O147+Q147)&gt;=ABS(P147+R147),+O147-P147+Q147-R147,0)</f>
        <v>0</v>
      </c>
      <c r="T147" s="584">
        <v>0</v>
      </c>
      <c r="U147" s="51"/>
      <c r="V147" s="2120">
        <f>+IF(OR(ROUND(P147,2)+ROUND(R147,2)&gt;+ROUND(O147,2)+ROUND(Q147,2),+ABS(ROUND(P147,2)+ROUND(R147,2))&gt;+ABS(ROUND(O147,2)+ROUND(Q147,2))),+(ROUND(P147,2)+ROUND(R147,2))-(ROUND(O147,2)+ROUND(Q147,2)),0)</f>
        <v>0</v>
      </c>
      <c r="W147" s="43"/>
      <c r="X147" s="43"/>
      <c r="Y147" s="43"/>
      <c r="Z147" s="43"/>
    </row>
    <row r="148" spans="1:26">
      <c r="A148" s="417">
        <v>4301</v>
      </c>
      <c r="B148" s="2181" t="s">
        <v>2087</v>
      </c>
      <c r="C148" s="1033"/>
      <c r="D148" s="1033"/>
      <c r="E148" s="1033"/>
      <c r="F148" s="1033"/>
      <c r="G148" s="1033"/>
      <c r="H148" s="1033"/>
      <c r="I148" s="1033"/>
      <c r="J148" s="1033"/>
      <c r="K148" s="1033"/>
      <c r="L148" s="90"/>
      <c r="M148" s="51"/>
      <c r="N148" s="113">
        <f t="shared" si="17"/>
        <v>4301</v>
      </c>
      <c r="O148" s="593"/>
      <c r="P148" s="582">
        <v>0</v>
      </c>
      <c r="Q148" s="122"/>
      <c r="R148" s="576"/>
      <c r="S148" s="583">
        <f>+IF(ABS(+O148+Q148)&gt;=ABS(P148+R148),+O148-P148+Q148-R148,0)</f>
        <v>0</v>
      </c>
      <c r="T148" s="584">
        <v>0</v>
      </c>
      <c r="U148" s="51"/>
      <c r="V148" s="2120">
        <f>+IF(OR(ROUND(P148,2)+ROUND(R148,2)&gt;+ROUND(O148,2)+ROUND(Q148,2),+ABS(ROUND(P148,2)+ROUND(R148,2))&gt;+ABS(ROUND(O148,2)+ROUND(Q148,2))),+(ROUND(P148,2)+ROUND(R148,2))-(ROUND(O148,2)+ROUND(Q148,2)),0)</f>
        <v>0</v>
      </c>
      <c r="W148" s="43"/>
      <c r="X148" s="43"/>
      <c r="Y148" s="43"/>
      <c r="Z148" s="43"/>
    </row>
    <row r="149" spans="1:26">
      <c r="A149" s="417">
        <v>4303</v>
      </c>
      <c r="B149" s="378" t="s">
        <v>402</v>
      </c>
      <c r="C149" s="1033"/>
      <c r="D149" s="1033"/>
      <c r="E149" s="1033"/>
      <c r="F149" s="1033"/>
      <c r="G149" s="1033"/>
      <c r="H149" s="1033"/>
      <c r="I149" s="1033"/>
      <c r="J149" s="1033"/>
      <c r="K149" s="1033"/>
      <c r="L149" s="90"/>
      <c r="M149" s="51"/>
      <c r="N149" s="113">
        <f t="shared" si="17"/>
        <v>4303</v>
      </c>
      <c r="O149" s="581"/>
      <c r="P149" s="582">
        <v>0</v>
      </c>
      <c r="Q149" s="589"/>
      <c r="R149" s="576"/>
      <c r="S149" s="583">
        <f>+IF(ABS(+O149+Q149)&gt;=ABS(P149+R149),+O149-P149+Q149-R149,0)</f>
        <v>0</v>
      </c>
      <c r="T149" s="584">
        <v>0</v>
      </c>
      <c r="U149" s="51"/>
      <c r="V149" s="2120">
        <f>+IF(OR(ROUND(P149,2)+ROUND(R149,2)&gt;+ROUND(O149,2)+ROUND(Q149,2),+ABS(ROUND(P149,2)+ROUND(R149,2))&gt;+ABS(ROUND(O149,2)+ROUND(Q149,2))),+(ROUND(P149,2)+ROUND(R149,2))-(ROUND(O149,2)+ROUND(Q149,2)),0)</f>
        <v>0</v>
      </c>
      <c r="W149" s="43"/>
      <c r="X149" s="43"/>
      <c r="Y149" s="43"/>
      <c r="Z149" s="43"/>
    </row>
    <row r="150" spans="1:26">
      <c r="A150" s="88">
        <v>4311</v>
      </c>
      <c r="B150" s="1033" t="s">
        <v>403</v>
      </c>
      <c r="C150" s="1033"/>
      <c r="D150" s="1033"/>
      <c r="E150" s="1033"/>
      <c r="F150" s="1033"/>
      <c r="G150" s="1033"/>
      <c r="H150" s="1033"/>
      <c r="I150" s="1033"/>
      <c r="J150" s="1033"/>
      <c r="K150" s="1033"/>
      <c r="L150" s="90"/>
      <c r="M150" s="51"/>
      <c r="N150" s="113">
        <f t="shared" si="17"/>
        <v>4311</v>
      </c>
      <c r="O150" s="575">
        <v>0</v>
      </c>
      <c r="P150" s="576"/>
      <c r="Q150" s="589"/>
      <c r="R150" s="324"/>
      <c r="S150" s="579">
        <v>0</v>
      </c>
      <c r="T150" s="580">
        <f>+IF(ABS(+O150+Q150)&lt;=ABS(P150+R150),-O150+P150-Q150+R150,0)</f>
        <v>0</v>
      </c>
      <c r="U150" s="51"/>
      <c r="V150" s="2119">
        <f>+IF(OR(+ROUND(O150,2)+ROUND(Q150,2)&gt;ROUND(P150,2)+ROUND(R150,2),+ABS(ROUND(O150,2)+ROUND(Q150,2))&gt;+ABS(ROUND(P150,2)+ROUND(R150,2))),+(ROUND(O150,2)+ROUND(Q150,2))-(ROUND(P150,2)+ROUND(R150,2)),0)</f>
        <v>0</v>
      </c>
      <c r="W150" s="43"/>
      <c r="X150" s="43"/>
      <c r="Y150" s="43"/>
      <c r="Z150" s="43"/>
    </row>
    <row r="151" spans="1:26">
      <c r="A151" s="88">
        <v>4313</v>
      </c>
      <c r="B151" s="1033" t="s">
        <v>404</v>
      </c>
      <c r="C151" s="1033"/>
      <c r="D151" s="1033"/>
      <c r="E151" s="1033"/>
      <c r="F151" s="1033"/>
      <c r="G151" s="1033"/>
      <c r="H151" s="1033"/>
      <c r="I151" s="1033"/>
      <c r="J151" s="1033"/>
      <c r="K151" s="1033"/>
      <c r="L151" s="90"/>
      <c r="M151" s="51"/>
      <c r="N151" s="113">
        <f t="shared" si="17"/>
        <v>4313</v>
      </c>
      <c r="O151" s="575">
        <v>0</v>
      </c>
      <c r="P151" s="576"/>
      <c r="Q151" s="589"/>
      <c r="R151" s="324"/>
      <c r="S151" s="579">
        <v>0</v>
      </c>
      <c r="T151" s="580">
        <f>+IF(ABS(+O151+Q151)&lt;=ABS(P151+R151),-O151+P151-Q151+R151,0)</f>
        <v>0</v>
      </c>
      <c r="U151" s="51"/>
      <c r="V151" s="2119">
        <f>+IF(OR(+ROUND(O151,2)+ROUND(Q151,2)&gt;ROUND(P151,2)+ROUND(R151,2),+ABS(ROUND(O151,2)+ROUND(Q151,2))&gt;+ABS(ROUND(P151,2)+ROUND(R151,2))),+(ROUND(O151,2)+ROUND(Q151,2))-(ROUND(P151,2)+ROUND(R151,2)),0)</f>
        <v>0</v>
      </c>
      <c r="W151" s="43"/>
      <c r="X151" s="43"/>
      <c r="Y151" s="43"/>
      <c r="Z151" s="43"/>
    </row>
    <row r="152" spans="1:26">
      <c r="A152" s="88">
        <v>4321</v>
      </c>
      <c r="B152" s="378" t="s">
        <v>405</v>
      </c>
      <c r="C152" s="1033"/>
      <c r="D152" s="1033"/>
      <c r="E152" s="1033"/>
      <c r="F152" s="1033"/>
      <c r="G152" s="1033"/>
      <c r="H152" s="1033"/>
      <c r="I152" s="1033"/>
      <c r="J152" s="1033"/>
      <c r="K152" s="1033"/>
      <c r="L152" s="90"/>
      <c r="M152" s="51"/>
      <c r="N152" s="113">
        <f t="shared" si="17"/>
        <v>4321</v>
      </c>
      <c r="O152" s="581"/>
      <c r="P152" s="582">
        <v>0</v>
      </c>
      <c r="Q152" s="589"/>
      <c r="R152" s="576"/>
      <c r="S152" s="583">
        <f t="shared" ref="S152:S172" si="18">+IF(ABS(+O152+Q152)&gt;=ABS(P152+R152),+O152-P152+Q152-R152,0)</f>
        <v>0</v>
      </c>
      <c r="T152" s="584">
        <v>0</v>
      </c>
      <c r="U152" s="51"/>
      <c r="V152" s="2120">
        <f t="shared" ref="V152:V159" si="19">+IF(OR(ROUND(P152,2)+ROUND(R152,2)&gt;+ROUND(O152,2)+ROUND(Q152,2),+ABS(ROUND(P152,2)+ROUND(R152,2))&gt;+ABS(ROUND(O152,2)+ROUND(Q152,2))),+(ROUND(P152,2)+ROUND(R152,2))-(ROUND(O152,2)+ROUND(Q152,2)),0)</f>
        <v>0</v>
      </c>
      <c r="W152" s="43"/>
      <c r="X152" s="43"/>
      <c r="Y152" s="43"/>
      <c r="Z152" s="43"/>
    </row>
    <row r="153" spans="1:26">
      <c r="A153" s="88">
        <v>4322</v>
      </c>
      <c r="B153" s="378" t="s">
        <v>406</v>
      </c>
      <c r="C153" s="1033"/>
      <c r="D153" s="1033"/>
      <c r="E153" s="1033"/>
      <c r="F153" s="1033"/>
      <c r="G153" s="1033"/>
      <c r="H153" s="1033"/>
      <c r="I153" s="1033"/>
      <c r="J153" s="1033"/>
      <c r="K153" s="1033"/>
      <c r="L153" s="90"/>
      <c r="M153" s="51"/>
      <c r="N153" s="113">
        <f t="shared" si="17"/>
        <v>4322</v>
      </c>
      <c r="O153" s="581"/>
      <c r="P153" s="582">
        <v>0</v>
      </c>
      <c r="Q153" s="589"/>
      <c r="R153" s="576"/>
      <c r="S153" s="583">
        <f t="shared" si="18"/>
        <v>0</v>
      </c>
      <c r="T153" s="584">
        <v>0</v>
      </c>
      <c r="U153" s="51"/>
      <c r="V153" s="2120">
        <f t="shared" si="19"/>
        <v>0</v>
      </c>
      <c r="W153" s="43"/>
      <c r="X153" s="43"/>
      <c r="Y153" s="43"/>
      <c r="Z153" s="43"/>
    </row>
    <row r="154" spans="1:26">
      <c r="A154" s="88">
        <v>4327</v>
      </c>
      <c r="B154" s="378" t="s">
        <v>407</v>
      </c>
      <c r="C154" s="1033"/>
      <c r="D154" s="1033"/>
      <c r="E154" s="1033"/>
      <c r="F154" s="1033"/>
      <c r="G154" s="1033"/>
      <c r="H154" s="1033"/>
      <c r="I154" s="1033"/>
      <c r="J154" s="1033"/>
      <c r="K154" s="1033"/>
      <c r="L154" s="90"/>
      <c r="M154" s="51"/>
      <c r="N154" s="113">
        <f t="shared" si="17"/>
        <v>4327</v>
      </c>
      <c r="O154" s="581"/>
      <c r="P154" s="582">
        <v>0</v>
      </c>
      <c r="Q154" s="589"/>
      <c r="R154" s="576"/>
      <c r="S154" s="583">
        <f t="shared" si="18"/>
        <v>0</v>
      </c>
      <c r="T154" s="584">
        <v>0</v>
      </c>
      <c r="U154" s="51"/>
      <c r="V154" s="2120">
        <f t="shared" si="19"/>
        <v>0</v>
      </c>
      <c r="W154" s="43"/>
      <c r="X154" s="43"/>
      <c r="Y154" s="43"/>
      <c r="Z154" s="43"/>
    </row>
    <row r="155" spans="1:26">
      <c r="A155" s="88">
        <v>4328</v>
      </c>
      <c r="B155" s="378" t="s">
        <v>35</v>
      </c>
      <c r="C155" s="1033"/>
      <c r="D155" s="1033"/>
      <c r="E155" s="1033"/>
      <c r="F155" s="1033"/>
      <c r="G155" s="1033"/>
      <c r="H155" s="1033"/>
      <c r="I155" s="1033"/>
      <c r="J155" s="1033"/>
      <c r="K155" s="1033"/>
      <c r="L155" s="90"/>
      <c r="M155" s="51"/>
      <c r="N155" s="113">
        <f t="shared" si="17"/>
        <v>4328</v>
      </c>
      <c r="O155" s="581"/>
      <c r="P155" s="582">
        <v>0</v>
      </c>
      <c r="Q155" s="589"/>
      <c r="R155" s="576"/>
      <c r="S155" s="583">
        <f t="shared" si="18"/>
        <v>0</v>
      </c>
      <c r="T155" s="584">
        <v>0</v>
      </c>
      <c r="U155" s="51"/>
      <c r="V155" s="2120">
        <f t="shared" si="19"/>
        <v>0</v>
      </c>
      <c r="W155" s="43"/>
      <c r="X155" s="43"/>
      <c r="Y155" s="43"/>
      <c r="Z155" s="43"/>
    </row>
    <row r="156" spans="1:26">
      <c r="A156" s="88">
        <v>4331</v>
      </c>
      <c r="B156" s="378" t="s">
        <v>915</v>
      </c>
      <c r="C156" s="1033"/>
      <c r="D156" s="1033"/>
      <c r="E156" s="1033"/>
      <c r="F156" s="1033"/>
      <c r="G156" s="1033"/>
      <c r="H156" s="1033"/>
      <c r="I156" s="1033"/>
      <c r="J156" s="1033"/>
      <c r="K156" s="1033"/>
      <c r="L156" s="90"/>
      <c r="M156" s="51"/>
      <c r="N156" s="113">
        <f t="shared" si="17"/>
        <v>4331</v>
      </c>
      <c r="O156" s="581"/>
      <c r="P156" s="582">
        <v>0</v>
      </c>
      <c r="Q156" s="589"/>
      <c r="R156" s="576"/>
      <c r="S156" s="583">
        <f t="shared" si="18"/>
        <v>0</v>
      </c>
      <c r="T156" s="584">
        <v>0</v>
      </c>
      <c r="U156" s="51"/>
      <c r="V156" s="2120">
        <f t="shared" si="19"/>
        <v>0</v>
      </c>
      <c r="W156" s="43"/>
      <c r="X156" s="43"/>
      <c r="Y156" s="43"/>
      <c r="Z156" s="43"/>
    </row>
    <row r="157" spans="1:26">
      <c r="A157" s="88">
        <v>4332</v>
      </c>
      <c r="B157" s="378" t="s">
        <v>916</v>
      </c>
      <c r="C157" s="1033"/>
      <c r="D157" s="1033"/>
      <c r="E157" s="1033"/>
      <c r="F157" s="1033"/>
      <c r="G157" s="1033"/>
      <c r="H157" s="1033"/>
      <c r="I157" s="1033"/>
      <c r="J157" s="1033"/>
      <c r="K157" s="1033"/>
      <c r="L157" s="90"/>
      <c r="M157" s="51"/>
      <c r="N157" s="113">
        <f t="shared" si="17"/>
        <v>4332</v>
      </c>
      <c r="O157" s="581"/>
      <c r="P157" s="582">
        <v>0</v>
      </c>
      <c r="Q157" s="589"/>
      <c r="R157" s="576"/>
      <c r="S157" s="583">
        <f t="shared" si="18"/>
        <v>0</v>
      </c>
      <c r="T157" s="584">
        <v>0</v>
      </c>
      <c r="U157" s="51"/>
      <c r="V157" s="2120">
        <f t="shared" si="19"/>
        <v>0</v>
      </c>
      <c r="W157" s="43"/>
      <c r="X157" s="43"/>
      <c r="Y157" s="43"/>
      <c r="Z157" s="43"/>
    </row>
    <row r="158" spans="1:26">
      <c r="A158" s="88">
        <v>4351</v>
      </c>
      <c r="B158" s="1032" t="s">
        <v>1161</v>
      </c>
      <c r="C158" s="1033"/>
      <c r="D158" s="1033"/>
      <c r="E158" s="1033"/>
      <c r="F158" s="1033"/>
      <c r="G158" s="1033"/>
      <c r="H158" s="1033"/>
      <c r="I158" s="1033"/>
      <c r="J158" s="1033"/>
      <c r="K158" s="1033"/>
      <c r="L158" s="90"/>
      <c r="M158" s="51"/>
      <c r="N158" s="113">
        <f t="shared" si="17"/>
        <v>4351</v>
      </c>
      <c r="O158" s="581"/>
      <c r="P158" s="582">
        <v>0</v>
      </c>
      <c r="Q158" s="589"/>
      <c r="R158" s="576"/>
      <c r="S158" s="583">
        <f t="shared" si="18"/>
        <v>0</v>
      </c>
      <c r="T158" s="584">
        <v>0</v>
      </c>
      <c r="U158" s="51"/>
      <c r="V158" s="2120">
        <f t="shared" si="19"/>
        <v>0</v>
      </c>
      <c r="W158" s="43"/>
      <c r="X158" s="43"/>
      <c r="Y158" s="43"/>
      <c r="Z158" s="43"/>
    </row>
    <row r="159" spans="1:26">
      <c r="A159" s="88">
        <v>4352</v>
      </c>
      <c r="B159" s="1032" t="s">
        <v>1162</v>
      </c>
      <c r="C159" s="1033"/>
      <c r="D159" s="1033"/>
      <c r="E159" s="1033"/>
      <c r="F159" s="1033"/>
      <c r="G159" s="1033"/>
      <c r="H159" s="1033"/>
      <c r="I159" s="1033"/>
      <c r="J159" s="1033"/>
      <c r="K159" s="1033"/>
      <c r="L159" s="90"/>
      <c r="M159" s="51"/>
      <c r="N159" s="113">
        <f t="shared" si="17"/>
        <v>4352</v>
      </c>
      <c r="O159" s="581"/>
      <c r="P159" s="582">
        <v>0</v>
      </c>
      <c r="Q159" s="589"/>
      <c r="R159" s="576"/>
      <c r="S159" s="583">
        <f t="shared" si="18"/>
        <v>0</v>
      </c>
      <c r="T159" s="584">
        <v>0</v>
      </c>
      <c r="U159" s="51"/>
      <c r="V159" s="2120">
        <f t="shared" si="19"/>
        <v>0</v>
      </c>
      <c r="W159" s="43"/>
      <c r="X159" s="43"/>
      <c r="Y159" s="43"/>
      <c r="Z159" s="43"/>
    </row>
    <row r="160" spans="1:26">
      <c r="A160" s="88">
        <v>4360</v>
      </c>
      <c r="B160" s="1034" t="s">
        <v>664</v>
      </c>
      <c r="C160" s="1033"/>
      <c r="D160" s="1033"/>
      <c r="E160" s="1033"/>
      <c r="F160" s="1033"/>
      <c r="G160" s="1033"/>
      <c r="H160" s="1033"/>
      <c r="I160" s="1033"/>
      <c r="J160" s="1033"/>
      <c r="K160" s="1033"/>
      <c r="L160" s="90"/>
      <c r="M160" s="51"/>
      <c r="N160" s="113">
        <f t="shared" si="17"/>
        <v>4360</v>
      </c>
      <c r="O160" s="581"/>
      <c r="P160" s="576"/>
      <c r="Q160" s="589"/>
      <c r="R160" s="576"/>
      <c r="S160" s="583">
        <f t="shared" si="18"/>
        <v>0</v>
      </c>
      <c r="T160" s="580">
        <f>+IF(ABS(+O160+Q160)&lt;=ABS(P160+R160),-O160+P160-Q160+R160,0)</f>
        <v>0</v>
      </c>
      <c r="U160" s="51"/>
      <c r="V160" s="2119"/>
      <c r="W160" s="43"/>
      <c r="X160" s="43"/>
      <c r="Y160" s="43"/>
      <c r="Z160" s="43"/>
    </row>
    <row r="161" spans="1:26">
      <c r="A161" s="88">
        <v>4371</v>
      </c>
      <c r="B161" s="378" t="s">
        <v>36</v>
      </c>
      <c r="C161" s="1033"/>
      <c r="D161" s="1033"/>
      <c r="E161" s="1033"/>
      <c r="F161" s="1033"/>
      <c r="G161" s="1033"/>
      <c r="H161" s="1033"/>
      <c r="I161" s="1033"/>
      <c r="J161" s="1033"/>
      <c r="K161" s="1033"/>
      <c r="L161" s="90"/>
      <c r="M161" s="51"/>
      <c r="N161" s="113">
        <f t="shared" si="17"/>
        <v>4371</v>
      </c>
      <c r="O161" s="581"/>
      <c r="P161" s="582">
        <v>0</v>
      </c>
      <c r="Q161" s="589"/>
      <c r="R161" s="576"/>
      <c r="S161" s="583">
        <f t="shared" si="18"/>
        <v>0</v>
      </c>
      <c r="T161" s="584">
        <v>0</v>
      </c>
      <c r="U161" s="51"/>
      <c r="V161" s="2120">
        <f t="shared" ref="V161:V172" si="20">+IF(OR(ROUND(P161,2)+ROUND(R161,2)&gt;+ROUND(O161,2)+ROUND(Q161,2),+ABS(ROUND(P161,2)+ROUND(R161,2))&gt;+ABS(ROUND(O161,2)+ROUND(Q161,2))),+(ROUND(P161,2)+ROUND(R161,2))-(ROUND(O161,2)+ROUND(Q161,2)),0)</f>
        <v>0</v>
      </c>
      <c r="W161" s="43"/>
      <c r="X161" s="43"/>
      <c r="Y161" s="43"/>
      <c r="Z161" s="43"/>
    </row>
    <row r="162" spans="1:26">
      <c r="A162" s="88">
        <v>4372</v>
      </c>
      <c r="B162" s="378" t="s">
        <v>37</v>
      </c>
      <c r="C162" s="1033"/>
      <c r="D162" s="1033"/>
      <c r="E162" s="1033"/>
      <c r="F162" s="1033"/>
      <c r="G162" s="1033"/>
      <c r="H162" s="1033"/>
      <c r="I162" s="1033"/>
      <c r="J162" s="1033"/>
      <c r="K162" s="1033"/>
      <c r="L162" s="90"/>
      <c r="M162" s="51"/>
      <c r="N162" s="113">
        <f t="shared" si="17"/>
        <v>4372</v>
      </c>
      <c r="O162" s="581"/>
      <c r="P162" s="582">
        <v>0</v>
      </c>
      <c r="Q162" s="589"/>
      <c r="R162" s="576"/>
      <c r="S162" s="583">
        <f t="shared" si="18"/>
        <v>0</v>
      </c>
      <c r="T162" s="584">
        <v>0</v>
      </c>
      <c r="U162" s="51"/>
      <c r="V162" s="2120">
        <f t="shared" si="20"/>
        <v>0</v>
      </c>
      <c r="W162" s="43"/>
      <c r="X162" s="43"/>
      <c r="Y162" s="43"/>
      <c r="Z162" s="43"/>
    </row>
    <row r="163" spans="1:26">
      <c r="A163" s="88">
        <v>4373</v>
      </c>
      <c r="B163" s="378" t="s">
        <v>38</v>
      </c>
      <c r="C163" s="1033"/>
      <c r="D163" s="1033"/>
      <c r="E163" s="1033"/>
      <c r="F163" s="1033"/>
      <c r="G163" s="1033"/>
      <c r="H163" s="1033"/>
      <c r="I163" s="1033"/>
      <c r="J163" s="1033"/>
      <c r="K163" s="1033"/>
      <c r="L163" s="90"/>
      <c r="M163" s="51"/>
      <c r="N163" s="113">
        <f t="shared" si="17"/>
        <v>4373</v>
      </c>
      <c r="O163" s="581"/>
      <c r="P163" s="582">
        <v>0</v>
      </c>
      <c r="Q163" s="589"/>
      <c r="R163" s="576"/>
      <c r="S163" s="583">
        <f t="shared" si="18"/>
        <v>0</v>
      </c>
      <c r="T163" s="584">
        <v>0</v>
      </c>
      <c r="U163" s="51"/>
      <c r="V163" s="2120">
        <f t="shared" si="20"/>
        <v>0</v>
      </c>
      <c r="W163" s="43"/>
      <c r="X163" s="43"/>
      <c r="Y163" s="43"/>
      <c r="Z163" s="43"/>
    </row>
    <row r="164" spans="1:26">
      <c r="A164" s="88">
        <v>4374</v>
      </c>
      <c r="B164" s="378" t="s">
        <v>39</v>
      </c>
      <c r="C164" s="1033"/>
      <c r="D164" s="1033"/>
      <c r="E164" s="1033"/>
      <c r="F164" s="1033"/>
      <c r="G164" s="1033"/>
      <c r="H164" s="1033"/>
      <c r="I164" s="1033"/>
      <c r="J164" s="1033"/>
      <c r="K164" s="1033"/>
      <c r="L164" s="90"/>
      <c r="M164" s="51"/>
      <c r="N164" s="113">
        <f t="shared" si="17"/>
        <v>4374</v>
      </c>
      <c r="O164" s="581"/>
      <c r="P164" s="582">
        <v>0</v>
      </c>
      <c r="Q164" s="589"/>
      <c r="R164" s="576"/>
      <c r="S164" s="583">
        <f t="shared" si="18"/>
        <v>0</v>
      </c>
      <c r="T164" s="584">
        <v>0</v>
      </c>
      <c r="U164" s="51"/>
      <c r="V164" s="2120">
        <f t="shared" si="20"/>
        <v>0</v>
      </c>
      <c r="W164" s="43"/>
      <c r="X164" s="43"/>
      <c r="Y164" s="43"/>
      <c r="Z164" s="43"/>
    </row>
    <row r="165" spans="1:26">
      <c r="A165" s="88">
        <v>4375</v>
      </c>
      <c r="B165" s="378" t="s">
        <v>40</v>
      </c>
      <c r="C165" s="1033"/>
      <c r="D165" s="1033"/>
      <c r="E165" s="1033"/>
      <c r="F165" s="1033"/>
      <c r="G165" s="1033"/>
      <c r="H165" s="1033"/>
      <c r="I165" s="1033"/>
      <c r="J165" s="1033"/>
      <c r="K165" s="1033"/>
      <c r="L165" s="90"/>
      <c r="M165" s="51"/>
      <c r="N165" s="113">
        <f t="shared" si="17"/>
        <v>4375</v>
      </c>
      <c r="O165" s="581"/>
      <c r="P165" s="582">
        <v>0</v>
      </c>
      <c r="Q165" s="589"/>
      <c r="R165" s="576"/>
      <c r="S165" s="583">
        <f t="shared" si="18"/>
        <v>0</v>
      </c>
      <c r="T165" s="584">
        <v>0</v>
      </c>
      <c r="U165" s="51"/>
      <c r="V165" s="2120">
        <f t="shared" si="20"/>
        <v>0</v>
      </c>
      <c r="W165" s="43"/>
      <c r="X165" s="43"/>
      <c r="Y165" s="43"/>
      <c r="Z165" s="43"/>
    </row>
    <row r="166" spans="1:26">
      <c r="A166" s="88">
        <v>4376</v>
      </c>
      <c r="B166" s="378" t="s">
        <v>41</v>
      </c>
      <c r="C166" s="1033"/>
      <c r="D166" s="1033"/>
      <c r="E166" s="1033"/>
      <c r="F166" s="1033"/>
      <c r="G166" s="1033"/>
      <c r="H166" s="1033"/>
      <c r="I166" s="1033"/>
      <c r="J166" s="1033"/>
      <c r="K166" s="1033"/>
      <c r="L166" s="90"/>
      <c r="M166" s="51"/>
      <c r="N166" s="113">
        <f t="shared" si="17"/>
        <v>4376</v>
      </c>
      <c r="O166" s="581"/>
      <c r="P166" s="582">
        <v>0</v>
      </c>
      <c r="Q166" s="589"/>
      <c r="R166" s="576"/>
      <c r="S166" s="583">
        <f t="shared" si="18"/>
        <v>0</v>
      </c>
      <c r="T166" s="584">
        <v>0</v>
      </c>
      <c r="U166" s="51"/>
      <c r="V166" s="2120">
        <f t="shared" si="20"/>
        <v>0</v>
      </c>
      <c r="W166" s="43"/>
      <c r="X166" s="43"/>
      <c r="Y166" s="43"/>
      <c r="Z166" s="43"/>
    </row>
    <row r="167" spans="1:26">
      <c r="A167" s="88">
        <v>4379</v>
      </c>
      <c r="B167" s="378" t="s">
        <v>42</v>
      </c>
      <c r="C167" s="1033"/>
      <c r="D167" s="1033"/>
      <c r="E167" s="1033"/>
      <c r="F167" s="1033"/>
      <c r="G167" s="1033"/>
      <c r="H167" s="1033"/>
      <c r="I167" s="1033"/>
      <c r="J167" s="1033"/>
      <c r="K167" s="1033"/>
      <c r="L167" s="90"/>
      <c r="M167" s="51"/>
      <c r="N167" s="113">
        <f t="shared" si="17"/>
        <v>4379</v>
      </c>
      <c r="O167" s="581"/>
      <c r="P167" s="582">
        <v>0</v>
      </c>
      <c r="Q167" s="589"/>
      <c r="R167" s="576"/>
      <c r="S167" s="583">
        <f t="shared" si="18"/>
        <v>0</v>
      </c>
      <c r="T167" s="584">
        <v>0</v>
      </c>
      <c r="U167" s="51"/>
      <c r="V167" s="2120">
        <f t="shared" si="20"/>
        <v>0</v>
      </c>
      <c r="W167" s="43"/>
      <c r="X167" s="43"/>
      <c r="Y167" s="43"/>
      <c r="Z167" s="43"/>
    </row>
    <row r="168" spans="1:26">
      <c r="A168" s="88">
        <v>4381</v>
      </c>
      <c r="B168" s="378" t="s">
        <v>917</v>
      </c>
      <c r="C168" s="1033"/>
      <c r="D168" s="1033"/>
      <c r="E168" s="1033"/>
      <c r="F168" s="1033"/>
      <c r="G168" s="1033"/>
      <c r="H168" s="1033"/>
      <c r="I168" s="1033"/>
      <c r="J168" s="1033"/>
      <c r="K168" s="1033"/>
      <c r="L168" s="90"/>
      <c r="M168" s="51"/>
      <c r="N168" s="113">
        <f t="shared" si="17"/>
        <v>4381</v>
      </c>
      <c r="O168" s="581"/>
      <c r="P168" s="582">
        <v>0</v>
      </c>
      <c r="Q168" s="589"/>
      <c r="R168" s="576"/>
      <c r="S168" s="583">
        <f t="shared" si="18"/>
        <v>0</v>
      </c>
      <c r="T168" s="584">
        <v>0</v>
      </c>
      <c r="U168" s="51"/>
      <c r="V168" s="2120">
        <f t="shared" si="20"/>
        <v>0</v>
      </c>
      <c r="W168" s="43"/>
      <c r="X168" s="43"/>
      <c r="Y168" s="43"/>
      <c r="Z168" s="43"/>
    </row>
    <row r="169" spans="1:26">
      <c r="A169" s="88">
        <v>4382</v>
      </c>
      <c r="B169" s="378" t="s">
        <v>918</v>
      </c>
      <c r="C169" s="1033"/>
      <c r="D169" s="1033"/>
      <c r="E169" s="1033"/>
      <c r="F169" s="1033"/>
      <c r="G169" s="1033"/>
      <c r="H169" s="1033"/>
      <c r="I169" s="1033"/>
      <c r="J169" s="1033"/>
      <c r="K169" s="1033"/>
      <c r="L169" s="90"/>
      <c r="M169" s="51"/>
      <c r="N169" s="113">
        <f t="shared" si="17"/>
        <v>4382</v>
      </c>
      <c r="O169" s="581"/>
      <c r="P169" s="582">
        <v>0</v>
      </c>
      <c r="Q169" s="589"/>
      <c r="R169" s="576"/>
      <c r="S169" s="583">
        <f t="shared" si="18"/>
        <v>0</v>
      </c>
      <c r="T169" s="584">
        <v>0</v>
      </c>
      <c r="U169" s="51"/>
      <c r="V169" s="2120">
        <f t="shared" si="20"/>
        <v>0</v>
      </c>
      <c r="W169" s="43"/>
      <c r="X169" s="43"/>
      <c r="Y169" s="43"/>
      <c r="Z169" s="43"/>
    </row>
    <row r="170" spans="1:26">
      <c r="A170" s="88">
        <v>4383</v>
      </c>
      <c r="B170" s="378" t="s">
        <v>919</v>
      </c>
      <c r="C170" s="1033"/>
      <c r="D170" s="1033"/>
      <c r="E170" s="1033"/>
      <c r="F170" s="1033"/>
      <c r="G170" s="1033"/>
      <c r="H170" s="1033"/>
      <c r="I170" s="1033"/>
      <c r="J170" s="1033"/>
      <c r="K170" s="1033"/>
      <c r="L170" s="90"/>
      <c r="M170" s="51"/>
      <c r="N170" s="113">
        <f t="shared" si="17"/>
        <v>4383</v>
      </c>
      <c r="O170" s="581"/>
      <c r="P170" s="582">
        <v>0</v>
      </c>
      <c r="Q170" s="589"/>
      <c r="R170" s="576"/>
      <c r="S170" s="583">
        <f t="shared" si="18"/>
        <v>0</v>
      </c>
      <c r="T170" s="584">
        <v>0</v>
      </c>
      <c r="U170" s="51"/>
      <c r="V170" s="2120">
        <f t="shared" si="20"/>
        <v>0</v>
      </c>
      <c r="W170" s="43"/>
      <c r="X170" s="43"/>
      <c r="Y170" s="43"/>
      <c r="Z170" s="43"/>
    </row>
    <row r="171" spans="1:26">
      <c r="A171" s="88">
        <v>4384</v>
      </c>
      <c r="B171" s="378" t="s">
        <v>920</v>
      </c>
      <c r="C171" s="1033"/>
      <c r="D171" s="1033"/>
      <c r="E171" s="1033"/>
      <c r="F171" s="1033"/>
      <c r="G171" s="1033"/>
      <c r="H171" s="1033"/>
      <c r="I171" s="1033"/>
      <c r="J171" s="1033"/>
      <c r="K171" s="1033"/>
      <c r="L171" s="90"/>
      <c r="M171" s="51"/>
      <c r="N171" s="113">
        <f t="shared" si="17"/>
        <v>4384</v>
      </c>
      <c r="O171" s="581"/>
      <c r="P171" s="582">
        <v>0</v>
      </c>
      <c r="Q171" s="589"/>
      <c r="R171" s="576"/>
      <c r="S171" s="583">
        <f t="shared" si="18"/>
        <v>0</v>
      </c>
      <c r="T171" s="584">
        <v>0</v>
      </c>
      <c r="U171" s="51"/>
      <c r="V171" s="2120">
        <f t="shared" si="20"/>
        <v>0</v>
      </c>
      <c r="W171" s="43"/>
      <c r="X171" s="43"/>
      <c r="Y171" s="43"/>
      <c r="Z171" s="43"/>
    </row>
    <row r="172" spans="1:26">
      <c r="A172" s="88">
        <v>4385</v>
      </c>
      <c r="B172" s="378" t="s">
        <v>921</v>
      </c>
      <c r="C172" s="1033"/>
      <c r="D172" s="1033"/>
      <c r="E172" s="1033"/>
      <c r="F172" s="1033"/>
      <c r="G172" s="1033"/>
      <c r="H172" s="1033"/>
      <c r="I172" s="1033"/>
      <c r="J172" s="1033"/>
      <c r="K172" s="1033"/>
      <c r="L172" s="90"/>
      <c r="M172" s="51"/>
      <c r="N172" s="113">
        <f t="shared" si="17"/>
        <v>4385</v>
      </c>
      <c r="O172" s="581"/>
      <c r="P172" s="582">
        <v>0</v>
      </c>
      <c r="Q172" s="589"/>
      <c r="R172" s="576"/>
      <c r="S172" s="583">
        <f t="shared" si="18"/>
        <v>0</v>
      </c>
      <c r="T172" s="584">
        <v>0</v>
      </c>
      <c r="U172" s="51"/>
      <c r="V172" s="2120">
        <f t="shared" si="20"/>
        <v>0</v>
      </c>
      <c r="W172" s="43"/>
      <c r="X172" s="43"/>
      <c r="Y172" s="43"/>
      <c r="Z172" s="43"/>
    </row>
    <row r="173" spans="1:26">
      <c r="A173" s="88">
        <v>4393</v>
      </c>
      <c r="B173" s="1033" t="s">
        <v>922</v>
      </c>
      <c r="C173" s="1033"/>
      <c r="D173" s="1033"/>
      <c r="E173" s="1033"/>
      <c r="F173" s="1033"/>
      <c r="G173" s="1033"/>
      <c r="H173" s="1033"/>
      <c r="I173" s="1033"/>
      <c r="J173" s="1033"/>
      <c r="K173" s="1033"/>
      <c r="L173" s="90"/>
      <c r="M173" s="51"/>
      <c r="N173" s="113">
        <f t="shared" ref="N173:N221" si="21">+A173</f>
        <v>4393</v>
      </c>
      <c r="O173" s="575">
        <v>0</v>
      </c>
      <c r="P173" s="576"/>
      <c r="Q173" s="589"/>
      <c r="R173" s="324"/>
      <c r="S173" s="579">
        <v>0</v>
      </c>
      <c r="T173" s="580">
        <f>+IF(ABS(+O173+Q173)&lt;=ABS(P173+R173),-O173+P173-Q173+R173,0)</f>
        <v>0</v>
      </c>
      <c r="U173" s="51"/>
      <c r="V173" s="2119">
        <f>+IF(OR(+ROUND(O173,2)+ROUND(Q173,2)&gt;ROUND(P173,2)+ROUND(R173,2),+ABS(ROUND(O173,2)+ROUND(Q173,2))&gt;+ABS(ROUND(P173,2)+ROUND(R173,2))),+(ROUND(O173,2)+ROUND(Q173,2))-(ROUND(P173,2)+ROUND(R173,2)),0)</f>
        <v>0</v>
      </c>
      <c r="W173" s="43"/>
      <c r="X173" s="43"/>
      <c r="Y173" s="43"/>
      <c r="Z173" s="43"/>
    </row>
    <row r="174" spans="1:26">
      <c r="A174" s="88">
        <v>4397</v>
      </c>
      <c r="B174" s="1033" t="s">
        <v>923</v>
      </c>
      <c r="C174" s="1033"/>
      <c r="D174" s="1033"/>
      <c r="E174" s="1033"/>
      <c r="F174" s="1033"/>
      <c r="G174" s="1033"/>
      <c r="H174" s="1033"/>
      <c r="I174" s="1033"/>
      <c r="J174" s="1033"/>
      <c r="K174" s="1033"/>
      <c r="L174" s="90"/>
      <c r="M174" s="51"/>
      <c r="N174" s="113">
        <f t="shared" si="21"/>
        <v>4397</v>
      </c>
      <c r="O174" s="575">
        <v>0</v>
      </c>
      <c r="P174" s="576"/>
      <c r="Q174" s="589"/>
      <c r="R174" s="324"/>
      <c r="S174" s="579">
        <v>0</v>
      </c>
      <c r="T174" s="580">
        <f>+IF(ABS(+O174+Q174)&lt;=ABS(P174+R174),-O174+P174-Q174+R174,0)</f>
        <v>0</v>
      </c>
      <c r="U174" s="51"/>
      <c r="V174" s="2119">
        <f>+IF(OR(+ROUND(O174,2)+ROUND(Q174,2)&gt;ROUND(P174,2)+ROUND(R174,2),+ABS(ROUND(O174,2)+ROUND(Q174,2))&gt;+ABS(ROUND(P174,2)+ROUND(R174,2))),+(ROUND(O174,2)+ROUND(Q174,2))-(ROUND(P174,2)+ROUND(R174,2)),0)</f>
        <v>0</v>
      </c>
      <c r="W174" s="43"/>
      <c r="X174" s="43"/>
      <c r="Y174" s="43"/>
      <c r="Z174" s="43"/>
    </row>
    <row r="175" spans="1:26">
      <c r="A175" s="88">
        <v>4398</v>
      </c>
      <c r="B175" s="1033" t="s">
        <v>924</v>
      </c>
      <c r="C175" s="1033"/>
      <c r="D175" s="1033"/>
      <c r="E175" s="1033"/>
      <c r="F175" s="1033"/>
      <c r="G175" s="1033"/>
      <c r="H175" s="1033"/>
      <c r="I175" s="1033"/>
      <c r="J175" s="1033"/>
      <c r="K175" s="1033"/>
      <c r="L175" s="90"/>
      <c r="M175" s="51"/>
      <c r="N175" s="113">
        <f t="shared" si="21"/>
        <v>4398</v>
      </c>
      <c r="O175" s="575">
        <v>0</v>
      </c>
      <c r="P175" s="576"/>
      <c r="Q175" s="589"/>
      <c r="R175" s="324"/>
      <c r="S175" s="579">
        <v>0</v>
      </c>
      <c r="T175" s="580">
        <f>+IF(ABS(+O175+Q175)&lt;=ABS(P175+R175),-O175+P175-Q175+R175,0)</f>
        <v>0</v>
      </c>
      <c r="U175" s="51"/>
      <c r="V175" s="2119">
        <f>+IF(OR(+ROUND(O175,2)+ROUND(Q175,2)&gt;ROUND(P175,2)+ROUND(R175,2),+ABS(ROUND(O175,2)+ROUND(Q175,2))&gt;+ABS(ROUND(P175,2)+ROUND(R175,2))),+(ROUND(O175,2)+ROUND(Q175,2))-(ROUND(P175,2)+ROUND(R175,2)),0)</f>
        <v>0</v>
      </c>
      <c r="W175" s="43"/>
      <c r="X175" s="43"/>
      <c r="Y175" s="43"/>
      <c r="Z175" s="43"/>
    </row>
    <row r="176" spans="1:26">
      <c r="A176" s="88">
        <v>4500</v>
      </c>
      <c r="B176" s="1033" t="s">
        <v>925</v>
      </c>
      <c r="C176" s="1033"/>
      <c r="D176" s="1033"/>
      <c r="E176" s="1033"/>
      <c r="F176" s="1033"/>
      <c r="G176" s="1033"/>
      <c r="H176" s="1033"/>
      <c r="I176" s="1033"/>
      <c r="J176" s="1033"/>
      <c r="K176" s="1033"/>
      <c r="L176" s="90"/>
      <c r="M176" s="51"/>
      <c r="N176" s="113">
        <f t="shared" si="21"/>
        <v>4500</v>
      </c>
      <c r="O176" s="581">
        <v>0</v>
      </c>
      <c r="P176" s="576">
        <v>0</v>
      </c>
      <c r="Q176" s="589">
        <v>0</v>
      </c>
      <c r="R176" s="576">
        <v>0</v>
      </c>
      <c r="S176" s="583">
        <f>+IF(ABS(+O176+Q176)&gt;=ABS(P176+R176),+O176-P176+Q176-R176,0)</f>
        <v>0</v>
      </c>
      <c r="T176" s="580">
        <f>+IF(ABS(+O176+Q176)&lt;=ABS(P176+R176),-O176+P176-Q176+R176,0)</f>
        <v>0</v>
      </c>
      <c r="U176" s="51"/>
      <c r="V176" s="2119"/>
      <c r="W176" s="43"/>
      <c r="X176" s="43"/>
      <c r="Y176" s="43"/>
      <c r="Z176" s="43"/>
    </row>
    <row r="177" spans="1:26" ht="15.75" customHeight="1">
      <c r="A177" s="88">
        <v>4501</v>
      </c>
      <c r="B177" s="1033" t="s">
        <v>226</v>
      </c>
      <c r="C177" s="88"/>
      <c r="D177" s="1041"/>
      <c r="E177" s="1041"/>
      <c r="F177" s="1041"/>
      <c r="G177" s="1041"/>
      <c r="H177" s="1041"/>
      <c r="I177" s="1041"/>
      <c r="J177" s="1041"/>
      <c r="K177" s="1041"/>
      <c r="L177" s="590"/>
      <c r="M177" s="51"/>
      <c r="N177" s="113">
        <f t="shared" si="21"/>
        <v>4501</v>
      </c>
      <c r="O177" s="581"/>
      <c r="P177" s="576"/>
      <c r="Q177" s="589"/>
      <c r="R177" s="576"/>
      <c r="S177" s="583">
        <f>+IF(ABS(+O177+Q177)&gt;=ABS(P177+R177),+O177-P177+Q177-R177,0)</f>
        <v>0</v>
      </c>
      <c r="T177" s="580">
        <f>+IF(ABS(+O177+Q177)&lt;=ABS(P177+R177),-O177+P177-Q177+R177,0)</f>
        <v>0</v>
      </c>
      <c r="U177" s="51"/>
      <c r="V177" s="2119"/>
      <c r="W177" s="43"/>
      <c r="X177" s="43"/>
      <c r="Y177" s="43"/>
      <c r="Z177" s="43"/>
    </row>
    <row r="178" spans="1:26" ht="15.75" customHeight="1">
      <c r="A178" s="88">
        <v>4502</v>
      </c>
      <c r="B178" s="1033" t="s">
        <v>227</v>
      </c>
      <c r="C178" s="88"/>
      <c r="D178" s="1041"/>
      <c r="E178" s="1041"/>
      <c r="F178" s="1041"/>
      <c r="G178" s="1041"/>
      <c r="H178" s="1041"/>
      <c r="I178" s="1041"/>
      <c r="J178" s="1041"/>
      <c r="K178" s="1041"/>
      <c r="L178" s="590"/>
      <c r="M178" s="51"/>
      <c r="N178" s="113">
        <f t="shared" si="21"/>
        <v>4502</v>
      </c>
      <c r="O178" s="575">
        <v>0</v>
      </c>
      <c r="P178" s="582">
        <v>0</v>
      </c>
      <c r="Q178" s="579">
        <v>0</v>
      </c>
      <c r="R178" s="582">
        <v>0</v>
      </c>
      <c r="S178" s="579">
        <v>0</v>
      </c>
      <c r="T178" s="584">
        <v>0</v>
      </c>
      <c r="U178" s="51"/>
      <c r="V178" s="2125">
        <f>+IF(OR(O178&lt;&gt;0,P178&lt;&gt;0,Q178&lt;&gt;0,R178&lt;&gt;0,S178&lt;&gt;0,T178&lt;&gt;0),+IF(ABS(O178+Q178)-ABS(P178+R178)&lt;&gt;0,ABS(O178+Q178)-ABS(P178+R178),1),0)</f>
        <v>0</v>
      </c>
      <c r="W178" s="43"/>
      <c r="X178" s="43"/>
      <c r="Y178" s="43"/>
      <c r="Z178" s="43"/>
    </row>
    <row r="179" spans="1:26" ht="15.75" customHeight="1">
      <c r="A179" s="88">
        <v>4503</v>
      </c>
      <c r="B179" s="1033" t="s">
        <v>228</v>
      </c>
      <c r="C179" s="88"/>
      <c r="D179" s="1041"/>
      <c r="E179" s="1041"/>
      <c r="F179" s="1041"/>
      <c r="G179" s="1041"/>
      <c r="H179" s="1041"/>
      <c r="I179" s="1041"/>
      <c r="J179" s="1041"/>
      <c r="K179" s="1041"/>
      <c r="L179" s="590"/>
      <c r="M179" s="51"/>
      <c r="N179" s="113">
        <f t="shared" si="21"/>
        <v>4503</v>
      </c>
      <c r="O179" s="581"/>
      <c r="P179" s="576"/>
      <c r="Q179" s="589"/>
      <c r="R179" s="576"/>
      <c r="S179" s="583">
        <f>+IF(ABS(+O179+Q179)&gt;=ABS(P179+R179),+O179-P179+Q179-R179,0)</f>
        <v>0</v>
      </c>
      <c r="T179" s="580">
        <f t="shared" ref="T179:T184" si="22">+IF(ABS(+O179+Q179)&lt;=ABS(P179+R179),-O179+P179-Q179+R179,0)</f>
        <v>0</v>
      </c>
      <c r="U179" s="51"/>
      <c r="V179" s="2119"/>
      <c r="W179" s="43"/>
      <c r="X179" s="43"/>
      <c r="Y179" s="43"/>
      <c r="Z179" s="43"/>
    </row>
    <row r="180" spans="1:26" ht="15.75" customHeight="1">
      <c r="A180" s="88">
        <v>4510</v>
      </c>
      <c r="B180" s="1033" t="s">
        <v>229</v>
      </c>
      <c r="C180" s="88"/>
      <c r="D180" s="1038"/>
      <c r="E180" s="1038"/>
      <c r="F180" s="1038"/>
      <c r="G180" s="1038"/>
      <c r="H180" s="1038"/>
      <c r="I180" s="1038"/>
      <c r="J180" s="1038"/>
      <c r="K180" s="1038"/>
      <c r="L180" s="590"/>
      <c r="M180" s="51"/>
      <c r="N180" s="113">
        <f t="shared" si="21"/>
        <v>4510</v>
      </c>
      <c r="O180" s="581">
        <v>0</v>
      </c>
      <c r="P180" s="576">
        <v>0</v>
      </c>
      <c r="Q180" s="589">
        <v>0</v>
      </c>
      <c r="R180" s="576">
        <v>0</v>
      </c>
      <c r="S180" s="583">
        <f>+IF(ABS(+O180+Q180)&gt;=ABS(P180+R180),+O180-P180+Q180-R180,0)</f>
        <v>0</v>
      </c>
      <c r="T180" s="580">
        <f t="shared" si="22"/>
        <v>0</v>
      </c>
      <c r="U180" s="51"/>
      <c r="V180" s="2119"/>
      <c r="W180" s="43"/>
      <c r="X180" s="43"/>
      <c r="Y180" s="43"/>
      <c r="Z180" s="43"/>
    </row>
    <row r="181" spans="1:26">
      <c r="A181" s="88">
        <v>4511</v>
      </c>
      <c r="B181" s="378" t="s">
        <v>230</v>
      </c>
      <c r="C181" s="1033"/>
      <c r="D181" s="1033"/>
      <c r="E181" s="1033"/>
      <c r="F181" s="1033"/>
      <c r="G181" s="1033"/>
      <c r="H181" s="1033"/>
      <c r="I181" s="1033"/>
      <c r="J181" s="1033"/>
      <c r="K181" s="1033"/>
      <c r="L181" s="90"/>
      <c r="M181" s="51"/>
      <c r="N181" s="113">
        <f t="shared" si="21"/>
        <v>4511</v>
      </c>
      <c r="O181" s="581">
        <v>0</v>
      </c>
      <c r="P181" s="576">
        <v>0</v>
      </c>
      <c r="Q181" s="589">
        <v>0</v>
      </c>
      <c r="R181" s="576">
        <v>0</v>
      </c>
      <c r="S181" s="583">
        <f>+IF(ABS(+O181+Q181)&gt;=ABS(P181+R181),+O181-P181+Q181-R181,0)</f>
        <v>0</v>
      </c>
      <c r="T181" s="580">
        <f t="shared" si="22"/>
        <v>0</v>
      </c>
      <c r="U181" s="51"/>
      <c r="V181" s="2119"/>
      <c r="W181" s="43"/>
      <c r="X181" s="43"/>
      <c r="Y181" s="43"/>
      <c r="Z181" s="43"/>
    </row>
    <row r="182" spans="1:26">
      <c r="A182" s="88">
        <v>4512</v>
      </c>
      <c r="B182" s="1042" t="s">
        <v>231</v>
      </c>
      <c r="C182" s="1033"/>
      <c r="D182" s="1033"/>
      <c r="E182" s="1033"/>
      <c r="F182" s="1033"/>
      <c r="G182" s="1033"/>
      <c r="H182" s="1033"/>
      <c r="I182" s="1033"/>
      <c r="J182" s="1033"/>
      <c r="K182" s="1033"/>
      <c r="L182" s="90"/>
      <c r="M182" s="51"/>
      <c r="N182" s="113">
        <f t="shared" si="21"/>
        <v>4512</v>
      </c>
      <c r="O182" s="581">
        <v>0</v>
      </c>
      <c r="P182" s="576">
        <v>0</v>
      </c>
      <c r="Q182" s="589">
        <v>0</v>
      </c>
      <c r="R182" s="576">
        <v>0</v>
      </c>
      <c r="S182" s="583">
        <f>+IF(ABS(+O182+Q182)&gt;=ABS(P182+R182),+O182-P182+Q182-R182,0)</f>
        <v>0</v>
      </c>
      <c r="T182" s="580">
        <f t="shared" si="22"/>
        <v>0</v>
      </c>
      <c r="U182" s="51"/>
      <c r="V182" s="2119"/>
      <c r="W182" s="43"/>
      <c r="X182" s="43"/>
      <c r="Y182" s="43"/>
      <c r="Z182" s="43"/>
    </row>
    <row r="183" spans="1:26" ht="15.75" customHeight="1">
      <c r="A183" s="88">
        <v>4518</v>
      </c>
      <c r="B183" s="1042" t="s">
        <v>233</v>
      </c>
      <c r="C183" s="1038"/>
      <c r="D183" s="1038"/>
      <c r="E183" s="1038"/>
      <c r="F183" s="1038"/>
      <c r="G183" s="1038"/>
      <c r="H183" s="1038"/>
      <c r="I183" s="1038"/>
      <c r="J183" s="1038"/>
      <c r="K183" s="1038"/>
      <c r="L183" s="590"/>
      <c r="M183" s="51"/>
      <c r="N183" s="113">
        <f t="shared" si="21"/>
        <v>4518</v>
      </c>
      <c r="O183" s="581"/>
      <c r="P183" s="576"/>
      <c r="Q183" s="589"/>
      <c r="R183" s="576"/>
      <c r="S183" s="583">
        <f>+IF(ABS(+O183+Q183)&gt;=ABS(P183+R183),+O183-P183+Q183-R183,0)</f>
        <v>0</v>
      </c>
      <c r="T183" s="580">
        <f t="shared" si="22"/>
        <v>0</v>
      </c>
      <c r="U183" s="51"/>
      <c r="V183" s="2119"/>
      <c r="W183" s="43"/>
      <c r="X183" s="43"/>
      <c r="Y183" s="43"/>
      <c r="Z183" s="43"/>
    </row>
    <row r="184" spans="1:26">
      <c r="A184" s="88">
        <v>4520</v>
      </c>
      <c r="B184" s="1042" t="s">
        <v>234</v>
      </c>
      <c r="C184" s="1033"/>
      <c r="D184" s="1033"/>
      <c r="E184" s="1033"/>
      <c r="F184" s="1033"/>
      <c r="G184" s="1033"/>
      <c r="H184" s="1033"/>
      <c r="I184" s="1033"/>
      <c r="J184" s="1033"/>
      <c r="K184" s="1033"/>
      <c r="L184" s="574"/>
      <c r="M184" s="51"/>
      <c r="N184" s="113">
        <f t="shared" si="21"/>
        <v>4520</v>
      </c>
      <c r="O184" s="575">
        <v>0</v>
      </c>
      <c r="P184" s="576"/>
      <c r="Q184" s="589"/>
      <c r="R184" s="324"/>
      <c r="S184" s="579">
        <v>0</v>
      </c>
      <c r="T184" s="580">
        <f t="shared" si="22"/>
        <v>0</v>
      </c>
      <c r="U184" s="51"/>
      <c r="V184" s="2119">
        <f>+IF(OR(+ROUND(O184,2)+ROUND(Q184,2)&gt;ROUND(P184,2)+ROUND(R184,2),+ABS(ROUND(O184,2)+ROUND(Q184,2))&gt;+ABS(ROUND(P184,2)+ROUND(R184,2))),+(ROUND(O184,2)+ROUND(Q184,2))-(ROUND(P184,2)+ROUND(R184,2)),0)</f>
        <v>0</v>
      </c>
      <c r="W184" s="43"/>
      <c r="X184" s="43"/>
      <c r="Y184" s="43"/>
      <c r="Z184" s="43"/>
    </row>
    <row r="185" spans="1:26">
      <c r="A185" s="88">
        <v>4522</v>
      </c>
      <c r="B185" s="1033" t="s">
        <v>235</v>
      </c>
      <c r="C185" s="1033"/>
      <c r="D185" s="1033"/>
      <c r="E185" s="1033"/>
      <c r="F185" s="1033"/>
      <c r="G185" s="1033"/>
      <c r="H185" s="1033"/>
      <c r="I185" s="1033"/>
      <c r="J185" s="1033"/>
      <c r="K185" s="1033"/>
      <c r="L185" s="90"/>
      <c r="M185" s="51"/>
      <c r="N185" s="113">
        <f t="shared" si="21"/>
        <v>4522</v>
      </c>
      <c r="O185" s="581"/>
      <c r="P185" s="582">
        <v>0</v>
      </c>
      <c r="Q185" s="589"/>
      <c r="R185" s="576"/>
      <c r="S185" s="583">
        <f>+IF(ABS(+O185+Q185)&gt;=ABS(P185+R185),+O185-P185+Q185-R185,0)</f>
        <v>0</v>
      </c>
      <c r="T185" s="584">
        <v>0</v>
      </c>
      <c r="U185" s="51"/>
      <c r="V185" s="2120">
        <f>+IF(OR(ROUND(P185,2)+ROUND(R185,2)&gt;+ROUND(O185,2)+ROUND(Q185,2),+ABS(ROUND(P185,2)+ROUND(R185,2))&gt;+ABS(ROUND(O185,2)+ROUND(Q185,2))),+(ROUND(P185,2)+ROUND(R185,2))-(ROUND(O185,2)+ROUND(Q185,2)),0)</f>
        <v>0</v>
      </c>
      <c r="W185" s="43"/>
      <c r="X185" s="43"/>
      <c r="Y185" s="43"/>
      <c r="Z185" s="43"/>
    </row>
    <row r="186" spans="1:26">
      <c r="A186" s="88">
        <v>4523</v>
      </c>
      <c r="B186" s="1033" t="s">
        <v>236</v>
      </c>
      <c r="C186" s="1033"/>
      <c r="D186" s="1033"/>
      <c r="E186" s="1033"/>
      <c r="F186" s="1033"/>
      <c r="G186" s="1033"/>
      <c r="H186" s="1033"/>
      <c r="I186" s="1033"/>
      <c r="J186" s="1033"/>
      <c r="K186" s="1033"/>
      <c r="L186" s="574"/>
      <c r="M186" s="51"/>
      <c r="N186" s="113">
        <f t="shared" si="21"/>
        <v>4523</v>
      </c>
      <c r="O186" s="575">
        <v>0</v>
      </c>
      <c r="P186" s="576"/>
      <c r="Q186" s="589"/>
      <c r="R186" s="324"/>
      <c r="S186" s="579">
        <v>0</v>
      </c>
      <c r="T186" s="580">
        <f>+IF(ABS(+O186+Q186)&lt;=ABS(P186+R186),-O186+P186-Q186+R186,0)</f>
        <v>0</v>
      </c>
      <c r="U186" s="51"/>
      <c r="V186" s="2119">
        <f>+IF(OR(+ROUND(O186,2)+ROUND(Q186,2)&gt;ROUND(P186,2)+ROUND(R186,2),+ABS(ROUND(O186,2)+ROUND(Q186,2))&gt;+ABS(ROUND(P186,2)+ROUND(R186,2))),+(ROUND(O186,2)+ROUND(Q186,2))-(ROUND(P186,2)+ROUND(R186,2)),0)</f>
        <v>0</v>
      </c>
      <c r="W186" s="43"/>
      <c r="X186" s="43"/>
      <c r="Y186" s="43"/>
      <c r="Z186" s="43"/>
    </row>
    <row r="187" spans="1:26">
      <c r="A187" s="88">
        <v>4544</v>
      </c>
      <c r="B187" s="1033" t="s">
        <v>862</v>
      </c>
      <c r="C187" s="1033"/>
      <c r="D187" s="1033"/>
      <c r="E187" s="1033"/>
      <c r="F187" s="1033"/>
      <c r="G187" s="1033"/>
      <c r="H187" s="1033"/>
      <c r="I187" s="1033"/>
      <c r="J187" s="1033"/>
      <c r="K187" s="1033"/>
      <c r="L187" s="574"/>
      <c r="M187" s="51"/>
      <c r="N187" s="113">
        <f t="shared" si="21"/>
        <v>4544</v>
      </c>
      <c r="O187" s="575">
        <v>0</v>
      </c>
      <c r="P187" s="576">
        <v>0</v>
      </c>
      <c r="Q187" s="589">
        <v>0</v>
      </c>
      <c r="R187" s="324">
        <v>0</v>
      </c>
      <c r="S187" s="579">
        <v>0</v>
      </c>
      <c r="T187" s="580">
        <f>+IF(ABS(+O187+Q187)&lt;=ABS(P187+R187),-O187+P187-Q187+R187,0)</f>
        <v>0</v>
      </c>
      <c r="U187" s="51"/>
      <c r="V187" s="2119">
        <f>+IF(OR(+ROUND(O187,2)+ROUND(Q187,2)&gt;ROUND(P187,2)+ROUND(R187,2),+ABS(ROUND(O187,2)+ROUND(Q187,2))&gt;+ABS(ROUND(P187,2)+ROUND(R187,2))),+(ROUND(O187,2)+ROUND(Q187,2))-(ROUND(P187,2)+ROUND(R187,2)),0)</f>
        <v>0</v>
      </c>
      <c r="W187" s="43"/>
      <c r="X187" s="43"/>
      <c r="Y187" s="43"/>
      <c r="Z187" s="43"/>
    </row>
    <row r="188" spans="1:26">
      <c r="A188" s="88">
        <v>4545</v>
      </c>
      <c r="B188" s="1033" t="s">
        <v>863</v>
      </c>
      <c r="C188" s="1033"/>
      <c r="D188" s="1033"/>
      <c r="E188" s="1033"/>
      <c r="F188" s="1033"/>
      <c r="G188" s="1033"/>
      <c r="H188" s="1033"/>
      <c r="I188" s="1033"/>
      <c r="J188" s="1033"/>
      <c r="K188" s="1033"/>
      <c r="L188" s="574"/>
      <c r="M188" s="51"/>
      <c r="N188" s="113">
        <f t="shared" si="21"/>
        <v>4545</v>
      </c>
      <c r="O188" s="581"/>
      <c r="P188" s="582">
        <v>0</v>
      </c>
      <c r="Q188" s="589"/>
      <c r="R188" s="576"/>
      <c r="S188" s="583">
        <f>+IF(ABS(+O188+Q188)&gt;=ABS(P188+R188),+O188-P188+Q188-R188,0)</f>
        <v>0</v>
      </c>
      <c r="T188" s="584">
        <v>0</v>
      </c>
      <c r="U188" s="51"/>
      <c r="V188" s="2120">
        <f>+IF(OR(ROUND(P188,2)+ROUND(R188,2)&gt;+ROUND(O188,2)+ROUND(Q188,2),+ABS(ROUND(P188,2)+ROUND(R188,2))&gt;+ABS(ROUND(O188,2)+ROUND(Q188,2))),+(ROUND(P188,2)+ROUND(R188,2))-(ROUND(O188,2)+ROUND(Q188,2)),0)</f>
        <v>0</v>
      </c>
      <c r="W188" s="43"/>
      <c r="X188" s="43"/>
      <c r="Y188" s="43"/>
      <c r="Z188" s="43"/>
    </row>
    <row r="189" spans="1:26">
      <c r="A189" s="88">
        <v>4547</v>
      </c>
      <c r="B189" s="1033" t="s">
        <v>864</v>
      </c>
      <c r="C189" s="1033"/>
      <c r="D189" s="1033"/>
      <c r="E189" s="1033"/>
      <c r="F189" s="1033"/>
      <c r="G189" s="1033"/>
      <c r="H189" s="1033"/>
      <c r="I189" s="1033"/>
      <c r="J189" s="1033"/>
      <c r="K189" s="1033"/>
      <c r="L189" s="574"/>
      <c r="M189" s="51"/>
      <c r="N189" s="113">
        <f t="shared" si="21"/>
        <v>4547</v>
      </c>
      <c r="O189" s="581"/>
      <c r="P189" s="582">
        <v>0</v>
      </c>
      <c r="Q189" s="589"/>
      <c r="R189" s="576"/>
      <c r="S189" s="583">
        <f>+IF(ABS(+O189+Q189)&gt;=ABS(P189+R189),+O189-P189+Q189-R189,0)</f>
        <v>0</v>
      </c>
      <c r="T189" s="584">
        <v>0</v>
      </c>
      <c r="U189" s="51"/>
      <c r="V189" s="2120">
        <f>+IF(OR(ROUND(P189,2)+ROUND(R189,2)&gt;+ROUND(O189,2)+ROUND(Q189,2),+ABS(ROUND(P189,2)+ROUND(R189,2))&gt;+ABS(ROUND(O189,2)+ROUND(Q189,2))),+(ROUND(P189,2)+ROUND(R189,2))-(ROUND(O189,2)+ROUND(Q189,2)),0)</f>
        <v>0</v>
      </c>
      <c r="W189" s="43"/>
      <c r="X189" s="43"/>
      <c r="Y189" s="43"/>
      <c r="Z189" s="43"/>
    </row>
    <row r="190" spans="1:26">
      <c r="A190" s="88">
        <v>4548</v>
      </c>
      <c r="B190" s="378" t="s">
        <v>865</v>
      </c>
      <c r="C190" s="1033"/>
      <c r="D190" s="1033"/>
      <c r="E190" s="1033"/>
      <c r="F190" s="1033"/>
      <c r="G190" s="1033"/>
      <c r="H190" s="1033"/>
      <c r="I190" s="1033"/>
      <c r="J190" s="1033"/>
      <c r="K190" s="1033"/>
      <c r="L190" s="90"/>
      <c r="M190" s="51"/>
      <c r="N190" s="113">
        <f t="shared" si="21"/>
        <v>4548</v>
      </c>
      <c r="O190" s="575">
        <v>0</v>
      </c>
      <c r="P190" s="576"/>
      <c r="Q190" s="589"/>
      <c r="R190" s="324"/>
      <c r="S190" s="579">
        <v>0</v>
      </c>
      <c r="T190" s="580">
        <f t="shared" ref="T190:T195" si="23">+IF(ABS(+O190+Q190)&lt;=ABS(P190+R190),-O190+P190-Q190+R190,0)</f>
        <v>0</v>
      </c>
      <c r="U190" s="51"/>
      <c r="V190" s="2119">
        <f>+IF(OR(+ROUND(O190,2)+ROUND(Q190,2)&gt;ROUND(P190,2)+ROUND(R190,2),+ABS(ROUND(O190,2)+ROUND(Q190,2))&gt;+ABS(ROUND(P190,2)+ROUND(R190,2))),+(ROUND(O190,2)+ROUND(Q190,2))-(ROUND(P190,2)+ROUND(R190,2)),0)</f>
        <v>0</v>
      </c>
      <c r="W190" s="43"/>
      <c r="X190" s="43"/>
      <c r="Y190" s="43"/>
      <c r="Z190" s="43"/>
    </row>
    <row r="191" spans="1:26">
      <c r="A191" s="88">
        <v>4555</v>
      </c>
      <c r="B191" s="378" t="s">
        <v>866</v>
      </c>
      <c r="C191" s="1033"/>
      <c r="D191" s="1033"/>
      <c r="E191" s="1033"/>
      <c r="F191" s="1033"/>
      <c r="G191" s="1033"/>
      <c r="H191" s="1033"/>
      <c r="I191" s="1033"/>
      <c r="J191" s="1033"/>
      <c r="K191" s="1033"/>
      <c r="L191" s="90"/>
      <c r="M191" s="51"/>
      <c r="N191" s="113">
        <f t="shared" si="21"/>
        <v>4555</v>
      </c>
      <c r="O191" s="581">
        <v>0</v>
      </c>
      <c r="P191" s="576">
        <v>0</v>
      </c>
      <c r="Q191" s="589">
        <v>0</v>
      </c>
      <c r="R191" s="576">
        <v>0</v>
      </c>
      <c r="S191" s="583">
        <f>+IF(ABS(+O191+Q191)&gt;=ABS(P191+R191),+O191-P191+Q191-R191,0)</f>
        <v>0</v>
      </c>
      <c r="T191" s="580">
        <f t="shared" si="23"/>
        <v>0</v>
      </c>
      <c r="U191" s="51"/>
      <c r="V191" s="2119"/>
      <c r="W191" s="43"/>
      <c r="X191" s="43"/>
      <c r="Y191" s="43"/>
      <c r="Z191" s="43"/>
    </row>
    <row r="192" spans="1:26" ht="15.75" customHeight="1">
      <c r="A192" s="88">
        <v>4556</v>
      </c>
      <c r="B192" s="378" t="s">
        <v>867</v>
      </c>
      <c r="C192" s="1038"/>
      <c r="D192" s="1038"/>
      <c r="E192" s="1038"/>
      <c r="F192" s="1038"/>
      <c r="G192" s="1038"/>
      <c r="H192" s="1038"/>
      <c r="I192" s="1038"/>
      <c r="J192" s="1038"/>
      <c r="K192" s="1038"/>
      <c r="L192" s="590"/>
      <c r="M192" s="51"/>
      <c r="N192" s="113">
        <f t="shared" si="21"/>
        <v>4556</v>
      </c>
      <c r="O192" s="581">
        <v>0</v>
      </c>
      <c r="P192" s="576">
        <v>0</v>
      </c>
      <c r="Q192" s="589">
        <v>0</v>
      </c>
      <c r="R192" s="576">
        <v>0</v>
      </c>
      <c r="S192" s="583">
        <f>+IF(ABS(+O192+Q192)&gt;=ABS(P192+R192),+O192-P192+Q192-R192,0)</f>
        <v>0</v>
      </c>
      <c r="T192" s="580">
        <f t="shared" si="23"/>
        <v>0</v>
      </c>
      <c r="U192" s="51"/>
      <c r="V192" s="2119"/>
      <c r="W192" s="43"/>
      <c r="X192" s="43"/>
      <c r="Y192" s="43"/>
      <c r="Z192" s="43"/>
    </row>
    <row r="193" spans="1:26">
      <c r="A193" s="346">
        <v>4557</v>
      </c>
      <c r="B193" s="1032" t="s">
        <v>868</v>
      </c>
      <c r="C193" s="345"/>
      <c r="D193" s="1033"/>
      <c r="E193" s="1033"/>
      <c r="F193" s="1033"/>
      <c r="G193" s="1033"/>
      <c r="H193" s="1033"/>
      <c r="I193" s="1033"/>
      <c r="J193" s="1033"/>
      <c r="K193" s="1033"/>
      <c r="L193" s="90"/>
      <c r="M193" s="51"/>
      <c r="N193" s="113">
        <f t="shared" si="21"/>
        <v>4557</v>
      </c>
      <c r="O193" s="581">
        <v>0</v>
      </c>
      <c r="P193" s="576">
        <v>0</v>
      </c>
      <c r="Q193" s="589">
        <v>0</v>
      </c>
      <c r="R193" s="576">
        <v>0</v>
      </c>
      <c r="S193" s="583">
        <f>+IF(ABS(+O193+Q193)&gt;=ABS(P193+R193),+O193-P193+Q193-R193,0)</f>
        <v>0</v>
      </c>
      <c r="T193" s="580">
        <f t="shared" si="23"/>
        <v>0</v>
      </c>
      <c r="U193" s="51"/>
      <c r="V193" s="2119"/>
      <c r="W193" s="43"/>
      <c r="X193" s="43"/>
      <c r="Y193" s="43"/>
      <c r="Z193" s="43"/>
    </row>
    <row r="194" spans="1:26">
      <c r="A194" s="88">
        <v>4558</v>
      </c>
      <c r="B194" s="378" t="s">
        <v>869</v>
      </c>
      <c r="C194" s="1033"/>
      <c r="D194" s="1033"/>
      <c r="E194" s="1033"/>
      <c r="F194" s="1033"/>
      <c r="G194" s="1033"/>
      <c r="H194" s="1033"/>
      <c r="I194" s="1033"/>
      <c r="J194" s="1033"/>
      <c r="K194" s="1033"/>
      <c r="L194" s="90"/>
      <c r="M194" s="51"/>
      <c r="N194" s="113">
        <f t="shared" si="21"/>
        <v>4558</v>
      </c>
      <c r="O194" s="581">
        <v>0</v>
      </c>
      <c r="P194" s="576">
        <v>0</v>
      </c>
      <c r="Q194" s="589">
        <v>0</v>
      </c>
      <c r="R194" s="576">
        <v>0</v>
      </c>
      <c r="S194" s="583">
        <f>+IF(ABS(+O194+Q194)&gt;=ABS(P194+R194),+O194-P194+Q194-R194,0)</f>
        <v>0</v>
      </c>
      <c r="T194" s="580">
        <f t="shared" si="23"/>
        <v>0</v>
      </c>
      <c r="U194" s="51"/>
      <c r="V194" s="2119"/>
      <c r="W194" s="43"/>
      <c r="X194" s="43"/>
      <c r="Y194" s="43"/>
      <c r="Z194" s="43"/>
    </row>
    <row r="195" spans="1:26">
      <c r="A195" s="88">
        <v>4560</v>
      </c>
      <c r="B195" s="378" t="s">
        <v>870</v>
      </c>
      <c r="C195" s="1033"/>
      <c r="D195" s="1033"/>
      <c r="E195" s="1033"/>
      <c r="F195" s="1033"/>
      <c r="G195" s="1033"/>
      <c r="H195" s="1033"/>
      <c r="I195" s="1033"/>
      <c r="J195" s="1033"/>
      <c r="K195" s="1033"/>
      <c r="L195" s="574"/>
      <c r="M195" s="51"/>
      <c r="N195" s="113">
        <f t="shared" si="21"/>
        <v>4560</v>
      </c>
      <c r="O195" s="575">
        <v>0</v>
      </c>
      <c r="P195" s="576"/>
      <c r="Q195" s="589"/>
      <c r="R195" s="324"/>
      <c r="S195" s="579">
        <v>0</v>
      </c>
      <c r="T195" s="580">
        <f t="shared" si="23"/>
        <v>0</v>
      </c>
      <c r="U195" s="51"/>
      <c r="V195" s="2119">
        <f>+IF(OR(+ROUND(O195,2)+ROUND(Q195,2)&gt;ROUND(P195,2)+ROUND(R195,2),+ABS(ROUND(O195,2)+ROUND(Q195,2))&gt;+ABS(ROUND(P195,2)+ROUND(R195,2))),+(ROUND(O195,2)+ROUND(Q195,2))-(ROUND(P195,2)+ROUND(R195,2)),0)</f>
        <v>0</v>
      </c>
      <c r="W195" s="43"/>
      <c r="X195" s="43"/>
      <c r="Y195" s="43"/>
      <c r="Z195" s="43"/>
    </row>
    <row r="196" spans="1:26">
      <c r="A196" s="88">
        <v>4567</v>
      </c>
      <c r="B196" s="378" t="s">
        <v>871</v>
      </c>
      <c r="C196" s="1033"/>
      <c r="D196" s="1033"/>
      <c r="E196" s="1033"/>
      <c r="F196" s="1033"/>
      <c r="G196" s="1033"/>
      <c r="H196" s="1033"/>
      <c r="I196" s="1033"/>
      <c r="J196" s="1033"/>
      <c r="K196" s="1033"/>
      <c r="L196" s="574"/>
      <c r="M196" s="51"/>
      <c r="N196" s="113">
        <f t="shared" si="21"/>
        <v>4567</v>
      </c>
      <c r="O196" s="581"/>
      <c r="P196" s="582">
        <v>0</v>
      </c>
      <c r="Q196" s="589"/>
      <c r="R196" s="576"/>
      <c r="S196" s="583">
        <f>+IF(ABS(+O196+Q196)&gt;=ABS(P196+R196),+O196-P196+Q196-R196,0)</f>
        <v>0</v>
      </c>
      <c r="T196" s="584">
        <v>0</v>
      </c>
      <c r="U196" s="51"/>
      <c r="V196" s="2120">
        <f>+IF(OR(ROUND(P196,2)+ROUND(R196,2)&gt;+ROUND(O196,2)+ROUND(Q196,2),+ABS(ROUND(P196,2)+ROUND(R196,2))&gt;+ABS(ROUND(O196,2)+ROUND(Q196,2))),+(ROUND(P196,2)+ROUND(R196,2))-(ROUND(O196,2)+ROUND(Q196,2)),0)</f>
        <v>0</v>
      </c>
      <c r="W196" s="43"/>
      <c r="X196" s="43"/>
      <c r="Y196" s="43"/>
      <c r="Z196" s="43"/>
    </row>
    <row r="197" spans="1:26">
      <c r="A197" s="88">
        <v>4568</v>
      </c>
      <c r="B197" s="378" t="s">
        <v>872</v>
      </c>
      <c r="C197" s="1033"/>
      <c r="D197" s="1033"/>
      <c r="E197" s="1033"/>
      <c r="F197" s="1033"/>
      <c r="G197" s="1033"/>
      <c r="H197" s="1033"/>
      <c r="I197" s="1033"/>
      <c r="J197" s="1033"/>
      <c r="K197" s="1033"/>
      <c r="L197" s="574"/>
      <c r="M197" s="51"/>
      <c r="N197" s="113">
        <f t="shared" si="21"/>
        <v>4568</v>
      </c>
      <c r="O197" s="575">
        <v>0</v>
      </c>
      <c r="P197" s="576"/>
      <c r="Q197" s="589"/>
      <c r="R197" s="324"/>
      <c r="S197" s="579">
        <v>0</v>
      </c>
      <c r="T197" s="580">
        <f t="shared" ref="T197:T218" si="24">+IF(ABS(+O197+Q197)&lt;=ABS(P197+R197),-O197+P197-Q197+R197,0)</f>
        <v>0</v>
      </c>
      <c r="U197" s="51"/>
      <c r="V197" s="2119">
        <f>+IF(OR(+ROUND(O197,2)+ROUND(Q197,2)&gt;ROUND(P197,2)+ROUND(R197,2),+ABS(ROUND(O197,2)+ROUND(Q197,2))&gt;+ABS(ROUND(P197,2)+ROUND(R197,2))),+(ROUND(O197,2)+ROUND(Q197,2))-(ROUND(P197,2)+ROUND(R197,2)),0)</f>
        <v>0</v>
      </c>
      <c r="W197" s="43"/>
      <c r="X197" s="43"/>
      <c r="Y197" s="43"/>
      <c r="Z197" s="43"/>
    </row>
    <row r="198" spans="1:26">
      <c r="A198" s="88">
        <v>4598</v>
      </c>
      <c r="B198" s="378" t="s">
        <v>873</v>
      </c>
      <c r="C198" s="1033"/>
      <c r="D198" s="1033"/>
      <c r="E198" s="1033"/>
      <c r="F198" s="1033"/>
      <c r="G198" s="1033"/>
      <c r="H198" s="1033"/>
      <c r="I198" s="1033"/>
      <c r="J198" s="1033"/>
      <c r="K198" s="1033"/>
      <c r="L198" s="574"/>
      <c r="M198" s="51"/>
      <c r="N198" s="113">
        <f t="shared" si="21"/>
        <v>4598</v>
      </c>
      <c r="O198" s="575">
        <v>0</v>
      </c>
      <c r="P198" s="576"/>
      <c r="Q198" s="589"/>
      <c r="R198" s="324"/>
      <c r="S198" s="579">
        <v>0</v>
      </c>
      <c r="T198" s="580">
        <f t="shared" si="24"/>
        <v>0</v>
      </c>
      <c r="U198" s="51"/>
      <c r="V198" s="2119">
        <f>+IF(OR(+ROUND(O198,2)+ROUND(Q198,2)&gt;ROUND(P198,2)+ROUND(R198,2),+ABS(ROUND(O198,2)+ROUND(Q198,2))&gt;+ABS(ROUND(P198,2)+ROUND(R198,2))),+(ROUND(O198,2)+ROUND(Q198,2))-(ROUND(P198,2)+ROUND(R198,2)),0)</f>
        <v>0</v>
      </c>
      <c r="W198" s="43"/>
      <c r="X198" s="43"/>
      <c r="Y198" s="43"/>
      <c r="Z198" s="43"/>
    </row>
    <row r="199" spans="1:26" ht="15.75" customHeight="1">
      <c r="A199" s="88">
        <v>4599</v>
      </c>
      <c r="B199" s="378" t="s">
        <v>232</v>
      </c>
      <c r="C199" s="1038"/>
      <c r="D199" s="1038"/>
      <c r="E199" s="1038"/>
      <c r="F199" s="1038"/>
      <c r="G199" s="1038"/>
      <c r="H199" s="1038"/>
      <c r="I199" s="1038"/>
      <c r="J199" s="1038"/>
      <c r="K199" s="1038"/>
      <c r="L199" s="590"/>
      <c r="M199" s="51"/>
      <c r="N199" s="113">
        <f t="shared" si="21"/>
        <v>4599</v>
      </c>
      <c r="O199" s="581"/>
      <c r="P199" s="576"/>
      <c r="Q199" s="589"/>
      <c r="R199" s="576"/>
      <c r="S199" s="583">
        <f t="shared" ref="S199:S219" si="25">+IF(ABS(+O199+Q199)&gt;=ABS(P199+R199),+O199-P199+Q199-R199,0)</f>
        <v>0</v>
      </c>
      <c r="T199" s="580">
        <f t="shared" si="24"/>
        <v>0</v>
      </c>
      <c r="U199" s="51"/>
      <c r="V199" s="2119"/>
      <c r="W199" s="43"/>
      <c r="X199" s="43"/>
      <c r="Y199" s="43"/>
      <c r="Z199" s="43"/>
    </row>
    <row r="200" spans="1:26">
      <c r="A200" s="88">
        <v>4611</v>
      </c>
      <c r="B200" s="378" t="s">
        <v>874</v>
      </c>
      <c r="C200" s="1033"/>
      <c r="D200" s="1033"/>
      <c r="E200" s="1033"/>
      <c r="F200" s="1033"/>
      <c r="G200" s="1033"/>
      <c r="H200" s="1033"/>
      <c r="I200" s="1033"/>
      <c r="J200" s="1033"/>
      <c r="K200" s="1033"/>
      <c r="L200" s="90"/>
      <c r="M200" s="51"/>
      <c r="N200" s="113">
        <f t="shared" si="21"/>
        <v>4611</v>
      </c>
      <c r="O200" s="581"/>
      <c r="P200" s="576"/>
      <c r="Q200" s="589"/>
      <c r="R200" s="576"/>
      <c r="S200" s="583">
        <f t="shared" si="25"/>
        <v>0</v>
      </c>
      <c r="T200" s="580">
        <f t="shared" si="24"/>
        <v>0</v>
      </c>
      <c r="U200" s="51"/>
      <c r="V200" s="2119"/>
      <c r="W200" s="43"/>
      <c r="X200" s="43"/>
      <c r="Y200" s="43"/>
      <c r="Z200" s="43"/>
    </row>
    <row r="201" spans="1:26" ht="15.75" customHeight="1">
      <c r="A201" s="88">
        <v>4612</v>
      </c>
      <c r="B201" s="378" t="s">
        <v>875</v>
      </c>
      <c r="C201" s="1038"/>
      <c r="D201" s="1038"/>
      <c r="E201" s="1038"/>
      <c r="F201" s="1038"/>
      <c r="G201" s="1038"/>
      <c r="H201" s="1038"/>
      <c r="I201" s="1038"/>
      <c r="J201" s="1038"/>
      <c r="K201" s="1038"/>
      <c r="L201" s="590"/>
      <c r="M201" s="51"/>
      <c r="N201" s="113">
        <f t="shared" si="21"/>
        <v>4612</v>
      </c>
      <c r="O201" s="581"/>
      <c r="P201" s="576"/>
      <c r="Q201" s="589"/>
      <c r="R201" s="576"/>
      <c r="S201" s="583">
        <f t="shared" si="25"/>
        <v>0</v>
      </c>
      <c r="T201" s="580">
        <f t="shared" si="24"/>
        <v>0</v>
      </c>
      <c r="U201" s="51"/>
      <c r="V201" s="2119"/>
      <c r="W201" s="43"/>
      <c r="X201" s="43"/>
      <c r="Y201" s="43"/>
      <c r="Z201" s="43"/>
    </row>
    <row r="202" spans="1:26">
      <c r="A202" s="88">
        <v>4614</v>
      </c>
      <c r="B202" s="1033" t="s">
        <v>876</v>
      </c>
      <c r="C202" s="1033"/>
      <c r="D202" s="1033"/>
      <c r="E202" s="1033"/>
      <c r="F202" s="1033"/>
      <c r="G202" s="1033"/>
      <c r="H202" s="1033"/>
      <c r="I202" s="1033"/>
      <c r="J202" s="1033"/>
      <c r="K202" s="1033"/>
      <c r="L202" s="90"/>
      <c r="M202" s="51"/>
      <c r="N202" s="113">
        <f t="shared" si="21"/>
        <v>4614</v>
      </c>
      <c r="O202" s="581">
        <v>0</v>
      </c>
      <c r="P202" s="576">
        <v>0</v>
      </c>
      <c r="Q202" s="589">
        <v>0</v>
      </c>
      <c r="R202" s="576">
        <v>0</v>
      </c>
      <c r="S202" s="583">
        <f t="shared" si="25"/>
        <v>0</v>
      </c>
      <c r="T202" s="580">
        <f t="shared" si="24"/>
        <v>0</v>
      </c>
      <c r="U202" s="51"/>
      <c r="V202" s="2119"/>
      <c r="W202" s="43"/>
      <c r="X202" s="43"/>
      <c r="Y202" s="43"/>
      <c r="Z202" s="43"/>
    </row>
    <row r="203" spans="1:26">
      <c r="A203" s="88">
        <v>4615</v>
      </c>
      <c r="B203" s="1033" t="s">
        <v>877</v>
      </c>
      <c r="C203" s="1033"/>
      <c r="D203" s="1033"/>
      <c r="E203" s="1033"/>
      <c r="F203" s="1033"/>
      <c r="G203" s="1033"/>
      <c r="H203" s="1033"/>
      <c r="I203" s="1033"/>
      <c r="J203" s="1033"/>
      <c r="K203" s="1033"/>
      <c r="L203" s="90"/>
      <c r="M203" s="51"/>
      <c r="N203" s="113">
        <f t="shared" si="21"/>
        <v>4615</v>
      </c>
      <c r="O203" s="581"/>
      <c r="P203" s="576"/>
      <c r="Q203" s="589"/>
      <c r="R203" s="576"/>
      <c r="S203" s="583">
        <f t="shared" si="25"/>
        <v>0</v>
      </c>
      <c r="T203" s="580">
        <f t="shared" si="24"/>
        <v>0</v>
      </c>
      <c r="U203" s="51"/>
      <c r="V203" s="2119"/>
      <c r="W203" s="43"/>
      <c r="X203" s="43"/>
      <c r="Y203" s="43"/>
      <c r="Z203" s="43"/>
    </row>
    <row r="204" spans="1:26">
      <c r="A204" s="88">
        <v>4622</v>
      </c>
      <c r="B204" s="1033" t="s">
        <v>878</v>
      </c>
      <c r="C204" s="1033"/>
      <c r="D204" s="1033"/>
      <c r="E204" s="1033"/>
      <c r="F204" s="1033"/>
      <c r="G204" s="1033"/>
      <c r="H204" s="1033"/>
      <c r="I204" s="1033"/>
      <c r="J204" s="1033"/>
      <c r="K204" s="1033"/>
      <c r="L204" s="90"/>
      <c r="M204" s="51"/>
      <c r="N204" s="113">
        <f t="shared" si="21"/>
        <v>4622</v>
      </c>
      <c r="O204" s="581"/>
      <c r="P204" s="576"/>
      <c r="Q204" s="589"/>
      <c r="R204" s="576"/>
      <c r="S204" s="583">
        <f t="shared" si="25"/>
        <v>0</v>
      </c>
      <c r="T204" s="580">
        <f t="shared" si="24"/>
        <v>0</v>
      </c>
      <c r="U204" s="51"/>
      <c r="V204" s="2119"/>
      <c r="W204" s="43"/>
      <c r="X204" s="43"/>
      <c r="Y204" s="43"/>
      <c r="Z204" s="43"/>
    </row>
    <row r="205" spans="1:26">
      <c r="A205" s="88">
        <v>4624</v>
      </c>
      <c r="B205" s="1033" t="s">
        <v>879</v>
      </c>
      <c r="C205" s="1033"/>
      <c r="D205" s="1033"/>
      <c r="E205" s="1033"/>
      <c r="F205" s="1033"/>
      <c r="G205" s="1033"/>
      <c r="H205" s="1033"/>
      <c r="I205" s="1033"/>
      <c r="J205" s="1033"/>
      <c r="K205" s="1033"/>
      <c r="L205" s="90"/>
      <c r="M205" s="51"/>
      <c r="N205" s="113">
        <f t="shared" si="21"/>
        <v>4624</v>
      </c>
      <c r="O205" s="581">
        <v>0</v>
      </c>
      <c r="P205" s="576">
        <v>0</v>
      </c>
      <c r="Q205" s="589">
        <v>0</v>
      </c>
      <c r="R205" s="576">
        <v>0</v>
      </c>
      <c r="S205" s="583">
        <f t="shared" si="25"/>
        <v>0</v>
      </c>
      <c r="T205" s="580">
        <f t="shared" si="24"/>
        <v>0</v>
      </c>
      <c r="U205" s="51"/>
      <c r="V205" s="2119"/>
      <c r="W205" s="43"/>
      <c r="X205" s="43"/>
      <c r="Y205" s="43"/>
      <c r="Z205" s="43"/>
    </row>
    <row r="206" spans="1:26" ht="15.75" customHeight="1">
      <c r="A206" s="88">
        <v>4625</v>
      </c>
      <c r="B206" s="378" t="s">
        <v>880</v>
      </c>
      <c r="C206" s="88"/>
      <c r="D206" s="1038"/>
      <c r="E206" s="1038"/>
      <c r="F206" s="1038"/>
      <c r="G206" s="1038"/>
      <c r="H206" s="1038"/>
      <c r="I206" s="1038"/>
      <c r="J206" s="1038"/>
      <c r="K206" s="1038"/>
      <c r="L206" s="590"/>
      <c r="M206" s="51"/>
      <c r="N206" s="113">
        <f t="shared" si="21"/>
        <v>4625</v>
      </c>
      <c r="O206" s="581"/>
      <c r="P206" s="576"/>
      <c r="Q206" s="589"/>
      <c r="R206" s="576"/>
      <c r="S206" s="583">
        <f t="shared" si="25"/>
        <v>0</v>
      </c>
      <c r="T206" s="580">
        <f t="shared" si="24"/>
        <v>0</v>
      </c>
      <c r="U206" s="51"/>
      <c r="V206" s="2119"/>
      <c r="W206" s="43"/>
      <c r="X206" s="43"/>
      <c r="Y206" s="43"/>
      <c r="Z206" s="43"/>
    </row>
    <row r="207" spans="1:26">
      <c r="A207" s="88">
        <v>4630</v>
      </c>
      <c r="B207" s="378" t="s">
        <v>881</v>
      </c>
      <c r="C207" s="88"/>
      <c r="D207" s="1033"/>
      <c r="E207" s="1033"/>
      <c r="F207" s="1033"/>
      <c r="G207" s="1033"/>
      <c r="H207" s="1033"/>
      <c r="I207" s="1033"/>
      <c r="J207" s="1033"/>
      <c r="K207" s="1033"/>
      <c r="L207" s="574"/>
      <c r="M207" s="51"/>
      <c r="N207" s="113">
        <f t="shared" si="21"/>
        <v>4630</v>
      </c>
      <c r="O207" s="581">
        <v>0</v>
      </c>
      <c r="P207" s="576">
        <v>0</v>
      </c>
      <c r="Q207" s="589">
        <v>0</v>
      </c>
      <c r="R207" s="576">
        <v>0</v>
      </c>
      <c r="S207" s="583">
        <f t="shared" si="25"/>
        <v>0</v>
      </c>
      <c r="T207" s="580">
        <f t="shared" si="24"/>
        <v>0</v>
      </c>
      <c r="U207" s="51"/>
      <c r="V207" s="2119"/>
      <c r="W207" s="43"/>
      <c r="X207" s="43"/>
      <c r="Y207" s="43"/>
      <c r="Z207" s="43"/>
    </row>
    <row r="208" spans="1:26">
      <c r="A208" s="88">
        <v>4651</v>
      </c>
      <c r="B208" s="378" t="s">
        <v>882</v>
      </c>
      <c r="C208" s="88"/>
      <c r="D208" s="1043"/>
      <c r="E208" s="1043"/>
      <c r="F208" s="1043"/>
      <c r="G208" s="1043"/>
      <c r="H208" s="1043"/>
      <c r="I208" s="1043"/>
      <c r="J208" s="1043"/>
      <c r="K208" s="1043"/>
      <c r="L208" s="574"/>
      <c r="M208" s="51"/>
      <c r="N208" s="113">
        <f t="shared" si="21"/>
        <v>4651</v>
      </c>
      <c r="O208" s="581"/>
      <c r="P208" s="576"/>
      <c r="Q208" s="589"/>
      <c r="R208" s="576"/>
      <c r="S208" s="583">
        <f t="shared" si="25"/>
        <v>0</v>
      </c>
      <c r="T208" s="580">
        <f t="shared" si="24"/>
        <v>0</v>
      </c>
      <c r="U208" s="51"/>
      <c r="V208" s="2119"/>
      <c r="W208" s="43"/>
      <c r="X208" s="43"/>
      <c r="Y208" s="43"/>
      <c r="Z208" s="43"/>
    </row>
    <row r="209" spans="1:26" ht="15.75" customHeight="1">
      <c r="A209" s="88">
        <v>4655</v>
      </c>
      <c r="B209" s="378" t="s">
        <v>883</v>
      </c>
      <c r="C209" s="88"/>
      <c r="D209" s="1038"/>
      <c r="E209" s="1038"/>
      <c r="F209" s="1038"/>
      <c r="G209" s="1038"/>
      <c r="H209" s="1038"/>
      <c r="I209" s="1038"/>
      <c r="J209" s="1038"/>
      <c r="K209" s="1038"/>
      <c r="L209" s="590"/>
      <c r="M209" s="51"/>
      <c r="N209" s="113">
        <f t="shared" si="21"/>
        <v>4655</v>
      </c>
      <c r="O209" s="581"/>
      <c r="P209" s="576"/>
      <c r="Q209" s="589"/>
      <c r="R209" s="576"/>
      <c r="S209" s="583">
        <f t="shared" si="25"/>
        <v>0</v>
      </c>
      <c r="T209" s="580">
        <f t="shared" si="24"/>
        <v>0</v>
      </c>
      <c r="U209" s="51"/>
      <c r="V209" s="2119"/>
      <c r="W209" s="43"/>
      <c r="X209" s="43"/>
      <c r="Y209" s="43"/>
      <c r="Z209" s="43"/>
    </row>
    <row r="210" spans="1:26">
      <c r="A210" s="88">
        <v>4659</v>
      </c>
      <c r="B210" s="378" t="s">
        <v>884</v>
      </c>
      <c r="C210" s="88"/>
      <c r="D210" s="1033"/>
      <c r="E210" s="1033"/>
      <c r="F210" s="1033"/>
      <c r="G210" s="1033"/>
      <c r="H210" s="1033"/>
      <c r="I210" s="1033"/>
      <c r="J210" s="1033"/>
      <c r="K210" s="1033"/>
      <c r="L210" s="574"/>
      <c r="M210" s="51"/>
      <c r="N210" s="113">
        <f t="shared" si="21"/>
        <v>4659</v>
      </c>
      <c r="O210" s="581"/>
      <c r="P210" s="576"/>
      <c r="Q210" s="589"/>
      <c r="R210" s="576"/>
      <c r="S210" s="583">
        <f t="shared" si="25"/>
        <v>0</v>
      </c>
      <c r="T210" s="580">
        <f t="shared" si="24"/>
        <v>0</v>
      </c>
      <c r="U210" s="51"/>
      <c r="V210" s="2119"/>
      <c r="W210" s="43"/>
      <c r="X210" s="43"/>
      <c r="Y210" s="43"/>
      <c r="Z210" s="43"/>
    </row>
    <row r="211" spans="1:26">
      <c r="A211" s="88">
        <v>4671</v>
      </c>
      <c r="B211" s="378" t="s">
        <v>885</v>
      </c>
      <c r="C211" s="88"/>
      <c r="D211" s="1033"/>
      <c r="E211" s="1033"/>
      <c r="F211" s="1033"/>
      <c r="G211" s="1033"/>
      <c r="H211" s="1033"/>
      <c r="I211" s="1033"/>
      <c r="J211" s="1033"/>
      <c r="K211" s="1033"/>
      <c r="L211" s="574"/>
      <c r="M211" s="51"/>
      <c r="N211" s="113">
        <f t="shared" si="21"/>
        <v>4671</v>
      </c>
      <c r="O211" s="581"/>
      <c r="P211" s="576"/>
      <c r="Q211" s="589"/>
      <c r="R211" s="576"/>
      <c r="S211" s="583">
        <f t="shared" si="25"/>
        <v>0</v>
      </c>
      <c r="T211" s="580">
        <f t="shared" si="24"/>
        <v>0</v>
      </c>
      <c r="U211" s="51"/>
      <c r="V211" s="2119"/>
      <c r="W211" s="43"/>
      <c r="X211" s="43"/>
      <c r="Y211" s="43"/>
      <c r="Z211" s="43"/>
    </row>
    <row r="212" spans="1:26" ht="15.75" customHeight="1">
      <c r="A212" s="88">
        <v>4672</v>
      </c>
      <c r="B212" s="378" t="s">
        <v>886</v>
      </c>
      <c r="C212" s="88"/>
      <c r="D212" s="1038"/>
      <c r="E212" s="1038"/>
      <c r="F212" s="1038"/>
      <c r="G212" s="1038"/>
      <c r="H212" s="1038"/>
      <c r="I212" s="1038"/>
      <c r="J212" s="1038"/>
      <c r="K212" s="1038"/>
      <c r="L212" s="590"/>
      <c r="M212" s="51"/>
      <c r="N212" s="113">
        <f t="shared" si="21"/>
        <v>4672</v>
      </c>
      <c r="O212" s="581"/>
      <c r="P212" s="576"/>
      <c r="Q212" s="589"/>
      <c r="R212" s="576"/>
      <c r="S212" s="583">
        <f t="shared" si="25"/>
        <v>0</v>
      </c>
      <c r="T212" s="580">
        <f t="shared" si="24"/>
        <v>0</v>
      </c>
      <c r="U212" s="51"/>
      <c r="V212" s="2119"/>
      <c r="W212" s="43"/>
      <c r="X212" s="43"/>
      <c r="Y212" s="43"/>
      <c r="Z212" s="43"/>
    </row>
    <row r="213" spans="1:26">
      <c r="A213" s="88">
        <v>4674</v>
      </c>
      <c r="B213" s="378" t="s">
        <v>887</v>
      </c>
      <c r="C213" s="88"/>
      <c r="D213" s="1033"/>
      <c r="E213" s="1033"/>
      <c r="F213" s="1033"/>
      <c r="G213" s="1033"/>
      <c r="H213" s="1033"/>
      <c r="I213" s="1033"/>
      <c r="J213" s="1033"/>
      <c r="K213" s="1033"/>
      <c r="L213" s="574"/>
      <c r="M213" s="51"/>
      <c r="N213" s="113">
        <f t="shared" si="21"/>
        <v>4674</v>
      </c>
      <c r="O213" s="581"/>
      <c r="P213" s="576"/>
      <c r="Q213" s="589"/>
      <c r="R213" s="576"/>
      <c r="S213" s="583">
        <f t="shared" si="25"/>
        <v>0</v>
      </c>
      <c r="T213" s="580">
        <f t="shared" si="24"/>
        <v>0</v>
      </c>
      <c r="U213" s="51"/>
      <c r="V213" s="2119"/>
      <c r="W213" s="43"/>
      <c r="X213" s="43"/>
      <c r="Y213" s="43"/>
      <c r="Z213" s="43"/>
    </row>
    <row r="214" spans="1:26" ht="15.75" customHeight="1">
      <c r="A214" s="88">
        <v>4675</v>
      </c>
      <c r="B214" s="378" t="s">
        <v>888</v>
      </c>
      <c r="C214" s="88"/>
      <c r="D214" s="1038"/>
      <c r="E214" s="1038"/>
      <c r="F214" s="1038"/>
      <c r="G214" s="1038"/>
      <c r="H214" s="1038"/>
      <c r="I214" s="1038"/>
      <c r="J214" s="1038"/>
      <c r="K214" s="1038"/>
      <c r="L214" s="590"/>
      <c r="M214" s="51"/>
      <c r="N214" s="113">
        <f t="shared" si="21"/>
        <v>4675</v>
      </c>
      <c r="O214" s="581"/>
      <c r="P214" s="576"/>
      <c r="Q214" s="589"/>
      <c r="R214" s="576"/>
      <c r="S214" s="583">
        <f t="shared" si="25"/>
        <v>0</v>
      </c>
      <c r="T214" s="580">
        <f t="shared" si="24"/>
        <v>0</v>
      </c>
      <c r="U214" s="51"/>
      <c r="V214" s="2119"/>
      <c r="W214" s="43"/>
      <c r="X214" s="43"/>
      <c r="Y214" s="43"/>
      <c r="Z214" s="43"/>
    </row>
    <row r="215" spans="1:26">
      <c r="A215" s="88">
        <v>4679</v>
      </c>
      <c r="B215" s="378" t="s">
        <v>889</v>
      </c>
      <c r="C215" s="88"/>
      <c r="D215" s="1033"/>
      <c r="E215" s="1033"/>
      <c r="F215" s="1033"/>
      <c r="G215" s="1033"/>
      <c r="H215" s="1033"/>
      <c r="I215" s="1033"/>
      <c r="J215" s="1033"/>
      <c r="K215" s="1033"/>
      <c r="L215" s="574"/>
      <c r="M215" s="51"/>
      <c r="N215" s="113">
        <f t="shared" si="21"/>
        <v>4679</v>
      </c>
      <c r="O215" s="581">
        <v>0</v>
      </c>
      <c r="P215" s="576">
        <v>0</v>
      </c>
      <c r="Q215" s="589">
        <v>0</v>
      </c>
      <c r="R215" s="576">
        <v>0</v>
      </c>
      <c r="S215" s="583">
        <f t="shared" si="25"/>
        <v>0</v>
      </c>
      <c r="T215" s="580">
        <f t="shared" si="24"/>
        <v>0</v>
      </c>
      <c r="U215" s="51"/>
      <c r="V215" s="2119"/>
      <c r="W215" s="43"/>
      <c r="X215" s="43"/>
      <c r="Y215" s="43"/>
      <c r="Z215" s="43"/>
    </row>
    <row r="216" spans="1:26">
      <c r="A216" s="88">
        <v>4682</v>
      </c>
      <c r="B216" s="378" t="s">
        <v>890</v>
      </c>
      <c r="C216" s="88"/>
      <c r="D216" s="1033"/>
      <c r="E216" s="1033"/>
      <c r="F216" s="1033"/>
      <c r="G216" s="1033"/>
      <c r="H216" s="1033"/>
      <c r="I216" s="1033"/>
      <c r="J216" s="1033"/>
      <c r="K216" s="1033"/>
      <c r="L216" s="574"/>
      <c r="M216" s="51"/>
      <c r="N216" s="113">
        <f t="shared" si="21"/>
        <v>4682</v>
      </c>
      <c r="O216" s="581">
        <v>0</v>
      </c>
      <c r="P216" s="576">
        <v>0</v>
      </c>
      <c r="Q216" s="589">
        <v>0</v>
      </c>
      <c r="R216" s="576">
        <v>0</v>
      </c>
      <c r="S216" s="583">
        <f t="shared" si="25"/>
        <v>0</v>
      </c>
      <c r="T216" s="580">
        <f t="shared" si="24"/>
        <v>0</v>
      </c>
      <c r="U216" s="51"/>
      <c r="V216" s="2119"/>
      <c r="W216" s="43"/>
      <c r="X216" s="43"/>
      <c r="Y216" s="43"/>
      <c r="Z216" s="43"/>
    </row>
    <row r="217" spans="1:26">
      <c r="A217" s="88">
        <v>4684</v>
      </c>
      <c r="B217" s="378" t="s">
        <v>891</v>
      </c>
      <c r="C217" s="88"/>
      <c r="D217" s="1033"/>
      <c r="E217" s="1033"/>
      <c r="F217" s="1033"/>
      <c r="G217" s="1033"/>
      <c r="H217" s="1033"/>
      <c r="I217" s="1033"/>
      <c r="J217" s="1033"/>
      <c r="K217" s="1033"/>
      <c r="L217" s="574"/>
      <c r="M217" s="51"/>
      <c r="N217" s="113">
        <f t="shared" si="21"/>
        <v>4684</v>
      </c>
      <c r="O217" s="581">
        <v>0</v>
      </c>
      <c r="P217" s="576">
        <v>0</v>
      </c>
      <c r="Q217" s="589">
        <v>0</v>
      </c>
      <c r="R217" s="576">
        <v>0</v>
      </c>
      <c r="S217" s="583">
        <f t="shared" si="25"/>
        <v>0</v>
      </c>
      <c r="T217" s="580">
        <f t="shared" si="24"/>
        <v>0</v>
      </c>
      <c r="U217" s="51"/>
      <c r="V217" s="2119"/>
      <c r="W217" s="43"/>
      <c r="X217" s="43"/>
      <c r="Y217" s="43"/>
      <c r="Z217" s="43"/>
    </row>
    <row r="218" spans="1:26" ht="15.75" customHeight="1">
      <c r="A218" s="88">
        <v>4685</v>
      </c>
      <c r="B218" s="378" t="s">
        <v>892</v>
      </c>
      <c r="C218" s="88"/>
      <c r="D218" s="1038"/>
      <c r="E218" s="1038"/>
      <c r="F218" s="1038"/>
      <c r="G218" s="1038"/>
      <c r="H218" s="1038"/>
      <c r="I218" s="1038"/>
      <c r="J218" s="1038"/>
      <c r="K218" s="1038"/>
      <c r="L218" s="590"/>
      <c r="M218" s="51"/>
      <c r="N218" s="113">
        <f t="shared" si="21"/>
        <v>4685</v>
      </c>
      <c r="O218" s="581"/>
      <c r="P218" s="576"/>
      <c r="Q218" s="589"/>
      <c r="R218" s="576"/>
      <c r="S218" s="583">
        <f t="shared" si="25"/>
        <v>0</v>
      </c>
      <c r="T218" s="580">
        <f t="shared" si="24"/>
        <v>0</v>
      </c>
      <c r="U218" s="51"/>
      <c r="V218" s="2119"/>
      <c r="W218" s="43"/>
      <c r="X218" s="43"/>
      <c r="Y218" s="43"/>
      <c r="Z218" s="43"/>
    </row>
    <row r="219" spans="1:26">
      <c r="A219" s="88">
        <v>4691</v>
      </c>
      <c r="B219" s="378" t="s">
        <v>893</v>
      </c>
      <c r="C219" s="88"/>
      <c r="D219" s="1033"/>
      <c r="E219" s="1033"/>
      <c r="F219" s="1033"/>
      <c r="G219" s="1033"/>
      <c r="H219" s="1033"/>
      <c r="I219" s="1033"/>
      <c r="J219" s="1033"/>
      <c r="K219" s="1033"/>
      <c r="L219" s="574"/>
      <c r="M219" s="51"/>
      <c r="N219" s="113">
        <f t="shared" si="21"/>
        <v>4691</v>
      </c>
      <c r="O219" s="581"/>
      <c r="P219" s="582">
        <v>0</v>
      </c>
      <c r="Q219" s="589"/>
      <c r="R219" s="576"/>
      <c r="S219" s="583">
        <f t="shared" si="25"/>
        <v>0</v>
      </c>
      <c r="T219" s="584">
        <v>0</v>
      </c>
      <c r="U219" s="51"/>
      <c r="V219" s="2120">
        <f>+IF(OR(ROUND(P219,2)+ROUND(R219,2)&gt;+ROUND(O219,2)+ROUND(Q219,2),+ABS(ROUND(P219,2)+ROUND(R219,2))&gt;+ABS(ROUND(O219,2)+ROUND(Q219,2))),+(ROUND(P219,2)+ROUND(R219,2))-(ROUND(O219,2)+ROUND(Q219,2)),0)</f>
        <v>0</v>
      </c>
      <c r="W219" s="43"/>
      <c r="X219" s="43"/>
      <c r="Y219" s="43"/>
      <c r="Z219" s="43"/>
    </row>
    <row r="220" spans="1:26">
      <c r="A220" s="88">
        <v>4692</v>
      </c>
      <c r="B220" s="378" t="s">
        <v>894</v>
      </c>
      <c r="C220" s="88"/>
      <c r="D220" s="1033"/>
      <c r="E220" s="1033"/>
      <c r="F220" s="1033"/>
      <c r="G220" s="1033"/>
      <c r="H220" s="1033"/>
      <c r="I220" s="1033"/>
      <c r="J220" s="1033"/>
      <c r="K220" s="1033"/>
      <c r="L220" s="574"/>
      <c r="M220" s="51"/>
      <c r="N220" s="113">
        <f t="shared" si="21"/>
        <v>4692</v>
      </c>
      <c r="O220" s="575">
        <v>0</v>
      </c>
      <c r="P220" s="576"/>
      <c r="Q220" s="589"/>
      <c r="R220" s="324"/>
      <c r="S220" s="579">
        <v>0</v>
      </c>
      <c r="T220" s="580">
        <f>+IF(ABS(+O220+Q220)&lt;=ABS(P220+R220),-O220+P220-Q220+R220,0)</f>
        <v>0</v>
      </c>
      <c r="U220" s="51"/>
      <c r="V220" s="2119">
        <f>+IF(OR(+ROUND(O220,2)+ROUND(Q220,2)&gt;ROUND(P220,2)+ROUND(R220,2),+ABS(ROUND(O220,2)+ROUND(Q220,2))&gt;+ABS(ROUND(P220,2)+ROUND(R220,2))),+(ROUND(O220,2)+ROUND(Q220,2))-(ROUND(P220,2)+ROUND(R220,2)),0)</f>
        <v>0</v>
      </c>
      <c r="W220" s="43"/>
      <c r="X220" s="43"/>
      <c r="Y220" s="43"/>
      <c r="Z220" s="43"/>
    </row>
    <row r="221" spans="1:26">
      <c r="A221" s="88">
        <v>4693</v>
      </c>
      <c r="B221" s="378" t="s">
        <v>895</v>
      </c>
      <c r="C221" s="88"/>
      <c r="D221" s="1033"/>
      <c r="E221" s="1033"/>
      <c r="F221" s="1033"/>
      <c r="G221" s="1033"/>
      <c r="H221" s="1033"/>
      <c r="I221" s="1033"/>
      <c r="J221" s="1033"/>
      <c r="K221" s="1033"/>
      <c r="L221" s="574"/>
      <c r="M221" s="51"/>
      <c r="N221" s="113">
        <f t="shared" si="21"/>
        <v>4693</v>
      </c>
      <c r="O221" s="581"/>
      <c r="P221" s="582">
        <v>0</v>
      </c>
      <c r="Q221" s="589"/>
      <c r="R221" s="576"/>
      <c r="S221" s="583">
        <f>+IF(ABS(+O221+Q221)&gt;=ABS(P221+R221),+O221-P221+Q221-R221,0)</f>
        <v>0</v>
      </c>
      <c r="T221" s="584">
        <v>0</v>
      </c>
      <c r="U221" s="51"/>
      <c r="V221" s="2120">
        <f>+IF(OR(ROUND(P221,2)+ROUND(R221,2)&gt;+ROUND(O221,2)+ROUND(Q221,2),+ABS(ROUND(P221,2)+ROUND(R221,2))&gt;+ABS(ROUND(O221,2)+ROUND(Q221,2))),+(ROUND(P221,2)+ROUND(R221,2))-(ROUND(O221,2)+ROUND(Q221,2)),0)</f>
        <v>0</v>
      </c>
      <c r="W221" s="43"/>
      <c r="X221" s="43"/>
      <c r="Y221" s="43"/>
      <c r="Z221" s="43"/>
    </row>
    <row r="222" spans="1:26">
      <c r="A222" s="88">
        <v>4694</v>
      </c>
      <c r="B222" s="378" t="s">
        <v>268</v>
      </c>
      <c r="C222" s="88"/>
      <c r="D222" s="1033"/>
      <c r="E222" s="1033"/>
      <c r="F222" s="1033"/>
      <c r="G222" s="1033"/>
      <c r="H222" s="1033"/>
      <c r="I222" s="1033"/>
      <c r="J222" s="1033"/>
      <c r="K222" s="1033"/>
      <c r="L222" s="574"/>
      <c r="M222" s="51"/>
      <c r="N222" s="113">
        <f t="shared" ref="N222:N274" si="26">+A222</f>
        <v>4694</v>
      </c>
      <c r="O222" s="575">
        <v>0</v>
      </c>
      <c r="P222" s="576"/>
      <c r="Q222" s="589"/>
      <c r="R222" s="324"/>
      <c r="S222" s="579">
        <v>0</v>
      </c>
      <c r="T222" s="580">
        <f>+IF(ABS(+O222+Q222)&lt;=ABS(P222+R222),-O222+P222-Q222+R222,0)</f>
        <v>0</v>
      </c>
      <c r="U222" s="51"/>
      <c r="V222" s="2119">
        <f>+IF(OR(+ROUND(O222,2)+ROUND(Q222,2)&gt;ROUND(P222,2)+ROUND(R222,2),+ABS(ROUND(O222,2)+ROUND(Q222,2))&gt;+ABS(ROUND(P222,2)+ROUND(R222,2))),+(ROUND(O222,2)+ROUND(Q222,2))-(ROUND(P222,2)+ROUND(R222,2)),0)</f>
        <v>0</v>
      </c>
      <c r="W222" s="43"/>
      <c r="X222" s="43"/>
      <c r="Y222" s="43"/>
      <c r="Z222" s="43"/>
    </row>
    <row r="223" spans="1:26">
      <c r="A223" s="88">
        <v>4695</v>
      </c>
      <c r="B223" s="378" t="s">
        <v>269</v>
      </c>
      <c r="C223" s="88"/>
      <c r="D223" s="1033"/>
      <c r="E223" s="1033"/>
      <c r="F223" s="1033"/>
      <c r="G223" s="1033"/>
      <c r="H223" s="1033"/>
      <c r="I223" s="1033"/>
      <c r="J223" s="1033"/>
      <c r="K223" s="1033"/>
      <c r="L223" s="574"/>
      <c r="M223" s="51"/>
      <c r="N223" s="113">
        <f t="shared" si="26"/>
        <v>4695</v>
      </c>
      <c r="O223" s="581"/>
      <c r="P223" s="582">
        <v>0</v>
      </c>
      <c r="Q223" s="589"/>
      <c r="R223" s="576"/>
      <c r="S223" s="583">
        <f>+IF(ABS(+O223+Q223)&gt;=ABS(P223+R223),+O223-P223+Q223-R223,0)</f>
        <v>0</v>
      </c>
      <c r="T223" s="584">
        <v>0</v>
      </c>
      <c r="U223" s="51"/>
      <c r="V223" s="2120">
        <f>+IF(OR(ROUND(P223,2)+ROUND(R223,2)&gt;+ROUND(O223,2)+ROUND(Q223,2),+ABS(ROUND(P223,2)+ROUND(R223,2))&gt;+ABS(ROUND(O223,2)+ROUND(Q223,2))),+(ROUND(P223,2)+ROUND(R223,2))-(ROUND(O223,2)+ROUND(Q223,2)),0)</f>
        <v>0</v>
      </c>
      <c r="W223" s="43"/>
      <c r="X223" s="43"/>
      <c r="Y223" s="43"/>
      <c r="Z223" s="43"/>
    </row>
    <row r="224" spans="1:26">
      <c r="A224" s="88">
        <v>4696</v>
      </c>
      <c r="B224" s="378" t="s">
        <v>270</v>
      </c>
      <c r="C224" s="88"/>
      <c r="D224" s="1033"/>
      <c r="E224" s="1033"/>
      <c r="F224" s="1033"/>
      <c r="G224" s="1033"/>
      <c r="H224" s="1033"/>
      <c r="I224" s="1033"/>
      <c r="J224" s="1033"/>
      <c r="K224" s="1033"/>
      <c r="L224" s="574"/>
      <c r="M224" s="51"/>
      <c r="N224" s="113">
        <f t="shared" si="26"/>
        <v>4696</v>
      </c>
      <c r="O224" s="575">
        <v>0</v>
      </c>
      <c r="P224" s="576"/>
      <c r="Q224" s="589"/>
      <c r="R224" s="324"/>
      <c r="S224" s="579">
        <v>0</v>
      </c>
      <c r="T224" s="580">
        <f>+IF(ABS(+O224+Q224)&lt;=ABS(P224+R224),-O224+P224-Q224+R224,0)</f>
        <v>0</v>
      </c>
      <c r="U224" s="51"/>
      <c r="V224" s="2119">
        <f>+IF(OR(+ROUND(O224,2)+ROUND(Q224,2)&gt;ROUND(P224,2)+ROUND(R224,2),+ABS(ROUND(O224,2)+ROUND(Q224,2))&gt;+ABS(ROUND(P224,2)+ROUND(R224,2))),+(ROUND(O224,2)+ROUND(Q224,2))-(ROUND(P224,2)+ROUND(R224,2)),0)</f>
        <v>0</v>
      </c>
      <c r="W224" s="43"/>
      <c r="X224" s="43"/>
      <c r="Y224" s="43"/>
      <c r="Z224" s="43"/>
    </row>
    <row r="225" spans="1:26">
      <c r="A225" s="88">
        <v>4830</v>
      </c>
      <c r="B225" s="378" t="s">
        <v>271</v>
      </c>
      <c r="C225" s="88"/>
      <c r="D225" s="1033"/>
      <c r="E225" s="1033"/>
      <c r="F225" s="1033"/>
      <c r="G225" s="1033"/>
      <c r="H225" s="1033"/>
      <c r="I225" s="1033"/>
      <c r="J225" s="1033"/>
      <c r="K225" s="1033"/>
      <c r="L225" s="574"/>
      <c r="M225" s="51"/>
      <c r="N225" s="113">
        <f t="shared" si="26"/>
        <v>4830</v>
      </c>
      <c r="O225" s="575">
        <v>0</v>
      </c>
      <c r="P225" s="576"/>
      <c r="Q225" s="589"/>
      <c r="R225" s="324"/>
      <c r="S225" s="579">
        <v>0</v>
      </c>
      <c r="T225" s="580">
        <f>+IF(ABS(+O225+Q225)&lt;=ABS(P225+R225),-O225+P225-Q225+R225,0)</f>
        <v>0</v>
      </c>
      <c r="U225" s="51"/>
      <c r="V225" s="2119">
        <f>+IF(OR(+ROUND(O225,2)+ROUND(Q225,2)&gt;ROUND(P225,2)+ROUND(R225,2),+ABS(ROUND(O225,2)+ROUND(Q225,2))&gt;+ABS(ROUND(P225,2)+ROUND(R225,2))),+(ROUND(O225,2)+ROUND(Q225,2))-(ROUND(P225,2)+ROUND(R225,2)),0)</f>
        <v>0</v>
      </c>
      <c r="W225" s="43"/>
      <c r="X225" s="43"/>
      <c r="Y225" s="43"/>
      <c r="Z225" s="43"/>
    </row>
    <row r="226" spans="1:26">
      <c r="A226" s="88">
        <v>4831</v>
      </c>
      <c r="B226" s="378" t="s">
        <v>272</v>
      </c>
      <c r="C226" s="88"/>
      <c r="D226" s="1033"/>
      <c r="E226" s="1033"/>
      <c r="F226" s="1033"/>
      <c r="G226" s="1033"/>
      <c r="H226" s="1033"/>
      <c r="I226" s="1033"/>
      <c r="J226" s="1033"/>
      <c r="K226" s="1033"/>
      <c r="L226" s="574"/>
      <c r="M226" s="51"/>
      <c r="N226" s="113">
        <f t="shared" si="26"/>
        <v>4831</v>
      </c>
      <c r="O226" s="575">
        <v>0</v>
      </c>
      <c r="P226" s="576">
        <v>0</v>
      </c>
      <c r="Q226" s="589">
        <v>0</v>
      </c>
      <c r="R226" s="324">
        <v>0</v>
      </c>
      <c r="S226" s="579">
        <v>0</v>
      </c>
      <c r="T226" s="580">
        <f>+IF(ABS(+O226+Q226)&lt;=ABS(P226+R226),-O226+P226-Q226+R226,0)</f>
        <v>0</v>
      </c>
      <c r="U226" s="51"/>
      <c r="V226" s="2119">
        <f>+IF(OR(+ROUND(O226,2)+ROUND(Q226,2)&gt;ROUND(P226,2)+ROUND(R226,2),+ABS(ROUND(O226,2)+ROUND(Q226,2))&gt;+ABS(ROUND(P226,2)+ROUND(R226,2))),+(ROUND(O226,2)+ROUND(Q226,2))-(ROUND(P226,2)+ROUND(R226,2)),0)</f>
        <v>0</v>
      </c>
      <c r="W226" s="43"/>
      <c r="X226" s="43"/>
      <c r="Y226" s="43"/>
      <c r="Z226" s="43"/>
    </row>
    <row r="227" spans="1:26">
      <c r="A227" s="88">
        <v>4832</v>
      </c>
      <c r="B227" s="378" t="s">
        <v>273</v>
      </c>
      <c r="C227" s="88"/>
      <c r="D227" s="1033"/>
      <c r="E227" s="1033"/>
      <c r="F227" s="1033"/>
      <c r="G227" s="1033"/>
      <c r="H227" s="1033"/>
      <c r="I227" s="1033"/>
      <c r="J227" s="1033"/>
      <c r="K227" s="1033"/>
      <c r="L227" s="574"/>
      <c r="M227" s="51"/>
      <c r="N227" s="113">
        <f t="shared" si="26"/>
        <v>4832</v>
      </c>
      <c r="O227" s="575">
        <v>0</v>
      </c>
      <c r="P227" s="576"/>
      <c r="Q227" s="589"/>
      <c r="R227" s="324"/>
      <c r="S227" s="579">
        <v>0</v>
      </c>
      <c r="T227" s="580">
        <f>+IF(ABS(+O227+Q227)&lt;=ABS(P227+R227),-O227+P227-Q227+R227,0)</f>
        <v>0</v>
      </c>
      <c r="U227" s="51"/>
      <c r="V227" s="2119">
        <f>+IF(OR(+ROUND(O227,2)+ROUND(Q227,2)&gt;ROUND(P227,2)+ROUND(R227,2),+ABS(ROUND(O227,2)+ROUND(Q227,2))&gt;+ABS(ROUND(P227,2)+ROUND(R227,2))),+(ROUND(O227,2)+ROUND(Q227,2))-(ROUND(P227,2)+ROUND(R227,2)),0)</f>
        <v>0</v>
      </c>
      <c r="W227" s="43"/>
      <c r="X227" s="43"/>
      <c r="Y227" s="43"/>
      <c r="Z227" s="43"/>
    </row>
    <row r="228" spans="1:26">
      <c r="A228" s="88">
        <v>4835</v>
      </c>
      <c r="B228" s="378" t="s">
        <v>274</v>
      </c>
      <c r="C228" s="88"/>
      <c r="D228" s="1033"/>
      <c r="E228" s="1033"/>
      <c r="F228" s="1033"/>
      <c r="G228" s="1033"/>
      <c r="H228" s="1033"/>
      <c r="I228" s="1033"/>
      <c r="J228" s="1033"/>
      <c r="K228" s="1033"/>
      <c r="L228" s="574"/>
      <c r="M228" s="51"/>
      <c r="N228" s="113">
        <f t="shared" si="26"/>
        <v>4835</v>
      </c>
      <c r="O228" s="575">
        <v>0</v>
      </c>
      <c r="P228" s="576"/>
      <c r="Q228" s="589"/>
      <c r="R228" s="324"/>
      <c r="S228" s="579">
        <v>0</v>
      </c>
      <c r="T228" s="580">
        <f>+IF(ABS(+O228+Q228)&lt;=ABS(P228+R228),-O228+P228-Q228+R228,0)</f>
        <v>0</v>
      </c>
      <c r="U228" s="51"/>
      <c r="V228" s="2119">
        <f>+IF(OR(+ROUND(O228,2)+ROUND(Q228,2)&gt;ROUND(P228,2)+ROUND(R228,2),+ABS(ROUND(O228,2)+ROUND(Q228,2))&gt;+ABS(ROUND(P228,2)+ROUND(R228,2))),+(ROUND(O228,2)+ROUND(Q228,2))-(ROUND(P228,2)+ROUND(R228,2)),0)</f>
        <v>0</v>
      </c>
      <c r="W228" s="43"/>
      <c r="X228" s="43"/>
      <c r="Y228" s="43"/>
      <c r="Z228" s="43"/>
    </row>
    <row r="229" spans="1:26">
      <c r="A229" s="88">
        <v>4841</v>
      </c>
      <c r="B229" s="378" t="s">
        <v>275</v>
      </c>
      <c r="C229" s="88"/>
      <c r="D229" s="1033"/>
      <c r="E229" s="1033"/>
      <c r="F229" s="1033"/>
      <c r="G229" s="1033"/>
      <c r="H229" s="1033"/>
      <c r="I229" s="1033"/>
      <c r="J229" s="1033"/>
      <c r="K229" s="1033"/>
      <c r="L229" s="574"/>
      <c r="M229" s="51"/>
      <c r="N229" s="113">
        <f t="shared" si="26"/>
        <v>4841</v>
      </c>
      <c r="O229" s="581"/>
      <c r="P229" s="582">
        <v>0</v>
      </c>
      <c r="Q229" s="589"/>
      <c r="R229" s="576"/>
      <c r="S229" s="583">
        <f>+IF(ABS(+O229+Q229)&gt;=ABS(P229+R229),+O229-P229+Q229-R229,0)</f>
        <v>0</v>
      </c>
      <c r="T229" s="584">
        <v>0</v>
      </c>
      <c r="U229" s="51"/>
      <c r="V229" s="2120">
        <f>+IF(OR(ROUND(P229,2)+ROUND(R229,2)&gt;+ROUND(O229,2)+ROUND(Q229,2),+ABS(ROUND(P229,2)+ROUND(R229,2))&gt;+ABS(ROUND(O229,2)+ROUND(Q229,2))),+(ROUND(P229,2)+ROUND(R229,2))-(ROUND(O229,2)+ROUND(Q229,2)),0)</f>
        <v>0</v>
      </c>
      <c r="W229" s="43"/>
      <c r="X229" s="43"/>
      <c r="Y229" s="43"/>
      <c r="Z229" s="43"/>
    </row>
    <row r="230" spans="1:26">
      <c r="A230" s="88">
        <v>4843</v>
      </c>
      <c r="B230" s="378" t="s">
        <v>276</v>
      </c>
      <c r="C230" s="88"/>
      <c r="D230" s="1033"/>
      <c r="E230" s="1033"/>
      <c r="F230" s="1033"/>
      <c r="G230" s="1033"/>
      <c r="H230" s="1033"/>
      <c r="I230" s="1033"/>
      <c r="J230" s="1033"/>
      <c r="K230" s="1033"/>
      <c r="L230" s="574"/>
      <c r="M230" s="51"/>
      <c r="N230" s="113">
        <f t="shared" si="26"/>
        <v>4843</v>
      </c>
      <c r="O230" s="581"/>
      <c r="P230" s="582">
        <v>0</v>
      </c>
      <c r="Q230" s="589"/>
      <c r="R230" s="576"/>
      <c r="S230" s="583">
        <f>+IF(ABS(+O230+Q230)&gt;=ABS(P230+R230),+O230-P230+Q230-R230,0)</f>
        <v>0</v>
      </c>
      <c r="T230" s="584">
        <v>0</v>
      </c>
      <c r="U230" s="51"/>
      <c r="V230" s="2120">
        <f>+IF(OR(ROUND(P230,2)+ROUND(R230,2)&gt;+ROUND(O230,2)+ROUND(Q230,2),+ABS(ROUND(P230,2)+ROUND(R230,2))&gt;+ABS(ROUND(O230,2)+ROUND(Q230,2))),+(ROUND(P230,2)+ROUND(R230,2))-(ROUND(O230,2)+ROUND(Q230,2)),0)</f>
        <v>0</v>
      </c>
      <c r="W230" s="43"/>
      <c r="X230" s="43"/>
      <c r="Y230" s="43"/>
      <c r="Z230" s="43"/>
    </row>
    <row r="231" spans="1:26">
      <c r="A231" s="88">
        <v>4844</v>
      </c>
      <c r="B231" s="378" t="s">
        <v>277</v>
      </c>
      <c r="C231" s="88"/>
      <c r="D231" s="1033"/>
      <c r="E231" s="1033"/>
      <c r="F231" s="1033"/>
      <c r="G231" s="1033"/>
      <c r="H231" s="1033"/>
      <c r="I231" s="1033"/>
      <c r="J231" s="1033"/>
      <c r="K231" s="1033"/>
      <c r="L231" s="574"/>
      <c r="M231" s="51"/>
      <c r="N231" s="113">
        <f t="shared" si="26"/>
        <v>4844</v>
      </c>
      <c r="O231" s="581"/>
      <c r="P231" s="582">
        <v>0</v>
      </c>
      <c r="Q231" s="589"/>
      <c r="R231" s="576"/>
      <c r="S231" s="583">
        <f>+IF(ABS(+O231+Q231)&gt;=ABS(P231+R231),+O231-P231+Q231-R231,0)</f>
        <v>0</v>
      </c>
      <c r="T231" s="584">
        <v>0</v>
      </c>
      <c r="U231" s="51"/>
      <c r="V231" s="2120">
        <f>+IF(OR(ROUND(P231,2)+ROUND(R231,2)&gt;+ROUND(O231,2)+ROUND(Q231,2),+ABS(ROUND(P231,2)+ROUND(R231,2))&gt;+ABS(ROUND(O231,2)+ROUND(Q231,2))),+(ROUND(P231,2)+ROUND(R231,2))-(ROUND(O231,2)+ROUND(Q231,2)),0)</f>
        <v>0</v>
      </c>
      <c r="W231" s="43"/>
      <c r="X231" s="43"/>
      <c r="Y231" s="43"/>
      <c r="Z231" s="43"/>
    </row>
    <row r="232" spans="1:26">
      <c r="A232" s="88">
        <v>4845</v>
      </c>
      <c r="B232" s="378" t="s">
        <v>278</v>
      </c>
      <c r="C232" s="88"/>
      <c r="D232" s="1033"/>
      <c r="E232" s="1033"/>
      <c r="F232" s="1033"/>
      <c r="G232" s="1033"/>
      <c r="H232" s="1033"/>
      <c r="I232" s="1033"/>
      <c r="J232" s="1033"/>
      <c r="K232" s="1033"/>
      <c r="L232" s="574"/>
      <c r="M232" s="51"/>
      <c r="N232" s="113">
        <f t="shared" si="26"/>
        <v>4845</v>
      </c>
      <c r="O232" s="575">
        <v>0</v>
      </c>
      <c r="P232" s="576"/>
      <c r="Q232" s="589"/>
      <c r="R232" s="324"/>
      <c r="S232" s="579">
        <v>0</v>
      </c>
      <c r="T232" s="580">
        <f>+IF(ABS(+O232+Q232)&lt;=ABS(P232+R232),-O232+P232-Q232+R232,0)</f>
        <v>0</v>
      </c>
      <c r="U232" s="51"/>
      <c r="V232" s="2119">
        <f>+IF(OR(+ROUND(O232,2)+ROUND(Q232,2)&gt;ROUND(P232,2)+ROUND(R232,2),+ABS(ROUND(O232,2)+ROUND(Q232,2))&gt;+ABS(ROUND(P232,2)+ROUND(R232,2))),+(ROUND(O232,2)+ROUND(Q232,2))-(ROUND(P232,2)+ROUND(R232,2)),0)</f>
        <v>0</v>
      </c>
      <c r="W232" s="43"/>
      <c r="X232" s="43"/>
      <c r="Y232" s="43"/>
      <c r="Z232" s="43"/>
    </row>
    <row r="233" spans="1:26">
      <c r="A233" s="88">
        <v>4847</v>
      </c>
      <c r="B233" s="378" t="s">
        <v>279</v>
      </c>
      <c r="C233" s="88"/>
      <c r="D233" s="1033"/>
      <c r="E233" s="1033"/>
      <c r="F233" s="1033"/>
      <c r="G233" s="1033"/>
      <c r="H233" s="1033"/>
      <c r="I233" s="1033"/>
      <c r="J233" s="1033"/>
      <c r="K233" s="1033"/>
      <c r="L233" s="574"/>
      <c r="M233" s="51"/>
      <c r="N233" s="113">
        <f t="shared" si="26"/>
        <v>4847</v>
      </c>
      <c r="O233" s="575">
        <v>0</v>
      </c>
      <c r="P233" s="576"/>
      <c r="Q233" s="589"/>
      <c r="R233" s="324"/>
      <c r="S233" s="579">
        <v>0</v>
      </c>
      <c r="T233" s="580">
        <f>+IF(ABS(+O233+Q233)&lt;=ABS(P233+R233),-O233+P233-Q233+R233,0)</f>
        <v>0</v>
      </c>
      <c r="U233" s="51"/>
      <c r="V233" s="2119">
        <f>+IF(OR(+ROUND(O233,2)+ROUND(Q233,2)&gt;ROUND(P233,2)+ROUND(R233,2),+ABS(ROUND(O233,2)+ROUND(Q233,2))&gt;+ABS(ROUND(P233,2)+ROUND(R233,2))),+(ROUND(O233,2)+ROUND(Q233,2))-(ROUND(P233,2)+ROUND(R233,2)),0)</f>
        <v>0</v>
      </c>
      <c r="W233" s="43"/>
      <c r="X233" s="43"/>
      <c r="Y233" s="43"/>
      <c r="Z233" s="43"/>
    </row>
    <row r="234" spans="1:26">
      <c r="A234" s="88">
        <v>4848</v>
      </c>
      <c r="B234" s="378" t="s">
        <v>280</v>
      </c>
      <c r="C234" s="88"/>
      <c r="D234" s="1033"/>
      <c r="E234" s="1033"/>
      <c r="F234" s="1033"/>
      <c r="G234" s="1033"/>
      <c r="H234" s="1033"/>
      <c r="I234" s="1033"/>
      <c r="J234" s="1033"/>
      <c r="K234" s="1033"/>
      <c r="L234" s="574"/>
      <c r="M234" s="51"/>
      <c r="N234" s="113">
        <f t="shared" si="26"/>
        <v>4848</v>
      </c>
      <c r="O234" s="575">
        <v>0</v>
      </c>
      <c r="P234" s="576"/>
      <c r="Q234" s="589"/>
      <c r="R234" s="324"/>
      <c r="S234" s="579">
        <v>0</v>
      </c>
      <c r="T234" s="580">
        <f>+IF(ABS(+O234+Q234)&lt;=ABS(P234+R234),-O234+P234-Q234+R234,0)</f>
        <v>0</v>
      </c>
      <c r="U234" s="51"/>
      <c r="V234" s="2119">
        <f>+IF(OR(+ROUND(O234,2)+ROUND(Q234,2)&gt;ROUND(P234,2)+ROUND(R234,2),+ABS(ROUND(O234,2)+ROUND(Q234,2))&gt;+ABS(ROUND(P234,2)+ROUND(R234,2))),+(ROUND(O234,2)+ROUND(Q234,2))-(ROUND(P234,2)+ROUND(R234,2)),0)</f>
        <v>0</v>
      </c>
      <c r="W234" s="43"/>
      <c r="X234" s="43"/>
      <c r="Y234" s="43"/>
      <c r="Z234" s="43"/>
    </row>
    <row r="235" spans="1:26">
      <c r="A235" s="88">
        <v>4851</v>
      </c>
      <c r="B235" s="378" t="s">
        <v>281</v>
      </c>
      <c r="C235" s="88"/>
      <c r="D235" s="1033"/>
      <c r="E235" s="1033"/>
      <c r="F235" s="1033"/>
      <c r="G235" s="1033"/>
      <c r="H235" s="1033"/>
      <c r="I235" s="1033"/>
      <c r="J235" s="1033"/>
      <c r="K235" s="1033"/>
      <c r="L235" s="574"/>
      <c r="M235" s="51"/>
      <c r="N235" s="113">
        <f t="shared" si="26"/>
        <v>4851</v>
      </c>
      <c r="O235" s="575">
        <v>0</v>
      </c>
      <c r="P235" s="576"/>
      <c r="Q235" s="589"/>
      <c r="R235" s="324"/>
      <c r="S235" s="579">
        <v>0</v>
      </c>
      <c r="T235" s="580">
        <f>+IF(ABS(+O235+Q235)&lt;=ABS(P235+R235),-O235+P235-Q235+R235,0)</f>
        <v>0</v>
      </c>
      <c r="U235" s="51"/>
      <c r="V235" s="2119">
        <f>+IF(OR(+ROUND(O235,2)+ROUND(Q235,2)&gt;ROUND(P235,2)+ROUND(R235,2),+ABS(ROUND(O235,2)+ROUND(Q235,2))&gt;+ABS(ROUND(P235,2)+ROUND(R235,2))),+(ROUND(O235,2)+ROUND(Q235,2))-(ROUND(P235,2)+ROUND(R235,2)),0)</f>
        <v>0</v>
      </c>
      <c r="W235" s="43"/>
      <c r="X235" s="43"/>
      <c r="Y235" s="43"/>
      <c r="Z235" s="43"/>
    </row>
    <row r="236" spans="1:26">
      <c r="A236" s="88">
        <v>4852</v>
      </c>
      <c r="B236" s="378" t="s">
        <v>282</v>
      </c>
      <c r="C236" s="88"/>
      <c r="D236" s="1033"/>
      <c r="E236" s="1033"/>
      <c r="F236" s="1033"/>
      <c r="G236" s="1033"/>
      <c r="H236" s="1033"/>
      <c r="I236" s="1033"/>
      <c r="J236" s="1033"/>
      <c r="K236" s="1033"/>
      <c r="L236" s="574"/>
      <c r="M236" s="51"/>
      <c r="N236" s="113">
        <f t="shared" si="26"/>
        <v>4852</v>
      </c>
      <c r="O236" s="581"/>
      <c r="P236" s="582">
        <v>0</v>
      </c>
      <c r="Q236" s="589"/>
      <c r="R236" s="576"/>
      <c r="S236" s="583">
        <f>+IF(ABS(+O236+Q236)&gt;=ABS(P236+R236),+O236-P236+Q236-R236,0)</f>
        <v>0</v>
      </c>
      <c r="T236" s="584">
        <v>0</v>
      </c>
      <c r="U236" s="51"/>
      <c r="V236" s="2120">
        <f>+IF(OR(ROUND(P236,2)+ROUND(R236,2)&gt;+ROUND(O236,2)+ROUND(Q236,2),+ABS(ROUND(P236,2)+ROUND(R236,2))&gt;+ABS(ROUND(O236,2)+ROUND(Q236,2))),+(ROUND(P236,2)+ROUND(R236,2))-(ROUND(O236,2)+ROUND(Q236,2)),0)</f>
        <v>0</v>
      </c>
      <c r="W236" s="43"/>
      <c r="X236" s="43"/>
      <c r="Y236" s="43"/>
      <c r="Z236" s="43"/>
    </row>
    <row r="237" spans="1:26">
      <c r="A237" s="88">
        <v>4853</v>
      </c>
      <c r="B237" s="378" t="s">
        <v>283</v>
      </c>
      <c r="C237" s="88"/>
      <c r="D237" s="1033"/>
      <c r="E237" s="1033"/>
      <c r="F237" s="1033"/>
      <c r="G237" s="1033"/>
      <c r="H237" s="1033"/>
      <c r="I237" s="1033"/>
      <c r="J237" s="1033"/>
      <c r="K237" s="1033"/>
      <c r="L237" s="574"/>
      <c r="M237" s="51"/>
      <c r="N237" s="113">
        <f t="shared" si="26"/>
        <v>4853</v>
      </c>
      <c r="O237" s="575">
        <v>0</v>
      </c>
      <c r="P237" s="576"/>
      <c r="Q237" s="589"/>
      <c r="R237" s="324"/>
      <c r="S237" s="579">
        <v>0</v>
      </c>
      <c r="T237" s="580">
        <f>+IF(ABS(+O237+Q237)&lt;=ABS(P237+R237),-O237+P237-Q237+R237,0)</f>
        <v>0</v>
      </c>
      <c r="U237" s="51"/>
      <c r="V237" s="2119">
        <f>+IF(OR(+ROUND(O237,2)+ROUND(Q237,2)&gt;ROUND(P237,2)+ROUND(R237,2),+ABS(ROUND(O237,2)+ROUND(Q237,2))&gt;+ABS(ROUND(P237,2)+ROUND(R237,2))),+(ROUND(O237,2)+ROUND(Q237,2))-(ROUND(P237,2)+ROUND(R237,2)),0)</f>
        <v>0</v>
      </c>
      <c r="W237" s="43"/>
      <c r="X237" s="43"/>
      <c r="Y237" s="43"/>
      <c r="Z237" s="43"/>
    </row>
    <row r="238" spans="1:26">
      <c r="A238" s="88">
        <v>4854</v>
      </c>
      <c r="B238" s="378" t="s">
        <v>284</v>
      </c>
      <c r="C238" s="88"/>
      <c r="D238" s="1033"/>
      <c r="E238" s="1033"/>
      <c r="F238" s="1033"/>
      <c r="G238" s="1033"/>
      <c r="H238" s="1033"/>
      <c r="I238" s="1033"/>
      <c r="J238" s="1033"/>
      <c r="K238" s="1033"/>
      <c r="L238" s="574"/>
      <c r="M238" s="51"/>
      <c r="N238" s="113">
        <f t="shared" si="26"/>
        <v>4854</v>
      </c>
      <c r="O238" s="575">
        <v>0</v>
      </c>
      <c r="P238" s="576"/>
      <c r="Q238" s="589"/>
      <c r="R238" s="324"/>
      <c r="S238" s="579">
        <v>0</v>
      </c>
      <c r="T238" s="580">
        <f>+IF(ABS(+O238+Q238)&lt;=ABS(P238+R238),-O238+P238-Q238+R238,0)</f>
        <v>0</v>
      </c>
      <c r="U238" s="51"/>
      <c r="V238" s="2119">
        <f>+IF(OR(+ROUND(O238,2)+ROUND(Q238,2)&gt;ROUND(P238,2)+ROUND(R238,2),+ABS(ROUND(O238,2)+ROUND(Q238,2))&gt;+ABS(ROUND(P238,2)+ROUND(R238,2))),+(ROUND(O238,2)+ROUND(Q238,2))-(ROUND(P238,2)+ROUND(R238,2)),0)</f>
        <v>0</v>
      </c>
      <c r="W238" s="43"/>
      <c r="X238" s="43"/>
      <c r="Y238" s="43"/>
      <c r="Z238" s="43"/>
    </row>
    <row r="239" spans="1:26">
      <c r="A239" s="88">
        <v>4857</v>
      </c>
      <c r="B239" s="378" t="s">
        <v>285</v>
      </c>
      <c r="C239" s="88"/>
      <c r="D239" s="1033"/>
      <c r="E239" s="1033"/>
      <c r="F239" s="1033"/>
      <c r="G239" s="1033"/>
      <c r="H239" s="1033"/>
      <c r="I239" s="1033"/>
      <c r="J239" s="1033"/>
      <c r="K239" s="1033"/>
      <c r="L239" s="574"/>
      <c r="M239" s="51"/>
      <c r="N239" s="113">
        <f t="shared" si="26"/>
        <v>4857</v>
      </c>
      <c r="O239" s="581"/>
      <c r="P239" s="582">
        <v>0</v>
      </c>
      <c r="Q239" s="589"/>
      <c r="R239" s="576"/>
      <c r="S239" s="583">
        <f>+IF(ABS(+O239+Q239)&gt;=ABS(P239+R239),+O239-P239+Q239-R239,0)</f>
        <v>0</v>
      </c>
      <c r="T239" s="584">
        <v>0</v>
      </c>
      <c r="U239" s="51"/>
      <c r="V239" s="2120">
        <f>+IF(OR(ROUND(P239,2)+ROUND(R239,2)&gt;+ROUND(O239,2)+ROUND(Q239,2),+ABS(ROUND(P239,2)+ROUND(R239,2))&gt;+ABS(ROUND(O239,2)+ROUND(Q239,2))),+(ROUND(P239,2)+ROUND(R239,2))-(ROUND(O239,2)+ROUND(Q239,2)),0)</f>
        <v>0</v>
      </c>
      <c r="W239" s="43"/>
      <c r="X239" s="43"/>
      <c r="Y239" s="43"/>
      <c r="Z239" s="43"/>
    </row>
    <row r="240" spans="1:26">
      <c r="A240" s="88">
        <v>4858</v>
      </c>
      <c r="B240" s="378" t="s">
        <v>286</v>
      </c>
      <c r="C240" s="88"/>
      <c r="D240" s="1033"/>
      <c r="E240" s="1033"/>
      <c r="F240" s="1033"/>
      <c r="G240" s="1033"/>
      <c r="H240" s="1033"/>
      <c r="I240" s="1033"/>
      <c r="J240" s="1033"/>
      <c r="K240" s="1033"/>
      <c r="L240" s="574"/>
      <c r="M240" s="51"/>
      <c r="N240" s="113">
        <f t="shared" si="26"/>
        <v>4858</v>
      </c>
      <c r="O240" s="581"/>
      <c r="P240" s="582">
        <v>0</v>
      </c>
      <c r="Q240" s="589"/>
      <c r="R240" s="576"/>
      <c r="S240" s="583">
        <f>+IF(ABS(+O240+Q240)&gt;=ABS(P240+R240),+O240-P240+Q240-R240,0)</f>
        <v>0</v>
      </c>
      <c r="T240" s="584">
        <v>0</v>
      </c>
      <c r="U240" s="51"/>
      <c r="V240" s="2120">
        <f>+IF(OR(ROUND(P240,2)+ROUND(R240,2)&gt;+ROUND(O240,2)+ROUND(Q240,2),+ABS(ROUND(P240,2)+ROUND(R240,2))&gt;+ABS(ROUND(O240,2)+ROUND(Q240,2))),+(ROUND(P240,2)+ROUND(R240,2))-(ROUND(O240,2)+ROUND(Q240,2)),0)</f>
        <v>0</v>
      </c>
      <c r="W240" s="43"/>
      <c r="X240" s="43"/>
      <c r="Y240" s="43"/>
      <c r="Z240" s="43"/>
    </row>
    <row r="241" spans="1:26">
      <c r="A241" s="88">
        <v>4861</v>
      </c>
      <c r="B241" s="378" t="s">
        <v>287</v>
      </c>
      <c r="C241" s="88"/>
      <c r="D241" s="1033"/>
      <c r="E241" s="1033"/>
      <c r="F241" s="1033"/>
      <c r="G241" s="1033"/>
      <c r="H241" s="1033"/>
      <c r="I241" s="1033"/>
      <c r="J241" s="1033"/>
      <c r="K241" s="1033"/>
      <c r="L241" s="574"/>
      <c r="M241" s="51"/>
      <c r="N241" s="113">
        <f t="shared" si="26"/>
        <v>4861</v>
      </c>
      <c r="O241" s="575">
        <v>0</v>
      </c>
      <c r="P241" s="576"/>
      <c r="Q241" s="589"/>
      <c r="R241" s="324"/>
      <c r="S241" s="579">
        <v>0</v>
      </c>
      <c r="T241" s="580">
        <f>+IF(ABS(+O241+Q241)&lt;=ABS(P241+R241),-O241+P241-Q241+R241,0)</f>
        <v>0</v>
      </c>
      <c r="U241" s="51"/>
      <c r="V241" s="2119">
        <f>+IF(OR(+ROUND(O241,2)+ROUND(Q241,2)&gt;ROUND(P241,2)+ROUND(R241,2),+ABS(ROUND(O241,2)+ROUND(Q241,2))&gt;+ABS(ROUND(P241,2)+ROUND(R241,2))),+(ROUND(O241,2)+ROUND(Q241,2))-(ROUND(P241,2)+ROUND(R241,2)),0)</f>
        <v>0</v>
      </c>
      <c r="W241" s="43"/>
      <c r="X241" s="43"/>
      <c r="Y241" s="43"/>
      <c r="Z241" s="43"/>
    </row>
    <row r="242" spans="1:26">
      <c r="A242" s="88">
        <v>4862</v>
      </c>
      <c r="B242" s="378" t="s">
        <v>288</v>
      </c>
      <c r="C242" s="88"/>
      <c r="D242" s="1033"/>
      <c r="E242" s="1033"/>
      <c r="F242" s="1033"/>
      <c r="G242" s="1033"/>
      <c r="H242" s="1033"/>
      <c r="I242" s="1033"/>
      <c r="J242" s="1033"/>
      <c r="K242" s="1033"/>
      <c r="L242" s="574"/>
      <c r="M242" s="51"/>
      <c r="N242" s="113">
        <f t="shared" si="26"/>
        <v>4862</v>
      </c>
      <c r="O242" s="575">
        <v>0</v>
      </c>
      <c r="P242" s="576"/>
      <c r="Q242" s="589"/>
      <c r="R242" s="324"/>
      <c r="S242" s="579">
        <v>0</v>
      </c>
      <c r="T242" s="580">
        <f>+IF(ABS(+O242+Q242)&lt;=ABS(P242+R242),-O242+P242-Q242+R242,0)</f>
        <v>0</v>
      </c>
      <c r="U242" s="51"/>
      <c r="V242" s="2119">
        <f>+IF(OR(+ROUND(O242,2)+ROUND(Q242,2)&gt;ROUND(P242,2)+ROUND(R242,2),+ABS(ROUND(O242,2)+ROUND(Q242,2))&gt;+ABS(ROUND(P242,2)+ROUND(R242,2))),+(ROUND(O242,2)+ROUND(Q242,2))-(ROUND(P242,2)+ROUND(R242,2)),0)</f>
        <v>0</v>
      </c>
      <c r="W242" s="43"/>
      <c r="X242" s="43"/>
      <c r="Y242" s="43"/>
      <c r="Z242" s="43"/>
    </row>
    <row r="243" spans="1:26">
      <c r="A243" s="88">
        <v>4863</v>
      </c>
      <c r="B243" s="378" t="s">
        <v>289</v>
      </c>
      <c r="C243" s="88"/>
      <c r="D243" s="1033"/>
      <c r="E243" s="1033"/>
      <c r="F243" s="1033"/>
      <c r="G243" s="1033"/>
      <c r="H243" s="1033"/>
      <c r="I243" s="1033"/>
      <c r="J243" s="1033"/>
      <c r="K243" s="1033"/>
      <c r="L243" s="574"/>
      <c r="M243" s="51"/>
      <c r="N243" s="113">
        <f t="shared" si="26"/>
        <v>4863</v>
      </c>
      <c r="O243" s="575">
        <v>0</v>
      </c>
      <c r="P243" s="576"/>
      <c r="Q243" s="589"/>
      <c r="R243" s="324"/>
      <c r="S243" s="579">
        <v>0</v>
      </c>
      <c r="T243" s="580">
        <f>+IF(ABS(+O243+Q243)&lt;=ABS(P243+R243),-O243+P243-Q243+R243,0)</f>
        <v>0</v>
      </c>
      <c r="U243" s="51"/>
      <c r="V243" s="2119">
        <f>+IF(OR(+ROUND(O243,2)+ROUND(Q243,2)&gt;ROUND(P243,2)+ROUND(R243,2),+ABS(ROUND(O243,2)+ROUND(Q243,2))&gt;+ABS(ROUND(P243,2)+ROUND(R243,2))),+(ROUND(O243,2)+ROUND(Q243,2))-(ROUND(P243,2)+ROUND(R243,2)),0)</f>
        <v>0</v>
      </c>
      <c r="W243" s="43"/>
      <c r="X243" s="43"/>
      <c r="Y243" s="43"/>
      <c r="Z243" s="43"/>
    </row>
    <row r="244" spans="1:26">
      <c r="A244" s="88">
        <v>4864</v>
      </c>
      <c r="B244" s="378" t="s">
        <v>290</v>
      </c>
      <c r="C244" s="88"/>
      <c r="D244" s="1033"/>
      <c r="E244" s="1033"/>
      <c r="F244" s="1033"/>
      <c r="G244" s="1033"/>
      <c r="H244" s="1033"/>
      <c r="I244" s="1033"/>
      <c r="J244" s="1033"/>
      <c r="K244" s="1033"/>
      <c r="L244" s="574"/>
      <c r="M244" s="51"/>
      <c r="N244" s="113">
        <f t="shared" si="26"/>
        <v>4864</v>
      </c>
      <c r="O244" s="575">
        <v>0</v>
      </c>
      <c r="P244" s="576"/>
      <c r="Q244" s="589"/>
      <c r="R244" s="324"/>
      <c r="S244" s="579">
        <v>0</v>
      </c>
      <c r="T244" s="580">
        <f>+IF(ABS(+O244+Q244)&lt;=ABS(P244+R244),-O244+P244-Q244+R244,0)</f>
        <v>0</v>
      </c>
      <c r="U244" s="51"/>
      <c r="V244" s="2119">
        <f>+IF(OR(+ROUND(O244,2)+ROUND(Q244,2)&gt;ROUND(P244,2)+ROUND(R244,2),+ABS(ROUND(O244,2)+ROUND(Q244,2))&gt;+ABS(ROUND(P244,2)+ROUND(R244,2))),+(ROUND(O244,2)+ROUND(Q244,2))-(ROUND(P244,2)+ROUND(R244,2)),0)</f>
        <v>0</v>
      </c>
      <c r="W244" s="43"/>
      <c r="X244" s="43"/>
      <c r="Y244" s="43"/>
      <c r="Z244" s="43"/>
    </row>
    <row r="245" spans="1:26">
      <c r="A245" s="88">
        <v>4865</v>
      </c>
      <c r="B245" s="378" t="s">
        <v>291</v>
      </c>
      <c r="C245" s="88"/>
      <c r="D245" s="1033"/>
      <c r="E245" s="1033"/>
      <c r="F245" s="1033"/>
      <c r="G245" s="1033"/>
      <c r="H245" s="1033"/>
      <c r="I245" s="1033"/>
      <c r="J245" s="1033"/>
      <c r="K245" s="1033"/>
      <c r="L245" s="574"/>
      <c r="M245" s="51"/>
      <c r="N245" s="113">
        <f t="shared" si="26"/>
        <v>4865</v>
      </c>
      <c r="O245" s="581"/>
      <c r="P245" s="582">
        <v>0</v>
      </c>
      <c r="Q245" s="589"/>
      <c r="R245" s="576"/>
      <c r="S245" s="583">
        <f t="shared" ref="S245:S250" si="27">+IF(ABS(+O245+Q245)&gt;=ABS(P245+R245),+O245-P245+Q245-R245,0)</f>
        <v>0</v>
      </c>
      <c r="T245" s="584">
        <v>0</v>
      </c>
      <c r="U245" s="51"/>
      <c r="V245" s="2120">
        <f t="shared" ref="V245:V250" si="28">+IF(OR(ROUND(P245,2)+ROUND(R245,2)&gt;+ROUND(O245,2)+ROUND(Q245,2),+ABS(ROUND(P245,2)+ROUND(R245,2))&gt;+ABS(ROUND(O245,2)+ROUND(Q245,2))),+(ROUND(P245,2)+ROUND(R245,2))-(ROUND(O245,2)+ROUND(Q245,2)),0)</f>
        <v>0</v>
      </c>
      <c r="W245" s="43"/>
      <c r="X245" s="43"/>
      <c r="Y245" s="43"/>
      <c r="Z245" s="43"/>
    </row>
    <row r="246" spans="1:26">
      <c r="A246" s="88">
        <v>4866</v>
      </c>
      <c r="B246" s="378" t="s">
        <v>292</v>
      </c>
      <c r="C246" s="88"/>
      <c r="D246" s="1033"/>
      <c r="E246" s="1033"/>
      <c r="F246" s="1033"/>
      <c r="G246" s="1033"/>
      <c r="H246" s="1033"/>
      <c r="I246" s="1033"/>
      <c r="J246" s="1033"/>
      <c r="K246" s="1033"/>
      <c r="L246" s="574"/>
      <c r="M246" s="51"/>
      <c r="N246" s="113">
        <f t="shared" si="26"/>
        <v>4866</v>
      </c>
      <c r="O246" s="581"/>
      <c r="P246" s="582">
        <v>0</v>
      </c>
      <c r="Q246" s="589"/>
      <c r="R246" s="576"/>
      <c r="S246" s="583">
        <f t="shared" si="27"/>
        <v>0</v>
      </c>
      <c r="T246" s="584">
        <v>0</v>
      </c>
      <c r="U246" s="51"/>
      <c r="V246" s="2120">
        <f t="shared" si="28"/>
        <v>0</v>
      </c>
      <c r="W246" s="43"/>
      <c r="X246" s="43"/>
      <c r="Y246" s="43"/>
      <c r="Z246" s="43"/>
    </row>
    <row r="247" spans="1:26">
      <c r="A247" s="88">
        <v>4867</v>
      </c>
      <c r="B247" s="378" t="s">
        <v>293</v>
      </c>
      <c r="C247" s="88"/>
      <c r="D247" s="1033"/>
      <c r="E247" s="1033"/>
      <c r="F247" s="1033"/>
      <c r="G247" s="1033"/>
      <c r="H247" s="1033"/>
      <c r="I247" s="1033"/>
      <c r="J247" s="1033"/>
      <c r="K247" s="1033"/>
      <c r="L247" s="574"/>
      <c r="M247" s="51"/>
      <c r="N247" s="113">
        <f t="shared" si="26"/>
        <v>4867</v>
      </c>
      <c r="O247" s="581"/>
      <c r="P247" s="582">
        <v>0</v>
      </c>
      <c r="Q247" s="589"/>
      <c r="R247" s="576"/>
      <c r="S247" s="583">
        <f t="shared" si="27"/>
        <v>0</v>
      </c>
      <c r="T247" s="584">
        <v>0</v>
      </c>
      <c r="U247" s="51"/>
      <c r="V247" s="2120">
        <f t="shared" si="28"/>
        <v>0</v>
      </c>
      <c r="W247" s="43"/>
      <c r="X247" s="43"/>
      <c r="Y247" s="43"/>
      <c r="Z247" s="43"/>
    </row>
    <row r="248" spans="1:26">
      <c r="A248" s="88">
        <v>4868</v>
      </c>
      <c r="B248" s="378" t="s">
        <v>294</v>
      </c>
      <c r="C248" s="88"/>
      <c r="D248" s="1033"/>
      <c r="E248" s="1033"/>
      <c r="F248" s="1033"/>
      <c r="G248" s="1033"/>
      <c r="H248" s="1033"/>
      <c r="I248" s="1033"/>
      <c r="J248" s="1033"/>
      <c r="K248" s="1033"/>
      <c r="L248" s="574"/>
      <c r="M248" s="51"/>
      <c r="N248" s="113">
        <f t="shared" si="26"/>
        <v>4868</v>
      </c>
      <c r="O248" s="581"/>
      <c r="P248" s="582">
        <v>0</v>
      </c>
      <c r="Q248" s="589"/>
      <c r="R248" s="576"/>
      <c r="S248" s="583">
        <f t="shared" si="27"/>
        <v>0</v>
      </c>
      <c r="T248" s="584">
        <v>0</v>
      </c>
      <c r="U248" s="51"/>
      <c r="V248" s="2120">
        <f t="shared" si="28"/>
        <v>0</v>
      </c>
      <c r="W248" s="43"/>
      <c r="X248" s="43"/>
      <c r="Y248" s="43"/>
      <c r="Z248" s="43"/>
    </row>
    <row r="249" spans="1:26">
      <c r="A249" s="88">
        <v>4871</v>
      </c>
      <c r="B249" s="378" t="s">
        <v>295</v>
      </c>
      <c r="C249" s="88"/>
      <c r="D249" s="1033"/>
      <c r="E249" s="1033"/>
      <c r="F249" s="1033"/>
      <c r="G249" s="1033"/>
      <c r="H249" s="1033"/>
      <c r="I249" s="1033"/>
      <c r="J249" s="1033"/>
      <c r="K249" s="1033"/>
      <c r="L249" s="574"/>
      <c r="M249" s="51"/>
      <c r="N249" s="113">
        <f t="shared" si="26"/>
        <v>4871</v>
      </c>
      <c r="O249" s="581"/>
      <c r="P249" s="582">
        <v>0</v>
      </c>
      <c r="Q249" s="589"/>
      <c r="R249" s="576"/>
      <c r="S249" s="583">
        <f t="shared" si="27"/>
        <v>0</v>
      </c>
      <c r="T249" s="584">
        <v>0</v>
      </c>
      <c r="U249" s="51"/>
      <c r="V249" s="2120">
        <f t="shared" si="28"/>
        <v>0</v>
      </c>
      <c r="W249" s="43"/>
      <c r="X249" s="43"/>
      <c r="Y249" s="43"/>
      <c r="Z249" s="43"/>
    </row>
    <row r="250" spans="1:26">
      <c r="A250" s="88">
        <v>4872</v>
      </c>
      <c r="B250" s="378" t="s">
        <v>296</v>
      </c>
      <c r="C250" s="88"/>
      <c r="D250" s="1033"/>
      <c r="E250" s="1033"/>
      <c r="F250" s="1033"/>
      <c r="G250" s="1033"/>
      <c r="H250" s="1033"/>
      <c r="I250" s="1033"/>
      <c r="J250" s="1033"/>
      <c r="K250" s="1033"/>
      <c r="L250" s="574"/>
      <c r="M250" s="51"/>
      <c r="N250" s="113">
        <f t="shared" si="26"/>
        <v>4872</v>
      </c>
      <c r="O250" s="581"/>
      <c r="P250" s="582">
        <v>0</v>
      </c>
      <c r="Q250" s="589"/>
      <c r="R250" s="576"/>
      <c r="S250" s="583">
        <f t="shared" si="27"/>
        <v>0</v>
      </c>
      <c r="T250" s="584">
        <v>0</v>
      </c>
      <c r="U250" s="51"/>
      <c r="V250" s="2120">
        <f t="shared" si="28"/>
        <v>0</v>
      </c>
      <c r="W250" s="43"/>
      <c r="X250" s="43"/>
      <c r="Y250" s="43"/>
      <c r="Z250" s="43"/>
    </row>
    <row r="251" spans="1:26">
      <c r="A251" s="88">
        <v>4877</v>
      </c>
      <c r="B251" s="378" t="s">
        <v>297</v>
      </c>
      <c r="C251" s="88"/>
      <c r="D251" s="1033"/>
      <c r="E251" s="1033"/>
      <c r="F251" s="1033"/>
      <c r="G251" s="1033"/>
      <c r="H251" s="1033"/>
      <c r="I251" s="1033"/>
      <c r="J251" s="1033"/>
      <c r="K251" s="1033"/>
      <c r="L251" s="574"/>
      <c r="M251" s="51"/>
      <c r="N251" s="113">
        <f t="shared" si="26"/>
        <v>4877</v>
      </c>
      <c r="O251" s="575">
        <v>0</v>
      </c>
      <c r="P251" s="576"/>
      <c r="Q251" s="589"/>
      <c r="R251" s="324"/>
      <c r="S251" s="579">
        <v>0</v>
      </c>
      <c r="T251" s="580">
        <f>+IF(ABS(+O251+Q251)&lt;=ABS(P251+R251),-O251+P251-Q251+R251,0)</f>
        <v>0</v>
      </c>
      <c r="U251" s="51"/>
      <c r="V251" s="2119">
        <f>+IF(OR(+ROUND(O251,2)+ROUND(Q251,2)&gt;ROUND(P251,2)+ROUND(R251,2),+ABS(ROUND(O251,2)+ROUND(Q251,2))&gt;+ABS(ROUND(P251,2)+ROUND(R251,2))),+(ROUND(O251,2)+ROUND(Q251,2))-(ROUND(P251,2)+ROUND(R251,2)),0)</f>
        <v>0</v>
      </c>
      <c r="W251" s="43"/>
      <c r="X251" s="43"/>
      <c r="Y251" s="43"/>
      <c r="Z251" s="43"/>
    </row>
    <row r="252" spans="1:26">
      <c r="A252" s="88">
        <v>4878</v>
      </c>
      <c r="B252" s="378" t="s">
        <v>298</v>
      </c>
      <c r="C252" s="88"/>
      <c r="D252" s="1033"/>
      <c r="E252" s="1033"/>
      <c r="F252" s="1033"/>
      <c r="G252" s="1033"/>
      <c r="H252" s="1033"/>
      <c r="I252" s="1033"/>
      <c r="J252" s="1033"/>
      <c r="K252" s="1033"/>
      <c r="L252" s="574"/>
      <c r="M252" s="51"/>
      <c r="N252" s="113">
        <f t="shared" si="26"/>
        <v>4878</v>
      </c>
      <c r="O252" s="575">
        <v>0</v>
      </c>
      <c r="P252" s="576"/>
      <c r="Q252" s="589"/>
      <c r="R252" s="324"/>
      <c r="S252" s="579">
        <v>0</v>
      </c>
      <c r="T252" s="580">
        <f>+IF(ABS(+O252+Q252)&lt;=ABS(P252+R252),-O252+P252-Q252+R252,0)</f>
        <v>0</v>
      </c>
      <c r="U252" s="51"/>
      <c r="V252" s="2119">
        <f>+IF(OR(+ROUND(O252,2)+ROUND(Q252,2)&gt;ROUND(P252,2)+ROUND(R252,2),+ABS(ROUND(O252,2)+ROUND(Q252,2))&gt;+ABS(ROUND(P252,2)+ROUND(R252,2))),+(ROUND(O252,2)+ROUND(Q252,2))-(ROUND(P252,2)+ROUND(R252,2)),0)</f>
        <v>0</v>
      </c>
      <c r="W252" s="43"/>
      <c r="X252" s="43"/>
      <c r="Y252" s="43"/>
      <c r="Z252" s="43"/>
    </row>
    <row r="253" spans="1:26">
      <c r="A253" s="88">
        <v>4885</v>
      </c>
      <c r="B253" s="378" t="s">
        <v>299</v>
      </c>
      <c r="C253" s="88"/>
      <c r="D253" s="1033"/>
      <c r="E253" s="1033"/>
      <c r="F253" s="1033"/>
      <c r="G253" s="1033"/>
      <c r="H253" s="1033"/>
      <c r="I253" s="1033"/>
      <c r="J253" s="1033"/>
      <c r="K253" s="1033"/>
      <c r="L253" s="574"/>
      <c r="M253" s="51"/>
      <c r="N253" s="113">
        <f t="shared" si="26"/>
        <v>4885</v>
      </c>
      <c r="O253" s="581"/>
      <c r="P253" s="582">
        <v>0</v>
      </c>
      <c r="Q253" s="589"/>
      <c r="R253" s="576"/>
      <c r="S253" s="583">
        <f>+IF(ABS(+O253+Q253)&gt;=ABS(P253+R253),+O253-P253+Q253-R253,0)</f>
        <v>0</v>
      </c>
      <c r="T253" s="584">
        <v>0</v>
      </c>
      <c r="U253" s="51"/>
      <c r="V253" s="2120">
        <f>+IF(OR(ROUND(P253,2)+ROUND(R253,2)&gt;+ROUND(O253,2)+ROUND(Q253,2),+ABS(ROUND(P253,2)+ROUND(R253,2))&gt;+ABS(ROUND(O253,2)+ROUND(Q253,2))),+(ROUND(P253,2)+ROUND(R253,2))-(ROUND(O253,2)+ROUND(Q253,2)),0)</f>
        <v>0</v>
      </c>
      <c r="W253" s="43"/>
      <c r="X253" s="43"/>
      <c r="Y253" s="43"/>
      <c r="Z253" s="43"/>
    </row>
    <row r="254" spans="1:26">
      <c r="A254" s="88">
        <v>4886</v>
      </c>
      <c r="B254" s="378" t="s">
        <v>300</v>
      </c>
      <c r="C254" s="88"/>
      <c r="D254" s="1033"/>
      <c r="E254" s="1033"/>
      <c r="F254" s="1033"/>
      <c r="G254" s="1033"/>
      <c r="H254" s="1033"/>
      <c r="I254" s="1033"/>
      <c r="J254" s="1033"/>
      <c r="K254" s="1033"/>
      <c r="L254" s="574"/>
      <c r="M254" s="51"/>
      <c r="N254" s="113">
        <f t="shared" si="26"/>
        <v>4886</v>
      </c>
      <c r="O254" s="581"/>
      <c r="P254" s="582">
        <v>0</v>
      </c>
      <c r="Q254" s="589"/>
      <c r="R254" s="576"/>
      <c r="S254" s="583">
        <f>+IF(ABS(+O254+Q254)&gt;=ABS(P254+R254),+O254-P254+Q254-R254,0)</f>
        <v>0</v>
      </c>
      <c r="T254" s="584">
        <v>0</v>
      </c>
      <c r="U254" s="51"/>
      <c r="V254" s="2120">
        <f>+IF(OR(ROUND(P254,2)+ROUND(R254,2)&gt;+ROUND(O254,2)+ROUND(Q254,2),+ABS(ROUND(P254,2)+ROUND(R254,2))&gt;+ABS(ROUND(O254,2)+ROUND(Q254,2))),+(ROUND(P254,2)+ROUND(R254,2))-(ROUND(O254,2)+ROUND(Q254,2)),0)</f>
        <v>0</v>
      </c>
      <c r="W254" s="43"/>
      <c r="X254" s="43"/>
      <c r="Y254" s="43"/>
      <c r="Z254" s="43"/>
    </row>
    <row r="255" spans="1:26">
      <c r="A255" s="88">
        <v>4887</v>
      </c>
      <c r="B255" s="378" t="s">
        <v>301</v>
      </c>
      <c r="C255" s="88"/>
      <c r="D255" s="1033"/>
      <c r="E255" s="1033"/>
      <c r="F255" s="1033"/>
      <c r="G255" s="1033"/>
      <c r="H255" s="1033"/>
      <c r="I255" s="1033"/>
      <c r="J255" s="1033"/>
      <c r="K255" s="1033"/>
      <c r="L255" s="574"/>
      <c r="M255" s="51"/>
      <c r="N255" s="113">
        <f t="shared" si="26"/>
        <v>4887</v>
      </c>
      <c r="O255" s="593">
        <v>0</v>
      </c>
      <c r="P255" s="582">
        <v>0</v>
      </c>
      <c r="Q255" s="589">
        <v>0</v>
      </c>
      <c r="R255" s="576">
        <v>0</v>
      </c>
      <c r="S255" s="583">
        <f>+IF(ABS(+O255+Q255)&gt;=ABS(P255+R255),+O255-P255+Q255-R255,0)</f>
        <v>0</v>
      </c>
      <c r="T255" s="584">
        <v>0</v>
      </c>
      <c r="U255" s="51"/>
      <c r="V255" s="2120">
        <f>+IF(OR(ROUND(P255,2)+ROUND(R255,2)&gt;+ROUND(O255,2)+ROUND(Q255,2),+ABS(ROUND(P255,2)+ROUND(R255,2))&gt;+ABS(ROUND(O255,2)+ROUND(Q255,2))),+(ROUND(P255,2)+ROUND(R255,2))-(ROUND(O255,2)+ROUND(Q255,2)),0)</f>
        <v>0</v>
      </c>
      <c r="W255" s="43"/>
      <c r="X255" s="43"/>
      <c r="Y255" s="43"/>
      <c r="Z255" s="43"/>
    </row>
    <row r="256" spans="1:26">
      <c r="A256" s="88">
        <v>4888</v>
      </c>
      <c r="B256" s="378" t="s">
        <v>926</v>
      </c>
      <c r="C256" s="88"/>
      <c r="D256" s="1033"/>
      <c r="E256" s="1033"/>
      <c r="F256" s="1033"/>
      <c r="G256" s="1033"/>
      <c r="H256" s="1033"/>
      <c r="I256" s="1033"/>
      <c r="J256" s="1033"/>
      <c r="K256" s="1033"/>
      <c r="L256" s="574"/>
      <c r="M256" s="51"/>
      <c r="N256" s="113">
        <f t="shared" si="26"/>
        <v>4888</v>
      </c>
      <c r="O256" s="593"/>
      <c r="P256" s="582">
        <v>0</v>
      </c>
      <c r="Q256" s="589"/>
      <c r="R256" s="576"/>
      <c r="S256" s="583">
        <f>+IF(ABS(+O256+Q256)&gt;=ABS(P256+R256),+O256-P256+Q256-R256,0)</f>
        <v>0</v>
      </c>
      <c r="T256" s="584">
        <v>0</v>
      </c>
      <c r="U256" s="51"/>
      <c r="V256" s="2120">
        <f>+IF(OR(ROUND(P256,2)+ROUND(R256,2)&gt;+ROUND(O256,2)+ROUND(Q256,2),+ABS(ROUND(P256,2)+ROUND(R256,2))&gt;+ABS(ROUND(O256,2)+ROUND(Q256,2))),+(ROUND(P256,2)+ROUND(R256,2))-(ROUND(O256,2)+ROUND(Q256,2)),0)</f>
        <v>0</v>
      </c>
      <c r="W256" s="43"/>
      <c r="X256" s="43"/>
      <c r="Y256" s="43"/>
      <c r="Z256" s="43"/>
    </row>
    <row r="257" spans="1:26">
      <c r="A257" s="88">
        <v>4895</v>
      </c>
      <c r="B257" s="378" t="s">
        <v>927</v>
      </c>
      <c r="C257" s="88"/>
      <c r="D257" s="1033"/>
      <c r="E257" s="1033"/>
      <c r="F257" s="1033"/>
      <c r="G257" s="1033"/>
      <c r="H257" s="1033"/>
      <c r="I257" s="1033"/>
      <c r="J257" s="1033"/>
      <c r="K257" s="1033"/>
      <c r="L257" s="574"/>
      <c r="M257" s="51"/>
      <c r="N257" s="113">
        <f t="shared" si="26"/>
        <v>4895</v>
      </c>
      <c r="O257" s="575">
        <v>0</v>
      </c>
      <c r="P257" s="576"/>
      <c r="Q257" s="589"/>
      <c r="R257" s="324"/>
      <c r="S257" s="579">
        <v>0</v>
      </c>
      <c r="T257" s="580">
        <f t="shared" ref="T257:T282" si="29">+IF(ABS(+O257+Q257)&lt;=ABS(P257+R257),-O257+P257-Q257+R257,0)</f>
        <v>0</v>
      </c>
      <c r="U257" s="51"/>
      <c r="V257" s="2119">
        <f t="shared" ref="V257:V270" si="30">+IF(OR(+ROUND(O257,2)+ROUND(Q257,2)&gt;ROUND(P257,2)+ROUND(R257,2),+ABS(ROUND(O257,2)+ROUND(Q257,2))&gt;+ABS(ROUND(P257,2)+ROUND(R257,2))),+(ROUND(O257,2)+ROUND(Q257,2))-(ROUND(P257,2)+ROUND(R257,2)),0)</f>
        <v>0</v>
      </c>
      <c r="W257" s="43"/>
      <c r="X257" s="43"/>
      <c r="Y257" s="43"/>
      <c r="Z257" s="43"/>
    </row>
    <row r="258" spans="1:26">
      <c r="A258" s="88">
        <v>4896</v>
      </c>
      <c r="B258" s="378" t="s">
        <v>928</v>
      </c>
      <c r="C258" s="88"/>
      <c r="D258" s="1033"/>
      <c r="E258" s="1033"/>
      <c r="F258" s="1033"/>
      <c r="G258" s="1033"/>
      <c r="H258" s="1033"/>
      <c r="I258" s="1033"/>
      <c r="J258" s="1033"/>
      <c r="K258" s="1033"/>
      <c r="L258" s="574"/>
      <c r="M258" s="51"/>
      <c r="N258" s="113">
        <f t="shared" si="26"/>
        <v>4896</v>
      </c>
      <c r="O258" s="575">
        <v>0</v>
      </c>
      <c r="P258" s="576"/>
      <c r="Q258" s="589"/>
      <c r="R258" s="324"/>
      <c r="S258" s="579">
        <v>0</v>
      </c>
      <c r="T258" s="580">
        <f t="shared" si="29"/>
        <v>0</v>
      </c>
      <c r="U258" s="51"/>
      <c r="V258" s="2119">
        <f t="shared" si="30"/>
        <v>0</v>
      </c>
      <c r="W258" s="43"/>
      <c r="X258" s="43"/>
      <c r="Y258" s="43"/>
      <c r="Z258" s="43"/>
    </row>
    <row r="259" spans="1:26">
      <c r="A259" s="88">
        <v>4897</v>
      </c>
      <c r="B259" s="378" t="s">
        <v>929</v>
      </c>
      <c r="C259" s="88"/>
      <c r="D259" s="1033"/>
      <c r="E259" s="1033"/>
      <c r="F259" s="1033"/>
      <c r="G259" s="1033"/>
      <c r="H259" s="1033"/>
      <c r="I259" s="1033"/>
      <c r="J259" s="1033"/>
      <c r="K259" s="1033"/>
      <c r="L259" s="574"/>
      <c r="M259" s="51"/>
      <c r="N259" s="113">
        <f t="shared" si="26"/>
        <v>4897</v>
      </c>
      <c r="O259" s="575">
        <v>0</v>
      </c>
      <c r="P259" s="594">
        <v>0</v>
      </c>
      <c r="Q259" s="589">
        <v>0</v>
      </c>
      <c r="R259" s="324">
        <v>0</v>
      </c>
      <c r="S259" s="579">
        <v>0</v>
      </c>
      <c r="T259" s="580">
        <f t="shared" si="29"/>
        <v>0</v>
      </c>
      <c r="U259" s="51"/>
      <c r="V259" s="2119">
        <f t="shared" si="30"/>
        <v>0</v>
      </c>
      <c r="W259" s="43"/>
      <c r="X259" s="43"/>
      <c r="Y259" s="43"/>
      <c r="Z259" s="43"/>
    </row>
    <row r="260" spans="1:26">
      <c r="A260" s="88">
        <v>4898</v>
      </c>
      <c r="B260" s="378" t="s">
        <v>930</v>
      </c>
      <c r="C260" s="88"/>
      <c r="D260" s="1033"/>
      <c r="E260" s="1033"/>
      <c r="F260" s="1033"/>
      <c r="G260" s="1033"/>
      <c r="H260" s="1033"/>
      <c r="I260" s="1033"/>
      <c r="J260" s="1033"/>
      <c r="K260" s="1033"/>
      <c r="L260" s="574"/>
      <c r="M260" s="51"/>
      <c r="N260" s="113">
        <f t="shared" si="26"/>
        <v>4898</v>
      </c>
      <c r="O260" s="575">
        <v>0</v>
      </c>
      <c r="P260" s="594"/>
      <c r="Q260" s="589"/>
      <c r="R260" s="324"/>
      <c r="S260" s="579">
        <v>0</v>
      </c>
      <c r="T260" s="580">
        <f t="shared" si="29"/>
        <v>0</v>
      </c>
      <c r="U260" s="51"/>
      <c r="V260" s="2119">
        <f t="shared" si="30"/>
        <v>0</v>
      </c>
      <c r="W260" s="43"/>
      <c r="X260" s="43"/>
      <c r="Y260" s="43"/>
      <c r="Z260" s="43"/>
    </row>
    <row r="261" spans="1:26">
      <c r="A261" s="88">
        <v>4911</v>
      </c>
      <c r="B261" s="378" t="s">
        <v>931</v>
      </c>
      <c r="C261" s="88"/>
      <c r="D261" s="1044"/>
      <c r="E261" s="1044"/>
      <c r="F261" s="1044"/>
      <c r="G261" s="1044"/>
      <c r="H261" s="1044"/>
      <c r="I261" s="1044"/>
      <c r="J261" s="1044"/>
      <c r="K261" s="1044"/>
      <c r="L261" s="592"/>
      <c r="M261" s="51"/>
      <c r="N261" s="113">
        <f t="shared" si="26"/>
        <v>4911</v>
      </c>
      <c r="O261" s="575">
        <v>0</v>
      </c>
      <c r="P261" s="576"/>
      <c r="Q261" s="589"/>
      <c r="R261" s="324"/>
      <c r="S261" s="579">
        <v>0</v>
      </c>
      <c r="T261" s="580">
        <f t="shared" si="29"/>
        <v>0</v>
      </c>
      <c r="U261" s="52"/>
      <c r="V261" s="2119">
        <f t="shared" si="30"/>
        <v>0</v>
      </c>
      <c r="W261" s="43"/>
      <c r="X261" s="43"/>
      <c r="Y261" s="43"/>
      <c r="Z261" s="43"/>
    </row>
    <row r="262" spans="1:26">
      <c r="A262" s="88">
        <v>4915</v>
      </c>
      <c r="B262" s="378" t="s">
        <v>932</v>
      </c>
      <c r="C262" s="88"/>
      <c r="D262" s="1033"/>
      <c r="E262" s="1033"/>
      <c r="F262" s="1033"/>
      <c r="G262" s="1033"/>
      <c r="H262" s="1033"/>
      <c r="I262" s="1033"/>
      <c r="J262" s="1033"/>
      <c r="K262" s="1033"/>
      <c r="L262" s="574"/>
      <c r="M262" s="51"/>
      <c r="N262" s="113">
        <f t="shared" si="26"/>
        <v>4915</v>
      </c>
      <c r="O262" s="575">
        <v>0</v>
      </c>
      <c r="P262" s="576"/>
      <c r="Q262" s="589"/>
      <c r="R262" s="324"/>
      <c r="S262" s="579">
        <v>0</v>
      </c>
      <c r="T262" s="580">
        <f t="shared" si="29"/>
        <v>0</v>
      </c>
      <c r="U262" s="51"/>
      <c r="V262" s="2119">
        <f t="shared" si="30"/>
        <v>0</v>
      </c>
      <c r="W262" s="43"/>
      <c r="X262" s="43"/>
      <c r="Y262" s="43"/>
      <c r="Z262" s="43"/>
    </row>
    <row r="263" spans="1:26">
      <c r="A263" s="88">
        <v>4916</v>
      </c>
      <c r="B263" s="378" t="s">
        <v>933</v>
      </c>
      <c r="C263" s="88"/>
      <c r="D263" s="1033"/>
      <c r="E263" s="1033"/>
      <c r="F263" s="1033"/>
      <c r="G263" s="1033"/>
      <c r="H263" s="1033"/>
      <c r="I263" s="1033"/>
      <c r="J263" s="1033"/>
      <c r="K263" s="1033"/>
      <c r="L263" s="574"/>
      <c r="M263" s="51"/>
      <c r="N263" s="113">
        <f t="shared" si="26"/>
        <v>4916</v>
      </c>
      <c r="O263" s="575">
        <v>0</v>
      </c>
      <c r="P263" s="576"/>
      <c r="Q263" s="589"/>
      <c r="R263" s="324"/>
      <c r="S263" s="579">
        <v>0</v>
      </c>
      <c r="T263" s="580">
        <f t="shared" si="29"/>
        <v>0</v>
      </c>
      <c r="U263" s="51"/>
      <c r="V263" s="2119">
        <f t="shared" si="30"/>
        <v>0</v>
      </c>
      <c r="W263" s="43"/>
      <c r="X263" s="43"/>
      <c r="Y263" s="43"/>
      <c r="Z263" s="43"/>
    </row>
    <row r="264" spans="1:26">
      <c r="A264" s="88">
        <v>4917</v>
      </c>
      <c r="B264" s="378" t="s">
        <v>934</v>
      </c>
      <c r="C264" s="88"/>
      <c r="D264" s="1033"/>
      <c r="E264" s="1033"/>
      <c r="F264" s="1033"/>
      <c r="G264" s="1033"/>
      <c r="H264" s="1033"/>
      <c r="I264" s="1033"/>
      <c r="J264" s="1033"/>
      <c r="K264" s="1033"/>
      <c r="L264" s="574"/>
      <c r="M264" s="51"/>
      <c r="N264" s="113">
        <f t="shared" si="26"/>
        <v>4917</v>
      </c>
      <c r="O264" s="575">
        <v>0</v>
      </c>
      <c r="P264" s="576">
        <v>0</v>
      </c>
      <c r="Q264" s="589">
        <v>0</v>
      </c>
      <c r="R264" s="324">
        <v>0</v>
      </c>
      <c r="S264" s="579">
        <v>0</v>
      </c>
      <c r="T264" s="580">
        <f t="shared" si="29"/>
        <v>0</v>
      </c>
      <c r="U264" s="51"/>
      <c r="V264" s="2119">
        <f t="shared" si="30"/>
        <v>0</v>
      </c>
      <c r="W264" s="43"/>
      <c r="X264" s="43"/>
      <c r="Y264" s="43"/>
      <c r="Z264" s="43"/>
    </row>
    <row r="265" spans="1:26">
      <c r="A265" s="88">
        <v>4918</v>
      </c>
      <c r="B265" s="378" t="s">
        <v>935</v>
      </c>
      <c r="C265" s="88"/>
      <c r="D265" s="1033"/>
      <c r="E265" s="1033"/>
      <c r="F265" s="1033"/>
      <c r="G265" s="1033"/>
      <c r="H265" s="1033"/>
      <c r="I265" s="1033"/>
      <c r="J265" s="1033"/>
      <c r="K265" s="1033"/>
      <c r="L265" s="574"/>
      <c r="M265" s="51"/>
      <c r="N265" s="113">
        <f t="shared" si="26"/>
        <v>4918</v>
      </c>
      <c r="O265" s="575">
        <v>0</v>
      </c>
      <c r="P265" s="576"/>
      <c r="Q265" s="589"/>
      <c r="R265" s="324"/>
      <c r="S265" s="579">
        <v>0</v>
      </c>
      <c r="T265" s="580">
        <f t="shared" si="29"/>
        <v>0</v>
      </c>
      <c r="U265" s="51"/>
      <c r="V265" s="2119">
        <f t="shared" si="30"/>
        <v>0</v>
      </c>
      <c r="W265" s="43"/>
      <c r="X265" s="43"/>
      <c r="Y265" s="43"/>
      <c r="Z265" s="43"/>
    </row>
    <row r="266" spans="1:26">
      <c r="A266" s="88">
        <v>4940</v>
      </c>
      <c r="B266" s="378" t="s">
        <v>44</v>
      </c>
      <c r="C266" s="88"/>
      <c r="D266" s="1033"/>
      <c r="E266" s="1033"/>
      <c r="F266" s="1033"/>
      <c r="G266" s="1033"/>
      <c r="H266" s="1033"/>
      <c r="I266" s="1033"/>
      <c r="J266" s="1033"/>
      <c r="K266" s="1033"/>
      <c r="L266" s="574"/>
      <c r="M266" s="51"/>
      <c r="N266" s="113">
        <f t="shared" si="26"/>
        <v>4940</v>
      </c>
      <c r="O266" s="575">
        <v>0</v>
      </c>
      <c r="P266" s="576"/>
      <c r="Q266" s="589"/>
      <c r="R266" s="324"/>
      <c r="S266" s="579">
        <v>0</v>
      </c>
      <c r="T266" s="580">
        <f t="shared" si="29"/>
        <v>0</v>
      </c>
      <c r="U266" s="51"/>
      <c r="V266" s="2119">
        <f t="shared" si="30"/>
        <v>0</v>
      </c>
      <c r="W266" s="43"/>
      <c r="X266" s="43"/>
      <c r="Y266" s="43"/>
      <c r="Z266" s="43"/>
    </row>
    <row r="267" spans="1:26">
      <c r="A267" s="88">
        <v>4951</v>
      </c>
      <c r="B267" s="378" t="s">
        <v>238</v>
      </c>
      <c r="C267" s="88"/>
      <c r="D267" s="1033"/>
      <c r="E267" s="1033"/>
      <c r="F267" s="1033"/>
      <c r="G267" s="1033"/>
      <c r="H267" s="1033"/>
      <c r="I267" s="1033"/>
      <c r="J267" s="1033"/>
      <c r="K267" s="1033"/>
      <c r="L267" s="574"/>
      <c r="M267" s="51"/>
      <c r="N267" s="113">
        <f t="shared" si="26"/>
        <v>4951</v>
      </c>
      <c r="O267" s="575">
        <v>0</v>
      </c>
      <c r="P267" s="576"/>
      <c r="Q267" s="589"/>
      <c r="R267" s="324"/>
      <c r="S267" s="579">
        <v>0</v>
      </c>
      <c r="T267" s="580">
        <f t="shared" si="29"/>
        <v>0</v>
      </c>
      <c r="U267" s="51"/>
      <c r="V267" s="2119">
        <f t="shared" si="30"/>
        <v>0</v>
      </c>
      <c r="W267" s="43"/>
      <c r="X267" s="43"/>
      <c r="Y267" s="43"/>
      <c r="Z267" s="43"/>
    </row>
    <row r="268" spans="1:26">
      <c r="A268" s="88">
        <v>4955</v>
      </c>
      <c r="B268" s="378" t="s">
        <v>239</v>
      </c>
      <c r="C268" s="88"/>
      <c r="D268" s="1033"/>
      <c r="E268" s="1033"/>
      <c r="F268" s="1033"/>
      <c r="G268" s="1033"/>
      <c r="H268" s="1033"/>
      <c r="I268" s="1033"/>
      <c r="J268" s="1033"/>
      <c r="K268" s="1033"/>
      <c r="L268" s="574"/>
      <c r="M268" s="51"/>
      <c r="N268" s="113">
        <f t="shared" si="26"/>
        <v>4955</v>
      </c>
      <c r="O268" s="575">
        <v>0</v>
      </c>
      <c r="P268" s="576"/>
      <c r="Q268" s="589"/>
      <c r="R268" s="324"/>
      <c r="S268" s="579">
        <v>0</v>
      </c>
      <c r="T268" s="580">
        <f t="shared" si="29"/>
        <v>0</v>
      </c>
      <c r="U268" s="51"/>
      <c r="V268" s="2119">
        <f t="shared" si="30"/>
        <v>0</v>
      </c>
      <c r="W268" s="43"/>
      <c r="X268" s="43"/>
      <c r="Y268" s="43"/>
      <c r="Z268" s="43"/>
    </row>
    <row r="269" spans="1:26">
      <c r="A269" s="88">
        <v>4956</v>
      </c>
      <c r="B269" s="378" t="s">
        <v>240</v>
      </c>
      <c r="C269" s="88"/>
      <c r="D269" s="1033"/>
      <c r="E269" s="1033"/>
      <c r="F269" s="1033"/>
      <c r="G269" s="1033"/>
      <c r="H269" s="1033"/>
      <c r="I269" s="1033"/>
      <c r="J269" s="1033"/>
      <c r="K269" s="1033"/>
      <c r="L269" s="574"/>
      <c r="M269" s="51"/>
      <c r="N269" s="113">
        <f t="shared" si="26"/>
        <v>4956</v>
      </c>
      <c r="O269" s="575">
        <v>0</v>
      </c>
      <c r="P269" s="576"/>
      <c r="Q269" s="589"/>
      <c r="R269" s="324"/>
      <c r="S269" s="579">
        <v>0</v>
      </c>
      <c r="T269" s="580">
        <f t="shared" si="29"/>
        <v>0</v>
      </c>
      <c r="U269" s="51"/>
      <c r="V269" s="2119">
        <f t="shared" si="30"/>
        <v>0</v>
      </c>
      <c r="W269" s="43"/>
      <c r="X269" s="43"/>
      <c r="Y269" s="43"/>
      <c r="Z269" s="43"/>
    </row>
    <row r="270" spans="1:26">
      <c r="A270" s="88">
        <v>4957</v>
      </c>
      <c r="B270" s="378" t="s">
        <v>237</v>
      </c>
      <c r="C270" s="88"/>
      <c r="D270" s="1033"/>
      <c r="E270" s="1033"/>
      <c r="F270" s="1033"/>
      <c r="G270" s="1033"/>
      <c r="H270" s="1033"/>
      <c r="I270" s="1033"/>
      <c r="J270" s="1033"/>
      <c r="K270" s="1033"/>
      <c r="L270" s="574"/>
      <c r="M270" s="51"/>
      <c r="N270" s="113">
        <f t="shared" si="26"/>
        <v>4957</v>
      </c>
      <c r="O270" s="575">
        <v>0</v>
      </c>
      <c r="P270" s="576"/>
      <c r="Q270" s="589"/>
      <c r="R270" s="324"/>
      <c r="S270" s="579">
        <v>0</v>
      </c>
      <c r="T270" s="580">
        <f t="shared" si="29"/>
        <v>0</v>
      </c>
      <c r="U270" s="51"/>
      <c r="V270" s="2119">
        <f t="shared" si="30"/>
        <v>0</v>
      </c>
      <c r="W270" s="43"/>
      <c r="X270" s="43"/>
      <c r="Y270" s="43"/>
      <c r="Z270" s="43"/>
    </row>
    <row r="271" spans="1:26" ht="15.75" customHeight="1">
      <c r="A271" s="88">
        <v>4960</v>
      </c>
      <c r="B271" s="378" t="s">
        <v>241</v>
      </c>
      <c r="C271" s="88"/>
      <c r="D271" s="1038"/>
      <c r="E271" s="1038"/>
      <c r="F271" s="1038"/>
      <c r="G271" s="1038"/>
      <c r="H271" s="1038"/>
      <c r="I271" s="1038"/>
      <c r="J271" s="1038"/>
      <c r="K271" s="1038"/>
      <c r="L271" s="590"/>
      <c r="M271" s="51"/>
      <c r="N271" s="113">
        <f t="shared" si="26"/>
        <v>4960</v>
      </c>
      <c r="O271" s="581"/>
      <c r="P271" s="576"/>
      <c r="Q271" s="589"/>
      <c r="R271" s="576"/>
      <c r="S271" s="583">
        <f t="shared" ref="S271:S283" si="31">+IF(ABS(+O271+Q271)&gt;=ABS(P271+R271),+O271-P271+Q271-R271,0)</f>
        <v>0</v>
      </c>
      <c r="T271" s="580">
        <f t="shared" si="29"/>
        <v>0</v>
      </c>
      <c r="U271" s="51"/>
      <c r="V271" s="2119"/>
      <c r="W271" s="43"/>
      <c r="X271" s="43"/>
      <c r="Y271" s="43"/>
      <c r="Z271" s="43"/>
    </row>
    <row r="272" spans="1:26">
      <c r="A272" s="88">
        <v>4961</v>
      </c>
      <c r="B272" s="378" t="s">
        <v>242</v>
      </c>
      <c r="C272" s="88"/>
      <c r="D272" s="1033"/>
      <c r="E272" s="1033"/>
      <c r="F272" s="1033"/>
      <c r="G272" s="1033"/>
      <c r="H272" s="1033"/>
      <c r="I272" s="1033"/>
      <c r="J272" s="1033"/>
      <c r="K272" s="1033"/>
      <c r="L272" s="574"/>
      <c r="M272" s="51"/>
      <c r="N272" s="113">
        <f t="shared" si="26"/>
        <v>4961</v>
      </c>
      <c r="O272" s="581">
        <v>0</v>
      </c>
      <c r="P272" s="576">
        <v>0</v>
      </c>
      <c r="Q272" s="589">
        <v>0</v>
      </c>
      <c r="R272" s="576">
        <v>0</v>
      </c>
      <c r="S272" s="583">
        <f t="shared" si="31"/>
        <v>0</v>
      </c>
      <c r="T272" s="580">
        <f t="shared" si="29"/>
        <v>0</v>
      </c>
      <c r="U272" s="51"/>
      <c r="V272" s="2119"/>
      <c r="W272" s="43"/>
      <c r="X272" s="43"/>
      <c r="Y272" s="43"/>
      <c r="Z272" s="43"/>
    </row>
    <row r="273" spans="1:26">
      <c r="A273" s="88">
        <v>4962</v>
      </c>
      <c r="B273" s="378" t="s">
        <v>243</v>
      </c>
      <c r="C273" s="88"/>
      <c r="D273" s="1033"/>
      <c r="E273" s="1033"/>
      <c r="F273" s="1033"/>
      <c r="G273" s="1033"/>
      <c r="H273" s="1033"/>
      <c r="I273" s="1033"/>
      <c r="J273" s="1033"/>
      <c r="K273" s="1033"/>
      <c r="L273" s="574"/>
      <c r="M273" s="51"/>
      <c r="N273" s="113">
        <f t="shared" si="26"/>
        <v>4962</v>
      </c>
      <c r="O273" s="581"/>
      <c r="P273" s="576"/>
      <c r="Q273" s="589"/>
      <c r="R273" s="576"/>
      <c r="S273" s="583">
        <f t="shared" si="31"/>
        <v>0</v>
      </c>
      <c r="T273" s="580">
        <f t="shared" si="29"/>
        <v>0</v>
      </c>
      <c r="U273" s="51"/>
      <c r="V273" s="2119"/>
      <c r="W273" s="43"/>
      <c r="X273" s="43"/>
      <c r="Y273" s="43"/>
      <c r="Z273" s="43"/>
    </row>
    <row r="274" spans="1:26" ht="15.75" customHeight="1">
      <c r="A274" s="88">
        <v>4970</v>
      </c>
      <c r="B274" s="378" t="s">
        <v>244</v>
      </c>
      <c r="C274" s="88"/>
      <c r="D274" s="1038"/>
      <c r="E274" s="1038"/>
      <c r="F274" s="1038"/>
      <c r="G274" s="1038"/>
      <c r="H274" s="1038"/>
      <c r="I274" s="1038"/>
      <c r="J274" s="1038"/>
      <c r="K274" s="1038"/>
      <c r="L274" s="590"/>
      <c r="M274" s="51"/>
      <c r="N274" s="113">
        <f t="shared" si="26"/>
        <v>4970</v>
      </c>
      <c r="O274" s="581"/>
      <c r="P274" s="576"/>
      <c r="Q274" s="589"/>
      <c r="R274" s="576"/>
      <c r="S274" s="583">
        <f t="shared" si="31"/>
        <v>0</v>
      </c>
      <c r="T274" s="580">
        <f t="shared" si="29"/>
        <v>0</v>
      </c>
      <c r="U274" s="51"/>
      <c r="V274" s="2119"/>
      <c r="W274" s="43"/>
      <c r="X274" s="43"/>
      <c r="Y274" s="43"/>
      <c r="Z274" s="43"/>
    </row>
    <row r="275" spans="1:26" ht="15.75" customHeight="1">
      <c r="A275" s="88">
        <v>4971</v>
      </c>
      <c r="B275" s="378" t="s">
        <v>245</v>
      </c>
      <c r="C275" s="88"/>
      <c r="D275" s="1038"/>
      <c r="E275" s="1038"/>
      <c r="F275" s="1038"/>
      <c r="G275" s="1038"/>
      <c r="H275" s="1038"/>
      <c r="I275" s="1038"/>
      <c r="J275" s="1038"/>
      <c r="K275" s="1038"/>
      <c r="L275" s="590"/>
      <c r="M275" s="51"/>
      <c r="N275" s="113">
        <f t="shared" ref="N275:N284" si="32">+A275</f>
        <v>4971</v>
      </c>
      <c r="O275" s="581">
        <v>0</v>
      </c>
      <c r="P275" s="576">
        <v>0</v>
      </c>
      <c r="Q275" s="589">
        <v>0</v>
      </c>
      <c r="R275" s="576">
        <v>0</v>
      </c>
      <c r="S275" s="583">
        <f t="shared" si="31"/>
        <v>0</v>
      </c>
      <c r="T275" s="580">
        <f t="shared" si="29"/>
        <v>0</v>
      </c>
      <c r="U275" s="51"/>
      <c r="V275" s="2119"/>
      <c r="W275" s="43"/>
      <c r="X275" s="43"/>
      <c r="Y275" s="43"/>
      <c r="Z275" s="43"/>
    </row>
    <row r="276" spans="1:26" ht="15.75" customHeight="1">
      <c r="A276" s="88">
        <v>4972</v>
      </c>
      <c r="B276" s="378" t="s">
        <v>246</v>
      </c>
      <c r="C276" s="88"/>
      <c r="D276" s="1038"/>
      <c r="E276" s="1038"/>
      <c r="F276" s="1038"/>
      <c r="G276" s="1038"/>
      <c r="H276" s="1038"/>
      <c r="I276" s="1038"/>
      <c r="J276" s="1038"/>
      <c r="K276" s="1038"/>
      <c r="L276" s="590"/>
      <c r="M276" s="51"/>
      <c r="N276" s="113">
        <f t="shared" si="32"/>
        <v>4972</v>
      </c>
      <c r="O276" s="581"/>
      <c r="P276" s="576"/>
      <c r="Q276" s="589"/>
      <c r="R276" s="576"/>
      <c r="S276" s="583">
        <f t="shared" si="31"/>
        <v>0</v>
      </c>
      <c r="T276" s="580">
        <f t="shared" si="29"/>
        <v>0</v>
      </c>
      <c r="U276" s="51"/>
      <c r="V276" s="2119"/>
      <c r="W276" s="43"/>
      <c r="X276" s="43"/>
      <c r="Y276" s="43"/>
      <c r="Z276" s="43"/>
    </row>
    <row r="277" spans="1:26" ht="15.75" customHeight="1">
      <c r="A277" s="88">
        <v>4973</v>
      </c>
      <c r="B277" s="378" t="s">
        <v>247</v>
      </c>
      <c r="C277" s="88"/>
      <c r="D277" s="1038"/>
      <c r="E277" s="1038"/>
      <c r="F277" s="1038"/>
      <c r="G277" s="1038"/>
      <c r="H277" s="1038"/>
      <c r="I277" s="1038"/>
      <c r="J277" s="1038"/>
      <c r="K277" s="1038"/>
      <c r="L277" s="590"/>
      <c r="M277" s="51"/>
      <c r="N277" s="113">
        <f t="shared" si="32"/>
        <v>4973</v>
      </c>
      <c r="O277" s="581"/>
      <c r="P277" s="576"/>
      <c r="Q277" s="589"/>
      <c r="R277" s="576"/>
      <c r="S277" s="583">
        <f t="shared" si="31"/>
        <v>0</v>
      </c>
      <c r="T277" s="580">
        <f t="shared" si="29"/>
        <v>0</v>
      </c>
      <c r="U277" s="51"/>
      <c r="V277" s="2119"/>
      <c r="W277" s="43"/>
      <c r="X277" s="43"/>
      <c r="Y277" s="43"/>
      <c r="Z277" s="43"/>
    </row>
    <row r="278" spans="1:26" ht="15.75" customHeight="1">
      <c r="A278" s="88">
        <v>4974</v>
      </c>
      <c r="B278" s="378" t="s">
        <v>248</v>
      </c>
      <c r="C278" s="88"/>
      <c r="D278" s="1038"/>
      <c r="E278" s="1038"/>
      <c r="F278" s="1038"/>
      <c r="G278" s="1038"/>
      <c r="H278" s="1038"/>
      <c r="I278" s="1038"/>
      <c r="J278" s="1038"/>
      <c r="K278" s="1038"/>
      <c r="L278" s="590"/>
      <c r="M278" s="51"/>
      <c r="N278" s="113">
        <f t="shared" si="32"/>
        <v>4974</v>
      </c>
      <c r="O278" s="581"/>
      <c r="P278" s="576"/>
      <c r="Q278" s="589"/>
      <c r="R278" s="576"/>
      <c r="S278" s="583">
        <f t="shared" si="31"/>
        <v>0</v>
      </c>
      <c r="T278" s="580">
        <f t="shared" si="29"/>
        <v>0</v>
      </c>
      <c r="U278" s="51"/>
      <c r="V278" s="2119"/>
      <c r="W278" s="43"/>
      <c r="X278" s="43"/>
      <c r="Y278" s="43"/>
      <c r="Z278" s="43"/>
    </row>
    <row r="279" spans="1:26" ht="15.75" customHeight="1">
      <c r="A279" s="88">
        <v>4975</v>
      </c>
      <c r="B279" s="378" t="s">
        <v>249</v>
      </c>
      <c r="C279" s="88"/>
      <c r="D279" s="1038"/>
      <c r="E279" s="1038"/>
      <c r="F279" s="1038"/>
      <c r="G279" s="1038"/>
      <c r="H279" s="1038"/>
      <c r="I279" s="1038"/>
      <c r="J279" s="1038"/>
      <c r="K279" s="1038"/>
      <c r="L279" s="590"/>
      <c r="M279" s="51"/>
      <c r="N279" s="113">
        <f t="shared" si="32"/>
        <v>4975</v>
      </c>
      <c r="O279" s="581"/>
      <c r="P279" s="576"/>
      <c r="Q279" s="589"/>
      <c r="R279" s="576"/>
      <c r="S279" s="583">
        <f t="shared" si="31"/>
        <v>0</v>
      </c>
      <c r="T279" s="580">
        <f t="shared" si="29"/>
        <v>0</v>
      </c>
      <c r="U279" s="51"/>
      <c r="V279" s="2119"/>
      <c r="W279" s="43"/>
      <c r="X279" s="43"/>
      <c r="Y279" s="43"/>
      <c r="Z279" s="43"/>
    </row>
    <row r="280" spans="1:26" ht="15.75" customHeight="1">
      <c r="A280" s="88">
        <v>4976</v>
      </c>
      <c r="B280" s="378" t="s">
        <v>250</v>
      </c>
      <c r="C280" s="88"/>
      <c r="D280" s="1038"/>
      <c r="E280" s="1038"/>
      <c r="F280" s="1038"/>
      <c r="G280" s="1038"/>
      <c r="H280" s="1038"/>
      <c r="I280" s="1038"/>
      <c r="J280" s="1038"/>
      <c r="K280" s="1038"/>
      <c r="L280" s="590"/>
      <c r="M280" s="51"/>
      <c r="N280" s="113">
        <f t="shared" si="32"/>
        <v>4976</v>
      </c>
      <c r="O280" s="581"/>
      <c r="P280" s="576"/>
      <c r="Q280" s="589"/>
      <c r="R280" s="576"/>
      <c r="S280" s="583">
        <f t="shared" si="31"/>
        <v>0</v>
      </c>
      <c r="T280" s="580">
        <f t="shared" si="29"/>
        <v>0</v>
      </c>
      <c r="U280" s="51"/>
      <c r="V280" s="2119"/>
      <c r="W280" s="43"/>
      <c r="X280" s="43"/>
      <c r="Y280" s="43"/>
      <c r="Z280" s="43"/>
    </row>
    <row r="281" spans="1:26" ht="15.75" customHeight="1">
      <c r="A281" s="88">
        <v>4978</v>
      </c>
      <c r="B281" s="378" t="s">
        <v>251</v>
      </c>
      <c r="C281" s="88"/>
      <c r="D281" s="1038"/>
      <c r="E281" s="1038"/>
      <c r="F281" s="1038"/>
      <c r="G281" s="1038"/>
      <c r="H281" s="1038"/>
      <c r="I281" s="1038"/>
      <c r="J281" s="1038"/>
      <c r="K281" s="1038"/>
      <c r="L281" s="590"/>
      <c r="M281" s="51"/>
      <c r="N281" s="113">
        <f t="shared" si="32"/>
        <v>4978</v>
      </c>
      <c r="O281" s="581"/>
      <c r="P281" s="576"/>
      <c r="Q281" s="589"/>
      <c r="R281" s="576"/>
      <c r="S281" s="583">
        <f t="shared" si="31"/>
        <v>0</v>
      </c>
      <c r="T281" s="580">
        <f t="shared" si="29"/>
        <v>0</v>
      </c>
      <c r="U281" s="51"/>
      <c r="V281" s="2119"/>
      <c r="W281" s="43"/>
      <c r="X281" s="43"/>
      <c r="Y281" s="43"/>
      <c r="Z281" s="43"/>
    </row>
    <row r="282" spans="1:26" ht="15.75" customHeight="1">
      <c r="A282" s="88">
        <v>4979</v>
      </c>
      <c r="B282" s="378" t="s">
        <v>252</v>
      </c>
      <c r="C282" s="88"/>
      <c r="D282" s="1038"/>
      <c r="E282" s="1038"/>
      <c r="F282" s="1038"/>
      <c r="G282" s="1038"/>
      <c r="H282" s="1038"/>
      <c r="I282" s="1038"/>
      <c r="J282" s="1038"/>
      <c r="K282" s="1038"/>
      <c r="L282" s="590"/>
      <c r="M282" s="51"/>
      <c r="N282" s="113">
        <f t="shared" si="32"/>
        <v>4979</v>
      </c>
      <c r="O282" s="581"/>
      <c r="P282" s="576"/>
      <c r="Q282" s="589"/>
      <c r="R282" s="576"/>
      <c r="S282" s="583">
        <f t="shared" si="31"/>
        <v>0</v>
      </c>
      <c r="T282" s="580">
        <f t="shared" si="29"/>
        <v>0</v>
      </c>
      <c r="U282" s="51"/>
      <c r="V282" s="2119"/>
      <c r="W282" s="43"/>
      <c r="X282" s="43"/>
      <c r="Y282" s="43"/>
      <c r="Z282" s="43"/>
    </row>
    <row r="283" spans="1:26">
      <c r="A283" s="88">
        <v>4980</v>
      </c>
      <c r="B283" s="378" t="s">
        <v>253</v>
      </c>
      <c r="C283" s="88"/>
      <c r="D283" s="1033"/>
      <c r="E283" s="1033"/>
      <c r="F283" s="1033"/>
      <c r="G283" s="1033"/>
      <c r="H283" s="1033"/>
      <c r="I283" s="1033"/>
      <c r="J283" s="1033"/>
      <c r="K283" s="1033"/>
      <c r="L283" s="574"/>
      <c r="M283" s="51"/>
      <c r="N283" s="113">
        <f t="shared" si="32"/>
        <v>4980</v>
      </c>
      <c r="O283" s="581"/>
      <c r="P283" s="582">
        <v>0</v>
      </c>
      <c r="Q283" s="589"/>
      <c r="R283" s="576"/>
      <c r="S283" s="583">
        <f t="shared" si="31"/>
        <v>0</v>
      </c>
      <c r="T283" s="584">
        <v>0</v>
      </c>
      <c r="U283" s="51"/>
      <c r="V283" s="2120">
        <f>+IF(OR(ROUND(P283,2)+ROUND(R283,2)&gt;+ROUND(O283,2)+ROUND(Q283,2),+ABS(ROUND(P283,2)+ROUND(R283,2))&gt;+ABS(ROUND(O283,2)+ROUND(Q283,2))),+(ROUND(P283,2)+ROUND(R283,2))-(ROUND(O283,2)+ROUND(Q283,2)),0)</f>
        <v>0</v>
      </c>
      <c r="W283" s="43"/>
      <c r="X283" s="43"/>
      <c r="Y283" s="43"/>
      <c r="Z283" s="43"/>
    </row>
    <row r="284" spans="1:26">
      <c r="A284" s="595">
        <v>4989</v>
      </c>
      <c r="B284" s="1045" t="s">
        <v>254</v>
      </c>
      <c r="C284" s="1033"/>
      <c r="D284" s="1033"/>
      <c r="E284" s="1033"/>
      <c r="F284" s="1033"/>
      <c r="G284" s="1033"/>
      <c r="H284" s="1033"/>
      <c r="I284" s="1033"/>
      <c r="J284" s="1033"/>
      <c r="K284" s="1033"/>
      <c r="L284" s="574"/>
      <c r="M284" s="51"/>
      <c r="N284" s="113">
        <f t="shared" si="32"/>
        <v>4989</v>
      </c>
      <c r="O284" s="575">
        <v>0</v>
      </c>
      <c r="P284" s="576"/>
      <c r="Q284" s="589"/>
      <c r="R284" s="121"/>
      <c r="S284" s="579">
        <v>0</v>
      </c>
      <c r="T284" s="580">
        <f>+IF(ABS(+O284+Q284)&lt;=ABS(P284+R284),-O284+P284-Q284+R284,0)</f>
        <v>0</v>
      </c>
      <c r="U284" s="51"/>
      <c r="V284" s="2119">
        <f>+IF(OR(+ROUND(O284,2)+ROUND(Q284,2)&gt;ROUND(P284,2)+ROUND(R284,2),+ABS(ROUND(O284,2)+ROUND(Q284,2))&gt;+ABS(ROUND(P284,2)+ROUND(R284,2))),+(ROUND(O284,2)+ROUND(Q284,2))-(ROUND(P284,2)+ROUND(R284,2)),0)</f>
        <v>0</v>
      </c>
      <c r="W284" s="43"/>
      <c r="X284" s="43"/>
      <c r="Y284" s="43"/>
      <c r="Z284" s="43"/>
    </row>
    <row r="285" spans="1:26">
      <c r="A285" s="398" t="s">
        <v>45</v>
      </c>
      <c r="B285" s="399"/>
      <c r="C285" s="399"/>
      <c r="D285" s="399"/>
      <c r="E285" s="399"/>
      <c r="F285" s="399"/>
      <c r="G285" s="399"/>
      <c r="H285" s="399"/>
      <c r="I285" s="399"/>
      <c r="J285" s="399"/>
      <c r="K285" s="399"/>
      <c r="L285" s="381"/>
      <c r="M285" s="51"/>
      <c r="N285" s="383">
        <v>5</v>
      </c>
      <c r="O285" s="384"/>
      <c r="P285" s="385"/>
      <c r="Q285" s="386"/>
      <c r="R285" s="385"/>
      <c r="S285" s="386"/>
      <c r="T285" s="387"/>
      <c r="U285" s="51"/>
      <c r="V285" s="2119"/>
      <c r="W285" s="43"/>
      <c r="X285" s="43"/>
      <c r="Y285" s="43"/>
      <c r="Z285" s="43"/>
    </row>
    <row r="286" spans="1:26">
      <c r="A286" s="395">
        <v>5000</v>
      </c>
      <c r="B286" s="418" t="s">
        <v>799</v>
      </c>
      <c r="C286" s="418"/>
      <c r="D286" s="418"/>
      <c r="E286" s="418"/>
      <c r="F286" s="418"/>
      <c r="G286" s="396"/>
      <c r="H286" s="396"/>
      <c r="I286" s="396"/>
      <c r="J286" s="396"/>
      <c r="K286" s="396"/>
      <c r="L286" s="397"/>
      <c r="M286" s="51"/>
      <c r="N286" s="400">
        <f t="shared" ref="N286:N317" si="33">+A286</f>
        <v>5000</v>
      </c>
      <c r="O286" s="401">
        <v>0</v>
      </c>
      <c r="P286" s="402">
        <v>0</v>
      </c>
      <c r="Q286" s="403">
        <v>0</v>
      </c>
      <c r="R286" s="402">
        <v>0</v>
      </c>
      <c r="S286" s="829">
        <f t="shared" ref="S286:S349" si="34">+IF(ABS(+O286+Q286)&gt;=ABS(P286+R286),+O286-P286+Q286-R286,0)</f>
        <v>0</v>
      </c>
      <c r="T286" s="830">
        <v>0</v>
      </c>
      <c r="U286" s="51"/>
      <c r="V286" s="2120">
        <f t="shared" ref="V286:V321" si="35">+IF(OR(ROUND(P286,2)+ROUND(R286,2)&gt;+ROUND(O286,2)+ROUND(Q286,2),+ABS(ROUND(P286,2)+ROUND(R286,2))&gt;+ABS(ROUND(O286,2)+ROUND(Q286,2))),+(ROUND(P286,2)+ROUND(R286,2))-(ROUND(O286,2)+ROUND(Q286,2)),0)</f>
        <v>0</v>
      </c>
      <c r="W286" s="43"/>
      <c r="X286" s="43"/>
      <c r="Y286" s="43"/>
      <c r="Z286" s="43"/>
    </row>
    <row r="287" spans="1:26">
      <c r="A287" s="88">
        <v>5001</v>
      </c>
      <c r="B287" s="378" t="s">
        <v>800</v>
      </c>
      <c r="C287" s="1034"/>
      <c r="D287" s="1034"/>
      <c r="E287" s="1034"/>
      <c r="F287" s="1034"/>
      <c r="G287" s="1033"/>
      <c r="H287" s="1033"/>
      <c r="I287" s="1033"/>
      <c r="J287" s="1033"/>
      <c r="K287" s="1033"/>
      <c r="L287" s="90"/>
      <c r="M287" s="51"/>
      <c r="N287" s="113">
        <f t="shared" si="33"/>
        <v>5001</v>
      </c>
      <c r="O287" s="120">
        <v>0</v>
      </c>
      <c r="P287" s="9">
        <v>0</v>
      </c>
      <c r="Q287" s="122">
        <v>0</v>
      </c>
      <c r="R287" s="576">
        <v>0</v>
      </c>
      <c r="S287" s="27">
        <f t="shared" si="34"/>
        <v>0</v>
      </c>
      <c r="T287" s="30">
        <v>0</v>
      </c>
      <c r="U287" s="51"/>
      <c r="V287" s="2120">
        <f t="shared" si="35"/>
        <v>0</v>
      </c>
      <c r="W287" s="43"/>
      <c r="X287" s="43"/>
      <c r="Y287" s="43"/>
      <c r="Z287" s="43"/>
    </row>
    <row r="288" spans="1:26">
      <c r="A288" s="88">
        <v>5002</v>
      </c>
      <c r="B288" s="378" t="s">
        <v>801</v>
      </c>
      <c r="C288" s="1034"/>
      <c r="D288" s="1034"/>
      <c r="E288" s="1034"/>
      <c r="F288" s="1034"/>
      <c r="G288" s="1033"/>
      <c r="H288" s="1033"/>
      <c r="I288" s="1033"/>
      <c r="J288" s="1033"/>
      <c r="K288" s="1033"/>
      <c r="L288" s="90"/>
      <c r="M288" s="51"/>
      <c r="N288" s="113">
        <f t="shared" si="33"/>
        <v>5002</v>
      </c>
      <c r="O288" s="120"/>
      <c r="P288" s="9">
        <v>0</v>
      </c>
      <c r="Q288" s="122"/>
      <c r="R288" s="576"/>
      <c r="S288" s="27">
        <f t="shared" si="34"/>
        <v>0</v>
      </c>
      <c r="T288" s="30">
        <v>0</v>
      </c>
      <c r="U288" s="51"/>
      <c r="V288" s="2120">
        <f t="shared" si="35"/>
        <v>0</v>
      </c>
      <c r="W288" s="43"/>
      <c r="X288" s="43"/>
      <c r="Y288" s="43"/>
      <c r="Z288" s="43"/>
    </row>
    <row r="289" spans="1:26">
      <c r="A289" s="91">
        <v>5005</v>
      </c>
      <c r="B289" s="1036" t="s">
        <v>802</v>
      </c>
      <c r="C289" s="1036"/>
      <c r="D289" s="1036"/>
      <c r="E289" s="1036"/>
      <c r="F289" s="1036"/>
      <c r="G289" s="92"/>
      <c r="H289" s="92"/>
      <c r="I289" s="92"/>
      <c r="J289" s="92"/>
      <c r="K289" s="92"/>
      <c r="L289" s="93"/>
      <c r="M289" s="51"/>
      <c r="N289" s="114">
        <f t="shared" si="33"/>
        <v>5005</v>
      </c>
      <c r="O289" s="10">
        <v>0</v>
      </c>
      <c r="P289" s="11">
        <v>0</v>
      </c>
      <c r="Q289" s="31">
        <v>0</v>
      </c>
      <c r="R289" s="11">
        <v>0</v>
      </c>
      <c r="S289" s="829">
        <f t="shared" si="34"/>
        <v>0</v>
      </c>
      <c r="T289" s="830">
        <v>0</v>
      </c>
      <c r="U289" s="51"/>
      <c r="V289" s="2120">
        <f t="shared" si="35"/>
        <v>0</v>
      </c>
      <c r="W289" s="43"/>
      <c r="X289" s="43"/>
      <c r="Y289" s="43"/>
      <c r="Z289" s="43"/>
    </row>
    <row r="290" spans="1:26">
      <c r="A290" s="91">
        <v>5006</v>
      </c>
      <c r="B290" s="1036" t="s">
        <v>803</v>
      </c>
      <c r="C290" s="1036"/>
      <c r="D290" s="1036"/>
      <c r="E290" s="1036"/>
      <c r="F290" s="1036"/>
      <c r="G290" s="92"/>
      <c r="H290" s="92"/>
      <c r="I290" s="92"/>
      <c r="J290" s="92"/>
      <c r="K290" s="92"/>
      <c r="L290" s="93"/>
      <c r="M290" s="51"/>
      <c r="N290" s="114">
        <f t="shared" si="33"/>
        <v>5006</v>
      </c>
      <c r="O290" s="10">
        <v>0</v>
      </c>
      <c r="P290" s="11">
        <v>0</v>
      </c>
      <c r="Q290" s="31">
        <v>0</v>
      </c>
      <c r="R290" s="11">
        <v>0</v>
      </c>
      <c r="S290" s="829">
        <f t="shared" si="34"/>
        <v>0</v>
      </c>
      <c r="T290" s="830">
        <v>0</v>
      </c>
      <c r="U290" s="51"/>
      <c r="V290" s="2120">
        <f t="shared" si="35"/>
        <v>0</v>
      </c>
      <c r="W290" s="43"/>
      <c r="X290" s="43"/>
      <c r="Y290" s="43"/>
      <c r="Z290" s="43"/>
    </row>
    <row r="291" spans="1:26">
      <c r="A291" s="88">
        <v>5007</v>
      </c>
      <c r="B291" s="378" t="s">
        <v>804</v>
      </c>
      <c r="C291" s="1034"/>
      <c r="D291" s="1034"/>
      <c r="E291" s="1034"/>
      <c r="F291" s="1034"/>
      <c r="G291" s="1033"/>
      <c r="H291" s="1033"/>
      <c r="I291" s="1033"/>
      <c r="J291" s="1033"/>
      <c r="K291" s="1033"/>
      <c r="L291" s="90"/>
      <c r="M291" s="51"/>
      <c r="N291" s="113">
        <f t="shared" si="33"/>
        <v>5007</v>
      </c>
      <c r="O291" s="120"/>
      <c r="P291" s="9">
        <v>0</v>
      </c>
      <c r="Q291" s="122"/>
      <c r="R291" s="576"/>
      <c r="S291" s="27">
        <f t="shared" si="34"/>
        <v>0</v>
      </c>
      <c r="T291" s="30">
        <v>0</v>
      </c>
      <c r="U291" s="51"/>
      <c r="V291" s="2120">
        <f t="shared" si="35"/>
        <v>0</v>
      </c>
      <c r="W291" s="43"/>
      <c r="X291" s="43"/>
      <c r="Y291" s="43"/>
      <c r="Z291" s="43"/>
    </row>
    <row r="292" spans="1:26">
      <c r="A292" s="88">
        <v>5008</v>
      </c>
      <c r="B292" s="378" t="s">
        <v>805</v>
      </c>
      <c r="C292" s="1034"/>
      <c r="D292" s="1034"/>
      <c r="E292" s="1034"/>
      <c r="F292" s="1034"/>
      <c r="G292" s="1033"/>
      <c r="H292" s="1033"/>
      <c r="I292" s="1033"/>
      <c r="J292" s="1033"/>
      <c r="K292" s="1033"/>
      <c r="L292" s="90"/>
      <c r="M292" s="51"/>
      <c r="N292" s="113">
        <f t="shared" si="33"/>
        <v>5008</v>
      </c>
      <c r="O292" s="120"/>
      <c r="P292" s="9">
        <v>0</v>
      </c>
      <c r="Q292" s="122"/>
      <c r="R292" s="576"/>
      <c r="S292" s="27">
        <f t="shared" si="34"/>
        <v>0</v>
      </c>
      <c r="T292" s="30">
        <v>0</v>
      </c>
      <c r="U292" s="51"/>
      <c r="V292" s="2120">
        <f t="shared" si="35"/>
        <v>0</v>
      </c>
      <c r="W292" s="43"/>
      <c r="X292" s="43"/>
      <c r="Y292" s="43"/>
      <c r="Z292" s="43"/>
    </row>
    <row r="293" spans="1:26">
      <c r="A293" s="91">
        <v>5009</v>
      </c>
      <c r="B293" s="1036" t="s">
        <v>806</v>
      </c>
      <c r="C293" s="1036"/>
      <c r="D293" s="1036"/>
      <c r="E293" s="1036"/>
      <c r="F293" s="1036"/>
      <c r="G293" s="92"/>
      <c r="H293" s="92"/>
      <c r="I293" s="92"/>
      <c r="J293" s="92"/>
      <c r="K293" s="92"/>
      <c r="L293" s="93"/>
      <c r="M293" s="51"/>
      <c r="N293" s="114">
        <f t="shared" si="33"/>
        <v>5009</v>
      </c>
      <c r="O293" s="10">
        <v>0</v>
      </c>
      <c r="P293" s="11">
        <v>0</v>
      </c>
      <c r="Q293" s="31">
        <v>0</v>
      </c>
      <c r="R293" s="11">
        <v>0</v>
      </c>
      <c r="S293" s="829">
        <f t="shared" si="34"/>
        <v>0</v>
      </c>
      <c r="T293" s="830">
        <v>0</v>
      </c>
      <c r="U293" s="51"/>
      <c r="V293" s="2120">
        <f t="shared" si="35"/>
        <v>0</v>
      </c>
      <c r="W293" s="43"/>
      <c r="X293" s="43"/>
      <c r="Y293" s="43"/>
      <c r="Z293" s="43"/>
    </row>
    <row r="294" spans="1:26">
      <c r="A294" s="88">
        <v>5011</v>
      </c>
      <c r="B294" s="378" t="s">
        <v>807</v>
      </c>
      <c r="C294" s="1034"/>
      <c r="D294" s="1034"/>
      <c r="E294" s="1034"/>
      <c r="F294" s="1034"/>
      <c r="G294" s="1033"/>
      <c r="H294" s="1033"/>
      <c r="I294" s="1033"/>
      <c r="J294" s="1033"/>
      <c r="K294" s="1033"/>
      <c r="L294" s="90"/>
      <c r="M294" s="51"/>
      <c r="N294" s="113">
        <f t="shared" si="33"/>
        <v>5011</v>
      </c>
      <c r="O294" s="120">
        <v>0</v>
      </c>
      <c r="P294" s="9">
        <v>0</v>
      </c>
      <c r="Q294" s="122">
        <v>0</v>
      </c>
      <c r="R294" s="576">
        <v>0</v>
      </c>
      <c r="S294" s="27">
        <f t="shared" si="34"/>
        <v>0</v>
      </c>
      <c r="T294" s="30">
        <v>0</v>
      </c>
      <c r="U294" s="51"/>
      <c r="V294" s="2120">
        <f t="shared" si="35"/>
        <v>0</v>
      </c>
      <c r="W294" s="43"/>
      <c r="X294" s="43"/>
      <c r="Y294" s="43"/>
      <c r="Z294" s="43"/>
    </row>
    <row r="295" spans="1:26">
      <c r="A295" s="88">
        <v>5012</v>
      </c>
      <c r="B295" s="378" t="s">
        <v>808</v>
      </c>
      <c r="C295" s="1034"/>
      <c r="D295" s="1034"/>
      <c r="E295" s="1034"/>
      <c r="F295" s="1034"/>
      <c r="G295" s="1033"/>
      <c r="H295" s="1033"/>
      <c r="I295" s="1033"/>
      <c r="J295" s="1033"/>
      <c r="K295" s="1033"/>
      <c r="L295" s="90"/>
      <c r="M295" s="51"/>
      <c r="N295" s="113">
        <f t="shared" si="33"/>
        <v>5012</v>
      </c>
      <c r="O295" s="120">
        <v>0</v>
      </c>
      <c r="P295" s="9">
        <v>0</v>
      </c>
      <c r="Q295" s="122">
        <v>0</v>
      </c>
      <c r="R295" s="576">
        <v>0</v>
      </c>
      <c r="S295" s="583">
        <f t="shared" si="34"/>
        <v>0</v>
      </c>
      <c r="T295" s="584">
        <v>0</v>
      </c>
      <c r="U295" s="51"/>
      <c r="V295" s="2120">
        <f t="shared" si="35"/>
        <v>0</v>
      </c>
      <c r="W295" s="43"/>
      <c r="X295" s="43"/>
      <c r="Y295" s="43"/>
      <c r="Z295" s="43"/>
    </row>
    <row r="296" spans="1:26">
      <c r="A296" s="88">
        <v>5013</v>
      </c>
      <c r="B296" s="378" t="s">
        <v>986</v>
      </c>
      <c r="C296" s="1034"/>
      <c r="D296" s="1034"/>
      <c r="E296" s="1034"/>
      <c r="F296" s="1034"/>
      <c r="G296" s="1033"/>
      <c r="H296" s="1033"/>
      <c r="I296" s="1033"/>
      <c r="J296" s="1033"/>
      <c r="K296" s="1033"/>
      <c r="L296" s="90"/>
      <c r="M296" s="51"/>
      <c r="N296" s="113">
        <f t="shared" si="33"/>
        <v>5013</v>
      </c>
      <c r="O296" s="120">
        <v>0</v>
      </c>
      <c r="P296" s="9">
        <v>0</v>
      </c>
      <c r="Q296" s="122">
        <v>0</v>
      </c>
      <c r="R296" s="576">
        <v>0</v>
      </c>
      <c r="S296" s="583">
        <f t="shared" si="34"/>
        <v>0</v>
      </c>
      <c r="T296" s="584">
        <v>0</v>
      </c>
      <c r="U296" s="51"/>
      <c r="V296" s="2120">
        <f t="shared" si="35"/>
        <v>0</v>
      </c>
      <c r="W296" s="43"/>
      <c r="X296" s="43"/>
      <c r="Y296" s="43"/>
      <c r="Z296" s="43"/>
    </row>
    <row r="297" spans="1:26">
      <c r="A297" s="88">
        <v>5014</v>
      </c>
      <c r="B297" s="378" t="s">
        <v>987</v>
      </c>
      <c r="C297" s="1034"/>
      <c r="D297" s="1034"/>
      <c r="E297" s="1034"/>
      <c r="F297" s="1034"/>
      <c r="G297" s="1033"/>
      <c r="H297" s="1033"/>
      <c r="I297" s="1033"/>
      <c r="J297" s="1033"/>
      <c r="K297" s="1033"/>
      <c r="L297" s="90"/>
      <c r="M297" s="51"/>
      <c r="N297" s="113">
        <f t="shared" si="33"/>
        <v>5014</v>
      </c>
      <c r="O297" s="120">
        <v>0</v>
      </c>
      <c r="P297" s="9">
        <v>0</v>
      </c>
      <c r="Q297" s="122">
        <v>0</v>
      </c>
      <c r="R297" s="576">
        <v>0</v>
      </c>
      <c r="S297" s="583">
        <f t="shared" si="34"/>
        <v>0</v>
      </c>
      <c r="T297" s="584">
        <v>0</v>
      </c>
      <c r="U297" s="51"/>
      <c r="V297" s="2120">
        <f t="shared" si="35"/>
        <v>0</v>
      </c>
      <c r="W297" s="43"/>
      <c r="X297" s="43"/>
      <c r="Y297" s="43"/>
      <c r="Z297" s="43"/>
    </row>
    <row r="298" spans="1:26">
      <c r="A298" s="88">
        <v>5015</v>
      </c>
      <c r="B298" s="378" t="s">
        <v>988</v>
      </c>
      <c r="C298" s="1034"/>
      <c r="D298" s="1034"/>
      <c r="E298" s="1034"/>
      <c r="F298" s="1034"/>
      <c r="G298" s="1033"/>
      <c r="H298" s="1033"/>
      <c r="I298" s="1033"/>
      <c r="J298" s="1033"/>
      <c r="K298" s="1033"/>
      <c r="L298" s="90"/>
      <c r="M298" s="51"/>
      <c r="N298" s="113">
        <f t="shared" si="33"/>
        <v>5015</v>
      </c>
      <c r="O298" s="120"/>
      <c r="P298" s="9">
        <v>0</v>
      </c>
      <c r="Q298" s="122"/>
      <c r="R298" s="576"/>
      <c r="S298" s="583">
        <f t="shared" si="34"/>
        <v>0</v>
      </c>
      <c r="T298" s="584">
        <v>0</v>
      </c>
      <c r="U298" s="51"/>
      <c r="V298" s="2120">
        <f t="shared" si="35"/>
        <v>0</v>
      </c>
      <c r="W298" s="43"/>
      <c r="X298" s="43"/>
      <c r="Y298" s="43"/>
      <c r="Z298" s="43"/>
    </row>
    <row r="299" spans="1:26">
      <c r="A299" s="88">
        <v>5016</v>
      </c>
      <c r="B299" s="378" t="s">
        <v>989</v>
      </c>
      <c r="C299" s="1034"/>
      <c r="D299" s="1034"/>
      <c r="E299" s="1034"/>
      <c r="F299" s="1034"/>
      <c r="G299" s="1033"/>
      <c r="H299" s="1033"/>
      <c r="I299" s="1033"/>
      <c r="J299" s="1033"/>
      <c r="K299" s="1033"/>
      <c r="L299" s="90"/>
      <c r="M299" s="51"/>
      <c r="N299" s="113">
        <f t="shared" si="33"/>
        <v>5016</v>
      </c>
      <c r="O299" s="120">
        <v>0</v>
      </c>
      <c r="P299" s="9">
        <v>0</v>
      </c>
      <c r="Q299" s="122">
        <v>0</v>
      </c>
      <c r="R299" s="576">
        <v>0</v>
      </c>
      <c r="S299" s="583">
        <f t="shared" si="34"/>
        <v>0</v>
      </c>
      <c r="T299" s="584">
        <v>0</v>
      </c>
      <c r="U299" s="51"/>
      <c r="V299" s="2120">
        <f t="shared" si="35"/>
        <v>0</v>
      </c>
      <c r="W299" s="43"/>
      <c r="X299" s="43"/>
      <c r="Y299" s="43"/>
      <c r="Z299" s="43"/>
    </row>
    <row r="300" spans="1:26">
      <c r="A300" s="88">
        <v>5017</v>
      </c>
      <c r="B300" s="378" t="s">
        <v>990</v>
      </c>
      <c r="C300" s="1034"/>
      <c r="D300" s="1034"/>
      <c r="E300" s="1034"/>
      <c r="F300" s="1034"/>
      <c r="G300" s="1033"/>
      <c r="H300" s="1033"/>
      <c r="I300" s="1033"/>
      <c r="J300" s="1033"/>
      <c r="K300" s="1033"/>
      <c r="L300" s="90"/>
      <c r="M300" s="51"/>
      <c r="N300" s="113">
        <f t="shared" si="33"/>
        <v>5017</v>
      </c>
      <c r="O300" s="120"/>
      <c r="P300" s="9">
        <v>0</v>
      </c>
      <c r="Q300" s="122"/>
      <c r="R300" s="576"/>
      <c r="S300" s="583">
        <f t="shared" si="34"/>
        <v>0</v>
      </c>
      <c r="T300" s="584">
        <v>0</v>
      </c>
      <c r="U300" s="51"/>
      <c r="V300" s="2120">
        <f t="shared" si="35"/>
        <v>0</v>
      </c>
      <c r="W300" s="43"/>
      <c r="X300" s="43"/>
      <c r="Y300" s="43"/>
      <c r="Z300" s="43"/>
    </row>
    <row r="301" spans="1:26">
      <c r="A301" s="88">
        <v>5018</v>
      </c>
      <c r="B301" s="378" t="s">
        <v>991</v>
      </c>
      <c r="C301" s="1034"/>
      <c r="D301" s="1034"/>
      <c r="E301" s="1034"/>
      <c r="F301" s="1034"/>
      <c r="G301" s="1033"/>
      <c r="H301" s="1033"/>
      <c r="I301" s="1033"/>
      <c r="J301" s="1033"/>
      <c r="K301" s="1033"/>
      <c r="L301" s="90"/>
      <c r="M301" s="51"/>
      <c r="N301" s="113">
        <f t="shared" si="33"/>
        <v>5018</v>
      </c>
      <c r="O301" s="120"/>
      <c r="P301" s="9">
        <v>0</v>
      </c>
      <c r="Q301" s="589"/>
      <c r="R301" s="576"/>
      <c r="S301" s="583">
        <f t="shared" si="34"/>
        <v>0</v>
      </c>
      <c r="T301" s="584">
        <v>0</v>
      </c>
      <c r="U301" s="51"/>
      <c r="V301" s="2120">
        <f t="shared" si="35"/>
        <v>0</v>
      </c>
      <c r="W301" s="43"/>
      <c r="X301" s="43"/>
      <c r="Y301" s="43"/>
      <c r="Z301" s="43"/>
    </row>
    <row r="302" spans="1:26">
      <c r="A302" s="88">
        <v>5022</v>
      </c>
      <c r="B302" s="378" t="s">
        <v>992</v>
      </c>
      <c r="C302" s="1034"/>
      <c r="D302" s="1034"/>
      <c r="E302" s="1034"/>
      <c r="F302" s="1034"/>
      <c r="G302" s="1033"/>
      <c r="H302" s="1033"/>
      <c r="I302" s="1033"/>
      <c r="J302" s="1033"/>
      <c r="K302" s="1033"/>
      <c r="L302" s="90"/>
      <c r="M302" s="51"/>
      <c r="N302" s="113">
        <f t="shared" si="33"/>
        <v>5022</v>
      </c>
      <c r="O302" s="120"/>
      <c r="P302" s="9">
        <v>0</v>
      </c>
      <c r="Q302" s="589"/>
      <c r="R302" s="576"/>
      <c r="S302" s="583">
        <f t="shared" si="34"/>
        <v>0</v>
      </c>
      <c r="T302" s="584">
        <v>0</v>
      </c>
      <c r="U302" s="51"/>
      <c r="V302" s="2120">
        <f t="shared" si="35"/>
        <v>0</v>
      </c>
      <c r="W302" s="43"/>
      <c r="X302" s="43"/>
      <c r="Y302" s="43"/>
      <c r="Z302" s="43"/>
    </row>
    <row r="303" spans="1:26">
      <c r="A303" s="88">
        <v>5024</v>
      </c>
      <c r="B303" s="378" t="s">
        <v>993</v>
      </c>
      <c r="C303" s="1034"/>
      <c r="D303" s="1034"/>
      <c r="E303" s="1034"/>
      <c r="F303" s="1034"/>
      <c r="G303" s="1033"/>
      <c r="H303" s="1033"/>
      <c r="I303" s="1033"/>
      <c r="J303" s="1033"/>
      <c r="K303" s="1033"/>
      <c r="L303" s="90"/>
      <c r="M303" s="51"/>
      <c r="N303" s="113">
        <f t="shared" si="33"/>
        <v>5024</v>
      </c>
      <c r="O303" s="581"/>
      <c r="P303" s="582">
        <v>0</v>
      </c>
      <c r="Q303" s="589"/>
      <c r="R303" s="576"/>
      <c r="S303" s="583">
        <f t="shared" si="34"/>
        <v>0</v>
      </c>
      <c r="T303" s="584">
        <v>0</v>
      </c>
      <c r="U303" s="51"/>
      <c r="V303" s="2120">
        <f t="shared" si="35"/>
        <v>0</v>
      </c>
      <c r="W303" s="43"/>
      <c r="X303" s="43"/>
      <c r="Y303" s="43"/>
      <c r="Z303" s="43"/>
    </row>
    <row r="304" spans="1:26">
      <c r="A304" s="88">
        <v>5026</v>
      </c>
      <c r="B304" s="378" t="s">
        <v>994</v>
      </c>
      <c r="C304" s="1034"/>
      <c r="D304" s="1034"/>
      <c r="E304" s="1034"/>
      <c r="F304" s="1034"/>
      <c r="G304" s="1033"/>
      <c r="H304" s="1033"/>
      <c r="I304" s="1033"/>
      <c r="J304" s="1033"/>
      <c r="K304" s="1033"/>
      <c r="L304" s="90"/>
      <c r="M304" s="51"/>
      <c r="N304" s="113">
        <f t="shared" si="33"/>
        <v>5026</v>
      </c>
      <c r="O304" s="581"/>
      <c r="P304" s="582">
        <v>0</v>
      </c>
      <c r="Q304" s="589"/>
      <c r="R304" s="576"/>
      <c r="S304" s="583">
        <f t="shared" si="34"/>
        <v>0</v>
      </c>
      <c r="T304" s="584">
        <v>0</v>
      </c>
      <c r="U304" s="51"/>
      <c r="V304" s="2120">
        <f t="shared" si="35"/>
        <v>0</v>
      </c>
      <c r="W304" s="43"/>
      <c r="X304" s="43"/>
      <c r="Y304" s="43"/>
      <c r="Z304" s="43"/>
    </row>
    <row r="305" spans="1:26">
      <c r="A305" s="88">
        <v>5028</v>
      </c>
      <c r="B305" s="378" t="s">
        <v>995</v>
      </c>
      <c r="C305" s="1034"/>
      <c r="D305" s="1034"/>
      <c r="E305" s="1034"/>
      <c r="F305" s="1034"/>
      <c r="G305" s="1033"/>
      <c r="H305" s="1033"/>
      <c r="I305" s="1033"/>
      <c r="J305" s="1033"/>
      <c r="K305" s="1033"/>
      <c r="L305" s="90"/>
      <c r="M305" s="51"/>
      <c r="N305" s="113">
        <f t="shared" si="33"/>
        <v>5028</v>
      </c>
      <c r="O305" s="581"/>
      <c r="P305" s="582">
        <v>0</v>
      </c>
      <c r="Q305" s="589"/>
      <c r="R305" s="576"/>
      <c r="S305" s="583">
        <f t="shared" si="34"/>
        <v>0</v>
      </c>
      <c r="T305" s="584">
        <v>0</v>
      </c>
      <c r="U305" s="51"/>
      <c r="V305" s="2120">
        <f t="shared" si="35"/>
        <v>0</v>
      </c>
      <c r="W305" s="43"/>
      <c r="X305" s="43"/>
      <c r="Y305" s="43"/>
      <c r="Z305" s="43"/>
    </row>
    <row r="306" spans="1:26">
      <c r="A306" s="88">
        <v>5071</v>
      </c>
      <c r="B306" s="378" t="s">
        <v>996</v>
      </c>
      <c r="C306" s="1034"/>
      <c r="D306" s="1034"/>
      <c r="E306" s="1034"/>
      <c r="F306" s="1034"/>
      <c r="G306" s="1033"/>
      <c r="H306" s="1033"/>
      <c r="I306" s="1033"/>
      <c r="J306" s="1033"/>
      <c r="K306" s="1033"/>
      <c r="L306" s="574"/>
      <c r="M306" s="51"/>
      <c r="N306" s="113">
        <f t="shared" si="33"/>
        <v>5071</v>
      </c>
      <c r="O306" s="581"/>
      <c r="P306" s="582">
        <v>0</v>
      </c>
      <c r="Q306" s="589"/>
      <c r="R306" s="576"/>
      <c r="S306" s="583">
        <f t="shared" si="34"/>
        <v>0</v>
      </c>
      <c r="T306" s="584">
        <v>0</v>
      </c>
      <c r="U306" s="51"/>
      <c r="V306" s="2120">
        <f t="shared" si="35"/>
        <v>0</v>
      </c>
      <c r="W306" s="43"/>
      <c r="X306" s="43"/>
      <c r="Y306" s="43"/>
      <c r="Z306" s="43"/>
    </row>
    <row r="307" spans="1:26">
      <c r="A307" s="88">
        <v>5073</v>
      </c>
      <c r="B307" s="378" t="s">
        <v>997</v>
      </c>
      <c r="C307" s="1034"/>
      <c r="D307" s="1034"/>
      <c r="E307" s="1034"/>
      <c r="F307" s="1034"/>
      <c r="G307" s="1033"/>
      <c r="H307" s="1033"/>
      <c r="I307" s="1033"/>
      <c r="J307" s="1033"/>
      <c r="K307" s="1033"/>
      <c r="L307" s="574"/>
      <c r="M307" s="51"/>
      <c r="N307" s="113">
        <f t="shared" si="33"/>
        <v>5073</v>
      </c>
      <c r="O307" s="581"/>
      <c r="P307" s="582">
        <v>0</v>
      </c>
      <c r="Q307" s="589"/>
      <c r="R307" s="576"/>
      <c r="S307" s="583">
        <f t="shared" si="34"/>
        <v>0</v>
      </c>
      <c r="T307" s="584">
        <v>0</v>
      </c>
      <c r="U307" s="51"/>
      <c r="V307" s="2120">
        <f t="shared" si="35"/>
        <v>0</v>
      </c>
      <c r="W307" s="43"/>
      <c r="X307" s="43"/>
      <c r="Y307" s="43"/>
      <c r="Z307" s="43"/>
    </row>
    <row r="308" spans="1:26">
      <c r="A308" s="88">
        <v>5078</v>
      </c>
      <c r="B308" s="378" t="s">
        <v>998</v>
      </c>
      <c r="C308" s="1034"/>
      <c r="D308" s="1034"/>
      <c r="E308" s="1034"/>
      <c r="F308" s="1034"/>
      <c r="G308" s="1033"/>
      <c r="H308" s="1033"/>
      <c r="I308" s="1033"/>
      <c r="J308" s="1033"/>
      <c r="K308" s="1033"/>
      <c r="L308" s="574"/>
      <c r="M308" s="51"/>
      <c r="N308" s="113">
        <f t="shared" si="33"/>
        <v>5078</v>
      </c>
      <c r="O308" s="581"/>
      <c r="P308" s="582">
        <v>0</v>
      </c>
      <c r="Q308" s="589"/>
      <c r="R308" s="576"/>
      <c r="S308" s="583">
        <f t="shared" si="34"/>
        <v>0</v>
      </c>
      <c r="T308" s="584">
        <v>0</v>
      </c>
      <c r="U308" s="51"/>
      <c r="V308" s="2120">
        <f t="shared" si="35"/>
        <v>0</v>
      </c>
      <c r="W308" s="43"/>
      <c r="X308" s="43"/>
      <c r="Y308" s="43"/>
      <c r="Z308" s="43"/>
    </row>
    <row r="309" spans="1:26">
      <c r="A309" s="88">
        <v>5081</v>
      </c>
      <c r="B309" s="378" t="s">
        <v>999</v>
      </c>
      <c r="C309" s="1034"/>
      <c r="D309" s="1034"/>
      <c r="E309" s="1034"/>
      <c r="F309" s="1034"/>
      <c r="G309" s="1034"/>
      <c r="H309" s="1034"/>
      <c r="I309" s="1034"/>
      <c r="J309" s="1034"/>
      <c r="K309" s="1034"/>
      <c r="L309" s="574"/>
      <c r="M309" s="51"/>
      <c r="N309" s="113">
        <f t="shared" si="33"/>
        <v>5081</v>
      </c>
      <c r="O309" s="581"/>
      <c r="P309" s="582">
        <v>0</v>
      </c>
      <c r="Q309" s="589"/>
      <c r="R309" s="576"/>
      <c r="S309" s="583">
        <f t="shared" si="34"/>
        <v>0</v>
      </c>
      <c r="T309" s="584">
        <v>0</v>
      </c>
      <c r="U309" s="51"/>
      <c r="V309" s="2120">
        <f t="shared" si="35"/>
        <v>0</v>
      </c>
      <c r="W309" s="43"/>
      <c r="X309" s="43"/>
      <c r="Y309" s="43"/>
      <c r="Z309" s="43"/>
    </row>
    <row r="310" spans="1:26">
      <c r="A310" s="88">
        <v>5082</v>
      </c>
      <c r="B310" s="378" t="s">
        <v>1000</v>
      </c>
      <c r="C310" s="1034"/>
      <c r="D310" s="1034"/>
      <c r="E310" s="1034"/>
      <c r="F310" s="1034"/>
      <c r="G310" s="1034"/>
      <c r="H310" s="1034"/>
      <c r="I310" s="1034"/>
      <c r="J310" s="1034"/>
      <c r="K310" s="1034"/>
      <c r="L310" s="574"/>
      <c r="M310" s="51"/>
      <c r="N310" s="113">
        <f t="shared" si="33"/>
        <v>5082</v>
      </c>
      <c r="O310" s="581"/>
      <c r="P310" s="582">
        <v>0</v>
      </c>
      <c r="Q310" s="589"/>
      <c r="R310" s="576"/>
      <c r="S310" s="583">
        <f t="shared" si="34"/>
        <v>0</v>
      </c>
      <c r="T310" s="584">
        <v>0</v>
      </c>
      <c r="U310" s="51"/>
      <c r="V310" s="2120">
        <f t="shared" si="35"/>
        <v>0</v>
      </c>
      <c r="W310" s="43"/>
      <c r="X310" s="43"/>
      <c r="Y310" s="43"/>
      <c r="Z310" s="43"/>
    </row>
    <row r="311" spans="1:26">
      <c r="A311" s="88">
        <v>5091</v>
      </c>
      <c r="B311" s="378" t="s">
        <v>123</v>
      </c>
      <c r="C311" s="1034"/>
      <c r="D311" s="1034"/>
      <c r="E311" s="1034"/>
      <c r="F311" s="1034"/>
      <c r="G311" s="1033"/>
      <c r="H311" s="1033"/>
      <c r="I311" s="1033"/>
      <c r="J311" s="1033"/>
      <c r="K311" s="1033"/>
      <c r="L311" s="574"/>
      <c r="M311" s="51"/>
      <c r="N311" s="113">
        <f t="shared" si="33"/>
        <v>5091</v>
      </c>
      <c r="O311" s="581"/>
      <c r="P311" s="582">
        <v>0</v>
      </c>
      <c r="Q311" s="122"/>
      <c r="R311" s="576"/>
      <c r="S311" s="583">
        <f t="shared" si="34"/>
        <v>0</v>
      </c>
      <c r="T311" s="584">
        <v>0</v>
      </c>
      <c r="U311" s="51"/>
      <c r="V311" s="2120">
        <f t="shared" si="35"/>
        <v>0</v>
      </c>
      <c r="W311" s="43"/>
      <c r="X311" s="43"/>
      <c r="Y311" s="43"/>
      <c r="Z311" s="43"/>
    </row>
    <row r="312" spans="1:26">
      <c r="A312" s="88">
        <v>5092</v>
      </c>
      <c r="B312" s="378" t="s">
        <v>124</v>
      </c>
      <c r="C312" s="1034"/>
      <c r="D312" s="1034"/>
      <c r="E312" s="1034"/>
      <c r="F312" s="1034"/>
      <c r="G312" s="1033"/>
      <c r="H312" s="1033"/>
      <c r="I312" s="1033"/>
      <c r="J312" s="1033"/>
      <c r="K312" s="1033"/>
      <c r="L312" s="574"/>
      <c r="M312" s="51"/>
      <c r="N312" s="113">
        <f t="shared" si="33"/>
        <v>5092</v>
      </c>
      <c r="O312" s="581"/>
      <c r="P312" s="582">
        <v>0</v>
      </c>
      <c r="Q312" s="122"/>
      <c r="R312" s="576"/>
      <c r="S312" s="583">
        <f t="shared" si="34"/>
        <v>0</v>
      </c>
      <c r="T312" s="584">
        <v>0</v>
      </c>
      <c r="U312" s="51"/>
      <c r="V312" s="2120">
        <f t="shared" si="35"/>
        <v>0</v>
      </c>
      <c r="W312" s="43"/>
      <c r="X312" s="43"/>
      <c r="Y312" s="43"/>
      <c r="Z312" s="43"/>
    </row>
    <row r="313" spans="1:26">
      <c r="A313" s="88">
        <v>5111</v>
      </c>
      <c r="B313" s="1032" t="s">
        <v>125</v>
      </c>
      <c r="C313" s="1034"/>
      <c r="D313" s="1034"/>
      <c r="E313" s="1034"/>
      <c r="F313" s="1034"/>
      <c r="G313" s="1033"/>
      <c r="H313" s="1033"/>
      <c r="I313" s="1033"/>
      <c r="J313" s="1033"/>
      <c r="K313" s="1033"/>
      <c r="L313" s="574"/>
      <c r="M313" s="51"/>
      <c r="N313" s="113">
        <f t="shared" si="33"/>
        <v>5111</v>
      </c>
      <c r="O313" s="581"/>
      <c r="P313" s="582">
        <v>0</v>
      </c>
      <c r="Q313" s="122"/>
      <c r="R313" s="576"/>
      <c r="S313" s="583">
        <f t="shared" si="34"/>
        <v>0</v>
      </c>
      <c r="T313" s="584">
        <v>0</v>
      </c>
      <c r="U313" s="51"/>
      <c r="V313" s="2120">
        <f t="shared" si="35"/>
        <v>0</v>
      </c>
      <c r="W313" s="43"/>
      <c r="X313" s="43"/>
      <c r="Y313" s="43"/>
      <c r="Z313" s="43"/>
    </row>
    <row r="314" spans="1:26">
      <c r="A314" s="88">
        <v>5112</v>
      </c>
      <c r="B314" s="1032" t="s">
        <v>1178</v>
      </c>
      <c r="C314" s="1034"/>
      <c r="D314" s="1034"/>
      <c r="E314" s="1034"/>
      <c r="F314" s="1034"/>
      <c r="G314" s="1033"/>
      <c r="H314" s="1033"/>
      <c r="I314" s="1033"/>
      <c r="J314" s="1033"/>
      <c r="K314" s="1033"/>
      <c r="L314" s="574"/>
      <c r="M314" s="51"/>
      <c r="N314" s="113">
        <f t="shared" si="33"/>
        <v>5112</v>
      </c>
      <c r="O314" s="581">
        <v>0</v>
      </c>
      <c r="P314" s="582">
        <v>0</v>
      </c>
      <c r="Q314" s="122">
        <v>0</v>
      </c>
      <c r="R314" s="576">
        <v>0</v>
      </c>
      <c r="S314" s="583">
        <f t="shared" si="34"/>
        <v>0</v>
      </c>
      <c r="T314" s="584">
        <v>0</v>
      </c>
      <c r="U314" s="51"/>
      <c r="V314" s="2120">
        <f t="shared" si="35"/>
        <v>0</v>
      </c>
      <c r="W314" s="43"/>
      <c r="X314" s="43"/>
      <c r="Y314" s="43"/>
      <c r="Z314" s="43"/>
    </row>
    <row r="315" spans="1:26">
      <c r="A315" s="88">
        <v>5113</v>
      </c>
      <c r="B315" s="1032" t="s">
        <v>126</v>
      </c>
      <c r="C315" s="1034"/>
      <c r="D315" s="1034"/>
      <c r="E315" s="1034"/>
      <c r="F315" s="1034"/>
      <c r="G315" s="1033"/>
      <c r="H315" s="1033"/>
      <c r="I315" s="1033"/>
      <c r="J315" s="1033"/>
      <c r="K315" s="1033"/>
      <c r="L315" s="574"/>
      <c r="M315" s="51"/>
      <c r="N315" s="113">
        <f t="shared" si="33"/>
        <v>5113</v>
      </c>
      <c r="O315" s="581"/>
      <c r="P315" s="582">
        <v>0</v>
      </c>
      <c r="Q315" s="122"/>
      <c r="R315" s="576"/>
      <c r="S315" s="583">
        <f t="shared" si="34"/>
        <v>0</v>
      </c>
      <c r="T315" s="584">
        <v>0</v>
      </c>
      <c r="U315" s="51"/>
      <c r="V315" s="2120">
        <f t="shared" si="35"/>
        <v>0</v>
      </c>
      <c r="W315" s="43"/>
      <c r="X315" s="43"/>
      <c r="Y315" s="43"/>
      <c r="Z315" s="43"/>
    </row>
    <row r="316" spans="1:26">
      <c r="A316" s="88">
        <v>5114</v>
      </c>
      <c r="B316" s="1032" t="s">
        <v>127</v>
      </c>
      <c r="C316" s="1034"/>
      <c r="D316" s="1034"/>
      <c r="E316" s="1034"/>
      <c r="F316" s="1034"/>
      <c r="G316" s="1033"/>
      <c r="H316" s="1033"/>
      <c r="I316" s="1033"/>
      <c r="J316" s="1033"/>
      <c r="K316" s="1033"/>
      <c r="L316" s="574"/>
      <c r="M316" s="51"/>
      <c r="N316" s="113">
        <f t="shared" si="33"/>
        <v>5114</v>
      </c>
      <c r="O316" s="581"/>
      <c r="P316" s="582">
        <v>0</v>
      </c>
      <c r="Q316" s="122"/>
      <c r="R316" s="576"/>
      <c r="S316" s="583">
        <f t="shared" si="34"/>
        <v>0</v>
      </c>
      <c r="T316" s="584">
        <v>0</v>
      </c>
      <c r="U316" s="51"/>
      <c r="V316" s="2120">
        <f t="shared" si="35"/>
        <v>0</v>
      </c>
      <c r="W316" s="43"/>
      <c r="X316" s="43"/>
      <c r="Y316" s="43"/>
      <c r="Z316" s="43"/>
    </row>
    <row r="317" spans="1:26">
      <c r="A317" s="88">
        <v>5121</v>
      </c>
      <c r="B317" s="1032" t="s">
        <v>128</v>
      </c>
      <c r="C317" s="1034"/>
      <c r="D317" s="1034"/>
      <c r="E317" s="1034"/>
      <c r="F317" s="1034"/>
      <c r="G317" s="1033"/>
      <c r="H317" s="1033"/>
      <c r="I317" s="1033"/>
      <c r="J317" s="1033"/>
      <c r="K317" s="1033"/>
      <c r="L317" s="574"/>
      <c r="M317" s="51"/>
      <c r="N317" s="113">
        <f t="shared" si="33"/>
        <v>5121</v>
      </c>
      <c r="O317" s="581"/>
      <c r="P317" s="582">
        <v>0</v>
      </c>
      <c r="Q317" s="122"/>
      <c r="R317" s="576"/>
      <c r="S317" s="583">
        <f t="shared" si="34"/>
        <v>0</v>
      </c>
      <c r="T317" s="584">
        <v>0</v>
      </c>
      <c r="U317" s="51"/>
      <c r="V317" s="2120">
        <f t="shared" si="35"/>
        <v>0</v>
      </c>
      <c r="W317" s="43"/>
      <c r="X317" s="43"/>
      <c r="Y317" s="43"/>
      <c r="Z317" s="43"/>
    </row>
    <row r="318" spans="1:26">
      <c r="A318" s="88">
        <v>5122</v>
      </c>
      <c r="B318" s="1032" t="s">
        <v>1163</v>
      </c>
      <c r="C318" s="1034"/>
      <c r="D318" s="1034"/>
      <c r="E318" s="1034"/>
      <c r="F318" s="1034"/>
      <c r="G318" s="1033"/>
      <c r="H318" s="1033"/>
      <c r="I318" s="1033"/>
      <c r="J318" s="1033"/>
      <c r="K318" s="1033"/>
      <c r="L318" s="574"/>
      <c r="M318" s="51"/>
      <c r="N318" s="113">
        <f t="shared" ref="N318:N344" si="36">+A318</f>
        <v>5122</v>
      </c>
      <c r="O318" s="581"/>
      <c r="P318" s="582">
        <v>0</v>
      </c>
      <c r="Q318" s="122"/>
      <c r="R318" s="576"/>
      <c r="S318" s="583">
        <f t="shared" si="34"/>
        <v>0</v>
      </c>
      <c r="T318" s="584">
        <v>0</v>
      </c>
      <c r="U318" s="51"/>
      <c r="V318" s="2120">
        <f t="shared" si="35"/>
        <v>0</v>
      </c>
      <c r="W318" s="43"/>
      <c r="X318" s="43"/>
      <c r="Y318" s="43"/>
      <c r="Z318" s="43"/>
    </row>
    <row r="319" spans="1:26">
      <c r="A319" s="88">
        <v>5123</v>
      </c>
      <c r="B319" s="1032" t="s">
        <v>129</v>
      </c>
      <c r="C319" s="1034"/>
      <c r="D319" s="1034"/>
      <c r="E319" s="1034"/>
      <c r="F319" s="1034"/>
      <c r="G319" s="1033"/>
      <c r="H319" s="1033"/>
      <c r="I319" s="1033"/>
      <c r="J319" s="1033"/>
      <c r="K319" s="1033"/>
      <c r="L319" s="574"/>
      <c r="M319" s="51"/>
      <c r="N319" s="113">
        <f t="shared" si="36"/>
        <v>5123</v>
      </c>
      <c r="O319" s="581"/>
      <c r="P319" s="582">
        <v>0</v>
      </c>
      <c r="Q319" s="122"/>
      <c r="R319" s="576"/>
      <c r="S319" s="583">
        <f t="shared" si="34"/>
        <v>0</v>
      </c>
      <c r="T319" s="584">
        <v>0</v>
      </c>
      <c r="U319" s="51"/>
      <c r="V319" s="2120">
        <f t="shared" si="35"/>
        <v>0</v>
      </c>
      <c r="W319" s="43"/>
      <c r="X319" s="43"/>
      <c r="Y319" s="43"/>
      <c r="Z319" s="43"/>
    </row>
    <row r="320" spans="1:26">
      <c r="A320" s="88">
        <v>5124</v>
      </c>
      <c r="B320" s="1032" t="s">
        <v>1164</v>
      </c>
      <c r="C320" s="1034"/>
      <c r="D320" s="1034"/>
      <c r="E320" s="1034"/>
      <c r="F320" s="1034"/>
      <c r="G320" s="1033"/>
      <c r="H320" s="1033"/>
      <c r="I320" s="1033"/>
      <c r="J320" s="1033"/>
      <c r="K320" s="1033"/>
      <c r="L320" s="574"/>
      <c r="M320" s="51"/>
      <c r="N320" s="113">
        <f t="shared" si="36"/>
        <v>5124</v>
      </c>
      <c r="O320" s="581"/>
      <c r="P320" s="582">
        <v>0</v>
      </c>
      <c r="Q320" s="122"/>
      <c r="R320" s="576"/>
      <c r="S320" s="583">
        <f t="shared" si="34"/>
        <v>0</v>
      </c>
      <c r="T320" s="584">
        <v>0</v>
      </c>
      <c r="U320" s="51"/>
      <c r="V320" s="2120">
        <f t="shared" si="35"/>
        <v>0</v>
      </c>
      <c r="W320" s="43"/>
      <c r="X320" s="43"/>
      <c r="Y320" s="43"/>
      <c r="Z320" s="43"/>
    </row>
    <row r="321" spans="1:26">
      <c r="A321" s="88">
        <v>5131</v>
      </c>
      <c r="B321" s="378" t="s">
        <v>130</v>
      </c>
      <c r="C321" s="1034"/>
      <c r="D321" s="1034"/>
      <c r="E321" s="1034"/>
      <c r="F321" s="1034"/>
      <c r="G321" s="1033"/>
      <c r="H321" s="1033"/>
      <c r="I321" s="1033"/>
      <c r="J321" s="1033"/>
      <c r="K321" s="1033"/>
      <c r="L321" s="574"/>
      <c r="M321" s="51"/>
      <c r="N321" s="113">
        <f t="shared" si="36"/>
        <v>5131</v>
      </c>
      <c r="O321" s="581"/>
      <c r="P321" s="582">
        <v>0</v>
      </c>
      <c r="Q321" s="122"/>
      <c r="R321" s="576"/>
      <c r="S321" s="583">
        <f t="shared" si="34"/>
        <v>0</v>
      </c>
      <c r="T321" s="584">
        <v>0</v>
      </c>
      <c r="U321" s="51"/>
      <c r="V321" s="2120">
        <f t="shared" si="35"/>
        <v>0</v>
      </c>
      <c r="W321" s="43"/>
      <c r="X321" s="43"/>
      <c r="Y321" s="43"/>
      <c r="Z321" s="43"/>
    </row>
    <row r="322" spans="1:26">
      <c r="A322" s="88">
        <v>5139</v>
      </c>
      <c r="B322" s="378" t="s">
        <v>135</v>
      </c>
      <c r="C322" s="1034"/>
      <c r="D322" s="1034"/>
      <c r="E322" s="1034"/>
      <c r="F322" s="1034"/>
      <c r="G322" s="1033"/>
      <c r="H322" s="1033"/>
      <c r="I322" s="1033"/>
      <c r="J322" s="1033"/>
      <c r="K322" s="1033"/>
      <c r="L322" s="574"/>
      <c r="M322" s="51"/>
      <c r="N322" s="113">
        <f t="shared" si="36"/>
        <v>5139</v>
      </c>
      <c r="O322" s="581"/>
      <c r="P322" s="576"/>
      <c r="Q322" s="122"/>
      <c r="R322" s="121"/>
      <c r="S322" s="583">
        <f t="shared" si="34"/>
        <v>0</v>
      </c>
      <c r="T322" s="580">
        <f>+IF(ABS(+O322+Q322)&lt;=ABS(P322+R322),-O322+P322-Q322+R322,0)</f>
        <v>0</v>
      </c>
      <c r="U322" s="51"/>
      <c r="V322" s="2119"/>
      <c r="W322" s="43"/>
      <c r="X322" s="43"/>
      <c r="Y322" s="43"/>
      <c r="Z322" s="43"/>
    </row>
    <row r="323" spans="1:26">
      <c r="A323" s="88">
        <v>5141</v>
      </c>
      <c r="B323" s="378" t="s">
        <v>131</v>
      </c>
      <c r="C323" s="1034"/>
      <c r="D323" s="1034"/>
      <c r="E323" s="1034"/>
      <c r="F323" s="1034"/>
      <c r="G323" s="1033"/>
      <c r="H323" s="1033"/>
      <c r="I323" s="1033"/>
      <c r="J323" s="1033"/>
      <c r="K323" s="1033"/>
      <c r="L323" s="574"/>
      <c r="M323" s="51"/>
      <c r="N323" s="113">
        <f t="shared" si="36"/>
        <v>5141</v>
      </c>
      <c r="O323" s="581"/>
      <c r="P323" s="582">
        <v>0</v>
      </c>
      <c r="Q323" s="122"/>
      <c r="R323" s="576"/>
      <c r="S323" s="583">
        <f t="shared" si="34"/>
        <v>0</v>
      </c>
      <c r="T323" s="584">
        <v>0</v>
      </c>
      <c r="U323" s="51"/>
      <c r="V323" s="2120">
        <f>+IF(OR(ROUND(P323,2)+ROUND(R323,2)&gt;+ROUND(O323,2)+ROUND(Q323,2),+ABS(ROUND(P323,2)+ROUND(R323,2))&gt;+ABS(ROUND(O323,2)+ROUND(Q323,2))),+(ROUND(P323,2)+ROUND(R323,2))-(ROUND(O323,2)+ROUND(Q323,2)),0)</f>
        <v>0</v>
      </c>
      <c r="W323" s="43"/>
      <c r="X323" s="43"/>
      <c r="Y323" s="43"/>
      <c r="Z323" s="43"/>
    </row>
    <row r="324" spans="1:26">
      <c r="A324" s="88">
        <v>5142</v>
      </c>
      <c r="B324" s="378" t="s">
        <v>132</v>
      </c>
      <c r="C324" s="1034"/>
      <c r="D324" s="1034"/>
      <c r="E324" s="1034"/>
      <c r="F324" s="1034"/>
      <c r="G324" s="1033"/>
      <c r="H324" s="1033"/>
      <c r="I324" s="1033"/>
      <c r="J324" s="1033"/>
      <c r="K324" s="1033"/>
      <c r="L324" s="574"/>
      <c r="M324" s="51"/>
      <c r="N324" s="113">
        <f t="shared" si="36"/>
        <v>5142</v>
      </c>
      <c r="O324" s="581"/>
      <c r="P324" s="582">
        <v>0</v>
      </c>
      <c r="Q324" s="122"/>
      <c r="R324" s="576"/>
      <c r="S324" s="583">
        <f t="shared" si="34"/>
        <v>0</v>
      </c>
      <c r="T324" s="584">
        <v>0</v>
      </c>
      <c r="U324" s="51"/>
      <c r="V324" s="2120">
        <f>+IF(OR(ROUND(P324,2)+ROUND(R324,2)&gt;+ROUND(O324,2)+ROUND(Q324,2),+ABS(ROUND(P324,2)+ROUND(R324,2))&gt;+ABS(ROUND(O324,2)+ROUND(Q324,2))),+(ROUND(P324,2)+ROUND(R324,2))-(ROUND(O324,2)+ROUND(Q324,2)),0)</f>
        <v>0</v>
      </c>
      <c r="W324" s="43"/>
      <c r="X324" s="43"/>
      <c r="Y324" s="43"/>
      <c r="Z324" s="43"/>
    </row>
    <row r="325" spans="1:26">
      <c r="A325" s="88">
        <v>5143</v>
      </c>
      <c r="B325" s="378" t="s">
        <v>133</v>
      </c>
      <c r="C325" s="1033"/>
      <c r="D325" s="1033"/>
      <c r="E325" s="1033"/>
      <c r="F325" s="1033"/>
      <c r="G325" s="1033"/>
      <c r="H325" s="1033"/>
      <c r="I325" s="1033"/>
      <c r="J325" s="1033"/>
      <c r="K325" s="1033"/>
      <c r="L325" s="574"/>
      <c r="M325" s="51"/>
      <c r="N325" s="113">
        <f t="shared" si="36"/>
        <v>5143</v>
      </c>
      <c r="O325" s="581"/>
      <c r="P325" s="582">
        <v>0</v>
      </c>
      <c r="Q325" s="122"/>
      <c r="R325" s="576"/>
      <c r="S325" s="583">
        <f t="shared" si="34"/>
        <v>0</v>
      </c>
      <c r="T325" s="584">
        <v>0</v>
      </c>
      <c r="U325" s="51"/>
      <c r="V325" s="2120">
        <f>+IF(OR(ROUND(P325,2)+ROUND(R325,2)&gt;+ROUND(O325,2)+ROUND(Q325,2),+ABS(ROUND(P325,2)+ROUND(R325,2))&gt;+ABS(ROUND(O325,2)+ROUND(Q325,2))),+(ROUND(P325,2)+ROUND(R325,2))-(ROUND(O325,2)+ROUND(Q325,2)),0)</f>
        <v>0</v>
      </c>
      <c r="W325" s="43"/>
      <c r="X325" s="43"/>
      <c r="Y325" s="43"/>
      <c r="Z325" s="43"/>
    </row>
    <row r="326" spans="1:26">
      <c r="A326" s="88">
        <v>5144</v>
      </c>
      <c r="B326" s="378" t="s">
        <v>134</v>
      </c>
      <c r="C326" s="1033"/>
      <c r="D326" s="1033"/>
      <c r="E326" s="1033"/>
      <c r="F326" s="1033"/>
      <c r="G326" s="1033"/>
      <c r="H326" s="1033"/>
      <c r="I326" s="1033"/>
      <c r="J326" s="1033"/>
      <c r="K326" s="1033"/>
      <c r="L326" s="574"/>
      <c r="M326" s="51"/>
      <c r="N326" s="113">
        <f t="shared" si="36"/>
        <v>5144</v>
      </c>
      <c r="O326" s="581"/>
      <c r="P326" s="582">
        <v>0</v>
      </c>
      <c r="Q326" s="122"/>
      <c r="R326" s="576"/>
      <c r="S326" s="583">
        <f t="shared" si="34"/>
        <v>0</v>
      </c>
      <c r="T326" s="584">
        <v>0</v>
      </c>
      <c r="U326" s="51"/>
      <c r="V326" s="2120">
        <f>+IF(OR(ROUND(P326,2)+ROUND(R326,2)&gt;+ROUND(O326,2)+ROUND(Q326,2),+ABS(ROUND(P326,2)+ROUND(R326,2))&gt;+ABS(ROUND(O326,2)+ROUND(Q326,2))),+(ROUND(P326,2)+ROUND(R326,2))-(ROUND(O326,2)+ROUND(Q326,2)),0)</f>
        <v>0</v>
      </c>
      <c r="W326" s="43"/>
      <c r="X326" s="43"/>
      <c r="Y326" s="43"/>
      <c r="Z326" s="43"/>
    </row>
    <row r="327" spans="1:26">
      <c r="A327" s="88">
        <v>5145</v>
      </c>
      <c r="B327" s="378" t="s">
        <v>136</v>
      </c>
      <c r="C327" s="1033"/>
      <c r="D327" s="1033"/>
      <c r="E327" s="1033"/>
      <c r="F327" s="1033"/>
      <c r="G327" s="1033"/>
      <c r="H327" s="1033"/>
      <c r="I327" s="1033"/>
      <c r="J327" s="1033"/>
      <c r="K327" s="1033"/>
      <c r="L327" s="574"/>
      <c r="M327" s="51"/>
      <c r="N327" s="113">
        <f t="shared" si="36"/>
        <v>5145</v>
      </c>
      <c r="O327" s="581"/>
      <c r="P327" s="576"/>
      <c r="Q327" s="122"/>
      <c r="R327" s="121"/>
      <c r="S327" s="583">
        <f t="shared" si="34"/>
        <v>0</v>
      </c>
      <c r="T327" s="580">
        <f>+IF(ABS(+O327+Q327)&lt;=ABS(P327+R327),-O327+P327-Q327+R327,0)</f>
        <v>0</v>
      </c>
      <c r="U327" s="51"/>
      <c r="V327" s="2119"/>
      <c r="W327" s="43"/>
      <c r="X327" s="43"/>
      <c r="Y327" s="43"/>
      <c r="Z327" s="43"/>
    </row>
    <row r="328" spans="1:26">
      <c r="A328" s="88">
        <v>5146</v>
      </c>
      <c r="B328" s="378" t="s">
        <v>137</v>
      </c>
      <c r="C328" s="1033"/>
      <c r="D328" s="1033"/>
      <c r="E328" s="1033"/>
      <c r="F328" s="1033"/>
      <c r="G328" s="1033"/>
      <c r="H328" s="1033"/>
      <c r="I328" s="1033"/>
      <c r="J328" s="1033"/>
      <c r="K328" s="1033"/>
      <c r="L328" s="574"/>
      <c r="M328" s="51"/>
      <c r="N328" s="113">
        <f t="shared" si="36"/>
        <v>5146</v>
      </c>
      <c r="O328" s="581"/>
      <c r="P328" s="576"/>
      <c r="Q328" s="589"/>
      <c r="R328" s="576"/>
      <c r="S328" s="583">
        <f t="shared" si="34"/>
        <v>0</v>
      </c>
      <c r="T328" s="580">
        <f>+IF(ABS(+O328+Q328)&lt;=ABS(P328+R328),-O328+P328-Q328+R328,0)</f>
        <v>0</v>
      </c>
      <c r="U328" s="51"/>
      <c r="V328" s="2119"/>
      <c r="W328" s="43"/>
      <c r="X328" s="43"/>
      <c r="Y328" s="43"/>
      <c r="Z328" s="43"/>
    </row>
    <row r="329" spans="1:26">
      <c r="A329" s="88">
        <v>5147</v>
      </c>
      <c r="B329" s="378" t="s">
        <v>138</v>
      </c>
      <c r="C329" s="1033"/>
      <c r="D329" s="1033"/>
      <c r="E329" s="1033"/>
      <c r="F329" s="1033"/>
      <c r="G329" s="1033"/>
      <c r="H329" s="1033"/>
      <c r="I329" s="1033"/>
      <c r="J329" s="1033"/>
      <c r="K329" s="1033"/>
      <c r="L329" s="574"/>
      <c r="M329" s="51"/>
      <c r="N329" s="113">
        <f t="shared" si="36"/>
        <v>5147</v>
      </c>
      <c r="O329" s="581"/>
      <c r="P329" s="576"/>
      <c r="Q329" s="589"/>
      <c r="R329" s="576"/>
      <c r="S329" s="583">
        <f t="shared" si="34"/>
        <v>0</v>
      </c>
      <c r="T329" s="580">
        <f>+IF(ABS(+O329+Q329)&lt;=ABS(P329+R329),-O329+P329-Q329+R329,0)</f>
        <v>0</v>
      </c>
      <c r="U329" s="51"/>
      <c r="V329" s="2119"/>
      <c r="W329" s="43"/>
      <c r="X329" s="43"/>
      <c r="Y329" s="43"/>
      <c r="Z329" s="43"/>
    </row>
    <row r="330" spans="1:26">
      <c r="A330" s="88">
        <v>5148</v>
      </c>
      <c r="B330" s="378" t="s">
        <v>139</v>
      </c>
      <c r="C330" s="1033"/>
      <c r="D330" s="1033"/>
      <c r="E330" s="1033"/>
      <c r="F330" s="1033"/>
      <c r="G330" s="1033"/>
      <c r="H330" s="1033"/>
      <c r="I330" s="1033"/>
      <c r="J330" s="1033"/>
      <c r="K330" s="1033"/>
      <c r="L330" s="574"/>
      <c r="M330" s="51"/>
      <c r="N330" s="113">
        <f t="shared" si="36"/>
        <v>5148</v>
      </c>
      <c r="O330" s="581"/>
      <c r="P330" s="576"/>
      <c r="Q330" s="589"/>
      <c r="R330" s="576"/>
      <c r="S330" s="583">
        <f t="shared" si="34"/>
        <v>0</v>
      </c>
      <c r="T330" s="580">
        <f>+IF(ABS(+O330+Q330)&lt;=ABS(P330+R330),-O330+P330-Q330+R330,0)</f>
        <v>0</v>
      </c>
      <c r="U330" s="51"/>
      <c r="V330" s="2119"/>
      <c r="W330" s="43"/>
      <c r="X330" s="43"/>
      <c r="Y330" s="43"/>
      <c r="Z330" s="43"/>
    </row>
    <row r="331" spans="1:26">
      <c r="A331" s="88">
        <v>5181</v>
      </c>
      <c r="B331" s="378" t="s">
        <v>140</v>
      </c>
      <c r="C331" s="1033"/>
      <c r="D331" s="1033"/>
      <c r="E331" s="1033"/>
      <c r="F331" s="1033"/>
      <c r="G331" s="1033"/>
      <c r="H331" s="1033"/>
      <c r="I331" s="1033"/>
      <c r="J331" s="1033"/>
      <c r="K331" s="1033"/>
      <c r="L331" s="574"/>
      <c r="M331" s="51"/>
      <c r="N331" s="113">
        <f t="shared" si="36"/>
        <v>5181</v>
      </c>
      <c r="O331" s="581"/>
      <c r="P331" s="582">
        <v>0</v>
      </c>
      <c r="Q331" s="589"/>
      <c r="R331" s="576"/>
      <c r="S331" s="583">
        <f t="shared" si="34"/>
        <v>0</v>
      </c>
      <c r="T331" s="584">
        <v>0</v>
      </c>
      <c r="U331" s="51"/>
      <c r="V331" s="2120">
        <f t="shared" ref="V331:V336" si="37">+IF(OR(ROUND(P331,2)+ROUND(R331,2)&gt;+ROUND(O331,2)+ROUND(Q331,2),+ABS(ROUND(P331,2)+ROUND(R331,2))&gt;+ABS(ROUND(O331,2)+ROUND(Q331,2))),+(ROUND(P331,2)+ROUND(R331,2))-(ROUND(O331,2)+ROUND(Q331,2)),0)</f>
        <v>0</v>
      </c>
      <c r="W331" s="43"/>
      <c r="X331" s="43"/>
      <c r="Y331" s="43"/>
      <c r="Z331" s="43"/>
    </row>
    <row r="332" spans="1:26">
      <c r="A332" s="88">
        <v>5184</v>
      </c>
      <c r="B332" s="378" t="s">
        <v>141</v>
      </c>
      <c r="C332" s="1033"/>
      <c r="D332" s="1033"/>
      <c r="E332" s="1033"/>
      <c r="F332" s="1033"/>
      <c r="G332" s="1033"/>
      <c r="H332" s="1033"/>
      <c r="I332" s="1033"/>
      <c r="J332" s="1033"/>
      <c r="K332" s="1033"/>
      <c r="L332" s="574"/>
      <c r="M332" s="51"/>
      <c r="N332" s="113">
        <f t="shared" si="36"/>
        <v>5184</v>
      </c>
      <c r="O332" s="581"/>
      <c r="P332" s="582">
        <v>0</v>
      </c>
      <c r="Q332" s="589"/>
      <c r="R332" s="576"/>
      <c r="S332" s="583">
        <f t="shared" si="34"/>
        <v>0</v>
      </c>
      <c r="T332" s="584">
        <v>0</v>
      </c>
      <c r="U332" s="51"/>
      <c r="V332" s="2120">
        <f t="shared" si="37"/>
        <v>0</v>
      </c>
      <c r="W332" s="43"/>
      <c r="X332" s="43"/>
      <c r="Y332" s="43"/>
      <c r="Z332" s="43"/>
    </row>
    <row r="333" spans="1:26">
      <c r="A333" s="88">
        <v>5186</v>
      </c>
      <c r="B333" s="378" t="s">
        <v>773</v>
      </c>
      <c r="C333" s="1033"/>
      <c r="D333" s="1033"/>
      <c r="E333" s="1033"/>
      <c r="F333" s="1033"/>
      <c r="G333" s="1033"/>
      <c r="H333" s="1033"/>
      <c r="I333" s="1033"/>
      <c r="J333" s="1033"/>
      <c r="K333" s="1033"/>
      <c r="L333" s="574"/>
      <c r="M333" s="51"/>
      <c r="N333" s="113">
        <f t="shared" si="36"/>
        <v>5186</v>
      </c>
      <c r="O333" s="581"/>
      <c r="P333" s="582">
        <v>0</v>
      </c>
      <c r="Q333" s="589"/>
      <c r="R333" s="576"/>
      <c r="S333" s="583">
        <f t="shared" si="34"/>
        <v>0</v>
      </c>
      <c r="T333" s="584">
        <v>0</v>
      </c>
      <c r="U333" s="51"/>
      <c r="V333" s="2120">
        <f t="shared" si="37"/>
        <v>0</v>
      </c>
      <c r="W333" s="43"/>
      <c r="X333" s="43"/>
      <c r="Y333" s="43"/>
      <c r="Z333" s="43"/>
    </row>
    <row r="334" spans="1:26">
      <c r="A334" s="88">
        <v>5188</v>
      </c>
      <c r="B334" s="378" t="s">
        <v>774</v>
      </c>
      <c r="C334" s="1033"/>
      <c r="D334" s="1033"/>
      <c r="E334" s="1033"/>
      <c r="F334" s="1033"/>
      <c r="G334" s="1033"/>
      <c r="H334" s="1033"/>
      <c r="I334" s="1033"/>
      <c r="J334" s="1033"/>
      <c r="K334" s="1033"/>
      <c r="L334" s="574"/>
      <c r="M334" s="51"/>
      <c r="N334" s="113">
        <f t="shared" si="36"/>
        <v>5188</v>
      </c>
      <c r="O334" s="581"/>
      <c r="P334" s="582">
        <v>0</v>
      </c>
      <c r="Q334" s="589"/>
      <c r="R334" s="576"/>
      <c r="S334" s="583">
        <f t="shared" si="34"/>
        <v>0</v>
      </c>
      <c r="T334" s="584">
        <v>0</v>
      </c>
      <c r="U334" s="51"/>
      <c r="V334" s="2120">
        <f t="shared" si="37"/>
        <v>0</v>
      </c>
      <c r="W334" s="43"/>
      <c r="X334" s="43"/>
      <c r="Y334" s="43"/>
      <c r="Z334" s="43"/>
    </row>
    <row r="335" spans="1:26">
      <c r="A335" s="88">
        <v>5189</v>
      </c>
      <c r="B335" s="378" t="s">
        <v>775</v>
      </c>
      <c r="C335" s="1033"/>
      <c r="D335" s="1033"/>
      <c r="E335" s="1033"/>
      <c r="F335" s="1033"/>
      <c r="G335" s="1033"/>
      <c r="H335" s="1033"/>
      <c r="I335" s="1033"/>
      <c r="J335" s="1033"/>
      <c r="K335" s="1033"/>
      <c r="L335" s="574"/>
      <c r="M335" s="51"/>
      <c r="N335" s="113">
        <f t="shared" si="36"/>
        <v>5189</v>
      </c>
      <c r="O335" s="581"/>
      <c r="P335" s="582">
        <v>0</v>
      </c>
      <c r="Q335" s="589"/>
      <c r="R335" s="576"/>
      <c r="S335" s="583">
        <f t="shared" si="34"/>
        <v>0</v>
      </c>
      <c r="T335" s="584">
        <v>0</v>
      </c>
      <c r="U335" s="51"/>
      <c r="V335" s="2120">
        <f t="shared" si="37"/>
        <v>0</v>
      </c>
      <c r="W335" s="43"/>
      <c r="X335" s="43"/>
      <c r="Y335" s="43"/>
      <c r="Z335" s="43"/>
    </row>
    <row r="336" spans="1:26">
      <c r="A336" s="88">
        <v>5191</v>
      </c>
      <c r="B336" s="1032" t="s">
        <v>1165</v>
      </c>
      <c r="C336" s="1033"/>
      <c r="D336" s="1033"/>
      <c r="E336" s="1033"/>
      <c r="F336" s="1033"/>
      <c r="G336" s="1033"/>
      <c r="H336" s="1033"/>
      <c r="I336" s="1033"/>
      <c r="J336" s="1033"/>
      <c r="K336" s="1033"/>
      <c r="L336" s="574"/>
      <c r="M336" s="51"/>
      <c r="N336" s="113">
        <f t="shared" si="36"/>
        <v>5191</v>
      </c>
      <c r="O336" s="581"/>
      <c r="P336" s="582">
        <v>0</v>
      </c>
      <c r="Q336" s="325"/>
      <c r="R336" s="576"/>
      <c r="S336" s="583">
        <f t="shared" si="34"/>
        <v>0</v>
      </c>
      <c r="T336" s="584">
        <v>0</v>
      </c>
      <c r="U336" s="51"/>
      <c r="V336" s="2120">
        <f t="shared" si="37"/>
        <v>0</v>
      </c>
      <c r="W336" s="43"/>
      <c r="X336" s="43"/>
      <c r="Y336" s="43"/>
      <c r="Z336" s="43"/>
    </row>
    <row r="337" spans="1:26">
      <c r="A337" s="88">
        <v>5192</v>
      </c>
      <c r="B337" s="1032" t="s">
        <v>1166</v>
      </c>
      <c r="C337" s="1033"/>
      <c r="D337" s="1033"/>
      <c r="E337" s="1033"/>
      <c r="F337" s="1033"/>
      <c r="G337" s="1033"/>
      <c r="H337" s="1033"/>
      <c r="I337" s="1033"/>
      <c r="J337" s="1033"/>
      <c r="K337" s="1033"/>
      <c r="L337" s="574"/>
      <c r="M337" s="51"/>
      <c r="N337" s="113">
        <f t="shared" si="36"/>
        <v>5192</v>
      </c>
      <c r="O337" s="575">
        <v>0</v>
      </c>
      <c r="P337" s="576"/>
      <c r="Q337" s="325"/>
      <c r="R337" s="324"/>
      <c r="S337" s="579">
        <v>0</v>
      </c>
      <c r="T337" s="580">
        <f>+IF(ABS(+O337+Q337)&lt;=ABS(P337+R337),-O337+P337-Q337+R337,0)</f>
        <v>0</v>
      </c>
      <c r="U337" s="51"/>
      <c r="V337" s="2119">
        <f>+IF(OR(+ROUND(O337,2)+ROUND(Q337,2)&gt;ROUND(P337,2)+ROUND(R337,2),+ABS(ROUND(O337,2)+ROUND(Q337,2))&gt;+ABS(ROUND(P337,2)+ROUND(R337,2))),+(ROUND(O337,2)+ROUND(Q337,2))-(ROUND(P337,2)+ROUND(R337,2)),0)</f>
        <v>0</v>
      </c>
      <c r="W337" s="43"/>
      <c r="X337" s="43"/>
      <c r="Y337" s="43"/>
      <c r="Z337" s="43"/>
    </row>
    <row r="338" spans="1:26">
      <c r="A338" s="88">
        <v>5197</v>
      </c>
      <c r="B338" s="1032" t="s">
        <v>1167</v>
      </c>
      <c r="C338" s="1033"/>
      <c r="D338" s="1033"/>
      <c r="E338" s="1033"/>
      <c r="F338" s="1033"/>
      <c r="G338" s="1033"/>
      <c r="H338" s="1033"/>
      <c r="I338" s="1033"/>
      <c r="J338" s="1033"/>
      <c r="K338" s="1033"/>
      <c r="L338" s="574"/>
      <c r="M338" s="51"/>
      <c r="N338" s="113">
        <f t="shared" si="36"/>
        <v>5197</v>
      </c>
      <c r="O338" s="581"/>
      <c r="P338" s="582">
        <v>0</v>
      </c>
      <c r="Q338" s="589"/>
      <c r="R338" s="576"/>
      <c r="S338" s="583">
        <f t="shared" ref="S338:S343" si="38">+IF(ABS(+O338+Q338)&gt;=ABS(P338+R338),+O338-P338+Q338-R338,0)</f>
        <v>0</v>
      </c>
      <c r="T338" s="584">
        <v>0</v>
      </c>
      <c r="U338" s="51"/>
      <c r="V338" s="2120">
        <f t="shared" ref="V338:V343" si="39">+IF(OR(ROUND(P338,2)+ROUND(R338,2)&gt;+ROUND(O338,2)+ROUND(Q338,2),+ABS(ROUND(P338,2)+ROUND(R338,2))&gt;+ABS(ROUND(O338,2)+ROUND(Q338,2))),+(ROUND(P338,2)+ROUND(R338,2))-(ROUND(O338,2)+ROUND(Q338,2)),0)</f>
        <v>0</v>
      </c>
      <c r="W338" s="43"/>
      <c r="X338" s="43"/>
      <c r="Y338" s="43"/>
      <c r="Z338" s="43"/>
    </row>
    <row r="339" spans="1:26">
      <c r="A339" s="88">
        <v>5198</v>
      </c>
      <c r="B339" s="1032" t="s">
        <v>1168</v>
      </c>
      <c r="C339" s="1033"/>
      <c r="D339" s="1033"/>
      <c r="E339" s="1033"/>
      <c r="F339" s="1033"/>
      <c r="G339" s="1033"/>
      <c r="H339" s="1033"/>
      <c r="I339" s="1033"/>
      <c r="J339" s="1033"/>
      <c r="K339" s="1033"/>
      <c r="L339" s="574"/>
      <c r="M339" s="51"/>
      <c r="N339" s="113">
        <f t="shared" si="36"/>
        <v>5198</v>
      </c>
      <c r="O339" s="581"/>
      <c r="P339" s="582">
        <v>0</v>
      </c>
      <c r="Q339" s="589"/>
      <c r="R339" s="576"/>
      <c r="S339" s="583">
        <f t="shared" si="38"/>
        <v>0</v>
      </c>
      <c r="T339" s="584">
        <v>0</v>
      </c>
      <c r="U339" s="51"/>
      <c r="V339" s="2120">
        <f t="shared" si="39"/>
        <v>0</v>
      </c>
      <c r="W339" s="43"/>
      <c r="X339" s="43"/>
      <c r="Y339" s="43"/>
      <c r="Z339" s="43"/>
    </row>
    <row r="340" spans="1:26">
      <c r="A340" s="88">
        <v>5211</v>
      </c>
      <c r="B340" s="378" t="s">
        <v>776</v>
      </c>
      <c r="C340" s="1033"/>
      <c r="D340" s="1033"/>
      <c r="E340" s="1033"/>
      <c r="F340" s="1033"/>
      <c r="G340" s="1033"/>
      <c r="H340" s="1033"/>
      <c r="I340" s="1033"/>
      <c r="J340" s="1033"/>
      <c r="K340" s="1033"/>
      <c r="L340" s="574"/>
      <c r="M340" s="51"/>
      <c r="N340" s="113">
        <f t="shared" si="36"/>
        <v>5211</v>
      </c>
      <c r="O340" s="581"/>
      <c r="P340" s="582">
        <v>0</v>
      </c>
      <c r="Q340" s="122"/>
      <c r="R340" s="576"/>
      <c r="S340" s="583">
        <f t="shared" si="38"/>
        <v>0</v>
      </c>
      <c r="T340" s="584">
        <v>0</v>
      </c>
      <c r="U340" s="51"/>
      <c r="V340" s="2120">
        <f t="shared" si="39"/>
        <v>0</v>
      </c>
      <c r="W340" s="43"/>
      <c r="X340" s="43"/>
      <c r="Y340" s="43"/>
      <c r="Z340" s="43"/>
    </row>
    <row r="341" spans="1:26">
      <c r="A341" s="88">
        <v>5213</v>
      </c>
      <c r="B341" s="378" t="s">
        <v>777</v>
      </c>
      <c r="C341" s="1033"/>
      <c r="D341" s="1033"/>
      <c r="E341" s="1033"/>
      <c r="F341" s="1033"/>
      <c r="G341" s="1033"/>
      <c r="H341" s="1033"/>
      <c r="I341" s="1033"/>
      <c r="J341" s="1033"/>
      <c r="K341" s="1033"/>
      <c r="L341" s="574"/>
      <c r="M341" s="51"/>
      <c r="N341" s="113">
        <f t="shared" si="36"/>
        <v>5213</v>
      </c>
      <c r="O341" s="581"/>
      <c r="P341" s="582">
        <v>0</v>
      </c>
      <c r="Q341" s="122"/>
      <c r="R341" s="576"/>
      <c r="S341" s="583">
        <f t="shared" si="38"/>
        <v>0</v>
      </c>
      <c r="T341" s="584">
        <v>0</v>
      </c>
      <c r="U341" s="51"/>
      <c r="V341" s="2120">
        <f t="shared" si="39"/>
        <v>0</v>
      </c>
      <c r="W341" s="43"/>
      <c r="X341" s="43"/>
      <c r="Y341" s="43"/>
      <c r="Z341" s="43"/>
    </row>
    <row r="342" spans="1:26">
      <c r="A342" s="88">
        <v>5215</v>
      </c>
      <c r="B342" s="378" t="s">
        <v>778</v>
      </c>
      <c r="C342" s="1033"/>
      <c r="D342" s="1033"/>
      <c r="E342" s="1033"/>
      <c r="F342" s="1033"/>
      <c r="G342" s="1033"/>
      <c r="H342" s="1033"/>
      <c r="I342" s="1033"/>
      <c r="J342" s="1033"/>
      <c r="K342" s="1033"/>
      <c r="L342" s="574"/>
      <c r="M342" s="51"/>
      <c r="N342" s="113">
        <f t="shared" si="36"/>
        <v>5215</v>
      </c>
      <c r="O342" s="581"/>
      <c r="P342" s="582">
        <v>0</v>
      </c>
      <c r="Q342" s="122"/>
      <c r="R342" s="576"/>
      <c r="S342" s="583">
        <f t="shared" si="38"/>
        <v>0</v>
      </c>
      <c r="T342" s="584">
        <v>0</v>
      </c>
      <c r="U342" s="51"/>
      <c r="V342" s="2120">
        <f t="shared" si="39"/>
        <v>0</v>
      </c>
      <c r="W342" s="43"/>
      <c r="X342" s="43"/>
      <c r="Y342" s="43"/>
      <c r="Z342" s="43"/>
    </row>
    <row r="343" spans="1:26">
      <c r="A343" s="88">
        <v>5217</v>
      </c>
      <c r="B343" s="378" t="s">
        <v>779</v>
      </c>
      <c r="C343" s="1033"/>
      <c r="D343" s="1033"/>
      <c r="E343" s="1033"/>
      <c r="F343" s="1033"/>
      <c r="G343" s="1033"/>
      <c r="H343" s="1033"/>
      <c r="I343" s="1033"/>
      <c r="J343" s="1033"/>
      <c r="K343" s="1033"/>
      <c r="L343" s="574"/>
      <c r="M343" s="51"/>
      <c r="N343" s="113">
        <f t="shared" si="36"/>
        <v>5217</v>
      </c>
      <c r="O343" s="581"/>
      <c r="P343" s="582">
        <v>0</v>
      </c>
      <c r="Q343" s="122"/>
      <c r="R343" s="576"/>
      <c r="S343" s="583">
        <f t="shared" si="38"/>
        <v>0</v>
      </c>
      <c r="T343" s="584">
        <v>0</v>
      </c>
      <c r="U343" s="51"/>
      <c r="V343" s="2120">
        <f t="shared" si="39"/>
        <v>0</v>
      </c>
      <c r="W343" s="43"/>
      <c r="X343" s="43"/>
      <c r="Y343" s="43"/>
      <c r="Z343" s="43"/>
    </row>
    <row r="344" spans="1:26">
      <c r="A344" s="88">
        <v>5221</v>
      </c>
      <c r="B344" s="378" t="s">
        <v>780</v>
      </c>
      <c r="C344" s="1033"/>
      <c r="D344" s="1033"/>
      <c r="E344" s="1033"/>
      <c r="F344" s="1033"/>
      <c r="G344" s="1033"/>
      <c r="H344" s="1033"/>
      <c r="I344" s="1033"/>
      <c r="J344" s="1033"/>
      <c r="K344" s="1033"/>
      <c r="L344" s="574"/>
      <c r="M344" s="51"/>
      <c r="N344" s="113">
        <f t="shared" si="36"/>
        <v>5221</v>
      </c>
      <c r="O344" s="581"/>
      <c r="P344" s="576"/>
      <c r="Q344" s="589"/>
      <c r="R344" s="576"/>
      <c r="S344" s="583">
        <f t="shared" si="34"/>
        <v>0</v>
      </c>
      <c r="T344" s="580">
        <f>+IF(ABS(+O344+Q344)&lt;=ABS(P344+R344),-O344+P344-Q344+R344,0)</f>
        <v>0</v>
      </c>
      <c r="U344" s="51"/>
      <c r="V344" s="2119"/>
      <c r="W344" s="43"/>
      <c r="X344" s="43"/>
      <c r="Y344" s="43"/>
      <c r="Z344" s="43"/>
    </row>
    <row r="345" spans="1:26">
      <c r="A345" s="88">
        <v>5223</v>
      </c>
      <c r="B345" s="378" t="s">
        <v>781</v>
      </c>
      <c r="C345" s="1033"/>
      <c r="D345" s="1033"/>
      <c r="E345" s="1033"/>
      <c r="F345" s="1033"/>
      <c r="G345" s="1033"/>
      <c r="H345" s="1033"/>
      <c r="I345" s="1033"/>
      <c r="J345" s="1033"/>
      <c r="K345" s="1033"/>
      <c r="L345" s="574"/>
      <c r="M345" s="51"/>
      <c r="N345" s="113">
        <f t="shared" ref="N345:N375" si="40">+A345</f>
        <v>5223</v>
      </c>
      <c r="O345" s="581"/>
      <c r="P345" s="576"/>
      <c r="Q345" s="589"/>
      <c r="R345" s="576"/>
      <c r="S345" s="583">
        <f t="shared" si="34"/>
        <v>0</v>
      </c>
      <c r="T345" s="580">
        <f>+IF(ABS(+O345+Q345)&lt;=ABS(P345+R345),-O345+P345-Q345+R345,0)</f>
        <v>0</v>
      </c>
      <c r="U345" s="51"/>
      <c r="V345" s="2119"/>
      <c r="W345" s="43"/>
      <c r="X345" s="43"/>
      <c r="Y345" s="43"/>
      <c r="Z345" s="43"/>
    </row>
    <row r="346" spans="1:26">
      <c r="A346" s="88">
        <v>5231</v>
      </c>
      <c r="B346" s="378" t="s">
        <v>782</v>
      </c>
      <c r="C346" s="1033"/>
      <c r="D346" s="1033"/>
      <c r="E346" s="1033"/>
      <c r="F346" s="1033"/>
      <c r="G346" s="1033"/>
      <c r="H346" s="1033"/>
      <c r="I346" s="1033"/>
      <c r="J346" s="1033"/>
      <c r="K346" s="1033"/>
      <c r="L346" s="574"/>
      <c r="M346" s="51"/>
      <c r="N346" s="113">
        <f t="shared" si="40"/>
        <v>5231</v>
      </c>
      <c r="O346" s="581"/>
      <c r="P346" s="582">
        <v>0</v>
      </c>
      <c r="Q346" s="589"/>
      <c r="R346" s="576"/>
      <c r="S346" s="583">
        <f t="shared" si="34"/>
        <v>0</v>
      </c>
      <c r="T346" s="584">
        <v>0</v>
      </c>
      <c r="U346" s="51"/>
      <c r="V346" s="2120">
        <f t="shared" ref="V346:V363" si="41">+IF(OR(ROUND(P346,2)+ROUND(R346,2)&gt;+ROUND(O346,2)+ROUND(Q346,2),+ABS(ROUND(P346,2)+ROUND(R346,2))&gt;+ABS(ROUND(O346,2)+ROUND(Q346,2))),+(ROUND(P346,2)+ROUND(R346,2))-(ROUND(O346,2)+ROUND(Q346,2)),0)</f>
        <v>0</v>
      </c>
      <c r="W346" s="43"/>
      <c r="X346" s="43"/>
      <c r="Y346" s="43"/>
      <c r="Z346" s="43"/>
    </row>
    <row r="347" spans="1:26">
      <c r="A347" s="88">
        <v>5235</v>
      </c>
      <c r="B347" s="378" t="s">
        <v>783</v>
      </c>
      <c r="C347" s="1033"/>
      <c r="D347" s="1033"/>
      <c r="E347" s="1033"/>
      <c r="F347" s="1033"/>
      <c r="G347" s="1033"/>
      <c r="H347" s="1033"/>
      <c r="I347" s="1033"/>
      <c r="J347" s="1033"/>
      <c r="K347" s="1033"/>
      <c r="L347" s="574"/>
      <c r="M347" s="51"/>
      <c r="N347" s="113">
        <f t="shared" si="40"/>
        <v>5235</v>
      </c>
      <c r="O347" s="581"/>
      <c r="P347" s="582">
        <v>0</v>
      </c>
      <c r="Q347" s="589"/>
      <c r="R347" s="576"/>
      <c r="S347" s="583">
        <f t="shared" si="34"/>
        <v>0</v>
      </c>
      <c r="T347" s="584">
        <v>0</v>
      </c>
      <c r="U347" s="51"/>
      <c r="V347" s="2120">
        <f t="shared" si="41"/>
        <v>0</v>
      </c>
      <c r="W347" s="43"/>
      <c r="X347" s="43"/>
      <c r="Y347" s="43"/>
      <c r="Z347" s="43"/>
    </row>
    <row r="348" spans="1:26">
      <c r="A348" s="88">
        <v>5311</v>
      </c>
      <c r="B348" s="378" t="s">
        <v>787</v>
      </c>
      <c r="C348" s="1033"/>
      <c r="D348" s="1033"/>
      <c r="E348" s="1033"/>
      <c r="F348" s="1033"/>
      <c r="G348" s="1033"/>
      <c r="H348" s="1033"/>
      <c r="I348" s="1033"/>
      <c r="J348" s="1033"/>
      <c r="K348" s="1033"/>
      <c r="L348" s="574"/>
      <c r="M348" s="51"/>
      <c r="N348" s="113">
        <f t="shared" si="40"/>
        <v>5311</v>
      </c>
      <c r="O348" s="581"/>
      <c r="P348" s="582">
        <v>0</v>
      </c>
      <c r="Q348" s="589"/>
      <c r="R348" s="576"/>
      <c r="S348" s="583">
        <f t="shared" si="34"/>
        <v>0</v>
      </c>
      <c r="T348" s="584">
        <v>0</v>
      </c>
      <c r="U348" s="51"/>
      <c r="V348" s="2120">
        <f t="shared" si="41"/>
        <v>0</v>
      </c>
      <c r="W348" s="43"/>
      <c r="X348" s="43"/>
      <c r="Y348" s="43"/>
      <c r="Z348" s="43"/>
    </row>
    <row r="349" spans="1:26">
      <c r="A349" s="88">
        <v>5312</v>
      </c>
      <c r="B349" s="378" t="s">
        <v>788</v>
      </c>
      <c r="C349" s="1033"/>
      <c r="D349" s="1033"/>
      <c r="E349" s="1033"/>
      <c r="F349" s="1033"/>
      <c r="G349" s="1033"/>
      <c r="H349" s="1033"/>
      <c r="I349" s="1033"/>
      <c r="J349" s="1033"/>
      <c r="K349" s="1033"/>
      <c r="L349" s="574"/>
      <c r="M349" s="51"/>
      <c r="N349" s="113">
        <f t="shared" si="40"/>
        <v>5312</v>
      </c>
      <c r="O349" s="581">
        <v>0</v>
      </c>
      <c r="P349" s="582">
        <v>0</v>
      </c>
      <c r="Q349" s="589">
        <v>0</v>
      </c>
      <c r="R349" s="576">
        <v>0</v>
      </c>
      <c r="S349" s="583">
        <f t="shared" si="34"/>
        <v>0</v>
      </c>
      <c r="T349" s="584">
        <v>0</v>
      </c>
      <c r="U349" s="51"/>
      <c r="V349" s="2120">
        <f t="shared" si="41"/>
        <v>0</v>
      </c>
      <c r="W349" s="43"/>
      <c r="X349" s="43"/>
      <c r="Y349" s="43"/>
      <c r="Z349" s="43"/>
    </row>
    <row r="350" spans="1:26">
      <c r="A350" s="88">
        <v>5313</v>
      </c>
      <c r="B350" s="378" t="s">
        <v>789</v>
      </c>
      <c r="C350" s="1033"/>
      <c r="D350" s="1033"/>
      <c r="E350" s="1033"/>
      <c r="F350" s="1033"/>
      <c r="G350" s="1033"/>
      <c r="H350" s="1033"/>
      <c r="I350" s="1033"/>
      <c r="J350" s="1033"/>
      <c r="K350" s="1033"/>
      <c r="L350" s="574"/>
      <c r="M350" s="51"/>
      <c r="N350" s="113">
        <f t="shared" si="40"/>
        <v>5313</v>
      </c>
      <c r="O350" s="581"/>
      <c r="P350" s="582">
        <v>0</v>
      </c>
      <c r="Q350" s="589"/>
      <c r="R350" s="576"/>
      <c r="S350" s="583">
        <f t="shared" ref="S350:S363" si="42">+IF(ABS(+O350+Q350)&gt;=ABS(P350+R350),+O350-P350+Q350-R350,0)</f>
        <v>0</v>
      </c>
      <c r="T350" s="584">
        <v>0</v>
      </c>
      <c r="U350" s="51"/>
      <c r="V350" s="2120">
        <f t="shared" si="41"/>
        <v>0</v>
      </c>
      <c r="W350" s="43"/>
      <c r="X350" s="43"/>
      <c r="Y350" s="43"/>
      <c r="Z350" s="43"/>
    </row>
    <row r="351" spans="1:26">
      <c r="A351" s="88">
        <v>5314</v>
      </c>
      <c r="B351" s="378" t="s">
        <v>1007</v>
      </c>
      <c r="C351" s="1033"/>
      <c r="D351" s="1033"/>
      <c r="E351" s="1033"/>
      <c r="F351" s="1033"/>
      <c r="G351" s="1033"/>
      <c r="H351" s="1033"/>
      <c r="I351" s="1033"/>
      <c r="J351" s="1033"/>
      <c r="K351" s="1033"/>
      <c r="L351" s="574"/>
      <c r="M351" s="51"/>
      <c r="N351" s="113">
        <f t="shared" si="40"/>
        <v>5314</v>
      </c>
      <c r="O351" s="581"/>
      <c r="P351" s="582">
        <v>0</v>
      </c>
      <c r="Q351" s="589"/>
      <c r="R351" s="576"/>
      <c r="S351" s="583">
        <f t="shared" si="42"/>
        <v>0</v>
      </c>
      <c r="T351" s="584">
        <v>0</v>
      </c>
      <c r="U351" s="51"/>
      <c r="V351" s="2120">
        <f t="shared" si="41"/>
        <v>0</v>
      </c>
      <c r="W351" s="43"/>
      <c r="X351" s="43"/>
      <c r="Y351" s="43"/>
      <c r="Z351" s="43"/>
    </row>
    <row r="352" spans="1:26">
      <c r="A352" s="88">
        <v>5315</v>
      </c>
      <c r="B352" s="378" t="s">
        <v>1008</v>
      </c>
      <c r="C352" s="1033"/>
      <c r="D352" s="1033"/>
      <c r="E352" s="1033"/>
      <c r="F352" s="1033"/>
      <c r="G352" s="1033"/>
      <c r="H352" s="1033"/>
      <c r="I352" s="1033"/>
      <c r="J352" s="1033"/>
      <c r="K352" s="1033"/>
      <c r="L352" s="574"/>
      <c r="M352" s="51"/>
      <c r="N352" s="113">
        <f t="shared" si="40"/>
        <v>5315</v>
      </c>
      <c r="O352" s="581"/>
      <c r="P352" s="582">
        <v>0</v>
      </c>
      <c r="Q352" s="589"/>
      <c r="R352" s="576"/>
      <c r="S352" s="583">
        <f t="shared" si="42"/>
        <v>0</v>
      </c>
      <c r="T352" s="584">
        <v>0</v>
      </c>
      <c r="U352" s="51"/>
      <c r="V352" s="2120">
        <f t="shared" si="41"/>
        <v>0</v>
      </c>
      <c r="W352" s="43"/>
      <c r="X352" s="43"/>
      <c r="Y352" s="43"/>
      <c r="Z352" s="43"/>
    </row>
    <row r="353" spans="1:26">
      <c r="A353" s="88">
        <v>5316</v>
      </c>
      <c r="B353" s="378" t="s">
        <v>387</v>
      </c>
      <c r="C353" s="1033"/>
      <c r="D353" s="1033"/>
      <c r="E353" s="1033"/>
      <c r="F353" s="1033"/>
      <c r="G353" s="1033"/>
      <c r="H353" s="1033"/>
      <c r="I353" s="1033"/>
      <c r="J353" s="1033"/>
      <c r="K353" s="1033"/>
      <c r="L353" s="574"/>
      <c r="M353" s="51"/>
      <c r="N353" s="113">
        <f t="shared" si="40"/>
        <v>5316</v>
      </c>
      <c r="O353" s="581"/>
      <c r="P353" s="582">
        <v>0</v>
      </c>
      <c r="Q353" s="589"/>
      <c r="R353" s="576"/>
      <c r="S353" s="583">
        <f t="shared" si="42"/>
        <v>0</v>
      </c>
      <c r="T353" s="584">
        <v>0</v>
      </c>
      <c r="U353" s="51"/>
      <c r="V353" s="2120">
        <f t="shared" si="41"/>
        <v>0</v>
      </c>
      <c r="W353" s="43"/>
      <c r="X353" s="43"/>
      <c r="Y353" s="43"/>
      <c r="Z353" s="43"/>
    </row>
    <row r="354" spans="1:26">
      <c r="A354" s="88">
        <v>5317</v>
      </c>
      <c r="B354" s="378" t="s">
        <v>784</v>
      </c>
      <c r="C354" s="1033"/>
      <c r="D354" s="1033"/>
      <c r="E354" s="1033"/>
      <c r="F354" s="1033"/>
      <c r="G354" s="1033"/>
      <c r="H354" s="1033"/>
      <c r="I354" s="1033"/>
      <c r="J354" s="1033"/>
      <c r="K354" s="1033"/>
      <c r="L354" s="574"/>
      <c r="M354" s="51"/>
      <c r="N354" s="113">
        <f t="shared" si="40"/>
        <v>5317</v>
      </c>
      <c r="O354" s="581"/>
      <c r="P354" s="582">
        <v>0</v>
      </c>
      <c r="Q354" s="589"/>
      <c r="R354" s="576"/>
      <c r="S354" s="583">
        <f t="shared" si="42"/>
        <v>0</v>
      </c>
      <c r="T354" s="584">
        <v>0</v>
      </c>
      <c r="U354" s="51"/>
      <c r="V354" s="2120">
        <f t="shared" si="41"/>
        <v>0</v>
      </c>
      <c r="W354" s="43"/>
      <c r="X354" s="43"/>
      <c r="Y354" s="43"/>
      <c r="Z354" s="43"/>
    </row>
    <row r="355" spans="1:26">
      <c r="A355" s="88">
        <v>5318</v>
      </c>
      <c r="B355" s="378" t="s">
        <v>785</v>
      </c>
      <c r="C355" s="1033"/>
      <c r="D355" s="1033"/>
      <c r="E355" s="1033"/>
      <c r="F355" s="1033"/>
      <c r="G355" s="1033"/>
      <c r="H355" s="1033"/>
      <c r="I355" s="1033"/>
      <c r="J355" s="1033"/>
      <c r="K355" s="1033"/>
      <c r="L355" s="574"/>
      <c r="M355" s="51"/>
      <c r="N355" s="113">
        <f t="shared" si="40"/>
        <v>5318</v>
      </c>
      <c r="O355" s="581"/>
      <c r="P355" s="582">
        <v>0</v>
      </c>
      <c r="Q355" s="589"/>
      <c r="R355" s="576"/>
      <c r="S355" s="583">
        <f t="shared" si="42"/>
        <v>0</v>
      </c>
      <c r="T355" s="584">
        <v>0</v>
      </c>
      <c r="U355" s="51"/>
      <c r="V355" s="2120">
        <f t="shared" si="41"/>
        <v>0</v>
      </c>
      <c r="W355" s="43"/>
      <c r="X355" s="43"/>
      <c r="Y355" s="43"/>
      <c r="Z355" s="43"/>
    </row>
    <row r="356" spans="1:26">
      <c r="A356" s="88">
        <v>5319</v>
      </c>
      <c r="B356" s="378" t="s">
        <v>786</v>
      </c>
      <c r="C356" s="1033"/>
      <c r="D356" s="1033"/>
      <c r="E356" s="1033"/>
      <c r="F356" s="1033"/>
      <c r="G356" s="1033"/>
      <c r="H356" s="1033"/>
      <c r="I356" s="1033"/>
      <c r="J356" s="1033"/>
      <c r="K356" s="1033"/>
      <c r="L356" s="574"/>
      <c r="M356" s="51"/>
      <c r="N356" s="113">
        <f t="shared" si="40"/>
        <v>5319</v>
      </c>
      <c r="O356" s="581"/>
      <c r="P356" s="582">
        <v>0</v>
      </c>
      <c r="Q356" s="589"/>
      <c r="R356" s="576"/>
      <c r="S356" s="583">
        <f t="shared" si="42"/>
        <v>0</v>
      </c>
      <c r="T356" s="584">
        <v>0</v>
      </c>
      <c r="U356" s="51"/>
      <c r="V356" s="2120">
        <f t="shared" si="41"/>
        <v>0</v>
      </c>
      <c r="W356" s="43"/>
      <c r="X356" s="43"/>
      <c r="Y356" s="43"/>
      <c r="Z356" s="43"/>
    </row>
    <row r="357" spans="1:26">
      <c r="A357" s="88">
        <v>5321</v>
      </c>
      <c r="B357" s="378" t="s">
        <v>388</v>
      </c>
      <c r="C357" s="1033"/>
      <c r="D357" s="1033"/>
      <c r="E357" s="1033"/>
      <c r="F357" s="1033"/>
      <c r="G357" s="1033"/>
      <c r="H357" s="1033"/>
      <c r="I357" s="1033"/>
      <c r="J357" s="1033"/>
      <c r="K357" s="1033"/>
      <c r="L357" s="574"/>
      <c r="M357" s="51"/>
      <c r="N357" s="113">
        <f t="shared" si="40"/>
        <v>5321</v>
      </c>
      <c r="O357" s="581"/>
      <c r="P357" s="582">
        <v>0</v>
      </c>
      <c r="Q357" s="589"/>
      <c r="R357" s="576"/>
      <c r="S357" s="583">
        <f t="shared" si="42"/>
        <v>0</v>
      </c>
      <c r="T357" s="584">
        <v>0</v>
      </c>
      <c r="U357" s="51"/>
      <c r="V357" s="2120">
        <f t="shared" si="41"/>
        <v>0</v>
      </c>
      <c r="W357" s="43"/>
      <c r="X357" s="43"/>
      <c r="Y357" s="43"/>
      <c r="Z357" s="43"/>
    </row>
    <row r="358" spans="1:26">
      <c r="A358" s="88">
        <v>5322</v>
      </c>
      <c r="B358" s="378" t="s">
        <v>389</v>
      </c>
      <c r="C358" s="1033"/>
      <c r="D358" s="1033"/>
      <c r="E358" s="1033"/>
      <c r="F358" s="1033"/>
      <c r="G358" s="1033"/>
      <c r="H358" s="1033"/>
      <c r="I358" s="1033"/>
      <c r="J358" s="1033"/>
      <c r="K358" s="1033"/>
      <c r="L358" s="574"/>
      <c r="M358" s="51"/>
      <c r="N358" s="113">
        <f t="shared" si="40"/>
        <v>5322</v>
      </c>
      <c r="O358" s="581"/>
      <c r="P358" s="582">
        <v>0</v>
      </c>
      <c r="Q358" s="589"/>
      <c r="R358" s="576"/>
      <c r="S358" s="583">
        <f t="shared" si="42"/>
        <v>0</v>
      </c>
      <c r="T358" s="584">
        <v>0</v>
      </c>
      <c r="U358" s="51"/>
      <c r="V358" s="2120">
        <f t="shared" si="41"/>
        <v>0</v>
      </c>
      <c r="W358" s="43"/>
      <c r="X358" s="43"/>
      <c r="Y358" s="43"/>
      <c r="Z358" s="43"/>
    </row>
    <row r="359" spans="1:26">
      <c r="A359" s="88">
        <v>5323</v>
      </c>
      <c r="B359" s="378" t="s">
        <v>390</v>
      </c>
      <c r="C359" s="1033"/>
      <c r="D359" s="1033"/>
      <c r="E359" s="1033"/>
      <c r="F359" s="1033"/>
      <c r="G359" s="1033"/>
      <c r="H359" s="1033"/>
      <c r="I359" s="1033"/>
      <c r="J359" s="1033"/>
      <c r="K359" s="1033"/>
      <c r="L359" s="574"/>
      <c r="M359" s="51"/>
      <c r="N359" s="113">
        <f t="shared" si="40"/>
        <v>5323</v>
      </c>
      <c r="O359" s="581"/>
      <c r="P359" s="582">
        <v>0</v>
      </c>
      <c r="Q359" s="589"/>
      <c r="R359" s="576"/>
      <c r="S359" s="583">
        <f t="shared" si="42"/>
        <v>0</v>
      </c>
      <c r="T359" s="584">
        <v>0</v>
      </c>
      <c r="U359" s="51"/>
      <c r="V359" s="2120">
        <f t="shared" si="41"/>
        <v>0</v>
      </c>
      <c r="W359" s="43"/>
      <c r="X359" s="43"/>
      <c r="Y359" s="43"/>
      <c r="Z359" s="43"/>
    </row>
    <row r="360" spans="1:26">
      <c r="A360" s="88">
        <v>5381</v>
      </c>
      <c r="B360" s="378" t="s">
        <v>391</v>
      </c>
      <c r="C360" s="1033"/>
      <c r="D360" s="1033"/>
      <c r="E360" s="1033"/>
      <c r="F360" s="1033"/>
      <c r="G360" s="1033"/>
      <c r="H360" s="1033"/>
      <c r="I360" s="1033"/>
      <c r="J360" s="1033"/>
      <c r="K360" s="1033"/>
      <c r="L360" s="574"/>
      <c r="M360" s="51"/>
      <c r="N360" s="113">
        <f t="shared" si="40"/>
        <v>5381</v>
      </c>
      <c r="O360" s="581"/>
      <c r="P360" s="582">
        <v>0</v>
      </c>
      <c r="Q360" s="589"/>
      <c r="R360" s="576"/>
      <c r="S360" s="583">
        <f t="shared" si="42"/>
        <v>0</v>
      </c>
      <c r="T360" s="584">
        <v>0</v>
      </c>
      <c r="U360" s="51"/>
      <c r="V360" s="2120">
        <f t="shared" si="41"/>
        <v>0</v>
      </c>
      <c r="W360" s="43"/>
      <c r="X360" s="43"/>
      <c r="Y360" s="43"/>
      <c r="Z360" s="43"/>
    </row>
    <row r="361" spans="1:26">
      <c r="A361" s="88">
        <v>5382</v>
      </c>
      <c r="B361" s="378" t="s">
        <v>303</v>
      </c>
      <c r="C361" s="1033"/>
      <c r="D361" s="1033"/>
      <c r="E361" s="1033"/>
      <c r="F361" s="1033"/>
      <c r="G361" s="1033"/>
      <c r="H361" s="1033"/>
      <c r="I361" s="1033"/>
      <c r="J361" s="1033"/>
      <c r="K361" s="1033"/>
      <c r="L361" s="574"/>
      <c r="M361" s="51"/>
      <c r="N361" s="113">
        <f t="shared" si="40"/>
        <v>5382</v>
      </c>
      <c r="O361" s="581"/>
      <c r="P361" s="582">
        <v>0</v>
      </c>
      <c r="Q361" s="589"/>
      <c r="R361" s="576"/>
      <c r="S361" s="583">
        <f t="shared" si="42"/>
        <v>0</v>
      </c>
      <c r="T361" s="584">
        <v>0</v>
      </c>
      <c r="U361" s="51"/>
      <c r="V361" s="2120">
        <f t="shared" si="41"/>
        <v>0</v>
      </c>
      <c r="W361" s="43"/>
      <c r="X361" s="43"/>
      <c r="Y361" s="43"/>
      <c r="Z361" s="43"/>
    </row>
    <row r="362" spans="1:26">
      <c r="A362" s="88">
        <v>5383</v>
      </c>
      <c r="B362" s="378" t="s">
        <v>304</v>
      </c>
      <c r="C362" s="1033"/>
      <c r="D362" s="1033"/>
      <c r="E362" s="1033"/>
      <c r="F362" s="1033"/>
      <c r="G362" s="1033"/>
      <c r="H362" s="1033"/>
      <c r="I362" s="1033"/>
      <c r="J362" s="1033"/>
      <c r="K362" s="1033"/>
      <c r="L362" s="574"/>
      <c r="M362" s="51"/>
      <c r="N362" s="113">
        <f t="shared" si="40"/>
        <v>5383</v>
      </c>
      <c r="O362" s="581"/>
      <c r="P362" s="582">
        <v>0</v>
      </c>
      <c r="Q362" s="589"/>
      <c r="R362" s="576"/>
      <c r="S362" s="583">
        <f t="shared" si="42"/>
        <v>0</v>
      </c>
      <c r="T362" s="584">
        <v>0</v>
      </c>
      <c r="U362" s="51"/>
      <c r="V362" s="2120">
        <f t="shared" si="41"/>
        <v>0</v>
      </c>
      <c r="W362" s="43"/>
      <c r="X362" s="43"/>
      <c r="Y362" s="43"/>
      <c r="Z362" s="43"/>
    </row>
    <row r="363" spans="1:26">
      <c r="A363" s="88">
        <v>5384</v>
      </c>
      <c r="B363" s="378" t="s">
        <v>305</v>
      </c>
      <c r="C363" s="1033"/>
      <c r="D363" s="1033"/>
      <c r="E363" s="1033"/>
      <c r="F363" s="1033"/>
      <c r="G363" s="1033"/>
      <c r="H363" s="1033"/>
      <c r="I363" s="1033"/>
      <c r="J363" s="1033"/>
      <c r="K363" s="1033"/>
      <c r="L363" s="574"/>
      <c r="M363" s="51"/>
      <c r="N363" s="113">
        <f t="shared" si="40"/>
        <v>5384</v>
      </c>
      <c r="O363" s="581"/>
      <c r="P363" s="582">
        <v>0</v>
      </c>
      <c r="Q363" s="589"/>
      <c r="R363" s="576"/>
      <c r="S363" s="583">
        <f t="shared" si="42"/>
        <v>0</v>
      </c>
      <c r="T363" s="584">
        <v>0</v>
      </c>
      <c r="U363" s="51"/>
      <c r="V363" s="2120">
        <f t="shared" si="41"/>
        <v>0</v>
      </c>
      <c r="W363" s="43"/>
      <c r="X363" s="43"/>
      <c r="Y363" s="43"/>
      <c r="Z363" s="43"/>
    </row>
    <row r="364" spans="1:26">
      <c r="A364" s="88">
        <v>5391</v>
      </c>
      <c r="B364" s="378" t="s">
        <v>306</v>
      </c>
      <c r="C364" s="1033"/>
      <c r="D364" s="1033"/>
      <c r="E364" s="1033"/>
      <c r="F364" s="1033"/>
      <c r="G364" s="1033"/>
      <c r="H364" s="1033"/>
      <c r="I364" s="1033"/>
      <c r="J364" s="1033"/>
      <c r="K364" s="1033"/>
      <c r="L364" s="574"/>
      <c r="M364" s="51"/>
      <c r="N364" s="113">
        <f t="shared" si="40"/>
        <v>5391</v>
      </c>
      <c r="O364" s="596">
        <v>0</v>
      </c>
      <c r="P364" s="576"/>
      <c r="Q364" s="589"/>
      <c r="R364" s="324"/>
      <c r="S364" s="2167">
        <v>0</v>
      </c>
      <c r="T364" s="580">
        <f>+IF(ABS(+O364+Q364)&lt;=ABS(P364+R364),-O364+P364-Q364+R364,0)</f>
        <v>0</v>
      </c>
      <c r="U364" s="51"/>
      <c r="V364" s="2119">
        <f>+IF(OR(+ROUND(O364,2)+ROUND(Q364,2)&gt;ROUND(P364,2)+ROUND(R364,2),+ABS(ROUND(O364,2)+ROUND(Q364,2))&gt;+ABS(ROUND(P364,2)+ROUND(R364,2))),+(ROUND(O364,2)+ROUND(Q364,2))-(ROUND(P364,2)+ROUND(R364,2)),0)</f>
        <v>0</v>
      </c>
      <c r="W364" s="43"/>
      <c r="X364" s="43"/>
      <c r="Y364" s="43"/>
      <c r="Z364" s="43"/>
    </row>
    <row r="365" spans="1:26">
      <c r="A365" s="88">
        <v>5392</v>
      </c>
      <c r="B365" s="378" t="s">
        <v>307</v>
      </c>
      <c r="C365" s="1033"/>
      <c r="D365" s="1033"/>
      <c r="E365" s="1033"/>
      <c r="F365" s="1033"/>
      <c r="G365" s="1033"/>
      <c r="H365" s="1033"/>
      <c r="I365" s="1033"/>
      <c r="J365" s="1033"/>
      <c r="K365" s="1033"/>
      <c r="L365" s="574"/>
      <c r="M365" s="51"/>
      <c r="N365" s="113">
        <f t="shared" si="40"/>
        <v>5392</v>
      </c>
      <c r="O365" s="596">
        <v>0</v>
      </c>
      <c r="P365" s="576"/>
      <c r="Q365" s="589"/>
      <c r="R365" s="324"/>
      <c r="S365" s="2167">
        <v>0</v>
      </c>
      <c r="T365" s="580">
        <f>+IF(ABS(+O365+Q365)&lt;=ABS(P365+R365),-O365+P365-Q365+R365,0)</f>
        <v>0</v>
      </c>
      <c r="U365" s="51"/>
      <c r="V365" s="2119">
        <f>+IF(OR(+ROUND(O365,2)+ROUND(Q365,2)&gt;ROUND(P365,2)+ROUND(R365,2),+ABS(ROUND(O365,2)+ROUND(Q365,2))&gt;+ABS(ROUND(P365,2)+ROUND(R365,2))),+(ROUND(O365,2)+ROUND(Q365,2))-(ROUND(P365,2)+ROUND(R365,2)),0)</f>
        <v>0</v>
      </c>
      <c r="W365" s="43"/>
      <c r="X365" s="43"/>
      <c r="Y365" s="43"/>
      <c r="Z365" s="43"/>
    </row>
    <row r="366" spans="1:26">
      <c r="A366" s="88">
        <v>5393</v>
      </c>
      <c r="B366" s="378" t="s">
        <v>308</v>
      </c>
      <c r="C366" s="1033"/>
      <c r="D366" s="1033"/>
      <c r="E366" s="1033"/>
      <c r="F366" s="1033"/>
      <c r="G366" s="1033"/>
      <c r="H366" s="1033"/>
      <c r="I366" s="1033"/>
      <c r="J366" s="1033"/>
      <c r="K366" s="1033"/>
      <c r="L366" s="574"/>
      <c r="M366" s="51"/>
      <c r="N366" s="113">
        <f t="shared" si="40"/>
        <v>5393</v>
      </c>
      <c r="O366" s="596">
        <v>0</v>
      </c>
      <c r="P366" s="576"/>
      <c r="Q366" s="589"/>
      <c r="R366" s="324"/>
      <c r="S366" s="2167">
        <v>0</v>
      </c>
      <c r="T366" s="580">
        <f>+IF(ABS(+O366+Q366)&lt;=ABS(P366+R366),-O366+P366-Q366+R366,0)</f>
        <v>0</v>
      </c>
      <c r="U366" s="51"/>
      <c r="V366" s="2119">
        <f>+IF(OR(+ROUND(O366,2)+ROUND(Q366,2)&gt;ROUND(P366,2)+ROUND(R366,2),+ABS(ROUND(O366,2)+ROUND(Q366,2))&gt;+ABS(ROUND(P366,2)+ROUND(R366,2))),+(ROUND(O366,2)+ROUND(Q366,2))-(ROUND(P366,2)+ROUND(R366,2)),0)</f>
        <v>0</v>
      </c>
      <c r="W366" s="43"/>
      <c r="X366" s="43"/>
      <c r="Y366" s="43"/>
      <c r="Z366" s="43"/>
    </row>
    <row r="367" spans="1:26">
      <c r="A367" s="88">
        <v>5398</v>
      </c>
      <c r="B367" s="378" t="s">
        <v>309</v>
      </c>
      <c r="C367" s="1033"/>
      <c r="D367" s="1033"/>
      <c r="E367" s="1033"/>
      <c r="F367" s="1033"/>
      <c r="G367" s="1033"/>
      <c r="H367" s="1033"/>
      <c r="I367" s="1033"/>
      <c r="J367" s="1033"/>
      <c r="K367" s="1033"/>
      <c r="L367" s="574"/>
      <c r="M367" s="51"/>
      <c r="N367" s="113">
        <f t="shared" si="40"/>
        <v>5398</v>
      </c>
      <c r="O367" s="575">
        <v>0</v>
      </c>
      <c r="P367" s="576"/>
      <c r="Q367" s="589"/>
      <c r="R367" s="324"/>
      <c r="S367" s="579">
        <v>0</v>
      </c>
      <c r="T367" s="580">
        <f>+IF(ABS(+O367+Q367)&lt;=ABS(P367+R367),-O367+P367-Q367+R367,0)</f>
        <v>0</v>
      </c>
      <c r="U367" s="51"/>
      <c r="V367" s="2119">
        <f>+IF(OR(+ROUND(O367,2)+ROUND(Q367,2)&gt;ROUND(P367,2)+ROUND(R367,2),+ABS(ROUND(O367,2)+ROUND(Q367,2))&gt;+ABS(ROUND(P367,2)+ROUND(R367,2))),+(ROUND(O367,2)+ROUND(Q367,2))-(ROUND(P367,2)+ROUND(R367,2)),0)</f>
        <v>0</v>
      </c>
      <c r="W367" s="43"/>
      <c r="X367" s="43"/>
      <c r="Y367" s="43"/>
      <c r="Z367" s="43"/>
    </row>
    <row r="368" spans="1:26">
      <c r="A368" s="88">
        <v>5811</v>
      </c>
      <c r="B368" s="378" t="s">
        <v>312</v>
      </c>
      <c r="C368" s="1033"/>
      <c r="D368" s="1033"/>
      <c r="E368" s="1033"/>
      <c r="F368" s="1033"/>
      <c r="G368" s="1033"/>
      <c r="H368" s="1033"/>
      <c r="I368" s="1033"/>
      <c r="J368" s="1033"/>
      <c r="K368" s="1033"/>
      <c r="L368" s="574"/>
      <c r="M368" s="51"/>
      <c r="N368" s="113">
        <f t="shared" si="40"/>
        <v>5811</v>
      </c>
      <c r="O368" s="581"/>
      <c r="P368" s="582">
        <v>0</v>
      </c>
      <c r="Q368" s="589"/>
      <c r="R368" s="576"/>
      <c r="S368" s="583">
        <f t="shared" ref="S368:S379" si="43">+IF(ABS(+O368+Q368)&gt;=ABS(P368+R368),+O368-P368+Q368-R368,0)</f>
        <v>0</v>
      </c>
      <c r="T368" s="584">
        <v>0</v>
      </c>
      <c r="U368" s="51"/>
      <c r="V368" s="2120">
        <f t="shared" ref="V368:V379" si="44">+IF(OR(ROUND(P368,2)+ROUND(R368,2)&gt;+ROUND(O368,2)+ROUND(Q368,2),+ABS(ROUND(P368,2)+ROUND(R368,2))&gt;+ABS(ROUND(O368,2)+ROUND(Q368,2))),+(ROUND(P368,2)+ROUND(R368,2))-(ROUND(O368,2)+ROUND(Q368,2)),0)</f>
        <v>0</v>
      </c>
      <c r="W368" s="43"/>
      <c r="X368" s="43"/>
      <c r="Y368" s="43"/>
      <c r="Z368" s="43"/>
    </row>
    <row r="369" spans="1:26">
      <c r="A369" s="88">
        <v>5812</v>
      </c>
      <c r="B369" s="378" t="s">
        <v>313</v>
      </c>
      <c r="C369" s="1033"/>
      <c r="D369" s="1033"/>
      <c r="E369" s="1033"/>
      <c r="F369" s="1033"/>
      <c r="G369" s="1033"/>
      <c r="H369" s="1033"/>
      <c r="I369" s="1033"/>
      <c r="J369" s="1033"/>
      <c r="K369" s="1033"/>
      <c r="L369" s="574"/>
      <c r="M369" s="51"/>
      <c r="N369" s="113">
        <f t="shared" si="40"/>
        <v>5812</v>
      </c>
      <c r="O369" s="581"/>
      <c r="P369" s="582">
        <v>0</v>
      </c>
      <c r="Q369" s="589"/>
      <c r="R369" s="576"/>
      <c r="S369" s="583">
        <f t="shared" si="43"/>
        <v>0</v>
      </c>
      <c r="T369" s="584">
        <v>0</v>
      </c>
      <c r="U369" s="51"/>
      <c r="V369" s="2120">
        <f t="shared" si="44"/>
        <v>0</v>
      </c>
      <c r="W369" s="43"/>
      <c r="X369" s="43"/>
      <c r="Y369" s="43"/>
      <c r="Z369" s="43"/>
    </row>
    <row r="370" spans="1:26">
      <c r="A370" s="88">
        <v>5814</v>
      </c>
      <c r="B370" s="378" t="s">
        <v>314</v>
      </c>
      <c r="C370" s="1033"/>
      <c r="D370" s="1033"/>
      <c r="E370" s="1033"/>
      <c r="F370" s="1033"/>
      <c r="G370" s="1033"/>
      <c r="H370" s="1033"/>
      <c r="I370" s="1033"/>
      <c r="J370" s="1033"/>
      <c r="K370" s="1033"/>
      <c r="L370" s="574"/>
      <c r="M370" s="51"/>
      <c r="N370" s="113">
        <f t="shared" si="40"/>
        <v>5814</v>
      </c>
      <c r="O370" s="581"/>
      <c r="P370" s="582">
        <v>0</v>
      </c>
      <c r="Q370" s="589"/>
      <c r="R370" s="576"/>
      <c r="S370" s="583">
        <f t="shared" si="43"/>
        <v>0</v>
      </c>
      <c r="T370" s="584">
        <v>0</v>
      </c>
      <c r="U370" s="51"/>
      <c r="V370" s="2120">
        <f t="shared" si="44"/>
        <v>0</v>
      </c>
      <c r="W370" s="43"/>
      <c r="X370" s="43"/>
      <c r="Y370" s="43"/>
      <c r="Z370" s="43"/>
    </row>
    <row r="371" spans="1:26">
      <c r="A371" s="88">
        <v>5815</v>
      </c>
      <c r="B371" s="378" t="s">
        <v>315</v>
      </c>
      <c r="C371" s="1033"/>
      <c r="D371" s="1033"/>
      <c r="E371" s="1033"/>
      <c r="F371" s="1033"/>
      <c r="G371" s="1033"/>
      <c r="H371" s="1033"/>
      <c r="I371" s="1033"/>
      <c r="J371" s="1033"/>
      <c r="K371" s="1033"/>
      <c r="L371" s="574"/>
      <c r="M371" s="51"/>
      <c r="N371" s="113">
        <f t="shared" si="40"/>
        <v>5815</v>
      </c>
      <c r="O371" s="581"/>
      <c r="P371" s="582">
        <v>0</v>
      </c>
      <c r="Q371" s="589"/>
      <c r="R371" s="576"/>
      <c r="S371" s="583">
        <f t="shared" si="43"/>
        <v>0</v>
      </c>
      <c r="T371" s="584">
        <v>0</v>
      </c>
      <c r="U371" s="51"/>
      <c r="V371" s="2120">
        <f t="shared" si="44"/>
        <v>0</v>
      </c>
      <c r="W371" s="43"/>
      <c r="X371" s="43"/>
      <c r="Y371" s="43"/>
      <c r="Z371" s="43"/>
    </row>
    <row r="372" spans="1:26">
      <c r="A372" s="88">
        <v>5817</v>
      </c>
      <c r="B372" s="378" t="s">
        <v>310</v>
      </c>
      <c r="C372" s="1033"/>
      <c r="D372" s="1033"/>
      <c r="E372" s="1033"/>
      <c r="F372" s="1033"/>
      <c r="G372" s="1033"/>
      <c r="H372" s="1033"/>
      <c r="I372" s="1033"/>
      <c r="J372" s="1033"/>
      <c r="K372" s="1033"/>
      <c r="L372" s="574"/>
      <c r="M372" s="51"/>
      <c r="N372" s="113">
        <f t="shared" si="40"/>
        <v>5817</v>
      </c>
      <c r="O372" s="581"/>
      <c r="P372" s="582">
        <v>0</v>
      </c>
      <c r="Q372" s="589"/>
      <c r="R372" s="576"/>
      <c r="S372" s="583">
        <f t="shared" si="43"/>
        <v>0</v>
      </c>
      <c r="T372" s="584">
        <v>0</v>
      </c>
      <c r="U372" s="51"/>
      <c r="V372" s="2120">
        <f t="shared" si="44"/>
        <v>0</v>
      </c>
      <c r="W372" s="43"/>
      <c r="X372" s="43"/>
      <c r="Y372" s="43"/>
      <c r="Z372" s="43"/>
    </row>
    <row r="373" spans="1:26">
      <c r="A373" s="88">
        <v>5818</v>
      </c>
      <c r="B373" s="378" t="s">
        <v>311</v>
      </c>
      <c r="C373" s="1033"/>
      <c r="D373" s="1033"/>
      <c r="E373" s="1033"/>
      <c r="F373" s="1033"/>
      <c r="G373" s="1033"/>
      <c r="H373" s="1033"/>
      <c r="I373" s="1033"/>
      <c r="J373" s="1033"/>
      <c r="K373" s="1033"/>
      <c r="L373" s="574"/>
      <c r="M373" s="51"/>
      <c r="N373" s="113">
        <f t="shared" si="40"/>
        <v>5818</v>
      </c>
      <c r="O373" s="581"/>
      <c r="P373" s="582">
        <v>0</v>
      </c>
      <c r="Q373" s="589"/>
      <c r="R373" s="576"/>
      <c r="S373" s="583">
        <f t="shared" si="43"/>
        <v>0</v>
      </c>
      <c r="T373" s="584">
        <v>0</v>
      </c>
      <c r="U373" s="51"/>
      <c r="V373" s="2120">
        <f t="shared" si="44"/>
        <v>0</v>
      </c>
      <c r="W373" s="43"/>
      <c r="X373" s="43"/>
      <c r="Y373" s="43"/>
      <c r="Z373" s="43"/>
    </row>
    <row r="374" spans="1:26">
      <c r="A374" s="88">
        <v>5823</v>
      </c>
      <c r="B374" s="378" t="s">
        <v>316</v>
      </c>
      <c r="C374" s="1033"/>
      <c r="D374" s="1033"/>
      <c r="E374" s="1033"/>
      <c r="F374" s="1033"/>
      <c r="G374" s="1033"/>
      <c r="H374" s="1033"/>
      <c r="I374" s="1033"/>
      <c r="J374" s="1033"/>
      <c r="K374" s="1033"/>
      <c r="L374" s="574"/>
      <c r="M374" s="51"/>
      <c r="N374" s="113">
        <f t="shared" si="40"/>
        <v>5823</v>
      </c>
      <c r="O374" s="581"/>
      <c r="P374" s="582">
        <v>0</v>
      </c>
      <c r="Q374" s="589"/>
      <c r="R374" s="576"/>
      <c r="S374" s="583">
        <f t="shared" si="43"/>
        <v>0</v>
      </c>
      <c r="T374" s="584">
        <v>0</v>
      </c>
      <c r="U374" s="51"/>
      <c r="V374" s="2120">
        <f t="shared" si="44"/>
        <v>0</v>
      </c>
      <c r="W374" s="43"/>
      <c r="X374" s="43"/>
      <c r="Y374" s="43"/>
      <c r="Z374" s="43"/>
    </row>
    <row r="375" spans="1:26">
      <c r="A375" s="88">
        <v>5826</v>
      </c>
      <c r="B375" s="378" t="s">
        <v>317</v>
      </c>
      <c r="C375" s="1033"/>
      <c r="D375" s="1033"/>
      <c r="E375" s="1033"/>
      <c r="F375" s="1033"/>
      <c r="G375" s="1033"/>
      <c r="H375" s="1033"/>
      <c r="I375" s="1033"/>
      <c r="J375" s="1033"/>
      <c r="K375" s="1033"/>
      <c r="L375" s="574"/>
      <c r="M375" s="51"/>
      <c r="N375" s="113">
        <f t="shared" si="40"/>
        <v>5826</v>
      </c>
      <c r="O375" s="581"/>
      <c r="P375" s="582">
        <v>0</v>
      </c>
      <c r="Q375" s="589"/>
      <c r="R375" s="576"/>
      <c r="S375" s="583">
        <f t="shared" si="43"/>
        <v>0</v>
      </c>
      <c r="T375" s="584">
        <v>0</v>
      </c>
      <c r="U375" s="51"/>
      <c r="V375" s="2120">
        <f t="shared" si="44"/>
        <v>0</v>
      </c>
      <c r="W375" s="43"/>
      <c r="X375" s="43"/>
      <c r="Y375" s="43"/>
      <c r="Z375" s="43"/>
    </row>
    <row r="376" spans="1:26">
      <c r="A376" s="88">
        <v>5829</v>
      </c>
      <c r="B376" s="378" t="s">
        <v>318</v>
      </c>
      <c r="C376" s="1033"/>
      <c r="D376" s="1033"/>
      <c r="E376" s="1033"/>
      <c r="F376" s="1033"/>
      <c r="G376" s="1033"/>
      <c r="H376" s="1033"/>
      <c r="I376" s="1033"/>
      <c r="J376" s="1033"/>
      <c r="K376" s="1033"/>
      <c r="L376" s="574"/>
      <c r="M376" s="51"/>
      <c r="N376" s="113">
        <f t="shared" ref="N376:N382" si="45">+A376</f>
        <v>5829</v>
      </c>
      <c r="O376" s="581"/>
      <c r="P376" s="582">
        <v>0</v>
      </c>
      <c r="Q376" s="589"/>
      <c r="R376" s="576"/>
      <c r="S376" s="583">
        <f t="shared" si="43"/>
        <v>0</v>
      </c>
      <c r="T376" s="584">
        <v>0</v>
      </c>
      <c r="U376" s="51"/>
      <c r="V376" s="2120">
        <f t="shared" si="44"/>
        <v>0</v>
      </c>
      <c r="W376" s="43"/>
      <c r="X376" s="43"/>
      <c r="Y376" s="43"/>
      <c r="Z376" s="43"/>
    </row>
    <row r="377" spans="1:26">
      <c r="A377" s="88">
        <v>5881</v>
      </c>
      <c r="B377" s="378" t="s">
        <v>612</v>
      </c>
      <c r="C377" s="1033"/>
      <c r="D377" s="1033"/>
      <c r="E377" s="1033"/>
      <c r="F377" s="1033"/>
      <c r="G377" s="1033"/>
      <c r="H377" s="1033"/>
      <c r="I377" s="1033"/>
      <c r="J377" s="1033"/>
      <c r="K377" s="1033"/>
      <c r="L377" s="574"/>
      <c r="M377" s="51"/>
      <c r="N377" s="113">
        <f t="shared" si="45"/>
        <v>5881</v>
      </c>
      <c r="O377" s="581"/>
      <c r="P377" s="582">
        <v>0</v>
      </c>
      <c r="Q377" s="589"/>
      <c r="R377" s="576"/>
      <c r="S377" s="583">
        <f t="shared" si="43"/>
        <v>0</v>
      </c>
      <c r="T377" s="584">
        <v>0</v>
      </c>
      <c r="U377" s="51"/>
      <c r="V377" s="2120">
        <f t="shared" si="44"/>
        <v>0</v>
      </c>
      <c r="W377" s="43"/>
      <c r="X377" s="43"/>
      <c r="Y377" s="43"/>
      <c r="Z377" s="43"/>
    </row>
    <row r="378" spans="1:26">
      <c r="A378" s="88">
        <v>5882</v>
      </c>
      <c r="B378" s="378" t="s">
        <v>613</v>
      </c>
      <c r="C378" s="1033"/>
      <c r="D378" s="1033"/>
      <c r="E378" s="1033"/>
      <c r="F378" s="1033"/>
      <c r="G378" s="1033"/>
      <c r="H378" s="1033"/>
      <c r="I378" s="1033"/>
      <c r="J378" s="1033"/>
      <c r="K378" s="1033"/>
      <c r="L378" s="574"/>
      <c r="M378" s="51"/>
      <c r="N378" s="113">
        <f t="shared" si="45"/>
        <v>5882</v>
      </c>
      <c r="O378" s="581"/>
      <c r="P378" s="582">
        <v>0</v>
      </c>
      <c r="Q378" s="589"/>
      <c r="R378" s="576"/>
      <c r="S378" s="583">
        <f t="shared" si="43"/>
        <v>0</v>
      </c>
      <c r="T378" s="584">
        <v>0</v>
      </c>
      <c r="U378" s="51"/>
      <c r="V378" s="2120">
        <f t="shared" si="44"/>
        <v>0</v>
      </c>
      <c r="W378" s="43"/>
      <c r="X378" s="43"/>
      <c r="Y378" s="43"/>
      <c r="Z378" s="43"/>
    </row>
    <row r="379" spans="1:26">
      <c r="A379" s="88">
        <v>5889</v>
      </c>
      <c r="B379" s="378" t="s">
        <v>614</v>
      </c>
      <c r="C379" s="1033"/>
      <c r="D379" s="1033"/>
      <c r="E379" s="1033"/>
      <c r="F379" s="1033"/>
      <c r="G379" s="1033"/>
      <c r="H379" s="1033"/>
      <c r="I379" s="1033"/>
      <c r="J379" s="1033"/>
      <c r="K379" s="1033"/>
      <c r="L379" s="574"/>
      <c r="M379" s="51"/>
      <c r="N379" s="113">
        <f t="shared" si="45"/>
        <v>5889</v>
      </c>
      <c r="O379" s="581"/>
      <c r="P379" s="582">
        <v>0</v>
      </c>
      <c r="Q379" s="589"/>
      <c r="R379" s="576"/>
      <c r="S379" s="583">
        <f t="shared" si="43"/>
        <v>0</v>
      </c>
      <c r="T379" s="584">
        <v>0</v>
      </c>
      <c r="U379" s="51"/>
      <c r="V379" s="2120">
        <f t="shared" si="44"/>
        <v>0</v>
      </c>
      <c r="W379" s="43"/>
      <c r="X379" s="43"/>
      <c r="Y379" s="43"/>
      <c r="Z379" s="43"/>
    </row>
    <row r="380" spans="1:26">
      <c r="A380" s="88">
        <v>5891</v>
      </c>
      <c r="B380" s="378" t="s">
        <v>319</v>
      </c>
      <c r="C380" s="1033"/>
      <c r="D380" s="1033"/>
      <c r="E380" s="1033"/>
      <c r="F380" s="1033"/>
      <c r="G380" s="1033"/>
      <c r="H380" s="1033"/>
      <c r="I380" s="1033"/>
      <c r="J380" s="1033"/>
      <c r="K380" s="1033"/>
      <c r="L380" s="574"/>
      <c r="M380" s="51"/>
      <c r="N380" s="113">
        <f t="shared" si="45"/>
        <v>5891</v>
      </c>
      <c r="O380" s="575">
        <v>0</v>
      </c>
      <c r="P380" s="576"/>
      <c r="Q380" s="589"/>
      <c r="R380" s="121"/>
      <c r="S380" s="579">
        <v>0</v>
      </c>
      <c r="T380" s="580">
        <f>+IF(ABS(+O380+Q380)&lt;=ABS(P380+R380),-O380+P380-Q380+R380,0)</f>
        <v>0</v>
      </c>
      <c r="U380" s="51"/>
      <c r="V380" s="2119">
        <f>+IF(OR(+ROUND(O380,2)+ROUND(Q380,2)&gt;ROUND(P380,2)+ROUND(R380,2),+ABS(ROUND(O380,2)+ROUND(Q380,2))&gt;+ABS(ROUND(P380,2)+ROUND(R380,2))),+(ROUND(O380,2)+ROUND(Q380,2))-(ROUND(P380,2)+ROUND(R380,2)),0)</f>
        <v>0</v>
      </c>
      <c r="W380" s="43"/>
      <c r="X380" s="43"/>
      <c r="Y380" s="43"/>
      <c r="Z380" s="43"/>
    </row>
    <row r="381" spans="1:26">
      <c r="A381" s="591">
        <v>5892</v>
      </c>
      <c r="B381" s="1046" t="s">
        <v>320</v>
      </c>
      <c r="C381" s="1033"/>
      <c r="D381" s="1033"/>
      <c r="E381" s="1033"/>
      <c r="F381" s="1033"/>
      <c r="G381" s="1033"/>
      <c r="H381" s="1033"/>
      <c r="I381" s="1033"/>
      <c r="J381" s="1033"/>
      <c r="K381" s="1033"/>
      <c r="L381" s="574"/>
      <c r="M381" s="51"/>
      <c r="N381" s="113">
        <f t="shared" si="45"/>
        <v>5892</v>
      </c>
      <c r="O381" s="575">
        <v>0</v>
      </c>
      <c r="P381" s="576"/>
      <c r="Q381" s="589"/>
      <c r="R381" s="121"/>
      <c r="S381" s="579">
        <v>0</v>
      </c>
      <c r="T381" s="580">
        <f>+IF(ABS(+O381+Q381)&lt;=ABS(P381+R381),-O381+P381-Q381+R381,0)</f>
        <v>0</v>
      </c>
      <c r="U381" s="51"/>
      <c r="V381" s="2119">
        <f>+IF(OR(+ROUND(O381,2)+ROUND(Q381,2)&gt;ROUND(P381,2)+ROUND(R381,2),+ABS(ROUND(O381,2)+ROUND(Q381,2))&gt;+ABS(ROUND(P381,2)+ROUND(R381,2))),+(ROUND(O381,2)+ROUND(Q381,2))-(ROUND(P381,2)+ROUND(R381,2)),0)</f>
        <v>0</v>
      </c>
      <c r="W381" s="43"/>
      <c r="X381" s="43"/>
      <c r="Y381" s="43"/>
      <c r="Z381" s="43"/>
    </row>
    <row r="382" spans="1:26">
      <c r="A382" s="1047">
        <v>5894</v>
      </c>
      <c r="B382" s="1048" t="s">
        <v>321</v>
      </c>
      <c r="C382" s="1049"/>
      <c r="D382" s="1049"/>
      <c r="E382" s="1049"/>
      <c r="F382" s="1049"/>
      <c r="G382" s="1049"/>
      <c r="H382" s="1049"/>
      <c r="I382" s="1049"/>
      <c r="J382" s="1049"/>
      <c r="K382" s="1049"/>
      <c r="L382" s="1050"/>
      <c r="M382" s="51"/>
      <c r="N382" s="113">
        <f t="shared" si="45"/>
        <v>5894</v>
      </c>
      <c r="O382" s="856">
        <v>0</v>
      </c>
      <c r="P382" s="597"/>
      <c r="Q382" s="598"/>
      <c r="R382" s="127"/>
      <c r="S382" s="857">
        <v>0</v>
      </c>
      <c r="T382" s="599">
        <f>+IF(ABS(+O382+Q382)&lt;=ABS(P382+R382),-O382+P382-Q382+R382,0)</f>
        <v>0</v>
      </c>
      <c r="U382" s="51"/>
      <c r="V382" s="2119">
        <f>+IF(OR(+ROUND(O382,2)+ROUND(Q382,2)&gt;ROUND(P382,2)+ROUND(R382,2),+ABS(ROUND(O382,2)+ROUND(Q382,2))&gt;+ABS(ROUND(P382,2)+ROUND(R382,2))),+(ROUND(O382,2)+ROUND(Q382,2))-(ROUND(P382,2)+ROUND(R382,2)),0)</f>
        <v>0</v>
      </c>
      <c r="W382" s="43"/>
      <c r="X382" s="43"/>
      <c r="Y382" s="43"/>
      <c r="Z382" s="43"/>
    </row>
    <row r="383" spans="1:26">
      <c r="A383" s="398" t="s">
        <v>472</v>
      </c>
      <c r="B383" s="399"/>
      <c r="C383" s="399"/>
      <c r="D383" s="399"/>
      <c r="E383" s="399"/>
      <c r="F383" s="399"/>
      <c r="G383" s="399"/>
      <c r="H383" s="399"/>
      <c r="I383" s="399"/>
      <c r="J383" s="399"/>
      <c r="K383" s="399"/>
      <c r="L383" s="381"/>
      <c r="M383" s="51"/>
      <c r="N383" s="383">
        <v>6</v>
      </c>
      <c r="O383" s="384"/>
      <c r="P383" s="385"/>
      <c r="Q383" s="386"/>
      <c r="R383" s="385"/>
      <c r="S383" s="386"/>
      <c r="T383" s="387"/>
      <c r="U383" s="51"/>
      <c r="V383" s="2119"/>
      <c r="W383" s="43"/>
      <c r="X383" s="43"/>
      <c r="Y383" s="43"/>
      <c r="Z383" s="43"/>
    </row>
    <row r="384" spans="1:26">
      <c r="A384" s="85">
        <v>6010</v>
      </c>
      <c r="B384" s="419" t="s">
        <v>322</v>
      </c>
      <c r="C384" s="86"/>
      <c r="D384" s="86"/>
      <c r="E384" s="86"/>
      <c r="F384" s="86"/>
      <c r="G384" s="86"/>
      <c r="H384" s="86"/>
      <c r="I384" s="86"/>
      <c r="J384" s="86"/>
      <c r="K384" s="86"/>
      <c r="L384" s="87"/>
      <c r="M384" s="51"/>
      <c r="N384" s="112">
        <f t="shared" ref="N384:N447" si="46">+A384</f>
        <v>6010</v>
      </c>
      <c r="O384" s="328">
        <v>0</v>
      </c>
      <c r="P384" s="329">
        <v>0</v>
      </c>
      <c r="Q384" s="325">
        <v>0</v>
      </c>
      <c r="R384" s="324">
        <v>0</v>
      </c>
      <c r="S384" s="326">
        <f t="shared" ref="S384:S415" si="47">+IF(ABS(+O384+Q384)&gt;=ABS(P384+R384),+O384-P384+Q384-R384,0)</f>
        <v>0</v>
      </c>
      <c r="T384" s="327">
        <f t="shared" ref="T384:T409" si="48">+IF(ABS(+O384+Q384)&lt;=ABS(P384+R384),-O384+P384-Q384+R384,0)</f>
        <v>0</v>
      </c>
      <c r="U384" s="51"/>
      <c r="V384" s="2119"/>
      <c r="W384" s="43"/>
      <c r="X384" s="43"/>
      <c r="Y384" s="43"/>
      <c r="Z384" s="43"/>
    </row>
    <row r="385" spans="1:26">
      <c r="A385" s="88">
        <v>6011</v>
      </c>
      <c r="B385" s="1032" t="s">
        <v>323</v>
      </c>
      <c r="C385" s="1033"/>
      <c r="D385" s="1033"/>
      <c r="E385" s="1033"/>
      <c r="F385" s="1033"/>
      <c r="G385" s="1033"/>
      <c r="H385" s="1033"/>
      <c r="I385" s="1033"/>
      <c r="J385" s="1033"/>
      <c r="K385" s="1033"/>
      <c r="L385" s="90"/>
      <c r="M385" s="51"/>
      <c r="N385" s="113">
        <f t="shared" si="46"/>
        <v>6011</v>
      </c>
      <c r="O385" s="8">
        <v>0</v>
      </c>
      <c r="P385" s="9">
        <v>0</v>
      </c>
      <c r="Q385" s="122">
        <v>0</v>
      </c>
      <c r="R385" s="121">
        <v>0</v>
      </c>
      <c r="S385" s="27">
        <f t="shared" si="47"/>
        <v>0</v>
      </c>
      <c r="T385" s="28">
        <f t="shared" si="48"/>
        <v>0</v>
      </c>
      <c r="U385" s="51"/>
      <c r="V385" s="2119"/>
      <c r="W385" s="43"/>
      <c r="X385" s="43"/>
      <c r="Y385" s="43"/>
      <c r="Z385" s="43"/>
    </row>
    <row r="386" spans="1:26">
      <c r="A386" s="88">
        <v>6012</v>
      </c>
      <c r="B386" s="1032" t="s">
        <v>324</v>
      </c>
      <c r="C386" s="1033"/>
      <c r="D386" s="1033"/>
      <c r="E386" s="1033"/>
      <c r="F386" s="1033"/>
      <c r="G386" s="1033"/>
      <c r="H386" s="1033"/>
      <c r="I386" s="1033"/>
      <c r="J386" s="1033"/>
      <c r="K386" s="1033"/>
      <c r="L386" s="90"/>
      <c r="M386" s="51"/>
      <c r="N386" s="113">
        <f t="shared" si="46"/>
        <v>6012</v>
      </c>
      <c r="O386" s="8">
        <v>0</v>
      </c>
      <c r="P386" s="9">
        <v>0</v>
      </c>
      <c r="Q386" s="122">
        <v>0</v>
      </c>
      <c r="R386" s="121">
        <v>0</v>
      </c>
      <c r="S386" s="27">
        <f t="shared" si="47"/>
        <v>0</v>
      </c>
      <c r="T386" s="28">
        <f t="shared" si="48"/>
        <v>0</v>
      </c>
      <c r="U386" s="51"/>
      <c r="V386" s="2119"/>
      <c r="W386" s="43"/>
      <c r="X386" s="43"/>
      <c r="Y386" s="43"/>
      <c r="Z386" s="43"/>
    </row>
    <row r="387" spans="1:26">
      <c r="A387" s="88">
        <v>6013</v>
      </c>
      <c r="B387" s="1032" t="s">
        <v>325</v>
      </c>
      <c r="C387" s="1033"/>
      <c r="D387" s="1033"/>
      <c r="E387" s="1033"/>
      <c r="F387" s="1033"/>
      <c r="G387" s="1033"/>
      <c r="H387" s="1033"/>
      <c r="I387" s="1033"/>
      <c r="J387" s="1033"/>
      <c r="K387" s="1033"/>
      <c r="L387" s="90"/>
      <c r="M387" s="51"/>
      <c r="N387" s="113">
        <f t="shared" si="46"/>
        <v>6013</v>
      </c>
      <c r="O387" s="8">
        <v>0</v>
      </c>
      <c r="P387" s="9">
        <v>0</v>
      </c>
      <c r="Q387" s="122">
        <v>0</v>
      </c>
      <c r="R387" s="121">
        <v>0</v>
      </c>
      <c r="S387" s="27">
        <f t="shared" si="47"/>
        <v>0</v>
      </c>
      <c r="T387" s="28">
        <f t="shared" si="48"/>
        <v>0</v>
      </c>
      <c r="U387" s="51"/>
      <c r="V387" s="2119"/>
      <c r="W387" s="43"/>
      <c r="X387" s="43"/>
      <c r="Y387" s="43"/>
      <c r="Z387" s="43"/>
    </row>
    <row r="388" spans="1:26">
      <c r="A388" s="88">
        <v>6014</v>
      </c>
      <c r="B388" s="1032" t="s">
        <v>326</v>
      </c>
      <c r="C388" s="1033"/>
      <c r="D388" s="1033"/>
      <c r="E388" s="1033"/>
      <c r="F388" s="1033"/>
      <c r="G388" s="1033"/>
      <c r="H388" s="1033"/>
      <c r="I388" s="1033"/>
      <c r="J388" s="1033"/>
      <c r="K388" s="1033"/>
      <c r="L388" s="90"/>
      <c r="M388" s="51"/>
      <c r="N388" s="113">
        <f t="shared" si="46"/>
        <v>6014</v>
      </c>
      <c r="O388" s="8">
        <v>0</v>
      </c>
      <c r="P388" s="9">
        <v>0</v>
      </c>
      <c r="Q388" s="122">
        <v>0</v>
      </c>
      <c r="R388" s="121">
        <v>0</v>
      </c>
      <c r="S388" s="27">
        <f t="shared" si="47"/>
        <v>0</v>
      </c>
      <c r="T388" s="28">
        <f t="shared" si="48"/>
        <v>0</v>
      </c>
      <c r="U388" s="51"/>
      <c r="V388" s="2119"/>
      <c r="W388" s="43"/>
      <c r="X388" s="43"/>
      <c r="Y388" s="43"/>
      <c r="Z388" s="43"/>
    </row>
    <row r="389" spans="1:26">
      <c r="A389" s="88">
        <v>6015</v>
      </c>
      <c r="B389" s="1032" t="s">
        <v>327</v>
      </c>
      <c r="C389" s="1033"/>
      <c r="D389" s="1033"/>
      <c r="E389" s="1033"/>
      <c r="F389" s="1033"/>
      <c r="G389" s="1033"/>
      <c r="H389" s="1033"/>
      <c r="I389" s="1033"/>
      <c r="J389" s="1033"/>
      <c r="K389" s="1033"/>
      <c r="L389" s="90"/>
      <c r="M389" s="51"/>
      <c r="N389" s="113">
        <f t="shared" si="46"/>
        <v>6015</v>
      </c>
      <c r="O389" s="8">
        <v>0</v>
      </c>
      <c r="P389" s="9">
        <v>0</v>
      </c>
      <c r="Q389" s="122">
        <v>0</v>
      </c>
      <c r="R389" s="121">
        <v>0</v>
      </c>
      <c r="S389" s="27">
        <f t="shared" si="47"/>
        <v>0</v>
      </c>
      <c r="T389" s="28">
        <f t="shared" si="48"/>
        <v>0</v>
      </c>
      <c r="U389" s="51"/>
      <c r="V389" s="2119"/>
      <c r="W389" s="43"/>
      <c r="X389" s="43"/>
      <c r="Y389" s="43"/>
      <c r="Z389" s="43"/>
    </row>
    <row r="390" spans="1:26">
      <c r="A390" s="88">
        <v>6016</v>
      </c>
      <c r="B390" s="1032" t="s">
        <v>328</v>
      </c>
      <c r="C390" s="1033"/>
      <c r="D390" s="1033"/>
      <c r="E390" s="1033"/>
      <c r="F390" s="1033"/>
      <c r="G390" s="1033"/>
      <c r="H390" s="1033"/>
      <c r="I390" s="1033"/>
      <c r="J390" s="1033"/>
      <c r="K390" s="1033"/>
      <c r="L390" s="90"/>
      <c r="M390" s="51"/>
      <c r="N390" s="113">
        <f t="shared" si="46"/>
        <v>6016</v>
      </c>
      <c r="O390" s="8">
        <v>0</v>
      </c>
      <c r="P390" s="9">
        <v>0</v>
      </c>
      <c r="Q390" s="122">
        <v>0</v>
      </c>
      <c r="R390" s="121">
        <v>0</v>
      </c>
      <c r="S390" s="27">
        <f t="shared" si="47"/>
        <v>0</v>
      </c>
      <c r="T390" s="28">
        <f t="shared" si="48"/>
        <v>0</v>
      </c>
      <c r="U390" s="51"/>
      <c r="V390" s="2119"/>
      <c r="W390" s="43"/>
      <c r="X390" s="43"/>
      <c r="Y390" s="43"/>
      <c r="Z390" s="43"/>
    </row>
    <row r="391" spans="1:26">
      <c r="A391" s="88">
        <v>6017</v>
      </c>
      <c r="B391" s="1032" t="s">
        <v>329</v>
      </c>
      <c r="C391" s="1033"/>
      <c r="D391" s="1033"/>
      <c r="E391" s="1033"/>
      <c r="F391" s="1033"/>
      <c r="G391" s="1033"/>
      <c r="H391" s="1033"/>
      <c r="I391" s="1033"/>
      <c r="J391" s="1033"/>
      <c r="K391" s="1033"/>
      <c r="L391" s="90"/>
      <c r="M391" s="51"/>
      <c r="N391" s="113">
        <f t="shared" si="46"/>
        <v>6017</v>
      </c>
      <c r="O391" s="8">
        <v>0</v>
      </c>
      <c r="P391" s="9">
        <v>0</v>
      </c>
      <c r="Q391" s="122">
        <v>0</v>
      </c>
      <c r="R391" s="121">
        <v>0</v>
      </c>
      <c r="S391" s="27">
        <f t="shared" si="47"/>
        <v>0</v>
      </c>
      <c r="T391" s="28">
        <f t="shared" si="48"/>
        <v>0</v>
      </c>
      <c r="U391" s="51"/>
      <c r="V391" s="2119"/>
      <c r="W391" s="43"/>
      <c r="X391" s="43"/>
      <c r="Y391" s="43"/>
      <c r="Z391" s="43"/>
    </row>
    <row r="392" spans="1:26">
      <c r="A392" s="88">
        <v>6018</v>
      </c>
      <c r="B392" s="1032" t="s">
        <v>330</v>
      </c>
      <c r="C392" s="1033"/>
      <c r="D392" s="1033"/>
      <c r="E392" s="1033"/>
      <c r="F392" s="1033"/>
      <c r="G392" s="1033"/>
      <c r="H392" s="1033"/>
      <c r="I392" s="1033"/>
      <c r="J392" s="1033"/>
      <c r="K392" s="1033"/>
      <c r="L392" s="90"/>
      <c r="M392" s="51"/>
      <c r="N392" s="113">
        <f t="shared" si="46"/>
        <v>6018</v>
      </c>
      <c r="O392" s="8">
        <v>0</v>
      </c>
      <c r="P392" s="9">
        <v>0</v>
      </c>
      <c r="Q392" s="122">
        <v>0</v>
      </c>
      <c r="R392" s="121">
        <v>0</v>
      </c>
      <c r="S392" s="27">
        <f t="shared" si="47"/>
        <v>0</v>
      </c>
      <c r="T392" s="28">
        <f t="shared" si="48"/>
        <v>0</v>
      </c>
      <c r="U392" s="51"/>
      <c r="V392" s="2119"/>
      <c r="W392" s="43"/>
      <c r="X392" s="43"/>
      <c r="Y392" s="43"/>
      <c r="Z392" s="43"/>
    </row>
    <row r="393" spans="1:26">
      <c r="A393" s="88">
        <v>6019</v>
      </c>
      <c r="B393" s="1032" t="s">
        <v>331</v>
      </c>
      <c r="C393" s="1033"/>
      <c r="D393" s="1033"/>
      <c r="E393" s="1033"/>
      <c r="F393" s="1033"/>
      <c r="G393" s="1033"/>
      <c r="H393" s="1033"/>
      <c r="I393" s="1033"/>
      <c r="J393" s="1033"/>
      <c r="K393" s="1033"/>
      <c r="L393" s="90"/>
      <c r="M393" s="51"/>
      <c r="N393" s="113">
        <f t="shared" si="46"/>
        <v>6019</v>
      </c>
      <c r="O393" s="8">
        <v>0</v>
      </c>
      <c r="P393" s="9">
        <v>0</v>
      </c>
      <c r="Q393" s="122">
        <v>0</v>
      </c>
      <c r="R393" s="121">
        <v>0</v>
      </c>
      <c r="S393" s="27">
        <f t="shared" si="47"/>
        <v>0</v>
      </c>
      <c r="T393" s="28">
        <f t="shared" si="48"/>
        <v>0</v>
      </c>
      <c r="U393" s="51"/>
      <c r="V393" s="2119"/>
      <c r="W393" s="43"/>
      <c r="X393" s="43"/>
      <c r="Y393" s="43"/>
      <c r="Z393" s="43"/>
    </row>
    <row r="394" spans="1:26">
      <c r="A394" s="88">
        <v>6021</v>
      </c>
      <c r="B394" s="1032" t="s">
        <v>332</v>
      </c>
      <c r="C394" s="1033"/>
      <c r="D394" s="1033"/>
      <c r="E394" s="1033"/>
      <c r="F394" s="1033"/>
      <c r="G394" s="1033"/>
      <c r="H394" s="1033"/>
      <c r="I394" s="1033"/>
      <c r="J394" s="1033"/>
      <c r="K394" s="1033"/>
      <c r="L394" s="90"/>
      <c r="M394" s="51"/>
      <c r="N394" s="113">
        <f t="shared" si="46"/>
        <v>6021</v>
      </c>
      <c r="O394" s="8">
        <v>0</v>
      </c>
      <c r="P394" s="9">
        <v>0</v>
      </c>
      <c r="Q394" s="122">
        <v>0</v>
      </c>
      <c r="R394" s="121">
        <v>0</v>
      </c>
      <c r="S394" s="27">
        <f t="shared" si="47"/>
        <v>0</v>
      </c>
      <c r="T394" s="28">
        <f t="shared" si="48"/>
        <v>0</v>
      </c>
      <c r="U394" s="51"/>
      <c r="V394" s="2119"/>
      <c r="W394" s="43"/>
      <c r="X394" s="43"/>
      <c r="Y394" s="43"/>
      <c r="Z394" s="43"/>
    </row>
    <row r="395" spans="1:26">
      <c r="A395" s="88">
        <v>6022</v>
      </c>
      <c r="B395" s="1032" t="s">
        <v>333</v>
      </c>
      <c r="C395" s="1033"/>
      <c r="D395" s="1033"/>
      <c r="E395" s="1033"/>
      <c r="F395" s="1033"/>
      <c r="G395" s="1033"/>
      <c r="H395" s="1033"/>
      <c r="I395" s="1033"/>
      <c r="J395" s="1033"/>
      <c r="K395" s="1033"/>
      <c r="L395" s="90"/>
      <c r="M395" s="51"/>
      <c r="N395" s="113">
        <f t="shared" si="46"/>
        <v>6022</v>
      </c>
      <c r="O395" s="8">
        <v>0</v>
      </c>
      <c r="P395" s="9">
        <v>0</v>
      </c>
      <c r="Q395" s="122">
        <v>0</v>
      </c>
      <c r="R395" s="121">
        <v>0</v>
      </c>
      <c r="S395" s="27">
        <f t="shared" si="47"/>
        <v>0</v>
      </c>
      <c r="T395" s="28">
        <f t="shared" si="48"/>
        <v>0</v>
      </c>
      <c r="U395" s="51"/>
      <c r="V395" s="2119"/>
      <c r="W395" s="43"/>
      <c r="X395" s="43"/>
      <c r="Y395" s="43"/>
      <c r="Z395" s="43"/>
    </row>
    <row r="396" spans="1:26">
      <c r="A396" s="88">
        <v>6023</v>
      </c>
      <c r="B396" s="1032" t="s">
        <v>334</v>
      </c>
      <c r="C396" s="1033"/>
      <c r="D396" s="1033"/>
      <c r="E396" s="1033"/>
      <c r="F396" s="1033"/>
      <c r="G396" s="1033"/>
      <c r="H396" s="1033"/>
      <c r="I396" s="1033"/>
      <c r="J396" s="1033"/>
      <c r="K396" s="1033"/>
      <c r="L396" s="90"/>
      <c r="M396" s="51"/>
      <c r="N396" s="113">
        <f t="shared" si="46"/>
        <v>6023</v>
      </c>
      <c r="O396" s="8">
        <v>0</v>
      </c>
      <c r="P396" s="9">
        <v>0</v>
      </c>
      <c r="Q396" s="122">
        <v>0</v>
      </c>
      <c r="R396" s="121">
        <v>0</v>
      </c>
      <c r="S396" s="27">
        <f t="shared" si="47"/>
        <v>0</v>
      </c>
      <c r="T396" s="28">
        <f t="shared" si="48"/>
        <v>0</v>
      </c>
      <c r="U396" s="51"/>
      <c r="V396" s="2119"/>
      <c r="W396" s="43"/>
      <c r="X396" s="43"/>
      <c r="Y396" s="43"/>
      <c r="Z396" s="43"/>
    </row>
    <row r="397" spans="1:26">
      <c r="A397" s="88">
        <v>6025</v>
      </c>
      <c r="B397" s="1032" t="s">
        <v>335</v>
      </c>
      <c r="C397" s="1033"/>
      <c r="D397" s="1033"/>
      <c r="E397" s="1033"/>
      <c r="F397" s="1033"/>
      <c r="G397" s="1033"/>
      <c r="H397" s="1033"/>
      <c r="I397" s="1033"/>
      <c r="J397" s="1033"/>
      <c r="K397" s="1033"/>
      <c r="L397" s="90"/>
      <c r="M397" s="51"/>
      <c r="N397" s="113">
        <f t="shared" si="46"/>
        <v>6025</v>
      </c>
      <c r="O397" s="8">
        <v>0</v>
      </c>
      <c r="P397" s="9">
        <v>0</v>
      </c>
      <c r="Q397" s="122">
        <v>0</v>
      </c>
      <c r="R397" s="121">
        <v>0</v>
      </c>
      <c r="S397" s="27">
        <f t="shared" si="47"/>
        <v>0</v>
      </c>
      <c r="T397" s="28">
        <f t="shared" si="48"/>
        <v>0</v>
      </c>
      <c r="U397" s="51"/>
      <c r="V397" s="2119"/>
      <c r="W397" s="43"/>
      <c r="X397" s="43"/>
      <c r="Y397" s="43"/>
      <c r="Z397" s="43"/>
    </row>
    <row r="398" spans="1:26">
      <c r="A398" s="88">
        <v>6026</v>
      </c>
      <c r="B398" s="1032" t="s">
        <v>336</v>
      </c>
      <c r="C398" s="1033"/>
      <c r="D398" s="1033"/>
      <c r="E398" s="1033"/>
      <c r="F398" s="1033"/>
      <c r="G398" s="1033"/>
      <c r="H398" s="1033"/>
      <c r="I398" s="1033"/>
      <c r="J398" s="1033"/>
      <c r="K398" s="1033"/>
      <c r="L398" s="90"/>
      <c r="M398" s="51"/>
      <c r="N398" s="113">
        <f t="shared" si="46"/>
        <v>6026</v>
      </c>
      <c r="O398" s="8">
        <v>0</v>
      </c>
      <c r="P398" s="9">
        <v>0</v>
      </c>
      <c r="Q398" s="122">
        <v>0</v>
      </c>
      <c r="R398" s="121">
        <v>0</v>
      </c>
      <c r="S398" s="27">
        <f t="shared" si="47"/>
        <v>0</v>
      </c>
      <c r="T398" s="28">
        <f t="shared" si="48"/>
        <v>0</v>
      </c>
      <c r="U398" s="51"/>
      <c r="V398" s="2119"/>
      <c r="W398" s="43"/>
      <c r="X398" s="43"/>
      <c r="Y398" s="43"/>
      <c r="Z398" s="43"/>
    </row>
    <row r="399" spans="1:26">
      <c r="A399" s="88">
        <v>6027</v>
      </c>
      <c r="B399" s="1032" t="s">
        <v>337</v>
      </c>
      <c r="C399" s="1033"/>
      <c r="D399" s="1033"/>
      <c r="E399" s="1033"/>
      <c r="F399" s="1033"/>
      <c r="G399" s="1033"/>
      <c r="H399" s="1033"/>
      <c r="I399" s="1033"/>
      <c r="J399" s="1033"/>
      <c r="K399" s="1033"/>
      <c r="L399" s="90"/>
      <c r="M399" s="51"/>
      <c r="N399" s="113">
        <f t="shared" si="46"/>
        <v>6027</v>
      </c>
      <c r="O399" s="8">
        <v>0</v>
      </c>
      <c r="P399" s="9">
        <v>0</v>
      </c>
      <c r="Q399" s="122">
        <v>0</v>
      </c>
      <c r="R399" s="121">
        <v>0</v>
      </c>
      <c r="S399" s="27">
        <f t="shared" si="47"/>
        <v>0</v>
      </c>
      <c r="T399" s="28">
        <f t="shared" si="48"/>
        <v>0</v>
      </c>
      <c r="U399" s="51"/>
      <c r="V399" s="2119"/>
      <c r="W399" s="43"/>
      <c r="X399" s="43"/>
      <c r="Y399" s="43"/>
      <c r="Z399" s="43"/>
    </row>
    <row r="400" spans="1:26">
      <c r="A400" s="88">
        <v>6028</v>
      </c>
      <c r="B400" s="1032" t="s">
        <v>338</v>
      </c>
      <c r="C400" s="1033"/>
      <c r="D400" s="1033"/>
      <c r="E400" s="1033"/>
      <c r="F400" s="1033"/>
      <c r="G400" s="1033"/>
      <c r="H400" s="1033"/>
      <c r="I400" s="1033"/>
      <c r="J400" s="1033"/>
      <c r="K400" s="1033"/>
      <c r="L400" s="90"/>
      <c r="M400" s="51"/>
      <c r="N400" s="113">
        <f t="shared" si="46"/>
        <v>6028</v>
      </c>
      <c r="O400" s="8">
        <v>0</v>
      </c>
      <c r="P400" s="9">
        <v>0</v>
      </c>
      <c r="Q400" s="122">
        <v>0</v>
      </c>
      <c r="R400" s="121">
        <v>0</v>
      </c>
      <c r="S400" s="27">
        <f t="shared" si="47"/>
        <v>0</v>
      </c>
      <c r="T400" s="28">
        <f t="shared" si="48"/>
        <v>0</v>
      </c>
      <c r="U400" s="51"/>
      <c r="V400" s="2119"/>
      <c r="W400" s="43"/>
      <c r="X400" s="43"/>
      <c r="Y400" s="43"/>
      <c r="Z400" s="43"/>
    </row>
    <row r="401" spans="1:26">
      <c r="A401" s="88">
        <v>6029</v>
      </c>
      <c r="B401" s="1032" t="s">
        <v>339</v>
      </c>
      <c r="C401" s="1033"/>
      <c r="D401" s="1033"/>
      <c r="E401" s="1033"/>
      <c r="F401" s="1033"/>
      <c r="G401" s="1033"/>
      <c r="H401" s="1033"/>
      <c r="I401" s="1033"/>
      <c r="J401" s="1033"/>
      <c r="K401" s="1033"/>
      <c r="L401" s="90"/>
      <c r="M401" s="51"/>
      <c r="N401" s="113">
        <f t="shared" si="46"/>
        <v>6029</v>
      </c>
      <c r="O401" s="8">
        <v>0</v>
      </c>
      <c r="P401" s="9">
        <v>0</v>
      </c>
      <c r="Q401" s="122">
        <v>0</v>
      </c>
      <c r="R401" s="121">
        <v>0</v>
      </c>
      <c r="S401" s="27">
        <f t="shared" si="47"/>
        <v>0</v>
      </c>
      <c r="T401" s="28">
        <f t="shared" si="48"/>
        <v>0</v>
      </c>
      <c r="U401" s="51"/>
      <c r="V401" s="2119"/>
      <c r="W401" s="43"/>
      <c r="X401" s="43"/>
      <c r="Y401" s="43"/>
      <c r="Z401" s="43"/>
    </row>
    <row r="402" spans="1:26">
      <c r="A402" s="591">
        <v>6030</v>
      </c>
      <c r="B402" s="1034" t="s">
        <v>340</v>
      </c>
      <c r="C402" s="1033"/>
      <c r="D402" s="1033"/>
      <c r="E402" s="1033"/>
      <c r="F402" s="1033"/>
      <c r="G402" s="1033"/>
      <c r="H402" s="1033"/>
      <c r="I402" s="1033"/>
      <c r="J402" s="1033"/>
      <c r="K402" s="1033"/>
      <c r="L402" s="574"/>
      <c r="M402" s="51"/>
      <c r="N402" s="1733">
        <f t="shared" si="46"/>
        <v>6030</v>
      </c>
      <c r="O402" s="575">
        <v>0</v>
      </c>
      <c r="P402" s="582">
        <v>0</v>
      </c>
      <c r="Q402" s="579">
        <v>0</v>
      </c>
      <c r="R402" s="582">
        <v>0</v>
      </c>
      <c r="S402" s="27">
        <f t="shared" si="47"/>
        <v>0</v>
      </c>
      <c r="T402" s="28">
        <f t="shared" si="48"/>
        <v>0</v>
      </c>
      <c r="U402" s="51"/>
      <c r="V402" s="2125">
        <f t="shared" ref="V402:V409" si="49">+IF(OR(O402&lt;&gt;0,P402&lt;&gt;0,Q402&lt;&gt;0,R402&lt;&gt;0,S402&lt;&gt;0,T402&lt;&gt;0),+IF(ABS(O402+Q402)-ABS(P402+R402)&lt;&gt;0,ABS(O402+Q402)-ABS(P402+R402),1),0)</f>
        <v>0</v>
      </c>
      <c r="W402" s="43"/>
      <c r="X402" s="43"/>
      <c r="Y402" s="43"/>
      <c r="Z402" s="43"/>
    </row>
    <row r="403" spans="1:26">
      <c r="A403" s="591">
        <v>6032</v>
      </c>
      <c r="B403" s="1034" t="s">
        <v>341</v>
      </c>
      <c r="C403" s="1033"/>
      <c r="D403" s="1033"/>
      <c r="E403" s="1033"/>
      <c r="F403" s="1033"/>
      <c r="G403" s="1033"/>
      <c r="H403" s="1033"/>
      <c r="I403" s="1033"/>
      <c r="J403" s="1033"/>
      <c r="K403" s="1033"/>
      <c r="L403" s="574"/>
      <c r="M403" s="51"/>
      <c r="N403" s="1733">
        <f t="shared" si="46"/>
        <v>6032</v>
      </c>
      <c r="O403" s="575">
        <v>0</v>
      </c>
      <c r="P403" s="582">
        <v>0</v>
      </c>
      <c r="Q403" s="579">
        <v>0</v>
      </c>
      <c r="R403" s="582">
        <v>0</v>
      </c>
      <c r="S403" s="27">
        <f t="shared" si="47"/>
        <v>0</v>
      </c>
      <c r="T403" s="28">
        <f t="shared" si="48"/>
        <v>0</v>
      </c>
      <c r="U403" s="51"/>
      <c r="V403" s="2125">
        <f t="shared" si="49"/>
        <v>0</v>
      </c>
      <c r="W403" s="43"/>
      <c r="X403" s="43"/>
      <c r="Y403" s="43"/>
      <c r="Z403" s="43"/>
    </row>
    <row r="404" spans="1:26">
      <c r="A404" s="591">
        <v>6033</v>
      </c>
      <c r="B404" s="1034" t="s">
        <v>342</v>
      </c>
      <c r="C404" s="1033"/>
      <c r="D404" s="1033"/>
      <c r="E404" s="1033"/>
      <c r="F404" s="1033"/>
      <c r="G404" s="1033"/>
      <c r="H404" s="1033"/>
      <c r="I404" s="1033"/>
      <c r="J404" s="1033"/>
      <c r="K404" s="1033"/>
      <c r="L404" s="574"/>
      <c r="M404" s="51"/>
      <c r="N404" s="1733">
        <f t="shared" si="46"/>
        <v>6033</v>
      </c>
      <c r="O404" s="575">
        <v>0</v>
      </c>
      <c r="P404" s="582">
        <v>0</v>
      </c>
      <c r="Q404" s="579">
        <v>0</v>
      </c>
      <c r="R404" s="582">
        <v>0</v>
      </c>
      <c r="S404" s="27">
        <f t="shared" si="47"/>
        <v>0</v>
      </c>
      <c r="T404" s="28">
        <f t="shared" si="48"/>
        <v>0</v>
      </c>
      <c r="U404" s="51"/>
      <c r="V404" s="2125">
        <f t="shared" si="49"/>
        <v>0</v>
      </c>
      <c r="W404" s="43"/>
      <c r="X404" s="43"/>
      <c r="Y404" s="43"/>
      <c r="Z404" s="43"/>
    </row>
    <row r="405" spans="1:26">
      <c r="A405" s="591">
        <v>6034</v>
      </c>
      <c r="B405" s="1034" t="s">
        <v>343</v>
      </c>
      <c r="C405" s="1033"/>
      <c r="D405" s="1033"/>
      <c r="E405" s="1033"/>
      <c r="F405" s="1033"/>
      <c r="G405" s="1033"/>
      <c r="H405" s="1033"/>
      <c r="I405" s="1033"/>
      <c r="J405" s="1033"/>
      <c r="K405" s="1033"/>
      <c r="L405" s="574"/>
      <c r="M405" s="51"/>
      <c r="N405" s="1733">
        <f t="shared" si="46"/>
        <v>6034</v>
      </c>
      <c r="O405" s="575">
        <v>0</v>
      </c>
      <c r="P405" s="582">
        <v>0</v>
      </c>
      <c r="Q405" s="579">
        <v>0</v>
      </c>
      <c r="R405" s="582">
        <v>0</v>
      </c>
      <c r="S405" s="27">
        <f t="shared" si="47"/>
        <v>0</v>
      </c>
      <c r="T405" s="28">
        <f t="shared" si="48"/>
        <v>0</v>
      </c>
      <c r="U405" s="51"/>
      <c r="V405" s="2125">
        <f t="shared" si="49"/>
        <v>0</v>
      </c>
      <c r="W405" s="43"/>
      <c r="X405" s="43"/>
      <c r="Y405" s="43"/>
      <c r="Z405" s="43"/>
    </row>
    <row r="406" spans="1:26">
      <c r="A406" s="591">
        <v>6035</v>
      </c>
      <c r="B406" s="1034" t="s">
        <v>344</v>
      </c>
      <c r="C406" s="1033"/>
      <c r="D406" s="1033"/>
      <c r="E406" s="1033"/>
      <c r="F406" s="1033"/>
      <c r="G406" s="1033"/>
      <c r="H406" s="1033"/>
      <c r="I406" s="1033"/>
      <c r="J406" s="1033"/>
      <c r="K406" s="1033"/>
      <c r="L406" s="574"/>
      <c r="M406" s="51"/>
      <c r="N406" s="1733">
        <f t="shared" si="46"/>
        <v>6035</v>
      </c>
      <c r="O406" s="575">
        <v>0</v>
      </c>
      <c r="P406" s="582">
        <v>0</v>
      </c>
      <c r="Q406" s="579">
        <v>0</v>
      </c>
      <c r="R406" s="582">
        <v>0</v>
      </c>
      <c r="S406" s="27">
        <f t="shared" si="47"/>
        <v>0</v>
      </c>
      <c r="T406" s="28">
        <f t="shared" si="48"/>
        <v>0</v>
      </c>
      <c r="U406" s="51"/>
      <c r="V406" s="2125">
        <f t="shared" si="49"/>
        <v>0</v>
      </c>
      <c r="W406" s="43"/>
      <c r="X406" s="43"/>
      <c r="Y406" s="43"/>
      <c r="Z406" s="43"/>
    </row>
    <row r="407" spans="1:26">
      <c r="A407" s="591">
        <v>6036</v>
      </c>
      <c r="B407" s="1034" t="s">
        <v>345</v>
      </c>
      <c r="C407" s="1033"/>
      <c r="D407" s="1033"/>
      <c r="E407" s="1033"/>
      <c r="F407" s="1033"/>
      <c r="G407" s="1033"/>
      <c r="H407" s="1033"/>
      <c r="I407" s="1033"/>
      <c r="J407" s="1033"/>
      <c r="K407" s="1033"/>
      <c r="L407" s="574"/>
      <c r="M407" s="51"/>
      <c r="N407" s="1733">
        <f t="shared" si="46"/>
        <v>6036</v>
      </c>
      <c r="O407" s="575">
        <v>0</v>
      </c>
      <c r="P407" s="582">
        <v>0</v>
      </c>
      <c r="Q407" s="579">
        <v>0</v>
      </c>
      <c r="R407" s="582">
        <v>0</v>
      </c>
      <c r="S407" s="27">
        <f t="shared" si="47"/>
        <v>0</v>
      </c>
      <c r="T407" s="28">
        <f t="shared" si="48"/>
        <v>0</v>
      </c>
      <c r="U407" s="51"/>
      <c r="V407" s="2125">
        <f t="shared" si="49"/>
        <v>0</v>
      </c>
      <c r="W407" s="43"/>
      <c r="X407" s="43"/>
      <c r="Y407" s="43"/>
      <c r="Z407" s="43"/>
    </row>
    <row r="408" spans="1:26">
      <c r="A408" s="591">
        <v>6037</v>
      </c>
      <c r="B408" s="1033" t="s">
        <v>347</v>
      </c>
      <c r="C408" s="1033"/>
      <c r="D408" s="1033"/>
      <c r="E408" s="1033"/>
      <c r="F408" s="1033"/>
      <c r="G408" s="1033"/>
      <c r="H408" s="1033"/>
      <c r="I408" s="1033"/>
      <c r="J408" s="1033"/>
      <c r="K408" s="1033"/>
      <c r="L408" s="574"/>
      <c r="M408" s="51"/>
      <c r="N408" s="1733">
        <f t="shared" si="46"/>
        <v>6037</v>
      </c>
      <c r="O408" s="575">
        <v>0</v>
      </c>
      <c r="P408" s="582">
        <v>0</v>
      </c>
      <c r="Q408" s="579">
        <v>0</v>
      </c>
      <c r="R408" s="582">
        <v>0</v>
      </c>
      <c r="S408" s="27">
        <f t="shared" si="47"/>
        <v>0</v>
      </c>
      <c r="T408" s="28">
        <f t="shared" si="48"/>
        <v>0</v>
      </c>
      <c r="U408" s="51"/>
      <c r="V408" s="2125">
        <f t="shared" si="49"/>
        <v>0</v>
      </c>
      <c r="W408" s="43"/>
      <c r="X408" s="43"/>
      <c r="Y408" s="43"/>
      <c r="Z408" s="43"/>
    </row>
    <row r="409" spans="1:26">
      <c r="A409" s="591">
        <v>6039</v>
      </c>
      <c r="B409" s="1034" t="s">
        <v>346</v>
      </c>
      <c r="C409" s="1033"/>
      <c r="D409" s="1033"/>
      <c r="E409" s="1033"/>
      <c r="F409" s="1033"/>
      <c r="G409" s="1033"/>
      <c r="H409" s="1033"/>
      <c r="I409" s="1033"/>
      <c r="J409" s="1033"/>
      <c r="K409" s="1033"/>
      <c r="L409" s="574"/>
      <c r="M409" s="51"/>
      <c r="N409" s="1733">
        <f t="shared" si="46"/>
        <v>6039</v>
      </c>
      <c r="O409" s="575">
        <v>0</v>
      </c>
      <c r="P409" s="582">
        <v>0</v>
      </c>
      <c r="Q409" s="579">
        <v>0</v>
      </c>
      <c r="R409" s="582">
        <v>0</v>
      </c>
      <c r="S409" s="27">
        <f t="shared" si="47"/>
        <v>0</v>
      </c>
      <c r="T409" s="28">
        <f t="shared" si="48"/>
        <v>0</v>
      </c>
      <c r="U409" s="51"/>
      <c r="V409" s="2125">
        <f t="shared" si="49"/>
        <v>0</v>
      </c>
      <c r="W409" s="43"/>
      <c r="X409" s="43"/>
      <c r="Y409" s="43"/>
      <c r="Z409" s="43"/>
    </row>
    <row r="410" spans="1:26">
      <c r="A410" s="88">
        <v>6041</v>
      </c>
      <c r="B410" s="1033" t="s">
        <v>348</v>
      </c>
      <c r="C410" s="1033"/>
      <c r="D410" s="1033"/>
      <c r="E410" s="1033"/>
      <c r="F410" s="1033"/>
      <c r="G410" s="1033"/>
      <c r="H410" s="1033"/>
      <c r="I410" s="1033"/>
      <c r="J410" s="1033"/>
      <c r="K410" s="1033"/>
      <c r="L410" s="90"/>
      <c r="M410" s="51"/>
      <c r="N410" s="113">
        <f t="shared" si="46"/>
        <v>6041</v>
      </c>
      <c r="O410" s="8">
        <v>0</v>
      </c>
      <c r="P410" s="9">
        <v>0</v>
      </c>
      <c r="Q410" s="122">
        <v>0</v>
      </c>
      <c r="R410" s="121">
        <v>0</v>
      </c>
      <c r="S410" s="27">
        <f t="shared" si="47"/>
        <v>0</v>
      </c>
      <c r="T410" s="28">
        <f>+IF(ABS(+O410+Q410)&lt;=ABS(P410+R410),-O410+P410-Q410+R410,0)</f>
        <v>0</v>
      </c>
      <c r="U410" s="51"/>
      <c r="V410" s="2119"/>
      <c r="W410" s="43"/>
      <c r="X410" s="43"/>
      <c r="Y410" s="43"/>
      <c r="Z410" s="43"/>
    </row>
    <row r="411" spans="1:26">
      <c r="A411" s="88">
        <v>6042</v>
      </c>
      <c r="B411" s="1033" t="s">
        <v>349</v>
      </c>
      <c r="C411" s="1033"/>
      <c r="D411" s="1033"/>
      <c r="E411" s="1033"/>
      <c r="F411" s="1033"/>
      <c r="G411" s="1033"/>
      <c r="H411" s="1033"/>
      <c r="I411" s="1033"/>
      <c r="J411" s="1033"/>
      <c r="K411" s="1033"/>
      <c r="L411" s="90"/>
      <c r="M411" s="51"/>
      <c r="N411" s="113">
        <f t="shared" si="46"/>
        <v>6042</v>
      </c>
      <c r="O411" s="8">
        <v>0</v>
      </c>
      <c r="P411" s="9">
        <v>0</v>
      </c>
      <c r="Q411" s="122">
        <v>0</v>
      </c>
      <c r="R411" s="121">
        <v>0</v>
      </c>
      <c r="S411" s="27">
        <f t="shared" si="47"/>
        <v>0</v>
      </c>
      <c r="T411" s="28">
        <f>+IF(ABS(+O411+Q411)&lt;=ABS(P411+R411),-O411+P411-Q411+R411,0)</f>
        <v>0</v>
      </c>
      <c r="U411" s="51"/>
      <c r="V411" s="2119"/>
      <c r="W411" s="43"/>
      <c r="X411" s="43"/>
      <c r="Y411" s="43"/>
      <c r="Z411" s="43"/>
    </row>
    <row r="412" spans="1:26">
      <c r="A412" s="88">
        <v>6043</v>
      </c>
      <c r="B412" s="1033" t="s">
        <v>350</v>
      </c>
      <c r="C412" s="1033"/>
      <c r="D412" s="1033"/>
      <c r="E412" s="1033"/>
      <c r="F412" s="1033"/>
      <c r="G412" s="1033"/>
      <c r="H412" s="1033"/>
      <c r="I412" s="1033"/>
      <c r="J412" s="1033"/>
      <c r="K412" s="1033"/>
      <c r="L412" s="90"/>
      <c r="M412" s="51"/>
      <c r="N412" s="113">
        <f t="shared" si="46"/>
        <v>6043</v>
      </c>
      <c r="O412" s="8">
        <v>0</v>
      </c>
      <c r="P412" s="9">
        <v>0</v>
      </c>
      <c r="Q412" s="122">
        <v>0</v>
      </c>
      <c r="R412" s="121">
        <v>0</v>
      </c>
      <c r="S412" s="583">
        <f t="shared" si="47"/>
        <v>0</v>
      </c>
      <c r="T412" s="580">
        <f>+IF(ABS(+O412+Q412)&lt;=ABS(P412+R412),-O412+P412-Q412+R412,0)</f>
        <v>0</v>
      </c>
      <c r="U412" s="51"/>
      <c r="V412" s="2119"/>
      <c r="W412" s="43"/>
      <c r="X412" s="43"/>
      <c r="Y412" s="43"/>
      <c r="Z412" s="43"/>
    </row>
    <row r="413" spans="1:26">
      <c r="A413" s="88">
        <v>6044</v>
      </c>
      <c r="B413" s="1033" t="s">
        <v>351</v>
      </c>
      <c r="C413" s="1033"/>
      <c r="D413" s="1033"/>
      <c r="E413" s="1033"/>
      <c r="F413" s="1033"/>
      <c r="G413" s="1033"/>
      <c r="H413" s="1033"/>
      <c r="I413" s="1033"/>
      <c r="J413" s="1033"/>
      <c r="K413" s="1033"/>
      <c r="L413" s="90"/>
      <c r="M413" s="51"/>
      <c r="N413" s="113">
        <f t="shared" si="46"/>
        <v>6044</v>
      </c>
      <c r="O413" s="8">
        <v>0</v>
      </c>
      <c r="P413" s="9">
        <v>0</v>
      </c>
      <c r="Q413" s="122">
        <v>0</v>
      </c>
      <c r="R413" s="121">
        <v>0</v>
      </c>
      <c r="S413" s="583">
        <f t="shared" si="47"/>
        <v>0</v>
      </c>
      <c r="T413" s="580">
        <f>+IF(ABS(+O413+Q413)&lt;=ABS(P413+R413),-O413+P413-Q413+R413,0)</f>
        <v>0</v>
      </c>
      <c r="U413" s="51"/>
      <c r="V413" s="2119"/>
      <c r="W413" s="43"/>
      <c r="X413" s="43"/>
      <c r="Y413" s="43"/>
      <c r="Z413" s="43"/>
    </row>
    <row r="414" spans="1:26">
      <c r="A414" s="88">
        <v>6046</v>
      </c>
      <c r="B414" s="1033" t="s">
        <v>352</v>
      </c>
      <c r="C414" s="1033"/>
      <c r="D414" s="1033"/>
      <c r="E414" s="1033"/>
      <c r="F414" s="1033"/>
      <c r="G414" s="1033"/>
      <c r="H414" s="1033"/>
      <c r="I414" s="1033"/>
      <c r="J414" s="1033"/>
      <c r="K414" s="1033"/>
      <c r="L414" s="90"/>
      <c r="M414" s="51"/>
      <c r="N414" s="113">
        <f t="shared" si="46"/>
        <v>6046</v>
      </c>
      <c r="O414" s="8">
        <v>0</v>
      </c>
      <c r="P414" s="9">
        <v>0</v>
      </c>
      <c r="Q414" s="122"/>
      <c r="R414" s="121"/>
      <c r="S414" s="583">
        <f t="shared" si="47"/>
        <v>0</v>
      </c>
      <c r="T414" s="580">
        <f>+IF(ABS(+O414+Q414)&lt;=ABS(P414+R414),-O414+P414-Q414+R414,0)</f>
        <v>0</v>
      </c>
      <c r="U414" s="51"/>
      <c r="V414" s="2119"/>
      <c r="W414" s="43"/>
      <c r="X414" s="43"/>
      <c r="Y414" s="43"/>
      <c r="Z414" s="43"/>
    </row>
    <row r="415" spans="1:26">
      <c r="A415" s="88">
        <v>6047</v>
      </c>
      <c r="B415" s="1032" t="s">
        <v>353</v>
      </c>
      <c r="C415" s="1033"/>
      <c r="D415" s="1033"/>
      <c r="E415" s="1033"/>
      <c r="F415" s="1033"/>
      <c r="G415" s="1033"/>
      <c r="H415" s="1033"/>
      <c r="I415" s="1033"/>
      <c r="J415" s="1033"/>
      <c r="K415" s="1033"/>
      <c r="L415" s="90"/>
      <c r="M415" s="51"/>
      <c r="N415" s="113">
        <f t="shared" si="46"/>
        <v>6047</v>
      </c>
      <c r="O415" s="575">
        <v>0</v>
      </c>
      <c r="P415" s="582">
        <v>0</v>
      </c>
      <c r="Q415" s="122">
        <v>0</v>
      </c>
      <c r="R415" s="576">
        <v>0</v>
      </c>
      <c r="S415" s="583">
        <f t="shared" si="47"/>
        <v>0</v>
      </c>
      <c r="T415" s="584">
        <v>0</v>
      </c>
      <c r="U415" s="51"/>
      <c r="V415" s="2120">
        <f>+IF(OR(ROUND(P415,2)+ROUND(R415,2)&gt;+ROUND(O415,2)+ROUND(Q415,2),+ABS(ROUND(P415,2)+ROUND(R415,2))&gt;+ABS(ROUND(O415,2)+ROUND(Q415,2))),+(ROUND(P415,2)+ROUND(R415,2))-(ROUND(O415,2)+ROUND(Q415,2)),0)</f>
        <v>0</v>
      </c>
      <c r="W415" s="43"/>
      <c r="X415" s="43"/>
      <c r="Y415" s="43"/>
      <c r="Z415" s="43"/>
    </row>
    <row r="416" spans="1:26">
      <c r="A416" s="88">
        <v>6048</v>
      </c>
      <c r="B416" s="1032" t="s">
        <v>354</v>
      </c>
      <c r="C416" s="1033"/>
      <c r="D416" s="1033"/>
      <c r="E416" s="1033"/>
      <c r="F416" s="1033"/>
      <c r="G416" s="1033"/>
      <c r="H416" s="1033"/>
      <c r="I416" s="1033"/>
      <c r="J416" s="1033"/>
      <c r="K416" s="1033"/>
      <c r="L416" s="90"/>
      <c r="M416" s="51"/>
      <c r="N416" s="113">
        <f t="shared" si="46"/>
        <v>6048</v>
      </c>
      <c r="O416" s="575">
        <v>0</v>
      </c>
      <c r="P416" s="582">
        <v>0</v>
      </c>
      <c r="Q416" s="589">
        <v>0</v>
      </c>
      <c r="R416" s="121">
        <v>0</v>
      </c>
      <c r="S416" s="579">
        <v>0</v>
      </c>
      <c r="T416" s="580">
        <f t="shared" ref="T416:T479" si="50">+IF(ABS(+O416+Q416)&lt;=ABS(P416+R416),-O416+P416-Q416+R416,0)</f>
        <v>0</v>
      </c>
      <c r="U416" s="51"/>
      <c r="V416" s="2119">
        <f>+IF(OR(+ROUND(O416,2)+ROUND(Q416,2)&gt;ROUND(P416,2)+ROUND(R416,2),+ABS(ROUND(O416,2)+ROUND(Q416,2))&gt;+ABS(ROUND(P416,2)+ROUND(R416,2))),+(ROUND(O416,2)+ROUND(Q416,2))-(ROUND(P416,2)+ROUND(R416,2)),0)</f>
        <v>0</v>
      </c>
      <c r="W416" s="43"/>
      <c r="X416" s="43"/>
      <c r="Y416" s="43"/>
      <c r="Z416" s="43"/>
    </row>
    <row r="417" spans="1:26">
      <c r="A417" s="88">
        <v>6049</v>
      </c>
      <c r="B417" s="1035" t="s">
        <v>433</v>
      </c>
      <c r="C417" s="1033"/>
      <c r="D417" s="1033"/>
      <c r="E417" s="1033"/>
      <c r="F417" s="1033"/>
      <c r="G417" s="1033"/>
      <c r="H417" s="1033"/>
      <c r="I417" s="1033"/>
      <c r="J417" s="1033"/>
      <c r="K417" s="1033"/>
      <c r="L417" s="90"/>
      <c r="M417" s="51"/>
      <c r="N417" s="113">
        <f t="shared" si="46"/>
        <v>6049</v>
      </c>
      <c r="O417" s="575">
        <v>0</v>
      </c>
      <c r="P417" s="582">
        <v>0</v>
      </c>
      <c r="Q417" s="589">
        <v>0</v>
      </c>
      <c r="R417" s="576">
        <v>0</v>
      </c>
      <c r="S417" s="583">
        <f t="shared" ref="S417:S480" si="51">+IF(ABS(+O417+Q417)&gt;=ABS(P417+R417),+O417-P417+Q417-R417,0)</f>
        <v>0</v>
      </c>
      <c r="T417" s="580">
        <f t="shared" si="50"/>
        <v>0</v>
      </c>
      <c r="U417" s="51"/>
      <c r="V417" s="2119"/>
      <c r="W417" s="43"/>
      <c r="X417" s="43"/>
      <c r="Y417" s="43"/>
      <c r="Z417" s="43"/>
    </row>
    <row r="418" spans="1:26">
      <c r="A418" s="88">
        <v>6051</v>
      </c>
      <c r="B418" s="1033" t="s">
        <v>434</v>
      </c>
      <c r="C418" s="1033"/>
      <c r="D418" s="1033"/>
      <c r="E418" s="1033"/>
      <c r="F418" s="1033"/>
      <c r="G418" s="1033"/>
      <c r="H418" s="1033"/>
      <c r="I418" s="1033"/>
      <c r="J418" s="1033"/>
      <c r="K418" s="1033"/>
      <c r="L418" s="90"/>
      <c r="M418" s="51"/>
      <c r="N418" s="113">
        <f t="shared" si="46"/>
        <v>6051</v>
      </c>
      <c r="O418" s="575">
        <v>0</v>
      </c>
      <c r="P418" s="582">
        <v>0</v>
      </c>
      <c r="Q418" s="589">
        <v>0</v>
      </c>
      <c r="R418" s="576">
        <v>0</v>
      </c>
      <c r="S418" s="583">
        <f t="shared" si="51"/>
        <v>0</v>
      </c>
      <c r="T418" s="580">
        <f t="shared" si="50"/>
        <v>0</v>
      </c>
      <c r="U418" s="51"/>
      <c r="V418" s="2119"/>
      <c r="W418" s="43"/>
      <c r="X418" s="43"/>
      <c r="Y418" s="43"/>
      <c r="Z418" s="43"/>
    </row>
    <row r="419" spans="1:26">
      <c r="A419" s="88">
        <v>6052</v>
      </c>
      <c r="B419" s="1033" t="s">
        <v>435</v>
      </c>
      <c r="C419" s="1033"/>
      <c r="D419" s="1033"/>
      <c r="E419" s="1033"/>
      <c r="F419" s="1033"/>
      <c r="G419" s="1033"/>
      <c r="H419" s="1033"/>
      <c r="I419" s="1033"/>
      <c r="J419" s="1033"/>
      <c r="K419" s="1033"/>
      <c r="L419" s="90"/>
      <c r="M419" s="51"/>
      <c r="N419" s="113">
        <f t="shared" si="46"/>
        <v>6052</v>
      </c>
      <c r="O419" s="575">
        <v>0</v>
      </c>
      <c r="P419" s="582">
        <v>0</v>
      </c>
      <c r="Q419" s="589">
        <v>0</v>
      </c>
      <c r="R419" s="576">
        <v>0</v>
      </c>
      <c r="S419" s="583">
        <f t="shared" si="51"/>
        <v>0</v>
      </c>
      <c r="T419" s="580">
        <f t="shared" si="50"/>
        <v>0</v>
      </c>
      <c r="U419" s="51"/>
      <c r="V419" s="2119"/>
      <c r="W419" s="43"/>
      <c r="X419" s="43"/>
      <c r="Y419" s="43"/>
      <c r="Z419" s="43"/>
    </row>
    <row r="420" spans="1:26" ht="15.75" customHeight="1">
      <c r="A420" s="88">
        <v>6054</v>
      </c>
      <c r="B420" s="1033" t="s">
        <v>436</v>
      </c>
      <c r="C420" s="1033"/>
      <c r="D420" s="1033"/>
      <c r="E420" s="1033"/>
      <c r="F420" s="1033"/>
      <c r="G420" s="1033"/>
      <c r="H420" s="1033"/>
      <c r="I420" s="1033"/>
      <c r="J420" s="1033"/>
      <c r="K420" s="1033"/>
      <c r="L420" s="90"/>
      <c r="M420" s="51"/>
      <c r="N420" s="113">
        <f t="shared" si="46"/>
        <v>6054</v>
      </c>
      <c r="O420" s="575">
        <v>0</v>
      </c>
      <c r="P420" s="582">
        <v>0</v>
      </c>
      <c r="Q420" s="589"/>
      <c r="R420" s="576"/>
      <c r="S420" s="583">
        <f t="shared" si="51"/>
        <v>0</v>
      </c>
      <c r="T420" s="580">
        <f t="shared" si="50"/>
        <v>0</v>
      </c>
      <c r="U420" s="51"/>
      <c r="V420" s="2119"/>
      <c r="W420" s="43"/>
      <c r="X420" s="43"/>
      <c r="Y420" s="43"/>
      <c r="Z420" s="43"/>
    </row>
    <row r="421" spans="1:26">
      <c r="A421" s="88">
        <v>6055</v>
      </c>
      <c r="B421" s="1033" t="s">
        <v>437</v>
      </c>
      <c r="C421" s="1033"/>
      <c r="D421" s="1033"/>
      <c r="E421" s="1033"/>
      <c r="F421" s="1033"/>
      <c r="G421" s="1033"/>
      <c r="H421" s="1033"/>
      <c r="I421" s="1033"/>
      <c r="J421" s="1033"/>
      <c r="K421" s="1033"/>
      <c r="L421" s="90"/>
      <c r="M421" s="51"/>
      <c r="N421" s="113">
        <f t="shared" si="46"/>
        <v>6055</v>
      </c>
      <c r="O421" s="575">
        <v>0</v>
      </c>
      <c r="P421" s="582">
        <v>0</v>
      </c>
      <c r="Q421" s="589">
        <v>0</v>
      </c>
      <c r="R421" s="576">
        <v>0</v>
      </c>
      <c r="S421" s="583">
        <f t="shared" si="51"/>
        <v>0</v>
      </c>
      <c r="T421" s="580">
        <f t="shared" si="50"/>
        <v>0</v>
      </c>
      <c r="U421" s="51"/>
      <c r="V421" s="2119"/>
      <c r="W421" s="43"/>
      <c r="X421" s="43"/>
      <c r="Y421" s="43"/>
      <c r="Z421" s="43"/>
    </row>
    <row r="422" spans="1:26">
      <c r="A422" s="88">
        <v>6056</v>
      </c>
      <c r="B422" s="1033" t="s">
        <v>438</v>
      </c>
      <c r="C422" s="1033"/>
      <c r="D422" s="1033"/>
      <c r="E422" s="1033"/>
      <c r="F422" s="1033"/>
      <c r="G422" s="1033"/>
      <c r="H422" s="1033"/>
      <c r="I422" s="1033"/>
      <c r="J422" s="1033"/>
      <c r="K422" s="1033"/>
      <c r="L422" s="90"/>
      <c r="M422" s="51"/>
      <c r="N422" s="113">
        <f t="shared" si="46"/>
        <v>6056</v>
      </c>
      <c r="O422" s="575">
        <v>0</v>
      </c>
      <c r="P422" s="582">
        <v>0</v>
      </c>
      <c r="Q422" s="589"/>
      <c r="R422" s="576"/>
      <c r="S422" s="583">
        <f t="shared" si="51"/>
        <v>0</v>
      </c>
      <c r="T422" s="580">
        <f t="shared" si="50"/>
        <v>0</v>
      </c>
      <c r="U422" s="51"/>
      <c r="V422" s="2119"/>
      <c r="W422" s="43"/>
      <c r="X422" s="43"/>
      <c r="Y422" s="43"/>
      <c r="Z422" s="43"/>
    </row>
    <row r="423" spans="1:26">
      <c r="A423" s="88">
        <v>6058</v>
      </c>
      <c r="B423" s="1033" t="s">
        <v>439</v>
      </c>
      <c r="C423" s="1033"/>
      <c r="D423" s="1033"/>
      <c r="E423" s="1033"/>
      <c r="F423" s="1033"/>
      <c r="G423" s="1033"/>
      <c r="H423" s="1033"/>
      <c r="I423" s="1033"/>
      <c r="J423" s="1033"/>
      <c r="K423" s="1033"/>
      <c r="L423" s="90"/>
      <c r="M423" s="51"/>
      <c r="N423" s="113">
        <f t="shared" si="46"/>
        <v>6058</v>
      </c>
      <c r="O423" s="575">
        <v>0</v>
      </c>
      <c r="P423" s="582">
        <v>0</v>
      </c>
      <c r="Q423" s="589"/>
      <c r="R423" s="576"/>
      <c r="S423" s="583">
        <f t="shared" si="51"/>
        <v>0</v>
      </c>
      <c r="T423" s="580">
        <f t="shared" si="50"/>
        <v>0</v>
      </c>
      <c r="U423" s="51"/>
      <c r="V423" s="2119"/>
      <c r="W423" s="43"/>
      <c r="X423" s="43"/>
      <c r="Y423" s="43"/>
      <c r="Z423" s="43"/>
    </row>
    <row r="424" spans="1:26">
      <c r="A424" s="88">
        <v>6059</v>
      </c>
      <c r="B424" s="1033" t="s">
        <v>440</v>
      </c>
      <c r="C424" s="1033"/>
      <c r="D424" s="1033"/>
      <c r="E424" s="1033"/>
      <c r="F424" s="1033"/>
      <c r="G424" s="1033"/>
      <c r="H424" s="1033"/>
      <c r="I424" s="1033"/>
      <c r="J424" s="1033"/>
      <c r="K424" s="1033"/>
      <c r="L424" s="90"/>
      <c r="M424" s="51"/>
      <c r="N424" s="113">
        <f t="shared" si="46"/>
        <v>6059</v>
      </c>
      <c r="O424" s="575">
        <v>0</v>
      </c>
      <c r="P424" s="582">
        <v>0</v>
      </c>
      <c r="Q424" s="589">
        <v>0</v>
      </c>
      <c r="R424" s="576">
        <v>0</v>
      </c>
      <c r="S424" s="583">
        <f t="shared" si="51"/>
        <v>0</v>
      </c>
      <c r="T424" s="580">
        <f t="shared" si="50"/>
        <v>0</v>
      </c>
      <c r="U424" s="51"/>
      <c r="V424" s="2119"/>
      <c r="W424" s="43"/>
      <c r="X424" s="43"/>
      <c r="Y424" s="43"/>
      <c r="Z424" s="43"/>
    </row>
    <row r="425" spans="1:26">
      <c r="A425" s="88">
        <v>6061</v>
      </c>
      <c r="B425" s="1032" t="s">
        <v>441</v>
      </c>
      <c r="C425" s="1033"/>
      <c r="D425" s="1033"/>
      <c r="E425" s="1033"/>
      <c r="F425" s="1033"/>
      <c r="G425" s="1033"/>
      <c r="H425" s="1033"/>
      <c r="I425" s="1033"/>
      <c r="J425" s="1033"/>
      <c r="K425" s="1033"/>
      <c r="L425" s="90"/>
      <c r="M425" s="51"/>
      <c r="N425" s="113">
        <f t="shared" si="46"/>
        <v>6061</v>
      </c>
      <c r="O425" s="575">
        <v>0</v>
      </c>
      <c r="P425" s="582">
        <v>0</v>
      </c>
      <c r="Q425" s="589">
        <v>0</v>
      </c>
      <c r="R425" s="576">
        <v>0</v>
      </c>
      <c r="S425" s="583">
        <f t="shared" si="51"/>
        <v>0</v>
      </c>
      <c r="T425" s="580">
        <f t="shared" si="50"/>
        <v>0</v>
      </c>
      <c r="U425" s="51"/>
      <c r="V425" s="2119"/>
      <c r="W425" s="43"/>
      <c r="X425" s="43"/>
      <c r="Y425" s="43"/>
      <c r="Z425" s="43"/>
    </row>
    <row r="426" spans="1:26">
      <c r="A426" s="88">
        <v>6062</v>
      </c>
      <c r="B426" s="1032" t="s">
        <v>442</v>
      </c>
      <c r="C426" s="1033"/>
      <c r="D426" s="1033"/>
      <c r="E426" s="1033"/>
      <c r="F426" s="1033"/>
      <c r="G426" s="1033"/>
      <c r="H426" s="1033"/>
      <c r="I426" s="1033"/>
      <c r="J426" s="1033"/>
      <c r="K426" s="1033"/>
      <c r="L426" s="90"/>
      <c r="M426" s="51"/>
      <c r="N426" s="113">
        <f t="shared" si="46"/>
        <v>6062</v>
      </c>
      <c r="O426" s="575">
        <v>0</v>
      </c>
      <c r="P426" s="582">
        <v>0</v>
      </c>
      <c r="Q426" s="589">
        <v>0</v>
      </c>
      <c r="R426" s="576">
        <v>0</v>
      </c>
      <c r="S426" s="583">
        <f t="shared" si="51"/>
        <v>0</v>
      </c>
      <c r="T426" s="580">
        <f t="shared" si="50"/>
        <v>0</v>
      </c>
      <c r="U426" s="51"/>
      <c r="V426" s="2119"/>
      <c r="W426" s="43"/>
      <c r="X426" s="43"/>
      <c r="Y426" s="43"/>
      <c r="Z426" s="43"/>
    </row>
    <row r="427" spans="1:26">
      <c r="A427" s="88">
        <v>6063</v>
      </c>
      <c r="B427" s="1032" t="s">
        <v>443</v>
      </c>
      <c r="C427" s="1033"/>
      <c r="D427" s="1033"/>
      <c r="E427" s="1033"/>
      <c r="F427" s="1033"/>
      <c r="G427" s="1033"/>
      <c r="H427" s="1033"/>
      <c r="I427" s="1033"/>
      <c r="J427" s="1033"/>
      <c r="K427" s="1033"/>
      <c r="L427" s="90"/>
      <c r="M427" s="51"/>
      <c r="N427" s="113">
        <f t="shared" si="46"/>
        <v>6063</v>
      </c>
      <c r="O427" s="575">
        <v>0</v>
      </c>
      <c r="P427" s="582">
        <v>0</v>
      </c>
      <c r="Q427" s="589">
        <v>0</v>
      </c>
      <c r="R427" s="576">
        <v>0</v>
      </c>
      <c r="S427" s="583">
        <f t="shared" si="51"/>
        <v>0</v>
      </c>
      <c r="T427" s="580">
        <f t="shared" si="50"/>
        <v>0</v>
      </c>
      <c r="U427" s="51"/>
      <c r="V427" s="2119"/>
      <c r="W427" s="43"/>
      <c r="X427" s="43"/>
      <c r="Y427" s="43"/>
      <c r="Z427" s="43"/>
    </row>
    <row r="428" spans="1:26">
      <c r="A428" s="88">
        <v>6064</v>
      </c>
      <c r="B428" s="1032" t="s">
        <v>444</v>
      </c>
      <c r="C428" s="1033"/>
      <c r="D428" s="1033"/>
      <c r="E428" s="1033"/>
      <c r="F428" s="1033"/>
      <c r="G428" s="1033"/>
      <c r="H428" s="1033"/>
      <c r="I428" s="1033"/>
      <c r="J428" s="1033"/>
      <c r="K428" s="1033"/>
      <c r="L428" s="90"/>
      <c r="M428" s="51"/>
      <c r="N428" s="113">
        <f t="shared" si="46"/>
        <v>6064</v>
      </c>
      <c r="O428" s="575">
        <v>0</v>
      </c>
      <c r="P428" s="582">
        <v>0</v>
      </c>
      <c r="Q428" s="589">
        <v>0</v>
      </c>
      <c r="R428" s="576">
        <v>0</v>
      </c>
      <c r="S428" s="583">
        <f t="shared" si="51"/>
        <v>0</v>
      </c>
      <c r="T428" s="580">
        <f t="shared" si="50"/>
        <v>0</v>
      </c>
      <c r="U428" s="51"/>
      <c r="V428" s="2119"/>
      <c r="W428" s="43"/>
      <c r="X428" s="43"/>
      <c r="Y428" s="43"/>
      <c r="Z428" s="43"/>
    </row>
    <row r="429" spans="1:26">
      <c r="A429" s="88">
        <v>6065</v>
      </c>
      <c r="B429" s="1032" t="s">
        <v>445</v>
      </c>
      <c r="C429" s="1033"/>
      <c r="D429" s="1033"/>
      <c r="E429" s="1033"/>
      <c r="F429" s="1033"/>
      <c r="G429" s="1033"/>
      <c r="H429" s="1033"/>
      <c r="I429" s="1033"/>
      <c r="J429" s="1033"/>
      <c r="K429" s="1033"/>
      <c r="L429" s="90"/>
      <c r="M429" s="51"/>
      <c r="N429" s="113">
        <f t="shared" si="46"/>
        <v>6065</v>
      </c>
      <c r="O429" s="575">
        <v>0</v>
      </c>
      <c r="P429" s="582">
        <v>0</v>
      </c>
      <c r="Q429" s="589">
        <v>0</v>
      </c>
      <c r="R429" s="576">
        <v>0</v>
      </c>
      <c r="S429" s="583">
        <f t="shared" si="51"/>
        <v>0</v>
      </c>
      <c r="T429" s="580">
        <f t="shared" si="50"/>
        <v>0</v>
      </c>
      <c r="U429" s="51"/>
      <c r="V429" s="2119"/>
      <c r="W429" s="43"/>
      <c r="X429" s="43"/>
      <c r="Y429" s="43"/>
      <c r="Z429" s="43"/>
    </row>
    <row r="430" spans="1:26">
      <c r="A430" s="88">
        <v>6067</v>
      </c>
      <c r="B430" s="1032" t="s">
        <v>446</v>
      </c>
      <c r="C430" s="1033"/>
      <c r="D430" s="1033"/>
      <c r="E430" s="1033"/>
      <c r="F430" s="1033"/>
      <c r="G430" s="1033"/>
      <c r="H430" s="1033"/>
      <c r="I430" s="1033"/>
      <c r="J430" s="1033"/>
      <c r="K430" s="1033"/>
      <c r="L430" s="90"/>
      <c r="M430" s="51"/>
      <c r="N430" s="113">
        <f t="shared" si="46"/>
        <v>6067</v>
      </c>
      <c r="O430" s="575">
        <v>0</v>
      </c>
      <c r="P430" s="582">
        <v>0</v>
      </c>
      <c r="Q430" s="589"/>
      <c r="R430" s="576"/>
      <c r="S430" s="583">
        <f t="shared" si="51"/>
        <v>0</v>
      </c>
      <c r="T430" s="580">
        <f t="shared" si="50"/>
        <v>0</v>
      </c>
      <c r="U430" s="51"/>
      <c r="V430" s="2119"/>
      <c r="W430" s="43"/>
      <c r="X430" s="43"/>
      <c r="Y430" s="43"/>
      <c r="Z430" s="43"/>
    </row>
    <row r="431" spans="1:26">
      <c r="A431" s="88">
        <v>6068</v>
      </c>
      <c r="B431" s="1032" t="s">
        <v>447</v>
      </c>
      <c r="C431" s="1033"/>
      <c r="D431" s="1033"/>
      <c r="E431" s="1033"/>
      <c r="F431" s="1033"/>
      <c r="G431" s="1033"/>
      <c r="H431" s="1033"/>
      <c r="I431" s="1033"/>
      <c r="J431" s="1033"/>
      <c r="K431" s="1033"/>
      <c r="L431" s="90"/>
      <c r="M431" s="51"/>
      <c r="N431" s="113">
        <f t="shared" si="46"/>
        <v>6068</v>
      </c>
      <c r="O431" s="575">
        <v>0</v>
      </c>
      <c r="P431" s="582">
        <v>0</v>
      </c>
      <c r="Q431" s="589"/>
      <c r="R431" s="576"/>
      <c r="S431" s="583">
        <f t="shared" si="51"/>
        <v>0</v>
      </c>
      <c r="T431" s="580">
        <f t="shared" si="50"/>
        <v>0</v>
      </c>
      <c r="U431" s="51"/>
      <c r="V431" s="2119"/>
      <c r="W431" s="43"/>
      <c r="X431" s="43"/>
      <c r="Y431" s="43"/>
      <c r="Z431" s="43"/>
    </row>
    <row r="432" spans="1:26">
      <c r="A432" s="88">
        <v>6069</v>
      </c>
      <c r="B432" s="1032" t="s">
        <v>448</v>
      </c>
      <c r="C432" s="1033"/>
      <c r="D432" s="1033"/>
      <c r="E432" s="1033"/>
      <c r="F432" s="1033"/>
      <c r="G432" s="1033"/>
      <c r="H432" s="1033"/>
      <c r="I432" s="1033"/>
      <c r="J432" s="1033"/>
      <c r="K432" s="1033"/>
      <c r="L432" s="90"/>
      <c r="M432" s="51"/>
      <c r="N432" s="113">
        <f t="shared" si="46"/>
        <v>6069</v>
      </c>
      <c r="O432" s="575">
        <v>0</v>
      </c>
      <c r="P432" s="582">
        <v>0</v>
      </c>
      <c r="Q432" s="589"/>
      <c r="R432" s="576"/>
      <c r="S432" s="583">
        <f t="shared" si="51"/>
        <v>0</v>
      </c>
      <c r="T432" s="580">
        <f t="shared" si="50"/>
        <v>0</v>
      </c>
      <c r="U432" s="51"/>
      <c r="V432" s="2119"/>
      <c r="W432" s="43"/>
      <c r="X432" s="43"/>
      <c r="Y432" s="43"/>
      <c r="Z432" s="43"/>
    </row>
    <row r="433" spans="1:26">
      <c r="A433" s="88">
        <v>6071</v>
      </c>
      <c r="B433" s="1032" t="s">
        <v>449</v>
      </c>
      <c r="C433" s="1033"/>
      <c r="D433" s="1033"/>
      <c r="E433" s="1033"/>
      <c r="F433" s="1033"/>
      <c r="G433" s="1033"/>
      <c r="H433" s="1033"/>
      <c r="I433" s="1033"/>
      <c r="J433" s="1033"/>
      <c r="K433" s="1033"/>
      <c r="L433" s="90"/>
      <c r="M433" s="51"/>
      <c r="N433" s="113">
        <f t="shared" si="46"/>
        <v>6071</v>
      </c>
      <c r="O433" s="575">
        <v>0</v>
      </c>
      <c r="P433" s="582">
        <v>0</v>
      </c>
      <c r="Q433" s="589">
        <v>0</v>
      </c>
      <c r="R433" s="576">
        <v>0</v>
      </c>
      <c r="S433" s="583">
        <f t="shared" si="51"/>
        <v>0</v>
      </c>
      <c r="T433" s="580">
        <f t="shared" si="50"/>
        <v>0</v>
      </c>
      <c r="U433" s="51"/>
      <c r="V433" s="2119"/>
      <c r="W433" s="43"/>
      <c r="X433" s="43"/>
      <c r="Y433" s="43"/>
      <c r="Z433" s="43"/>
    </row>
    <row r="434" spans="1:26">
      <c r="A434" s="88">
        <v>6072</v>
      </c>
      <c r="B434" s="1032" t="s">
        <v>450</v>
      </c>
      <c r="C434" s="1033"/>
      <c r="D434" s="1033"/>
      <c r="E434" s="1033"/>
      <c r="F434" s="1033"/>
      <c r="G434" s="1033"/>
      <c r="H434" s="1033"/>
      <c r="I434" s="1033"/>
      <c r="J434" s="1033"/>
      <c r="K434" s="1033"/>
      <c r="L434" s="90"/>
      <c r="M434" s="51"/>
      <c r="N434" s="113">
        <f t="shared" si="46"/>
        <v>6072</v>
      </c>
      <c r="O434" s="575">
        <v>0</v>
      </c>
      <c r="P434" s="582">
        <v>0</v>
      </c>
      <c r="Q434" s="589"/>
      <c r="R434" s="576"/>
      <c r="S434" s="583">
        <f t="shared" si="51"/>
        <v>0</v>
      </c>
      <c r="T434" s="580">
        <f t="shared" si="50"/>
        <v>0</v>
      </c>
      <c r="U434" s="51"/>
      <c r="V434" s="2119"/>
      <c r="W434" s="43"/>
      <c r="X434" s="43"/>
      <c r="Y434" s="43"/>
      <c r="Z434" s="43"/>
    </row>
    <row r="435" spans="1:26">
      <c r="A435" s="88">
        <v>6073</v>
      </c>
      <c r="B435" s="1032" t="s">
        <v>451</v>
      </c>
      <c r="C435" s="1033"/>
      <c r="D435" s="1033"/>
      <c r="E435" s="1033"/>
      <c r="F435" s="1033"/>
      <c r="G435" s="1033"/>
      <c r="H435" s="1033"/>
      <c r="I435" s="1033"/>
      <c r="J435" s="1033"/>
      <c r="K435" s="1033"/>
      <c r="L435" s="90"/>
      <c r="M435" s="51"/>
      <c r="N435" s="113">
        <f t="shared" si="46"/>
        <v>6073</v>
      </c>
      <c r="O435" s="575">
        <v>0</v>
      </c>
      <c r="P435" s="582">
        <v>0</v>
      </c>
      <c r="Q435" s="589">
        <v>0</v>
      </c>
      <c r="R435" s="576">
        <v>0</v>
      </c>
      <c r="S435" s="583">
        <f t="shared" si="51"/>
        <v>0</v>
      </c>
      <c r="T435" s="580">
        <f t="shared" si="50"/>
        <v>0</v>
      </c>
      <c r="U435" s="51"/>
      <c r="V435" s="2119"/>
      <c r="W435" s="43"/>
      <c r="X435" s="43"/>
      <c r="Y435" s="43"/>
      <c r="Z435" s="43"/>
    </row>
    <row r="436" spans="1:26">
      <c r="A436" s="88">
        <v>6074</v>
      </c>
      <c r="B436" s="1032" t="s">
        <v>452</v>
      </c>
      <c r="C436" s="1033"/>
      <c r="D436" s="1033"/>
      <c r="E436" s="1033"/>
      <c r="F436" s="1033"/>
      <c r="G436" s="1033"/>
      <c r="H436" s="1033"/>
      <c r="I436" s="1033"/>
      <c r="J436" s="1033"/>
      <c r="K436" s="1033"/>
      <c r="L436" s="90"/>
      <c r="M436" s="51"/>
      <c r="N436" s="113">
        <f t="shared" si="46"/>
        <v>6074</v>
      </c>
      <c r="O436" s="575">
        <v>0</v>
      </c>
      <c r="P436" s="582">
        <v>0</v>
      </c>
      <c r="Q436" s="589"/>
      <c r="R436" s="576"/>
      <c r="S436" s="583">
        <f t="shared" si="51"/>
        <v>0</v>
      </c>
      <c r="T436" s="580">
        <f t="shared" si="50"/>
        <v>0</v>
      </c>
      <c r="U436" s="51"/>
      <c r="V436" s="2119"/>
      <c r="W436" s="43"/>
      <c r="X436" s="43"/>
      <c r="Y436" s="43"/>
      <c r="Z436" s="43"/>
    </row>
    <row r="437" spans="1:26">
      <c r="A437" s="88">
        <v>6075</v>
      </c>
      <c r="B437" s="1032" t="s">
        <v>453</v>
      </c>
      <c r="C437" s="1033"/>
      <c r="D437" s="1033"/>
      <c r="E437" s="1033"/>
      <c r="F437" s="1033"/>
      <c r="G437" s="1033"/>
      <c r="H437" s="1033"/>
      <c r="I437" s="1033"/>
      <c r="J437" s="1033"/>
      <c r="K437" s="1033"/>
      <c r="L437" s="90"/>
      <c r="M437" s="51"/>
      <c r="N437" s="113">
        <f t="shared" si="46"/>
        <v>6075</v>
      </c>
      <c r="O437" s="575">
        <v>0</v>
      </c>
      <c r="P437" s="582">
        <v>0</v>
      </c>
      <c r="Q437" s="589">
        <v>0</v>
      </c>
      <c r="R437" s="576">
        <v>0</v>
      </c>
      <c r="S437" s="583">
        <f t="shared" si="51"/>
        <v>0</v>
      </c>
      <c r="T437" s="580">
        <f t="shared" si="50"/>
        <v>0</v>
      </c>
      <c r="U437" s="51"/>
      <c r="V437" s="2119"/>
      <c r="W437" s="43"/>
      <c r="X437" s="43"/>
      <c r="Y437" s="43"/>
      <c r="Z437" s="43"/>
    </row>
    <row r="438" spans="1:26">
      <c r="A438" s="88">
        <v>6076</v>
      </c>
      <c r="B438" s="1032" t="s">
        <v>454</v>
      </c>
      <c r="C438" s="1033"/>
      <c r="D438" s="1033"/>
      <c r="E438" s="1033"/>
      <c r="F438" s="1033"/>
      <c r="G438" s="1033"/>
      <c r="H438" s="1033"/>
      <c r="I438" s="1033"/>
      <c r="J438" s="1033"/>
      <c r="K438" s="1033"/>
      <c r="L438" s="90"/>
      <c r="M438" s="51"/>
      <c r="N438" s="113">
        <f t="shared" si="46"/>
        <v>6076</v>
      </c>
      <c r="O438" s="575">
        <v>0</v>
      </c>
      <c r="P438" s="582">
        <v>0</v>
      </c>
      <c r="Q438" s="589">
        <v>0</v>
      </c>
      <c r="R438" s="576">
        <v>0</v>
      </c>
      <c r="S438" s="583">
        <f t="shared" si="51"/>
        <v>0</v>
      </c>
      <c r="T438" s="580">
        <f t="shared" si="50"/>
        <v>0</v>
      </c>
      <c r="U438" s="51"/>
      <c r="V438" s="2119"/>
      <c r="W438" s="43"/>
      <c r="X438" s="43"/>
      <c r="Y438" s="43"/>
      <c r="Z438" s="43"/>
    </row>
    <row r="439" spans="1:26">
      <c r="A439" s="88">
        <v>6077</v>
      </c>
      <c r="B439" s="1032" t="s">
        <v>455</v>
      </c>
      <c r="C439" s="1033"/>
      <c r="D439" s="1033"/>
      <c r="E439" s="1033"/>
      <c r="F439" s="1033"/>
      <c r="G439" s="1033"/>
      <c r="H439" s="1033"/>
      <c r="I439" s="1033"/>
      <c r="J439" s="1033"/>
      <c r="K439" s="1033"/>
      <c r="L439" s="90"/>
      <c r="M439" s="51"/>
      <c r="N439" s="113">
        <f t="shared" si="46"/>
        <v>6077</v>
      </c>
      <c r="O439" s="575">
        <v>0</v>
      </c>
      <c r="P439" s="582">
        <v>0</v>
      </c>
      <c r="Q439" s="589">
        <v>0</v>
      </c>
      <c r="R439" s="576">
        <v>0</v>
      </c>
      <c r="S439" s="583">
        <f t="shared" si="51"/>
        <v>0</v>
      </c>
      <c r="T439" s="580">
        <f t="shared" si="50"/>
        <v>0</v>
      </c>
      <c r="U439" s="51"/>
      <c r="V439" s="2119"/>
      <c r="W439" s="43"/>
      <c r="X439" s="43"/>
      <c r="Y439" s="43"/>
      <c r="Z439" s="43"/>
    </row>
    <row r="440" spans="1:26">
      <c r="A440" s="88">
        <v>6078</v>
      </c>
      <c r="B440" s="1032" t="s">
        <v>456</v>
      </c>
      <c r="C440" s="1033"/>
      <c r="D440" s="1033"/>
      <c r="E440" s="1033"/>
      <c r="F440" s="1033"/>
      <c r="G440" s="1033"/>
      <c r="H440" s="1033"/>
      <c r="I440" s="1033"/>
      <c r="J440" s="1033"/>
      <c r="K440" s="1033"/>
      <c r="L440" s="90"/>
      <c r="M440" s="51"/>
      <c r="N440" s="113">
        <f t="shared" si="46"/>
        <v>6078</v>
      </c>
      <c r="O440" s="575">
        <v>0</v>
      </c>
      <c r="P440" s="582">
        <v>0</v>
      </c>
      <c r="Q440" s="589"/>
      <c r="R440" s="576"/>
      <c r="S440" s="583">
        <f t="shared" si="51"/>
        <v>0</v>
      </c>
      <c r="T440" s="580">
        <f t="shared" si="50"/>
        <v>0</v>
      </c>
      <c r="U440" s="51"/>
      <c r="V440" s="2119"/>
      <c r="W440" s="43"/>
      <c r="X440" s="43"/>
      <c r="Y440" s="43"/>
      <c r="Z440" s="43"/>
    </row>
    <row r="441" spans="1:26">
      <c r="A441" s="88">
        <v>6079</v>
      </c>
      <c r="B441" s="1032" t="s">
        <v>457</v>
      </c>
      <c r="C441" s="1033"/>
      <c r="D441" s="1033"/>
      <c r="E441" s="1033"/>
      <c r="F441" s="1033"/>
      <c r="G441" s="1033"/>
      <c r="H441" s="1033"/>
      <c r="I441" s="1033"/>
      <c r="J441" s="1033"/>
      <c r="K441" s="1033"/>
      <c r="L441" s="90"/>
      <c r="M441" s="51"/>
      <c r="N441" s="113">
        <f t="shared" si="46"/>
        <v>6079</v>
      </c>
      <c r="O441" s="575">
        <v>0</v>
      </c>
      <c r="P441" s="582">
        <v>0</v>
      </c>
      <c r="Q441" s="589">
        <v>0</v>
      </c>
      <c r="R441" s="576">
        <v>0</v>
      </c>
      <c r="S441" s="583">
        <f t="shared" si="51"/>
        <v>0</v>
      </c>
      <c r="T441" s="580">
        <f t="shared" si="50"/>
        <v>0</v>
      </c>
      <c r="U441" s="51"/>
      <c r="V441" s="2119"/>
      <c r="W441" s="43"/>
      <c r="X441" s="43"/>
      <c r="Y441" s="43"/>
      <c r="Z441" s="43"/>
    </row>
    <row r="442" spans="1:26" ht="15.75" customHeight="1">
      <c r="A442" s="88">
        <v>6080</v>
      </c>
      <c r="B442" s="1032" t="s">
        <v>458</v>
      </c>
      <c r="C442" s="1033"/>
      <c r="D442" s="1033"/>
      <c r="E442" s="1033"/>
      <c r="F442" s="1033"/>
      <c r="G442" s="1033"/>
      <c r="H442" s="1033"/>
      <c r="I442" s="1033"/>
      <c r="J442" s="1033"/>
      <c r="K442" s="1033"/>
      <c r="L442" s="90"/>
      <c r="M442" s="51"/>
      <c r="N442" s="113">
        <f t="shared" si="46"/>
        <v>6080</v>
      </c>
      <c r="O442" s="575">
        <v>0</v>
      </c>
      <c r="P442" s="582">
        <v>0</v>
      </c>
      <c r="Q442" s="589"/>
      <c r="R442" s="576"/>
      <c r="S442" s="583">
        <f t="shared" si="51"/>
        <v>0</v>
      </c>
      <c r="T442" s="580">
        <f t="shared" si="50"/>
        <v>0</v>
      </c>
      <c r="U442" s="51"/>
      <c r="V442" s="2119"/>
      <c r="W442" s="43"/>
      <c r="X442" s="43"/>
      <c r="Y442" s="43"/>
      <c r="Z442" s="43"/>
    </row>
    <row r="443" spans="1:26" ht="15.75" customHeight="1">
      <c r="A443" s="88">
        <v>6081</v>
      </c>
      <c r="B443" s="1032" t="s">
        <v>459</v>
      </c>
      <c r="C443" s="1033"/>
      <c r="D443" s="1033"/>
      <c r="E443" s="1033"/>
      <c r="F443" s="1033"/>
      <c r="G443" s="1033"/>
      <c r="H443" s="1033"/>
      <c r="I443" s="1033"/>
      <c r="J443" s="1033"/>
      <c r="K443" s="1033"/>
      <c r="L443" s="90"/>
      <c r="M443" s="51"/>
      <c r="N443" s="113">
        <f t="shared" si="46"/>
        <v>6081</v>
      </c>
      <c r="O443" s="575">
        <v>0</v>
      </c>
      <c r="P443" s="582">
        <v>0</v>
      </c>
      <c r="Q443" s="589"/>
      <c r="R443" s="576"/>
      <c r="S443" s="583">
        <f t="shared" si="51"/>
        <v>0</v>
      </c>
      <c r="T443" s="580">
        <f t="shared" si="50"/>
        <v>0</v>
      </c>
      <c r="U443" s="51"/>
      <c r="V443" s="2119"/>
      <c r="W443" s="43"/>
      <c r="X443" s="43"/>
      <c r="Y443" s="43"/>
      <c r="Z443" s="43"/>
    </row>
    <row r="444" spans="1:26">
      <c r="A444" s="88">
        <v>6082</v>
      </c>
      <c r="B444" s="1033" t="s">
        <v>460</v>
      </c>
      <c r="C444" s="1033"/>
      <c r="D444" s="1033"/>
      <c r="E444" s="1033"/>
      <c r="F444" s="1033"/>
      <c r="G444" s="1033"/>
      <c r="H444" s="1033"/>
      <c r="I444" s="1033"/>
      <c r="J444" s="1033"/>
      <c r="K444" s="1033"/>
      <c r="L444" s="90"/>
      <c r="M444" s="51"/>
      <c r="N444" s="113">
        <f t="shared" si="46"/>
        <v>6082</v>
      </c>
      <c r="O444" s="575">
        <v>0</v>
      </c>
      <c r="P444" s="582">
        <v>0</v>
      </c>
      <c r="Q444" s="589"/>
      <c r="R444" s="576"/>
      <c r="S444" s="583">
        <f t="shared" si="51"/>
        <v>0</v>
      </c>
      <c r="T444" s="580">
        <f t="shared" si="50"/>
        <v>0</v>
      </c>
      <c r="U444" s="51"/>
      <c r="V444" s="2119"/>
      <c r="W444" s="43"/>
      <c r="X444" s="43"/>
      <c r="Y444" s="43"/>
      <c r="Z444" s="43"/>
    </row>
    <row r="445" spans="1:26">
      <c r="A445" s="88">
        <v>6087</v>
      </c>
      <c r="B445" s="1033" t="s">
        <v>461</v>
      </c>
      <c r="C445" s="1033"/>
      <c r="D445" s="1033"/>
      <c r="E445" s="1033"/>
      <c r="F445" s="1033"/>
      <c r="G445" s="1033"/>
      <c r="H445" s="1033"/>
      <c r="I445" s="1033"/>
      <c r="J445" s="1033"/>
      <c r="K445" s="1033"/>
      <c r="L445" s="90"/>
      <c r="M445" s="51"/>
      <c r="N445" s="113">
        <f t="shared" si="46"/>
        <v>6087</v>
      </c>
      <c r="O445" s="575">
        <v>0</v>
      </c>
      <c r="P445" s="582">
        <v>0</v>
      </c>
      <c r="Q445" s="589"/>
      <c r="R445" s="576"/>
      <c r="S445" s="583">
        <f t="shared" si="51"/>
        <v>0</v>
      </c>
      <c r="T445" s="580">
        <f t="shared" si="50"/>
        <v>0</v>
      </c>
      <c r="U445" s="51"/>
      <c r="V445" s="2119"/>
      <c r="W445" s="43"/>
      <c r="X445" s="43"/>
      <c r="Y445" s="43"/>
      <c r="Z445" s="43"/>
    </row>
    <row r="446" spans="1:26">
      <c r="A446" s="88">
        <v>6089</v>
      </c>
      <c r="B446" s="1033" t="s">
        <v>462</v>
      </c>
      <c r="C446" s="1033"/>
      <c r="D446" s="1033"/>
      <c r="E446" s="1033"/>
      <c r="F446" s="1033"/>
      <c r="G446" s="1033"/>
      <c r="H446" s="1033"/>
      <c r="I446" s="1033"/>
      <c r="J446" s="1033"/>
      <c r="K446" s="1033"/>
      <c r="L446" s="90"/>
      <c r="M446" s="51"/>
      <c r="N446" s="113">
        <f t="shared" si="46"/>
        <v>6089</v>
      </c>
      <c r="O446" s="575">
        <v>0</v>
      </c>
      <c r="P446" s="582">
        <v>0</v>
      </c>
      <c r="Q446" s="589"/>
      <c r="R446" s="576"/>
      <c r="S446" s="583">
        <f t="shared" si="51"/>
        <v>0</v>
      </c>
      <c r="T446" s="580">
        <f t="shared" si="50"/>
        <v>0</v>
      </c>
      <c r="U446" s="51"/>
      <c r="V446" s="2119"/>
      <c r="W446" s="43"/>
      <c r="X446" s="43"/>
      <c r="Y446" s="43"/>
      <c r="Z446" s="43"/>
    </row>
    <row r="447" spans="1:26" ht="15.75" customHeight="1">
      <c r="A447" s="88">
        <v>6090</v>
      </c>
      <c r="B447" s="1032" t="s">
        <v>463</v>
      </c>
      <c r="C447" s="1033"/>
      <c r="D447" s="1033"/>
      <c r="E447" s="1033"/>
      <c r="F447" s="1033"/>
      <c r="G447" s="1033"/>
      <c r="H447" s="1033"/>
      <c r="I447" s="1033"/>
      <c r="J447" s="1033"/>
      <c r="K447" s="1033"/>
      <c r="L447" s="90"/>
      <c r="M447" s="51"/>
      <c r="N447" s="113">
        <f t="shared" si="46"/>
        <v>6090</v>
      </c>
      <c r="O447" s="575">
        <v>0</v>
      </c>
      <c r="P447" s="582">
        <v>0</v>
      </c>
      <c r="Q447" s="589"/>
      <c r="R447" s="576"/>
      <c r="S447" s="583">
        <f t="shared" si="51"/>
        <v>0</v>
      </c>
      <c r="T447" s="580">
        <f t="shared" si="50"/>
        <v>0</v>
      </c>
      <c r="U447" s="51"/>
      <c r="V447" s="2119"/>
      <c r="W447" s="43"/>
      <c r="X447" s="43"/>
      <c r="Y447" s="43"/>
      <c r="Z447" s="43"/>
    </row>
    <row r="448" spans="1:26">
      <c r="A448" s="88">
        <v>6091</v>
      </c>
      <c r="B448" s="1033" t="s">
        <v>464</v>
      </c>
      <c r="C448" s="1033"/>
      <c r="D448" s="1033"/>
      <c r="E448" s="1033"/>
      <c r="F448" s="1033"/>
      <c r="G448" s="1033"/>
      <c r="H448" s="1033"/>
      <c r="I448" s="1033"/>
      <c r="J448" s="1033"/>
      <c r="K448" s="1033"/>
      <c r="L448" s="90"/>
      <c r="M448" s="51"/>
      <c r="N448" s="113">
        <f t="shared" ref="N448:N511" si="52">+A448</f>
        <v>6091</v>
      </c>
      <c r="O448" s="575">
        <v>0</v>
      </c>
      <c r="P448" s="582">
        <v>0</v>
      </c>
      <c r="Q448" s="589">
        <v>0</v>
      </c>
      <c r="R448" s="576">
        <v>0</v>
      </c>
      <c r="S448" s="583">
        <f t="shared" si="51"/>
        <v>0</v>
      </c>
      <c r="T448" s="580">
        <f t="shared" si="50"/>
        <v>0</v>
      </c>
      <c r="U448" s="51"/>
      <c r="V448" s="2119"/>
      <c r="W448" s="43"/>
      <c r="X448" s="43"/>
      <c r="Y448" s="43"/>
      <c r="Z448" s="43"/>
    </row>
    <row r="449" spans="1:26" ht="15.75" customHeight="1">
      <c r="A449" s="88">
        <v>6092</v>
      </c>
      <c r="B449" s="1032" t="s">
        <v>465</v>
      </c>
      <c r="C449" s="1033"/>
      <c r="D449" s="1033"/>
      <c r="E449" s="1033"/>
      <c r="F449" s="1033"/>
      <c r="G449" s="1033"/>
      <c r="H449" s="1033"/>
      <c r="I449" s="1033"/>
      <c r="J449" s="1033"/>
      <c r="K449" s="1033"/>
      <c r="L449" s="90"/>
      <c r="M449" s="51"/>
      <c r="N449" s="113">
        <f t="shared" si="52"/>
        <v>6092</v>
      </c>
      <c r="O449" s="575">
        <v>0</v>
      </c>
      <c r="P449" s="582">
        <v>0</v>
      </c>
      <c r="Q449" s="589"/>
      <c r="R449" s="576"/>
      <c r="S449" s="583">
        <f t="shared" si="51"/>
        <v>0</v>
      </c>
      <c r="T449" s="580">
        <f t="shared" si="50"/>
        <v>0</v>
      </c>
      <c r="U449" s="51"/>
      <c r="V449" s="2119"/>
      <c r="W449" s="43"/>
      <c r="X449" s="43"/>
      <c r="Y449" s="43"/>
      <c r="Z449" s="43"/>
    </row>
    <row r="450" spans="1:26">
      <c r="A450" s="88">
        <v>6093</v>
      </c>
      <c r="B450" s="378" t="s">
        <v>466</v>
      </c>
      <c r="C450" s="1033"/>
      <c r="D450" s="1033"/>
      <c r="E450" s="1033"/>
      <c r="F450" s="1033"/>
      <c r="G450" s="1033"/>
      <c r="H450" s="1033"/>
      <c r="I450" s="1033"/>
      <c r="J450" s="1033"/>
      <c r="K450" s="1033"/>
      <c r="L450" s="90"/>
      <c r="M450" s="51"/>
      <c r="N450" s="113">
        <f t="shared" si="52"/>
        <v>6093</v>
      </c>
      <c r="O450" s="575">
        <v>0</v>
      </c>
      <c r="P450" s="582">
        <v>0</v>
      </c>
      <c r="Q450" s="589">
        <v>0</v>
      </c>
      <c r="R450" s="576">
        <v>0</v>
      </c>
      <c r="S450" s="583">
        <f t="shared" si="51"/>
        <v>0</v>
      </c>
      <c r="T450" s="580">
        <f t="shared" si="50"/>
        <v>0</v>
      </c>
      <c r="U450" s="51"/>
      <c r="V450" s="2119"/>
      <c r="W450" s="43"/>
      <c r="X450" s="43"/>
      <c r="Y450" s="43"/>
      <c r="Z450" s="43"/>
    </row>
    <row r="451" spans="1:26">
      <c r="A451" s="88">
        <v>6094</v>
      </c>
      <c r="B451" s="378" t="s">
        <v>467</v>
      </c>
      <c r="C451" s="1033"/>
      <c r="D451" s="1033"/>
      <c r="E451" s="1033"/>
      <c r="F451" s="1033"/>
      <c r="G451" s="1033"/>
      <c r="H451" s="1033"/>
      <c r="I451" s="1033"/>
      <c r="J451" s="1033"/>
      <c r="K451" s="1033"/>
      <c r="L451" s="90"/>
      <c r="M451" s="51"/>
      <c r="N451" s="113">
        <f t="shared" si="52"/>
        <v>6094</v>
      </c>
      <c r="O451" s="575">
        <v>0</v>
      </c>
      <c r="P451" s="582">
        <v>0</v>
      </c>
      <c r="Q451" s="589">
        <v>0</v>
      </c>
      <c r="R451" s="576">
        <v>0</v>
      </c>
      <c r="S451" s="583">
        <f t="shared" si="51"/>
        <v>0</v>
      </c>
      <c r="T451" s="580">
        <f t="shared" si="50"/>
        <v>0</v>
      </c>
      <c r="U451" s="51"/>
      <c r="V451" s="2119"/>
      <c r="W451" s="43"/>
      <c r="X451" s="43"/>
      <c r="Y451" s="43"/>
      <c r="Z451" s="43"/>
    </row>
    <row r="452" spans="1:26">
      <c r="A452" s="88">
        <v>6095</v>
      </c>
      <c r="B452" s="378" t="s">
        <v>468</v>
      </c>
      <c r="C452" s="1033"/>
      <c r="D452" s="1033"/>
      <c r="E452" s="1033"/>
      <c r="F452" s="1033"/>
      <c r="G452" s="1033"/>
      <c r="H452" s="1033"/>
      <c r="I452" s="1033"/>
      <c r="J452" s="1033"/>
      <c r="K452" s="1033"/>
      <c r="L452" s="90"/>
      <c r="M452" s="51"/>
      <c r="N452" s="113">
        <f t="shared" si="52"/>
        <v>6095</v>
      </c>
      <c r="O452" s="575">
        <v>0</v>
      </c>
      <c r="P452" s="582">
        <v>0</v>
      </c>
      <c r="Q452" s="589">
        <v>0</v>
      </c>
      <c r="R452" s="576">
        <v>0</v>
      </c>
      <c r="S452" s="583">
        <f t="shared" si="51"/>
        <v>0</v>
      </c>
      <c r="T452" s="580">
        <f t="shared" si="50"/>
        <v>0</v>
      </c>
      <c r="U452" s="51"/>
      <c r="V452" s="2119"/>
      <c r="W452" s="43"/>
      <c r="X452" s="43"/>
      <c r="Y452" s="43"/>
      <c r="Z452" s="43"/>
    </row>
    <row r="453" spans="1:26">
      <c r="A453" s="88">
        <v>6096</v>
      </c>
      <c r="B453" s="378" t="s">
        <v>469</v>
      </c>
      <c r="C453" s="1033"/>
      <c r="D453" s="1033"/>
      <c r="E453" s="1033"/>
      <c r="F453" s="1033"/>
      <c r="G453" s="1033"/>
      <c r="H453" s="1033"/>
      <c r="I453" s="1033"/>
      <c r="J453" s="1033"/>
      <c r="K453" s="1033"/>
      <c r="L453" s="90"/>
      <c r="M453" s="51"/>
      <c r="N453" s="113">
        <f t="shared" si="52"/>
        <v>6096</v>
      </c>
      <c r="O453" s="575">
        <v>0</v>
      </c>
      <c r="P453" s="582">
        <v>0</v>
      </c>
      <c r="Q453" s="589"/>
      <c r="R453" s="576"/>
      <c r="S453" s="583">
        <f t="shared" si="51"/>
        <v>0</v>
      </c>
      <c r="T453" s="580">
        <f t="shared" si="50"/>
        <v>0</v>
      </c>
      <c r="U453" s="51"/>
      <c r="V453" s="2119"/>
      <c r="W453" s="43"/>
      <c r="X453" s="43"/>
      <c r="Y453" s="43"/>
      <c r="Z453" s="43"/>
    </row>
    <row r="454" spans="1:26">
      <c r="A454" s="88">
        <v>6098</v>
      </c>
      <c r="B454" s="378" t="s">
        <v>470</v>
      </c>
      <c r="C454" s="1033"/>
      <c r="D454" s="1033"/>
      <c r="E454" s="1033"/>
      <c r="F454" s="1033"/>
      <c r="G454" s="1033"/>
      <c r="H454" s="1033"/>
      <c r="I454" s="1033"/>
      <c r="J454" s="1033"/>
      <c r="K454" s="1033"/>
      <c r="L454" s="90"/>
      <c r="M454" s="51"/>
      <c r="N454" s="113">
        <f t="shared" si="52"/>
        <v>6098</v>
      </c>
      <c r="O454" s="575">
        <v>0</v>
      </c>
      <c r="P454" s="582">
        <v>0</v>
      </c>
      <c r="Q454" s="589">
        <v>0</v>
      </c>
      <c r="R454" s="576">
        <v>0</v>
      </c>
      <c r="S454" s="583">
        <f t="shared" si="51"/>
        <v>0</v>
      </c>
      <c r="T454" s="580">
        <f t="shared" si="50"/>
        <v>0</v>
      </c>
      <c r="U454" s="51"/>
      <c r="V454" s="2119"/>
      <c r="W454" s="43"/>
      <c r="X454" s="43"/>
      <c r="Y454" s="43"/>
      <c r="Z454" s="43"/>
    </row>
    <row r="455" spans="1:26">
      <c r="A455" s="88">
        <v>6099</v>
      </c>
      <c r="B455" s="378" t="s">
        <v>471</v>
      </c>
      <c r="C455" s="1033"/>
      <c r="D455" s="1033"/>
      <c r="E455" s="1033"/>
      <c r="F455" s="1033"/>
      <c r="G455" s="1033"/>
      <c r="H455" s="1033"/>
      <c r="I455" s="1033"/>
      <c r="J455" s="1033"/>
      <c r="K455" s="1033"/>
      <c r="L455" s="90"/>
      <c r="M455" s="51"/>
      <c r="N455" s="113">
        <f t="shared" si="52"/>
        <v>6099</v>
      </c>
      <c r="O455" s="575">
        <v>0</v>
      </c>
      <c r="P455" s="582">
        <v>0</v>
      </c>
      <c r="Q455" s="589">
        <v>0</v>
      </c>
      <c r="R455" s="576">
        <v>0</v>
      </c>
      <c r="S455" s="583">
        <f t="shared" si="51"/>
        <v>0</v>
      </c>
      <c r="T455" s="580">
        <f t="shared" si="50"/>
        <v>0</v>
      </c>
      <c r="U455" s="51"/>
      <c r="V455" s="2119"/>
      <c r="W455" s="43"/>
      <c r="X455" s="43"/>
      <c r="Y455" s="43"/>
      <c r="Z455" s="43"/>
    </row>
    <row r="456" spans="1:26">
      <c r="A456" s="88">
        <v>6111</v>
      </c>
      <c r="B456" s="2296" t="s">
        <v>2148</v>
      </c>
      <c r="C456" s="1033"/>
      <c r="D456" s="1033"/>
      <c r="E456" s="1033"/>
      <c r="F456" s="1033"/>
      <c r="G456" s="1033"/>
      <c r="H456" s="1033"/>
      <c r="I456" s="1033"/>
      <c r="J456" s="1033"/>
      <c r="K456" s="1033"/>
      <c r="L456" s="90"/>
      <c r="M456" s="51"/>
      <c r="N456" s="113">
        <f t="shared" si="52"/>
        <v>6111</v>
      </c>
      <c r="O456" s="575">
        <v>0</v>
      </c>
      <c r="P456" s="582">
        <v>0</v>
      </c>
      <c r="Q456" s="589"/>
      <c r="R456" s="576"/>
      <c r="S456" s="583">
        <f t="shared" si="51"/>
        <v>0</v>
      </c>
      <c r="T456" s="580">
        <f t="shared" si="50"/>
        <v>0</v>
      </c>
      <c r="U456" s="51"/>
      <c r="V456" s="2119"/>
      <c r="W456" s="43"/>
      <c r="X456" s="43"/>
      <c r="Y456" s="43"/>
      <c r="Z456" s="43"/>
    </row>
    <row r="457" spans="1:26">
      <c r="A457" s="88">
        <v>6112</v>
      </c>
      <c r="B457" s="1045" t="s">
        <v>2149</v>
      </c>
      <c r="C457" s="1033"/>
      <c r="D457" s="1033"/>
      <c r="E457" s="1033"/>
      <c r="F457" s="1033"/>
      <c r="G457" s="1033"/>
      <c r="H457" s="1033"/>
      <c r="I457" s="1033"/>
      <c r="J457" s="1033"/>
      <c r="K457" s="1033"/>
      <c r="L457" s="90"/>
      <c r="M457" s="51"/>
      <c r="N457" s="113">
        <f t="shared" si="52"/>
        <v>6112</v>
      </c>
      <c r="O457" s="575">
        <v>0</v>
      </c>
      <c r="P457" s="582">
        <v>0</v>
      </c>
      <c r="Q457" s="589">
        <v>0</v>
      </c>
      <c r="R457" s="576">
        <v>0</v>
      </c>
      <c r="S457" s="583">
        <f t="shared" si="51"/>
        <v>0</v>
      </c>
      <c r="T457" s="580">
        <f t="shared" si="50"/>
        <v>0</v>
      </c>
      <c r="U457" s="51"/>
      <c r="V457" s="2119"/>
      <c r="W457" s="43"/>
      <c r="X457" s="43"/>
      <c r="Y457" s="43"/>
      <c r="Z457" s="43"/>
    </row>
    <row r="458" spans="1:26">
      <c r="A458" s="88">
        <v>6113</v>
      </c>
      <c r="B458" s="1045" t="s">
        <v>2150</v>
      </c>
      <c r="C458" s="1033"/>
      <c r="D458" s="1033"/>
      <c r="E458" s="1033"/>
      <c r="F458" s="1033"/>
      <c r="G458" s="1033"/>
      <c r="H458" s="1033"/>
      <c r="I458" s="1033"/>
      <c r="J458" s="1033"/>
      <c r="K458" s="1033"/>
      <c r="L458" s="90"/>
      <c r="M458" s="51"/>
      <c r="N458" s="113">
        <f t="shared" si="52"/>
        <v>6113</v>
      </c>
      <c r="O458" s="575">
        <v>0</v>
      </c>
      <c r="P458" s="582">
        <v>0</v>
      </c>
      <c r="Q458" s="589">
        <v>0</v>
      </c>
      <c r="R458" s="576">
        <v>0</v>
      </c>
      <c r="S458" s="583">
        <f t="shared" si="51"/>
        <v>0</v>
      </c>
      <c r="T458" s="580">
        <f t="shared" si="50"/>
        <v>0</v>
      </c>
      <c r="U458" s="51"/>
      <c r="V458" s="2119"/>
      <c r="W458" s="43"/>
      <c r="X458" s="43"/>
      <c r="Y458" s="43"/>
      <c r="Z458" s="43"/>
    </row>
    <row r="459" spans="1:26">
      <c r="A459" s="88">
        <v>6114</v>
      </c>
      <c r="B459" s="1045" t="s">
        <v>2151</v>
      </c>
      <c r="C459" s="1033"/>
      <c r="D459" s="1033"/>
      <c r="E459" s="1033"/>
      <c r="F459" s="1033"/>
      <c r="G459" s="1033"/>
      <c r="H459" s="1033"/>
      <c r="I459" s="1033"/>
      <c r="J459" s="1033"/>
      <c r="K459" s="1033"/>
      <c r="L459" s="90"/>
      <c r="M459" s="51"/>
      <c r="N459" s="113">
        <f t="shared" si="52"/>
        <v>6114</v>
      </c>
      <c r="O459" s="575">
        <v>0</v>
      </c>
      <c r="P459" s="582">
        <v>0</v>
      </c>
      <c r="Q459" s="589">
        <v>0</v>
      </c>
      <c r="R459" s="576">
        <v>0</v>
      </c>
      <c r="S459" s="583">
        <f t="shared" si="51"/>
        <v>0</v>
      </c>
      <c r="T459" s="580">
        <f t="shared" si="50"/>
        <v>0</v>
      </c>
      <c r="U459" s="51"/>
      <c r="V459" s="2119"/>
      <c r="W459" s="43"/>
      <c r="X459" s="43"/>
      <c r="Y459" s="43"/>
      <c r="Z459" s="43"/>
    </row>
    <row r="460" spans="1:26">
      <c r="A460" s="88">
        <v>6115</v>
      </c>
      <c r="B460" s="1045" t="s">
        <v>2152</v>
      </c>
      <c r="C460" s="1033"/>
      <c r="D460" s="1033"/>
      <c r="E460" s="1033"/>
      <c r="F460" s="1033"/>
      <c r="G460" s="1033"/>
      <c r="H460" s="1033"/>
      <c r="I460" s="1033"/>
      <c r="J460" s="1033"/>
      <c r="K460" s="1033"/>
      <c r="L460" s="90"/>
      <c r="M460" s="51"/>
      <c r="N460" s="113">
        <f t="shared" si="52"/>
        <v>6115</v>
      </c>
      <c r="O460" s="575">
        <v>0</v>
      </c>
      <c r="P460" s="582">
        <v>0</v>
      </c>
      <c r="Q460" s="589"/>
      <c r="R460" s="576"/>
      <c r="S460" s="583">
        <f t="shared" si="51"/>
        <v>0</v>
      </c>
      <c r="T460" s="580">
        <f t="shared" si="50"/>
        <v>0</v>
      </c>
      <c r="U460" s="51"/>
      <c r="V460" s="2119"/>
      <c r="W460" s="43"/>
      <c r="X460" s="43"/>
      <c r="Y460" s="43"/>
      <c r="Z460" s="43"/>
    </row>
    <row r="461" spans="1:26" ht="15.75" customHeight="1">
      <c r="A461" s="88">
        <v>6131</v>
      </c>
      <c r="B461" s="1045" t="s">
        <v>2153</v>
      </c>
      <c r="C461" s="1033"/>
      <c r="D461" s="1033"/>
      <c r="E461" s="1033"/>
      <c r="F461" s="1033"/>
      <c r="G461" s="1033"/>
      <c r="H461" s="1033"/>
      <c r="I461" s="1033"/>
      <c r="J461" s="1033"/>
      <c r="K461" s="1033"/>
      <c r="L461" s="90"/>
      <c r="M461" s="51"/>
      <c r="N461" s="113">
        <f t="shared" si="52"/>
        <v>6131</v>
      </c>
      <c r="O461" s="575">
        <v>0</v>
      </c>
      <c r="P461" s="582">
        <v>0</v>
      </c>
      <c r="Q461" s="589"/>
      <c r="R461" s="576"/>
      <c r="S461" s="583">
        <f t="shared" si="51"/>
        <v>0</v>
      </c>
      <c r="T461" s="580">
        <f t="shared" si="50"/>
        <v>0</v>
      </c>
      <c r="U461" s="51"/>
      <c r="V461" s="2119"/>
      <c r="W461" s="43"/>
      <c r="X461" s="43"/>
      <c r="Y461" s="43"/>
      <c r="Z461" s="43"/>
    </row>
    <row r="462" spans="1:26" ht="15.75" customHeight="1">
      <c r="A462" s="88">
        <v>6132</v>
      </c>
      <c r="B462" s="1045" t="s">
        <v>2154</v>
      </c>
      <c r="C462" s="1033"/>
      <c r="D462" s="1033"/>
      <c r="E462" s="1033"/>
      <c r="F462" s="1033"/>
      <c r="G462" s="1033"/>
      <c r="H462" s="1033"/>
      <c r="I462" s="1033"/>
      <c r="J462" s="1033"/>
      <c r="K462" s="1033"/>
      <c r="L462" s="90"/>
      <c r="M462" s="51"/>
      <c r="N462" s="113">
        <f t="shared" si="52"/>
        <v>6132</v>
      </c>
      <c r="O462" s="575">
        <v>0</v>
      </c>
      <c r="P462" s="582">
        <v>0</v>
      </c>
      <c r="Q462" s="589"/>
      <c r="R462" s="576"/>
      <c r="S462" s="583">
        <f t="shared" si="51"/>
        <v>0</v>
      </c>
      <c r="T462" s="580">
        <f t="shared" si="50"/>
        <v>0</v>
      </c>
      <c r="U462" s="51"/>
      <c r="V462" s="2119"/>
      <c r="W462" s="43"/>
      <c r="X462" s="43"/>
      <c r="Y462" s="43"/>
      <c r="Z462" s="43"/>
    </row>
    <row r="463" spans="1:26" ht="15.75" customHeight="1">
      <c r="A463" s="88">
        <v>6133</v>
      </c>
      <c r="B463" s="2300" t="s">
        <v>2155</v>
      </c>
      <c r="C463" s="1033"/>
      <c r="D463" s="1033"/>
      <c r="E463" s="1033"/>
      <c r="F463" s="1033"/>
      <c r="G463" s="1033"/>
      <c r="H463" s="1033"/>
      <c r="I463" s="1033"/>
      <c r="J463" s="1033"/>
      <c r="K463" s="1033"/>
      <c r="L463" s="90"/>
      <c r="M463" s="51"/>
      <c r="N463" s="113">
        <f t="shared" si="52"/>
        <v>6133</v>
      </c>
      <c r="O463" s="575">
        <v>0</v>
      </c>
      <c r="P463" s="582">
        <v>0</v>
      </c>
      <c r="Q463" s="589"/>
      <c r="R463" s="576"/>
      <c r="S463" s="583">
        <f t="shared" si="51"/>
        <v>0</v>
      </c>
      <c r="T463" s="580">
        <f t="shared" si="50"/>
        <v>0</v>
      </c>
      <c r="U463" s="51"/>
      <c r="V463" s="2119"/>
      <c r="W463" s="43"/>
      <c r="X463" s="43"/>
      <c r="Y463" s="43"/>
      <c r="Z463" s="43"/>
    </row>
    <row r="464" spans="1:26">
      <c r="A464" s="88">
        <v>6140</v>
      </c>
      <c r="B464" s="1045" t="s">
        <v>2156</v>
      </c>
      <c r="C464" s="1033"/>
      <c r="D464" s="1033"/>
      <c r="E464" s="1033"/>
      <c r="F464" s="1033"/>
      <c r="G464" s="1033"/>
      <c r="H464" s="1033"/>
      <c r="I464" s="1033"/>
      <c r="J464" s="1033"/>
      <c r="K464" s="1033"/>
      <c r="L464" s="90"/>
      <c r="M464" s="51"/>
      <c r="N464" s="113">
        <f t="shared" si="52"/>
        <v>6140</v>
      </c>
      <c r="O464" s="575">
        <v>0</v>
      </c>
      <c r="P464" s="582">
        <v>0</v>
      </c>
      <c r="Q464" s="589"/>
      <c r="R464" s="576"/>
      <c r="S464" s="583">
        <f t="shared" si="51"/>
        <v>0</v>
      </c>
      <c r="T464" s="580">
        <f t="shared" si="50"/>
        <v>0</v>
      </c>
      <c r="U464" s="51"/>
      <c r="V464" s="2119"/>
      <c r="W464" s="43"/>
      <c r="X464" s="43"/>
      <c r="Y464" s="43"/>
      <c r="Z464" s="43"/>
    </row>
    <row r="465" spans="1:26" ht="15.75" customHeight="1">
      <c r="A465" s="88">
        <v>6141</v>
      </c>
      <c r="B465" s="1045" t="s">
        <v>2157</v>
      </c>
      <c r="C465" s="1033"/>
      <c r="D465" s="1033"/>
      <c r="E465" s="1033"/>
      <c r="F465" s="1033"/>
      <c r="G465" s="1033"/>
      <c r="H465" s="1033"/>
      <c r="I465" s="1033"/>
      <c r="J465" s="1033"/>
      <c r="K465" s="1033"/>
      <c r="L465" s="90"/>
      <c r="M465" s="51"/>
      <c r="N465" s="113">
        <f t="shared" si="52"/>
        <v>6141</v>
      </c>
      <c r="O465" s="575">
        <v>0</v>
      </c>
      <c r="P465" s="582">
        <v>0</v>
      </c>
      <c r="Q465" s="589"/>
      <c r="R465" s="576"/>
      <c r="S465" s="583">
        <f t="shared" si="51"/>
        <v>0</v>
      </c>
      <c r="T465" s="580">
        <f t="shared" si="50"/>
        <v>0</v>
      </c>
      <c r="U465" s="51"/>
      <c r="V465" s="2119"/>
      <c r="W465" s="43"/>
      <c r="X465" s="43"/>
      <c r="Y465" s="43"/>
      <c r="Z465" s="43"/>
    </row>
    <row r="466" spans="1:26">
      <c r="A466" s="88">
        <v>6142</v>
      </c>
      <c r="B466" s="1045" t="s">
        <v>2158</v>
      </c>
      <c r="C466" s="1033"/>
      <c r="D466" s="1033"/>
      <c r="E466" s="1033"/>
      <c r="F466" s="1033"/>
      <c r="G466" s="1033"/>
      <c r="H466" s="1033"/>
      <c r="I466" s="1033"/>
      <c r="J466" s="1033"/>
      <c r="K466" s="1033"/>
      <c r="L466" s="90"/>
      <c r="M466" s="51"/>
      <c r="N466" s="113">
        <f t="shared" si="52"/>
        <v>6142</v>
      </c>
      <c r="O466" s="575">
        <v>0</v>
      </c>
      <c r="P466" s="582">
        <v>0</v>
      </c>
      <c r="Q466" s="589"/>
      <c r="R466" s="576"/>
      <c r="S466" s="583">
        <f t="shared" si="51"/>
        <v>0</v>
      </c>
      <c r="T466" s="580">
        <f t="shared" si="50"/>
        <v>0</v>
      </c>
      <c r="U466" s="51"/>
      <c r="V466" s="2119"/>
      <c r="W466" s="43"/>
      <c r="X466" s="43"/>
      <c r="Y466" s="43"/>
      <c r="Z466" s="43"/>
    </row>
    <row r="467" spans="1:26">
      <c r="A467" s="88">
        <v>6143</v>
      </c>
      <c r="B467" s="1045" t="s">
        <v>2159</v>
      </c>
      <c r="C467" s="1033"/>
      <c r="D467" s="1033"/>
      <c r="E467" s="1033"/>
      <c r="F467" s="1033"/>
      <c r="G467" s="1033"/>
      <c r="H467" s="1033"/>
      <c r="I467" s="1033"/>
      <c r="J467" s="1033"/>
      <c r="K467" s="1033"/>
      <c r="L467" s="90"/>
      <c r="M467" s="51"/>
      <c r="N467" s="113">
        <f t="shared" si="52"/>
        <v>6143</v>
      </c>
      <c r="O467" s="575">
        <v>0</v>
      </c>
      <c r="P467" s="582">
        <v>0</v>
      </c>
      <c r="Q467" s="589">
        <v>0</v>
      </c>
      <c r="R467" s="576">
        <v>0</v>
      </c>
      <c r="S467" s="583">
        <f t="shared" si="51"/>
        <v>0</v>
      </c>
      <c r="T467" s="580">
        <f t="shared" si="50"/>
        <v>0</v>
      </c>
      <c r="U467" s="51"/>
      <c r="V467" s="2119"/>
      <c r="W467" s="43"/>
      <c r="X467" s="43"/>
      <c r="Y467" s="43"/>
      <c r="Z467" s="43"/>
    </row>
    <row r="468" spans="1:26">
      <c r="A468" s="88">
        <v>6144</v>
      </c>
      <c r="B468" s="1045" t="s">
        <v>2160</v>
      </c>
      <c r="C468" s="1033"/>
      <c r="D468" s="1033"/>
      <c r="E468" s="1033"/>
      <c r="F468" s="1033"/>
      <c r="G468" s="1033"/>
      <c r="H468" s="1033"/>
      <c r="I468" s="1033"/>
      <c r="J468" s="1033"/>
      <c r="K468" s="1033"/>
      <c r="L468" s="90"/>
      <c r="M468" s="51"/>
      <c r="N468" s="113">
        <f t="shared" si="52"/>
        <v>6144</v>
      </c>
      <c r="O468" s="575">
        <v>0</v>
      </c>
      <c r="P468" s="582">
        <v>0</v>
      </c>
      <c r="Q468" s="589">
        <v>0</v>
      </c>
      <c r="R468" s="576">
        <v>0</v>
      </c>
      <c r="S468" s="583">
        <f t="shared" si="51"/>
        <v>0</v>
      </c>
      <c r="T468" s="580">
        <f t="shared" si="50"/>
        <v>0</v>
      </c>
      <c r="U468" s="51"/>
      <c r="V468" s="2119"/>
      <c r="W468" s="43"/>
      <c r="X468" s="43"/>
      <c r="Y468" s="43"/>
      <c r="Z468" s="43"/>
    </row>
    <row r="469" spans="1:26">
      <c r="A469" s="88">
        <v>6145</v>
      </c>
      <c r="B469" s="1045" t="s">
        <v>2161</v>
      </c>
      <c r="C469" s="1033"/>
      <c r="D469" s="1033"/>
      <c r="E469" s="1033"/>
      <c r="F469" s="1033"/>
      <c r="G469" s="1033"/>
      <c r="H469" s="1033"/>
      <c r="I469" s="1033"/>
      <c r="J469" s="1033"/>
      <c r="K469" s="1033"/>
      <c r="L469" s="90"/>
      <c r="M469" s="51"/>
      <c r="N469" s="113">
        <f t="shared" si="52"/>
        <v>6145</v>
      </c>
      <c r="O469" s="575">
        <v>0</v>
      </c>
      <c r="P469" s="582">
        <v>0</v>
      </c>
      <c r="Q469" s="589">
        <v>0</v>
      </c>
      <c r="R469" s="576">
        <v>0</v>
      </c>
      <c r="S469" s="583">
        <f t="shared" si="51"/>
        <v>0</v>
      </c>
      <c r="T469" s="580">
        <f t="shared" si="50"/>
        <v>0</v>
      </c>
      <c r="U469" s="51"/>
      <c r="V469" s="2119"/>
      <c r="W469" s="43"/>
      <c r="X469" s="43"/>
      <c r="Y469" s="43"/>
      <c r="Z469" s="43"/>
    </row>
    <row r="470" spans="1:26">
      <c r="A470" s="88">
        <v>6146</v>
      </c>
      <c r="B470" s="1045" t="s">
        <v>2162</v>
      </c>
      <c r="C470" s="1033"/>
      <c r="D470" s="1033"/>
      <c r="E470" s="1033"/>
      <c r="F470" s="1033"/>
      <c r="G470" s="1033"/>
      <c r="H470" s="1033"/>
      <c r="I470" s="1033"/>
      <c r="J470" s="1033"/>
      <c r="K470" s="1033"/>
      <c r="L470" s="90"/>
      <c r="M470" s="51"/>
      <c r="N470" s="113">
        <f t="shared" si="52"/>
        <v>6146</v>
      </c>
      <c r="O470" s="575">
        <v>0</v>
      </c>
      <c r="P470" s="582">
        <v>0</v>
      </c>
      <c r="Q470" s="589">
        <v>0</v>
      </c>
      <c r="R470" s="576">
        <v>0</v>
      </c>
      <c r="S470" s="583">
        <f t="shared" si="51"/>
        <v>0</v>
      </c>
      <c r="T470" s="580">
        <f t="shared" si="50"/>
        <v>0</v>
      </c>
      <c r="U470" s="51"/>
      <c r="V470" s="2119"/>
      <c r="W470" s="43"/>
      <c r="X470" s="43"/>
      <c r="Y470" s="43"/>
      <c r="Z470" s="43"/>
    </row>
    <row r="471" spans="1:26">
      <c r="A471" s="88">
        <v>6147</v>
      </c>
      <c r="B471" s="1045" t="s">
        <v>2163</v>
      </c>
      <c r="C471" s="1033"/>
      <c r="D471" s="1033"/>
      <c r="E471" s="1033"/>
      <c r="F471" s="1033"/>
      <c r="G471" s="1033"/>
      <c r="H471" s="1033"/>
      <c r="I471" s="1033"/>
      <c r="J471" s="1033"/>
      <c r="K471" s="1033"/>
      <c r="L471" s="90"/>
      <c r="M471" s="51"/>
      <c r="N471" s="113">
        <f t="shared" si="52"/>
        <v>6147</v>
      </c>
      <c r="O471" s="575">
        <v>0</v>
      </c>
      <c r="P471" s="582">
        <v>0</v>
      </c>
      <c r="Q471" s="589"/>
      <c r="R471" s="576"/>
      <c r="S471" s="583">
        <f t="shared" si="51"/>
        <v>0</v>
      </c>
      <c r="T471" s="580">
        <f t="shared" si="50"/>
        <v>0</v>
      </c>
      <c r="U471" s="51"/>
      <c r="V471" s="2119"/>
      <c r="W471" s="43"/>
      <c r="X471" s="43"/>
      <c r="Y471" s="43"/>
      <c r="Z471" s="43"/>
    </row>
    <row r="472" spans="1:26">
      <c r="A472" s="88">
        <v>6149</v>
      </c>
      <c r="B472" s="1045" t="s">
        <v>2164</v>
      </c>
      <c r="C472" s="1033"/>
      <c r="D472" s="1033"/>
      <c r="E472" s="1033"/>
      <c r="F472" s="1033"/>
      <c r="G472" s="1033"/>
      <c r="H472" s="1033"/>
      <c r="I472" s="1033"/>
      <c r="J472" s="1033"/>
      <c r="K472" s="1033"/>
      <c r="L472" s="90"/>
      <c r="M472" s="51"/>
      <c r="N472" s="113">
        <f t="shared" si="52"/>
        <v>6149</v>
      </c>
      <c r="O472" s="575">
        <v>0</v>
      </c>
      <c r="P472" s="582">
        <v>0</v>
      </c>
      <c r="Q472" s="589">
        <v>0</v>
      </c>
      <c r="R472" s="576">
        <v>0</v>
      </c>
      <c r="S472" s="583">
        <f t="shared" si="51"/>
        <v>0</v>
      </c>
      <c r="T472" s="580">
        <f t="shared" si="50"/>
        <v>0</v>
      </c>
      <c r="U472" s="51"/>
      <c r="V472" s="2119"/>
      <c r="W472" s="43"/>
      <c r="X472" s="43"/>
      <c r="Y472" s="43"/>
      <c r="Z472" s="43"/>
    </row>
    <row r="473" spans="1:26">
      <c r="A473" s="88">
        <v>6151</v>
      </c>
      <c r="B473" s="1045" t="s">
        <v>2165</v>
      </c>
      <c r="C473" s="1033"/>
      <c r="D473" s="1033"/>
      <c r="E473" s="1033"/>
      <c r="F473" s="1033"/>
      <c r="G473" s="1033"/>
      <c r="H473" s="1033"/>
      <c r="I473" s="1033"/>
      <c r="J473" s="1033"/>
      <c r="K473" s="1033"/>
      <c r="L473" s="90"/>
      <c r="M473" s="51"/>
      <c r="N473" s="113">
        <f t="shared" si="52"/>
        <v>6151</v>
      </c>
      <c r="O473" s="575">
        <v>0</v>
      </c>
      <c r="P473" s="582">
        <v>0</v>
      </c>
      <c r="Q473" s="589"/>
      <c r="R473" s="576"/>
      <c r="S473" s="583">
        <f t="shared" si="51"/>
        <v>0</v>
      </c>
      <c r="T473" s="580">
        <f t="shared" si="50"/>
        <v>0</v>
      </c>
      <c r="U473" s="51"/>
      <c r="V473" s="2119"/>
      <c r="W473" s="43"/>
      <c r="X473" s="43"/>
      <c r="Y473" s="43"/>
      <c r="Z473" s="43"/>
    </row>
    <row r="474" spans="1:26">
      <c r="A474" s="88">
        <v>6159</v>
      </c>
      <c r="B474" s="1045" t="s">
        <v>2166</v>
      </c>
      <c r="C474" s="1033"/>
      <c r="D474" s="1033"/>
      <c r="E474" s="1033"/>
      <c r="F474" s="1033"/>
      <c r="G474" s="1033"/>
      <c r="H474" s="1033"/>
      <c r="I474" s="1033"/>
      <c r="J474" s="1033"/>
      <c r="K474" s="1033"/>
      <c r="L474" s="90"/>
      <c r="M474" s="51"/>
      <c r="N474" s="113">
        <f t="shared" si="52"/>
        <v>6159</v>
      </c>
      <c r="O474" s="575">
        <v>0</v>
      </c>
      <c r="P474" s="582">
        <v>0</v>
      </c>
      <c r="Q474" s="589"/>
      <c r="R474" s="576"/>
      <c r="S474" s="583">
        <f t="shared" si="51"/>
        <v>0</v>
      </c>
      <c r="T474" s="580">
        <f t="shared" si="50"/>
        <v>0</v>
      </c>
      <c r="U474" s="51"/>
      <c r="V474" s="2119"/>
      <c r="W474" s="43"/>
      <c r="X474" s="43"/>
      <c r="Y474" s="43"/>
      <c r="Z474" s="43"/>
    </row>
    <row r="475" spans="1:26">
      <c r="A475" s="88">
        <v>6161</v>
      </c>
      <c r="B475" s="1045" t="s">
        <v>2167</v>
      </c>
      <c r="C475" s="1033"/>
      <c r="D475" s="1033"/>
      <c r="E475" s="1033"/>
      <c r="F475" s="1033"/>
      <c r="G475" s="1033"/>
      <c r="H475" s="1033"/>
      <c r="I475" s="1033"/>
      <c r="J475" s="1033"/>
      <c r="K475" s="1033"/>
      <c r="L475" s="90"/>
      <c r="M475" s="51"/>
      <c r="N475" s="113">
        <f t="shared" si="52"/>
        <v>6161</v>
      </c>
      <c r="O475" s="575">
        <v>0</v>
      </c>
      <c r="P475" s="582">
        <v>0</v>
      </c>
      <c r="Q475" s="589"/>
      <c r="R475" s="576"/>
      <c r="S475" s="583">
        <f t="shared" si="51"/>
        <v>0</v>
      </c>
      <c r="T475" s="580">
        <f t="shared" si="50"/>
        <v>0</v>
      </c>
      <c r="U475" s="51"/>
      <c r="V475" s="2119"/>
      <c r="W475" s="43"/>
      <c r="X475" s="43"/>
      <c r="Y475" s="43"/>
      <c r="Z475" s="43"/>
    </row>
    <row r="476" spans="1:26">
      <c r="A476" s="88">
        <v>6162</v>
      </c>
      <c r="B476" s="1045" t="s">
        <v>2168</v>
      </c>
      <c r="C476" s="1033"/>
      <c r="D476" s="1033"/>
      <c r="E476" s="1033"/>
      <c r="F476" s="1033"/>
      <c r="G476" s="1033"/>
      <c r="H476" s="1033"/>
      <c r="I476" s="1033"/>
      <c r="J476" s="1033"/>
      <c r="K476" s="1033"/>
      <c r="L476" s="90"/>
      <c r="M476" s="51"/>
      <c r="N476" s="113">
        <f t="shared" si="52"/>
        <v>6162</v>
      </c>
      <c r="O476" s="575">
        <v>0</v>
      </c>
      <c r="P476" s="582">
        <v>0</v>
      </c>
      <c r="Q476" s="589"/>
      <c r="R476" s="576"/>
      <c r="S476" s="583">
        <f t="shared" si="51"/>
        <v>0</v>
      </c>
      <c r="T476" s="580">
        <f t="shared" si="50"/>
        <v>0</v>
      </c>
      <c r="U476" s="51"/>
      <c r="V476" s="2119"/>
      <c r="W476" s="43"/>
      <c r="X476" s="43"/>
      <c r="Y476" s="43"/>
      <c r="Z476" s="43"/>
    </row>
    <row r="477" spans="1:26">
      <c r="A477" s="88">
        <v>6163</v>
      </c>
      <c r="B477" s="1045" t="s">
        <v>2169</v>
      </c>
      <c r="C477" s="1033"/>
      <c r="D477" s="1033"/>
      <c r="E477" s="1033"/>
      <c r="F477" s="1033"/>
      <c r="G477" s="1033"/>
      <c r="H477" s="1033"/>
      <c r="I477" s="1033"/>
      <c r="J477" s="1033"/>
      <c r="K477" s="1033"/>
      <c r="L477" s="90"/>
      <c r="M477" s="51"/>
      <c r="N477" s="113">
        <f t="shared" si="52"/>
        <v>6163</v>
      </c>
      <c r="O477" s="575">
        <v>0</v>
      </c>
      <c r="P477" s="582">
        <v>0</v>
      </c>
      <c r="Q477" s="589"/>
      <c r="R477" s="576"/>
      <c r="S477" s="583">
        <f t="shared" si="51"/>
        <v>0</v>
      </c>
      <c r="T477" s="580">
        <f t="shared" si="50"/>
        <v>0</v>
      </c>
      <c r="U477" s="51"/>
      <c r="V477" s="2119"/>
      <c r="W477" s="43"/>
      <c r="X477" s="43"/>
      <c r="Y477" s="43"/>
      <c r="Z477" s="43"/>
    </row>
    <row r="478" spans="1:26">
      <c r="A478" s="88">
        <v>6201</v>
      </c>
      <c r="B478" s="1033" t="s">
        <v>432</v>
      </c>
      <c r="C478" s="1033"/>
      <c r="D478" s="1033"/>
      <c r="E478" s="1033"/>
      <c r="F478" s="1033"/>
      <c r="G478" s="1033"/>
      <c r="H478" s="1033"/>
      <c r="I478" s="1033"/>
      <c r="J478" s="1033"/>
      <c r="K478" s="1033"/>
      <c r="L478" s="90"/>
      <c r="M478" s="51"/>
      <c r="N478" s="113">
        <f t="shared" si="52"/>
        <v>6201</v>
      </c>
      <c r="O478" s="575">
        <v>0</v>
      </c>
      <c r="P478" s="582">
        <v>0</v>
      </c>
      <c r="Q478" s="589"/>
      <c r="R478" s="576"/>
      <c r="S478" s="583">
        <f t="shared" si="51"/>
        <v>0</v>
      </c>
      <c r="T478" s="580">
        <f t="shared" si="50"/>
        <v>0</v>
      </c>
      <c r="U478" s="51"/>
      <c r="V478" s="2119"/>
      <c r="W478" s="43"/>
      <c r="X478" s="43"/>
      <c r="Y478" s="43"/>
      <c r="Z478" s="43"/>
    </row>
    <row r="479" spans="1:26">
      <c r="A479" s="88">
        <v>6202</v>
      </c>
      <c r="B479" s="1033" t="s">
        <v>499</v>
      </c>
      <c r="C479" s="1033"/>
      <c r="D479" s="1033"/>
      <c r="E479" s="1033"/>
      <c r="F479" s="1033"/>
      <c r="G479" s="1033"/>
      <c r="H479" s="1033"/>
      <c r="I479" s="1033"/>
      <c r="J479" s="1033"/>
      <c r="K479" s="1033"/>
      <c r="L479" s="90"/>
      <c r="M479" s="51"/>
      <c r="N479" s="113">
        <f t="shared" si="52"/>
        <v>6202</v>
      </c>
      <c r="O479" s="575">
        <v>0</v>
      </c>
      <c r="P479" s="582">
        <v>0</v>
      </c>
      <c r="Q479" s="589"/>
      <c r="R479" s="576"/>
      <c r="S479" s="583">
        <f t="shared" si="51"/>
        <v>0</v>
      </c>
      <c r="T479" s="580">
        <f t="shared" si="50"/>
        <v>0</v>
      </c>
      <c r="U479" s="51"/>
      <c r="V479" s="2119"/>
      <c r="W479" s="43"/>
      <c r="X479" s="43"/>
      <c r="Y479" s="43"/>
      <c r="Z479" s="43"/>
    </row>
    <row r="480" spans="1:26">
      <c r="A480" s="88">
        <v>6203</v>
      </c>
      <c r="B480" s="1033" t="s">
        <v>500</v>
      </c>
      <c r="C480" s="1033"/>
      <c r="D480" s="1033"/>
      <c r="E480" s="1033"/>
      <c r="F480" s="1033"/>
      <c r="G480" s="1033"/>
      <c r="H480" s="1033"/>
      <c r="I480" s="1033"/>
      <c r="J480" s="1033"/>
      <c r="K480" s="1033"/>
      <c r="L480" s="90"/>
      <c r="M480" s="51"/>
      <c r="N480" s="113">
        <f t="shared" si="52"/>
        <v>6203</v>
      </c>
      <c r="O480" s="575">
        <v>0</v>
      </c>
      <c r="P480" s="582">
        <v>0</v>
      </c>
      <c r="Q480" s="589">
        <v>0</v>
      </c>
      <c r="R480" s="576">
        <v>0</v>
      </c>
      <c r="S480" s="583">
        <f t="shared" si="51"/>
        <v>0</v>
      </c>
      <c r="T480" s="580">
        <f t="shared" ref="T480:T543" si="53">+IF(ABS(+O480+Q480)&lt;=ABS(P480+R480),-O480+P480-Q480+R480,0)</f>
        <v>0</v>
      </c>
      <c r="U480" s="51"/>
      <c r="V480" s="2119"/>
      <c r="W480" s="43"/>
      <c r="X480" s="43"/>
      <c r="Y480" s="43"/>
      <c r="Z480" s="43"/>
    </row>
    <row r="481" spans="1:26">
      <c r="A481" s="88">
        <v>6209</v>
      </c>
      <c r="B481" s="1033" t="s">
        <v>501</v>
      </c>
      <c r="C481" s="1033"/>
      <c r="D481" s="1033"/>
      <c r="E481" s="1033"/>
      <c r="F481" s="1033"/>
      <c r="G481" s="1033"/>
      <c r="H481" s="1033"/>
      <c r="I481" s="1033"/>
      <c r="J481" s="1033"/>
      <c r="K481" s="1033"/>
      <c r="L481" s="90"/>
      <c r="M481" s="51"/>
      <c r="N481" s="113">
        <f t="shared" si="52"/>
        <v>6209</v>
      </c>
      <c r="O481" s="575">
        <v>0</v>
      </c>
      <c r="P481" s="582">
        <v>0</v>
      </c>
      <c r="Q481" s="589">
        <v>0</v>
      </c>
      <c r="R481" s="576">
        <v>0</v>
      </c>
      <c r="S481" s="583">
        <f t="shared" ref="S481:S544" si="54">+IF(ABS(+O481+Q481)&gt;=ABS(P481+R481),+O481-P481+Q481-R481,0)</f>
        <v>0</v>
      </c>
      <c r="T481" s="580">
        <f t="shared" si="53"/>
        <v>0</v>
      </c>
      <c r="U481" s="51"/>
      <c r="V481" s="2119"/>
      <c r="W481" s="43"/>
      <c r="X481" s="43"/>
      <c r="Y481" s="43"/>
      <c r="Z481" s="43"/>
    </row>
    <row r="482" spans="1:26">
      <c r="A482" s="88">
        <v>6211</v>
      </c>
      <c r="B482" s="1033" t="s">
        <v>502</v>
      </c>
      <c r="C482" s="1033"/>
      <c r="D482" s="1033"/>
      <c r="E482" s="1033"/>
      <c r="F482" s="1033"/>
      <c r="G482" s="1033"/>
      <c r="H482" s="1033"/>
      <c r="I482" s="1033"/>
      <c r="J482" s="1033"/>
      <c r="K482" s="1033"/>
      <c r="L482" s="90"/>
      <c r="M482" s="51"/>
      <c r="N482" s="113">
        <f t="shared" si="52"/>
        <v>6211</v>
      </c>
      <c r="O482" s="575">
        <v>0</v>
      </c>
      <c r="P482" s="582">
        <v>0</v>
      </c>
      <c r="Q482" s="589"/>
      <c r="R482" s="576"/>
      <c r="S482" s="583">
        <f t="shared" si="54"/>
        <v>0</v>
      </c>
      <c r="T482" s="580">
        <f t="shared" si="53"/>
        <v>0</v>
      </c>
      <c r="U482" s="51"/>
      <c r="V482" s="2119"/>
      <c r="W482" s="43"/>
      <c r="X482" s="43"/>
      <c r="Y482" s="43"/>
      <c r="Z482" s="43"/>
    </row>
    <row r="483" spans="1:26" ht="15.75" customHeight="1">
      <c r="A483" s="88">
        <v>6218</v>
      </c>
      <c r="B483" s="1033" t="s">
        <v>503</v>
      </c>
      <c r="C483" s="1033"/>
      <c r="D483" s="1033"/>
      <c r="E483" s="1033"/>
      <c r="F483" s="1033"/>
      <c r="G483" s="1033"/>
      <c r="H483" s="1033"/>
      <c r="I483" s="1033"/>
      <c r="J483" s="1033"/>
      <c r="K483" s="1033"/>
      <c r="L483" s="90"/>
      <c r="M483" s="51"/>
      <c r="N483" s="113">
        <f t="shared" si="52"/>
        <v>6218</v>
      </c>
      <c r="O483" s="575">
        <v>0</v>
      </c>
      <c r="P483" s="582">
        <v>0</v>
      </c>
      <c r="Q483" s="589"/>
      <c r="R483" s="576"/>
      <c r="S483" s="583">
        <f t="shared" si="54"/>
        <v>0</v>
      </c>
      <c r="T483" s="580">
        <f t="shared" si="53"/>
        <v>0</v>
      </c>
      <c r="U483" s="51"/>
      <c r="V483" s="2119"/>
      <c r="W483" s="43"/>
      <c r="X483" s="43"/>
      <c r="Y483" s="43"/>
      <c r="Z483" s="43"/>
    </row>
    <row r="484" spans="1:26">
      <c r="A484" s="88">
        <v>6221</v>
      </c>
      <c r="B484" s="1033" t="s">
        <v>504</v>
      </c>
      <c r="C484" s="1033"/>
      <c r="D484" s="1033"/>
      <c r="E484" s="1033"/>
      <c r="F484" s="1033"/>
      <c r="G484" s="1033"/>
      <c r="H484" s="1033"/>
      <c r="I484" s="1033"/>
      <c r="J484" s="1033"/>
      <c r="K484" s="1033"/>
      <c r="L484" s="90"/>
      <c r="M484" s="51"/>
      <c r="N484" s="113">
        <f t="shared" si="52"/>
        <v>6221</v>
      </c>
      <c r="O484" s="575">
        <v>0</v>
      </c>
      <c r="P484" s="582">
        <v>0</v>
      </c>
      <c r="Q484" s="589"/>
      <c r="R484" s="576"/>
      <c r="S484" s="583">
        <f t="shared" si="54"/>
        <v>0</v>
      </c>
      <c r="T484" s="580">
        <f t="shared" si="53"/>
        <v>0</v>
      </c>
      <c r="U484" s="51"/>
      <c r="V484" s="2119"/>
      <c r="W484" s="43"/>
      <c r="X484" s="43"/>
      <c r="Y484" s="43"/>
      <c r="Z484" s="43"/>
    </row>
    <row r="485" spans="1:26">
      <c r="A485" s="88">
        <v>6224</v>
      </c>
      <c r="B485" s="1033" t="s">
        <v>505</v>
      </c>
      <c r="C485" s="1033"/>
      <c r="D485" s="1033"/>
      <c r="E485" s="1033"/>
      <c r="F485" s="1033"/>
      <c r="G485" s="1033"/>
      <c r="H485" s="1033"/>
      <c r="I485" s="1033"/>
      <c r="J485" s="1033"/>
      <c r="K485" s="1033"/>
      <c r="L485" s="90"/>
      <c r="M485" s="51"/>
      <c r="N485" s="113">
        <f t="shared" si="52"/>
        <v>6224</v>
      </c>
      <c r="O485" s="575">
        <v>0</v>
      </c>
      <c r="P485" s="582">
        <v>0</v>
      </c>
      <c r="Q485" s="589"/>
      <c r="R485" s="576"/>
      <c r="S485" s="583">
        <f t="shared" si="54"/>
        <v>0</v>
      </c>
      <c r="T485" s="580">
        <f t="shared" si="53"/>
        <v>0</v>
      </c>
      <c r="U485" s="51"/>
      <c r="V485" s="2119"/>
      <c r="W485" s="43"/>
      <c r="X485" s="43"/>
      <c r="Y485" s="43"/>
      <c r="Z485" s="43"/>
    </row>
    <row r="486" spans="1:26">
      <c r="A486" s="88">
        <v>6225</v>
      </c>
      <c r="B486" s="1033" t="s">
        <v>506</v>
      </c>
      <c r="C486" s="1033"/>
      <c r="D486" s="1033"/>
      <c r="E486" s="1033"/>
      <c r="F486" s="1033"/>
      <c r="G486" s="1033"/>
      <c r="H486" s="1033"/>
      <c r="I486" s="1033"/>
      <c r="J486" s="1033"/>
      <c r="K486" s="1033"/>
      <c r="L486" s="90"/>
      <c r="M486" s="51"/>
      <c r="N486" s="113">
        <f t="shared" si="52"/>
        <v>6225</v>
      </c>
      <c r="O486" s="575">
        <v>0</v>
      </c>
      <c r="P486" s="582">
        <v>0</v>
      </c>
      <c r="Q486" s="589"/>
      <c r="R486" s="576"/>
      <c r="S486" s="583">
        <f t="shared" si="54"/>
        <v>0</v>
      </c>
      <c r="T486" s="580">
        <f t="shared" si="53"/>
        <v>0</v>
      </c>
      <c r="U486" s="51"/>
      <c r="V486" s="2119"/>
      <c r="W486" s="43"/>
      <c r="X486" s="43"/>
      <c r="Y486" s="43"/>
      <c r="Z486" s="43"/>
    </row>
    <row r="487" spans="1:26">
      <c r="A487" s="88">
        <v>6226</v>
      </c>
      <c r="B487" s="1033" t="s">
        <v>507</v>
      </c>
      <c r="C487" s="1033"/>
      <c r="D487" s="1033"/>
      <c r="E487" s="1033"/>
      <c r="F487" s="1033"/>
      <c r="G487" s="1033"/>
      <c r="H487" s="1033"/>
      <c r="I487" s="1033"/>
      <c r="J487" s="1033"/>
      <c r="K487" s="1033"/>
      <c r="L487" s="90"/>
      <c r="M487" s="51"/>
      <c r="N487" s="113">
        <f t="shared" si="52"/>
        <v>6226</v>
      </c>
      <c r="O487" s="575">
        <v>0</v>
      </c>
      <c r="P487" s="582">
        <v>0</v>
      </c>
      <c r="Q487" s="589"/>
      <c r="R487" s="576"/>
      <c r="S487" s="583">
        <f t="shared" si="54"/>
        <v>0</v>
      </c>
      <c r="T487" s="580">
        <f t="shared" si="53"/>
        <v>0</v>
      </c>
      <c r="U487" s="51"/>
      <c r="V487" s="2119"/>
      <c r="W487" s="43"/>
      <c r="X487" s="43"/>
      <c r="Y487" s="43"/>
      <c r="Z487" s="43"/>
    </row>
    <row r="488" spans="1:26">
      <c r="A488" s="88">
        <v>6227</v>
      </c>
      <c r="B488" s="1033" t="s">
        <v>508</v>
      </c>
      <c r="C488" s="1033"/>
      <c r="D488" s="1033"/>
      <c r="E488" s="1033"/>
      <c r="F488" s="1033"/>
      <c r="G488" s="1033"/>
      <c r="H488" s="1033"/>
      <c r="I488" s="1033"/>
      <c r="J488" s="1033"/>
      <c r="K488" s="1033"/>
      <c r="L488" s="90"/>
      <c r="M488" s="51"/>
      <c r="N488" s="113">
        <f t="shared" si="52"/>
        <v>6227</v>
      </c>
      <c r="O488" s="575">
        <v>0</v>
      </c>
      <c r="P488" s="582">
        <v>0</v>
      </c>
      <c r="Q488" s="589"/>
      <c r="R488" s="576"/>
      <c r="S488" s="583">
        <f t="shared" si="54"/>
        <v>0</v>
      </c>
      <c r="T488" s="580">
        <f t="shared" si="53"/>
        <v>0</v>
      </c>
      <c r="U488" s="51"/>
      <c r="V488" s="2119"/>
      <c r="W488" s="43"/>
      <c r="X488" s="43"/>
      <c r="Y488" s="43"/>
      <c r="Z488" s="43"/>
    </row>
    <row r="489" spans="1:26">
      <c r="A489" s="88">
        <v>6229</v>
      </c>
      <c r="B489" s="1033" t="s">
        <v>509</v>
      </c>
      <c r="C489" s="1033"/>
      <c r="D489" s="1033"/>
      <c r="E489" s="1033"/>
      <c r="F489" s="1033"/>
      <c r="G489" s="1033"/>
      <c r="H489" s="1033"/>
      <c r="I489" s="1033"/>
      <c r="J489" s="1033"/>
      <c r="K489" s="1033"/>
      <c r="L489" s="90"/>
      <c r="M489" s="51"/>
      <c r="N489" s="113">
        <f t="shared" si="52"/>
        <v>6229</v>
      </c>
      <c r="O489" s="575">
        <v>0</v>
      </c>
      <c r="P489" s="582">
        <v>0</v>
      </c>
      <c r="Q489" s="589"/>
      <c r="R489" s="576"/>
      <c r="S489" s="583">
        <f t="shared" si="54"/>
        <v>0</v>
      </c>
      <c r="T489" s="580">
        <f t="shared" si="53"/>
        <v>0</v>
      </c>
      <c r="U489" s="51"/>
      <c r="V489" s="2119"/>
      <c r="W489" s="43"/>
      <c r="X489" s="43"/>
      <c r="Y489" s="43"/>
      <c r="Z489" s="43"/>
    </row>
    <row r="490" spans="1:26">
      <c r="A490" s="88">
        <v>6231</v>
      </c>
      <c r="B490" s="1033" t="s">
        <v>510</v>
      </c>
      <c r="C490" s="1033"/>
      <c r="D490" s="1033"/>
      <c r="E490" s="1033"/>
      <c r="F490" s="1033"/>
      <c r="G490" s="1033"/>
      <c r="H490" s="1033"/>
      <c r="I490" s="1033"/>
      <c r="J490" s="1033"/>
      <c r="K490" s="1033"/>
      <c r="L490" s="90"/>
      <c r="M490" s="51"/>
      <c r="N490" s="113">
        <f t="shared" si="52"/>
        <v>6231</v>
      </c>
      <c r="O490" s="575">
        <v>0</v>
      </c>
      <c r="P490" s="582">
        <v>0</v>
      </c>
      <c r="Q490" s="589"/>
      <c r="R490" s="576"/>
      <c r="S490" s="583">
        <f t="shared" si="54"/>
        <v>0</v>
      </c>
      <c r="T490" s="580">
        <f t="shared" si="53"/>
        <v>0</v>
      </c>
      <c r="U490" s="51"/>
      <c r="V490" s="2119"/>
      <c r="W490" s="43"/>
      <c r="X490" s="43"/>
      <c r="Y490" s="43"/>
      <c r="Z490" s="43"/>
    </row>
    <row r="491" spans="1:26">
      <c r="A491" s="88">
        <v>6232</v>
      </c>
      <c r="B491" s="1033" t="s">
        <v>511</v>
      </c>
      <c r="C491" s="1033"/>
      <c r="D491" s="1033"/>
      <c r="E491" s="1033"/>
      <c r="F491" s="1033"/>
      <c r="G491" s="1033"/>
      <c r="H491" s="1033"/>
      <c r="I491" s="1033"/>
      <c r="J491" s="1033"/>
      <c r="K491" s="1033"/>
      <c r="L491" s="90"/>
      <c r="M491" s="51"/>
      <c r="N491" s="113">
        <f t="shared" si="52"/>
        <v>6232</v>
      </c>
      <c r="O491" s="575">
        <v>0</v>
      </c>
      <c r="P491" s="582">
        <v>0</v>
      </c>
      <c r="Q491" s="589"/>
      <c r="R491" s="576"/>
      <c r="S491" s="583">
        <f t="shared" si="54"/>
        <v>0</v>
      </c>
      <c r="T491" s="580">
        <f t="shared" si="53"/>
        <v>0</v>
      </c>
      <c r="U491" s="51"/>
      <c r="V491" s="2119"/>
      <c r="W491" s="43"/>
      <c r="X491" s="43"/>
      <c r="Y491" s="43"/>
      <c r="Z491" s="43"/>
    </row>
    <row r="492" spans="1:26">
      <c r="A492" s="88">
        <v>6241</v>
      </c>
      <c r="B492" s="1033" t="s">
        <v>512</v>
      </c>
      <c r="C492" s="1033"/>
      <c r="D492" s="1033"/>
      <c r="E492" s="1033"/>
      <c r="F492" s="1033"/>
      <c r="G492" s="1033"/>
      <c r="H492" s="1033"/>
      <c r="I492" s="1033"/>
      <c r="J492" s="1033"/>
      <c r="K492" s="1033"/>
      <c r="L492" s="90"/>
      <c r="M492" s="51"/>
      <c r="N492" s="113">
        <f t="shared" si="52"/>
        <v>6241</v>
      </c>
      <c r="O492" s="575">
        <v>0</v>
      </c>
      <c r="P492" s="582">
        <v>0</v>
      </c>
      <c r="Q492" s="589">
        <v>0</v>
      </c>
      <c r="R492" s="576">
        <v>0</v>
      </c>
      <c r="S492" s="583">
        <f t="shared" si="54"/>
        <v>0</v>
      </c>
      <c r="T492" s="580">
        <f t="shared" si="53"/>
        <v>0</v>
      </c>
      <c r="U492" s="51"/>
      <c r="V492" s="2119"/>
      <c r="W492" s="43"/>
      <c r="X492" s="43"/>
      <c r="Y492" s="43"/>
      <c r="Z492" s="43"/>
    </row>
    <row r="493" spans="1:26">
      <c r="A493" s="88">
        <v>6242</v>
      </c>
      <c r="B493" s="1033" t="s">
        <v>513</v>
      </c>
      <c r="C493" s="1033"/>
      <c r="D493" s="1033"/>
      <c r="E493" s="1033"/>
      <c r="F493" s="1033"/>
      <c r="G493" s="1033"/>
      <c r="H493" s="1033"/>
      <c r="I493" s="1033"/>
      <c r="J493" s="1033"/>
      <c r="K493" s="1033"/>
      <c r="L493" s="90"/>
      <c r="M493" s="51"/>
      <c r="N493" s="113">
        <f t="shared" si="52"/>
        <v>6242</v>
      </c>
      <c r="O493" s="575">
        <v>0</v>
      </c>
      <c r="P493" s="582">
        <v>0</v>
      </c>
      <c r="Q493" s="589"/>
      <c r="R493" s="576"/>
      <c r="S493" s="583">
        <f t="shared" si="54"/>
        <v>0</v>
      </c>
      <c r="T493" s="580">
        <f t="shared" si="53"/>
        <v>0</v>
      </c>
      <c r="U493" s="51"/>
      <c r="V493" s="2119"/>
      <c r="W493" s="43"/>
      <c r="X493" s="43"/>
      <c r="Y493" s="43"/>
      <c r="Z493" s="43"/>
    </row>
    <row r="494" spans="1:26" ht="15.75" customHeight="1">
      <c r="A494" s="88">
        <v>6270</v>
      </c>
      <c r="B494" s="1033" t="s">
        <v>514</v>
      </c>
      <c r="C494" s="1033"/>
      <c r="D494" s="1033"/>
      <c r="E494" s="1033"/>
      <c r="F494" s="1033"/>
      <c r="G494" s="1033"/>
      <c r="H494" s="1033"/>
      <c r="I494" s="1033"/>
      <c r="J494" s="1033"/>
      <c r="K494" s="1033"/>
      <c r="L494" s="90"/>
      <c r="M494" s="51"/>
      <c r="N494" s="113">
        <f t="shared" si="52"/>
        <v>6270</v>
      </c>
      <c r="O494" s="575">
        <v>0</v>
      </c>
      <c r="P494" s="582">
        <v>0</v>
      </c>
      <c r="Q494" s="589"/>
      <c r="R494" s="576"/>
      <c r="S494" s="583">
        <f t="shared" si="54"/>
        <v>0</v>
      </c>
      <c r="T494" s="580">
        <f t="shared" si="53"/>
        <v>0</v>
      </c>
      <c r="U494" s="51"/>
      <c r="V494" s="2119"/>
      <c r="W494" s="43"/>
      <c r="X494" s="43"/>
      <c r="Y494" s="43"/>
      <c r="Z494" s="43"/>
    </row>
    <row r="495" spans="1:26">
      <c r="A495" s="88">
        <v>6271</v>
      </c>
      <c r="B495" s="1033" t="s">
        <v>515</v>
      </c>
      <c r="C495" s="1033"/>
      <c r="D495" s="1033"/>
      <c r="E495" s="1033"/>
      <c r="F495" s="1033"/>
      <c r="G495" s="1033"/>
      <c r="H495" s="1033"/>
      <c r="I495" s="1033"/>
      <c r="J495" s="1033"/>
      <c r="K495" s="1033"/>
      <c r="L495" s="90"/>
      <c r="M495" s="51"/>
      <c r="N495" s="113">
        <f t="shared" si="52"/>
        <v>6271</v>
      </c>
      <c r="O495" s="575">
        <v>0</v>
      </c>
      <c r="P495" s="582">
        <v>0</v>
      </c>
      <c r="Q495" s="589"/>
      <c r="R495" s="576"/>
      <c r="S495" s="583">
        <f t="shared" si="54"/>
        <v>0</v>
      </c>
      <c r="T495" s="580">
        <f t="shared" si="53"/>
        <v>0</v>
      </c>
      <c r="U495" s="51"/>
      <c r="V495" s="2119"/>
      <c r="W495" s="43"/>
      <c r="X495" s="43"/>
      <c r="Y495" s="43"/>
      <c r="Z495" s="43"/>
    </row>
    <row r="496" spans="1:26">
      <c r="A496" s="88">
        <v>6272</v>
      </c>
      <c r="B496" s="1033" t="s">
        <v>516</v>
      </c>
      <c r="C496" s="1033"/>
      <c r="D496" s="1033"/>
      <c r="E496" s="1033"/>
      <c r="F496" s="1033"/>
      <c r="G496" s="1033"/>
      <c r="H496" s="1033"/>
      <c r="I496" s="1033"/>
      <c r="J496" s="1033"/>
      <c r="K496" s="1033"/>
      <c r="L496" s="90"/>
      <c r="M496" s="51"/>
      <c r="N496" s="113">
        <f t="shared" si="52"/>
        <v>6272</v>
      </c>
      <c r="O496" s="575">
        <v>0</v>
      </c>
      <c r="P496" s="582">
        <v>0</v>
      </c>
      <c r="Q496" s="589"/>
      <c r="R496" s="576"/>
      <c r="S496" s="583">
        <f t="shared" si="54"/>
        <v>0</v>
      </c>
      <c r="T496" s="580">
        <f t="shared" si="53"/>
        <v>0</v>
      </c>
      <c r="U496" s="51"/>
      <c r="V496" s="2119"/>
      <c r="W496" s="43"/>
      <c r="X496" s="43"/>
      <c r="Y496" s="43"/>
      <c r="Z496" s="43"/>
    </row>
    <row r="497" spans="1:26" ht="15.75" customHeight="1">
      <c r="A497" s="88">
        <v>6273</v>
      </c>
      <c r="B497" s="1033" t="s">
        <v>520</v>
      </c>
      <c r="C497" s="1033"/>
      <c r="D497" s="1033"/>
      <c r="E497" s="1033"/>
      <c r="F497" s="1033"/>
      <c r="G497" s="1033"/>
      <c r="H497" s="1033"/>
      <c r="I497" s="1033"/>
      <c r="J497" s="1033"/>
      <c r="K497" s="1033"/>
      <c r="L497" s="90"/>
      <c r="M497" s="51"/>
      <c r="N497" s="113">
        <f t="shared" si="52"/>
        <v>6273</v>
      </c>
      <c r="O497" s="575">
        <v>0</v>
      </c>
      <c r="P497" s="582">
        <v>0</v>
      </c>
      <c r="Q497" s="589"/>
      <c r="R497" s="576"/>
      <c r="S497" s="583">
        <f t="shared" si="54"/>
        <v>0</v>
      </c>
      <c r="T497" s="580">
        <f t="shared" si="53"/>
        <v>0</v>
      </c>
      <c r="U497" s="51"/>
      <c r="V497" s="2119"/>
      <c r="W497" s="43"/>
      <c r="X497" s="43"/>
      <c r="Y497" s="43"/>
      <c r="Z497" s="43"/>
    </row>
    <row r="498" spans="1:26" ht="15.75" customHeight="1">
      <c r="A498" s="88">
        <v>6274</v>
      </c>
      <c r="B498" s="1033" t="s">
        <v>521</v>
      </c>
      <c r="C498" s="1033"/>
      <c r="D498" s="1033"/>
      <c r="E498" s="1033"/>
      <c r="F498" s="1033"/>
      <c r="G498" s="1033"/>
      <c r="H498" s="1033"/>
      <c r="I498" s="1033"/>
      <c r="J498" s="1033"/>
      <c r="K498" s="1033"/>
      <c r="L498" s="90"/>
      <c r="M498" s="51"/>
      <c r="N498" s="113">
        <f t="shared" si="52"/>
        <v>6274</v>
      </c>
      <c r="O498" s="575">
        <v>0</v>
      </c>
      <c r="P498" s="582">
        <v>0</v>
      </c>
      <c r="Q498" s="589"/>
      <c r="R498" s="576"/>
      <c r="S498" s="583">
        <f t="shared" si="54"/>
        <v>0</v>
      </c>
      <c r="T498" s="580">
        <f t="shared" si="53"/>
        <v>0</v>
      </c>
      <c r="U498" s="51"/>
      <c r="V498" s="2119"/>
      <c r="W498" s="43"/>
      <c r="X498" s="43"/>
      <c r="Y498" s="43"/>
      <c r="Z498" s="43"/>
    </row>
    <row r="499" spans="1:26" ht="15.75" customHeight="1">
      <c r="A499" s="88">
        <v>6275</v>
      </c>
      <c r="B499" s="1033" t="s">
        <v>522</v>
      </c>
      <c r="C499" s="1033"/>
      <c r="D499" s="1033"/>
      <c r="E499" s="1033"/>
      <c r="F499" s="1033"/>
      <c r="G499" s="1033"/>
      <c r="H499" s="1033"/>
      <c r="I499" s="1033"/>
      <c r="J499" s="1033"/>
      <c r="K499" s="1033"/>
      <c r="L499" s="90"/>
      <c r="M499" s="51"/>
      <c r="N499" s="113">
        <f t="shared" si="52"/>
        <v>6275</v>
      </c>
      <c r="O499" s="575">
        <v>0</v>
      </c>
      <c r="P499" s="582">
        <v>0</v>
      </c>
      <c r="Q499" s="589"/>
      <c r="R499" s="576"/>
      <c r="S499" s="583">
        <f t="shared" si="54"/>
        <v>0</v>
      </c>
      <c r="T499" s="580">
        <f t="shared" si="53"/>
        <v>0</v>
      </c>
      <c r="U499" s="51"/>
      <c r="V499" s="2119"/>
      <c r="W499" s="43"/>
      <c r="X499" s="43"/>
      <c r="Y499" s="43"/>
      <c r="Z499" s="43"/>
    </row>
    <row r="500" spans="1:26" ht="15.75" customHeight="1">
      <c r="A500" s="88">
        <v>6276</v>
      </c>
      <c r="B500" s="1033" t="s">
        <v>523</v>
      </c>
      <c r="C500" s="1033"/>
      <c r="D500" s="1033"/>
      <c r="E500" s="1033"/>
      <c r="F500" s="1033"/>
      <c r="G500" s="1033"/>
      <c r="H500" s="1033"/>
      <c r="I500" s="1033"/>
      <c r="J500" s="1033"/>
      <c r="K500" s="1033"/>
      <c r="L500" s="90"/>
      <c r="M500" s="51"/>
      <c r="N500" s="113">
        <f t="shared" si="52"/>
        <v>6276</v>
      </c>
      <c r="O500" s="575">
        <v>0</v>
      </c>
      <c r="P500" s="582">
        <v>0</v>
      </c>
      <c r="Q500" s="589"/>
      <c r="R500" s="576"/>
      <c r="S500" s="583">
        <f t="shared" si="54"/>
        <v>0</v>
      </c>
      <c r="T500" s="580">
        <f t="shared" si="53"/>
        <v>0</v>
      </c>
      <c r="U500" s="51"/>
      <c r="V500" s="2119"/>
      <c r="W500" s="43"/>
      <c r="X500" s="43"/>
      <c r="Y500" s="43"/>
      <c r="Z500" s="43"/>
    </row>
    <row r="501" spans="1:26" ht="15.75" customHeight="1">
      <c r="A501" s="88">
        <v>6277</v>
      </c>
      <c r="B501" s="1033" t="s">
        <v>524</v>
      </c>
      <c r="C501" s="1033"/>
      <c r="D501" s="1033"/>
      <c r="E501" s="1033"/>
      <c r="F501" s="1033"/>
      <c r="G501" s="1033"/>
      <c r="H501" s="1033"/>
      <c r="I501" s="1033"/>
      <c r="J501" s="1033"/>
      <c r="K501" s="1033"/>
      <c r="L501" s="90"/>
      <c r="M501" s="51"/>
      <c r="N501" s="113">
        <f t="shared" si="52"/>
        <v>6277</v>
      </c>
      <c r="O501" s="575">
        <v>0</v>
      </c>
      <c r="P501" s="582">
        <v>0</v>
      </c>
      <c r="Q501" s="589"/>
      <c r="R501" s="576"/>
      <c r="S501" s="583">
        <f t="shared" si="54"/>
        <v>0</v>
      </c>
      <c r="T501" s="580">
        <f t="shared" si="53"/>
        <v>0</v>
      </c>
      <c r="U501" s="51"/>
      <c r="V501" s="2119"/>
      <c r="W501" s="43"/>
      <c r="X501" s="43"/>
      <c r="Y501" s="43"/>
      <c r="Z501" s="43"/>
    </row>
    <row r="502" spans="1:26" ht="15.75" customHeight="1">
      <c r="A502" s="88">
        <v>6278</v>
      </c>
      <c r="B502" s="1033" t="s">
        <v>578</v>
      </c>
      <c r="C502" s="1033"/>
      <c r="D502" s="1033"/>
      <c r="E502" s="1033"/>
      <c r="F502" s="1033"/>
      <c r="G502" s="1033"/>
      <c r="H502" s="1033"/>
      <c r="I502" s="1033"/>
      <c r="J502" s="1033"/>
      <c r="K502" s="1033"/>
      <c r="L502" s="90"/>
      <c r="M502" s="51"/>
      <c r="N502" s="113">
        <f t="shared" si="52"/>
        <v>6278</v>
      </c>
      <c r="O502" s="575">
        <v>0</v>
      </c>
      <c r="P502" s="582">
        <v>0</v>
      </c>
      <c r="Q502" s="589"/>
      <c r="R502" s="576"/>
      <c r="S502" s="583">
        <f t="shared" si="54"/>
        <v>0</v>
      </c>
      <c r="T502" s="580">
        <f t="shared" si="53"/>
        <v>0</v>
      </c>
      <c r="U502" s="51"/>
      <c r="V502" s="2119"/>
      <c r="W502" s="43"/>
      <c r="X502" s="43"/>
      <c r="Y502" s="43"/>
      <c r="Z502" s="43"/>
    </row>
    <row r="503" spans="1:26">
      <c r="A503" s="88">
        <v>6279</v>
      </c>
      <c r="B503" s="1033" t="s">
        <v>517</v>
      </c>
      <c r="C503" s="1033"/>
      <c r="D503" s="1033"/>
      <c r="E503" s="1033"/>
      <c r="F503" s="1033"/>
      <c r="G503" s="1033"/>
      <c r="H503" s="1033"/>
      <c r="I503" s="1033"/>
      <c r="J503" s="1033"/>
      <c r="K503" s="1033"/>
      <c r="L503" s="90"/>
      <c r="M503" s="51"/>
      <c r="N503" s="113">
        <f t="shared" si="52"/>
        <v>6279</v>
      </c>
      <c r="O503" s="575">
        <v>0</v>
      </c>
      <c r="P503" s="582">
        <v>0</v>
      </c>
      <c r="Q503" s="589"/>
      <c r="R503" s="576"/>
      <c r="S503" s="583">
        <f t="shared" si="54"/>
        <v>0</v>
      </c>
      <c r="T503" s="580">
        <f t="shared" si="53"/>
        <v>0</v>
      </c>
      <c r="U503" s="51"/>
      <c r="V503" s="2119"/>
      <c r="W503" s="43"/>
      <c r="X503" s="43"/>
      <c r="Y503" s="43"/>
      <c r="Z503" s="43"/>
    </row>
    <row r="504" spans="1:26">
      <c r="A504" s="88">
        <v>6281</v>
      </c>
      <c r="B504" s="1033" t="s">
        <v>560</v>
      </c>
      <c r="C504" s="1033"/>
      <c r="D504" s="1033"/>
      <c r="E504" s="1033"/>
      <c r="F504" s="1033"/>
      <c r="G504" s="1033"/>
      <c r="H504" s="1033"/>
      <c r="I504" s="1033"/>
      <c r="J504" s="1033"/>
      <c r="K504" s="1033"/>
      <c r="L504" s="90"/>
      <c r="M504" s="51"/>
      <c r="N504" s="113">
        <f t="shared" si="52"/>
        <v>6281</v>
      </c>
      <c r="O504" s="575">
        <v>0</v>
      </c>
      <c r="P504" s="582">
        <v>0</v>
      </c>
      <c r="Q504" s="589"/>
      <c r="R504" s="576"/>
      <c r="S504" s="583">
        <f t="shared" si="54"/>
        <v>0</v>
      </c>
      <c r="T504" s="580">
        <f t="shared" si="53"/>
        <v>0</v>
      </c>
      <c r="U504" s="51"/>
      <c r="V504" s="2119"/>
      <c r="W504" s="43"/>
      <c r="X504" s="43"/>
      <c r="Y504" s="43"/>
      <c r="Z504" s="43"/>
    </row>
    <row r="505" spans="1:26">
      <c r="A505" s="88">
        <v>6282</v>
      </c>
      <c r="B505" s="1033" t="s">
        <v>561</v>
      </c>
      <c r="C505" s="1033"/>
      <c r="D505" s="1033"/>
      <c r="E505" s="1033"/>
      <c r="F505" s="1033"/>
      <c r="G505" s="1033"/>
      <c r="H505" s="1033"/>
      <c r="I505" s="1033"/>
      <c r="J505" s="1033"/>
      <c r="K505" s="1033"/>
      <c r="L505" s="90"/>
      <c r="M505" s="51"/>
      <c r="N505" s="113">
        <f t="shared" si="52"/>
        <v>6282</v>
      </c>
      <c r="O505" s="575">
        <v>0</v>
      </c>
      <c r="P505" s="582">
        <v>0</v>
      </c>
      <c r="Q505" s="589"/>
      <c r="R505" s="576"/>
      <c r="S505" s="583">
        <f t="shared" si="54"/>
        <v>0</v>
      </c>
      <c r="T505" s="580">
        <f t="shared" si="53"/>
        <v>0</v>
      </c>
      <c r="U505" s="51"/>
      <c r="V505" s="2119"/>
      <c r="W505" s="43"/>
      <c r="X505" s="43"/>
      <c r="Y505" s="43"/>
      <c r="Z505" s="43"/>
    </row>
    <row r="506" spans="1:26">
      <c r="A506" s="88">
        <v>6291</v>
      </c>
      <c r="B506" s="1033" t="s">
        <v>562</v>
      </c>
      <c r="C506" s="1033"/>
      <c r="D506" s="1033"/>
      <c r="E506" s="1033"/>
      <c r="F506" s="1033"/>
      <c r="G506" s="1033"/>
      <c r="H506" s="1033"/>
      <c r="I506" s="1033"/>
      <c r="J506" s="1033"/>
      <c r="K506" s="1033"/>
      <c r="L506" s="90"/>
      <c r="M506" s="51"/>
      <c r="N506" s="113">
        <f t="shared" si="52"/>
        <v>6291</v>
      </c>
      <c r="O506" s="575">
        <v>0</v>
      </c>
      <c r="P506" s="582">
        <v>0</v>
      </c>
      <c r="Q506" s="589"/>
      <c r="R506" s="576"/>
      <c r="S506" s="583">
        <f t="shared" si="54"/>
        <v>0</v>
      </c>
      <c r="T506" s="580">
        <f t="shared" si="53"/>
        <v>0</v>
      </c>
      <c r="U506" s="51"/>
      <c r="V506" s="2119"/>
      <c r="W506" s="43"/>
      <c r="X506" s="43"/>
      <c r="Y506" s="43"/>
      <c r="Z506" s="43"/>
    </row>
    <row r="507" spans="1:26">
      <c r="A507" s="88">
        <v>6292</v>
      </c>
      <c r="B507" s="1033" t="s">
        <v>563</v>
      </c>
      <c r="C507" s="1033"/>
      <c r="D507" s="1033"/>
      <c r="E507" s="1033"/>
      <c r="F507" s="1033"/>
      <c r="G507" s="1033"/>
      <c r="H507" s="1033"/>
      <c r="I507" s="1033"/>
      <c r="J507" s="1033"/>
      <c r="K507" s="1033"/>
      <c r="L507" s="90"/>
      <c r="M507" s="51"/>
      <c r="N507" s="113">
        <f t="shared" si="52"/>
        <v>6292</v>
      </c>
      <c r="O507" s="575">
        <v>0</v>
      </c>
      <c r="P507" s="582">
        <v>0</v>
      </c>
      <c r="Q507" s="589"/>
      <c r="R507" s="576"/>
      <c r="S507" s="583">
        <f t="shared" si="54"/>
        <v>0</v>
      </c>
      <c r="T507" s="580">
        <f t="shared" si="53"/>
        <v>0</v>
      </c>
      <c r="U507" s="51"/>
      <c r="V507" s="2119"/>
      <c r="W507" s="43"/>
      <c r="X507" s="43"/>
      <c r="Y507" s="43"/>
      <c r="Z507" s="43"/>
    </row>
    <row r="508" spans="1:26" ht="15.75" customHeight="1">
      <c r="A508" s="88">
        <v>6298</v>
      </c>
      <c r="B508" s="1033" t="s">
        <v>579</v>
      </c>
      <c r="C508" s="1033"/>
      <c r="D508" s="1033"/>
      <c r="E508" s="1033"/>
      <c r="F508" s="1033"/>
      <c r="G508" s="1033"/>
      <c r="H508" s="1033"/>
      <c r="I508" s="1033"/>
      <c r="J508" s="1033"/>
      <c r="K508" s="1033"/>
      <c r="L508" s="90"/>
      <c r="M508" s="51"/>
      <c r="N508" s="113">
        <f t="shared" si="52"/>
        <v>6298</v>
      </c>
      <c r="O508" s="575">
        <v>0</v>
      </c>
      <c r="P508" s="582">
        <v>0</v>
      </c>
      <c r="Q508" s="589"/>
      <c r="R508" s="576"/>
      <c r="S508" s="583">
        <f t="shared" si="54"/>
        <v>0</v>
      </c>
      <c r="T508" s="580">
        <f t="shared" si="53"/>
        <v>0</v>
      </c>
      <c r="U508" s="51"/>
      <c r="V508" s="2119"/>
      <c r="W508" s="43"/>
      <c r="X508" s="43"/>
      <c r="Y508" s="43"/>
      <c r="Z508" s="43"/>
    </row>
    <row r="509" spans="1:26">
      <c r="A509" s="88">
        <v>6401</v>
      </c>
      <c r="B509" s="1033" t="s">
        <v>580</v>
      </c>
      <c r="C509" s="1033"/>
      <c r="D509" s="1033"/>
      <c r="E509" s="1033"/>
      <c r="F509" s="1033"/>
      <c r="G509" s="1033"/>
      <c r="H509" s="1033"/>
      <c r="I509" s="1033"/>
      <c r="J509" s="1033"/>
      <c r="K509" s="1033"/>
      <c r="L509" s="90"/>
      <c r="M509" s="51"/>
      <c r="N509" s="113">
        <f t="shared" si="52"/>
        <v>6401</v>
      </c>
      <c r="O509" s="575">
        <v>0</v>
      </c>
      <c r="P509" s="582">
        <v>0</v>
      </c>
      <c r="Q509" s="589"/>
      <c r="R509" s="576"/>
      <c r="S509" s="583">
        <f t="shared" si="54"/>
        <v>0</v>
      </c>
      <c r="T509" s="580">
        <f t="shared" si="53"/>
        <v>0</v>
      </c>
      <c r="U509" s="51"/>
      <c r="V509" s="2119"/>
      <c r="W509" s="43"/>
      <c r="X509" s="43"/>
      <c r="Y509" s="43"/>
      <c r="Z509" s="43"/>
    </row>
    <row r="510" spans="1:26">
      <c r="A510" s="88">
        <v>6402</v>
      </c>
      <c r="B510" s="1033" t="s">
        <v>581</v>
      </c>
      <c r="C510" s="1033"/>
      <c r="D510" s="1033"/>
      <c r="E510" s="1033"/>
      <c r="F510" s="1033"/>
      <c r="G510" s="1033"/>
      <c r="H510" s="1033"/>
      <c r="I510" s="1033"/>
      <c r="J510" s="1033"/>
      <c r="K510" s="1033"/>
      <c r="L510" s="90"/>
      <c r="M510" s="51"/>
      <c r="N510" s="113">
        <f t="shared" si="52"/>
        <v>6402</v>
      </c>
      <c r="O510" s="575">
        <v>0</v>
      </c>
      <c r="P510" s="582">
        <v>0</v>
      </c>
      <c r="Q510" s="589"/>
      <c r="R510" s="576"/>
      <c r="S510" s="583">
        <f t="shared" si="54"/>
        <v>0</v>
      </c>
      <c r="T510" s="580">
        <f t="shared" si="53"/>
        <v>0</v>
      </c>
      <c r="U510" s="51"/>
      <c r="V510" s="2119"/>
      <c r="W510" s="43"/>
      <c r="X510" s="43"/>
      <c r="Y510" s="43"/>
      <c r="Z510" s="43"/>
    </row>
    <row r="511" spans="1:26">
      <c r="A511" s="88">
        <v>6411</v>
      </c>
      <c r="B511" s="1033" t="s">
        <v>582</v>
      </c>
      <c r="C511" s="1033"/>
      <c r="D511" s="1033"/>
      <c r="E511" s="1033"/>
      <c r="F511" s="1033"/>
      <c r="G511" s="1033"/>
      <c r="H511" s="1033"/>
      <c r="I511" s="1033"/>
      <c r="J511" s="1033"/>
      <c r="K511" s="1033"/>
      <c r="L511" s="90"/>
      <c r="M511" s="51"/>
      <c r="N511" s="113">
        <f t="shared" si="52"/>
        <v>6411</v>
      </c>
      <c r="O511" s="575">
        <v>0</v>
      </c>
      <c r="P511" s="582">
        <v>0</v>
      </c>
      <c r="Q511" s="589">
        <v>0</v>
      </c>
      <c r="R511" s="576">
        <v>0</v>
      </c>
      <c r="S511" s="583">
        <f t="shared" si="54"/>
        <v>0</v>
      </c>
      <c r="T511" s="580">
        <f t="shared" si="53"/>
        <v>0</v>
      </c>
      <c r="U511" s="51"/>
      <c r="V511" s="2119"/>
      <c r="W511" s="43"/>
      <c r="X511" s="43"/>
      <c r="Y511" s="43"/>
      <c r="Z511" s="43"/>
    </row>
    <row r="512" spans="1:26">
      <c r="A512" s="88">
        <v>6412</v>
      </c>
      <c r="B512" s="1033" t="s">
        <v>583</v>
      </c>
      <c r="C512" s="1033"/>
      <c r="D512" s="1033"/>
      <c r="E512" s="1033"/>
      <c r="F512" s="1033"/>
      <c r="G512" s="1033"/>
      <c r="H512" s="1033"/>
      <c r="I512" s="1033"/>
      <c r="J512" s="1033"/>
      <c r="K512" s="1033"/>
      <c r="L512" s="90"/>
      <c r="M512" s="51"/>
      <c r="N512" s="113">
        <f t="shared" ref="N512:N575" si="55">+A512</f>
        <v>6412</v>
      </c>
      <c r="O512" s="575">
        <v>0</v>
      </c>
      <c r="P512" s="582">
        <v>0</v>
      </c>
      <c r="Q512" s="589"/>
      <c r="R512" s="576"/>
      <c r="S512" s="583">
        <f t="shared" si="54"/>
        <v>0</v>
      </c>
      <c r="T512" s="580">
        <f t="shared" si="53"/>
        <v>0</v>
      </c>
      <c r="U512" s="51"/>
      <c r="V512" s="2119"/>
      <c r="W512" s="43"/>
      <c r="X512" s="43"/>
      <c r="Y512" s="43"/>
      <c r="Z512" s="43"/>
    </row>
    <row r="513" spans="1:26">
      <c r="A513" s="88">
        <v>6421</v>
      </c>
      <c r="B513" s="378" t="s">
        <v>584</v>
      </c>
      <c r="C513" s="1033"/>
      <c r="D513" s="1033"/>
      <c r="E513" s="1033"/>
      <c r="F513" s="1033"/>
      <c r="G513" s="1033"/>
      <c r="H513" s="1033"/>
      <c r="I513" s="1033"/>
      <c r="J513" s="1033"/>
      <c r="K513" s="1033"/>
      <c r="L513" s="90"/>
      <c r="M513" s="51"/>
      <c r="N513" s="113">
        <f t="shared" si="55"/>
        <v>6421</v>
      </c>
      <c r="O513" s="575">
        <v>0</v>
      </c>
      <c r="P513" s="582">
        <v>0</v>
      </c>
      <c r="Q513" s="589"/>
      <c r="R513" s="576"/>
      <c r="S513" s="583">
        <f t="shared" si="54"/>
        <v>0</v>
      </c>
      <c r="T513" s="580">
        <f t="shared" si="53"/>
        <v>0</v>
      </c>
      <c r="U513" s="51"/>
      <c r="V513" s="2119"/>
      <c r="W513" s="43"/>
      <c r="X513" s="43"/>
      <c r="Y513" s="43"/>
      <c r="Z513" s="43"/>
    </row>
    <row r="514" spans="1:26">
      <c r="A514" s="88">
        <v>6422</v>
      </c>
      <c r="B514" s="378" t="s">
        <v>585</v>
      </c>
      <c r="C514" s="1033"/>
      <c r="D514" s="1033"/>
      <c r="E514" s="1033"/>
      <c r="F514" s="1033"/>
      <c r="G514" s="1033"/>
      <c r="H514" s="1033"/>
      <c r="I514" s="1033"/>
      <c r="J514" s="1033"/>
      <c r="K514" s="1033"/>
      <c r="L514" s="90"/>
      <c r="M514" s="51"/>
      <c r="N514" s="113">
        <f t="shared" si="55"/>
        <v>6422</v>
      </c>
      <c r="O514" s="575">
        <v>0</v>
      </c>
      <c r="P514" s="582">
        <v>0</v>
      </c>
      <c r="Q514" s="589"/>
      <c r="R514" s="576"/>
      <c r="S514" s="583">
        <f t="shared" si="54"/>
        <v>0</v>
      </c>
      <c r="T514" s="580">
        <f t="shared" si="53"/>
        <v>0</v>
      </c>
      <c r="U514" s="51"/>
      <c r="V514" s="2119"/>
      <c r="W514" s="43"/>
      <c r="X514" s="43"/>
      <c r="Y514" s="43"/>
      <c r="Z514" s="43"/>
    </row>
    <row r="515" spans="1:26">
      <c r="A515" s="88">
        <v>6423</v>
      </c>
      <c r="B515" s="378" t="s">
        <v>586</v>
      </c>
      <c r="C515" s="1033"/>
      <c r="D515" s="1033"/>
      <c r="E515" s="1033"/>
      <c r="F515" s="1033"/>
      <c r="G515" s="1033"/>
      <c r="H515" s="1033"/>
      <c r="I515" s="1033"/>
      <c r="J515" s="1033"/>
      <c r="K515" s="1033"/>
      <c r="L515" s="90"/>
      <c r="M515" s="51"/>
      <c r="N515" s="113">
        <f t="shared" si="55"/>
        <v>6423</v>
      </c>
      <c r="O515" s="575">
        <v>0</v>
      </c>
      <c r="P515" s="582">
        <v>0</v>
      </c>
      <c r="Q515" s="589"/>
      <c r="R515" s="576"/>
      <c r="S515" s="583">
        <f t="shared" si="54"/>
        <v>0</v>
      </c>
      <c r="T515" s="580">
        <f t="shared" si="53"/>
        <v>0</v>
      </c>
      <c r="U515" s="51"/>
      <c r="V515" s="2119"/>
      <c r="W515" s="43"/>
      <c r="X515" s="43"/>
      <c r="Y515" s="43"/>
      <c r="Z515" s="43"/>
    </row>
    <row r="516" spans="1:26">
      <c r="A516" s="88">
        <v>6424</v>
      </c>
      <c r="B516" s="378" t="s">
        <v>587</v>
      </c>
      <c r="C516" s="1033"/>
      <c r="D516" s="1033"/>
      <c r="E516" s="1033"/>
      <c r="F516" s="1033"/>
      <c r="G516" s="1033"/>
      <c r="H516" s="1033"/>
      <c r="I516" s="1033"/>
      <c r="J516" s="1033"/>
      <c r="K516" s="1033"/>
      <c r="L516" s="90"/>
      <c r="M516" s="51"/>
      <c r="N516" s="113">
        <f t="shared" si="55"/>
        <v>6424</v>
      </c>
      <c r="O516" s="575">
        <v>0</v>
      </c>
      <c r="P516" s="582">
        <v>0</v>
      </c>
      <c r="Q516" s="589"/>
      <c r="R516" s="576"/>
      <c r="S516" s="583">
        <f t="shared" si="54"/>
        <v>0</v>
      </c>
      <c r="T516" s="580">
        <f t="shared" si="53"/>
        <v>0</v>
      </c>
      <c r="U516" s="51"/>
      <c r="V516" s="2119"/>
      <c r="W516" s="43"/>
      <c r="X516" s="43"/>
      <c r="Y516" s="43"/>
      <c r="Z516" s="43"/>
    </row>
    <row r="517" spans="1:26">
      <c r="A517" s="88">
        <v>6425</v>
      </c>
      <c r="B517" s="378" t="s">
        <v>588</v>
      </c>
      <c r="C517" s="1033"/>
      <c r="D517" s="1033"/>
      <c r="E517" s="1033"/>
      <c r="F517" s="1033"/>
      <c r="G517" s="1033"/>
      <c r="H517" s="1033"/>
      <c r="I517" s="1033"/>
      <c r="J517" s="1033"/>
      <c r="K517" s="1033"/>
      <c r="L517" s="90"/>
      <c r="M517" s="51"/>
      <c r="N517" s="113">
        <f t="shared" si="55"/>
        <v>6425</v>
      </c>
      <c r="O517" s="575">
        <v>0</v>
      </c>
      <c r="P517" s="582">
        <v>0</v>
      </c>
      <c r="Q517" s="589"/>
      <c r="R517" s="576"/>
      <c r="S517" s="583">
        <f t="shared" si="54"/>
        <v>0</v>
      </c>
      <c r="T517" s="580">
        <f t="shared" si="53"/>
        <v>0</v>
      </c>
      <c r="U517" s="51"/>
      <c r="V517" s="2119"/>
      <c r="W517" s="43"/>
      <c r="X517" s="43"/>
      <c r="Y517" s="43"/>
      <c r="Z517" s="43"/>
    </row>
    <row r="518" spans="1:26">
      <c r="A518" s="88">
        <v>6426</v>
      </c>
      <c r="B518" s="378" t="s">
        <v>589</v>
      </c>
      <c r="C518" s="1033"/>
      <c r="D518" s="1033"/>
      <c r="E518" s="1033"/>
      <c r="F518" s="1033"/>
      <c r="G518" s="1033"/>
      <c r="H518" s="1033"/>
      <c r="I518" s="1033"/>
      <c r="J518" s="1033"/>
      <c r="K518" s="1033"/>
      <c r="L518" s="90"/>
      <c r="M518" s="51"/>
      <c r="N518" s="113">
        <f t="shared" si="55"/>
        <v>6426</v>
      </c>
      <c r="O518" s="575">
        <v>0</v>
      </c>
      <c r="P518" s="582">
        <v>0</v>
      </c>
      <c r="Q518" s="589"/>
      <c r="R518" s="576"/>
      <c r="S518" s="583">
        <f t="shared" si="54"/>
        <v>0</v>
      </c>
      <c r="T518" s="580">
        <f t="shared" si="53"/>
        <v>0</v>
      </c>
      <c r="U518" s="51"/>
      <c r="V518" s="2119"/>
      <c r="W518" s="43"/>
      <c r="X518" s="43"/>
      <c r="Y518" s="43"/>
      <c r="Z518" s="43"/>
    </row>
    <row r="519" spans="1:26">
      <c r="A519" s="88">
        <v>6427</v>
      </c>
      <c r="B519" s="378" t="s">
        <v>598</v>
      </c>
      <c r="C519" s="1033"/>
      <c r="D519" s="1033"/>
      <c r="E519" s="1033"/>
      <c r="F519" s="1033"/>
      <c r="G519" s="1033"/>
      <c r="H519" s="1033"/>
      <c r="I519" s="1033"/>
      <c r="J519" s="1033"/>
      <c r="K519" s="1033"/>
      <c r="L519" s="90"/>
      <c r="M519" s="51"/>
      <c r="N519" s="113">
        <f t="shared" si="55"/>
        <v>6427</v>
      </c>
      <c r="O519" s="575">
        <v>0</v>
      </c>
      <c r="P519" s="582">
        <v>0</v>
      </c>
      <c r="Q519" s="589"/>
      <c r="R519" s="576"/>
      <c r="S519" s="583">
        <f t="shared" si="54"/>
        <v>0</v>
      </c>
      <c r="T519" s="580">
        <f t="shared" si="53"/>
        <v>0</v>
      </c>
      <c r="U519" s="51"/>
      <c r="V519" s="2119"/>
      <c r="W519" s="43"/>
      <c r="X519" s="43"/>
      <c r="Y519" s="43"/>
      <c r="Z519" s="43"/>
    </row>
    <row r="520" spans="1:26">
      <c r="A520" s="88">
        <v>6428</v>
      </c>
      <c r="B520" s="378" t="s">
        <v>599</v>
      </c>
      <c r="C520" s="1033"/>
      <c r="D520" s="1033"/>
      <c r="E520" s="1033"/>
      <c r="F520" s="1033"/>
      <c r="G520" s="1033"/>
      <c r="H520" s="1033"/>
      <c r="I520" s="1033"/>
      <c r="J520" s="1033"/>
      <c r="K520" s="1033"/>
      <c r="L520" s="90"/>
      <c r="M520" s="51"/>
      <c r="N520" s="113">
        <f t="shared" si="55"/>
        <v>6428</v>
      </c>
      <c r="O520" s="575">
        <v>0</v>
      </c>
      <c r="P520" s="582">
        <v>0</v>
      </c>
      <c r="Q520" s="589"/>
      <c r="R520" s="576"/>
      <c r="S520" s="583">
        <f t="shared" si="54"/>
        <v>0</v>
      </c>
      <c r="T520" s="580">
        <f t="shared" si="53"/>
        <v>0</v>
      </c>
      <c r="U520" s="51"/>
      <c r="V520" s="2119"/>
      <c r="W520" s="43"/>
      <c r="X520" s="43"/>
      <c r="Y520" s="43"/>
      <c r="Z520" s="43"/>
    </row>
    <row r="521" spans="1:26">
      <c r="A521" s="88">
        <v>6430</v>
      </c>
      <c r="B521" s="1033" t="s">
        <v>899</v>
      </c>
      <c r="C521" s="1033"/>
      <c r="D521" s="1033"/>
      <c r="E521" s="1033"/>
      <c r="F521" s="1033"/>
      <c r="G521" s="1033"/>
      <c r="H521" s="1033"/>
      <c r="I521" s="1033"/>
      <c r="J521" s="1033"/>
      <c r="K521" s="1033"/>
      <c r="L521" s="90"/>
      <c r="M521" s="51"/>
      <c r="N521" s="113">
        <f t="shared" si="55"/>
        <v>6430</v>
      </c>
      <c r="O521" s="575">
        <v>0</v>
      </c>
      <c r="P521" s="582">
        <v>0</v>
      </c>
      <c r="Q521" s="589"/>
      <c r="R521" s="576"/>
      <c r="S521" s="583">
        <f t="shared" si="54"/>
        <v>0</v>
      </c>
      <c r="T521" s="580">
        <f t="shared" si="53"/>
        <v>0</v>
      </c>
      <c r="U521" s="51"/>
      <c r="V521" s="2119"/>
      <c r="W521" s="43"/>
      <c r="X521" s="43"/>
      <c r="Y521" s="43"/>
      <c r="Z521" s="43"/>
    </row>
    <row r="522" spans="1:26" ht="15.75" customHeight="1">
      <c r="A522" s="88">
        <v>6437</v>
      </c>
      <c r="B522" s="1033" t="s">
        <v>600</v>
      </c>
      <c r="C522" s="1033"/>
      <c r="D522" s="1033"/>
      <c r="E522" s="1033"/>
      <c r="F522" s="1033"/>
      <c r="G522" s="1033"/>
      <c r="H522" s="1033"/>
      <c r="I522" s="1033"/>
      <c r="J522" s="1033"/>
      <c r="K522" s="1033"/>
      <c r="L522" s="90"/>
      <c r="M522" s="51"/>
      <c r="N522" s="113">
        <f t="shared" si="55"/>
        <v>6437</v>
      </c>
      <c r="O522" s="575">
        <v>0</v>
      </c>
      <c r="P522" s="582">
        <v>0</v>
      </c>
      <c r="Q522" s="589"/>
      <c r="R522" s="576"/>
      <c r="S522" s="583">
        <f t="shared" si="54"/>
        <v>0</v>
      </c>
      <c r="T522" s="580">
        <f t="shared" si="53"/>
        <v>0</v>
      </c>
      <c r="U522" s="51"/>
      <c r="V522" s="2119"/>
      <c r="W522" s="43"/>
      <c r="X522" s="43"/>
      <c r="Y522" s="43"/>
      <c r="Z522" s="43"/>
    </row>
    <row r="523" spans="1:26" ht="15.75" customHeight="1">
      <c r="A523" s="88">
        <v>6438</v>
      </c>
      <c r="B523" s="1033" t="s">
        <v>601</v>
      </c>
      <c r="C523" s="1033"/>
      <c r="D523" s="1033"/>
      <c r="E523" s="1033"/>
      <c r="F523" s="1033"/>
      <c r="G523" s="1033"/>
      <c r="H523" s="1033"/>
      <c r="I523" s="1033"/>
      <c r="J523" s="1033"/>
      <c r="K523" s="1033"/>
      <c r="L523" s="90"/>
      <c r="M523" s="51"/>
      <c r="N523" s="113">
        <f t="shared" si="55"/>
        <v>6438</v>
      </c>
      <c r="O523" s="575">
        <v>0</v>
      </c>
      <c r="P523" s="582">
        <v>0</v>
      </c>
      <c r="Q523" s="589"/>
      <c r="R523" s="576"/>
      <c r="S523" s="583">
        <f t="shared" si="54"/>
        <v>0</v>
      </c>
      <c r="T523" s="580">
        <f t="shared" si="53"/>
        <v>0</v>
      </c>
      <c r="U523" s="51"/>
      <c r="V523" s="2119"/>
      <c r="W523" s="43"/>
      <c r="X523" s="43"/>
      <c r="Y523" s="43"/>
      <c r="Z523" s="43"/>
    </row>
    <row r="524" spans="1:26" ht="15.75" customHeight="1">
      <c r="A524" s="88">
        <v>6440</v>
      </c>
      <c r="B524" s="1033" t="s">
        <v>602</v>
      </c>
      <c r="C524" s="1033"/>
      <c r="D524" s="1033"/>
      <c r="E524" s="1033"/>
      <c r="F524" s="1033"/>
      <c r="G524" s="1033"/>
      <c r="H524" s="1033"/>
      <c r="I524" s="1033"/>
      <c r="J524" s="1033"/>
      <c r="K524" s="1033"/>
      <c r="L524" s="90"/>
      <c r="M524" s="51"/>
      <c r="N524" s="113">
        <f t="shared" si="55"/>
        <v>6440</v>
      </c>
      <c r="O524" s="575">
        <v>0</v>
      </c>
      <c r="P524" s="582">
        <v>0</v>
      </c>
      <c r="Q524" s="589"/>
      <c r="R524" s="576"/>
      <c r="S524" s="583">
        <f t="shared" si="54"/>
        <v>0</v>
      </c>
      <c r="T524" s="580">
        <f t="shared" si="53"/>
        <v>0</v>
      </c>
      <c r="U524" s="51"/>
      <c r="V524" s="2119"/>
      <c r="W524" s="43"/>
      <c r="X524" s="43"/>
      <c r="Y524" s="43"/>
      <c r="Z524" s="43"/>
    </row>
    <row r="525" spans="1:26">
      <c r="A525" s="606">
        <v>6441</v>
      </c>
      <c r="B525" s="378" t="s">
        <v>603</v>
      </c>
      <c r="C525" s="1033"/>
      <c r="D525" s="1033"/>
      <c r="E525" s="1033"/>
      <c r="F525" s="1033"/>
      <c r="G525" s="1033"/>
      <c r="H525" s="1033"/>
      <c r="I525" s="1033"/>
      <c r="J525" s="1033"/>
      <c r="K525" s="1033"/>
      <c r="L525" s="90"/>
      <c r="M525" s="51"/>
      <c r="N525" s="113">
        <f t="shared" si="55"/>
        <v>6441</v>
      </c>
      <c r="O525" s="575">
        <v>0</v>
      </c>
      <c r="P525" s="582">
        <v>0</v>
      </c>
      <c r="Q525" s="589">
        <v>0</v>
      </c>
      <c r="R525" s="576">
        <v>0</v>
      </c>
      <c r="S525" s="583">
        <f t="shared" si="54"/>
        <v>0</v>
      </c>
      <c r="T525" s="580">
        <f t="shared" si="53"/>
        <v>0</v>
      </c>
      <c r="U525" s="51"/>
      <c r="V525" s="2119"/>
      <c r="W525" s="43"/>
      <c r="X525" s="43"/>
      <c r="Y525" s="43"/>
      <c r="Z525" s="43"/>
    </row>
    <row r="526" spans="1:26">
      <c r="A526" s="606">
        <v>6442</v>
      </c>
      <c r="B526" s="378" t="s">
        <v>604</v>
      </c>
      <c r="C526" s="1033"/>
      <c r="D526" s="1033"/>
      <c r="E526" s="1033"/>
      <c r="F526" s="1033"/>
      <c r="G526" s="1033"/>
      <c r="H526" s="1033"/>
      <c r="I526" s="1033"/>
      <c r="J526" s="1033"/>
      <c r="K526" s="1033"/>
      <c r="L526" s="90"/>
      <c r="M526" s="51"/>
      <c r="N526" s="113">
        <f t="shared" si="55"/>
        <v>6442</v>
      </c>
      <c r="O526" s="575">
        <v>0</v>
      </c>
      <c r="P526" s="582">
        <v>0</v>
      </c>
      <c r="Q526" s="589"/>
      <c r="R526" s="576"/>
      <c r="S526" s="583">
        <f t="shared" si="54"/>
        <v>0</v>
      </c>
      <c r="T526" s="580">
        <f t="shared" si="53"/>
        <v>0</v>
      </c>
      <c r="U526" s="51"/>
      <c r="V526" s="2119"/>
      <c r="W526" s="43"/>
      <c r="X526" s="43"/>
      <c r="Y526" s="43"/>
      <c r="Z526" s="43"/>
    </row>
    <row r="527" spans="1:26">
      <c r="A527" s="606">
        <v>6443</v>
      </c>
      <c r="B527" s="378" t="s">
        <v>605</v>
      </c>
      <c r="C527" s="1033"/>
      <c r="D527" s="1033"/>
      <c r="E527" s="1033"/>
      <c r="F527" s="1033"/>
      <c r="G527" s="1033"/>
      <c r="H527" s="1033"/>
      <c r="I527" s="1033"/>
      <c r="J527" s="1033"/>
      <c r="K527" s="1033"/>
      <c r="L527" s="90"/>
      <c r="M527" s="51"/>
      <c r="N527" s="113">
        <f t="shared" si="55"/>
        <v>6443</v>
      </c>
      <c r="O527" s="575">
        <v>0</v>
      </c>
      <c r="P527" s="582">
        <v>0</v>
      </c>
      <c r="Q527" s="589"/>
      <c r="R527" s="576"/>
      <c r="S527" s="583">
        <f t="shared" si="54"/>
        <v>0</v>
      </c>
      <c r="T527" s="580">
        <f t="shared" si="53"/>
        <v>0</v>
      </c>
      <c r="U527" s="51"/>
      <c r="V527" s="2119"/>
      <c r="W527" s="43"/>
      <c r="X527" s="43"/>
      <c r="Y527" s="43"/>
      <c r="Z527" s="43"/>
    </row>
    <row r="528" spans="1:26">
      <c r="A528" s="606">
        <v>6444</v>
      </c>
      <c r="B528" s="378" t="s">
        <v>606</v>
      </c>
      <c r="C528" s="1033"/>
      <c r="D528" s="1033"/>
      <c r="E528" s="1033"/>
      <c r="F528" s="1033"/>
      <c r="G528" s="1033"/>
      <c r="H528" s="1033"/>
      <c r="I528" s="1033"/>
      <c r="J528" s="1033"/>
      <c r="K528" s="1033"/>
      <c r="L528" s="90"/>
      <c r="M528" s="51"/>
      <c r="N528" s="113">
        <f t="shared" si="55"/>
        <v>6444</v>
      </c>
      <c r="O528" s="575">
        <v>0</v>
      </c>
      <c r="P528" s="582">
        <v>0</v>
      </c>
      <c r="Q528" s="589"/>
      <c r="R528" s="576"/>
      <c r="S528" s="583">
        <f t="shared" si="54"/>
        <v>0</v>
      </c>
      <c r="T528" s="580">
        <f t="shared" si="53"/>
        <v>0</v>
      </c>
      <c r="U528" s="51"/>
      <c r="V528" s="2119"/>
      <c r="W528" s="43"/>
      <c r="X528" s="43"/>
      <c r="Y528" s="43"/>
      <c r="Z528" s="43"/>
    </row>
    <row r="529" spans="1:26">
      <c r="A529" s="606">
        <v>6445</v>
      </c>
      <c r="B529" s="378" t="s">
        <v>607</v>
      </c>
      <c r="C529" s="1033"/>
      <c r="D529" s="1033"/>
      <c r="E529" s="1033"/>
      <c r="F529" s="1033"/>
      <c r="G529" s="1033"/>
      <c r="H529" s="1033"/>
      <c r="I529" s="1033"/>
      <c r="J529" s="1033"/>
      <c r="K529" s="1033"/>
      <c r="L529" s="90"/>
      <c r="M529" s="51"/>
      <c r="N529" s="113">
        <f t="shared" si="55"/>
        <v>6445</v>
      </c>
      <c r="O529" s="575">
        <v>0</v>
      </c>
      <c r="P529" s="582">
        <v>0</v>
      </c>
      <c r="Q529" s="589"/>
      <c r="R529" s="576"/>
      <c r="S529" s="583">
        <f t="shared" si="54"/>
        <v>0</v>
      </c>
      <c r="T529" s="580">
        <f t="shared" si="53"/>
        <v>0</v>
      </c>
      <c r="U529" s="51"/>
      <c r="V529" s="2119"/>
      <c r="W529" s="43"/>
      <c r="X529" s="43"/>
      <c r="Y529" s="43"/>
      <c r="Z529" s="43"/>
    </row>
    <row r="530" spans="1:26">
      <c r="A530" s="606">
        <v>6446</v>
      </c>
      <c r="B530" s="378" t="s">
        <v>608</v>
      </c>
      <c r="C530" s="1033"/>
      <c r="D530" s="1033"/>
      <c r="E530" s="1033"/>
      <c r="F530" s="1033"/>
      <c r="G530" s="1033"/>
      <c r="H530" s="1033"/>
      <c r="I530" s="1033"/>
      <c r="J530" s="1033"/>
      <c r="K530" s="1033"/>
      <c r="L530" s="90"/>
      <c r="M530" s="51"/>
      <c r="N530" s="113">
        <f t="shared" si="55"/>
        <v>6446</v>
      </c>
      <c r="O530" s="575">
        <v>0</v>
      </c>
      <c r="P530" s="582">
        <v>0</v>
      </c>
      <c r="Q530" s="589"/>
      <c r="R530" s="576"/>
      <c r="S530" s="583">
        <f t="shared" si="54"/>
        <v>0</v>
      </c>
      <c r="T530" s="580">
        <f t="shared" si="53"/>
        <v>0</v>
      </c>
      <c r="U530" s="51"/>
      <c r="V530" s="2119"/>
      <c r="W530" s="43"/>
      <c r="X530" s="43"/>
      <c r="Y530" s="43"/>
      <c r="Z530" s="43"/>
    </row>
    <row r="531" spans="1:26">
      <c r="A531" s="606">
        <v>6447</v>
      </c>
      <c r="B531" s="378" t="s">
        <v>609</v>
      </c>
      <c r="C531" s="1033"/>
      <c r="D531" s="1033"/>
      <c r="E531" s="1033"/>
      <c r="F531" s="1033"/>
      <c r="G531" s="1033"/>
      <c r="H531" s="1033"/>
      <c r="I531" s="1033"/>
      <c r="J531" s="1033"/>
      <c r="K531" s="1033"/>
      <c r="L531" s="90"/>
      <c r="M531" s="51"/>
      <c r="N531" s="113">
        <f t="shared" si="55"/>
        <v>6447</v>
      </c>
      <c r="O531" s="575">
        <v>0</v>
      </c>
      <c r="P531" s="582">
        <v>0</v>
      </c>
      <c r="Q531" s="589"/>
      <c r="R531" s="576"/>
      <c r="S531" s="583">
        <f t="shared" si="54"/>
        <v>0</v>
      </c>
      <c r="T531" s="580">
        <f t="shared" si="53"/>
        <v>0</v>
      </c>
      <c r="U531" s="51"/>
      <c r="V531" s="2119"/>
      <c r="W531" s="43"/>
      <c r="X531" s="43"/>
      <c r="Y531" s="43"/>
      <c r="Z531" s="43"/>
    </row>
    <row r="532" spans="1:26">
      <c r="A532" s="606">
        <v>6448</v>
      </c>
      <c r="B532" s="378" t="s">
        <v>610</v>
      </c>
      <c r="C532" s="1033"/>
      <c r="D532" s="1033"/>
      <c r="E532" s="1033"/>
      <c r="F532" s="1033"/>
      <c r="G532" s="1033"/>
      <c r="H532" s="1033"/>
      <c r="I532" s="1033"/>
      <c r="J532" s="1033"/>
      <c r="K532" s="1033"/>
      <c r="L532" s="90"/>
      <c r="M532" s="51"/>
      <c r="N532" s="113">
        <f t="shared" si="55"/>
        <v>6448</v>
      </c>
      <c r="O532" s="575">
        <v>0</v>
      </c>
      <c r="P532" s="582">
        <v>0</v>
      </c>
      <c r="Q532" s="589"/>
      <c r="R532" s="576"/>
      <c r="S532" s="583">
        <f t="shared" si="54"/>
        <v>0</v>
      </c>
      <c r="T532" s="580">
        <f t="shared" si="53"/>
        <v>0</v>
      </c>
      <c r="U532" s="51"/>
      <c r="V532" s="2119"/>
      <c r="W532" s="43"/>
      <c r="X532" s="43"/>
      <c r="Y532" s="43"/>
      <c r="Z532" s="43"/>
    </row>
    <row r="533" spans="1:26" ht="15.75" customHeight="1">
      <c r="A533" s="606">
        <v>6449</v>
      </c>
      <c r="B533" s="378" t="s">
        <v>525</v>
      </c>
      <c r="C533" s="1033"/>
      <c r="D533" s="1033"/>
      <c r="E533" s="1033"/>
      <c r="F533" s="1033"/>
      <c r="G533" s="1033"/>
      <c r="H533" s="1033"/>
      <c r="I533" s="1033"/>
      <c r="J533" s="1033"/>
      <c r="K533" s="1033"/>
      <c r="L533" s="90"/>
      <c r="M533" s="51"/>
      <c r="N533" s="113">
        <f t="shared" si="55"/>
        <v>6449</v>
      </c>
      <c r="O533" s="575">
        <v>0</v>
      </c>
      <c r="P533" s="582">
        <v>0</v>
      </c>
      <c r="Q533" s="589"/>
      <c r="R533" s="576"/>
      <c r="S533" s="583">
        <f t="shared" si="54"/>
        <v>0</v>
      </c>
      <c r="T533" s="580">
        <f t="shared" si="53"/>
        <v>0</v>
      </c>
      <c r="U533" s="51"/>
      <c r="V533" s="2119"/>
      <c r="W533" s="43"/>
      <c r="X533" s="43"/>
      <c r="Y533" s="43"/>
      <c r="Z533" s="43"/>
    </row>
    <row r="534" spans="1:26">
      <c r="A534" s="88">
        <v>6451</v>
      </c>
      <c r="B534" s="378" t="s">
        <v>526</v>
      </c>
      <c r="C534" s="1033"/>
      <c r="D534" s="1033"/>
      <c r="E534" s="1033"/>
      <c r="F534" s="1033"/>
      <c r="G534" s="1033"/>
      <c r="H534" s="1033"/>
      <c r="I534" s="1033"/>
      <c r="J534" s="1033"/>
      <c r="K534" s="1033"/>
      <c r="L534" s="90"/>
      <c r="M534" s="51"/>
      <c r="N534" s="113">
        <f t="shared" si="55"/>
        <v>6451</v>
      </c>
      <c r="O534" s="575">
        <v>0</v>
      </c>
      <c r="P534" s="582">
        <v>0</v>
      </c>
      <c r="Q534" s="589">
        <v>0</v>
      </c>
      <c r="R534" s="576">
        <v>0</v>
      </c>
      <c r="S534" s="583">
        <f t="shared" si="54"/>
        <v>0</v>
      </c>
      <c r="T534" s="580">
        <f t="shared" si="53"/>
        <v>0</v>
      </c>
      <c r="U534" s="51"/>
      <c r="V534" s="2119"/>
      <c r="W534" s="43"/>
      <c r="X534" s="43"/>
      <c r="Y534" s="43"/>
      <c r="Z534" s="43"/>
    </row>
    <row r="535" spans="1:26">
      <c r="A535" s="88">
        <v>6453</v>
      </c>
      <c r="B535" s="1032" t="s">
        <v>527</v>
      </c>
      <c r="C535" s="1033"/>
      <c r="D535" s="1033"/>
      <c r="E535" s="1033"/>
      <c r="F535" s="1033"/>
      <c r="G535" s="1033"/>
      <c r="H535" s="1033"/>
      <c r="I535" s="1033"/>
      <c r="J535" s="1033"/>
      <c r="K535" s="1033"/>
      <c r="L535" s="90"/>
      <c r="M535" s="51"/>
      <c r="N535" s="113">
        <f t="shared" si="55"/>
        <v>6453</v>
      </c>
      <c r="O535" s="575">
        <v>0</v>
      </c>
      <c r="P535" s="582">
        <v>0</v>
      </c>
      <c r="Q535" s="589"/>
      <c r="R535" s="576"/>
      <c r="S535" s="583">
        <f t="shared" si="54"/>
        <v>0</v>
      </c>
      <c r="T535" s="580">
        <f t="shared" si="53"/>
        <v>0</v>
      </c>
      <c r="U535" s="51"/>
      <c r="V535" s="2119"/>
      <c r="W535" s="43"/>
      <c r="X535" s="43"/>
      <c r="Y535" s="43"/>
      <c r="Z535" s="43"/>
    </row>
    <row r="536" spans="1:26">
      <c r="A536" s="88">
        <v>6454</v>
      </c>
      <c r="B536" s="1032" t="s">
        <v>528</v>
      </c>
      <c r="C536" s="1033"/>
      <c r="D536" s="1033"/>
      <c r="E536" s="1033"/>
      <c r="F536" s="1033"/>
      <c r="G536" s="1033"/>
      <c r="H536" s="1033"/>
      <c r="I536" s="1033"/>
      <c r="J536" s="1033"/>
      <c r="K536" s="1033"/>
      <c r="L536" s="90"/>
      <c r="M536" s="51"/>
      <c r="N536" s="113">
        <f t="shared" si="55"/>
        <v>6454</v>
      </c>
      <c r="O536" s="575">
        <v>0</v>
      </c>
      <c r="P536" s="582">
        <v>0</v>
      </c>
      <c r="Q536" s="589"/>
      <c r="R536" s="576"/>
      <c r="S536" s="583">
        <f t="shared" si="54"/>
        <v>0</v>
      </c>
      <c r="T536" s="580">
        <f t="shared" si="53"/>
        <v>0</v>
      </c>
      <c r="U536" s="51"/>
      <c r="V536" s="2119"/>
      <c r="W536" s="43"/>
      <c r="X536" s="43"/>
      <c r="Y536" s="43"/>
      <c r="Z536" s="43"/>
    </row>
    <row r="537" spans="1:26">
      <c r="A537" s="88">
        <v>6455</v>
      </c>
      <c r="B537" s="1032" t="s">
        <v>529</v>
      </c>
      <c r="C537" s="1033"/>
      <c r="D537" s="1033"/>
      <c r="E537" s="1033"/>
      <c r="F537" s="1033"/>
      <c r="G537" s="1033"/>
      <c r="H537" s="1033"/>
      <c r="I537" s="1033"/>
      <c r="J537" s="1033"/>
      <c r="K537" s="1033"/>
      <c r="L537" s="90"/>
      <c r="M537" s="51"/>
      <c r="N537" s="113">
        <f t="shared" si="55"/>
        <v>6455</v>
      </c>
      <c r="O537" s="575">
        <v>0</v>
      </c>
      <c r="P537" s="582">
        <v>0</v>
      </c>
      <c r="Q537" s="589">
        <v>0</v>
      </c>
      <c r="R537" s="576">
        <v>0</v>
      </c>
      <c r="S537" s="583">
        <f t="shared" si="54"/>
        <v>0</v>
      </c>
      <c r="T537" s="580">
        <f t="shared" si="53"/>
        <v>0</v>
      </c>
      <c r="U537" s="51"/>
      <c r="V537" s="2119"/>
      <c r="W537" s="43"/>
      <c r="X537" s="43"/>
      <c r="Y537" s="43"/>
      <c r="Z537" s="43"/>
    </row>
    <row r="538" spans="1:26">
      <c r="A538" s="88">
        <v>6457</v>
      </c>
      <c r="B538" s="1032" t="s">
        <v>530</v>
      </c>
      <c r="C538" s="1033"/>
      <c r="D538" s="1033"/>
      <c r="E538" s="1033"/>
      <c r="F538" s="1033"/>
      <c r="G538" s="1033"/>
      <c r="H538" s="1033"/>
      <c r="I538" s="1033"/>
      <c r="J538" s="1033"/>
      <c r="K538" s="1033"/>
      <c r="L538" s="90"/>
      <c r="M538" s="51"/>
      <c r="N538" s="113">
        <f t="shared" si="55"/>
        <v>6457</v>
      </c>
      <c r="O538" s="575">
        <v>0</v>
      </c>
      <c r="P538" s="582">
        <v>0</v>
      </c>
      <c r="Q538" s="589">
        <v>0</v>
      </c>
      <c r="R538" s="576">
        <v>0</v>
      </c>
      <c r="S538" s="583">
        <f t="shared" si="54"/>
        <v>0</v>
      </c>
      <c r="T538" s="580">
        <f t="shared" si="53"/>
        <v>0</v>
      </c>
      <c r="U538" s="51"/>
      <c r="V538" s="2119"/>
      <c r="W538" s="43"/>
      <c r="X538" s="43"/>
      <c r="Y538" s="43"/>
      <c r="Z538" s="43"/>
    </row>
    <row r="539" spans="1:26">
      <c r="A539" s="88">
        <v>6458</v>
      </c>
      <c r="B539" s="1032" t="s">
        <v>531</v>
      </c>
      <c r="C539" s="1033"/>
      <c r="D539" s="1033"/>
      <c r="E539" s="1033"/>
      <c r="F539" s="1033"/>
      <c r="G539" s="1033"/>
      <c r="H539" s="1033"/>
      <c r="I539" s="1033"/>
      <c r="J539" s="1033"/>
      <c r="K539" s="1033"/>
      <c r="L539" s="90"/>
      <c r="M539" s="51"/>
      <c r="N539" s="113">
        <f t="shared" si="55"/>
        <v>6458</v>
      </c>
      <c r="O539" s="575">
        <v>0</v>
      </c>
      <c r="P539" s="582">
        <v>0</v>
      </c>
      <c r="Q539" s="589"/>
      <c r="R539" s="576"/>
      <c r="S539" s="583">
        <f t="shared" si="54"/>
        <v>0</v>
      </c>
      <c r="T539" s="580">
        <f t="shared" si="53"/>
        <v>0</v>
      </c>
      <c r="U539" s="51"/>
      <c r="V539" s="2119"/>
      <c r="W539" s="43"/>
      <c r="X539" s="43"/>
      <c r="Y539" s="43"/>
      <c r="Z539" s="43"/>
    </row>
    <row r="540" spans="1:26" ht="15.75" customHeight="1">
      <c r="A540" s="88">
        <v>6460</v>
      </c>
      <c r="B540" s="1032" t="s">
        <v>532</v>
      </c>
      <c r="C540" s="1033"/>
      <c r="D540" s="1033"/>
      <c r="E540" s="1033"/>
      <c r="F540" s="1033"/>
      <c r="G540" s="1033"/>
      <c r="H540" s="1033"/>
      <c r="I540" s="1033"/>
      <c r="J540" s="1033"/>
      <c r="K540" s="1033"/>
      <c r="L540" s="90"/>
      <c r="M540" s="51"/>
      <c r="N540" s="113">
        <f t="shared" si="55"/>
        <v>6460</v>
      </c>
      <c r="O540" s="575">
        <v>0</v>
      </c>
      <c r="P540" s="582">
        <v>0</v>
      </c>
      <c r="Q540" s="589"/>
      <c r="R540" s="576"/>
      <c r="S540" s="583">
        <f t="shared" si="54"/>
        <v>0</v>
      </c>
      <c r="T540" s="580">
        <f t="shared" si="53"/>
        <v>0</v>
      </c>
      <c r="U540" s="51"/>
      <c r="V540" s="2119"/>
      <c r="W540" s="43"/>
      <c r="X540" s="43"/>
      <c r="Y540" s="43"/>
      <c r="Z540" s="43"/>
    </row>
    <row r="541" spans="1:26" ht="15.75" customHeight="1">
      <c r="A541" s="88">
        <v>6461</v>
      </c>
      <c r="B541" s="1032" t="s">
        <v>533</v>
      </c>
      <c r="C541" s="1033"/>
      <c r="D541" s="1033"/>
      <c r="E541" s="1033"/>
      <c r="F541" s="1033"/>
      <c r="G541" s="1033"/>
      <c r="H541" s="1033"/>
      <c r="I541" s="1033"/>
      <c r="J541" s="1033"/>
      <c r="K541" s="1033"/>
      <c r="L541" s="90"/>
      <c r="M541" s="51"/>
      <c r="N541" s="113">
        <f t="shared" si="55"/>
        <v>6461</v>
      </c>
      <c r="O541" s="575">
        <v>0</v>
      </c>
      <c r="P541" s="582">
        <v>0</v>
      </c>
      <c r="Q541" s="589"/>
      <c r="R541" s="576"/>
      <c r="S541" s="583">
        <f t="shared" si="54"/>
        <v>0</v>
      </c>
      <c r="T541" s="580">
        <f t="shared" si="53"/>
        <v>0</v>
      </c>
      <c r="U541" s="51"/>
      <c r="V541" s="2119"/>
      <c r="W541" s="43"/>
      <c r="X541" s="43"/>
      <c r="Y541" s="43"/>
      <c r="Z541" s="43"/>
    </row>
    <row r="542" spans="1:26" ht="15.75" customHeight="1">
      <c r="A542" s="88">
        <v>6462</v>
      </c>
      <c r="B542" s="1032" t="s">
        <v>535</v>
      </c>
      <c r="C542" s="1033"/>
      <c r="D542" s="1033"/>
      <c r="E542" s="1033"/>
      <c r="F542" s="1033"/>
      <c r="G542" s="1033"/>
      <c r="H542" s="1033"/>
      <c r="I542" s="1033"/>
      <c r="J542" s="1033"/>
      <c r="K542" s="1033"/>
      <c r="L542" s="90"/>
      <c r="M542" s="51"/>
      <c r="N542" s="113">
        <f t="shared" si="55"/>
        <v>6462</v>
      </c>
      <c r="O542" s="575">
        <v>0</v>
      </c>
      <c r="P542" s="582">
        <v>0</v>
      </c>
      <c r="Q542" s="589"/>
      <c r="R542" s="576"/>
      <c r="S542" s="583">
        <f t="shared" si="54"/>
        <v>0</v>
      </c>
      <c r="T542" s="580">
        <f t="shared" si="53"/>
        <v>0</v>
      </c>
      <c r="U542" s="51"/>
      <c r="V542" s="2119"/>
      <c r="W542" s="43"/>
      <c r="X542" s="43"/>
      <c r="Y542" s="43"/>
      <c r="Z542" s="43"/>
    </row>
    <row r="543" spans="1:26" ht="15.75" customHeight="1">
      <c r="A543" s="88">
        <v>6463</v>
      </c>
      <c r="B543" s="1032" t="s">
        <v>536</v>
      </c>
      <c r="C543" s="1033"/>
      <c r="D543" s="1033"/>
      <c r="E543" s="1033"/>
      <c r="F543" s="1033"/>
      <c r="G543" s="1033"/>
      <c r="H543" s="1033"/>
      <c r="I543" s="1033"/>
      <c r="J543" s="1033"/>
      <c r="K543" s="1033"/>
      <c r="L543" s="90"/>
      <c r="M543" s="51"/>
      <c r="N543" s="113">
        <f t="shared" si="55"/>
        <v>6463</v>
      </c>
      <c r="O543" s="575">
        <v>0</v>
      </c>
      <c r="P543" s="582">
        <v>0</v>
      </c>
      <c r="Q543" s="589"/>
      <c r="R543" s="576"/>
      <c r="S543" s="583">
        <f t="shared" si="54"/>
        <v>0</v>
      </c>
      <c r="T543" s="580">
        <f t="shared" si="53"/>
        <v>0</v>
      </c>
      <c r="U543" s="51"/>
      <c r="V543" s="2119"/>
      <c r="W543" s="43"/>
      <c r="X543" s="43"/>
      <c r="Y543" s="43"/>
      <c r="Z543" s="43"/>
    </row>
    <row r="544" spans="1:26" ht="15.75" customHeight="1">
      <c r="A544" s="88">
        <v>6464</v>
      </c>
      <c r="B544" s="1032" t="s">
        <v>537</v>
      </c>
      <c r="C544" s="1033"/>
      <c r="D544" s="1033"/>
      <c r="E544" s="1033"/>
      <c r="F544" s="1033"/>
      <c r="G544" s="1033"/>
      <c r="H544" s="1033"/>
      <c r="I544" s="1033"/>
      <c r="J544" s="1033"/>
      <c r="K544" s="1033"/>
      <c r="L544" s="90"/>
      <c r="M544" s="51"/>
      <c r="N544" s="113">
        <f t="shared" si="55"/>
        <v>6464</v>
      </c>
      <c r="O544" s="575">
        <v>0</v>
      </c>
      <c r="P544" s="582">
        <v>0</v>
      </c>
      <c r="Q544" s="589"/>
      <c r="R544" s="576"/>
      <c r="S544" s="583">
        <f t="shared" si="54"/>
        <v>0</v>
      </c>
      <c r="T544" s="580">
        <f t="shared" ref="T544:T569" si="56">+IF(ABS(+O544+Q544)&lt;=ABS(P544+R544),-O544+P544-Q544+R544,0)</f>
        <v>0</v>
      </c>
      <c r="U544" s="51"/>
      <c r="V544" s="2119"/>
      <c r="W544" s="43"/>
      <c r="X544" s="43"/>
      <c r="Y544" s="43"/>
      <c r="Z544" s="43"/>
    </row>
    <row r="545" spans="1:26" ht="15.75" customHeight="1">
      <c r="A545" s="88">
        <v>6465</v>
      </c>
      <c r="B545" s="1032" t="s">
        <v>538</v>
      </c>
      <c r="C545" s="1033"/>
      <c r="D545" s="1033"/>
      <c r="E545" s="1033"/>
      <c r="F545" s="1033"/>
      <c r="G545" s="1033"/>
      <c r="H545" s="1033"/>
      <c r="I545" s="1033"/>
      <c r="J545" s="1033"/>
      <c r="K545" s="1033"/>
      <c r="L545" s="90"/>
      <c r="M545" s="51"/>
      <c r="N545" s="113">
        <f t="shared" si="55"/>
        <v>6465</v>
      </c>
      <c r="O545" s="575">
        <v>0</v>
      </c>
      <c r="P545" s="582">
        <v>0</v>
      </c>
      <c r="Q545" s="589"/>
      <c r="R545" s="576"/>
      <c r="S545" s="583">
        <f t="shared" ref="S545:S565" si="57">+IF(ABS(+O545+Q545)&gt;=ABS(P545+R545),+O545-P545+Q545-R545,0)</f>
        <v>0</v>
      </c>
      <c r="T545" s="580">
        <f t="shared" si="56"/>
        <v>0</v>
      </c>
      <c r="U545" s="51"/>
      <c r="V545" s="2119"/>
      <c r="W545" s="43"/>
      <c r="X545" s="43"/>
      <c r="Y545" s="43"/>
      <c r="Z545" s="43"/>
    </row>
    <row r="546" spans="1:26" ht="15.75" customHeight="1">
      <c r="A546" s="88">
        <v>6466</v>
      </c>
      <c r="B546" s="1032" t="s">
        <v>539</v>
      </c>
      <c r="C546" s="1033"/>
      <c r="D546" s="1033"/>
      <c r="E546" s="1033"/>
      <c r="F546" s="1033"/>
      <c r="G546" s="1033"/>
      <c r="H546" s="1033"/>
      <c r="I546" s="1033"/>
      <c r="J546" s="1033"/>
      <c r="K546" s="1033"/>
      <c r="L546" s="90"/>
      <c r="M546" s="51"/>
      <c r="N546" s="113">
        <f t="shared" si="55"/>
        <v>6466</v>
      </c>
      <c r="O546" s="575">
        <v>0</v>
      </c>
      <c r="P546" s="582">
        <v>0</v>
      </c>
      <c r="Q546" s="589"/>
      <c r="R546" s="576"/>
      <c r="S546" s="583">
        <f t="shared" si="57"/>
        <v>0</v>
      </c>
      <c r="T546" s="580">
        <f t="shared" si="56"/>
        <v>0</v>
      </c>
      <c r="U546" s="51"/>
      <c r="V546" s="2119"/>
      <c r="W546" s="43"/>
      <c r="X546" s="43"/>
      <c r="Y546" s="43"/>
      <c r="Z546" s="43"/>
    </row>
    <row r="547" spans="1:26" ht="15.75" customHeight="1">
      <c r="A547" s="88">
        <v>6467</v>
      </c>
      <c r="B547" s="1032" t="s">
        <v>540</v>
      </c>
      <c r="C547" s="1033"/>
      <c r="D547" s="1033"/>
      <c r="E547" s="1033"/>
      <c r="F547" s="1033"/>
      <c r="G547" s="1033"/>
      <c r="H547" s="1033"/>
      <c r="I547" s="1033"/>
      <c r="J547" s="1033"/>
      <c r="K547" s="1033"/>
      <c r="L547" s="90"/>
      <c r="M547" s="51"/>
      <c r="N547" s="113">
        <f t="shared" si="55"/>
        <v>6467</v>
      </c>
      <c r="O547" s="575">
        <v>0</v>
      </c>
      <c r="P547" s="582">
        <v>0</v>
      </c>
      <c r="Q547" s="589"/>
      <c r="R547" s="576"/>
      <c r="S547" s="583">
        <f t="shared" si="57"/>
        <v>0</v>
      </c>
      <c r="T547" s="580">
        <f t="shared" si="56"/>
        <v>0</v>
      </c>
      <c r="U547" s="51"/>
      <c r="V547" s="2119"/>
      <c r="W547" s="43"/>
      <c r="X547" s="43"/>
      <c r="Y547" s="43"/>
      <c r="Z547" s="43"/>
    </row>
    <row r="548" spans="1:26" ht="15.75" customHeight="1">
      <c r="A548" s="88">
        <v>6468</v>
      </c>
      <c r="B548" s="1032" t="s">
        <v>541</v>
      </c>
      <c r="C548" s="1033"/>
      <c r="D548" s="1033"/>
      <c r="E548" s="1033"/>
      <c r="F548" s="1033"/>
      <c r="G548" s="1033"/>
      <c r="H548" s="1033"/>
      <c r="I548" s="1033"/>
      <c r="J548" s="1033"/>
      <c r="K548" s="1033"/>
      <c r="L548" s="90"/>
      <c r="M548" s="51"/>
      <c r="N548" s="113">
        <f t="shared" si="55"/>
        <v>6468</v>
      </c>
      <c r="O548" s="575">
        <v>0</v>
      </c>
      <c r="P548" s="582">
        <v>0</v>
      </c>
      <c r="Q548" s="589"/>
      <c r="R548" s="576"/>
      <c r="S548" s="583">
        <f t="shared" si="57"/>
        <v>0</v>
      </c>
      <c r="T548" s="580">
        <f t="shared" si="56"/>
        <v>0</v>
      </c>
      <c r="U548" s="51"/>
      <c r="V548" s="2119"/>
      <c r="W548" s="43"/>
      <c r="X548" s="43"/>
      <c r="Y548" s="43"/>
      <c r="Z548" s="43"/>
    </row>
    <row r="549" spans="1:26" ht="15.75" customHeight="1">
      <c r="A549" s="88">
        <v>6469</v>
      </c>
      <c r="B549" s="1032" t="s">
        <v>542</v>
      </c>
      <c r="C549" s="1033"/>
      <c r="D549" s="1033"/>
      <c r="E549" s="1033"/>
      <c r="F549" s="1033"/>
      <c r="G549" s="1033"/>
      <c r="H549" s="1033"/>
      <c r="I549" s="1033"/>
      <c r="J549" s="1033"/>
      <c r="K549" s="1033"/>
      <c r="L549" s="90"/>
      <c r="M549" s="51"/>
      <c r="N549" s="113">
        <f t="shared" si="55"/>
        <v>6469</v>
      </c>
      <c r="O549" s="575">
        <v>0</v>
      </c>
      <c r="P549" s="582">
        <v>0</v>
      </c>
      <c r="Q549" s="589"/>
      <c r="R549" s="576"/>
      <c r="S549" s="583">
        <f t="shared" si="57"/>
        <v>0</v>
      </c>
      <c r="T549" s="580">
        <f t="shared" si="56"/>
        <v>0</v>
      </c>
      <c r="U549" s="51"/>
      <c r="V549" s="2119"/>
      <c r="W549" s="43"/>
      <c r="X549" s="43"/>
      <c r="Y549" s="43"/>
      <c r="Z549" s="43"/>
    </row>
    <row r="550" spans="1:26">
      <c r="A550" s="88">
        <v>6471</v>
      </c>
      <c r="B550" s="1033" t="s">
        <v>543</v>
      </c>
      <c r="C550" s="1033"/>
      <c r="D550" s="1033"/>
      <c r="E550" s="1033"/>
      <c r="F550" s="1033"/>
      <c r="G550" s="1033"/>
      <c r="H550" s="1033"/>
      <c r="I550" s="1033"/>
      <c r="J550" s="1033"/>
      <c r="K550" s="1033"/>
      <c r="L550" s="90"/>
      <c r="M550" s="51"/>
      <c r="N550" s="113">
        <f t="shared" si="55"/>
        <v>6471</v>
      </c>
      <c r="O550" s="575">
        <v>0</v>
      </c>
      <c r="P550" s="582">
        <v>0</v>
      </c>
      <c r="Q550" s="589"/>
      <c r="R550" s="576"/>
      <c r="S550" s="583">
        <f t="shared" si="57"/>
        <v>0</v>
      </c>
      <c r="T550" s="580">
        <f t="shared" si="56"/>
        <v>0</v>
      </c>
      <c r="U550" s="51"/>
      <c r="V550" s="2119"/>
      <c r="W550" s="43"/>
      <c r="X550" s="43"/>
      <c r="Y550" s="43"/>
      <c r="Z550" s="43"/>
    </row>
    <row r="551" spans="1:26">
      <c r="A551" s="88">
        <f>2+A550</f>
        <v>6473</v>
      </c>
      <c r="B551" s="1033" t="s">
        <v>544</v>
      </c>
      <c r="C551" s="1033"/>
      <c r="D551" s="1033"/>
      <c r="E551" s="1033"/>
      <c r="F551" s="1033"/>
      <c r="G551" s="1033"/>
      <c r="H551" s="1033"/>
      <c r="I551" s="1033"/>
      <c r="J551" s="1033"/>
      <c r="K551" s="1033"/>
      <c r="L551" s="90"/>
      <c r="M551" s="51"/>
      <c r="N551" s="113">
        <f t="shared" si="55"/>
        <v>6473</v>
      </c>
      <c r="O551" s="575">
        <v>0</v>
      </c>
      <c r="P551" s="582">
        <v>0</v>
      </c>
      <c r="Q551" s="589"/>
      <c r="R551" s="576"/>
      <c r="S551" s="583">
        <f t="shared" si="57"/>
        <v>0</v>
      </c>
      <c r="T551" s="580">
        <f t="shared" si="56"/>
        <v>0</v>
      </c>
      <c r="U551" s="51"/>
      <c r="V551" s="2119"/>
      <c r="W551" s="43"/>
      <c r="X551" s="43"/>
      <c r="Y551" s="43"/>
      <c r="Z551" s="43"/>
    </row>
    <row r="552" spans="1:26">
      <c r="A552" s="88">
        <f>2+A551</f>
        <v>6475</v>
      </c>
      <c r="B552" s="1033" t="s">
        <v>545</v>
      </c>
      <c r="C552" s="1033"/>
      <c r="D552" s="1033"/>
      <c r="E552" s="1033"/>
      <c r="F552" s="1033"/>
      <c r="G552" s="1033"/>
      <c r="H552" s="1033"/>
      <c r="I552" s="1033"/>
      <c r="J552" s="1033"/>
      <c r="K552" s="1033"/>
      <c r="L552" s="90"/>
      <c r="M552" s="51"/>
      <c r="N552" s="113">
        <f t="shared" si="55"/>
        <v>6475</v>
      </c>
      <c r="O552" s="575">
        <v>0</v>
      </c>
      <c r="P552" s="582">
        <v>0</v>
      </c>
      <c r="Q552" s="589"/>
      <c r="R552" s="576"/>
      <c r="S552" s="583">
        <f t="shared" si="57"/>
        <v>0</v>
      </c>
      <c r="T552" s="580">
        <f t="shared" si="56"/>
        <v>0</v>
      </c>
      <c r="U552" s="51"/>
      <c r="V552" s="2119"/>
      <c r="W552" s="43"/>
      <c r="X552" s="43"/>
      <c r="Y552" s="43"/>
      <c r="Z552" s="43"/>
    </row>
    <row r="553" spans="1:26">
      <c r="A553" s="88">
        <f>2+A552</f>
        <v>6477</v>
      </c>
      <c r="B553" s="1033" t="s">
        <v>546</v>
      </c>
      <c r="C553" s="1033"/>
      <c r="D553" s="1033"/>
      <c r="E553" s="1033"/>
      <c r="F553" s="1033"/>
      <c r="G553" s="1033"/>
      <c r="H553" s="1033"/>
      <c r="I553" s="1033"/>
      <c r="J553" s="1033"/>
      <c r="K553" s="1033"/>
      <c r="L553" s="90"/>
      <c r="M553" s="51"/>
      <c r="N553" s="113">
        <f t="shared" si="55"/>
        <v>6477</v>
      </c>
      <c r="O553" s="575">
        <v>0</v>
      </c>
      <c r="P553" s="582">
        <v>0</v>
      </c>
      <c r="Q553" s="589"/>
      <c r="R553" s="576"/>
      <c r="S553" s="583">
        <f t="shared" si="57"/>
        <v>0</v>
      </c>
      <c r="T553" s="580">
        <f t="shared" si="56"/>
        <v>0</v>
      </c>
      <c r="U553" s="51"/>
      <c r="V553" s="2119"/>
      <c r="W553" s="43"/>
      <c r="X553" s="43"/>
      <c r="Y553" s="43"/>
      <c r="Z553" s="43"/>
    </row>
    <row r="554" spans="1:26" ht="15.75" customHeight="1">
      <c r="A554" s="88">
        <v>6479</v>
      </c>
      <c r="B554" s="1033" t="s">
        <v>547</v>
      </c>
      <c r="C554" s="1033"/>
      <c r="D554" s="1033"/>
      <c r="E554" s="1033"/>
      <c r="F554" s="1033"/>
      <c r="G554" s="1033"/>
      <c r="H554" s="1033"/>
      <c r="I554" s="1033"/>
      <c r="J554" s="1033"/>
      <c r="K554" s="1033"/>
      <c r="L554" s="90"/>
      <c r="M554" s="51"/>
      <c r="N554" s="113">
        <f t="shared" si="55"/>
        <v>6479</v>
      </c>
      <c r="O554" s="575">
        <v>0</v>
      </c>
      <c r="P554" s="582">
        <v>0</v>
      </c>
      <c r="Q554" s="589"/>
      <c r="R554" s="576"/>
      <c r="S554" s="583">
        <f t="shared" si="57"/>
        <v>0</v>
      </c>
      <c r="T554" s="580">
        <f t="shared" si="56"/>
        <v>0</v>
      </c>
      <c r="U554" s="51"/>
      <c r="V554" s="2119"/>
      <c r="W554" s="43"/>
      <c r="X554" s="43"/>
      <c r="Y554" s="43"/>
      <c r="Z554" s="43"/>
    </row>
    <row r="555" spans="1:26" ht="15.75" customHeight="1">
      <c r="A555" s="88">
        <v>6480</v>
      </c>
      <c r="B555" s="1033" t="s">
        <v>567</v>
      </c>
      <c r="C555" s="1033"/>
      <c r="D555" s="1033"/>
      <c r="E555" s="1033"/>
      <c r="F555" s="1033"/>
      <c r="G555" s="1033"/>
      <c r="H555" s="1033"/>
      <c r="I555" s="1033"/>
      <c r="J555" s="1033"/>
      <c r="K555" s="1033"/>
      <c r="L555" s="90"/>
      <c r="M555" s="51"/>
      <c r="N555" s="113">
        <f t="shared" si="55"/>
        <v>6480</v>
      </c>
      <c r="O555" s="575">
        <v>0</v>
      </c>
      <c r="P555" s="582">
        <v>0</v>
      </c>
      <c r="Q555" s="589"/>
      <c r="R555" s="576"/>
      <c r="S555" s="583">
        <f t="shared" si="57"/>
        <v>0</v>
      </c>
      <c r="T555" s="580">
        <f t="shared" si="56"/>
        <v>0</v>
      </c>
      <c r="U555" s="51"/>
      <c r="V555" s="2119"/>
      <c r="W555" s="43"/>
      <c r="X555" s="43"/>
      <c r="Y555" s="43"/>
      <c r="Z555" s="43"/>
    </row>
    <row r="556" spans="1:26">
      <c r="A556" s="88">
        <v>6481</v>
      </c>
      <c r="B556" s="1033" t="s">
        <v>568</v>
      </c>
      <c r="C556" s="1033"/>
      <c r="D556" s="1033"/>
      <c r="E556" s="1033"/>
      <c r="F556" s="1033"/>
      <c r="G556" s="1033"/>
      <c r="H556" s="1033"/>
      <c r="I556" s="1033"/>
      <c r="J556" s="1033"/>
      <c r="K556" s="1033"/>
      <c r="L556" s="90"/>
      <c r="M556" s="51"/>
      <c r="N556" s="113">
        <f t="shared" si="55"/>
        <v>6481</v>
      </c>
      <c r="O556" s="575">
        <v>0</v>
      </c>
      <c r="P556" s="582">
        <v>0</v>
      </c>
      <c r="Q556" s="589"/>
      <c r="R556" s="576"/>
      <c r="S556" s="583">
        <f t="shared" si="57"/>
        <v>0</v>
      </c>
      <c r="T556" s="580">
        <f t="shared" si="56"/>
        <v>0</v>
      </c>
      <c r="U556" s="51"/>
      <c r="V556" s="2119"/>
      <c r="W556" s="43"/>
      <c r="X556" s="43"/>
      <c r="Y556" s="43"/>
      <c r="Z556" s="43"/>
    </row>
    <row r="557" spans="1:26">
      <c r="A557" s="88">
        <f>2+A556</f>
        <v>6483</v>
      </c>
      <c r="B557" s="1033" t="s">
        <v>569</v>
      </c>
      <c r="C557" s="1033"/>
      <c r="D557" s="1033"/>
      <c r="E557" s="1033"/>
      <c r="F557" s="1033"/>
      <c r="G557" s="1033"/>
      <c r="H557" s="1033"/>
      <c r="I557" s="1033"/>
      <c r="J557" s="1033"/>
      <c r="K557" s="1033"/>
      <c r="L557" s="90"/>
      <c r="M557" s="51"/>
      <c r="N557" s="113">
        <f t="shared" si="55"/>
        <v>6483</v>
      </c>
      <c r="O557" s="575">
        <v>0</v>
      </c>
      <c r="P557" s="582">
        <v>0</v>
      </c>
      <c r="Q557" s="589"/>
      <c r="R557" s="576"/>
      <c r="S557" s="583">
        <f t="shared" si="57"/>
        <v>0</v>
      </c>
      <c r="T557" s="580">
        <f t="shared" si="56"/>
        <v>0</v>
      </c>
      <c r="U557" s="51"/>
      <c r="V557" s="2119"/>
      <c r="W557" s="43"/>
      <c r="X557" s="43"/>
      <c r="Y557" s="43"/>
      <c r="Z557" s="43"/>
    </row>
    <row r="558" spans="1:26">
      <c r="A558" s="88">
        <f>2+A557</f>
        <v>6485</v>
      </c>
      <c r="B558" s="1033" t="s">
        <v>570</v>
      </c>
      <c r="C558" s="1033"/>
      <c r="D558" s="1033"/>
      <c r="E558" s="1033"/>
      <c r="F558" s="1033"/>
      <c r="G558" s="1033"/>
      <c r="H558" s="1033"/>
      <c r="I558" s="1033"/>
      <c r="J558" s="1033"/>
      <c r="K558" s="1033"/>
      <c r="L558" s="90"/>
      <c r="M558" s="51"/>
      <c r="N558" s="113">
        <f t="shared" si="55"/>
        <v>6485</v>
      </c>
      <c r="O558" s="575">
        <v>0</v>
      </c>
      <c r="P558" s="582">
        <v>0</v>
      </c>
      <c r="Q558" s="589"/>
      <c r="R558" s="576"/>
      <c r="S558" s="583">
        <f t="shared" si="57"/>
        <v>0</v>
      </c>
      <c r="T558" s="580">
        <f t="shared" si="56"/>
        <v>0</v>
      </c>
      <c r="U558" s="51"/>
      <c r="V558" s="2119"/>
      <c r="W558" s="43"/>
      <c r="X558" s="43"/>
      <c r="Y558" s="43"/>
      <c r="Z558" s="43"/>
    </row>
    <row r="559" spans="1:26">
      <c r="A559" s="88">
        <f>2+A558</f>
        <v>6487</v>
      </c>
      <c r="B559" s="1033" t="s">
        <v>571</v>
      </c>
      <c r="C559" s="1033"/>
      <c r="D559" s="1033"/>
      <c r="E559" s="1033"/>
      <c r="F559" s="1033"/>
      <c r="G559" s="1033"/>
      <c r="H559" s="1033"/>
      <c r="I559" s="1033"/>
      <c r="J559" s="1033"/>
      <c r="K559" s="1033"/>
      <c r="L559" s="90"/>
      <c r="M559" s="51"/>
      <c r="N559" s="113">
        <f t="shared" si="55"/>
        <v>6487</v>
      </c>
      <c r="O559" s="575">
        <v>0</v>
      </c>
      <c r="P559" s="582">
        <v>0</v>
      </c>
      <c r="Q559" s="589"/>
      <c r="R559" s="576"/>
      <c r="S559" s="583">
        <f t="shared" si="57"/>
        <v>0</v>
      </c>
      <c r="T559" s="580">
        <f t="shared" si="56"/>
        <v>0</v>
      </c>
      <c r="U559" s="51"/>
      <c r="V559" s="2119"/>
      <c r="W559" s="43"/>
      <c r="X559" s="43"/>
      <c r="Y559" s="43"/>
      <c r="Z559" s="43"/>
    </row>
    <row r="560" spans="1:26" ht="15.75" customHeight="1">
      <c r="A560" s="88">
        <v>6489</v>
      </c>
      <c r="B560" s="1033" t="s">
        <v>572</v>
      </c>
      <c r="C560" s="1033"/>
      <c r="D560" s="1033"/>
      <c r="E560" s="1033"/>
      <c r="F560" s="1033"/>
      <c r="G560" s="1033"/>
      <c r="H560" s="1033"/>
      <c r="I560" s="1033"/>
      <c r="J560" s="1033"/>
      <c r="K560" s="1033"/>
      <c r="L560" s="90"/>
      <c r="M560" s="51"/>
      <c r="N560" s="113">
        <f t="shared" si="55"/>
        <v>6489</v>
      </c>
      <c r="O560" s="575">
        <v>0</v>
      </c>
      <c r="P560" s="582">
        <v>0</v>
      </c>
      <c r="Q560" s="589"/>
      <c r="R560" s="576"/>
      <c r="S560" s="583">
        <f t="shared" si="57"/>
        <v>0</v>
      </c>
      <c r="T560" s="580">
        <f t="shared" si="56"/>
        <v>0</v>
      </c>
      <c r="U560" s="51"/>
      <c r="V560" s="2119"/>
      <c r="W560" s="43"/>
      <c r="X560" s="43"/>
      <c r="Y560" s="43"/>
      <c r="Z560" s="43"/>
    </row>
    <row r="561" spans="1:26">
      <c r="A561" s="88">
        <v>6491</v>
      </c>
      <c r="B561" s="1033" t="s">
        <v>573</v>
      </c>
      <c r="C561" s="1033"/>
      <c r="D561" s="1033"/>
      <c r="E561" s="1033"/>
      <c r="F561" s="1033"/>
      <c r="G561" s="1033"/>
      <c r="H561" s="1033"/>
      <c r="I561" s="1033"/>
      <c r="J561" s="1033"/>
      <c r="K561" s="1033"/>
      <c r="L561" s="90"/>
      <c r="M561" s="51"/>
      <c r="N561" s="113">
        <f t="shared" si="55"/>
        <v>6491</v>
      </c>
      <c r="O561" s="575">
        <v>0</v>
      </c>
      <c r="P561" s="582">
        <v>0</v>
      </c>
      <c r="Q561" s="589"/>
      <c r="R561" s="576"/>
      <c r="S561" s="583">
        <f t="shared" si="57"/>
        <v>0</v>
      </c>
      <c r="T561" s="580">
        <f t="shared" si="56"/>
        <v>0</v>
      </c>
      <c r="U561" s="51"/>
      <c r="V561" s="2119"/>
      <c r="W561" s="43"/>
      <c r="X561" s="43"/>
      <c r="Y561" s="43"/>
      <c r="Z561" s="43"/>
    </row>
    <row r="562" spans="1:26">
      <c r="A562" s="88">
        <f>2+A561</f>
        <v>6493</v>
      </c>
      <c r="B562" s="1033" t="s">
        <v>574</v>
      </c>
      <c r="C562" s="1033"/>
      <c r="D562" s="1033"/>
      <c r="E562" s="1033"/>
      <c r="F562" s="1033"/>
      <c r="G562" s="1033"/>
      <c r="H562" s="1033"/>
      <c r="I562" s="1033"/>
      <c r="J562" s="1033"/>
      <c r="K562" s="1033"/>
      <c r="L562" s="90"/>
      <c r="M562" s="51"/>
      <c r="N562" s="113">
        <f t="shared" si="55"/>
        <v>6493</v>
      </c>
      <c r="O562" s="575">
        <v>0</v>
      </c>
      <c r="P562" s="582">
        <v>0</v>
      </c>
      <c r="Q562" s="589"/>
      <c r="R562" s="576"/>
      <c r="S562" s="583">
        <f t="shared" si="57"/>
        <v>0</v>
      </c>
      <c r="T562" s="580">
        <f t="shared" si="56"/>
        <v>0</v>
      </c>
      <c r="U562" s="51"/>
      <c r="V562" s="2119"/>
      <c r="W562" s="43"/>
      <c r="X562" s="43"/>
      <c r="Y562" s="43"/>
      <c r="Z562" s="43"/>
    </row>
    <row r="563" spans="1:26">
      <c r="A563" s="88">
        <f>2+A562</f>
        <v>6495</v>
      </c>
      <c r="B563" s="1033" t="s">
        <v>575</v>
      </c>
      <c r="C563" s="1033"/>
      <c r="D563" s="1033"/>
      <c r="E563" s="1033"/>
      <c r="F563" s="1033"/>
      <c r="G563" s="1033"/>
      <c r="H563" s="1033"/>
      <c r="I563" s="1033"/>
      <c r="J563" s="1033"/>
      <c r="K563" s="1033"/>
      <c r="L563" s="90"/>
      <c r="M563" s="51"/>
      <c r="N563" s="113">
        <f t="shared" si="55"/>
        <v>6495</v>
      </c>
      <c r="O563" s="575">
        <v>0</v>
      </c>
      <c r="P563" s="582">
        <v>0</v>
      </c>
      <c r="Q563" s="589"/>
      <c r="R563" s="576"/>
      <c r="S563" s="583">
        <f t="shared" si="57"/>
        <v>0</v>
      </c>
      <c r="T563" s="580">
        <f t="shared" si="56"/>
        <v>0</v>
      </c>
      <c r="U563" s="51"/>
      <c r="V563" s="2119"/>
      <c r="W563" s="43"/>
      <c r="X563" s="43"/>
      <c r="Y563" s="43"/>
      <c r="Z563" s="43"/>
    </row>
    <row r="564" spans="1:26">
      <c r="A564" s="88">
        <f>2+A563</f>
        <v>6497</v>
      </c>
      <c r="B564" s="1033" t="s">
        <v>576</v>
      </c>
      <c r="C564" s="1033"/>
      <c r="D564" s="1033"/>
      <c r="E564" s="1033"/>
      <c r="F564" s="1033"/>
      <c r="G564" s="1033"/>
      <c r="H564" s="1033"/>
      <c r="I564" s="1033"/>
      <c r="J564" s="1033"/>
      <c r="K564" s="1033"/>
      <c r="L564" s="90"/>
      <c r="M564" s="51"/>
      <c r="N564" s="113">
        <f t="shared" si="55"/>
        <v>6497</v>
      </c>
      <c r="O564" s="575">
        <v>0</v>
      </c>
      <c r="P564" s="582">
        <v>0</v>
      </c>
      <c r="Q564" s="589"/>
      <c r="R564" s="576"/>
      <c r="S564" s="583">
        <f t="shared" si="57"/>
        <v>0</v>
      </c>
      <c r="T564" s="580">
        <f t="shared" si="56"/>
        <v>0</v>
      </c>
      <c r="U564" s="51"/>
      <c r="V564" s="2119"/>
      <c r="W564" s="43"/>
      <c r="X564" s="43"/>
      <c r="Y564" s="43"/>
      <c r="Z564" s="43"/>
    </row>
    <row r="565" spans="1:26" ht="15.75" customHeight="1">
      <c r="A565" s="88">
        <v>6499</v>
      </c>
      <c r="B565" s="1033" t="s">
        <v>577</v>
      </c>
      <c r="C565" s="1033"/>
      <c r="D565" s="1033"/>
      <c r="E565" s="1033"/>
      <c r="F565" s="1033"/>
      <c r="G565" s="1033"/>
      <c r="H565" s="1033"/>
      <c r="I565" s="1033"/>
      <c r="J565" s="1033"/>
      <c r="K565" s="1033"/>
      <c r="L565" s="90"/>
      <c r="M565" s="51"/>
      <c r="N565" s="113">
        <f t="shared" si="55"/>
        <v>6499</v>
      </c>
      <c r="O565" s="575">
        <v>0</v>
      </c>
      <c r="P565" s="582">
        <v>0</v>
      </c>
      <c r="Q565" s="589"/>
      <c r="R565" s="576"/>
      <c r="S565" s="583">
        <f t="shared" si="57"/>
        <v>0</v>
      </c>
      <c r="T565" s="580">
        <f t="shared" si="56"/>
        <v>0</v>
      </c>
      <c r="U565" s="51"/>
      <c r="V565" s="2119"/>
      <c r="W565" s="43"/>
      <c r="X565" s="43"/>
      <c r="Y565" s="43"/>
      <c r="Z565" s="43"/>
    </row>
    <row r="566" spans="1:26">
      <c r="A566" s="88">
        <v>6501</v>
      </c>
      <c r="B566" s="1032" t="s">
        <v>655</v>
      </c>
      <c r="C566" s="1033"/>
      <c r="D566" s="1033"/>
      <c r="E566" s="1033"/>
      <c r="F566" s="1033"/>
      <c r="G566" s="1033"/>
      <c r="H566" s="1033"/>
      <c r="I566" s="1033"/>
      <c r="J566" s="1033"/>
      <c r="K566" s="1033"/>
      <c r="L566" s="90"/>
      <c r="M566" s="51"/>
      <c r="N566" s="113">
        <f t="shared" si="55"/>
        <v>6501</v>
      </c>
      <c r="O566" s="575">
        <v>0</v>
      </c>
      <c r="P566" s="582">
        <v>0</v>
      </c>
      <c r="Q566" s="589">
        <v>0</v>
      </c>
      <c r="R566" s="121">
        <v>0</v>
      </c>
      <c r="S566" s="579">
        <v>0</v>
      </c>
      <c r="T566" s="588">
        <f t="shared" si="56"/>
        <v>0</v>
      </c>
      <c r="U566" s="51"/>
      <c r="V566" s="2119">
        <f>+IF(OR(+ROUND(O566,2)+ROUND(Q566,2)&gt;ROUND(P566,2)+ROUND(R566,2),+ABS(ROUND(O566,2)+ROUND(Q566,2))&gt;+ABS(ROUND(P566,2)+ROUND(R566,2))),+(ROUND(O566,2)+ROUND(Q566,2))-(ROUND(P566,2)+ROUND(R566,2)),0)</f>
        <v>0</v>
      </c>
      <c r="W566" s="43"/>
      <c r="X566" s="43"/>
      <c r="Y566" s="43"/>
      <c r="Z566" s="43"/>
    </row>
    <row r="567" spans="1:26">
      <c r="A567" s="88">
        <v>6502</v>
      </c>
      <c r="B567" s="1032" t="s">
        <v>656</v>
      </c>
      <c r="C567" s="1033"/>
      <c r="D567" s="1033"/>
      <c r="E567" s="1033"/>
      <c r="F567" s="1033"/>
      <c r="G567" s="1033"/>
      <c r="H567" s="1033"/>
      <c r="I567" s="1033"/>
      <c r="J567" s="1033"/>
      <c r="K567" s="1033"/>
      <c r="L567" s="90"/>
      <c r="M567" s="51"/>
      <c r="N567" s="113">
        <f t="shared" si="55"/>
        <v>6502</v>
      </c>
      <c r="O567" s="575">
        <v>0</v>
      </c>
      <c r="P567" s="582">
        <v>0</v>
      </c>
      <c r="Q567" s="589"/>
      <c r="R567" s="121"/>
      <c r="S567" s="579">
        <v>0</v>
      </c>
      <c r="T567" s="588">
        <f t="shared" si="56"/>
        <v>0</v>
      </c>
      <c r="U567" s="51"/>
      <c r="V567" s="2119">
        <f>+IF(OR(+ROUND(O567,2)+ROUND(Q567,2)&gt;ROUND(P567,2)+ROUND(R567,2),+ABS(ROUND(O567,2)+ROUND(Q567,2))&gt;+ABS(ROUND(P567,2)+ROUND(R567,2))),+(ROUND(O567,2)+ROUND(Q567,2))-(ROUND(P567,2)+ROUND(R567,2)),0)</f>
        <v>0</v>
      </c>
      <c r="W567" s="43"/>
      <c r="X567" s="43"/>
      <c r="Y567" s="43"/>
      <c r="Z567" s="43"/>
    </row>
    <row r="568" spans="1:26">
      <c r="A568" s="88">
        <v>6503</v>
      </c>
      <c r="B568" s="1032" t="s">
        <v>657</v>
      </c>
      <c r="C568" s="1033"/>
      <c r="D568" s="1033"/>
      <c r="E568" s="1033"/>
      <c r="F568" s="1033"/>
      <c r="G568" s="1033"/>
      <c r="H568" s="1033"/>
      <c r="I568" s="1033"/>
      <c r="J568" s="1033"/>
      <c r="K568" s="1033"/>
      <c r="L568" s="90"/>
      <c r="M568" s="51"/>
      <c r="N568" s="113">
        <f t="shared" si="55"/>
        <v>6503</v>
      </c>
      <c r="O568" s="575">
        <v>0</v>
      </c>
      <c r="P568" s="582">
        <v>0</v>
      </c>
      <c r="Q568" s="589">
        <v>0</v>
      </c>
      <c r="R568" s="121">
        <v>0</v>
      </c>
      <c r="S568" s="579">
        <v>0</v>
      </c>
      <c r="T568" s="588">
        <f t="shared" si="56"/>
        <v>0</v>
      </c>
      <c r="U568" s="51"/>
      <c r="V568" s="2119">
        <f>+IF(OR(+ROUND(O568,2)+ROUND(Q568,2)&gt;ROUND(P568,2)+ROUND(R568,2),+ABS(ROUND(O568,2)+ROUND(Q568,2))&gt;+ABS(ROUND(P568,2)+ROUND(R568,2))),+(ROUND(O568,2)+ROUND(Q568,2))-(ROUND(P568,2)+ROUND(R568,2)),0)</f>
        <v>0</v>
      </c>
      <c r="W568" s="43"/>
      <c r="X568" s="43"/>
      <c r="Y568" s="43"/>
      <c r="Z568" s="43"/>
    </row>
    <row r="569" spans="1:26">
      <c r="A569" s="88">
        <v>6504</v>
      </c>
      <c r="B569" s="1032" t="s">
        <v>658</v>
      </c>
      <c r="C569" s="1033"/>
      <c r="D569" s="1033"/>
      <c r="E569" s="1033"/>
      <c r="F569" s="1033"/>
      <c r="G569" s="1033"/>
      <c r="H569" s="1033"/>
      <c r="I569" s="1033"/>
      <c r="J569" s="1033"/>
      <c r="K569" s="1033"/>
      <c r="L569" s="90"/>
      <c r="M569" s="51"/>
      <c r="N569" s="113">
        <f t="shared" si="55"/>
        <v>6504</v>
      </c>
      <c r="O569" s="575">
        <v>0</v>
      </c>
      <c r="P569" s="582">
        <v>0</v>
      </c>
      <c r="Q569" s="589"/>
      <c r="R569" s="121"/>
      <c r="S569" s="579">
        <v>0</v>
      </c>
      <c r="T569" s="588">
        <f t="shared" si="56"/>
        <v>0</v>
      </c>
      <c r="U569" s="51"/>
      <c r="V569" s="2119">
        <f>+IF(OR(+ROUND(O569,2)+ROUND(Q569,2)&gt;ROUND(P569,2)+ROUND(R569,2),+ABS(ROUND(O569,2)+ROUND(Q569,2))&gt;+ABS(ROUND(P569,2)+ROUND(R569,2))),+(ROUND(O569,2)+ROUND(Q569,2))-(ROUND(P569,2)+ROUND(R569,2)),0)</f>
        <v>0</v>
      </c>
      <c r="W569" s="43"/>
      <c r="X569" s="43"/>
      <c r="Y569" s="43"/>
      <c r="Z569" s="43"/>
    </row>
    <row r="570" spans="1:26">
      <c r="A570" s="88">
        <v>6506</v>
      </c>
      <c r="B570" s="1032" t="s">
        <v>659</v>
      </c>
      <c r="C570" s="1033"/>
      <c r="D570" s="1033"/>
      <c r="E570" s="1033"/>
      <c r="F570" s="1033"/>
      <c r="G570" s="1033"/>
      <c r="H570" s="1033"/>
      <c r="I570" s="1033"/>
      <c r="J570" s="1033"/>
      <c r="K570" s="1033"/>
      <c r="L570" s="90"/>
      <c r="M570" s="51"/>
      <c r="N570" s="113">
        <f t="shared" si="55"/>
        <v>6506</v>
      </c>
      <c r="O570" s="575">
        <v>0</v>
      </c>
      <c r="P570" s="582">
        <v>0</v>
      </c>
      <c r="Q570" s="589">
        <v>0</v>
      </c>
      <c r="R570" s="576">
        <v>0</v>
      </c>
      <c r="S570" s="2114">
        <v>0</v>
      </c>
      <c r="T570" s="2115">
        <v>0</v>
      </c>
      <c r="U570" s="51"/>
      <c r="V570" s="2125">
        <f>+IF(Q570=R570,0,+Q570-R570)</f>
        <v>0</v>
      </c>
      <c r="W570" s="43"/>
      <c r="X570" s="43"/>
      <c r="Y570" s="43"/>
      <c r="Z570" s="43"/>
    </row>
    <row r="571" spans="1:26">
      <c r="A571" s="88">
        <v>6507</v>
      </c>
      <c r="B571" s="1032" t="s">
        <v>660</v>
      </c>
      <c r="C571" s="1033"/>
      <c r="D571" s="1033"/>
      <c r="E571" s="1033"/>
      <c r="F571" s="1033"/>
      <c r="G571" s="1033"/>
      <c r="H571" s="1033"/>
      <c r="I571" s="1033"/>
      <c r="J571" s="1033"/>
      <c r="K571" s="1033"/>
      <c r="L571" s="90"/>
      <c r="M571" s="51"/>
      <c r="N571" s="113">
        <f t="shared" si="55"/>
        <v>6507</v>
      </c>
      <c r="O571" s="575">
        <v>0</v>
      </c>
      <c r="P571" s="582">
        <v>0</v>
      </c>
      <c r="Q571" s="589">
        <v>0</v>
      </c>
      <c r="R571" s="121">
        <v>0</v>
      </c>
      <c r="S571" s="579">
        <v>0</v>
      </c>
      <c r="T571" s="588">
        <f>+IF(ABS(+O571+Q571)&lt;=ABS(P571+R571),-O571+P571-Q571+R571,0)</f>
        <v>0</v>
      </c>
      <c r="U571" s="51"/>
      <c r="V571" s="2119">
        <f>+IF(OR(+ROUND(O571,2)+ROUND(Q571,2)&gt;ROUND(P571,2)+ROUND(R571,2),+ABS(ROUND(O571,2)+ROUND(Q571,2))&gt;+ABS(ROUND(P571,2)+ROUND(R571,2))),+(ROUND(O571,2)+ROUND(Q571,2))-(ROUND(P571,2)+ROUND(R571,2)),0)</f>
        <v>0</v>
      </c>
      <c r="W571" s="43"/>
      <c r="X571" s="43"/>
      <c r="Y571" s="43"/>
      <c r="Z571" s="43"/>
    </row>
    <row r="572" spans="1:26">
      <c r="A572" s="88">
        <v>6508</v>
      </c>
      <c r="B572" s="1032" t="s">
        <v>661</v>
      </c>
      <c r="C572" s="1033"/>
      <c r="D572" s="1033"/>
      <c r="E572" s="1033"/>
      <c r="F572" s="1033"/>
      <c r="G572" s="1033"/>
      <c r="H572" s="1033"/>
      <c r="I572" s="1033"/>
      <c r="J572" s="1033"/>
      <c r="K572" s="1033"/>
      <c r="L572" s="90"/>
      <c r="M572" s="51"/>
      <c r="N572" s="113">
        <f t="shared" si="55"/>
        <v>6508</v>
      </c>
      <c r="O572" s="575">
        <v>0</v>
      </c>
      <c r="P572" s="582">
        <v>0</v>
      </c>
      <c r="Q572" s="589"/>
      <c r="R572" s="121"/>
      <c r="S572" s="579">
        <v>0</v>
      </c>
      <c r="T572" s="588">
        <f>+IF(ABS(+O572+Q572)&lt;=ABS(P572+R572),-O572+P572-Q572+R572,0)</f>
        <v>0</v>
      </c>
      <c r="U572" s="51"/>
      <c r="V572" s="2119">
        <f>+IF(OR(+ROUND(O572,2)+ROUND(Q572,2)&gt;ROUND(P572,2)+ROUND(R572,2),+ABS(ROUND(O572,2)+ROUND(Q572,2))&gt;+ABS(ROUND(P572,2)+ROUND(R572,2))),+(ROUND(O572,2)+ROUND(Q572,2))-(ROUND(P572,2)+ROUND(R572,2)),0)</f>
        <v>0</v>
      </c>
      <c r="W572" s="43"/>
      <c r="X572" s="43"/>
      <c r="Y572" s="43"/>
      <c r="Z572" s="43"/>
    </row>
    <row r="573" spans="1:26">
      <c r="A573" s="88">
        <v>6711</v>
      </c>
      <c r="B573" s="1033" t="s">
        <v>662</v>
      </c>
      <c r="C573" s="1033"/>
      <c r="D573" s="1033"/>
      <c r="E573" s="1033"/>
      <c r="F573" s="1033"/>
      <c r="G573" s="1033"/>
      <c r="H573" s="1033"/>
      <c r="I573" s="1033"/>
      <c r="J573" s="1033"/>
      <c r="K573" s="1033"/>
      <c r="L573" s="90"/>
      <c r="M573" s="51"/>
      <c r="N573" s="113">
        <f t="shared" si="55"/>
        <v>6711</v>
      </c>
      <c r="O573" s="575">
        <v>0</v>
      </c>
      <c r="P573" s="582">
        <v>0</v>
      </c>
      <c r="Q573" s="589"/>
      <c r="R573" s="576"/>
      <c r="S573" s="583">
        <f>+IF(ABS(+O573+Q573)&gt;=ABS(P573+R573),+O573-P573+Q573-R573,0)</f>
        <v>0</v>
      </c>
      <c r="T573" s="584">
        <v>0</v>
      </c>
      <c r="U573" s="51"/>
      <c r="V573" s="2120">
        <f>+IF(OR(ROUND(P573,2)+ROUND(R573,2)&gt;+ROUND(O573,2)+ROUND(Q573,2),+ABS(ROUND(P573,2)+ROUND(R573,2))&gt;+ABS(ROUND(O573,2)+ROUND(Q573,2))),+(ROUND(P573,2)+ROUND(R573,2))-(ROUND(O573,2)+ROUND(Q573,2)),0)</f>
        <v>0</v>
      </c>
      <c r="W573" s="43"/>
      <c r="X573" s="43"/>
      <c r="Y573" s="43"/>
      <c r="Z573" s="43"/>
    </row>
    <row r="574" spans="1:26">
      <c r="A574" s="88">
        <v>6713</v>
      </c>
      <c r="B574" s="1033" t="s">
        <v>663</v>
      </c>
      <c r="C574" s="1033"/>
      <c r="D574" s="1033"/>
      <c r="E574" s="1033"/>
      <c r="F574" s="1033"/>
      <c r="G574" s="1033"/>
      <c r="H574" s="1033"/>
      <c r="I574" s="1033"/>
      <c r="J574" s="1033"/>
      <c r="K574" s="1033"/>
      <c r="L574" s="90"/>
      <c r="M574" s="51"/>
      <c r="N574" s="113">
        <f t="shared" si="55"/>
        <v>6713</v>
      </c>
      <c r="O574" s="575">
        <v>0</v>
      </c>
      <c r="P574" s="582">
        <v>0</v>
      </c>
      <c r="Q574" s="589"/>
      <c r="R574" s="576"/>
      <c r="S574" s="583">
        <f>+IF(ABS(+O574+Q574)&gt;=ABS(P574+R574),+O574-P574+Q574-R574,0)</f>
        <v>0</v>
      </c>
      <c r="T574" s="584">
        <v>0</v>
      </c>
      <c r="U574" s="51"/>
      <c r="V574" s="2120">
        <f>+IF(OR(ROUND(P574,2)+ROUND(R574,2)&gt;+ROUND(O574,2)+ROUND(Q574,2),+ABS(ROUND(P574,2)+ROUND(R574,2))&gt;+ABS(ROUND(O574,2)+ROUND(Q574,2))),+(ROUND(P574,2)+ROUND(R574,2))-(ROUND(O574,2)+ROUND(Q574,2)),0)</f>
        <v>0</v>
      </c>
      <c r="W574" s="43"/>
      <c r="X574" s="43"/>
      <c r="Y574" s="43"/>
      <c r="Z574" s="43"/>
    </row>
    <row r="575" spans="1:26">
      <c r="A575" s="88">
        <v>6717</v>
      </c>
      <c r="B575" s="1033" t="s">
        <v>9</v>
      </c>
      <c r="C575" s="1033"/>
      <c r="D575" s="1033"/>
      <c r="E575" s="1033"/>
      <c r="F575" s="1033"/>
      <c r="G575" s="1033"/>
      <c r="H575" s="1033"/>
      <c r="I575" s="1033"/>
      <c r="J575" s="1033"/>
      <c r="K575" s="1033"/>
      <c r="L575" s="90"/>
      <c r="M575" s="51"/>
      <c r="N575" s="113">
        <f t="shared" si="55"/>
        <v>6717</v>
      </c>
      <c r="O575" s="575">
        <v>0</v>
      </c>
      <c r="P575" s="582">
        <v>0</v>
      </c>
      <c r="Q575" s="589">
        <v>0</v>
      </c>
      <c r="R575" s="576">
        <v>0</v>
      </c>
      <c r="S575" s="583">
        <f>+IF(ABS(+O575+Q575)&gt;=ABS(P575+R575),+O575-P575+Q575-R575,0)</f>
        <v>0</v>
      </c>
      <c r="T575" s="584">
        <v>0</v>
      </c>
      <c r="U575" s="51"/>
      <c r="V575" s="2120">
        <f>+IF(OR(ROUND(P575,2)+ROUND(R575,2)&gt;+ROUND(O575,2)+ROUND(Q575,2),+ABS(ROUND(P575,2)+ROUND(R575,2))&gt;+ABS(ROUND(O575,2)+ROUND(Q575,2))),+(ROUND(P575,2)+ROUND(R575,2))-(ROUND(O575,2)+ROUND(Q575,2)),0)</f>
        <v>0</v>
      </c>
      <c r="W575" s="43"/>
      <c r="X575" s="43"/>
      <c r="Y575" s="43"/>
      <c r="Z575" s="43"/>
    </row>
    <row r="576" spans="1:26">
      <c r="A576" s="88">
        <v>6721</v>
      </c>
      <c r="B576" s="1033" t="s">
        <v>10</v>
      </c>
      <c r="C576" s="1033"/>
      <c r="D576" s="1033"/>
      <c r="E576" s="1033"/>
      <c r="F576" s="1033"/>
      <c r="G576" s="1033"/>
      <c r="H576" s="1033"/>
      <c r="I576" s="1033"/>
      <c r="J576" s="1033"/>
      <c r="K576" s="1033"/>
      <c r="L576" s="90"/>
      <c r="M576" s="51"/>
      <c r="N576" s="113">
        <f t="shared" ref="N576:N600" si="58">+A576</f>
        <v>6721</v>
      </c>
      <c r="O576" s="575">
        <v>0</v>
      </c>
      <c r="P576" s="582">
        <v>0</v>
      </c>
      <c r="Q576" s="589"/>
      <c r="R576" s="121"/>
      <c r="S576" s="579">
        <v>0</v>
      </c>
      <c r="T576" s="580">
        <f>+IF(ABS(+O576+Q576)&lt;=ABS(P576+R576),-O576+P576-Q576+R576,0)</f>
        <v>0</v>
      </c>
      <c r="U576" s="51"/>
      <c r="V576" s="2119">
        <f>+IF(OR(+ROUND(O576,2)+ROUND(Q576,2)&gt;ROUND(P576,2)+ROUND(R576,2),+ABS(ROUND(O576,2)+ROUND(Q576,2))&gt;+ABS(ROUND(P576,2)+ROUND(R576,2))),+(ROUND(O576,2)+ROUND(Q576,2))-(ROUND(P576,2)+ROUND(R576,2)),0)</f>
        <v>0</v>
      </c>
      <c r="W576" s="43"/>
      <c r="X576" s="43"/>
      <c r="Y576" s="43"/>
      <c r="Z576" s="43"/>
    </row>
    <row r="577" spans="1:26">
      <c r="A577" s="88">
        <v>6723</v>
      </c>
      <c r="B577" s="1033" t="s">
        <v>11</v>
      </c>
      <c r="C577" s="1033"/>
      <c r="D577" s="1033"/>
      <c r="E577" s="1033"/>
      <c r="F577" s="1033"/>
      <c r="G577" s="1033"/>
      <c r="H577" s="1033"/>
      <c r="I577" s="1033"/>
      <c r="J577" s="1033"/>
      <c r="K577" s="1033"/>
      <c r="L577" s="90"/>
      <c r="M577" s="51"/>
      <c r="N577" s="113">
        <f t="shared" si="58"/>
        <v>6723</v>
      </c>
      <c r="O577" s="575">
        <v>0</v>
      </c>
      <c r="P577" s="582">
        <v>0</v>
      </c>
      <c r="Q577" s="589"/>
      <c r="R577" s="121"/>
      <c r="S577" s="579">
        <v>0</v>
      </c>
      <c r="T577" s="580">
        <f>+IF(ABS(+O577+Q577)&lt;=ABS(P577+R577),-O577+P577-Q577+R577,0)</f>
        <v>0</v>
      </c>
      <c r="U577" s="51"/>
      <c r="V577" s="2119">
        <f>+IF(OR(+ROUND(O577,2)+ROUND(Q577,2)&gt;ROUND(P577,2)+ROUND(R577,2),+ABS(ROUND(O577,2)+ROUND(Q577,2))&gt;+ABS(ROUND(P577,2)+ROUND(R577,2))),+(ROUND(O577,2)+ROUND(Q577,2))-(ROUND(P577,2)+ROUND(R577,2)),0)</f>
        <v>0</v>
      </c>
      <c r="W577" s="43"/>
      <c r="X577" s="43"/>
      <c r="Y577" s="43"/>
      <c r="Z577" s="43"/>
    </row>
    <row r="578" spans="1:26">
      <c r="A578" s="88">
        <v>6727</v>
      </c>
      <c r="B578" s="1033" t="s">
        <v>12</v>
      </c>
      <c r="C578" s="1033"/>
      <c r="D578" s="1033"/>
      <c r="E578" s="1033"/>
      <c r="F578" s="1033"/>
      <c r="G578" s="1033"/>
      <c r="H578" s="1033"/>
      <c r="I578" s="1033"/>
      <c r="J578" s="1033"/>
      <c r="K578" s="1033"/>
      <c r="L578" s="90"/>
      <c r="M578" s="51"/>
      <c r="N578" s="113">
        <f t="shared" si="58"/>
        <v>6727</v>
      </c>
      <c r="O578" s="575">
        <v>0</v>
      </c>
      <c r="P578" s="582">
        <v>0</v>
      </c>
      <c r="Q578" s="589">
        <v>0</v>
      </c>
      <c r="R578" s="121">
        <v>0</v>
      </c>
      <c r="S578" s="579">
        <v>0</v>
      </c>
      <c r="T578" s="580">
        <f>+IF(ABS(+O578+Q578)&lt;=ABS(P578+R578),-O578+P578-Q578+R578,0)</f>
        <v>0</v>
      </c>
      <c r="U578" s="51"/>
      <c r="V578" s="2119">
        <f>+IF(OR(+ROUND(O578,2)+ROUND(Q578,2)&gt;ROUND(P578,2)+ROUND(R578,2),+ABS(ROUND(O578,2)+ROUND(Q578,2))&gt;+ABS(ROUND(P578,2)+ROUND(R578,2))),+(ROUND(O578,2)+ROUND(Q578,2))-(ROUND(P578,2)+ROUND(R578,2)),0)</f>
        <v>0</v>
      </c>
      <c r="W578" s="43"/>
      <c r="X578" s="43"/>
      <c r="Y578" s="43"/>
      <c r="Z578" s="43"/>
    </row>
    <row r="579" spans="1:26">
      <c r="A579" s="88">
        <v>6791</v>
      </c>
      <c r="B579" s="378" t="s">
        <v>13</v>
      </c>
      <c r="C579" s="1033"/>
      <c r="D579" s="1033"/>
      <c r="E579" s="1033"/>
      <c r="F579" s="1033"/>
      <c r="G579" s="1033"/>
      <c r="H579" s="1033"/>
      <c r="I579" s="1033"/>
      <c r="J579" s="1033"/>
      <c r="K579" s="1033"/>
      <c r="L579" s="90"/>
      <c r="M579" s="51"/>
      <c r="N579" s="113">
        <f t="shared" si="58"/>
        <v>6791</v>
      </c>
      <c r="O579" s="575">
        <v>0</v>
      </c>
      <c r="P579" s="582">
        <v>0</v>
      </c>
      <c r="Q579" s="589"/>
      <c r="R579" s="576"/>
      <c r="S579" s="583">
        <f>+IF(ABS(+O579+Q579)&gt;=ABS(P579+R579),+O579-P579+Q579-R579,0)</f>
        <v>0</v>
      </c>
      <c r="T579" s="584">
        <v>0</v>
      </c>
      <c r="U579" s="51"/>
      <c r="V579" s="2120">
        <f>+IF(OR(ROUND(P579,2)+ROUND(R579,2)&gt;+ROUND(O579,2)+ROUND(Q579,2),+ABS(ROUND(P579,2)+ROUND(R579,2))&gt;+ABS(ROUND(O579,2)+ROUND(Q579,2))),+(ROUND(P579,2)+ROUND(R579,2))-(ROUND(O579,2)+ROUND(Q579,2)),0)</f>
        <v>0</v>
      </c>
      <c r="W579" s="43"/>
      <c r="X579" s="43"/>
      <c r="Y579" s="43"/>
      <c r="Z579" s="43"/>
    </row>
    <row r="580" spans="1:26">
      <c r="A580" s="88">
        <v>6799</v>
      </c>
      <c r="B580" s="378" t="s">
        <v>14</v>
      </c>
      <c r="C580" s="1033"/>
      <c r="D580" s="1033"/>
      <c r="E580" s="1033"/>
      <c r="F580" s="1033"/>
      <c r="G580" s="1033"/>
      <c r="H580" s="1033"/>
      <c r="I580" s="1033"/>
      <c r="J580" s="1033"/>
      <c r="K580" s="1033"/>
      <c r="L580" s="90"/>
      <c r="M580" s="51"/>
      <c r="N580" s="113">
        <f t="shared" si="58"/>
        <v>6799</v>
      </c>
      <c r="O580" s="575">
        <v>0</v>
      </c>
      <c r="P580" s="582">
        <v>0</v>
      </c>
      <c r="Q580" s="589"/>
      <c r="R580" s="121"/>
      <c r="S580" s="579">
        <v>0</v>
      </c>
      <c r="T580" s="580">
        <f t="shared" ref="T580:T600" si="59">+IF(ABS(+O580+Q580)&lt;=ABS(P580+R580),-O580+P580-Q580+R580,0)</f>
        <v>0</v>
      </c>
      <c r="U580" s="51"/>
      <c r="V580" s="2119">
        <f>+IF(OR(+ROUND(O580,2)+ROUND(Q580,2)&gt;ROUND(P580,2)+ROUND(R580,2),+ABS(ROUND(O580,2)+ROUND(Q580,2))&gt;+ABS(ROUND(P580,2)+ROUND(R580,2))),+(ROUND(O580,2)+ROUND(Q580,2))-(ROUND(P580,2)+ROUND(R580,2)),0)</f>
        <v>0</v>
      </c>
      <c r="W580" s="43"/>
      <c r="X580" s="43"/>
      <c r="Y580" s="43"/>
      <c r="Z580" s="43"/>
    </row>
    <row r="581" spans="1:26" ht="15.75" customHeight="1">
      <c r="A581" s="88">
        <v>6901</v>
      </c>
      <c r="B581" s="378" t="s">
        <v>15</v>
      </c>
      <c r="C581" s="1033"/>
      <c r="D581" s="1033"/>
      <c r="E581" s="1033"/>
      <c r="F581" s="1033"/>
      <c r="G581" s="1033"/>
      <c r="H581" s="1033"/>
      <c r="I581" s="1033"/>
      <c r="J581" s="1033"/>
      <c r="K581" s="1033"/>
      <c r="L581" s="90"/>
      <c r="M581" s="51"/>
      <c r="N581" s="113">
        <f t="shared" si="58"/>
        <v>6901</v>
      </c>
      <c r="O581" s="575">
        <v>0</v>
      </c>
      <c r="P581" s="582">
        <v>0</v>
      </c>
      <c r="Q581" s="589"/>
      <c r="R581" s="576"/>
      <c r="S581" s="583">
        <f t="shared" ref="S581:S600" si="60">+IF(ABS(+O581+Q581)&gt;=ABS(P581+R581),+O581-P581+Q581-R581,0)</f>
        <v>0</v>
      </c>
      <c r="T581" s="580">
        <f t="shared" si="59"/>
        <v>0</v>
      </c>
      <c r="U581" s="51"/>
      <c r="V581" s="2119"/>
      <c r="W581" s="43"/>
      <c r="X581" s="43"/>
      <c r="Y581" s="43"/>
      <c r="Z581" s="43"/>
    </row>
    <row r="582" spans="1:26" ht="15.75" customHeight="1">
      <c r="A582" s="88">
        <v>6902</v>
      </c>
      <c r="B582" s="378" t="s">
        <v>16</v>
      </c>
      <c r="C582" s="1033"/>
      <c r="D582" s="1033"/>
      <c r="E582" s="1033"/>
      <c r="F582" s="1033"/>
      <c r="G582" s="1033"/>
      <c r="H582" s="1033"/>
      <c r="I582" s="1033"/>
      <c r="J582" s="1033"/>
      <c r="K582" s="1033"/>
      <c r="L582" s="90"/>
      <c r="M582" s="51"/>
      <c r="N582" s="113">
        <f t="shared" si="58"/>
        <v>6902</v>
      </c>
      <c r="O582" s="575">
        <v>0</v>
      </c>
      <c r="P582" s="582">
        <v>0</v>
      </c>
      <c r="Q582" s="589"/>
      <c r="R582" s="576"/>
      <c r="S582" s="583">
        <f t="shared" si="60"/>
        <v>0</v>
      </c>
      <c r="T582" s="580">
        <f t="shared" si="59"/>
        <v>0</v>
      </c>
      <c r="U582" s="51"/>
      <c r="V582" s="2119"/>
      <c r="W582" s="43"/>
      <c r="X582" s="43"/>
      <c r="Y582" s="43"/>
      <c r="Z582" s="43"/>
    </row>
    <row r="583" spans="1:26" ht="15.75" customHeight="1">
      <c r="A583" s="88">
        <v>6903</v>
      </c>
      <c r="B583" s="378" t="s">
        <v>17</v>
      </c>
      <c r="C583" s="1033"/>
      <c r="D583" s="1033"/>
      <c r="E583" s="1033"/>
      <c r="F583" s="1033"/>
      <c r="G583" s="1033"/>
      <c r="H583" s="1033"/>
      <c r="I583" s="1033"/>
      <c r="J583" s="1033"/>
      <c r="K583" s="1033"/>
      <c r="L583" s="90"/>
      <c r="M583" s="51"/>
      <c r="N583" s="113">
        <f t="shared" si="58"/>
        <v>6903</v>
      </c>
      <c r="O583" s="575">
        <v>0</v>
      </c>
      <c r="P583" s="582">
        <v>0</v>
      </c>
      <c r="Q583" s="589"/>
      <c r="R583" s="576"/>
      <c r="S583" s="583">
        <f t="shared" si="60"/>
        <v>0</v>
      </c>
      <c r="T583" s="580">
        <f t="shared" si="59"/>
        <v>0</v>
      </c>
      <c r="U583" s="51"/>
      <c r="V583" s="2119"/>
      <c r="W583" s="43"/>
      <c r="X583" s="43"/>
      <c r="Y583" s="43"/>
      <c r="Z583" s="43"/>
    </row>
    <row r="584" spans="1:26" ht="15.75" customHeight="1">
      <c r="A584" s="88">
        <v>6904</v>
      </c>
      <c r="B584" s="378" t="s">
        <v>18</v>
      </c>
      <c r="C584" s="1033"/>
      <c r="D584" s="1033"/>
      <c r="E584" s="1033"/>
      <c r="F584" s="1033"/>
      <c r="G584" s="1033"/>
      <c r="H584" s="1033"/>
      <c r="I584" s="1033"/>
      <c r="J584" s="1033"/>
      <c r="K584" s="1033"/>
      <c r="L584" s="90"/>
      <c r="M584" s="51"/>
      <c r="N584" s="113">
        <f t="shared" si="58"/>
        <v>6904</v>
      </c>
      <c r="O584" s="575">
        <v>0</v>
      </c>
      <c r="P584" s="582">
        <v>0</v>
      </c>
      <c r="Q584" s="589"/>
      <c r="R584" s="576"/>
      <c r="S584" s="583">
        <f t="shared" si="60"/>
        <v>0</v>
      </c>
      <c r="T584" s="580">
        <f t="shared" si="59"/>
        <v>0</v>
      </c>
      <c r="U584" s="51"/>
      <c r="V584" s="2119"/>
      <c r="W584" s="43"/>
      <c r="X584" s="43"/>
      <c r="Y584" s="43"/>
      <c r="Z584" s="43"/>
    </row>
    <row r="585" spans="1:26" ht="15.75" customHeight="1">
      <c r="A585" s="88">
        <v>6905</v>
      </c>
      <c r="B585" s="378" t="s">
        <v>19</v>
      </c>
      <c r="C585" s="1033"/>
      <c r="D585" s="1033"/>
      <c r="E585" s="1033"/>
      <c r="F585" s="1033"/>
      <c r="G585" s="1033"/>
      <c r="H585" s="1033"/>
      <c r="I585" s="1033"/>
      <c r="J585" s="1033"/>
      <c r="K585" s="1033"/>
      <c r="L585" s="90"/>
      <c r="M585" s="51"/>
      <c r="N585" s="113">
        <f t="shared" si="58"/>
        <v>6905</v>
      </c>
      <c r="O585" s="575">
        <v>0</v>
      </c>
      <c r="P585" s="582">
        <v>0</v>
      </c>
      <c r="Q585" s="589"/>
      <c r="R585" s="576"/>
      <c r="S585" s="583">
        <f t="shared" si="60"/>
        <v>0</v>
      </c>
      <c r="T585" s="580">
        <f t="shared" si="59"/>
        <v>0</v>
      </c>
      <c r="U585" s="51"/>
      <c r="V585" s="2119"/>
      <c r="W585" s="43"/>
      <c r="X585" s="43"/>
      <c r="Y585" s="43"/>
      <c r="Z585" s="43"/>
    </row>
    <row r="586" spans="1:26" ht="15.75" customHeight="1">
      <c r="A586" s="88">
        <v>6906</v>
      </c>
      <c r="B586" s="378" t="s">
        <v>20</v>
      </c>
      <c r="C586" s="1033"/>
      <c r="D586" s="1033"/>
      <c r="E586" s="1033"/>
      <c r="F586" s="1033"/>
      <c r="G586" s="1033"/>
      <c r="H586" s="1033"/>
      <c r="I586" s="1033"/>
      <c r="J586" s="1033"/>
      <c r="K586" s="1033"/>
      <c r="L586" s="90"/>
      <c r="M586" s="51"/>
      <c r="N586" s="113">
        <f t="shared" si="58"/>
        <v>6906</v>
      </c>
      <c r="O586" s="575">
        <v>0</v>
      </c>
      <c r="P586" s="582">
        <v>0</v>
      </c>
      <c r="Q586" s="589"/>
      <c r="R586" s="576"/>
      <c r="S586" s="583">
        <f t="shared" si="60"/>
        <v>0</v>
      </c>
      <c r="T586" s="580">
        <f t="shared" si="59"/>
        <v>0</v>
      </c>
      <c r="U586" s="51"/>
      <c r="V586" s="2119"/>
      <c r="W586" s="43"/>
      <c r="X586" s="43"/>
      <c r="Y586" s="43"/>
      <c r="Z586" s="43"/>
    </row>
    <row r="587" spans="1:26" ht="15.75" customHeight="1">
      <c r="A587" s="88">
        <v>6910</v>
      </c>
      <c r="B587" s="378" t="s">
        <v>21</v>
      </c>
      <c r="C587" s="1033"/>
      <c r="D587" s="1033"/>
      <c r="E587" s="1033"/>
      <c r="F587" s="1033"/>
      <c r="G587" s="1033"/>
      <c r="H587" s="1033"/>
      <c r="I587" s="1033"/>
      <c r="J587" s="1033"/>
      <c r="K587" s="1033"/>
      <c r="L587" s="90"/>
      <c r="M587" s="51"/>
      <c r="N587" s="113">
        <f t="shared" si="58"/>
        <v>6910</v>
      </c>
      <c r="O587" s="575">
        <v>0</v>
      </c>
      <c r="P587" s="582">
        <v>0</v>
      </c>
      <c r="Q587" s="589"/>
      <c r="R587" s="576"/>
      <c r="S587" s="583">
        <f t="shared" si="60"/>
        <v>0</v>
      </c>
      <c r="T587" s="580">
        <f t="shared" si="59"/>
        <v>0</v>
      </c>
      <c r="U587" s="51"/>
      <c r="V587" s="2119"/>
      <c r="W587" s="43"/>
      <c r="X587" s="43"/>
      <c r="Y587" s="43"/>
      <c r="Z587" s="43"/>
    </row>
    <row r="588" spans="1:26">
      <c r="A588" s="88">
        <v>6911</v>
      </c>
      <c r="B588" s="1033" t="s">
        <v>22</v>
      </c>
      <c r="C588" s="1033"/>
      <c r="D588" s="1033"/>
      <c r="E588" s="1033"/>
      <c r="F588" s="1033"/>
      <c r="G588" s="1033"/>
      <c r="H588" s="1033"/>
      <c r="I588" s="1033"/>
      <c r="J588" s="1033"/>
      <c r="K588" s="1033"/>
      <c r="L588" s="90"/>
      <c r="M588" s="51"/>
      <c r="N588" s="113">
        <f t="shared" si="58"/>
        <v>6911</v>
      </c>
      <c r="O588" s="575">
        <v>0</v>
      </c>
      <c r="P588" s="582">
        <v>0</v>
      </c>
      <c r="Q588" s="589"/>
      <c r="R588" s="576"/>
      <c r="S588" s="583">
        <f t="shared" si="60"/>
        <v>0</v>
      </c>
      <c r="T588" s="580">
        <f t="shared" si="59"/>
        <v>0</v>
      </c>
      <c r="U588" s="51"/>
      <c r="V588" s="2119"/>
      <c r="W588" s="43"/>
      <c r="X588" s="43"/>
      <c r="Y588" s="43"/>
      <c r="Z588" s="43"/>
    </row>
    <row r="589" spans="1:26">
      <c r="A589" s="88">
        <v>6912</v>
      </c>
      <c r="B589" s="1033" t="s">
        <v>23</v>
      </c>
      <c r="C589" s="1033"/>
      <c r="D589" s="1033"/>
      <c r="E589" s="1033"/>
      <c r="F589" s="1033"/>
      <c r="G589" s="1033"/>
      <c r="H589" s="1033"/>
      <c r="I589" s="1033"/>
      <c r="J589" s="1033"/>
      <c r="K589" s="1033"/>
      <c r="L589" s="90"/>
      <c r="M589" s="51"/>
      <c r="N589" s="113">
        <f t="shared" si="58"/>
        <v>6912</v>
      </c>
      <c r="O589" s="575">
        <v>0</v>
      </c>
      <c r="P589" s="582">
        <v>0</v>
      </c>
      <c r="Q589" s="589"/>
      <c r="R589" s="576"/>
      <c r="S589" s="583">
        <f t="shared" si="60"/>
        <v>0</v>
      </c>
      <c r="T589" s="580">
        <f t="shared" si="59"/>
        <v>0</v>
      </c>
      <c r="U589" s="51"/>
      <c r="V589" s="2119"/>
      <c r="W589" s="43"/>
      <c r="X589" s="43"/>
      <c r="Y589" s="43"/>
      <c r="Z589" s="43"/>
    </row>
    <row r="590" spans="1:26" ht="15.75" customHeight="1">
      <c r="A590" s="88">
        <v>6915</v>
      </c>
      <c r="B590" s="1033" t="s">
        <v>24</v>
      </c>
      <c r="C590" s="1033"/>
      <c r="D590" s="1033"/>
      <c r="E590" s="1033"/>
      <c r="F590" s="1033"/>
      <c r="G590" s="1033"/>
      <c r="H590" s="1033"/>
      <c r="I590" s="1033"/>
      <c r="J590" s="1033"/>
      <c r="K590" s="1033"/>
      <c r="L590" s="90"/>
      <c r="M590" s="51"/>
      <c r="N590" s="113">
        <f t="shared" si="58"/>
        <v>6915</v>
      </c>
      <c r="O590" s="575">
        <v>0</v>
      </c>
      <c r="P590" s="582">
        <v>0</v>
      </c>
      <c r="Q590" s="589">
        <v>0</v>
      </c>
      <c r="R590" s="576">
        <v>0</v>
      </c>
      <c r="S590" s="583">
        <f t="shared" si="60"/>
        <v>0</v>
      </c>
      <c r="T590" s="580">
        <f t="shared" si="59"/>
        <v>0</v>
      </c>
      <c r="U590" s="51"/>
      <c r="V590" s="2119"/>
      <c r="W590" s="43"/>
      <c r="X590" s="43"/>
      <c r="Y590" s="43"/>
      <c r="Z590" s="43"/>
    </row>
    <row r="591" spans="1:26" ht="15.75" customHeight="1">
      <c r="A591" s="88">
        <v>6916</v>
      </c>
      <c r="B591" s="1033" t="s">
        <v>25</v>
      </c>
      <c r="C591" s="1033"/>
      <c r="D591" s="1033"/>
      <c r="E591" s="1033"/>
      <c r="F591" s="1033"/>
      <c r="G591" s="1033"/>
      <c r="H591" s="1033"/>
      <c r="I591" s="1033"/>
      <c r="J591" s="1033"/>
      <c r="K591" s="1033"/>
      <c r="L591" s="90"/>
      <c r="M591" s="51"/>
      <c r="N591" s="113">
        <f t="shared" si="58"/>
        <v>6916</v>
      </c>
      <c r="O591" s="575">
        <v>0</v>
      </c>
      <c r="P591" s="582">
        <v>0</v>
      </c>
      <c r="Q591" s="589"/>
      <c r="R591" s="576"/>
      <c r="S591" s="583">
        <f t="shared" si="60"/>
        <v>0</v>
      </c>
      <c r="T591" s="580">
        <f t="shared" si="59"/>
        <v>0</v>
      </c>
      <c r="U591" s="51"/>
      <c r="V591" s="2119"/>
      <c r="W591" s="43"/>
      <c r="X591" s="43"/>
      <c r="Y591" s="43"/>
      <c r="Z591" s="43"/>
    </row>
    <row r="592" spans="1:26">
      <c r="A592" s="88">
        <v>6917</v>
      </c>
      <c r="B592" s="1033" t="s">
        <v>26</v>
      </c>
      <c r="C592" s="1033"/>
      <c r="D592" s="1033"/>
      <c r="E592" s="1033"/>
      <c r="F592" s="1033"/>
      <c r="G592" s="1033"/>
      <c r="H592" s="1033"/>
      <c r="I592" s="1033"/>
      <c r="J592" s="1033"/>
      <c r="K592" s="1033"/>
      <c r="L592" s="90"/>
      <c r="M592" s="51"/>
      <c r="N592" s="113">
        <f t="shared" si="58"/>
        <v>6917</v>
      </c>
      <c r="O592" s="575">
        <v>0</v>
      </c>
      <c r="P592" s="582">
        <v>0</v>
      </c>
      <c r="Q592" s="589">
        <v>0</v>
      </c>
      <c r="R592" s="576">
        <v>0</v>
      </c>
      <c r="S592" s="583">
        <f t="shared" si="60"/>
        <v>0</v>
      </c>
      <c r="T592" s="580">
        <f t="shared" si="59"/>
        <v>0</v>
      </c>
      <c r="U592" s="51"/>
      <c r="V592" s="2119"/>
      <c r="W592" s="43"/>
      <c r="X592" s="43"/>
      <c r="Y592" s="43"/>
      <c r="Z592" s="43"/>
    </row>
    <row r="593" spans="1:26">
      <c r="A593" s="88">
        <v>6918</v>
      </c>
      <c r="B593" s="1033" t="s">
        <v>27</v>
      </c>
      <c r="C593" s="1033"/>
      <c r="D593" s="1033"/>
      <c r="E593" s="1033"/>
      <c r="F593" s="1033"/>
      <c r="G593" s="1033"/>
      <c r="H593" s="1033"/>
      <c r="I593" s="1033"/>
      <c r="J593" s="1033"/>
      <c r="K593" s="1033"/>
      <c r="L593" s="90"/>
      <c r="M593" s="51"/>
      <c r="N593" s="113">
        <f t="shared" si="58"/>
        <v>6918</v>
      </c>
      <c r="O593" s="575">
        <v>0</v>
      </c>
      <c r="P593" s="582">
        <v>0</v>
      </c>
      <c r="Q593" s="589">
        <v>0</v>
      </c>
      <c r="R593" s="576">
        <v>0</v>
      </c>
      <c r="S593" s="583">
        <f t="shared" si="60"/>
        <v>0</v>
      </c>
      <c r="T593" s="580">
        <f t="shared" si="59"/>
        <v>0</v>
      </c>
      <c r="U593" s="51"/>
      <c r="V593" s="2119"/>
      <c r="W593" s="43"/>
      <c r="X593" s="43"/>
      <c r="Y593" s="43"/>
      <c r="Z593" s="43"/>
    </row>
    <row r="594" spans="1:26" ht="15.75" customHeight="1">
      <c r="A594" s="88">
        <v>6992</v>
      </c>
      <c r="B594" s="1033" t="s">
        <v>28</v>
      </c>
      <c r="C594" s="1033"/>
      <c r="D594" s="1033"/>
      <c r="E594" s="1033"/>
      <c r="F594" s="1033"/>
      <c r="G594" s="1033"/>
      <c r="H594" s="1033"/>
      <c r="I594" s="1033"/>
      <c r="J594" s="1033"/>
      <c r="K594" s="1033"/>
      <c r="L594" s="90"/>
      <c r="M594" s="51"/>
      <c r="N594" s="113">
        <f t="shared" si="58"/>
        <v>6992</v>
      </c>
      <c r="O594" s="575">
        <v>0</v>
      </c>
      <c r="P594" s="582">
        <v>0</v>
      </c>
      <c r="Q594" s="589">
        <v>0</v>
      </c>
      <c r="R594" s="576">
        <v>0</v>
      </c>
      <c r="S594" s="583">
        <f t="shared" si="60"/>
        <v>0</v>
      </c>
      <c r="T594" s="580">
        <f t="shared" si="59"/>
        <v>0</v>
      </c>
      <c r="U594" s="51"/>
      <c r="V594" s="2119"/>
      <c r="W594" s="43"/>
      <c r="X594" s="43"/>
      <c r="Y594" s="43"/>
      <c r="Z594" s="43"/>
    </row>
    <row r="595" spans="1:26" ht="15.75" customHeight="1">
      <c r="A595" s="88">
        <v>6993</v>
      </c>
      <c r="B595" s="1033" t="s">
        <v>29</v>
      </c>
      <c r="C595" s="1033"/>
      <c r="D595" s="1033"/>
      <c r="E595" s="1033"/>
      <c r="F595" s="1033"/>
      <c r="G595" s="1033"/>
      <c r="H595" s="1033"/>
      <c r="I595" s="1033"/>
      <c r="J595" s="1033"/>
      <c r="K595" s="1033"/>
      <c r="L595" s="90"/>
      <c r="M595" s="51"/>
      <c r="N595" s="113">
        <f t="shared" si="58"/>
        <v>6993</v>
      </c>
      <c r="O595" s="575">
        <v>0</v>
      </c>
      <c r="P595" s="582">
        <v>0</v>
      </c>
      <c r="Q595" s="589"/>
      <c r="R595" s="576"/>
      <c r="S595" s="583">
        <f t="shared" si="60"/>
        <v>0</v>
      </c>
      <c r="T595" s="580">
        <f t="shared" si="59"/>
        <v>0</v>
      </c>
      <c r="U595" s="51"/>
      <c r="V595" s="2119"/>
      <c r="W595" s="43"/>
      <c r="X595" s="43"/>
      <c r="Y595" s="43"/>
      <c r="Z595" s="43"/>
    </row>
    <row r="596" spans="1:26" ht="15.75" customHeight="1">
      <c r="A596" s="88">
        <v>6994</v>
      </c>
      <c r="B596" s="1033" t="s">
        <v>30</v>
      </c>
      <c r="C596" s="1033"/>
      <c r="D596" s="1033"/>
      <c r="E596" s="1033"/>
      <c r="F596" s="1033"/>
      <c r="G596" s="1033"/>
      <c r="H596" s="1033"/>
      <c r="I596" s="1033"/>
      <c r="J596" s="1033"/>
      <c r="K596" s="1033"/>
      <c r="L596" s="90"/>
      <c r="M596" s="51"/>
      <c r="N596" s="113">
        <f t="shared" si="58"/>
        <v>6994</v>
      </c>
      <c r="O596" s="575">
        <v>0</v>
      </c>
      <c r="P596" s="582">
        <v>0</v>
      </c>
      <c r="Q596" s="589"/>
      <c r="R596" s="576"/>
      <c r="S596" s="583">
        <f t="shared" si="60"/>
        <v>0</v>
      </c>
      <c r="T596" s="580">
        <f t="shared" si="59"/>
        <v>0</v>
      </c>
      <c r="U596" s="51"/>
      <c r="V596" s="2119"/>
      <c r="W596" s="43"/>
      <c r="X596" s="43"/>
      <c r="Y596" s="43"/>
      <c r="Z596" s="43"/>
    </row>
    <row r="597" spans="1:26" ht="15.75" customHeight="1">
      <c r="A597" s="88">
        <v>6995</v>
      </c>
      <c r="B597" s="1033" t="s">
        <v>31</v>
      </c>
      <c r="C597" s="1033"/>
      <c r="D597" s="1033"/>
      <c r="E597" s="1033"/>
      <c r="F597" s="1033"/>
      <c r="G597" s="1033"/>
      <c r="H597" s="1033"/>
      <c r="I597" s="1033"/>
      <c r="J597" s="1033"/>
      <c r="K597" s="1033"/>
      <c r="L597" s="90"/>
      <c r="M597" s="51"/>
      <c r="N597" s="113">
        <f t="shared" si="58"/>
        <v>6995</v>
      </c>
      <c r="O597" s="575">
        <v>0</v>
      </c>
      <c r="P597" s="582">
        <v>0</v>
      </c>
      <c r="Q597" s="589"/>
      <c r="R597" s="576"/>
      <c r="S597" s="583">
        <f t="shared" si="60"/>
        <v>0</v>
      </c>
      <c r="T597" s="580">
        <f t="shared" si="59"/>
        <v>0</v>
      </c>
      <c r="U597" s="51"/>
      <c r="V597" s="2119"/>
      <c r="W597" s="43"/>
      <c r="X597" s="43"/>
      <c r="Y597" s="43"/>
      <c r="Z597" s="43"/>
    </row>
    <row r="598" spans="1:26" ht="15.75" customHeight="1">
      <c r="A598" s="88">
        <v>6996</v>
      </c>
      <c r="B598" s="1033" t="s">
        <v>32</v>
      </c>
      <c r="C598" s="1033"/>
      <c r="D598" s="1033"/>
      <c r="E598" s="1033"/>
      <c r="F598" s="1033"/>
      <c r="G598" s="1033"/>
      <c r="H598" s="1033"/>
      <c r="I598" s="1033"/>
      <c r="J598" s="1033"/>
      <c r="K598" s="1033"/>
      <c r="L598" s="90"/>
      <c r="M598" s="51"/>
      <c r="N598" s="113">
        <f t="shared" si="58"/>
        <v>6996</v>
      </c>
      <c r="O598" s="575">
        <v>0</v>
      </c>
      <c r="P598" s="582">
        <v>0</v>
      </c>
      <c r="Q598" s="589"/>
      <c r="R598" s="576"/>
      <c r="S598" s="583">
        <f t="shared" si="60"/>
        <v>0</v>
      </c>
      <c r="T598" s="580">
        <f t="shared" si="59"/>
        <v>0</v>
      </c>
      <c r="U598" s="51"/>
      <c r="V598" s="2119"/>
      <c r="W598" s="43"/>
      <c r="X598" s="43"/>
      <c r="Y598" s="43"/>
      <c r="Z598" s="43"/>
    </row>
    <row r="599" spans="1:26" ht="15.75" customHeight="1">
      <c r="A599" s="88">
        <v>6997</v>
      </c>
      <c r="B599" s="1033" t="s">
        <v>33</v>
      </c>
      <c r="C599" s="1033"/>
      <c r="D599" s="1033"/>
      <c r="E599" s="1033"/>
      <c r="F599" s="1033"/>
      <c r="G599" s="1033"/>
      <c r="H599" s="1033"/>
      <c r="I599" s="1033"/>
      <c r="J599" s="1033"/>
      <c r="K599" s="1033"/>
      <c r="L599" s="90"/>
      <c r="M599" s="51"/>
      <c r="N599" s="113">
        <f t="shared" si="58"/>
        <v>6997</v>
      </c>
      <c r="O599" s="575">
        <v>0</v>
      </c>
      <c r="P599" s="582">
        <v>0</v>
      </c>
      <c r="Q599" s="589"/>
      <c r="R599" s="576"/>
      <c r="S599" s="583">
        <f t="shared" si="60"/>
        <v>0</v>
      </c>
      <c r="T599" s="580">
        <f t="shared" si="59"/>
        <v>0</v>
      </c>
      <c r="U599" s="51"/>
      <c r="V599" s="2119"/>
      <c r="W599" s="43"/>
      <c r="X599" s="43"/>
      <c r="Y599" s="43"/>
      <c r="Z599" s="43"/>
    </row>
    <row r="600" spans="1:26" ht="15.75" customHeight="1">
      <c r="A600" s="88">
        <v>6998</v>
      </c>
      <c r="B600" s="1033" t="s">
        <v>34</v>
      </c>
      <c r="C600" s="1033"/>
      <c r="D600" s="1033"/>
      <c r="E600" s="1033"/>
      <c r="F600" s="1033"/>
      <c r="G600" s="1033"/>
      <c r="H600" s="1033"/>
      <c r="I600" s="1033"/>
      <c r="J600" s="1033"/>
      <c r="K600" s="1033"/>
      <c r="L600" s="90"/>
      <c r="M600" s="51"/>
      <c r="N600" s="113">
        <f t="shared" si="58"/>
        <v>6998</v>
      </c>
      <c r="O600" s="575">
        <v>0</v>
      </c>
      <c r="P600" s="582">
        <v>0</v>
      </c>
      <c r="Q600" s="589"/>
      <c r="R600" s="576"/>
      <c r="S600" s="583">
        <f t="shared" si="60"/>
        <v>0</v>
      </c>
      <c r="T600" s="580">
        <f t="shared" si="59"/>
        <v>0</v>
      </c>
      <c r="U600" s="51"/>
      <c r="V600" s="2119"/>
      <c r="W600" s="43"/>
      <c r="X600" s="43"/>
      <c r="Y600" s="43"/>
      <c r="Z600" s="43"/>
    </row>
    <row r="601" spans="1:26">
      <c r="A601" s="1030" t="s">
        <v>1160</v>
      </c>
      <c r="B601" s="399"/>
      <c r="C601" s="399"/>
      <c r="D601" s="399"/>
      <c r="E601" s="399"/>
      <c r="F601" s="399"/>
      <c r="G601" s="399"/>
      <c r="H601" s="399"/>
      <c r="I601" s="399"/>
      <c r="J601" s="399"/>
      <c r="K601" s="399"/>
      <c r="L601" s="381"/>
      <c r="M601" s="51"/>
      <c r="N601" s="383">
        <v>7</v>
      </c>
      <c r="O601" s="384"/>
      <c r="P601" s="385"/>
      <c r="Q601" s="386"/>
      <c r="R601" s="385"/>
      <c r="S601" s="386"/>
      <c r="T601" s="387"/>
      <c r="U601" s="51"/>
      <c r="V601" s="2119"/>
      <c r="W601" s="43"/>
      <c r="X601" s="43"/>
      <c r="Y601" s="43"/>
      <c r="Z601" s="43"/>
    </row>
    <row r="602" spans="1:26">
      <c r="A602" s="85">
        <v>7011</v>
      </c>
      <c r="B602" s="419" t="s">
        <v>667</v>
      </c>
      <c r="C602" s="86"/>
      <c r="D602" s="86"/>
      <c r="E602" s="86"/>
      <c r="F602" s="86"/>
      <c r="G602" s="86"/>
      <c r="H602" s="86"/>
      <c r="I602" s="86"/>
      <c r="J602" s="86"/>
      <c r="K602" s="86"/>
      <c r="L602" s="87"/>
      <c r="M602" s="51"/>
      <c r="N602" s="112">
        <f t="shared" ref="N602:N665" si="61">+A602</f>
        <v>7011</v>
      </c>
      <c r="O602" s="328">
        <v>0</v>
      </c>
      <c r="P602" s="329">
        <v>0</v>
      </c>
      <c r="Q602" s="325">
        <v>0</v>
      </c>
      <c r="R602" s="324">
        <v>0</v>
      </c>
      <c r="S602" s="326">
        <f t="shared" ref="S602:S665" si="62">+IF(ABS(+O602+Q602)&gt;=ABS(P602+R602),+O602-P602+Q602-R602,0)</f>
        <v>0</v>
      </c>
      <c r="T602" s="327">
        <f>+IF(ABS(+O602+Q602)&lt;=ABS(P602+R602),-O602+P602-Q602+R602,0)</f>
        <v>0</v>
      </c>
      <c r="U602" s="51"/>
      <c r="V602" s="2119"/>
      <c r="W602" s="43"/>
      <c r="X602" s="43"/>
      <c r="Y602" s="43"/>
      <c r="Z602" s="43"/>
    </row>
    <row r="603" spans="1:26">
      <c r="A603" s="88">
        <v>7012</v>
      </c>
      <c r="B603" s="1032" t="s">
        <v>668</v>
      </c>
      <c r="C603" s="1033"/>
      <c r="D603" s="1033"/>
      <c r="E603" s="1033"/>
      <c r="F603" s="1033"/>
      <c r="G603" s="1033"/>
      <c r="H603" s="1033"/>
      <c r="I603" s="1033"/>
      <c r="J603" s="1033"/>
      <c r="K603" s="1033"/>
      <c r="L603" s="90"/>
      <c r="M603" s="51"/>
      <c r="N603" s="113">
        <f t="shared" si="61"/>
        <v>7012</v>
      </c>
      <c r="O603" s="8">
        <v>0</v>
      </c>
      <c r="P603" s="9">
        <v>0</v>
      </c>
      <c r="Q603" s="122"/>
      <c r="R603" s="121"/>
      <c r="S603" s="583">
        <f t="shared" si="62"/>
        <v>0</v>
      </c>
      <c r="T603" s="580">
        <f>+IF(ABS(+O603+Q603)&lt;=ABS(P603+R603),-O603+P603-Q603+R603,0)</f>
        <v>0</v>
      </c>
      <c r="U603" s="51"/>
      <c r="V603" s="2119"/>
      <c r="W603" s="43"/>
      <c r="X603" s="43"/>
      <c r="Y603" s="43"/>
      <c r="Z603" s="43"/>
    </row>
    <row r="604" spans="1:26">
      <c r="A604" s="88">
        <v>7013</v>
      </c>
      <c r="B604" s="1032" t="s">
        <v>669</v>
      </c>
      <c r="C604" s="1033"/>
      <c r="D604" s="1033"/>
      <c r="E604" s="1033"/>
      <c r="F604" s="1033"/>
      <c r="G604" s="1033"/>
      <c r="H604" s="1033"/>
      <c r="I604" s="1033"/>
      <c r="J604" s="1033"/>
      <c r="K604" s="1033"/>
      <c r="L604" s="90"/>
      <c r="M604" s="51"/>
      <c r="N604" s="113">
        <f t="shared" si="61"/>
        <v>7013</v>
      </c>
      <c r="O604" s="8">
        <v>0</v>
      </c>
      <c r="P604" s="9">
        <v>0</v>
      </c>
      <c r="Q604" s="122"/>
      <c r="R604" s="576"/>
      <c r="S604" s="583">
        <f t="shared" si="62"/>
        <v>0</v>
      </c>
      <c r="T604" s="584">
        <v>0</v>
      </c>
      <c r="U604" s="51"/>
      <c r="V604" s="2120">
        <f>+IF(OR(ROUND(P604,2)+ROUND(R604,2)&gt;+ROUND(O604,2)+ROUND(Q604,2),+ABS(ROUND(P604,2)+ROUND(R604,2))&gt;+ABS(ROUND(O604,2)+ROUND(Q604,2))),+(ROUND(P604,2)+ROUND(R604,2))-(ROUND(O604,2)+ROUND(Q604,2)),0)</f>
        <v>0</v>
      </c>
      <c r="W604" s="43"/>
      <c r="X604" s="43"/>
      <c r="Y604" s="43"/>
      <c r="Z604" s="43"/>
    </row>
    <row r="605" spans="1:26">
      <c r="A605" s="88">
        <v>7014</v>
      </c>
      <c r="B605" s="1032" t="s">
        <v>670</v>
      </c>
      <c r="C605" s="1033"/>
      <c r="D605" s="1033"/>
      <c r="E605" s="1033"/>
      <c r="F605" s="1033"/>
      <c r="G605" s="1033"/>
      <c r="H605" s="1033"/>
      <c r="I605" s="1033"/>
      <c r="J605" s="1033"/>
      <c r="K605" s="1033"/>
      <c r="L605" s="90"/>
      <c r="M605" s="51"/>
      <c r="N605" s="113">
        <f t="shared" si="61"/>
        <v>7014</v>
      </c>
      <c r="O605" s="8">
        <v>0</v>
      </c>
      <c r="P605" s="9">
        <v>0</v>
      </c>
      <c r="Q605" s="122">
        <v>0</v>
      </c>
      <c r="R605" s="121">
        <v>0</v>
      </c>
      <c r="S605" s="583">
        <f t="shared" si="62"/>
        <v>0</v>
      </c>
      <c r="T605" s="580">
        <f>+IF(ABS(+O605+Q605)&lt;=ABS(P605+R605),-O605+P605-Q605+R605,0)</f>
        <v>0</v>
      </c>
      <c r="U605" s="51"/>
      <c r="V605" s="2119"/>
      <c r="W605" s="43"/>
      <c r="X605" s="43"/>
      <c r="Y605" s="43"/>
      <c r="Z605" s="43"/>
    </row>
    <row r="606" spans="1:26">
      <c r="A606" s="88">
        <v>7041</v>
      </c>
      <c r="B606" s="1032" t="s">
        <v>1936</v>
      </c>
      <c r="C606" s="1033"/>
      <c r="D606" s="1033"/>
      <c r="E606" s="1033"/>
      <c r="F606" s="1033"/>
      <c r="G606" s="1033"/>
      <c r="H606" s="1033"/>
      <c r="I606" s="1033"/>
      <c r="J606" s="1033"/>
      <c r="K606" s="1033"/>
      <c r="L606" s="90"/>
      <c r="M606" s="51"/>
      <c r="N606" s="113">
        <f t="shared" si="61"/>
        <v>7041</v>
      </c>
      <c r="O606" s="8">
        <v>0</v>
      </c>
      <c r="P606" s="9">
        <v>0</v>
      </c>
      <c r="Q606" s="122">
        <v>0</v>
      </c>
      <c r="R606" s="121">
        <v>0</v>
      </c>
      <c r="S606" s="583">
        <f t="shared" si="62"/>
        <v>0</v>
      </c>
      <c r="T606" s="580">
        <f>+IF(ABS(+O606+Q606)&lt;=ABS(P606+R606),-O606+P606-Q606+R606,0)</f>
        <v>0</v>
      </c>
      <c r="U606" s="51"/>
      <c r="V606" s="2119"/>
      <c r="W606" s="43"/>
      <c r="X606" s="43"/>
      <c r="Y606" s="43"/>
      <c r="Z606" s="43"/>
    </row>
    <row r="607" spans="1:26">
      <c r="A607" s="88">
        <v>7042</v>
      </c>
      <c r="B607" s="1032" t="s">
        <v>1937</v>
      </c>
      <c r="C607" s="1033"/>
      <c r="D607" s="1033"/>
      <c r="E607" s="1033"/>
      <c r="F607" s="1033"/>
      <c r="G607" s="1033"/>
      <c r="H607" s="1033"/>
      <c r="I607" s="1033"/>
      <c r="J607" s="1033"/>
      <c r="K607" s="1033"/>
      <c r="L607" s="90"/>
      <c r="M607" s="51"/>
      <c r="N607" s="113">
        <f t="shared" si="61"/>
        <v>7042</v>
      </c>
      <c r="O607" s="575">
        <v>0</v>
      </c>
      <c r="P607" s="582">
        <v>0</v>
      </c>
      <c r="Q607" s="122"/>
      <c r="R607" s="121"/>
      <c r="S607" s="583">
        <f t="shared" si="62"/>
        <v>0</v>
      </c>
      <c r="T607" s="580">
        <f>+IF(ABS(+O607+Q607)&lt;=ABS(P607+R607),-O607+P607-Q607+R607,0)</f>
        <v>0</v>
      </c>
      <c r="U607" s="51"/>
      <c r="V607" s="2119"/>
      <c r="W607" s="43"/>
      <c r="X607" s="43"/>
      <c r="Y607" s="43"/>
      <c r="Z607" s="43"/>
    </row>
    <row r="608" spans="1:26">
      <c r="A608" s="88">
        <v>7043</v>
      </c>
      <c r="B608" s="1032" t="s">
        <v>1938</v>
      </c>
      <c r="C608" s="1033"/>
      <c r="D608" s="1033"/>
      <c r="E608" s="1033"/>
      <c r="F608" s="1033"/>
      <c r="G608" s="1033"/>
      <c r="H608" s="1033"/>
      <c r="I608" s="1033"/>
      <c r="J608" s="1033"/>
      <c r="K608" s="1033"/>
      <c r="L608" s="90"/>
      <c r="M608" s="51"/>
      <c r="N608" s="113">
        <f t="shared" si="61"/>
        <v>7043</v>
      </c>
      <c r="O608" s="575">
        <v>0</v>
      </c>
      <c r="P608" s="582">
        <v>0</v>
      </c>
      <c r="Q608" s="122"/>
      <c r="R608" s="576"/>
      <c r="S608" s="583">
        <f t="shared" si="62"/>
        <v>0</v>
      </c>
      <c r="T608" s="584">
        <v>0</v>
      </c>
      <c r="U608" s="51"/>
      <c r="V608" s="2120">
        <f>+IF(OR(ROUND(P608,2)+ROUND(R608,2)&gt;+ROUND(O608,2)+ROUND(Q608,2),+ABS(ROUND(P608,2)+ROUND(R608,2))&gt;+ABS(ROUND(O608,2)+ROUND(Q608,2))),+(ROUND(P608,2)+ROUND(R608,2))-(ROUND(O608,2)+ROUND(Q608,2)),0)</f>
        <v>0</v>
      </c>
      <c r="W608" s="43"/>
      <c r="X608" s="43"/>
      <c r="Y608" s="43"/>
      <c r="Z608" s="43"/>
    </row>
    <row r="609" spans="1:26">
      <c r="A609" s="88">
        <v>7044</v>
      </c>
      <c r="B609" s="1032" t="s">
        <v>1939</v>
      </c>
      <c r="C609" s="1033"/>
      <c r="D609" s="1033"/>
      <c r="E609" s="1033"/>
      <c r="F609" s="1033"/>
      <c r="G609" s="1033"/>
      <c r="H609" s="1033"/>
      <c r="I609" s="1033"/>
      <c r="J609" s="1033"/>
      <c r="K609" s="1033"/>
      <c r="L609" s="90"/>
      <c r="M609" s="51"/>
      <c r="N609" s="113">
        <f t="shared" si="61"/>
        <v>7044</v>
      </c>
      <c r="O609" s="575">
        <v>0</v>
      </c>
      <c r="P609" s="582">
        <v>0</v>
      </c>
      <c r="Q609" s="122"/>
      <c r="R609" s="121"/>
      <c r="S609" s="583">
        <f t="shared" si="62"/>
        <v>0</v>
      </c>
      <c r="T609" s="580">
        <f t="shared" ref="T609:T672" si="63">+IF(ABS(+O609+Q609)&lt;=ABS(P609+R609),-O609+P609-Q609+R609,0)</f>
        <v>0</v>
      </c>
      <c r="U609" s="51"/>
      <c r="V609" s="2119"/>
      <c r="W609" s="43"/>
      <c r="X609" s="43"/>
      <c r="Y609" s="43"/>
      <c r="Z609" s="43"/>
    </row>
    <row r="610" spans="1:26">
      <c r="A610" s="88">
        <v>7051</v>
      </c>
      <c r="B610" s="1032" t="s">
        <v>671</v>
      </c>
      <c r="C610" s="1033"/>
      <c r="D610" s="1033"/>
      <c r="E610" s="1033"/>
      <c r="F610" s="1033"/>
      <c r="G610" s="1033"/>
      <c r="H610" s="1033"/>
      <c r="I610" s="1033"/>
      <c r="J610" s="1033"/>
      <c r="K610" s="1033"/>
      <c r="L610" s="90"/>
      <c r="M610" s="51"/>
      <c r="N610" s="113">
        <f t="shared" si="61"/>
        <v>7051</v>
      </c>
      <c r="O610" s="575">
        <v>0</v>
      </c>
      <c r="P610" s="582">
        <v>0</v>
      </c>
      <c r="Q610" s="122">
        <v>0</v>
      </c>
      <c r="R610" s="121">
        <v>0</v>
      </c>
      <c r="S610" s="583">
        <f t="shared" si="62"/>
        <v>0</v>
      </c>
      <c r="T610" s="580">
        <f t="shared" si="63"/>
        <v>0</v>
      </c>
      <c r="U610" s="51"/>
      <c r="V610" s="2119"/>
      <c r="W610" s="43"/>
      <c r="X610" s="43"/>
      <c r="Y610" s="43"/>
      <c r="Z610" s="43"/>
    </row>
    <row r="611" spans="1:26">
      <c r="A611" s="88">
        <v>7052</v>
      </c>
      <c r="B611" s="1032" t="s">
        <v>672</v>
      </c>
      <c r="C611" s="1033"/>
      <c r="D611" s="1033"/>
      <c r="E611" s="1033"/>
      <c r="F611" s="1033"/>
      <c r="G611" s="1033"/>
      <c r="H611" s="1033"/>
      <c r="I611" s="1033"/>
      <c r="J611" s="1033"/>
      <c r="K611" s="1033"/>
      <c r="L611" s="90"/>
      <c r="M611" s="51"/>
      <c r="N611" s="113">
        <f t="shared" si="61"/>
        <v>7052</v>
      </c>
      <c r="O611" s="575">
        <v>0</v>
      </c>
      <c r="P611" s="582">
        <v>0</v>
      </c>
      <c r="Q611" s="589"/>
      <c r="R611" s="576"/>
      <c r="S611" s="583">
        <f t="shared" si="62"/>
        <v>0</v>
      </c>
      <c r="T611" s="580">
        <f t="shared" si="63"/>
        <v>0</v>
      </c>
      <c r="U611" s="51"/>
      <c r="V611" s="2119"/>
      <c r="W611" s="43"/>
      <c r="X611" s="43"/>
      <c r="Y611" s="43"/>
      <c r="Z611" s="43"/>
    </row>
    <row r="612" spans="1:26">
      <c r="A612" s="88">
        <v>7090</v>
      </c>
      <c r="B612" s="1035" t="s">
        <v>673</v>
      </c>
      <c r="C612" s="1033"/>
      <c r="D612" s="1033"/>
      <c r="E612" s="1033"/>
      <c r="F612" s="1033"/>
      <c r="G612" s="1033"/>
      <c r="H612" s="1033"/>
      <c r="I612" s="1033"/>
      <c r="J612" s="1033"/>
      <c r="K612" s="1033"/>
      <c r="L612" s="90"/>
      <c r="M612" s="51"/>
      <c r="N612" s="113">
        <f t="shared" si="61"/>
        <v>7090</v>
      </c>
      <c r="O612" s="575">
        <v>0</v>
      </c>
      <c r="P612" s="582">
        <v>0</v>
      </c>
      <c r="Q612" s="589">
        <v>0</v>
      </c>
      <c r="R612" s="576">
        <v>0</v>
      </c>
      <c r="S612" s="583">
        <f t="shared" si="62"/>
        <v>0</v>
      </c>
      <c r="T612" s="580">
        <f t="shared" si="63"/>
        <v>0</v>
      </c>
      <c r="U612" s="51"/>
      <c r="V612" s="2119"/>
      <c r="W612" s="43"/>
      <c r="X612" s="43"/>
      <c r="Y612" s="43"/>
      <c r="Z612" s="43"/>
    </row>
    <row r="613" spans="1:26">
      <c r="A613" s="88">
        <v>7110</v>
      </c>
      <c r="B613" s="1033" t="s">
        <v>674</v>
      </c>
      <c r="C613" s="1033"/>
      <c r="D613" s="1033"/>
      <c r="E613" s="1033"/>
      <c r="F613" s="1033"/>
      <c r="G613" s="1033"/>
      <c r="H613" s="1033"/>
      <c r="I613" s="1033"/>
      <c r="J613" s="1033"/>
      <c r="K613" s="1033"/>
      <c r="L613" s="90"/>
      <c r="M613" s="51"/>
      <c r="N613" s="113">
        <f t="shared" si="61"/>
        <v>7110</v>
      </c>
      <c r="O613" s="575">
        <v>0</v>
      </c>
      <c r="P613" s="582">
        <v>0</v>
      </c>
      <c r="Q613" s="589">
        <v>0</v>
      </c>
      <c r="R613" s="576">
        <v>0</v>
      </c>
      <c r="S613" s="583">
        <f t="shared" si="62"/>
        <v>0</v>
      </c>
      <c r="T613" s="580">
        <f t="shared" si="63"/>
        <v>0</v>
      </c>
      <c r="U613" s="51"/>
      <c r="V613" s="2119"/>
      <c r="W613" s="43"/>
      <c r="X613" s="43"/>
      <c r="Y613" s="43"/>
      <c r="Z613" s="43"/>
    </row>
    <row r="614" spans="1:26">
      <c r="A614" s="88">
        <v>7111</v>
      </c>
      <c r="B614" s="1033" t="s">
        <v>675</v>
      </c>
      <c r="C614" s="1033"/>
      <c r="D614" s="1033"/>
      <c r="E614" s="1033"/>
      <c r="F614" s="1033"/>
      <c r="G614" s="1033"/>
      <c r="H614" s="1033"/>
      <c r="I614" s="1033"/>
      <c r="J614" s="1033"/>
      <c r="K614" s="1033"/>
      <c r="L614" s="90"/>
      <c r="M614" s="51"/>
      <c r="N614" s="113">
        <f t="shared" si="61"/>
        <v>7111</v>
      </c>
      <c r="O614" s="575">
        <v>0</v>
      </c>
      <c r="P614" s="582">
        <v>0</v>
      </c>
      <c r="Q614" s="589"/>
      <c r="R614" s="576"/>
      <c r="S614" s="583">
        <f t="shared" si="62"/>
        <v>0</v>
      </c>
      <c r="T614" s="580">
        <f t="shared" si="63"/>
        <v>0</v>
      </c>
      <c r="U614" s="51"/>
      <c r="V614" s="2119"/>
      <c r="W614" s="43"/>
      <c r="X614" s="43"/>
      <c r="Y614" s="43"/>
      <c r="Z614" s="43"/>
    </row>
    <row r="615" spans="1:26">
      <c r="A615" s="88">
        <v>7112</v>
      </c>
      <c r="B615" s="1033" t="s">
        <v>676</v>
      </c>
      <c r="C615" s="1033"/>
      <c r="D615" s="1033"/>
      <c r="E615" s="1033"/>
      <c r="F615" s="1033"/>
      <c r="G615" s="1033"/>
      <c r="H615" s="1033"/>
      <c r="I615" s="1033"/>
      <c r="J615" s="1033"/>
      <c r="K615" s="1033"/>
      <c r="L615" s="90"/>
      <c r="M615" s="51"/>
      <c r="N615" s="113">
        <f t="shared" si="61"/>
        <v>7112</v>
      </c>
      <c r="O615" s="575">
        <v>0</v>
      </c>
      <c r="P615" s="582">
        <v>0</v>
      </c>
      <c r="Q615" s="589">
        <v>0</v>
      </c>
      <c r="R615" s="576">
        <v>0</v>
      </c>
      <c r="S615" s="583">
        <f t="shared" si="62"/>
        <v>0</v>
      </c>
      <c r="T615" s="580">
        <f t="shared" si="63"/>
        <v>0</v>
      </c>
      <c r="U615" s="51"/>
      <c r="V615" s="2119"/>
      <c r="W615" s="43"/>
      <c r="X615" s="43"/>
      <c r="Y615" s="43"/>
      <c r="Z615" s="43"/>
    </row>
    <row r="616" spans="1:26">
      <c r="A616" s="88">
        <v>7113</v>
      </c>
      <c r="B616" s="1033" t="s">
        <v>677</v>
      </c>
      <c r="C616" s="1033"/>
      <c r="D616" s="1033"/>
      <c r="E616" s="1033"/>
      <c r="F616" s="1033"/>
      <c r="G616" s="1033"/>
      <c r="H616" s="1033"/>
      <c r="I616" s="1033"/>
      <c r="J616" s="1033"/>
      <c r="K616" s="1033"/>
      <c r="L616" s="90"/>
      <c r="M616" s="51"/>
      <c r="N616" s="113">
        <f t="shared" si="61"/>
        <v>7113</v>
      </c>
      <c r="O616" s="575">
        <v>0</v>
      </c>
      <c r="P616" s="582">
        <v>0</v>
      </c>
      <c r="Q616" s="589">
        <v>0</v>
      </c>
      <c r="R616" s="576">
        <v>0</v>
      </c>
      <c r="S616" s="583">
        <f t="shared" si="62"/>
        <v>0</v>
      </c>
      <c r="T616" s="580">
        <f t="shared" si="63"/>
        <v>0</v>
      </c>
      <c r="U616" s="51"/>
      <c r="V616" s="2119"/>
      <c r="W616" s="43"/>
      <c r="X616" s="43"/>
      <c r="Y616" s="43"/>
      <c r="Z616" s="43"/>
    </row>
    <row r="617" spans="1:26">
      <c r="A617" s="88">
        <v>7114</v>
      </c>
      <c r="B617" s="1033" t="s">
        <v>678</v>
      </c>
      <c r="C617" s="1033"/>
      <c r="D617" s="1033"/>
      <c r="E617" s="1033"/>
      <c r="F617" s="1033"/>
      <c r="G617" s="1033"/>
      <c r="H617" s="1033"/>
      <c r="I617" s="1033"/>
      <c r="J617" s="1033"/>
      <c r="K617" s="1033"/>
      <c r="L617" s="90"/>
      <c r="M617" s="51"/>
      <c r="N617" s="113">
        <f t="shared" si="61"/>
        <v>7114</v>
      </c>
      <c r="O617" s="575">
        <v>0</v>
      </c>
      <c r="P617" s="582">
        <v>0</v>
      </c>
      <c r="Q617" s="589">
        <v>0</v>
      </c>
      <c r="R617" s="576">
        <v>0</v>
      </c>
      <c r="S617" s="583">
        <f t="shared" si="62"/>
        <v>0</v>
      </c>
      <c r="T617" s="580">
        <f t="shared" si="63"/>
        <v>0</v>
      </c>
      <c r="U617" s="51"/>
      <c r="V617" s="2119"/>
      <c r="W617" s="43"/>
      <c r="X617" s="43"/>
      <c r="Y617" s="43"/>
      <c r="Z617" s="43"/>
    </row>
    <row r="618" spans="1:26">
      <c r="A618" s="88">
        <v>7115</v>
      </c>
      <c r="B618" s="1033" t="s">
        <v>679</v>
      </c>
      <c r="C618" s="1033"/>
      <c r="D618" s="1033"/>
      <c r="E618" s="1033"/>
      <c r="F618" s="1033"/>
      <c r="G618" s="1033"/>
      <c r="H618" s="1033"/>
      <c r="I618" s="1033"/>
      <c r="J618" s="1033"/>
      <c r="K618" s="1033"/>
      <c r="L618" s="90"/>
      <c r="M618" s="51"/>
      <c r="N618" s="113">
        <f t="shared" si="61"/>
        <v>7115</v>
      </c>
      <c r="O618" s="575">
        <v>0</v>
      </c>
      <c r="P618" s="582">
        <v>0</v>
      </c>
      <c r="Q618" s="589"/>
      <c r="R618" s="576"/>
      <c r="S618" s="583">
        <f t="shared" si="62"/>
        <v>0</v>
      </c>
      <c r="T618" s="580">
        <f t="shared" si="63"/>
        <v>0</v>
      </c>
      <c r="U618" s="51"/>
      <c r="V618" s="2119"/>
      <c r="W618" s="43"/>
      <c r="X618" s="43"/>
      <c r="Y618" s="43"/>
      <c r="Z618" s="43"/>
    </row>
    <row r="619" spans="1:26">
      <c r="A619" s="88">
        <v>7121</v>
      </c>
      <c r="B619" s="1033" t="s">
        <v>680</v>
      </c>
      <c r="C619" s="1033"/>
      <c r="D619" s="1033"/>
      <c r="E619" s="1033"/>
      <c r="F619" s="1033"/>
      <c r="G619" s="1033"/>
      <c r="H619" s="1033"/>
      <c r="I619" s="1033"/>
      <c r="J619" s="1033"/>
      <c r="K619" s="1033"/>
      <c r="L619" s="90"/>
      <c r="M619" s="51"/>
      <c r="N619" s="113">
        <f t="shared" si="61"/>
        <v>7121</v>
      </c>
      <c r="O619" s="575">
        <v>0</v>
      </c>
      <c r="P619" s="582">
        <v>0</v>
      </c>
      <c r="Q619" s="589">
        <v>0</v>
      </c>
      <c r="R619" s="576">
        <v>0</v>
      </c>
      <c r="S619" s="583">
        <f t="shared" si="62"/>
        <v>0</v>
      </c>
      <c r="T619" s="580">
        <f t="shared" si="63"/>
        <v>0</v>
      </c>
      <c r="U619" s="51"/>
      <c r="V619" s="2119"/>
      <c r="W619" s="43"/>
      <c r="X619" s="43"/>
      <c r="Y619" s="43"/>
      <c r="Z619" s="43"/>
    </row>
    <row r="620" spans="1:26">
      <c r="A620" s="88">
        <v>7122</v>
      </c>
      <c r="B620" s="1033" t="s">
        <v>681</v>
      </c>
      <c r="C620" s="1033"/>
      <c r="D620" s="1033"/>
      <c r="E620" s="1033"/>
      <c r="F620" s="1033"/>
      <c r="G620" s="1033"/>
      <c r="H620" s="1033"/>
      <c r="I620" s="1033"/>
      <c r="J620" s="1033"/>
      <c r="K620" s="1033"/>
      <c r="L620" s="90"/>
      <c r="M620" s="51"/>
      <c r="N620" s="113">
        <f t="shared" si="61"/>
        <v>7122</v>
      </c>
      <c r="O620" s="575">
        <v>0</v>
      </c>
      <c r="P620" s="582">
        <v>0</v>
      </c>
      <c r="Q620" s="589"/>
      <c r="R620" s="576"/>
      <c r="S620" s="583">
        <f t="shared" si="62"/>
        <v>0</v>
      </c>
      <c r="T620" s="580">
        <f t="shared" si="63"/>
        <v>0</v>
      </c>
      <c r="U620" s="51"/>
      <c r="V620" s="2119"/>
      <c r="W620" s="43"/>
      <c r="X620" s="43"/>
      <c r="Y620" s="43"/>
      <c r="Z620" s="43"/>
    </row>
    <row r="621" spans="1:26">
      <c r="A621" s="88">
        <v>7123</v>
      </c>
      <c r="B621" s="1033" t="s">
        <v>682</v>
      </c>
      <c r="C621" s="1033"/>
      <c r="D621" s="1033"/>
      <c r="E621" s="1033"/>
      <c r="F621" s="1033"/>
      <c r="G621" s="1033"/>
      <c r="H621" s="1033"/>
      <c r="I621" s="1033"/>
      <c r="J621" s="1033"/>
      <c r="K621" s="1033"/>
      <c r="L621" s="90"/>
      <c r="M621" s="51"/>
      <c r="N621" s="113">
        <f t="shared" si="61"/>
        <v>7123</v>
      </c>
      <c r="O621" s="575">
        <v>0</v>
      </c>
      <c r="P621" s="582">
        <v>0</v>
      </c>
      <c r="Q621" s="589">
        <v>0</v>
      </c>
      <c r="R621" s="576">
        <v>0</v>
      </c>
      <c r="S621" s="583">
        <f t="shared" si="62"/>
        <v>0</v>
      </c>
      <c r="T621" s="580">
        <f t="shared" si="63"/>
        <v>0</v>
      </c>
      <c r="U621" s="51"/>
      <c r="V621" s="2119"/>
      <c r="W621" s="43"/>
      <c r="X621" s="43"/>
      <c r="Y621" s="43"/>
      <c r="Z621" s="43"/>
    </row>
    <row r="622" spans="1:26">
      <c r="A622" s="88">
        <v>7124</v>
      </c>
      <c r="B622" s="1033" t="s">
        <v>683</v>
      </c>
      <c r="C622" s="1033"/>
      <c r="D622" s="1033"/>
      <c r="E622" s="1033"/>
      <c r="F622" s="1033"/>
      <c r="G622" s="1033"/>
      <c r="H622" s="1033"/>
      <c r="I622" s="1033"/>
      <c r="J622" s="1033"/>
      <c r="K622" s="1033"/>
      <c r="L622" s="90"/>
      <c r="M622" s="51"/>
      <c r="N622" s="113">
        <f t="shared" si="61"/>
        <v>7124</v>
      </c>
      <c r="O622" s="575">
        <v>0</v>
      </c>
      <c r="P622" s="582">
        <v>0</v>
      </c>
      <c r="Q622" s="589"/>
      <c r="R622" s="576"/>
      <c r="S622" s="583">
        <f t="shared" si="62"/>
        <v>0</v>
      </c>
      <c r="T622" s="580">
        <f t="shared" si="63"/>
        <v>0</v>
      </c>
      <c r="U622" s="51"/>
      <c r="V622" s="2119"/>
      <c r="W622" s="43"/>
      <c r="X622" s="43"/>
      <c r="Y622" s="43"/>
      <c r="Z622" s="43"/>
    </row>
    <row r="623" spans="1:26">
      <c r="A623" s="88">
        <v>7131</v>
      </c>
      <c r="B623" s="1033" t="s">
        <v>684</v>
      </c>
      <c r="C623" s="1033"/>
      <c r="D623" s="1033"/>
      <c r="E623" s="1033"/>
      <c r="F623" s="1033"/>
      <c r="G623" s="1033"/>
      <c r="H623" s="1033"/>
      <c r="I623" s="1033"/>
      <c r="J623" s="1033"/>
      <c r="K623" s="1033"/>
      <c r="L623" s="90"/>
      <c r="M623" s="51"/>
      <c r="N623" s="113">
        <f t="shared" si="61"/>
        <v>7131</v>
      </c>
      <c r="O623" s="575">
        <v>0</v>
      </c>
      <c r="P623" s="582">
        <v>0</v>
      </c>
      <c r="Q623" s="589">
        <v>0</v>
      </c>
      <c r="R623" s="576">
        <v>0</v>
      </c>
      <c r="S623" s="583">
        <f t="shared" si="62"/>
        <v>0</v>
      </c>
      <c r="T623" s="580">
        <f t="shared" si="63"/>
        <v>0</v>
      </c>
      <c r="U623" s="51"/>
      <c r="V623" s="2119"/>
      <c r="W623" s="43"/>
      <c r="X623" s="43"/>
      <c r="Y623" s="43"/>
      <c r="Z623" s="43"/>
    </row>
    <row r="624" spans="1:26">
      <c r="A624" s="88">
        <f>1+A623</f>
        <v>7132</v>
      </c>
      <c r="B624" s="1033" t="s">
        <v>685</v>
      </c>
      <c r="C624" s="1033"/>
      <c r="D624" s="1033"/>
      <c r="E624" s="1033"/>
      <c r="F624" s="1033"/>
      <c r="G624" s="1033"/>
      <c r="H624" s="1033"/>
      <c r="I624" s="1033"/>
      <c r="J624" s="1033"/>
      <c r="K624" s="1033"/>
      <c r="L624" s="90"/>
      <c r="M624" s="51"/>
      <c r="N624" s="113">
        <f t="shared" si="61"/>
        <v>7132</v>
      </c>
      <c r="O624" s="575">
        <v>0</v>
      </c>
      <c r="P624" s="582">
        <v>0</v>
      </c>
      <c r="Q624" s="589"/>
      <c r="R624" s="576"/>
      <c r="S624" s="583">
        <f t="shared" si="62"/>
        <v>0</v>
      </c>
      <c r="T624" s="580">
        <f t="shared" si="63"/>
        <v>0</v>
      </c>
      <c r="U624" s="51"/>
      <c r="V624" s="2119"/>
      <c r="W624" s="43"/>
      <c r="X624" s="43"/>
      <c r="Y624" s="43"/>
      <c r="Z624" s="43"/>
    </row>
    <row r="625" spans="1:26">
      <c r="A625" s="88">
        <v>7133</v>
      </c>
      <c r="B625" s="1033" t="s">
        <v>686</v>
      </c>
      <c r="C625" s="1033"/>
      <c r="D625" s="1033"/>
      <c r="E625" s="1033"/>
      <c r="F625" s="1033"/>
      <c r="G625" s="1033"/>
      <c r="H625" s="1033"/>
      <c r="I625" s="1033"/>
      <c r="J625" s="1033"/>
      <c r="K625" s="1033"/>
      <c r="L625" s="90"/>
      <c r="M625" s="51"/>
      <c r="N625" s="113">
        <f t="shared" si="61"/>
        <v>7133</v>
      </c>
      <c r="O625" s="575">
        <v>0</v>
      </c>
      <c r="P625" s="582">
        <v>0</v>
      </c>
      <c r="Q625" s="589"/>
      <c r="R625" s="576"/>
      <c r="S625" s="583">
        <f t="shared" si="62"/>
        <v>0</v>
      </c>
      <c r="T625" s="580">
        <f t="shared" si="63"/>
        <v>0</v>
      </c>
      <c r="U625" s="51"/>
      <c r="V625" s="2119"/>
      <c r="W625" s="43"/>
      <c r="X625" s="43"/>
      <c r="Y625" s="43"/>
      <c r="Z625" s="43"/>
    </row>
    <row r="626" spans="1:26">
      <c r="A626" s="88">
        <v>7140</v>
      </c>
      <c r="B626" s="1033" t="s">
        <v>687</v>
      </c>
      <c r="C626" s="1033"/>
      <c r="D626" s="1033"/>
      <c r="E626" s="1033"/>
      <c r="F626" s="1033"/>
      <c r="G626" s="1033"/>
      <c r="H626" s="1033"/>
      <c r="I626" s="1033"/>
      <c r="J626" s="1033"/>
      <c r="K626" s="1033"/>
      <c r="L626" s="90"/>
      <c r="M626" s="51"/>
      <c r="N626" s="113">
        <f t="shared" si="61"/>
        <v>7140</v>
      </c>
      <c r="O626" s="575">
        <v>0</v>
      </c>
      <c r="P626" s="582">
        <v>0</v>
      </c>
      <c r="Q626" s="589"/>
      <c r="R626" s="576"/>
      <c r="S626" s="583">
        <f t="shared" si="62"/>
        <v>0</v>
      </c>
      <c r="T626" s="580">
        <f t="shared" si="63"/>
        <v>0</v>
      </c>
      <c r="U626" s="51"/>
      <c r="V626" s="2119"/>
      <c r="W626" s="43"/>
      <c r="X626" s="43"/>
      <c r="Y626" s="43"/>
      <c r="Z626" s="43"/>
    </row>
    <row r="627" spans="1:26" ht="15.75" customHeight="1">
      <c r="A627" s="88">
        <v>7141</v>
      </c>
      <c r="B627" s="1033" t="s">
        <v>688</v>
      </c>
      <c r="C627" s="1033"/>
      <c r="D627" s="1033"/>
      <c r="E627" s="1033"/>
      <c r="F627" s="1033"/>
      <c r="G627" s="1033"/>
      <c r="H627" s="1033"/>
      <c r="I627" s="1033"/>
      <c r="J627" s="1033"/>
      <c r="K627" s="1033"/>
      <c r="L627" s="90"/>
      <c r="M627" s="51"/>
      <c r="N627" s="113">
        <f t="shared" si="61"/>
        <v>7141</v>
      </c>
      <c r="O627" s="575">
        <v>0</v>
      </c>
      <c r="P627" s="582">
        <v>0</v>
      </c>
      <c r="Q627" s="589"/>
      <c r="R627" s="576"/>
      <c r="S627" s="583">
        <f t="shared" si="62"/>
        <v>0</v>
      </c>
      <c r="T627" s="580">
        <f t="shared" si="63"/>
        <v>0</v>
      </c>
      <c r="U627" s="51"/>
      <c r="V627" s="2119"/>
      <c r="W627" s="43"/>
      <c r="X627" s="43"/>
      <c r="Y627" s="43"/>
      <c r="Z627" s="43"/>
    </row>
    <row r="628" spans="1:26">
      <c r="A628" s="88">
        <v>7142</v>
      </c>
      <c r="B628" s="1033" t="s">
        <v>689</v>
      </c>
      <c r="C628" s="1033"/>
      <c r="D628" s="1033"/>
      <c r="E628" s="1033"/>
      <c r="F628" s="1033"/>
      <c r="G628" s="1033"/>
      <c r="H628" s="1033"/>
      <c r="I628" s="1033"/>
      <c r="J628" s="1033"/>
      <c r="K628" s="1033"/>
      <c r="L628" s="90"/>
      <c r="M628" s="51"/>
      <c r="N628" s="113">
        <f t="shared" si="61"/>
        <v>7142</v>
      </c>
      <c r="O628" s="575">
        <v>0</v>
      </c>
      <c r="P628" s="582">
        <v>0</v>
      </c>
      <c r="Q628" s="589"/>
      <c r="R628" s="576"/>
      <c r="S628" s="583">
        <f t="shared" si="62"/>
        <v>0</v>
      </c>
      <c r="T628" s="580">
        <f t="shared" si="63"/>
        <v>0</v>
      </c>
      <c r="U628" s="51"/>
      <c r="V628" s="2119"/>
      <c r="W628" s="43"/>
      <c r="X628" s="43"/>
      <c r="Y628" s="43"/>
      <c r="Z628" s="43"/>
    </row>
    <row r="629" spans="1:26">
      <c r="A629" s="88">
        <v>7143</v>
      </c>
      <c r="B629" s="1033" t="s">
        <v>690</v>
      </c>
      <c r="C629" s="1033"/>
      <c r="D629" s="1033"/>
      <c r="E629" s="1033"/>
      <c r="F629" s="1033"/>
      <c r="G629" s="1033"/>
      <c r="H629" s="1033"/>
      <c r="I629" s="1033"/>
      <c r="J629" s="1033"/>
      <c r="K629" s="1033"/>
      <c r="L629" s="90"/>
      <c r="M629" s="51"/>
      <c r="N629" s="113">
        <f t="shared" si="61"/>
        <v>7143</v>
      </c>
      <c r="O629" s="575">
        <v>0</v>
      </c>
      <c r="P629" s="582">
        <v>0</v>
      </c>
      <c r="Q629" s="589">
        <v>0</v>
      </c>
      <c r="R629" s="576">
        <v>0</v>
      </c>
      <c r="S629" s="583">
        <f t="shared" si="62"/>
        <v>0</v>
      </c>
      <c r="T629" s="580">
        <f t="shared" si="63"/>
        <v>0</v>
      </c>
      <c r="U629" s="51"/>
      <c r="V629" s="2119"/>
      <c r="W629" s="43"/>
      <c r="X629" s="43"/>
      <c r="Y629" s="43"/>
      <c r="Z629" s="43"/>
    </row>
    <row r="630" spans="1:26">
      <c r="A630" s="88">
        <v>7144</v>
      </c>
      <c r="B630" s="1033" t="s">
        <v>615</v>
      </c>
      <c r="C630" s="1033"/>
      <c r="D630" s="1033"/>
      <c r="E630" s="1033"/>
      <c r="F630" s="1033"/>
      <c r="G630" s="1033"/>
      <c r="H630" s="1033"/>
      <c r="I630" s="1033"/>
      <c r="J630" s="1033"/>
      <c r="K630" s="1033"/>
      <c r="L630" s="90"/>
      <c r="M630" s="51"/>
      <c r="N630" s="113">
        <f t="shared" si="61"/>
        <v>7144</v>
      </c>
      <c r="O630" s="575">
        <v>0</v>
      </c>
      <c r="P630" s="582">
        <v>0</v>
      </c>
      <c r="Q630" s="589">
        <v>0</v>
      </c>
      <c r="R630" s="576">
        <v>0</v>
      </c>
      <c r="S630" s="583">
        <f t="shared" si="62"/>
        <v>0</v>
      </c>
      <c r="T630" s="580">
        <f t="shared" si="63"/>
        <v>0</v>
      </c>
      <c r="U630" s="51"/>
      <c r="V630" s="2119"/>
      <c r="W630" s="43"/>
      <c r="X630" s="43"/>
      <c r="Y630" s="43"/>
      <c r="Z630" s="43"/>
    </row>
    <row r="631" spans="1:26">
      <c r="A631" s="88">
        <v>7145</v>
      </c>
      <c r="B631" s="1033" t="s">
        <v>616</v>
      </c>
      <c r="C631" s="1033"/>
      <c r="D631" s="1033"/>
      <c r="E631" s="1033"/>
      <c r="F631" s="1033"/>
      <c r="G631" s="1033"/>
      <c r="H631" s="1033"/>
      <c r="I631" s="1033"/>
      <c r="J631" s="1033"/>
      <c r="K631" s="1033"/>
      <c r="L631" s="90"/>
      <c r="M631" s="51"/>
      <c r="N631" s="113">
        <f t="shared" si="61"/>
        <v>7145</v>
      </c>
      <c r="O631" s="575">
        <v>0</v>
      </c>
      <c r="P631" s="582">
        <v>0</v>
      </c>
      <c r="Q631" s="589">
        <v>0</v>
      </c>
      <c r="R631" s="576">
        <v>0</v>
      </c>
      <c r="S631" s="583">
        <f t="shared" si="62"/>
        <v>0</v>
      </c>
      <c r="T631" s="580">
        <f t="shared" si="63"/>
        <v>0</v>
      </c>
      <c r="U631" s="51"/>
      <c r="V631" s="2119"/>
      <c r="W631" s="43"/>
      <c r="X631" s="43"/>
      <c r="Y631" s="43"/>
      <c r="Z631" s="43"/>
    </row>
    <row r="632" spans="1:26">
      <c r="A632" s="88">
        <v>7146</v>
      </c>
      <c r="B632" s="1033" t="s">
        <v>617</v>
      </c>
      <c r="C632" s="1033"/>
      <c r="D632" s="1033"/>
      <c r="E632" s="1033"/>
      <c r="F632" s="1033"/>
      <c r="G632" s="1033"/>
      <c r="H632" s="1033"/>
      <c r="I632" s="1033"/>
      <c r="J632" s="1033"/>
      <c r="K632" s="1033"/>
      <c r="L632" s="90"/>
      <c r="M632" s="51"/>
      <c r="N632" s="113">
        <f t="shared" si="61"/>
        <v>7146</v>
      </c>
      <c r="O632" s="575">
        <v>0</v>
      </c>
      <c r="P632" s="582">
        <v>0</v>
      </c>
      <c r="Q632" s="589">
        <v>0</v>
      </c>
      <c r="R632" s="576">
        <v>0</v>
      </c>
      <c r="S632" s="583">
        <f t="shared" si="62"/>
        <v>0</v>
      </c>
      <c r="T632" s="580">
        <f t="shared" si="63"/>
        <v>0</v>
      </c>
      <c r="U632" s="51"/>
      <c r="V632" s="2119"/>
      <c r="W632" s="43"/>
      <c r="X632" s="43"/>
      <c r="Y632" s="43"/>
      <c r="Z632" s="43"/>
    </row>
    <row r="633" spans="1:26">
      <c r="A633" s="88">
        <v>7147</v>
      </c>
      <c r="B633" s="1033" t="s">
        <v>618</v>
      </c>
      <c r="C633" s="1033"/>
      <c r="D633" s="1033"/>
      <c r="E633" s="1033"/>
      <c r="F633" s="1033"/>
      <c r="G633" s="1033"/>
      <c r="H633" s="1033"/>
      <c r="I633" s="1033"/>
      <c r="J633" s="1033"/>
      <c r="K633" s="1033"/>
      <c r="L633" s="90"/>
      <c r="M633" s="51"/>
      <c r="N633" s="113">
        <f t="shared" si="61"/>
        <v>7147</v>
      </c>
      <c r="O633" s="575">
        <v>0</v>
      </c>
      <c r="P633" s="582">
        <v>0</v>
      </c>
      <c r="Q633" s="589"/>
      <c r="R633" s="576"/>
      <c r="S633" s="583">
        <f t="shared" si="62"/>
        <v>0</v>
      </c>
      <c r="T633" s="580">
        <f t="shared" si="63"/>
        <v>0</v>
      </c>
      <c r="U633" s="51"/>
      <c r="V633" s="2119"/>
      <c r="W633" s="43"/>
      <c r="X633" s="43"/>
      <c r="Y633" s="43"/>
      <c r="Z633" s="43"/>
    </row>
    <row r="634" spans="1:26">
      <c r="A634" s="88">
        <v>7149</v>
      </c>
      <c r="B634" s="1033" t="s">
        <v>619</v>
      </c>
      <c r="C634" s="1033"/>
      <c r="D634" s="1033"/>
      <c r="E634" s="1033"/>
      <c r="F634" s="1033"/>
      <c r="G634" s="1033"/>
      <c r="H634" s="1033"/>
      <c r="I634" s="1033"/>
      <c r="J634" s="1033"/>
      <c r="K634" s="1033"/>
      <c r="L634" s="90"/>
      <c r="M634" s="51"/>
      <c r="N634" s="113">
        <f t="shared" si="61"/>
        <v>7149</v>
      </c>
      <c r="O634" s="575">
        <v>0</v>
      </c>
      <c r="P634" s="582">
        <v>0</v>
      </c>
      <c r="Q634" s="589">
        <v>0</v>
      </c>
      <c r="R634" s="576">
        <v>0</v>
      </c>
      <c r="S634" s="583">
        <f t="shared" si="62"/>
        <v>0</v>
      </c>
      <c r="T634" s="580">
        <f t="shared" si="63"/>
        <v>0</v>
      </c>
      <c r="U634" s="51"/>
      <c r="V634" s="2119"/>
      <c r="W634" s="43"/>
      <c r="X634" s="43"/>
      <c r="Y634" s="43"/>
      <c r="Z634" s="43"/>
    </row>
    <row r="635" spans="1:26">
      <c r="A635" s="88">
        <v>7151</v>
      </c>
      <c r="B635" s="1033" t="s">
        <v>620</v>
      </c>
      <c r="C635" s="1033"/>
      <c r="D635" s="1033"/>
      <c r="E635" s="1033"/>
      <c r="F635" s="1033"/>
      <c r="G635" s="1033"/>
      <c r="H635" s="1033"/>
      <c r="I635" s="1033"/>
      <c r="J635" s="1033"/>
      <c r="K635" s="1033"/>
      <c r="L635" s="90"/>
      <c r="M635" s="51"/>
      <c r="N635" s="113">
        <f t="shared" si="61"/>
        <v>7151</v>
      </c>
      <c r="O635" s="575">
        <v>0</v>
      </c>
      <c r="P635" s="582">
        <v>0</v>
      </c>
      <c r="Q635" s="589"/>
      <c r="R635" s="576"/>
      <c r="S635" s="583">
        <f t="shared" si="62"/>
        <v>0</v>
      </c>
      <c r="T635" s="580">
        <f t="shared" si="63"/>
        <v>0</v>
      </c>
      <c r="U635" s="51"/>
      <c r="V635" s="2119"/>
      <c r="W635" s="43"/>
      <c r="X635" s="43"/>
      <c r="Y635" s="43"/>
      <c r="Z635" s="43"/>
    </row>
    <row r="636" spans="1:26">
      <c r="A636" s="88">
        <v>7159</v>
      </c>
      <c r="B636" s="1033" t="s">
        <v>621</v>
      </c>
      <c r="C636" s="1033"/>
      <c r="D636" s="1033"/>
      <c r="E636" s="1033"/>
      <c r="F636" s="1033"/>
      <c r="G636" s="1033"/>
      <c r="H636" s="1033"/>
      <c r="I636" s="1033"/>
      <c r="J636" s="1033"/>
      <c r="K636" s="1033"/>
      <c r="L636" s="90"/>
      <c r="M636" s="51"/>
      <c r="N636" s="113">
        <f t="shared" si="61"/>
        <v>7159</v>
      </c>
      <c r="O636" s="575">
        <v>0</v>
      </c>
      <c r="P636" s="582">
        <v>0</v>
      </c>
      <c r="Q636" s="589"/>
      <c r="R636" s="576"/>
      <c r="S636" s="583">
        <f t="shared" si="62"/>
        <v>0</v>
      </c>
      <c r="T636" s="580">
        <f t="shared" si="63"/>
        <v>0</v>
      </c>
      <c r="U636" s="51"/>
      <c r="V636" s="2119"/>
      <c r="W636" s="43"/>
      <c r="X636" s="43"/>
      <c r="Y636" s="43"/>
      <c r="Z636" s="43"/>
    </row>
    <row r="637" spans="1:26">
      <c r="A637" s="88">
        <v>7161</v>
      </c>
      <c r="B637" s="1033" t="s">
        <v>622</v>
      </c>
      <c r="C637" s="1033"/>
      <c r="D637" s="1033"/>
      <c r="E637" s="1033"/>
      <c r="F637" s="1033"/>
      <c r="G637" s="1033"/>
      <c r="H637" s="1033"/>
      <c r="I637" s="1033"/>
      <c r="J637" s="1033"/>
      <c r="K637" s="1033"/>
      <c r="L637" s="90"/>
      <c r="M637" s="51"/>
      <c r="N637" s="113">
        <f t="shared" si="61"/>
        <v>7161</v>
      </c>
      <c r="O637" s="575">
        <v>0</v>
      </c>
      <c r="P637" s="582">
        <v>0</v>
      </c>
      <c r="Q637" s="589"/>
      <c r="R637" s="576"/>
      <c r="S637" s="583">
        <f t="shared" si="62"/>
        <v>0</v>
      </c>
      <c r="T637" s="580">
        <f t="shared" si="63"/>
        <v>0</v>
      </c>
      <c r="U637" s="51"/>
      <c r="V637" s="2119"/>
      <c r="W637" s="43"/>
      <c r="X637" s="43"/>
      <c r="Y637" s="43"/>
      <c r="Z637" s="43"/>
    </row>
    <row r="638" spans="1:26">
      <c r="A638" s="88">
        <v>7162</v>
      </c>
      <c r="B638" s="1033" t="s">
        <v>623</v>
      </c>
      <c r="C638" s="1033"/>
      <c r="D638" s="1033"/>
      <c r="E638" s="1033"/>
      <c r="F638" s="1033"/>
      <c r="G638" s="1033"/>
      <c r="H638" s="1033"/>
      <c r="I638" s="1033"/>
      <c r="J638" s="1033"/>
      <c r="K638" s="1033"/>
      <c r="L638" s="90"/>
      <c r="M638" s="51"/>
      <c r="N638" s="113">
        <f t="shared" si="61"/>
        <v>7162</v>
      </c>
      <c r="O638" s="575">
        <v>0</v>
      </c>
      <c r="P638" s="582">
        <v>0</v>
      </c>
      <c r="Q638" s="122"/>
      <c r="R638" s="121"/>
      <c r="S638" s="583">
        <f t="shared" si="62"/>
        <v>0</v>
      </c>
      <c r="T638" s="580">
        <f t="shared" si="63"/>
        <v>0</v>
      </c>
      <c r="U638" s="51"/>
      <c r="V638" s="2119"/>
      <c r="W638" s="43"/>
      <c r="X638" s="43"/>
      <c r="Y638" s="43"/>
      <c r="Z638" s="43"/>
    </row>
    <row r="639" spans="1:26">
      <c r="A639" s="88">
        <v>7163</v>
      </c>
      <c r="B639" s="1033" t="s">
        <v>624</v>
      </c>
      <c r="C639" s="1033"/>
      <c r="D639" s="1033"/>
      <c r="E639" s="1033"/>
      <c r="F639" s="1033"/>
      <c r="G639" s="1033"/>
      <c r="H639" s="1033"/>
      <c r="I639" s="1033"/>
      <c r="J639" s="1033"/>
      <c r="K639" s="1033"/>
      <c r="L639" s="90"/>
      <c r="M639" s="51"/>
      <c r="N639" s="113">
        <f t="shared" si="61"/>
        <v>7163</v>
      </c>
      <c r="O639" s="575">
        <v>0</v>
      </c>
      <c r="P639" s="582">
        <v>0</v>
      </c>
      <c r="Q639" s="122"/>
      <c r="R639" s="121"/>
      <c r="S639" s="583">
        <f t="shared" si="62"/>
        <v>0</v>
      </c>
      <c r="T639" s="580">
        <f t="shared" si="63"/>
        <v>0</v>
      </c>
      <c r="U639" s="51"/>
      <c r="V639" s="2119"/>
      <c r="W639" s="43"/>
      <c r="X639" s="43"/>
      <c r="Y639" s="43"/>
      <c r="Z639" s="43"/>
    </row>
    <row r="640" spans="1:26">
      <c r="A640" s="91">
        <v>7170</v>
      </c>
      <c r="B640" s="1036" t="s">
        <v>625</v>
      </c>
      <c r="C640" s="92"/>
      <c r="D640" s="92"/>
      <c r="E640" s="92"/>
      <c r="F640" s="92"/>
      <c r="G640" s="92"/>
      <c r="H640" s="92"/>
      <c r="I640" s="92"/>
      <c r="J640" s="92"/>
      <c r="K640" s="92"/>
      <c r="L640" s="93"/>
      <c r="M640" s="51"/>
      <c r="N640" s="114">
        <f t="shared" si="61"/>
        <v>7170</v>
      </c>
      <c r="O640" s="10">
        <v>0</v>
      </c>
      <c r="P640" s="11">
        <v>0</v>
      </c>
      <c r="Q640" s="31">
        <v>0</v>
      </c>
      <c r="R640" s="11">
        <v>0</v>
      </c>
      <c r="S640" s="829">
        <f t="shared" si="62"/>
        <v>0</v>
      </c>
      <c r="T640" s="828">
        <f t="shared" si="63"/>
        <v>0</v>
      </c>
      <c r="U640" s="51"/>
      <c r="V640" s="2125">
        <f>+IF(OR(O640&lt;&gt;0,P640&lt;&gt;0,Q640&lt;&gt;0,R640&lt;&gt;0,S640&lt;&gt;0,T640&lt;&gt;0),+IF(ABS(O640+Q640)-ABS(P640+R640)&lt;&gt;0,ABS(O640+Q640)-ABS(P640+R640),1),0)</f>
        <v>0</v>
      </c>
      <c r="W640" s="43"/>
      <c r="X640" s="43"/>
      <c r="Y640" s="43"/>
      <c r="Z640" s="43"/>
    </row>
    <row r="641" spans="1:26">
      <c r="A641" s="88">
        <v>7171</v>
      </c>
      <c r="B641" s="1033" t="s">
        <v>626</v>
      </c>
      <c r="C641" s="1033"/>
      <c r="D641" s="1033"/>
      <c r="E641" s="1033"/>
      <c r="F641" s="1033"/>
      <c r="G641" s="1033"/>
      <c r="H641" s="1033"/>
      <c r="I641" s="1033"/>
      <c r="J641" s="1033"/>
      <c r="K641" s="1033"/>
      <c r="L641" s="90"/>
      <c r="M641" s="51"/>
      <c r="N641" s="113">
        <f t="shared" si="61"/>
        <v>7171</v>
      </c>
      <c r="O641" s="8">
        <v>0</v>
      </c>
      <c r="P641" s="9">
        <v>0</v>
      </c>
      <c r="Q641" s="122"/>
      <c r="R641" s="121"/>
      <c r="S641" s="27">
        <f t="shared" si="62"/>
        <v>0</v>
      </c>
      <c r="T641" s="28">
        <f t="shared" si="63"/>
        <v>0</v>
      </c>
      <c r="U641" s="51"/>
      <c r="V641" s="2119"/>
      <c r="W641" s="43"/>
      <c r="X641" s="43"/>
      <c r="Y641" s="43"/>
      <c r="Z641" s="43"/>
    </row>
    <row r="642" spans="1:26">
      <c r="A642" s="88">
        <v>7172</v>
      </c>
      <c r="B642" s="1033" t="s">
        <v>627</v>
      </c>
      <c r="C642" s="1033"/>
      <c r="D642" s="1033"/>
      <c r="E642" s="1033"/>
      <c r="F642" s="1033"/>
      <c r="G642" s="1033"/>
      <c r="H642" s="1033"/>
      <c r="I642" s="1033"/>
      <c r="J642" s="1033"/>
      <c r="K642" s="1033"/>
      <c r="L642" s="90"/>
      <c r="M642" s="51"/>
      <c r="N642" s="113">
        <f t="shared" si="61"/>
        <v>7172</v>
      </c>
      <c r="O642" s="575">
        <v>0</v>
      </c>
      <c r="P642" s="582">
        <v>0</v>
      </c>
      <c r="Q642" s="122"/>
      <c r="R642" s="121"/>
      <c r="S642" s="27">
        <f t="shared" si="62"/>
        <v>0</v>
      </c>
      <c r="T642" s="28">
        <f t="shared" si="63"/>
        <v>0</v>
      </c>
      <c r="U642" s="51"/>
      <c r="V642" s="2119"/>
      <c r="W642" s="43"/>
      <c r="X642" s="43"/>
      <c r="Y642" s="43"/>
      <c r="Z642" s="43"/>
    </row>
    <row r="643" spans="1:26">
      <c r="A643" s="88">
        <v>7173</v>
      </c>
      <c r="B643" s="1035" t="s">
        <v>1169</v>
      </c>
      <c r="C643" s="1033"/>
      <c r="D643" s="1033"/>
      <c r="E643" s="1033"/>
      <c r="F643" s="1033"/>
      <c r="G643" s="1033"/>
      <c r="H643" s="1033"/>
      <c r="I643" s="1033"/>
      <c r="J643" s="1033"/>
      <c r="K643" s="1033"/>
      <c r="L643" s="90"/>
      <c r="M643" s="51"/>
      <c r="N643" s="113">
        <f t="shared" si="61"/>
        <v>7173</v>
      </c>
      <c r="O643" s="575">
        <v>0</v>
      </c>
      <c r="P643" s="582">
        <v>0</v>
      </c>
      <c r="Q643" s="122"/>
      <c r="R643" s="121"/>
      <c r="S643" s="583">
        <f t="shared" si="62"/>
        <v>0</v>
      </c>
      <c r="T643" s="580">
        <f t="shared" si="63"/>
        <v>0</v>
      </c>
      <c r="U643" s="51"/>
      <c r="V643" s="2119"/>
      <c r="W643" s="43"/>
      <c r="X643" s="43"/>
      <c r="Y643" s="43"/>
      <c r="Z643" s="43"/>
    </row>
    <row r="644" spans="1:26">
      <c r="A644" s="88">
        <v>7174</v>
      </c>
      <c r="B644" s="1035" t="s">
        <v>1170</v>
      </c>
      <c r="C644" s="1033"/>
      <c r="D644" s="1033"/>
      <c r="E644" s="1033"/>
      <c r="F644" s="1033"/>
      <c r="G644" s="1033"/>
      <c r="H644" s="1033"/>
      <c r="I644" s="1033"/>
      <c r="J644" s="1033"/>
      <c r="K644" s="1033"/>
      <c r="L644" s="90"/>
      <c r="M644" s="51"/>
      <c r="N644" s="113">
        <f t="shared" si="61"/>
        <v>7174</v>
      </c>
      <c r="O644" s="575">
        <v>0</v>
      </c>
      <c r="P644" s="582">
        <v>0</v>
      </c>
      <c r="Q644" s="589"/>
      <c r="R644" s="576"/>
      <c r="S644" s="583">
        <f t="shared" si="62"/>
        <v>0</v>
      </c>
      <c r="T644" s="580">
        <f t="shared" si="63"/>
        <v>0</v>
      </c>
      <c r="U644" s="51"/>
      <c r="V644" s="2119"/>
      <c r="W644" s="43"/>
      <c r="X644" s="43"/>
      <c r="Y644" s="43"/>
      <c r="Z644" s="43"/>
    </row>
    <row r="645" spans="1:26">
      <c r="A645" s="88">
        <v>7175</v>
      </c>
      <c r="B645" s="1035" t="s">
        <v>628</v>
      </c>
      <c r="C645" s="1033"/>
      <c r="D645" s="1033"/>
      <c r="E645" s="1033"/>
      <c r="F645" s="1033"/>
      <c r="G645" s="1033"/>
      <c r="H645" s="1033"/>
      <c r="I645" s="1033"/>
      <c r="J645" s="1033"/>
      <c r="K645" s="1033"/>
      <c r="L645" s="90"/>
      <c r="M645" s="51"/>
      <c r="N645" s="113">
        <f t="shared" si="61"/>
        <v>7175</v>
      </c>
      <c r="O645" s="575">
        <v>0</v>
      </c>
      <c r="P645" s="582">
        <v>0</v>
      </c>
      <c r="Q645" s="589"/>
      <c r="R645" s="576"/>
      <c r="S645" s="583">
        <f t="shared" si="62"/>
        <v>0</v>
      </c>
      <c r="T645" s="580">
        <f t="shared" si="63"/>
        <v>0</v>
      </c>
      <c r="U645" s="51"/>
      <c r="V645" s="2119"/>
      <c r="W645" s="43"/>
      <c r="X645" s="43"/>
      <c r="Y645" s="43"/>
      <c r="Z645" s="43"/>
    </row>
    <row r="646" spans="1:26">
      <c r="A646" s="88">
        <v>7176</v>
      </c>
      <c r="B646" s="1035" t="s">
        <v>629</v>
      </c>
      <c r="C646" s="1033"/>
      <c r="D646" s="1033"/>
      <c r="E646" s="1033"/>
      <c r="F646" s="1033"/>
      <c r="G646" s="1033"/>
      <c r="H646" s="1033"/>
      <c r="I646" s="1033"/>
      <c r="J646" s="1033"/>
      <c r="K646" s="1033"/>
      <c r="L646" s="90"/>
      <c r="M646" s="51"/>
      <c r="N646" s="113">
        <f t="shared" si="61"/>
        <v>7176</v>
      </c>
      <c r="O646" s="575">
        <v>0</v>
      </c>
      <c r="P646" s="582">
        <v>0</v>
      </c>
      <c r="Q646" s="589"/>
      <c r="R646" s="576"/>
      <c r="S646" s="583">
        <f t="shared" si="62"/>
        <v>0</v>
      </c>
      <c r="T646" s="580">
        <f t="shared" si="63"/>
        <v>0</v>
      </c>
      <c r="U646" s="51"/>
      <c r="V646" s="2119"/>
      <c r="W646" s="43"/>
      <c r="X646" s="43"/>
      <c r="Y646" s="43"/>
      <c r="Z646" s="43"/>
    </row>
    <row r="647" spans="1:26">
      <c r="A647" s="88">
        <v>7177</v>
      </c>
      <c r="B647" s="1035" t="s">
        <v>1171</v>
      </c>
      <c r="C647" s="1033"/>
      <c r="D647" s="1033"/>
      <c r="E647" s="1033"/>
      <c r="F647" s="1033"/>
      <c r="G647" s="1033"/>
      <c r="H647" s="1033"/>
      <c r="I647" s="1033"/>
      <c r="J647" s="1033"/>
      <c r="K647" s="1033"/>
      <c r="L647" s="90"/>
      <c r="M647" s="51"/>
      <c r="N647" s="113">
        <f t="shared" si="61"/>
        <v>7177</v>
      </c>
      <c r="O647" s="575">
        <v>0</v>
      </c>
      <c r="P647" s="582">
        <v>0</v>
      </c>
      <c r="Q647" s="589">
        <v>0</v>
      </c>
      <c r="R647" s="576">
        <v>0</v>
      </c>
      <c r="S647" s="583">
        <f t="shared" si="62"/>
        <v>0</v>
      </c>
      <c r="T647" s="580">
        <f t="shared" si="63"/>
        <v>0</v>
      </c>
      <c r="U647" s="51"/>
      <c r="V647" s="2119"/>
      <c r="W647" s="43"/>
      <c r="X647" s="43"/>
      <c r="Y647" s="43"/>
      <c r="Z647" s="43"/>
    </row>
    <row r="648" spans="1:26">
      <c r="A648" s="88">
        <v>7178</v>
      </c>
      <c r="B648" s="1035" t="s">
        <v>1172</v>
      </c>
      <c r="C648" s="1033"/>
      <c r="D648" s="1033"/>
      <c r="E648" s="1033"/>
      <c r="F648" s="1033"/>
      <c r="G648" s="1033"/>
      <c r="H648" s="1033"/>
      <c r="I648" s="1033"/>
      <c r="J648" s="1033"/>
      <c r="K648" s="1033"/>
      <c r="L648" s="90"/>
      <c r="M648" s="51"/>
      <c r="N648" s="113">
        <f t="shared" si="61"/>
        <v>7178</v>
      </c>
      <c r="O648" s="575">
        <v>0</v>
      </c>
      <c r="P648" s="582">
        <v>0</v>
      </c>
      <c r="Q648" s="589"/>
      <c r="R648" s="576"/>
      <c r="S648" s="583">
        <f t="shared" si="62"/>
        <v>0</v>
      </c>
      <c r="T648" s="580">
        <f t="shared" si="63"/>
        <v>0</v>
      </c>
      <c r="U648" s="51"/>
      <c r="V648" s="2119"/>
      <c r="W648" s="43"/>
      <c r="X648" s="43"/>
      <c r="Y648" s="43"/>
      <c r="Z648" s="43"/>
    </row>
    <row r="649" spans="1:26">
      <c r="A649" s="88">
        <v>7179</v>
      </c>
      <c r="B649" s="378" t="s">
        <v>630</v>
      </c>
      <c r="C649" s="1033"/>
      <c r="D649" s="1033"/>
      <c r="E649" s="1033"/>
      <c r="F649" s="1033"/>
      <c r="G649" s="1033"/>
      <c r="H649" s="1033"/>
      <c r="I649" s="1033"/>
      <c r="J649" s="1033"/>
      <c r="K649" s="1033"/>
      <c r="L649" s="90"/>
      <c r="M649" s="51"/>
      <c r="N649" s="113">
        <f t="shared" si="61"/>
        <v>7179</v>
      </c>
      <c r="O649" s="575">
        <v>0</v>
      </c>
      <c r="P649" s="582">
        <v>0</v>
      </c>
      <c r="Q649" s="589"/>
      <c r="R649" s="576"/>
      <c r="S649" s="583">
        <f t="shared" si="62"/>
        <v>0</v>
      </c>
      <c r="T649" s="580">
        <f t="shared" si="63"/>
        <v>0</v>
      </c>
      <c r="U649" s="51"/>
      <c r="V649" s="2119"/>
      <c r="W649" s="43"/>
      <c r="X649" s="43"/>
      <c r="Y649" s="43"/>
      <c r="Z649" s="43"/>
    </row>
    <row r="650" spans="1:26" ht="15.75" customHeight="1">
      <c r="A650" s="88">
        <v>7180</v>
      </c>
      <c r="B650" s="378" t="s">
        <v>631</v>
      </c>
      <c r="C650" s="1033"/>
      <c r="D650" s="1033"/>
      <c r="E650" s="1033"/>
      <c r="F650" s="1033"/>
      <c r="G650" s="1033"/>
      <c r="H650" s="1033"/>
      <c r="I650" s="1033"/>
      <c r="J650" s="1033"/>
      <c r="K650" s="1033"/>
      <c r="L650" s="90"/>
      <c r="M650" s="51"/>
      <c r="N650" s="113">
        <f t="shared" si="61"/>
        <v>7180</v>
      </c>
      <c r="O650" s="575">
        <v>0</v>
      </c>
      <c r="P650" s="582">
        <v>0</v>
      </c>
      <c r="Q650" s="589"/>
      <c r="R650" s="576"/>
      <c r="S650" s="583">
        <f t="shared" si="62"/>
        <v>0</v>
      </c>
      <c r="T650" s="580">
        <f t="shared" si="63"/>
        <v>0</v>
      </c>
      <c r="U650" s="51"/>
      <c r="V650" s="2119"/>
      <c r="W650" s="43"/>
      <c r="X650" s="43"/>
      <c r="Y650" s="43"/>
      <c r="Z650" s="43"/>
    </row>
    <row r="651" spans="1:26">
      <c r="A651" s="88">
        <v>7181</v>
      </c>
      <c r="B651" s="1033" t="s">
        <v>632</v>
      </c>
      <c r="C651" s="1033"/>
      <c r="D651" s="1033"/>
      <c r="E651" s="1033"/>
      <c r="F651" s="1033"/>
      <c r="G651" s="1033"/>
      <c r="H651" s="1033"/>
      <c r="I651" s="1033"/>
      <c r="J651" s="1033"/>
      <c r="K651" s="1033"/>
      <c r="L651" s="90"/>
      <c r="M651" s="51"/>
      <c r="N651" s="113">
        <f t="shared" si="61"/>
        <v>7181</v>
      </c>
      <c r="O651" s="575">
        <v>0</v>
      </c>
      <c r="P651" s="582">
        <v>0</v>
      </c>
      <c r="Q651" s="589">
        <v>0</v>
      </c>
      <c r="R651" s="576">
        <v>0</v>
      </c>
      <c r="S651" s="583">
        <f t="shared" si="62"/>
        <v>0</v>
      </c>
      <c r="T651" s="580">
        <f t="shared" si="63"/>
        <v>0</v>
      </c>
      <c r="U651" s="51"/>
      <c r="V651" s="2119"/>
      <c r="W651" s="43"/>
      <c r="X651" s="43"/>
      <c r="Y651" s="43"/>
      <c r="Z651" s="43"/>
    </row>
    <row r="652" spans="1:26" ht="15.75" customHeight="1">
      <c r="A652" s="88">
        <v>7182</v>
      </c>
      <c r="B652" s="378" t="s">
        <v>633</v>
      </c>
      <c r="C652" s="1033"/>
      <c r="D652" s="1033"/>
      <c r="E652" s="1033"/>
      <c r="F652" s="1033"/>
      <c r="G652" s="1033"/>
      <c r="H652" s="1033"/>
      <c r="I652" s="1033"/>
      <c r="J652" s="1033"/>
      <c r="K652" s="1033"/>
      <c r="L652" s="90"/>
      <c r="M652" s="51"/>
      <c r="N652" s="113">
        <f t="shared" si="61"/>
        <v>7182</v>
      </c>
      <c r="O652" s="575">
        <v>0</v>
      </c>
      <c r="P652" s="582">
        <v>0</v>
      </c>
      <c r="Q652" s="589"/>
      <c r="R652" s="576"/>
      <c r="S652" s="583">
        <f t="shared" si="62"/>
        <v>0</v>
      </c>
      <c r="T652" s="580">
        <f t="shared" si="63"/>
        <v>0</v>
      </c>
      <c r="U652" s="51"/>
      <c r="V652" s="2119"/>
      <c r="W652" s="43"/>
      <c r="X652" s="43"/>
      <c r="Y652" s="43"/>
      <c r="Z652" s="43"/>
    </row>
    <row r="653" spans="1:26">
      <c r="A653" s="88">
        <v>7189</v>
      </c>
      <c r="B653" s="1033" t="s">
        <v>634</v>
      </c>
      <c r="C653" s="1033"/>
      <c r="D653" s="1033"/>
      <c r="E653" s="1033"/>
      <c r="F653" s="1033"/>
      <c r="G653" s="1033"/>
      <c r="H653" s="1033"/>
      <c r="I653" s="1033"/>
      <c r="J653" s="1033"/>
      <c r="K653" s="1033"/>
      <c r="L653" s="90"/>
      <c r="M653" s="51"/>
      <c r="N653" s="113">
        <f t="shared" si="61"/>
        <v>7189</v>
      </c>
      <c r="O653" s="575">
        <v>0</v>
      </c>
      <c r="P653" s="582">
        <v>0</v>
      </c>
      <c r="Q653" s="589"/>
      <c r="R653" s="576"/>
      <c r="S653" s="583">
        <f t="shared" si="62"/>
        <v>0</v>
      </c>
      <c r="T653" s="580">
        <f t="shared" si="63"/>
        <v>0</v>
      </c>
      <c r="U653" s="51"/>
      <c r="V653" s="2119"/>
      <c r="W653" s="43"/>
      <c r="X653" s="43"/>
      <c r="Y653" s="43"/>
      <c r="Z653" s="43"/>
    </row>
    <row r="654" spans="1:26">
      <c r="A654" s="88">
        <v>7190</v>
      </c>
      <c r="B654" s="1032" t="s">
        <v>635</v>
      </c>
      <c r="C654" s="1033"/>
      <c r="D654" s="1033"/>
      <c r="E654" s="1033"/>
      <c r="F654" s="1033"/>
      <c r="G654" s="1033"/>
      <c r="H654" s="1033"/>
      <c r="I654" s="1033"/>
      <c r="J654" s="1033"/>
      <c r="K654" s="1033"/>
      <c r="L654" s="90"/>
      <c r="M654" s="51"/>
      <c r="N654" s="113">
        <f t="shared" si="61"/>
        <v>7190</v>
      </c>
      <c r="O654" s="575">
        <v>0</v>
      </c>
      <c r="P654" s="582">
        <v>0</v>
      </c>
      <c r="Q654" s="589">
        <v>0</v>
      </c>
      <c r="R654" s="576">
        <v>0</v>
      </c>
      <c r="S654" s="583">
        <f t="shared" si="62"/>
        <v>0</v>
      </c>
      <c r="T654" s="580">
        <f t="shared" si="63"/>
        <v>0</v>
      </c>
      <c r="U654" s="51"/>
      <c r="V654" s="2119"/>
      <c r="W654" s="43"/>
      <c r="X654" s="43"/>
      <c r="Y654" s="43"/>
      <c r="Z654" s="43"/>
    </row>
    <row r="655" spans="1:26">
      <c r="A655" s="88">
        <v>7191</v>
      </c>
      <c r="B655" s="1032" t="s">
        <v>636</v>
      </c>
      <c r="C655" s="1033"/>
      <c r="D655" s="1033"/>
      <c r="E655" s="1033"/>
      <c r="F655" s="1033"/>
      <c r="G655" s="1033"/>
      <c r="H655" s="1033"/>
      <c r="I655" s="1033"/>
      <c r="J655" s="1033"/>
      <c r="K655" s="1033"/>
      <c r="L655" s="90"/>
      <c r="M655" s="51"/>
      <c r="N655" s="113">
        <f t="shared" si="61"/>
        <v>7191</v>
      </c>
      <c r="O655" s="575">
        <v>0</v>
      </c>
      <c r="P655" s="582">
        <v>0</v>
      </c>
      <c r="Q655" s="589"/>
      <c r="R655" s="576"/>
      <c r="S655" s="583">
        <f t="shared" si="62"/>
        <v>0</v>
      </c>
      <c r="T655" s="580">
        <f t="shared" si="63"/>
        <v>0</v>
      </c>
      <c r="U655" s="51"/>
      <c r="V655" s="2119"/>
      <c r="W655" s="43"/>
      <c r="X655" s="43"/>
      <c r="Y655" s="43"/>
      <c r="Z655" s="43"/>
    </row>
    <row r="656" spans="1:26">
      <c r="A656" s="88">
        <v>7192</v>
      </c>
      <c r="B656" s="1032" t="s">
        <v>637</v>
      </c>
      <c r="C656" s="1033"/>
      <c r="D656" s="1033"/>
      <c r="E656" s="1033"/>
      <c r="F656" s="1033"/>
      <c r="G656" s="1033"/>
      <c r="H656" s="1033"/>
      <c r="I656" s="1033"/>
      <c r="J656" s="1033"/>
      <c r="K656" s="1033"/>
      <c r="L656" s="90"/>
      <c r="M656" s="51"/>
      <c r="N656" s="113">
        <f t="shared" si="61"/>
        <v>7192</v>
      </c>
      <c r="O656" s="575">
        <v>0</v>
      </c>
      <c r="P656" s="582">
        <v>0</v>
      </c>
      <c r="Q656" s="589"/>
      <c r="R656" s="576"/>
      <c r="S656" s="583">
        <f t="shared" si="62"/>
        <v>0</v>
      </c>
      <c r="T656" s="580">
        <f t="shared" si="63"/>
        <v>0</v>
      </c>
      <c r="U656" s="51"/>
      <c r="V656" s="2119"/>
      <c r="W656" s="43"/>
      <c r="X656" s="43"/>
      <c r="Y656" s="43"/>
      <c r="Z656" s="43"/>
    </row>
    <row r="657" spans="1:26">
      <c r="A657" s="88">
        <v>7198</v>
      </c>
      <c r="B657" s="1032" t="s">
        <v>638</v>
      </c>
      <c r="C657" s="1033"/>
      <c r="D657" s="1033"/>
      <c r="E657" s="1033"/>
      <c r="F657" s="1033"/>
      <c r="G657" s="1033"/>
      <c r="H657" s="1033"/>
      <c r="I657" s="1033"/>
      <c r="J657" s="1033"/>
      <c r="K657" s="1033"/>
      <c r="L657" s="90"/>
      <c r="M657" s="51"/>
      <c r="N657" s="113">
        <f t="shared" si="61"/>
        <v>7198</v>
      </c>
      <c r="O657" s="575">
        <v>0</v>
      </c>
      <c r="P657" s="582">
        <v>0</v>
      </c>
      <c r="Q657" s="589"/>
      <c r="R657" s="576"/>
      <c r="S657" s="583">
        <f t="shared" si="62"/>
        <v>0</v>
      </c>
      <c r="T657" s="580">
        <f t="shared" si="63"/>
        <v>0</v>
      </c>
      <c r="U657" s="51"/>
      <c r="V657" s="2119"/>
      <c r="W657" s="43"/>
      <c r="X657" s="43"/>
      <c r="Y657" s="43"/>
      <c r="Z657" s="43"/>
    </row>
    <row r="658" spans="1:26">
      <c r="A658" s="88">
        <v>7199</v>
      </c>
      <c r="B658" s="1032" t="s">
        <v>639</v>
      </c>
      <c r="C658" s="1033"/>
      <c r="D658" s="1033"/>
      <c r="E658" s="1033"/>
      <c r="F658" s="1033"/>
      <c r="G658" s="1033"/>
      <c r="H658" s="1033"/>
      <c r="I658" s="1033"/>
      <c r="J658" s="1033"/>
      <c r="K658" s="1033"/>
      <c r="L658" s="90"/>
      <c r="M658" s="51"/>
      <c r="N658" s="113">
        <f t="shared" si="61"/>
        <v>7199</v>
      </c>
      <c r="O658" s="575">
        <v>0</v>
      </c>
      <c r="P658" s="582">
        <v>0</v>
      </c>
      <c r="Q658" s="589">
        <v>0</v>
      </c>
      <c r="R658" s="576">
        <v>0</v>
      </c>
      <c r="S658" s="583">
        <f t="shared" si="62"/>
        <v>0</v>
      </c>
      <c r="T658" s="580">
        <f t="shared" si="63"/>
        <v>0</v>
      </c>
      <c r="U658" s="51"/>
      <c r="V658" s="2119"/>
      <c r="W658" s="43"/>
      <c r="X658" s="43"/>
      <c r="Y658" s="43"/>
      <c r="Z658" s="43"/>
    </row>
    <row r="659" spans="1:26">
      <c r="A659" s="88">
        <v>7200</v>
      </c>
      <c r="B659" s="1033" t="s">
        <v>692</v>
      </c>
      <c r="C659" s="1033"/>
      <c r="D659" s="1033"/>
      <c r="E659" s="1033"/>
      <c r="F659" s="1033"/>
      <c r="G659" s="1033"/>
      <c r="H659" s="1033"/>
      <c r="I659" s="1033"/>
      <c r="J659" s="1033"/>
      <c r="K659" s="1033"/>
      <c r="L659" s="90"/>
      <c r="M659" s="51"/>
      <c r="N659" s="113">
        <f t="shared" si="61"/>
        <v>7200</v>
      </c>
      <c r="O659" s="575">
        <v>0</v>
      </c>
      <c r="P659" s="582">
        <v>0</v>
      </c>
      <c r="Q659" s="589"/>
      <c r="R659" s="576"/>
      <c r="S659" s="583">
        <f t="shared" si="62"/>
        <v>0</v>
      </c>
      <c r="T659" s="580">
        <f t="shared" si="63"/>
        <v>0</v>
      </c>
      <c r="U659" s="51"/>
      <c r="V659" s="2119"/>
      <c r="W659" s="43"/>
      <c r="X659" s="43"/>
      <c r="Y659" s="43"/>
      <c r="Z659" s="43"/>
    </row>
    <row r="660" spans="1:26">
      <c r="A660" s="88">
        <v>7211</v>
      </c>
      <c r="B660" s="1032" t="s">
        <v>640</v>
      </c>
      <c r="C660" s="1033"/>
      <c r="D660" s="1033"/>
      <c r="E660" s="1033"/>
      <c r="F660" s="1033"/>
      <c r="G660" s="1033"/>
      <c r="H660" s="1033"/>
      <c r="I660" s="1033"/>
      <c r="J660" s="1033"/>
      <c r="K660" s="1033"/>
      <c r="L660" s="90"/>
      <c r="M660" s="51"/>
      <c r="N660" s="113">
        <f t="shared" si="61"/>
        <v>7211</v>
      </c>
      <c r="O660" s="575">
        <v>0</v>
      </c>
      <c r="P660" s="582">
        <v>0</v>
      </c>
      <c r="Q660" s="589"/>
      <c r="R660" s="576"/>
      <c r="S660" s="583">
        <f t="shared" si="62"/>
        <v>0</v>
      </c>
      <c r="T660" s="580">
        <f t="shared" si="63"/>
        <v>0</v>
      </c>
      <c r="U660" s="51"/>
      <c r="V660" s="2119"/>
      <c r="W660" s="43"/>
      <c r="X660" s="43"/>
      <c r="Y660" s="43"/>
      <c r="Z660" s="43"/>
    </row>
    <row r="661" spans="1:26">
      <c r="A661" s="88">
        <v>7212</v>
      </c>
      <c r="B661" s="1032" t="s">
        <v>641</v>
      </c>
      <c r="C661" s="1033"/>
      <c r="D661" s="1033"/>
      <c r="E661" s="1033"/>
      <c r="F661" s="1033"/>
      <c r="G661" s="1033"/>
      <c r="H661" s="1033"/>
      <c r="I661" s="1033"/>
      <c r="J661" s="1033"/>
      <c r="K661" s="1033"/>
      <c r="L661" s="90"/>
      <c r="M661" s="51"/>
      <c r="N661" s="113">
        <f t="shared" si="61"/>
        <v>7212</v>
      </c>
      <c r="O661" s="575">
        <v>0</v>
      </c>
      <c r="P661" s="582">
        <v>0</v>
      </c>
      <c r="Q661" s="589"/>
      <c r="R661" s="576"/>
      <c r="S661" s="583">
        <f t="shared" si="62"/>
        <v>0</v>
      </c>
      <c r="T661" s="580">
        <f t="shared" si="63"/>
        <v>0</v>
      </c>
      <c r="U661" s="51"/>
      <c r="V661" s="2119"/>
      <c r="W661" s="43"/>
      <c r="X661" s="43"/>
      <c r="Y661" s="43"/>
      <c r="Z661" s="43"/>
    </row>
    <row r="662" spans="1:26">
      <c r="A662" s="88">
        <v>7215</v>
      </c>
      <c r="B662" s="1032" t="s">
        <v>642</v>
      </c>
      <c r="C662" s="1033"/>
      <c r="D662" s="1033"/>
      <c r="E662" s="1033"/>
      <c r="F662" s="1033"/>
      <c r="G662" s="1033"/>
      <c r="H662" s="1033"/>
      <c r="I662" s="1033"/>
      <c r="J662" s="1033"/>
      <c r="K662" s="1033"/>
      <c r="L662" s="90"/>
      <c r="M662" s="51"/>
      <c r="N662" s="113">
        <f t="shared" si="61"/>
        <v>7215</v>
      </c>
      <c r="O662" s="575">
        <v>0</v>
      </c>
      <c r="P662" s="582">
        <v>0</v>
      </c>
      <c r="Q662" s="589"/>
      <c r="R662" s="576"/>
      <c r="S662" s="583">
        <f t="shared" si="62"/>
        <v>0</v>
      </c>
      <c r="T662" s="580">
        <f t="shared" si="63"/>
        <v>0</v>
      </c>
      <c r="U662" s="51"/>
      <c r="V662" s="2119"/>
      <c r="W662" s="43"/>
      <c r="X662" s="43"/>
      <c r="Y662" s="43"/>
      <c r="Z662" s="43"/>
    </row>
    <row r="663" spans="1:26">
      <c r="A663" s="88">
        <v>7216</v>
      </c>
      <c r="B663" s="1032" t="s">
        <v>643</v>
      </c>
      <c r="C663" s="1033"/>
      <c r="D663" s="1033"/>
      <c r="E663" s="1033"/>
      <c r="F663" s="1033"/>
      <c r="G663" s="1033"/>
      <c r="H663" s="1033"/>
      <c r="I663" s="1033"/>
      <c r="J663" s="1033"/>
      <c r="K663" s="1033"/>
      <c r="L663" s="90"/>
      <c r="M663" s="51"/>
      <c r="N663" s="113">
        <f t="shared" si="61"/>
        <v>7216</v>
      </c>
      <c r="O663" s="575">
        <v>0</v>
      </c>
      <c r="P663" s="582">
        <v>0</v>
      </c>
      <c r="Q663" s="589"/>
      <c r="R663" s="576"/>
      <c r="S663" s="583">
        <f t="shared" si="62"/>
        <v>0</v>
      </c>
      <c r="T663" s="580">
        <f t="shared" si="63"/>
        <v>0</v>
      </c>
      <c r="U663" s="51"/>
      <c r="V663" s="2119"/>
      <c r="W663" s="43"/>
      <c r="X663" s="43"/>
      <c r="Y663" s="43"/>
      <c r="Z663" s="43"/>
    </row>
    <row r="664" spans="1:26">
      <c r="A664" s="88">
        <v>7217</v>
      </c>
      <c r="B664" s="1032" t="s">
        <v>644</v>
      </c>
      <c r="C664" s="1033"/>
      <c r="D664" s="1033"/>
      <c r="E664" s="1033"/>
      <c r="F664" s="1033"/>
      <c r="G664" s="1033"/>
      <c r="H664" s="1033"/>
      <c r="I664" s="1033"/>
      <c r="J664" s="1033"/>
      <c r="K664" s="1033"/>
      <c r="L664" s="90"/>
      <c r="M664" s="51"/>
      <c r="N664" s="113">
        <f t="shared" si="61"/>
        <v>7217</v>
      </c>
      <c r="O664" s="575">
        <v>0</v>
      </c>
      <c r="P664" s="582">
        <v>0</v>
      </c>
      <c r="Q664" s="589"/>
      <c r="R664" s="576"/>
      <c r="S664" s="583">
        <f t="shared" si="62"/>
        <v>0</v>
      </c>
      <c r="T664" s="580">
        <f t="shared" si="63"/>
        <v>0</v>
      </c>
      <c r="U664" s="51"/>
      <c r="V664" s="2119"/>
      <c r="W664" s="43"/>
      <c r="X664" s="43"/>
      <c r="Y664" s="43"/>
      <c r="Z664" s="43"/>
    </row>
    <row r="665" spans="1:26">
      <c r="A665" s="88">
        <v>7218</v>
      </c>
      <c r="B665" s="1032" t="s">
        <v>645</v>
      </c>
      <c r="C665" s="1033"/>
      <c r="D665" s="1033"/>
      <c r="E665" s="1033"/>
      <c r="F665" s="1033"/>
      <c r="G665" s="1033"/>
      <c r="H665" s="1033"/>
      <c r="I665" s="1033"/>
      <c r="J665" s="1033"/>
      <c r="K665" s="1033"/>
      <c r="L665" s="90"/>
      <c r="M665" s="51"/>
      <c r="N665" s="113">
        <f t="shared" si="61"/>
        <v>7218</v>
      </c>
      <c r="O665" s="575">
        <v>0</v>
      </c>
      <c r="P665" s="582">
        <v>0</v>
      </c>
      <c r="Q665" s="589"/>
      <c r="R665" s="576"/>
      <c r="S665" s="583">
        <f t="shared" si="62"/>
        <v>0</v>
      </c>
      <c r="T665" s="580">
        <f t="shared" si="63"/>
        <v>0</v>
      </c>
      <c r="U665" s="51"/>
      <c r="V665" s="2119"/>
      <c r="W665" s="43"/>
      <c r="X665" s="43"/>
      <c r="Y665" s="43"/>
      <c r="Z665" s="43"/>
    </row>
    <row r="666" spans="1:26">
      <c r="A666" s="88">
        <v>7219</v>
      </c>
      <c r="B666" s="1032" t="s">
        <v>646</v>
      </c>
      <c r="C666" s="1033"/>
      <c r="D666" s="1033"/>
      <c r="E666" s="1033"/>
      <c r="F666" s="1033"/>
      <c r="G666" s="1033"/>
      <c r="H666" s="1033"/>
      <c r="I666" s="1033"/>
      <c r="J666" s="1033"/>
      <c r="K666" s="1033"/>
      <c r="L666" s="90"/>
      <c r="M666" s="51"/>
      <c r="N666" s="113">
        <f t="shared" ref="N666:N729" si="64">+A666</f>
        <v>7219</v>
      </c>
      <c r="O666" s="575">
        <v>0</v>
      </c>
      <c r="P666" s="582">
        <v>0</v>
      </c>
      <c r="Q666" s="122"/>
      <c r="R666" s="121"/>
      <c r="S666" s="583">
        <f t="shared" ref="S666:S729" si="65">+IF(ABS(+O666+Q666)&gt;=ABS(P666+R666),+O666-P666+Q666-R666,0)</f>
        <v>0</v>
      </c>
      <c r="T666" s="580">
        <f t="shared" si="63"/>
        <v>0</v>
      </c>
      <c r="U666" s="51"/>
      <c r="V666" s="2119"/>
      <c r="W666" s="43"/>
      <c r="X666" s="43"/>
      <c r="Y666" s="43"/>
      <c r="Z666" s="43"/>
    </row>
    <row r="667" spans="1:26">
      <c r="A667" s="91">
        <v>7220</v>
      </c>
      <c r="B667" s="92" t="s">
        <v>647</v>
      </c>
      <c r="C667" s="92"/>
      <c r="D667" s="92"/>
      <c r="E667" s="92"/>
      <c r="F667" s="92"/>
      <c r="G667" s="92"/>
      <c r="H667" s="92"/>
      <c r="I667" s="92"/>
      <c r="J667" s="92"/>
      <c r="K667" s="92"/>
      <c r="L667" s="93"/>
      <c r="M667" s="51"/>
      <c r="N667" s="114">
        <f t="shared" si="64"/>
        <v>7220</v>
      </c>
      <c r="O667" s="10">
        <v>0</v>
      </c>
      <c r="P667" s="11">
        <v>0</v>
      </c>
      <c r="Q667" s="31">
        <v>0</v>
      </c>
      <c r="R667" s="11">
        <v>0</v>
      </c>
      <c r="S667" s="829">
        <f t="shared" si="65"/>
        <v>0</v>
      </c>
      <c r="T667" s="828">
        <f t="shared" si="63"/>
        <v>0</v>
      </c>
      <c r="U667" s="51"/>
      <c r="V667" s="2125">
        <f>+IF(OR(O667&lt;&gt;0,P667&lt;&gt;0,Q667&lt;&gt;0,R667&lt;&gt;0,S667&lt;&gt;0,T667&lt;&gt;0),+IF(ABS(O667+Q667)-ABS(P667+R667)&lt;&gt;0,ABS(O667+Q667)-ABS(P667+R667),1),0)</f>
        <v>0</v>
      </c>
      <c r="W667" s="43"/>
      <c r="X667" s="43"/>
      <c r="Y667" s="43"/>
      <c r="Z667" s="43"/>
    </row>
    <row r="668" spans="1:26">
      <c r="A668" s="88">
        <v>7221</v>
      </c>
      <c r="B668" s="1033" t="s">
        <v>648</v>
      </c>
      <c r="C668" s="1033"/>
      <c r="D668" s="1033"/>
      <c r="E668" s="1033"/>
      <c r="F668" s="1033"/>
      <c r="G668" s="1033"/>
      <c r="H668" s="1033"/>
      <c r="I668" s="1033"/>
      <c r="J668" s="1033"/>
      <c r="K668" s="1033"/>
      <c r="L668" s="90"/>
      <c r="M668" s="51"/>
      <c r="N668" s="113">
        <f t="shared" si="64"/>
        <v>7221</v>
      </c>
      <c r="O668" s="8">
        <v>0</v>
      </c>
      <c r="P668" s="9">
        <v>0</v>
      </c>
      <c r="Q668" s="122"/>
      <c r="R668" s="121"/>
      <c r="S668" s="27">
        <f t="shared" si="65"/>
        <v>0</v>
      </c>
      <c r="T668" s="28">
        <f t="shared" si="63"/>
        <v>0</v>
      </c>
      <c r="U668" s="51"/>
      <c r="V668" s="2119"/>
      <c r="W668" s="43"/>
      <c r="X668" s="43"/>
      <c r="Y668" s="43"/>
      <c r="Z668" s="43"/>
    </row>
    <row r="669" spans="1:26">
      <c r="A669" s="88">
        <v>7222</v>
      </c>
      <c r="B669" s="1033" t="s">
        <v>649</v>
      </c>
      <c r="C669" s="1033"/>
      <c r="D669" s="1033"/>
      <c r="E669" s="1033"/>
      <c r="F669" s="1033"/>
      <c r="G669" s="1033"/>
      <c r="H669" s="1033"/>
      <c r="I669" s="1033"/>
      <c r="J669" s="1033"/>
      <c r="K669" s="1033"/>
      <c r="L669" s="90"/>
      <c r="M669" s="51"/>
      <c r="N669" s="113">
        <f t="shared" si="64"/>
        <v>7222</v>
      </c>
      <c r="O669" s="575">
        <v>0</v>
      </c>
      <c r="P669" s="582">
        <v>0</v>
      </c>
      <c r="Q669" s="589"/>
      <c r="R669" s="576"/>
      <c r="S669" s="27">
        <f t="shared" si="65"/>
        <v>0</v>
      </c>
      <c r="T669" s="28">
        <f t="shared" si="63"/>
        <v>0</v>
      </c>
      <c r="U669" s="51"/>
      <c r="V669" s="2119"/>
      <c r="W669" s="43"/>
      <c r="X669" s="43"/>
      <c r="Y669" s="43"/>
      <c r="Z669" s="43"/>
    </row>
    <row r="670" spans="1:26">
      <c r="A670" s="88">
        <v>7223</v>
      </c>
      <c r="B670" s="1033" t="s">
        <v>650</v>
      </c>
      <c r="C670" s="1033"/>
      <c r="D670" s="1033"/>
      <c r="E670" s="1033"/>
      <c r="F670" s="1033"/>
      <c r="G670" s="1033"/>
      <c r="H670" s="1033"/>
      <c r="I670" s="1033"/>
      <c r="J670" s="1033"/>
      <c r="K670" s="1033"/>
      <c r="L670" s="90"/>
      <c r="M670" s="51"/>
      <c r="N670" s="113">
        <f t="shared" si="64"/>
        <v>7223</v>
      </c>
      <c r="O670" s="575">
        <v>0</v>
      </c>
      <c r="P670" s="582">
        <v>0</v>
      </c>
      <c r="Q670" s="589"/>
      <c r="R670" s="576"/>
      <c r="S670" s="583">
        <f t="shared" si="65"/>
        <v>0</v>
      </c>
      <c r="T670" s="580">
        <f t="shared" si="63"/>
        <v>0</v>
      </c>
      <c r="U670" s="51"/>
      <c r="V670" s="2119"/>
      <c r="W670" s="43"/>
      <c r="X670" s="43"/>
      <c r="Y670" s="43"/>
      <c r="Z670" s="43"/>
    </row>
    <row r="671" spans="1:26">
      <c r="A671" s="88">
        <v>7224</v>
      </c>
      <c r="B671" s="1033" t="s">
        <v>651</v>
      </c>
      <c r="C671" s="1033"/>
      <c r="D671" s="1033"/>
      <c r="E671" s="1033"/>
      <c r="F671" s="1033"/>
      <c r="G671" s="1033"/>
      <c r="H671" s="1033"/>
      <c r="I671" s="1033"/>
      <c r="J671" s="1033"/>
      <c r="K671" s="1033"/>
      <c r="L671" s="90"/>
      <c r="M671" s="51"/>
      <c r="N671" s="113">
        <f t="shared" si="64"/>
        <v>7224</v>
      </c>
      <c r="O671" s="575">
        <v>0</v>
      </c>
      <c r="P671" s="582">
        <v>0</v>
      </c>
      <c r="Q671" s="589"/>
      <c r="R671" s="576"/>
      <c r="S671" s="583">
        <f t="shared" si="65"/>
        <v>0</v>
      </c>
      <c r="T671" s="580">
        <f t="shared" si="63"/>
        <v>0</v>
      </c>
      <c r="U671" s="51"/>
      <c r="V671" s="2119"/>
      <c r="W671" s="43"/>
      <c r="X671" s="43"/>
      <c r="Y671" s="43"/>
      <c r="Z671" s="43"/>
    </row>
    <row r="672" spans="1:26">
      <c r="A672" s="88">
        <v>7226</v>
      </c>
      <c r="B672" s="1033" t="s">
        <v>652</v>
      </c>
      <c r="C672" s="1033"/>
      <c r="D672" s="1033"/>
      <c r="E672" s="1033"/>
      <c r="F672" s="1033"/>
      <c r="G672" s="1033"/>
      <c r="H672" s="1033"/>
      <c r="I672" s="1033"/>
      <c r="J672" s="1033"/>
      <c r="K672" s="1033"/>
      <c r="L672" s="90"/>
      <c r="M672" s="51"/>
      <c r="N672" s="113">
        <f t="shared" si="64"/>
        <v>7226</v>
      </c>
      <c r="O672" s="575">
        <v>0</v>
      </c>
      <c r="P672" s="582">
        <v>0</v>
      </c>
      <c r="Q672" s="589"/>
      <c r="R672" s="576"/>
      <c r="S672" s="583">
        <f t="shared" si="65"/>
        <v>0</v>
      </c>
      <c r="T672" s="580">
        <f t="shared" si="63"/>
        <v>0</v>
      </c>
      <c r="U672" s="51"/>
      <c r="V672" s="2119"/>
      <c r="W672" s="43"/>
      <c r="X672" s="43"/>
      <c r="Y672" s="43"/>
      <c r="Z672" s="43"/>
    </row>
    <row r="673" spans="1:26">
      <c r="A673" s="88">
        <v>7229</v>
      </c>
      <c r="B673" s="1033" t="s">
        <v>653</v>
      </c>
      <c r="C673" s="1033"/>
      <c r="D673" s="1033"/>
      <c r="E673" s="1033"/>
      <c r="F673" s="1033"/>
      <c r="G673" s="1033"/>
      <c r="H673" s="1033"/>
      <c r="I673" s="1033"/>
      <c r="J673" s="1033"/>
      <c r="K673" s="1033"/>
      <c r="L673" s="90"/>
      <c r="M673" s="51"/>
      <c r="N673" s="113">
        <f t="shared" si="64"/>
        <v>7229</v>
      </c>
      <c r="O673" s="575">
        <v>0</v>
      </c>
      <c r="P673" s="582">
        <v>0</v>
      </c>
      <c r="Q673" s="589"/>
      <c r="R673" s="576"/>
      <c r="S673" s="583">
        <f t="shared" si="65"/>
        <v>0</v>
      </c>
      <c r="T673" s="580">
        <f t="shared" ref="T673:T736" si="66">+IF(ABS(+O673+Q673)&lt;=ABS(P673+R673),-O673+P673-Q673+R673,0)</f>
        <v>0</v>
      </c>
      <c r="U673" s="51"/>
      <c r="V673" s="2119"/>
      <c r="W673" s="43"/>
      <c r="X673" s="43"/>
      <c r="Y673" s="43"/>
      <c r="Z673" s="43"/>
    </row>
    <row r="674" spans="1:26">
      <c r="A674" s="88">
        <v>7231</v>
      </c>
      <c r="B674" s="1033" t="s">
        <v>654</v>
      </c>
      <c r="C674" s="1033"/>
      <c r="D674" s="1033"/>
      <c r="E674" s="1033"/>
      <c r="F674" s="1033"/>
      <c r="G674" s="1033"/>
      <c r="H674" s="1033"/>
      <c r="I674" s="1033"/>
      <c r="J674" s="1033"/>
      <c r="K674" s="1033"/>
      <c r="L674" s="90"/>
      <c r="M674" s="51"/>
      <c r="N674" s="113">
        <f t="shared" si="64"/>
        <v>7231</v>
      </c>
      <c r="O674" s="575">
        <v>0</v>
      </c>
      <c r="P674" s="582">
        <v>0</v>
      </c>
      <c r="Q674" s="589"/>
      <c r="R674" s="576"/>
      <c r="S674" s="583">
        <f t="shared" si="65"/>
        <v>0</v>
      </c>
      <c r="T674" s="580">
        <f t="shared" si="66"/>
        <v>0</v>
      </c>
      <c r="U674" s="51"/>
      <c r="V674" s="2119"/>
      <c r="W674" s="43"/>
      <c r="X674" s="43"/>
      <c r="Y674" s="43"/>
      <c r="Z674" s="43"/>
    </row>
    <row r="675" spans="1:26">
      <c r="A675" s="88">
        <v>7232</v>
      </c>
      <c r="B675" s="1033" t="s">
        <v>0</v>
      </c>
      <c r="C675" s="1033"/>
      <c r="D675" s="1033"/>
      <c r="E675" s="1033"/>
      <c r="F675" s="1033"/>
      <c r="G675" s="1033"/>
      <c r="H675" s="1033"/>
      <c r="I675" s="1033"/>
      <c r="J675" s="1033"/>
      <c r="K675" s="1033"/>
      <c r="L675" s="90"/>
      <c r="M675" s="51"/>
      <c r="N675" s="113">
        <f t="shared" si="64"/>
        <v>7232</v>
      </c>
      <c r="O675" s="575">
        <v>0</v>
      </c>
      <c r="P675" s="582">
        <v>0</v>
      </c>
      <c r="Q675" s="589"/>
      <c r="R675" s="576"/>
      <c r="S675" s="583">
        <f t="shared" si="65"/>
        <v>0</v>
      </c>
      <c r="T675" s="580">
        <f t="shared" si="66"/>
        <v>0</v>
      </c>
      <c r="U675" s="51"/>
      <c r="V675" s="2119"/>
      <c r="W675" s="43"/>
      <c r="X675" s="43"/>
      <c r="Y675" s="43"/>
      <c r="Z675" s="43"/>
    </row>
    <row r="676" spans="1:26">
      <c r="A676" s="88">
        <v>7241</v>
      </c>
      <c r="B676" s="1033" t="s">
        <v>1</v>
      </c>
      <c r="C676" s="1033"/>
      <c r="D676" s="1033"/>
      <c r="E676" s="1033"/>
      <c r="F676" s="1033"/>
      <c r="G676" s="1033"/>
      <c r="H676" s="1033"/>
      <c r="I676" s="1033"/>
      <c r="J676" s="1033"/>
      <c r="K676" s="1033"/>
      <c r="L676" s="90"/>
      <c r="M676" s="51"/>
      <c r="N676" s="113">
        <f t="shared" si="64"/>
        <v>7241</v>
      </c>
      <c r="O676" s="575">
        <v>0</v>
      </c>
      <c r="P676" s="582">
        <v>0</v>
      </c>
      <c r="Q676" s="589"/>
      <c r="R676" s="576"/>
      <c r="S676" s="583">
        <f t="shared" si="65"/>
        <v>0</v>
      </c>
      <c r="T676" s="580">
        <f t="shared" si="66"/>
        <v>0</v>
      </c>
      <c r="U676" s="51"/>
      <c r="V676" s="2119"/>
      <c r="W676" s="43"/>
      <c r="X676" s="43"/>
      <c r="Y676" s="43"/>
      <c r="Z676" s="43"/>
    </row>
    <row r="677" spans="1:26">
      <c r="A677" s="88">
        <v>7242</v>
      </c>
      <c r="B677" s="1033" t="s">
        <v>2</v>
      </c>
      <c r="C677" s="1033"/>
      <c r="D677" s="1033"/>
      <c r="E677" s="1033"/>
      <c r="F677" s="1033"/>
      <c r="G677" s="1033"/>
      <c r="H677" s="1033"/>
      <c r="I677" s="1033"/>
      <c r="J677" s="1033"/>
      <c r="K677" s="1033"/>
      <c r="L677" s="90"/>
      <c r="M677" s="51"/>
      <c r="N677" s="113">
        <f t="shared" si="64"/>
        <v>7242</v>
      </c>
      <c r="O677" s="575">
        <v>0</v>
      </c>
      <c r="P677" s="582">
        <v>0</v>
      </c>
      <c r="Q677" s="589"/>
      <c r="R677" s="576"/>
      <c r="S677" s="583">
        <f t="shared" si="65"/>
        <v>0</v>
      </c>
      <c r="T677" s="580">
        <f t="shared" si="66"/>
        <v>0</v>
      </c>
      <c r="U677" s="51"/>
      <c r="V677" s="2119"/>
      <c r="W677" s="43"/>
      <c r="X677" s="43"/>
      <c r="Y677" s="43"/>
      <c r="Z677" s="43"/>
    </row>
    <row r="678" spans="1:26" ht="15.75" customHeight="1">
      <c r="A678" s="88">
        <v>7250</v>
      </c>
      <c r="B678" s="378" t="s">
        <v>3</v>
      </c>
      <c r="C678" s="1033"/>
      <c r="D678" s="1033"/>
      <c r="E678" s="1033"/>
      <c r="F678" s="1033"/>
      <c r="G678" s="1033"/>
      <c r="H678" s="1033"/>
      <c r="I678" s="1033"/>
      <c r="J678" s="1033"/>
      <c r="K678" s="1033"/>
      <c r="L678" s="90"/>
      <c r="M678" s="51"/>
      <c r="N678" s="113">
        <f t="shared" si="64"/>
        <v>7250</v>
      </c>
      <c r="O678" s="575">
        <v>0</v>
      </c>
      <c r="P678" s="582">
        <v>0</v>
      </c>
      <c r="Q678" s="589"/>
      <c r="R678" s="576"/>
      <c r="S678" s="583">
        <f t="shared" si="65"/>
        <v>0</v>
      </c>
      <c r="T678" s="580">
        <f t="shared" si="66"/>
        <v>0</v>
      </c>
      <c r="U678" s="51"/>
      <c r="V678" s="2119"/>
      <c r="W678" s="43"/>
      <c r="X678" s="43"/>
      <c r="Y678" s="43"/>
      <c r="Z678" s="43"/>
    </row>
    <row r="679" spans="1:26">
      <c r="A679" s="88">
        <v>7251</v>
      </c>
      <c r="B679" s="1033" t="s">
        <v>4</v>
      </c>
      <c r="C679" s="1033"/>
      <c r="D679" s="1033"/>
      <c r="E679" s="1033"/>
      <c r="F679" s="1033"/>
      <c r="G679" s="1033"/>
      <c r="H679" s="1033"/>
      <c r="I679" s="1033"/>
      <c r="J679" s="1033"/>
      <c r="K679" s="1033"/>
      <c r="L679" s="90"/>
      <c r="M679" s="51"/>
      <c r="N679" s="113">
        <f t="shared" si="64"/>
        <v>7251</v>
      </c>
      <c r="O679" s="575">
        <v>0</v>
      </c>
      <c r="P679" s="582">
        <v>0</v>
      </c>
      <c r="Q679" s="589">
        <v>0</v>
      </c>
      <c r="R679" s="576">
        <v>0</v>
      </c>
      <c r="S679" s="583">
        <f t="shared" si="65"/>
        <v>0</v>
      </c>
      <c r="T679" s="580">
        <f t="shared" si="66"/>
        <v>0</v>
      </c>
      <c r="U679" s="51"/>
      <c r="V679" s="2119"/>
      <c r="W679" s="43"/>
      <c r="X679" s="43"/>
      <c r="Y679" s="43"/>
      <c r="Z679" s="43"/>
    </row>
    <row r="680" spans="1:26">
      <c r="A680" s="88">
        <v>7252</v>
      </c>
      <c r="B680" s="1033" t="s">
        <v>5</v>
      </c>
      <c r="C680" s="1033"/>
      <c r="D680" s="1033"/>
      <c r="E680" s="1033"/>
      <c r="F680" s="1033"/>
      <c r="G680" s="1033"/>
      <c r="H680" s="1033"/>
      <c r="I680" s="1033"/>
      <c r="J680" s="1033"/>
      <c r="K680" s="1033"/>
      <c r="L680" s="90"/>
      <c r="M680" s="51"/>
      <c r="N680" s="113">
        <f t="shared" si="64"/>
        <v>7252</v>
      </c>
      <c r="O680" s="575">
        <v>0</v>
      </c>
      <c r="P680" s="582">
        <v>0</v>
      </c>
      <c r="Q680" s="589">
        <v>0</v>
      </c>
      <c r="R680" s="576">
        <v>0</v>
      </c>
      <c r="S680" s="583">
        <f t="shared" si="65"/>
        <v>0</v>
      </c>
      <c r="T680" s="580">
        <f t="shared" si="66"/>
        <v>0</v>
      </c>
      <c r="U680" s="51"/>
      <c r="V680" s="2119"/>
      <c r="W680" s="43"/>
      <c r="X680" s="43"/>
      <c r="Y680" s="43"/>
      <c r="Z680" s="43"/>
    </row>
    <row r="681" spans="1:26">
      <c r="A681" s="88">
        <v>7258</v>
      </c>
      <c r="B681" s="1033" t="s">
        <v>6</v>
      </c>
      <c r="C681" s="1033"/>
      <c r="D681" s="1033"/>
      <c r="E681" s="1033"/>
      <c r="F681" s="1033"/>
      <c r="G681" s="1033"/>
      <c r="H681" s="1033"/>
      <c r="I681" s="1033"/>
      <c r="J681" s="1033"/>
      <c r="K681" s="1033"/>
      <c r="L681" s="90"/>
      <c r="M681" s="51"/>
      <c r="N681" s="113">
        <f t="shared" si="64"/>
        <v>7258</v>
      </c>
      <c r="O681" s="575">
        <v>0</v>
      </c>
      <c r="P681" s="582">
        <v>0</v>
      </c>
      <c r="Q681" s="589"/>
      <c r="R681" s="576"/>
      <c r="S681" s="583">
        <f t="shared" si="65"/>
        <v>0</v>
      </c>
      <c r="T681" s="580">
        <f t="shared" si="66"/>
        <v>0</v>
      </c>
      <c r="U681" s="51"/>
      <c r="V681" s="2119"/>
      <c r="W681" s="43"/>
      <c r="X681" s="43"/>
      <c r="Y681" s="43"/>
      <c r="Z681" s="43"/>
    </row>
    <row r="682" spans="1:26" ht="15.75" customHeight="1">
      <c r="A682" s="88">
        <v>7270</v>
      </c>
      <c r="B682" s="378" t="s">
        <v>7</v>
      </c>
      <c r="C682" s="1033"/>
      <c r="D682" s="1033"/>
      <c r="E682" s="1033"/>
      <c r="F682" s="1033"/>
      <c r="G682" s="1033"/>
      <c r="H682" s="1033"/>
      <c r="I682" s="1033"/>
      <c r="J682" s="1033"/>
      <c r="K682" s="1033"/>
      <c r="L682" s="90"/>
      <c r="M682" s="51"/>
      <c r="N682" s="113">
        <f t="shared" si="64"/>
        <v>7270</v>
      </c>
      <c r="O682" s="575">
        <v>0</v>
      </c>
      <c r="P682" s="582">
        <v>0</v>
      </c>
      <c r="Q682" s="589"/>
      <c r="R682" s="576"/>
      <c r="S682" s="583">
        <f t="shared" si="65"/>
        <v>0</v>
      </c>
      <c r="T682" s="580">
        <f t="shared" si="66"/>
        <v>0</v>
      </c>
      <c r="U682" s="51"/>
      <c r="V682" s="2119"/>
      <c r="W682" s="43"/>
      <c r="X682" s="43"/>
      <c r="Y682" s="43"/>
      <c r="Z682" s="43"/>
    </row>
    <row r="683" spans="1:26">
      <c r="A683" s="88">
        <v>7271</v>
      </c>
      <c r="B683" s="1033" t="s">
        <v>8</v>
      </c>
      <c r="C683" s="1033"/>
      <c r="D683" s="1033"/>
      <c r="E683" s="1033"/>
      <c r="F683" s="1033"/>
      <c r="G683" s="1033"/>
      <c r="H683" s="1033"/>
      <c r="I683" s="1033"/>
      <c r="J683" s="1033"/>
      <c r="K683" s="1033"/>
      <c r="L683" s="90"/>
      <c r="M683" s="51"/>
      <c r="N683" s="113">
        <f t="shared" si="64"/>
        <v>7271</v>
      </c>
      <c r="O683" s="575">
        <v>0</v>
      </c>
      <c r="P683" s="582">
        <v>0</v>
      </c>
      <c r="Q683" s="589"/>
      <c r="R683" s="576"/>
      <c r="S683" s="583">
        <f t="shared" si="65"/>
        <v>0</v>
      </c>
      <c r="T683" s="580">
        <f t="shared" si="66"/>
        <v>0</v>
      </c>
      <c r="U683" s="51"/>
      <c r="V683" s="2119"/>
      <c r="W683" s="43"/>
      <c r="X683" s="43"/>
      <c r="Y683" s="43"/>
      <c r="Z683" s="43"/>
    </row>
    <row r="684" spans="1:26" ht="15.75" customHeight="1">
      <c r="A684" s="88">
        <v>7274</v>
      </c>
      <c r="B684" s="378" t="s">
        <v>725</v>
      </c>
      <c r="C684" s="1033"/>
      <c r="D684" s="1033"/>
      <c r="E684" s="1033"/>
      <c r="F684" s="1033"/>
      <c r="G684" s="1033"/>
      <c r="H684" s="1033"/>
      <c r="I684" s="1033"/>
      <c r="J684" s="1033"/>
      <c r="K684" s="1033"/>
      <c r="L684" s="90"/>
      <c r="M684" s="51"/>
      <c r="N684" s="113">
        <f t="shared" si="64"/>
        <v>7274</v>
      </c>
      <c r="O684" s="575">
        <v>0</v>
      </c>
      <c r="P684" s="582">
        <v>0</v>
      </c>
      <c r="Q684" s="589"/>
      <c r="R684" s="576"/>
      <c r="S684" s="583">
        <f t="shared" si="65"/>
        <v>0</v>
      </c>
      <c r="T684" s="580">
        <f t="shared" si="66"/>
        <v>0</v>
      </c>
      <c r="U684" s="51"/>
      <c r="V684" s="2119"/>
      <c r="W684" s="43"/>
      <c r="X684" s="43"/>
      <c r="Y684" s="43"/>
      <c r="Z684" s="43"/>
    </row>
    <row r="685" spans="1:26" ht="15.75" customHeight="1">
      <c r="A685" s="88">
        <v>7275</v>
      </c>
      <c r="B685" s="378" t="s">
        <v>726</v>
      </c>
      <c r="C685" s="1033"/>
      <c r="D685" s="1033"/>
      <c r="E685" s="1033"/>
      <c r="F685" s="1033"/>
      <c r="G685" s="1033"/>
      <c r="H685" s="1033"/>
      <c r="I685" s="1033"/>
      <c r="J685" s="1033"/>
      <c r="K685" s="1033"/>
      <c r="L685" s="90"/>
      <c r="M685" s="51"/>
      <c r="N685" s="113">
        <f t="shared" si="64"/>
        <v>7275</v>
      </c>
      <c r="O685" s="575">
        <v>0</v>
      </c>
      <c r="P685" s="582">
        <v>0</v>
      </c>
      <c r="Q685" s="589"/>
      <c r="R685" s="576"/>
      <c r="S685" s="583">
        <f t="shared" si="65"/>
        <v>0</v>
      </c>
      <c r="T685" s="580">
        <f t="shared" si="66"/>
        <v>0</v>
      </c>
      <c r="U685" s="51"/>
      <c r="V685" s="2119"/>
      <c r="W685" s="43"/>
      <c r="X685" s="43"/>
      <c r="Y685" s="43"/>
      <c r="Z685" s="43"/>
    </row>
    <row r="686" spans="1:26">
      <c r="A686" s="88">
        <v>7277</v>
      </c>
      <c r="B686" s="1033" t="s">
        <v>727</v>
      </c>
      <c r="C686" s="1033"/>
      <c r="D686" s="1033"/>
      <c r="E686" s="1033"/>
      <c r="F686" s="1033"/>
      <c r="G686" s="1033"/>
      <c r="H686" s="1033"/>
      <c r="I686" s="1033"/>
      <c r="J686" s="1033"/>
      <c r="K686" s="1033"/>
      <c r="L686" s="90"/>
      <c r="M686" s="51"/>
      <c r="N686" s="113">
        <f t="shared" si="64"/>
        <v>7277</v>
      </c>
      <c r="O686" s="575">
        <v>0</v>
      </c>
      <c r="P686" s="582">
        <v>0</v>
      </c>
      <c r="Q686" s="589"/>
      <c r="R686" s="576"/>
      <c r="S686" s="583">
        <f t="shared" si="65"/>
        <v>0</v>
      </c>
      <c r="T686" s="580">
        <f t="shared" si="66"/>
        <v>0</v>
      </c>
      <c r="U686" s="51"/>
      <c r="V686" s="2119"/>
      <c r="W686" s="43"/>
      <c r="X686" s="43"/>
      <c r="Y686" s="43"/>
      <c r="Z686" s="43"/>
    </row>
    <row r="687" spans="1:26">
      <c r="A687" s="88">
        <v>7278</v>
      </c>
      <c r="B687" s="1033" t="s">
        <v>728</v>
      </c>
      <c r="C687" s="1033"/>
      <c r="D687" s="1033"/>
      <c r="E687" s="1033"/>
      <c r="F687" s="1033"/>
      <c r="G687" s="1033"/>
      <c r="H687" s="1033"/>
      <c r="I687" s="1033"/>
      <c r="J687" s="1033"/>
      <c r="K687" s="1033"/>
      <c r="L687" s="90"/>
      <c r="M687" s="51"/>
      <c r="N687" s="113">
        <f t="shared" si="64"/>
        <v>7278</v>
      </c>
      <c r="O687" s="575">
        <v>0</v>
      </c>
      <c r="P687" s="582">
        <v>0</v>
      </c>
      <c r="Q687" s="589"/>
      <c r="R687" s="576"/>
      <c r="S687" s="583">
        <f t="shared" si="65"/>
        <v>0</v>
      </c>
      <c r="T687" s="580">
        <f t="shared" si="66"/>
        <v>0</v>
      </c>
      <c r="U687" s="51"/>
      <c r="V687" s="2119"/>
      <c r="W687" s="43"/>
      <c r="X687" s="43"/>
      <c r="Y687" s="43"/>
      <c r="Z687" s="43"/>
    </row>
    <row r="688" spans="1:26">
      <c r="A688" s="88">
        <v>7282</v>
      </c>
      <c r="B688" s="1033" t="s">
        <v>729</v>
      </c>
      <c r="C688" s="1033"/>
      <c r="D688" s="1033"/>
      <c r="E688" s="1033"/>
      <c r="F688" s="1033"/>
      <c r="G688" s="1033"/>
      <c r="H688" s="1033"/>
      <c r="I688" s="1033"/>
      <c r="J688" s="1033"/>
      <c r="K688" s="1033"/>
      <c r="L688" s="90"/>
      <c r="M688" s="51"/>
      <c r="N688" s="113">
        <f t="shared" si="64"/>
        <v>7282</v>
      </c>
      <c r="O688" s="575">
        <v>0</v>
      </c>
      <c r="P688" s="582">
        <v>0</v>
      </c>
      <c r="Q688" s="589"/>
      <c r="R688" s="576"/>
      <c r="S688" s="583">
        <f t="shared" si="65"/>
        <v>0</v>
      </c>
      <c r="T688" s="580">
        <f t="shared" si="66"/>
        <v>0</v>
      </c>
      <c r="U688" s="51"/>
      <c r="V688" s="2119"/>
      <c r="W688" s="43"/>
      <c r="X688" s="43"/>
      <c r="Y688" s="43"/>
      <c r="Z688" s="43"/>
    </row>
    <row r="689" spans="1:26">
      <c r="A689" s="88">
        <v>7289</v>
      </c>
      <c r="B689" s="1033" t="s">
        <v>730</v>
      </c>
      <c r="C689" s="1033"/>
      <c r="D689" s="1033"/>
      <c r="E689" s="1033"/>
      <c r="F689" s="1033"/>
      <c r="G689" s="1033"/>
      <c r="H689" s="1033"/>
      <c r="I689" s="1033"/>
      <c r="J689" s="1033"/>
      <c r="K689" s="1033"/>
      <c r="L689" s="90"/>
      <c r="M689" s="51"/>
      <c r="N689" s="113">
        <f t="shared" si="64"/>
        <v>7289</v>
      </c>
      <c r="O689" s="575">
        <v>0</v>
      </c>
      <c r="P689" s="582">
        <v>0</v>
      </c>
      <c r="Q689" s="589"/>
      <c r="R689" s="576"/>
      <c r="S689" s="583">
        <f t="shared" si="65"/>
        <v>0</v>
      </c>
      <c r="T689" s="580">
        <f t="shared" si="66"/>
        <v>0</v>
      </c>
      <c r="U689" s="51"/>
      <c r="V689" s="2119"/>
      <c r="W689" s="43"/>
      <c r="X689" s="43"/>
      <c r="Y689" s="43"/>
      <c r="Z689" s="43"/>
    </row>
    <row r="690" spans="1:26">
      <c r="A690" s="88">
        <v>7291</v>
      </c>
      <c r="B690" s="1033" t="s">
        <v>731</v>
      </c>
      <c r="C690" s="1033"/>
      <c r="D690" s="1033"/>
      <c r="E690" s="1033"/>
      <c r="F690" s="1033"/>
      <c r="G690" s="1033"/>
      <c r="H690" s="1033"/>
      <c r="I690" s="1033"/>
      <c r="J690" s="1033"/>
      <c r="K690" s="1033"/>
      <c r="L690" s="90"/>
      <c r="M690" s="51"/>
      <c r="N690" s="113">
        <f t="shared" si="64"/>
        <v>7291</v>
      </c>
      <c r="O690" s="575">
        <v>0</v>
      </c>
      <c r="P690" s="582">
        <v>0</v>
      </c>
      <c r="Q690" s="589"/>
      <c r="R690" s="576"/>
      <c r="S690" s="583">
        <f t="shared" si="65"/>
        <v>0</v>
      </c>
      <c r="T690" s="580">
        <f t="shared" si="66"/>
        <v>0</v>
      </c>
      <c r="U690" s="51"/>
      <c r="V690" s="2119"/>
      <c r="W690" s="43"/>
      <c r="X690" s="43"/>
      <c r="Y690" s="43"/>
      <c r="Z690" s="43"/>
    </row>
    <row r="691" spans="1:26">
      <c r="A691" s="88">
        <v>7292</v>
      </c>
      <c r="B691" s="1033" t="s">
        <v>732</v>
      </c>
      <c r="C691" s="1033"/>
      <c r="D691" s="1033"/>
      <c r="E691" s="1033"/>
      <c r="F691" s="1033"/>
      <c r="G691" s="1033"/>
      <c r="H691" s="1033"/>
      <c r="I691" s="1033"/>
      <c r="J691" s="1033"/>
      <c r="K691" s="1033"/>
      <c r="L691" s="90"/>
      <c r="M691" s="51"/>
      <c r="N691" s="113">
        <f t="shared" si="64"/>
        <v>7292</v>
      </c>
      <c r="O691" s="575">
        <v>0</v>
      </c>
      <c r="P691" s="582">
        <v>0</v>
      </c>
      <c r="Q691" s="589"/>
      <c r="R691" s="576"/>
      <c r="S691" s="583">
        <f t="shared" si="65"/>
        <v>0</v>
      </c>
      <c r="T691" s="580">
        <f t="shared" si="66"/>
        <v>0</v>
      </c>
      <c r="U691" s="51"/>
      <c r="V691" s="2119"/>
      <c r="W691" s="43"/>
      <c r="X691" s="43"/>
      <c r="Y691" s="43"/>
      <c r="Z691" s="43"/>
    </row>
    <row r="692" spans="1:26" ht="15.75" customHeight="1">
      <c r="A692" s="88">
        <v>7298</v>
      </c>
      <c r="B692" s="1033" t="s">
        <v>733</v>
      </c>
      <c r="C692" s="1033"/>
      <c r="D692" s="1033"/>
      <c r="E692" s="1033"/>
      <c r="F692" s="1033"/>
      <c r="G692" s="1033"/>
      <c r="H692" s="1033"/>
      <c r="I692" s="1033"/>
      <c r="J692" s="1033"/>
      <c r="K692" s="1033"/>
      <c r="L692" s="90"/>
      <c r="M692" s="51"/>
      <c r="N692" s="113">
        <f t="shared" si="64"/>
        <v>7298</v>
      </c>
      <c r="O692" s="575">
        <v>0</v>
      </c>
      <c r="P692" s="582">
        <v>0</v>
      </c>
      <c r="Q692" s="589"/>
      <c r="R692" s="576"/>
      <c r="S692" s="583">
        <f t="shared" si="65"/>
        <v>0</v>
      </c>
      <c r="T692" s="580">
        <f t="shared" si="66"/>
        <v>0</v>
      </c>
      <c r="U692" s="51"/>
      <c r="V692" s="2119"/>
      <c r="W692" s="43"/>
      <c r="X692" s="43"/>
      <c r="Y692" s="43"/>
      <c r="Z692" s="43"/>
    </row>
    <row r="693" spans="1:26">
      <c r="A693" s="88">
        <v>7311</v>
      </c>
      <c r="B693" s="1035" t="s">
        <v>1173</v>
      </c>
      <c r="C693" s="1033"/>
      <c r="D693" s="1033"/>
      <c r="E693" s="1033"/>
      <c r="F693" s="1033"/>
      <c r="G693" s="1033"/>
      <c r="H693" s="1033"/>
      <c r="I693" s="1033"/>
      <c r="J693" s="1033"/>
      <c r="K693" s="1033"/>
      <c r="L693" s="90"/>
      <c r="M693" s="51"/>
      <c r="N693" s="113">
        <f t="shared" si="64"/>
        <v>7311</v>
      </c>
      <c r="O693" s="575">
        <v>0</v>
      </c>
      <c r="P693" s="582">
        <v>0</v>
      </c>
      <c r="Q693" s="589">
        <v>0</v>
      </c>
      <c r="R693" s="576">
        <v>0</v>
      </c>
      <c r="S693" s="583">
        <f t="shared" si="65"/>
        <v>0</v>
      </c>
      <c r="T693" s="580">
        <f t="shared" si="66"/>
        <v>0</v>
      </c>
      <c r="U693" s="51"/>
      <c r="V693" s="2119"/>
      <c r="W693" s="43"/>
      <c r="X693" s="43"/>
      <c r="Y693" s="43"/>
      <c r="Z693" s="43"/>
    </row>
    <row r="694" spans="1:26" ht="15.75" customHeight="1">
      <c r="A694" s="88">
        <v>7313</v>
      </c>
      <c r="B694" s="1035" t="s">
        <v>1174</v>
      </c>
      <c r="C694" s="1033"/>
      <c r="D694" s="1033"/>
      <c r="E694" s="1033"/>
      <c r="F694" s="1033"/>
      <c r="G694" s="1033"/>
      <c r="H694" s="1033"/>
      <c r="I694" s="1033"/>
      <c r="J694" s="1033"/>
      <c r="K694" s="1033"/>
      <c r="L694" s="90"/>
      <c r="M694" s="51"/>
      <c r="N694" s="113">
        <f t="shared" si="64"/>
        <v>7313</v>
      </c>
      <c r="O694" s="575">
        <v>0</v>
      </c>
      <c r="P694" s="582">
        <v>0</v>
      </c>
      <c r="Q694" s="589"/>
      <c r="R694" s="576"/>
      <c r="S694" s="583">
        <f t="shared" si="65"/>
        <v>0</v>
      </c>
      <c r="T694" s="580">
        <f t="shared" si="66"/>
        <v>0</v>
      </c>
      <c r="U694" s="51"/>
      <c r="V694" s="2119"/>
      <c r="W694" s="43"/>
      <c r="X694" s="43"/>
      <c r="Y694" s="43"/>
      <c r="Z694" s="43"/>
    </row>
    <row r="695" spans="1:26">
      <c r="A695" s="88">
        <v>7319</v>
      </c>
      <c r="B695" s="1035" t="s">
        <v>1175</v>
      </c>
      <c r="C695" s="1033"/>
      <c r="D695" s="1033"/>
      <c r="E695" s="1033"/>
      <c r="F695" s="1033"/>
      <c r="G695" s="1033"/>
      <c r="H695" s="1033"/>
      <c r="I695" s="1033"/>
      <c r="J695" s="1033"/>
      <c r="K695" s="1033"/>
      <c r="L695" s="90"/>
      <c r="M695" s="51"/>
      <c r="N695" s="113">
        <f t="shared" si="64"/>
        <v>7319</v>
      </c>
      <c r="O695" s="575">
        <v>0</v>
      </c>
      <c r="P695" s="582">
        <v>0</v>
      </c>
      <c r="Q695" s="589">
        <v>0</v>
      </c>
      <c r="R695" s="576">
        <v>0</v>
      </c>
      <c r="S695" s="583">
        <f t="shared" si="65"/>
        <v>0</v>
      </c>
      <c r="T695" s="580">
        <f t="shared" si="66"/>
        <v>0</v>
      </c>
      <c r="U695" s="51"/>
      <c r="V695" s="2119"/>
      <c r="W695" s="43"/>
      <c r="X695" s="43"/>
      <c r="Y695" s="43"/>
      <c r="Z695" s="43"/>
    </row>
    <row r="696" spans="1:26">
      <c r="A696" s="88">
        <v>7381</v>
      </c>
      <c r="B696" s="1033" t="s">
        <v>734</v>
      </c>
      <c r="C696" s="1033"/>
      <c r="D696" s="1033"/>
      <c r="E696" s="1033"/>
      <c r="F696" s="1033"/>
      <c r="G696" s="1033"/>
      <c r="H696" s="1033"/>
      <c r="I696" s="1033"/>
      <c r="J696" s="1033"/>
      <c r="K696" s="1033"/>
      <c r="L696" s="90"/>
      <c r="M696" s="51"/>
      <c r="N696" s="113">
        <f t="shared" si="64"/>
        <v>7381</v>
      </c>
      <c r="O696" s="575">
        <v>0</v>
      </c>
      <c r="P696" s="582">
        <v>0</v>
      </c>
      <c r="Q696" s="589"/>
      <c r="R696" s="576"/>
      <c r="S696" s="583">
        <f t="shared" si="65"/>
        <v>0</v>
      </c>
      <c r="T696" s="580">
        <f t="shared" si="66"/>
        <v>0</v>
      </c>
      <c r="U696" s="51"/>
      <c r="V696" s="2119"/>
      <c r="W696" s="43"/>
      <c r="X696" s="43"/>
      <c r="Y696" s="43"/>
      <c r="Z696" s="43"/>
    </row>
    <row r="697" spans="1:26">
      <c r="A697" s="88">
        <v>7382</v>
      </c>
      <c r="B697" s="1033" t="s">
        <v>735</v>
      </c>
      <c r="C697" s="1033"/>
      <c r="D697" s="1033"/>
      <c r="E697" s="1033"/>
      <c r="F697" s="1033"/>
      <c r="G697" s="1033"/>
      <c r="H697" s="1033"/>
      <c r="I697" s="1033"/>
      <c r="J697" s="1033"/>
      <c r="K697" s="1033"/>
      <c r="L697" s="90"/>
      <c r="M697" s="51"/>
      <c r="N697" s="113">
        <f t="shared" si="64"/>
        <v>7382</v>
      </c>
      <c r="O697" s="575">
        <v>0</v>
      </c>
      <c r="P697" s="582">
        <v>0</v>
      </c>
      <c r="Q697" s="589"/>
      <c r="R697" s="576"/>
      <c r="S697" s="583">
        <f t="shared" si="65"/>
        <v>0</v>
      </c>
      <c r="T697" s="580">
        <f t="shared" si="66"/>
        <v>0</v>
      </c>
      <c r="U697" s="51"/>
      <c r="V697" s="2119"/>
      <c r="W697" s="43"/>
      <c r="X697" s="43"/>
      <c r="Y697" s="43"/>
      <c r="Z697" s="43"/>
    </row>
    <row r="698" spans="1:26" ht="15.75" customHeight="1">
      <c r="A698" s="88">
        <v>7383</v>
      </c>
      <c r="B698" s="1033" t="s">
        <v>736</v>
      </c>
      <c r="C698" s="1033"/>
      <c r="D698" s="1033"/>
      <c r="E698" s="1033"/>
      <c r="F698" s="1033"/>
      <c r="G698" s="1033"/>
      <c r="H698" s="1033"/>
      <c r="I698" s="1033"/>
      <c r="J698" s="1033"/>
      <c r="K698" s="1033"/>
      <c r="L698" s="90"/>
      <c r="M698" s="51"/>
      <c r="N698" s="113">
        <f t="shared" si="64"/>
        <v>7383</v>
      </c>
      <c r="O698" s="575">
        <v>0</v>
      </c>
      <c r="P698" s="582">
        <v>0</v>
      </c>
      <c r="Q698" s="589"/>
      <c r="R698" s="576"/>
      <c r="S698" s="583">
        <f t="shared" si="65"/>
        <v>0</v>
      </c>
      <c r="T698" s="580">
        <f t="shared" si="66"/>
        <v>0</v>
      </c>
      <c r="U698" s="51"/>
      <c r="V698" s="2119"/>
      <c r="W698" s="43"/>
      <c r="X698" s="43"/>
      <c r="Y698" s="43"/>
      <c r="Z698" s="43"/>
    </row>
    <row r="699" spans="1:26" ht="15.75" customHeight="1">
      <c r="A699" s="88">
        <v>7384</v>
      </c>
      <c r="B699" s="1033" t="s">
        <v>737</v>
      </c>
      <c r="C699" s="1033"/>
      <c r="D699" s="1033"/>
      <c r="E699" s="1033"/>
      <c r="F699" s="1033"/>
      <c r="G699" s="1033"/>
      <c r="H699" s="1033"/>
      <c r="I699" s="1033"/>
      <c r="J699" s="1033"/>
      <c r="K699" s="1033"/>
      <c r="L699" s="90"/>
      <c r="M699" s="51"/>
      <c r="N699" s="113">
        <f t="shared" si="64"/>
        <v>7384</v>
      </c>
      <c r="O699" s="575">
        <v>0</v>
      </c>
      <c r="P699" s="582">
        <v>0</v>
      </c>
      <c r="Q699" s="589"/>
      <c r="R699" s="576"/>
      <c r="S699" s="583">
        <f t="shared" si="65"/>
        <v>0</v>
      </c>
      <c r="T699" s="580">
        <f t="shared" si="66"/>
        <v>0</v>
      </c>
      <c r="U699" s="51"/>
      <c r="V699" s="2119"/>
      <c r="W699" s="43"/>
      <c r="X699" s="43"/>
      <c r="Y699" s="43"/>
      <c r="Z699" s="43"/>
    </row>
    <row r="700" spans="1:26" ht="15.75" customHeight="1">
      <c r="A700" s="88">
        <v>7385</v>
      </c>
      <c r="B700" s="1033" t="s">
        <v>738</v>
      </c>
      <c r="C700" s="1033"/>
      <c r="D700" s="1033"/>
      <c r="E700" s="1033"/>
      <c r="F700" s="1033"/>
      <c r="G700" s="1033"/>
      <c r="H700" s="1033"/>
      <c r="I700" s="1033"/>
      <c r="J700" s="1033"/>
      <c r="K700" s="1033"/>
      <c r="L700" s="90"/>
      <c r="M700" s="51"/>
      <c r="N700" s="113">
        <f t="shared" si="64"/>
        <v>7385</v>
      </c>
      <c r="O700" s="575">
        <v>0</v>
      </c>
      <c r="P700" s="582">
        <v>0</v>
      </c>
      <c r="Q700" s="589"/>
      <c r="R700" s="576"/>
      <c r="S700" s="583">
        <f t="shared" si="65"/>
        <v>0</v>
      </c>
      <c r="T700" s="580">
        <f t="shared" si="66"/>
        <v>0</v>
      </c>
      <c r="U700" s="51"/>
      <c r="V700" s="2119"/>
      <c r="W700" s="43"/>
      <c r="X700" s="43"/>
      <c r="Y700" s="43"/>
      <c r="Z700" s="43"/>
    </row>
    <row r="701" spans="1:26" ht="15.75" customHeight="1">
      <c r="A701" s="88">
        <v>7386</v>
      </c>
      <c r="B701" s="1033" t="s">
        <v>739</v>
      </c>
      <c r="C701" s="1033"/>
      <c r="D701" s="1033"/>
      <c r="E701" s="1033"/>
      <c r="F701" s="1033"/>
      <c r="G701" s="1033"/>
      <c r="H701" s="1033"/>
      <c r="I701" s="1033"/>
      <c r="J701" s="1033"/>
      <c r="K701" s="1033"/>
      <c r="L701" s="90"/>
      <c r="M701" s="51"/>
      <c r="N701" s="113">
        <f t="shared" si="64"/>
        <v>7386</v>
      </c>
      <c r="O701" s="575">
        <v>0</v>
      </c>
      <c r="P701" s="582">
        <v>0</v>
      </c>
      <c r="Q701" s="589"/>
      <c r="R701" s="576"/>
      <c r="S701" s="583">
        <f t="shared" si="65"/>
        <v>0</v>
      </c>
      <c r="T701" s="580">
        <f t="shared" si="66"/>
        <v>0</v>
      </c>
      <c r="U701" s="51"/>
      <c r="V701" s="2119"/>
      <c r="W701" s="43"/>
      <c r="X701" s="43"/>
      <c r="Y701" s="43"/>
      <c r="Z701" s="43"/>
    </row>
    <row r="702" spans="1:26" ht="15.75" customHeight="1">
      <c r="A702" s="88">
        <v>7387</v>
      </c>
      <c r="B702" s="1033" t="s">
        <v>740</v>
      </c>
      <c r="C702" s="1033"/>
      <c r="D702" s="1033"/>
      <c r="E702" s="1033"/>
      <c r="F702" s="1033"/>
      <c r="G702" s="1033"/>
      <c r="H702" s="1033"/>
      <c r="I702" s="1033"/>
      <c r="J702" s="1033"/>
      <c r="K702" s="1033"/>
      <c r="L702" s="90"/>
      <c r="M702" s="51"/>
      <c r="N702" s="113">
        <f t="shared" si="64"/>
        <v>7387</v>
      </c>
      <c r="O702" s="575">
        <v>0</v>
      </c>
      <c r="P702" s="582">
        <v>0</v>
      </c>
      <c r="Q702" s="589"/>
      <c r="R702" s="576"/>
      <c r="S702" s="583">
        <f t="shared" si="65"/>
        <v>0</v>
      </c>
      <c r="T702" s="580">
        <f t="shared" si="66"/>
        <v>0</v>
      </c>
      <c r="U702" s="51"/>
      <c r="V702" s="2119"/>
      <c r="W702" s="43"/>
      <c r="X702" s="43"/>
      <c r="Y702" s="43"/>
      <c r="Z702" s="43"/>
    </row>
    <row r="703" spans="1:26" ht="15.75" customHeight="1">
      <c r="A703" s="88">
        <v>7388</v>
      </c>
      <c r="B703" s="1033" t="s">
        <v>741</v>
      </c>
      <c r="C703" s="1033"/>
      <c r="D703" s="1033"/>
      <c r="E703" s="1033"/>
      <c r="F703" s="1033"/>
      <c r="G703" s="1033"/>
      <c r="H703" s="1033"/>
      <c r="I703" s="1033"/>
      <c r="J703" s="1033"/>
      <c r="K703" s="1033"/>
      <c r="L703" s="90"/>
      <c r="M703" s="51"/>
      <c r="N703" s="113">
        <f t="shared" si="64"/>
        <v>7388</v>
      </c>
      <c r="O703" s="575">
        <v>0</v>
      </c>
      <c r="P703" s="582">
        <v>0</v>
      </c>
      <c r="Q703" s="589"/>
      <c r="R703" s="576"/>
      <c r="S703" s="583">
        <f t="shared" si="65"/>
        <v>0</v>
      </c>
      <c r="T703" s="580">
        <f t="shared" si="66"/>
        <v>0</v>
      </c>
      <c r="U703" s="51"/>
      <c r="V703" s="2119"/>
      <c r="W703" s="43"/>
      <c r="X703" s="43"/>
      <c r="Y703" s="43"/>
      <c r="Z703" s="43"/>
    </row>
    <row r="704" spans="1:26">
      <c r="A704" s="88">
        <v>7391</v>
      </c>
      <c r="B704" s="1035" t="s">
        <v>1176</v>
      </c>
      <c r="C704" s="1033"/>
      <c r="D704" s="1033"/>
      <c r="E704" s="1033"/>
      <c r="F704" s="1033"/>
      <c r="G704" s="1033"/>
      <c r="H704" s="1033"/>
      <c r="I704" s="1033"/>
      <c r="J704" s="1033"/>
      <c r="K704" s="1033"/>
      <c r="L704" s="90"/>
      <c r="M704" s="51"/>
      <c r="N704" s="113">
        <f t="shared" si="64"/>
        <v>7391</v>
      </c>
      <c r="O704" s="575">
        <v>0</v>
      </c>
      <c r="P704" s="582">
        <v>0</v>
      </c>
      <c r="Q704" s="589">
        <v>0</v>
      </c>
      <c r="R704" s="576">
        <v>0</v>
      </c>
      <c r="S704" s="583">
        <f t="shared" si="65"/>
        <v>0</v>
      </c>
      <c r="T704" s="580">
        <f t="shared" si="66"/>
        <v>0</v>
      </c>
      <c r="U704" s="51"/>
      <c r="V704" s="2119"/>
      <c r="W704" s="43"/>
      <c r="X704" s="43"/>
      <c r="Y704" s="43"/>
      <c r="Z704" s="43"/>
    </row>
    <row r="705" spans="1:26">
      <c r="A705" s="88">
        <v>7392</v>
      </c>
      <c r="B705" s="1035" t="s">
        <v>1177</v>
      </c>
      <c r="C705" s="1033"/>
      <c r="D705" s="1033"/>
      <c r="E705" s="1033"/>
      <c r="F705" s="1033"/>
      <c r="G705" s="1033"/>
      <c r="H705" s="1033"/>
      <c r="I705" s="1033"/>
      <c r="J705" s="1033"/>
      <c r="K705" s="1033"/>
      <c r="L705" s="90"/>
      <c r="M705" s="51"/>
      <c r="N705" s="113">
        <f t="shared" si="64"/>
        <v>7392</v>
      </c>
      <c r="O705" s="575">
        <v>0</v>
      </c>
      <c r="P705" s="582">
        <v>0</v>
      </c>
      <c r="Q705" s="589">
        <v>0</v>
      </c>
      <c r="R705" s="576">
        <v>0</v>
      </c>
      <c r="S705" s="583">
        <f t="shared" si="65"/>
        <v>0</v>
      </c>
      <c r="T705" s="580">
        <f t="shared" si="66"/>
        <v>0</v>
      </c>
      <c r="U705" s="51"/>
      <c r="V705" s="2119"/>
      <c r="W705" s="43"/>
      <c r="X705" s="43"/>
      <c r="Y705" s="43"/>
      <c r="Z705" s="43"/>
    </row>
    <row r="706" spans="1:26" ht="15.75" customHeight="1">
      <c r="A706" s="88">
        <v>7400</v>
      </c>
      <c r="B706" s="1033" t="s">
        <v>742</v>
      </c>
      <c r="C706" s="1033"/>
      <c r="D706" s="1033"/>
      <c r="E706" s="1033"/>
      <c r="F706" s="1033"/>
      <c r="G706" s="1033"/>
      <c r="H706" s="1033"/>
      <c r="I706" s="1033"/>
      <c r="J706" s="1033"/>
      <c r="K706" s="1033"/>
      <c r="L706" s="90"/>
      <c r="M706" s="51"/>
      <c r="N706" s="113">
        <f t="shared" si="64"/>
        <v>7400</v>
      </c>
      <c r="O706" s="575">
        <v>0</v>
      </c>
      <c r="P706" s="582">
        <v>0</v>
      </c>
      <c r="Q706" s="589"/>
      <c r="R706" s="576"/>
      <c r="S706" s="583">
        <f t="shared" si="65"/>
        <v>0</v>
      </c>
      <c r="T706" s="580">
        <f t="shared" si="66"/>
        <v>0</v>
      </c>
      <c r="U706" s="51"/>
      <c r="V706" s="2119"/>
      <c r="W706" s="43"/>
      <c r="X706" s="43"/>
      <c r="Y706" s="43"/>
      <c r="Z706" s="43"/>
    </row>
    <row r="707" spans="1:26" ht="15.75" customHeight="1">
      <c r="A707" s="88">
        <v>7401</v>
      </c>
      <c r="B707" s="1033" t="s">
        <v>743</v>
      </c>
      <c r="C707" s="1033"/>
      <c r="D707" s="1033"/>
      <c r="E707" s="1033"/>
      <c r="F707" s="1033"/>
      <c r="G707" s="1033"/>
      <c r="H707" s="1033"/>
      <c r="I707" s="1033"/>
      <c r="J707" s="1033"/>
      <c r="K707" s="1033"/>
      <c r="L707" s="90"/>
      <c r="M707" s="51"/>
      <c r="N707" s="113">
        <f t="shared" si="64"/>
        <v>7401</v>
      </c>
      <c r="O707" s="575">
        <v>0</v>
      </c>
      <c r="P707" s="582">
        <v>0</v>
      </c>
      <c r="Q707" s="589"/>
      <c r="R707" s="576"/>
      <c r="S707" s="583">
        <f t="shared" si="65"/>
        <v>0</v>
      </c>
      <c r="T707" s="580">
        <f t="shared" si="66"/>
        <v>0</v>
      </c>
      <c r="U707" s="51"/>
      <c r="V707" s="2119"/>
      <c r="W707" s="43"/>
      <c r="X707" s="43"/>
      <c r="Y707" s="43"/>
      <c r="Z707" s="43"/>
    </row>
    <row r="708" spans="1:26" ht="15.75" customHeight="1">
      <c r="A708" s="88">
        <v>7402</v>
      </c>
      <c r="B708" s="1033" t="s">
        <v>744</v>
      </c>
      <c r="C708" s="1033"/>
      <c r="D708" s="1033"/>
      <c r="E708" s="1033"/>
      <c r="F708" s="1033"/>
      <c r="G708" s="1033"/>
      <c r="H708" s="1033"/>
      <c r="I708" s="1033"/>
      <c r="J708" s="1033"/>
      <c r="K708" s="1033"/>
      <c r="L708" s="90"/>
      <c r="M708" s="51"/>
      <c r="N708" s="113">
        <f t="shared" si="64"/>
        <v>7402</v>
      </c>
      <c r="O708" s="575">
        <v>0</v>
      </c>
      <c r="P708" s="582">
        <v>0</v>
      </c>
      <c r="Q708" s="589"/>
      <c r="R708" s="576"/>
      <c r="S708" s="583">
        <f t="shared" si="65"/>
        <v>0</v>
      </c>
      <c r="T708" s="580">
        <f t="shared" si="66"/>
        <v>0</v>
      </c>
      <c r="U708" s="51"/>
      <c r="V708" s="2119"/>
      <c r="W708" s="43"/>
      <c r="X708" s="43"/>
      <c r="Y708" s="43"/>
      <c r="Z708" s="43"/>
    </row>
    <row r="709" spans="1:26" ht="15.75" customHeight="1">
      <c r="A709" s="88">
        <v>7403</v>
      </c>
      <c r="B709" s="1033" t="s">
        <v>745</v>
      </c>
      <c r="C709" s="1033"/>
      <c r="D709" s="1033"/>
      <c r="E709" s="1033"/>
      <c r="F709" s="1033"/>
      <c r="G709" s="1033"/>
      <c r="H709" s="1033"/>
      <c r="I709" s="1033"/>
      <c r="J709" s="1033"/>
      <c r="K709" s="1033"/>
      <c r="L709" s="90"/>
      <c r="M709" s="51"/>
      <c r="N709" s="113">
        <f t="shared" si="64"/>
        <v>7403</v>
      </c>
      <c r="O709" s="575">
        <v>0</v>
      </c>
      <c r="P709" s="582">
        <v>0</v>
      </c>
      <c r="Q709" s="589"/>
      <c r="R709" s="576"/>
      <c r="S709" s="583">
        <f t="shared" si="65"/>
        <v>0</v>
      </c>
      <c r="T709" s="580">
        <f t="shared" si="66"/>
        <v>0</v>
      </c>
      <c r="U709" s="51"/>
      <c r="V709" s="2119"/>
      <c r="W709" s="43"/>
      <c r="X709" s="43"/>
      <c r="Y709" s="43"/>
      <c r="Z709" s="43"/>
    </row>
    <row r="710" spans="1:26" ht="15.75" customHeight="1">
      <c r="A710" s="88">
        <v>7404</v>
      </c>
      <c r="B710" s="1033" t="s">
        <v>746</v>
      </c>
      <c r="C710" s="1033"/>
      <c r="D710" s="1033"/>
      <c r="E710" s="1033"/>
      <c r="F710" s="1033"/>
      <c r="G710" s="1033"/>
      <c r="H710" s="1033"/>
      <c r="I710" s="1033"/>
      <c r="J710" s="1033"/>
      <c r="K710" s="1033"/>
      <c r="L710" s="90"/>
      <c r="M710" s="51"/>
      <c r="N710" s="113">
        <f t="shared" si="64"/>
        <v>7404</v>
      </c>
      <c r="O710" s="575">
        <v>0</v>
      </c>
      <c r="P710" s="582">
        <v>0</v>
      </c>
      <c r="Q710" s="589"/>
      <c r="R710" s="576"/>
      <c r="S710" s="583">
        <f t="shared" si="65"/>
        <v>0</v>
      </c>
      <c r="T710" s="580">
        <f t="shared" si="66"/>
        <v>0</v>
      </c>
      <c r="U710" s="51"/>
      <c r="V710" s="2119"/>
      <c r="W710" s="43"/>
      <c r="X710" s="43"/>
      <c r="Y710" s="43"/>
      <c r="Z710" s="43"/>
    </row>
    <row r="711" spans="1:26" ht="15.75" customHeight="1">
      <c r="A711" s="88">
        <v>7405</v>
      </c>
      <c r="B711" s="1033" t="s">
        <v>747</v>
      </c>
      <c r="C711" s="1033"/>
      <c r="D711" s="1033"/>
      <c r="E711" s="1033"/>
      <c r="F711" s="1033"/>
      <c r="G711" s="1033"/>
      <c r="H711" s="1033"/>
      <c r="I711" s="1033"/>
      <c r="J711" s="1033"/>
      <c r="K711" s="1033"/>
      <c r="L711" s="90"/>
      <c r="M711" s="51"/>
      <c r="N711" s="113">
        <f t="shared" si="64"/>
        <v>7405</v>
      </c>
      <c r="O711" s="575">
        <v>0</v>
      </c>
      <c r="P711" s="582">
        <v>0</v>
      </c>
      <c r="Q711" s="589"/>
      <c r="R711" s="576"/>
      <c r="S711" s="583">
        <f t="shared" si="65"/>
        <v>0</v>
      </c>
      <c r="T711" s="580">
        <f t="shared" si="66"/>
        <v>0</v>
      </c>
      <c r="U711" s="51"/>
      <c r="V711" s="2119"/>
      <c r="W711" s="43"/>
      <c r="X711" s="43"/>
      <c r="Y711" s="43"/>
      <c r="Z711" s="43"/>
    </row>
    <row r="712" spans="1:26" ht="15.75" customHeight="1">
      <c r="A712" s="88">
        <v>7406</v>
      </c>
      <c r="B712" s="1033" t="s">
        <v>748</v>
      </c>
      <c r="C712" s="1033"/>
      <c r="D712" s="1033"/>
      <c r="E712" s="1033"/>
      <c r="F712" s="1033"/>
      <c r="G712" s="1033"/>
      <c r="H712" s="1033"/>
      <c r="I712" s="1033"/>
      <c r="J712" s="1033"/>
      <c r="K712" s="1033"/>
      <c r="L712" s="90"/>
      <c r="M712" s="51"/>
      <c r="N712" s="113">
        <f t="shared" si="64"/>
        <v>7406</v>
      </c>
      <c r="O712" s="575">
        <v>0</v>
      </c>
      <c r="P712" s="582">
        <v>0</v>
      </c>
      <c r="Q712" s="589"/>
      <c r="R712" s="576"/>
      <c r="S712" s="583">
        <f t="shared" si="65"/>
        <v>0</v>
      </c>
      <c r="T712" s="580">
        <f t="shared" si="66"/>
        <v>0</v>
      </c>
      <c r="U712" s="51"/>
      <c r="V712" s="2119"/>
      <c r="W712" s="43"/>
      <c r="X712" s="43"/>
      <c r="Y712" s="43"/>
      <c r="Z712" s="43"/>
    </row>
    <row r="713" spans="1:26" ht="15.75" customHeight="1">
      <c r="A713" s="88">
        <v>7407</v>
      </c>
      <c r="B713" s="1033" t="s">
        <v>749</v>
      </c>
      <c r="C713" s="1033"/>
      <c r="D713" s="1033"/>
      <c r="E713" s="1033"/>
      <c r="F713" s="1033"/>
      <c r="G713" s="1033"/>
      <c r="H713" s="1033"/>
      <c r="I713" s="1033"/>
      <c r="J713" s="1033"/>
      <c r="K713" s="1033"/>
      <c r="L713" s="90"/>
      <c r="M713" s="51"/>
      <c r="N713" s="113">
        <f t="shared" si="64"/>
        <v>7407</v>
      </c>
      <c r="O713" s="575">
        <v>0</v>
      </c>
      <c r="P713" s="582">
        <v>0</v>
      </c>
      <c r="Q713" s="589"/>
      <c r="R713" s="576"/>
      <c r="S713" s="583">
        <f t="shared" si="65"/>
        <v>0</v>
      </c>
      <c r="T713" s="580">
        <f t="shared" si="66"/>
        <v>0</v>
      </c>
      <c r="U713" s="51"/>
      <c r="V713" s="2119"/>
      <c r="W713" s="43"/>
      <c r="X713" s="43"/>
      <c r="Y713" s="43"/>
      <c r="Z713" s="43"/>
    </row>
    <row r="714" spans="1:26" ht="15.75" customHeight="1">
      <c r="A714" s="88">
        <v>7408</v>
      </c>
      <c r="B714" s="1033" t="s">
        <v>750</v>
      </c>
      <c r="C714" s="1033"/>
      <c r="D714" s="1033"/>
      <c r="E714" s="1033"/>
      <c r="F714" s="1033"/>
      <c r="G714" s="1033"/>
      <c r="H714" s="1033"/>
      <c r="I714" s="1033"/>
      <c r="J714" s="1033"/>
      <c r="K714" s="1033"/>
      <c r="L714" s="90"/>
      <c r="M714" s="51"/>
      <c r="N714" s="113">
        <f t="shared" si="64"/>
        <v>7408</v>
      </c>
      <c r="O714" s="575">
        <v>0</v>
      </c>
      <c r="P714" s="582">
        <v>0</v>
      </c>
      <c r="Q714" s="589"/>
      <c r="R714" s="576"/>
      <c r="S714" s="583">
        <f t="shared" si="65"/>
        <v>0</v>
      </c>
      <c r="T714" s="580">
        <f t="shared" si="66"/>
        <v>0</v>
      </c>
      <c r="U714" s="51"/>
      <c r="V714" s="2119"/>
      <c r="W714" s="43"/>
      <c r="X714" s="43"/>
      <c r="Y714" s="43"/>
      <c r="Z714" s="43"/>
    </row>
    <row r="715" spans="1:26" ht="15.75" customHeight="1">
      <c r="A715" s="88">
        <v>7409</v>
      </c>
      <c r="B715" s="1033" t="s">
        <v>751</v>
      </c>
      <c r="C715" s="1033"/>
      <c r="D715" s="1033"/>
      <c r="E715" s="1033"/>
      <c r="F715" s="1033"/>
      <c r="G715" s="1033"/>
      <c r="H715" s="1033"/>
      <c r="I715" s="1033"/>
      <c r="J715" s="1033"/>
      <c r="K715" s="1033"/>
      <c r="L715" s="90"/>
      <c r="M715" s="51"/>
      <c r="N715" s="113">
        <f t="shared" si="64"/>
        <v>7409</v>
      </c>
      <c r="O715" s="575">
        <v>0</v>
      </c>
      <c r="P715" s="582">
        <v>0</v>
      </c>
      <c r="Q715" s="589"/>
      <c r="R715" s="576"/>
      <c r="S715" s="583">
        <f t="shared" si="65"/>
        <v>0</v>
      </c>
      <c r="T715" s="580">
        <f t="shared" si="66"/>
        <v>0</v>
      </c>
      <c r="U715" s="51"/>
      <c r="V715" s="2119"/>
      <c r="W715" s="43"/>
      <c r="X715" s="43"/>
      <c r="Y715" s="43"/>
      <c r="Z715" s="43"/>
    </row>
    <row r="716" spans="1:26">
      <c r="A716" s="88">
        <v>7411</v>
      </c>
      <c r="B716" s="1032" t="s">
        <v>752</v>
      </c>
      <c r="C716" s="1033"/>
      <c r="D716" s="1033"/>
      <c r="E716" s="1033"/>
      <c r="F716" s="1033"/>
      <c r="G716" s="1033"/>
      <c r="H716" s="1033"/>
      <c r="I716" s="1033"/>
      <c r="J716" s="1033"/>
      <c r="K716" s="1033"/>
      <c r="L716" s="90"/>
      <c r="M716" s="51"/>
      <c r="N716" s="113">
        <f t="shared" si="64"/>
        <v>7411</v>
      </c>
      <c r="O716" s="575">
        <v>0</v>
      </c>
      <c r="P716" s="582">
        <v>0</v>
      </c>
      <c r="Q716" s="589">
        <v>0</v>
      </c>
      <c r="R716" s="576">
        <v>0</v>
      </c>
      <c r="S716" s="583">
        <f t="shared" si="65"/>
        <v>0</v>
      </c>
      <c r="T716" s="580">
        <f t="shared" si="66"/>
        <v>0</v>
      </c>
      <c r="U716" s="51"/>
      <c r="V716" s="2119"/>
      <c r="W716" s="43"/>
      <c r="X716" s="43"/>
      <c r="Y716" s="43"/>
      <c r="Z716" s="43"/>
    </row>
    <row r="717" spans="1:26">
      <c r="A717" s="88">
        <v>7412</v>
      </c>
      <c r="B717" s="1032" t="s">
        <v>753</v>
      </c>
      <c r="C717" s="1033"/>
      <c r="D717" s="1033"/>
      <c r="E717" s="1033"/>
      <c r="F717" s="1033"/>
      <c r="G717" s="1033"/>
      <c r="H717" s="1033"/>
      <c r="I717" s="1033"/>
      <c r="J717" s="1033"/>
      <c r="K717" s="1033"/>
      <c r="L717" s="90"/>
      <c r="M717" s="51"/>
      <c r="N717" s="113">
        <f t="shared" si="64"/>
        <v>7412</v>
      </c>
      <c r="O717" s="575">
        <v>0</v>
      </c>
      <c r="P717" s="582">
        <v>0</v>
      </c>
      <c r="Q717" s="589">
        <v>0</v>
      </c>
      <c r="R717" s="576">
        <v>0</v>
      </c>
      <c r="S717" s="583">
        <f t="shared" si="65"/>
        <v>0</v>
      </c>
      <c r="T717" s="580">
        <f t="shared" si="66"/>
        <v>0</v>
      </c>
      <c r="U717" s="51"/>
      <c r="V717" s="2119"/>
      <c r="W717" s="43"/>
      <c r="X717" s="43"/>
      <c r="Y717" s="43"/>
      <c r="Z717" s="43"/>
    </row>
    <row r="718" spans="1:26">
      <c r="A718" s="88">
        <v>7413</v>
      </c>
      <c r="B718" s="1032" t="s">
        <v>754</v>
      </c>
      <c r="C718" s="1033"/>
      <c r="D718" s="1033"/>
      <c r="E718" s="1033"/>
      <c r="F718" s="1033"/>
      <c r="G718" s="1033"/>
      <c r="H718" s="1033"/>
      <c r="I718" s="1033"/>
      <c r="J718" s="1033"/>
      <c r="K718" s="1033"/>
      <c r="L718" s="90"/>
      <c r="M718" s="51"/>
      <c r="N718" s="113">
        <f t="shared" si="64"/>
        <v>7413</v>
      </c>
      <c r="O718" s="575">
        <v>0</v>
      </c>
      <c r="P718" s="582">
        <v>0</v>
      </c>
      <c r="Q718" s="589">
        <v>0</v>
      </c>
      <c r="R718" s="576">
        <v>0</v>
      </c>
      <c r="S718" s="583">
        <f t="shared" si="65"/>
        <v>0</v>
      </c>
      <c r="T718" s="580">
        <f t="shared" si="66"/>
        <v>0</v>
      </c>
      <c r="U718" s="51"/>
      <c r="V718" s="2119"/>
      <c r="W718" s="43"/>
      <c r="X718" s="43"/>
      <c r="Y718" s="43"/>
      <c r="Z718" s="43"/>
    </row>
    <row r="719" spans="1:26">
      <c r="A719" s="88">
        <v>7414</v>
      </c>
      <c r="B719" s="1032" t="s">
        <v>755</v>
      </c>
      <c r="C719" s="1033"/>
      <c r="D719" s="1033"/>
      <c r="E719" s="1033"/>
      <c r="F719" s="1033"/>
      <c r="G719" s="1033"/>
      <c r="H719" s="1033"/>
      <c r="I719" s="1033"/>
      <c r="J719" s="1033"/>
      <c r="K719" s="1033"/>
      <c r="L719" s="90"/>
      <c r="M719" s="51"/>
      <c r="N719" s="113">
        <f t="shared" si="64"/>
        <v>7414</v>
      </c>
      <c r="O719" s="575">
        <v>0</v>
      </c>
      <c r="P719" s="582">
        <v>0</v>
      </c>
      <c r="Q719" s="589">
        <v>0</v>
      </c>
      <c r="R719" s="576">
        <v>0</v>
      </c>
      <c r="S719" s="583">
        <f t="shared" si="65"/>
        <v>0</v>
      </c>
      <c r="T719" s="580">
        <f t="shared" si="66"/>
        <v>0</v>
      </c>
      <c r="U719" s="51"/>
      <c r="V719" s="2119"/>
      <c r="W719" s="43"/>
      <c r="X719" s="43"/>
      <c r="Y719" s="43"/>
      <c r="Z719" s="43"/>
    </row>
    <row r="720" spans="1:26" ht="15.75" customHeight="1">
      <c r="A720" s="88">
        <v>7419</v>
      </c>
      <c r="B720" s="1032" t="s">
        <v>756</v>
      </c>
      <c r="C720" s="1033"/>
      <c r="D720" s="1033"/>
      <c r="E720" s="1033"/>
      <c r="F720" s="1033"/>
      <c r="G720" s="1033"/>
      <c r="H720" s="1033"/>
      <c r="I720" s="1033"/>
      <c r="J720" s="1033"/>
      <c r="K720" s="1033"/>
      <c r="L720" s="90"/>
      <c r="M720" s="51"/>
      <c r="N720" s="113">
        <f t="shared" si="64"/>
        <v>7419</v>
      </c>
      <c r="O720" s="575">
        <v>0</v>
      </c>
      <c r="P720" s="582">
        <v>0</v>
      </c>
      <c r="Q720" s="589"/>
      <c r="R720" s="576"/>
      <c r="S720" s="583">
        <f t="shared" si="65"/>
        <v>0</v>
      </c>
      <c r="T720" s="580">
        <f t="shared" si="66"/>
        <v>0</v>
      </c>
      <c r="U720" s="51"/>
      <c r="V720" s="2119"/>
      <c r="W720" s="43"/>
      <c r="X720" s="43"/>
      <c r="Y720" s="43"/>
      <c r="Z720" s="43"/>
    </row>
    <row r="721" spans="1:26" ht="15.75" customHeight="1">
      <c r="A721" s="88">
        <v>7450</v>
      </c>
      <c r="B721" s="2181" t="s">
        <v>2088</v>
      </c>
      <c r="C721" s="1033"/>
      <c r="D721" s="1033"/>
      <c r="E721" s="1033"/>
      <c r="F721" s="1033"/>
      <c r="G721" s="1033"/>
      <c r="H721" s="1033"/>
      <c r="I721" s="1033"/>
      <c r="J721" s="1033"/>
      <c r="K721" s="1033"/>
      <c r="L721" s="90"/>
      <c r="M721" s="51"/>
      <c r="N721" s="113">
        <f t="shared" si="64"/>
        <v>7450</v>
      </c>
      <c r="O721" s="575">
        <v>0</v>
      </c>
      <c r="P721" s="582">
        <v>0</v>
      </c>
      <c r="Q721" s="589"/>
      <c r="R721" s="576"/>
      <c r="S721" s="583">
        <f t="shared" si="65"/>
        <v>0</v>
      </c>
      <c r="T721" s="580">
        <f t="shared" si="66"/>
        <v>0</v>
      </c>
      <c r="U721" s="51"/>
      <c r="V721" s="2119"/>
      <c r="W721" s="43"/>
      <c r="X721" s="43"/>
      <c r="Y721" s="43"/>
      <c r="Z721" s="43"/>
    </row>
    <row r="722" spans="1:26">
      <c r="A722" s="88">
        <v>7471</v>
      </c>
      <c r="B722" s="1033" t="s">
        <v>757</v>
      </c>
      <c r="C722" s="1033"/>
      <c r="D722" s="1033"/>
      <c r="E722" s="1033"/>
      <c r="F722" s="1033"/>
      <c r="G722" s="1033"/>
      <c r="H722" s="1033"/>
      <c r="I722" s="1033"/>
      <c r="J722" s="1033"/>
      <c r="K722" s="1033"/>
      <c r="L722" s="90"/>
      <c r="M722" s="51"/>
      <c r="N722" s="113">
        <f t="shared" si="64"/>
        <v>7471</v>
      </c>
      <c r="O722" s="575">
        <v>0</v>
      </c>
      <c r="P722" s="582">
        <v>0</v>
      </c>
      <c r="Q722" s="589"/>
      <c r="R722" s="576"/>
      <c r="S722" s="583">
        <f t="shared" si="65"/>
        <v>0</v>
      </c>
      <c r="T722" s="580">
        <f t="shared" si="66"/>
        <v>0</v>
      </c>
      <c r="U722" s="51"/>
      <c r="V722" s="2119"/>
      <c r="W722" s="43"/>
      <c r="X722" s="43"/>
      <c r="Y722" s="43"/>
      <c r="Z722" s="43"/>
    </row>
    <row r="723" spans="1:26">
      <c r="A723" s="88">
        <v>7472</v>
      </c>
      <c r="B723" s="1033" t="s">
        <v>758</v>
      </c>
      <c r="C723" s="1033"/>
      <c r="D723" s="1033"/>
      <c r="E723" s="1033"/>
      <c r="F723" s="1033"/>
      <c r="G723" s="1033"/>
      <c r="H723" s="1033"/>
      <c r="I723" s="1033"/>
      <c r="J723" s="1033"/>
      <c r="K723" s="1033"/>
      <c r="L723" s="90"/>
      <c r="M723" s="51"/>
      <c r="N723" s="113">
        <f t="shared" si="64"/>
        <v>7472</v>
      </c>
      <c r="O723" s="575">
        <v>0</v>
      </c>
      <c r="P723" s="582">
        <v>0</v>
      </c>
      <c r="Q723" s="589"/>
      <c r="R723" s="576"/>
      <c r="S723" s="583">
        <f t="shared" si="65"/>
        <v>0</v>
      </c>
      <c r="T723" s="580">
        <f t="shared" si="66"/>
        <v>0</v>
      </c>
      <c r="U723" s="51"/>
      <c r="V723" s="2119"/>
      <c r="W723" s="43"/>
      <c r="X723" s="43"/>
      <c r="Y723" s="43"/>
      <c r="Z723" s="43"/>
    </row>
    <row r="724" spans="1:26">
      <c r="A724" s="88">
        <v>7473</v>
      </c>
      <c r="B724" s="1033" t="s">
        <v>759</v>
      </c>
      <c r="C724" s="1033"/>
      <c r="D724" s="1033"/>
      <c r="E724" s="1033"/>
      <c r="F724" s="1033"/>
      <c r="G724" s="1033"/>
      <c r="H724" s="1033"/>
      <c r="I724" s="1033"/>
      <c r="J724" s="1033"/>
      <c r="K724" s="1033"/>
      <c r="L724" s="90"/>
      <c r="M724" s="51"/>
      <c r="N724" s="113">
        <f t="shared" si="64"/>
        <v>7473</v>
      </c>
      <c r="O724" s="575">
        <v>0</v>
      </c>
      <c r="P724" s="582">
        <v>0</v>
      </c>
      <c r="Q724" s="589"/>
      <c r="R724" s="576"/>
      <c r="S724" s="583">
        <f t="shared" si="65"/>
        <v>0</v>
      </c>
      <c r="T724" s="580">
        <f t="shared" si="66"/>
        <v>0</v>
      </c>
      <c r="U724" s="51"/>
      <c r="V724" s="2119"/>
      <c r="W724" s="43"/>
      <c r="X724" s="43"/>
      <c r="Y724" s="43"/>
      <c r="Z724" s="43"/>
    </row>
    <row r="725" spans="1:26">
      <c r="A725" s="88">
        <v>7474</v>
      </c>
      <c r="B725" s="1033" t="s">
        <v>760</v>
      </c>
      <c r="C725" s="1033"/>
      <c r="D725" s="1033"/>
      <c r="E725" s="1033"/>
      <c r="F725" s="1033"/>
      <c r="G725" s="1033"/>
      <c r="H725" s="1033"/>
      <c r="I725" s="1033"/>
      <c r="J725" s="1033"/>
      <c r="K725" s="1033"/>
      <c r="L725" s="90"/>
      <c r="M725" s="51"/>
      <c r="N725" s="113">
        <f t="shared" si="64"/>
        <v>7474</v>
      </c>
      <c r="O725" s="575">
        <v>0</v>
      </c>
      <c r="P725" s="582">
        <v>0</v>
      </c>
      <c r="Q725" s="589"/>
      <c r="R725" s="576"/>
      <c r="S725" s="583">
        <f t="shared" si="65"/>
        <v>0</v>
      </c>
      <c r="T725" s="580">
        <f t="shared" si="66"/>
        <v>0</v>
      </c>
      <c r="U725" s="51"/>
      <c r="V725" s="2119"/>
      <c r="W725" s="43"/>
      <c r="X725" s="43"/>
      <c r="Y725" s="43"/>
      <c r="Z725" s="43"/>
    </row>
    <row r="726" spans="1:26">
      <c r="A726" s="88">
        <v>7481</v>
      </c>
      <c r="B726" s="1033" t="s">
        <v>761</v>
      </c>
      <c r="C726" s="1033"/>
      <c r="D726" s="1033"/>
      <c r="E726" s="1033"/>
      <c r="F726" s="1033"/>
      <c r="G726" s="1033"/>
      <c r="H726" s="1033"/>
      <c r="I726" s="1033"/>
      <c r="J726" s="1033"/>
      <c r="K726" s="1033"/>
      <c r="L726" s="90"/>
      <c r="M726" s="51"/>
      <c r="N726" s="113">
        <f t="shared" si="64"/>
        <v>7481</v>
      </c>
      <c r="O726" s="575">
        <v>0</v>
      </c>
      <c r="P726" s="582">
        <v>0</v>
      </c>
      <c r="Q726" s="589"/>
      <c r="R726" s="576"/>
      <c r="S726" s="583">
        <f t="shared" si="65"/>
        <v>0</v>
      </c>
      <c r="T726" s="580">
        <f t="shared" si="66"/>
        <v>0</v>
      </c>
      <c r="U726" s="51"/>
      <c r="V726" s="2119"/>
      <c r="W726" s="43"/>
      <c r="X726" s="43"/>
      <c r="Y726" s="43"/>
      <c r="Z726" s="43"/>
    </row>
    <row r="727" spans="1:26">
      <c r="A727" s="88">
        <v>7482</v>
      </c>
      <c r="B727" s="1033" t="s">
        <v>762</v>
      </c>
      <c r="C727" s="1033"/>
      <c r="D727" s="1033"/>
      <c r="E727" s="1033"/>
      <c r="F727" s="1033"/>
      <c r="G727" s="1033"/>
      <c r="H727" s="1033"/>
      <c r="I727" s="1033"/>
      <c r="J727" s="1033"/>
      <c r="K727" s="1033"/>
      <c r="L727" s="90"/>
      <c r="M727" s="51"/>
      <c r="N727" s="113">
        <f t="shared" si="64"/>
        <v>7482</v>
      </c>
      <c r="O727" s="575">
        <v>0</v>
      </c>
      <c r="P727" s="582">
        <v>0</v>
      </c>
      <c r="Q727" s="589"/>
      <c r="R727" s="576"/>
      <c r="S727" s="583">
        <f t="shared" si="65"/>
        <v>0</v>
      </c>
      <c r="T727" s="580">
        <f t="shared" si="66"/>
        <v>0</v>
      </c>
      <c r="U727" s="51"/>
      <c r="V727" s="2119"/>
      <c r="W727" s="43"/>
      <c r="X727" s="43"/>
      <c r="Y727" s="43"/>
      <c r="Z727" s="43"/>
    </row>
    <row r="728" spans="1:26">
      <c r="A728" s="88">
        <v>7483</v>
      </c>
      <c r="B728" s="1033" t="s">
        <v>763</v>
      </c>
      <c r="C728" s="1033"/>
      <c r="D728" s="1033"/>
      <c r="E728" s="1033"/>
      <c r="F728" s="1033"/>
      <c r="G728" s="1033"/>
      <c r="H728" s="1033"/>
      <c r="I728" s="1033"/>
      <c r="J728" s="1033"/>
      <c r="K728" s="1033"/>
      <c r="L728" s="90"/>
      <c r="M728" s="51"/>
      <c r="N728" s="113">
        <f t="shared" si="64"/>
        <v>7483</v>
      </c>
      <c r="O728" s="575">
        <v>0</v>
      </c>
      <c r="P728" s="582">
        <v>0</v>
      </c>
      <c r="Q728" s="589"/>
      <c r="R728" s="576"/>
      <c r="S728" s="583">
        <f t="shared" si="65"/>
        <v>0</v>
      </c>
      <c r="T728" s="580">
        <f t="shared" si="66"/>
        <v>0</v>
      </c>
      <c r="U728" s="51"/>
      <c r="V728" s="2119"/>
      <c r="W728" s="43"/>
      <c r="X728" s="43"/>
      <c r="Y728" s="43"/>
      <c r="Z728" s="43"/>
    </row>
    <row r="729" spans="1:26">
      <c r="A729" s="88">
        <v>7484</v>
      </c>
      <c r="B729" s="1033" t="s">
        <v>764</v>
      </c>
      <c r="C729" s="1033"/>
      <c r="D729" s="1033"/>
      <c r="E729" s="1033"/>
      <c r="F729" s="1033"/>
      <c r="G729" s="1033"/>
      <c r="H729" s="1033"/>
      <c r="I729" s="1033"/>
      <c r="J729" s="1033"/>
      <c r="K729" s="1033"/>
      <c r="L729" s="90"/>
      <c r="M729" s="51"/>
      <c r="N729" s="113">
        <f t="shared" si="64"/>
        <v>7484</v>
      </c>
      <c r="O729" s="575">
        <v>0</v>
      </c>
      <c r="P729" s="582">
        <v>0</v>
      </c>
      <c r="Q729" s="589"/>
      <c r="R729" s="576"/>
      <c r="S729" s="583">
        <f t="shared" si="65"/>
        <v>0</v>
      </c>
      <c r="T729" s="580">
        <f t="shared" si="66"/>
        <v>0</v>
      </c>
      <c r="U729" s="51"/>
      <c r="V729" s="2119"/>
      <c r="W729" s="43"/>
      <c r="X729" s="43"/>
      <c r="Y729" s="43"/>
      <c r="Z729" s="43"/>
    </row>
    <row r="730" spans="1:26" ht="15.75" customHeight="1">
      <c r="A730" s="88">
        <v>7485</v>
      </c>
      <c r="B730" s="1032" t="s">
        <v>765</v>
      </c>
      <c r="C730" s="1033"/>
      <c r="D730" s="1033"/>
      <c r="E730" s="1033"/>
      <c r="F730" s="1033"/>
      <c r="G730" s="1033"/>
      <c r="H730" s="1033"/>
      <c r="I730" s="1033"/>
      <c r="J730" s="1033"/>
      <c r="K730" s="1033"/>
      <c r="L730" s="90"/>
      <c r="M730" s="51"/>
      <c r="N730" s="113">
        <f t="shared" ref="N730:N793" si="67">+A730</f>
        <v>7485</v>
      </c>
      <c r="O730" s="575">
        <v>0</v>
      </c>
      <c r="P730" s="582">
        <v>0</v>
      </c>
      <c r="Q730" s="589"/>
      <c r="R730" s="576"/>
      <c r="S730" s="583">
        <f t="shared" ref="S730:S764" si="68">+IF(ABS(+O730+Q730)&gt;=ABS(P730+R730),+O730-P730+Q730-R730,0)</f>
        <v>0</v>
      </c>
      <c r="T730" s="580">
        <f t="shared" si="66"/>
        <v>0</v>
      </c>
      <c r="U730" s="51"/>
      <c r="V730" s="2119"/>
      <c r="W730" s="43"/>
      <c r="X730" s="43"/>
      <c r="Y730" s="43"/>
      <c r="Z730" s="43"/>
    </row>
    <row r="731" spans="1:26" ht="15.75" customHeight="1">
      <c r="A731" s="88">
        <v>7486</v>
      </c>
      <c r="B731" s="1032" t="s">
        <v>766</v>
      </c>
      <c r="C731" s="1033"/>
      <c r="D731" s="1033"/>
      <c r="E731" s="1033"/>
      <c r="F731" s="1033"/>
      <c r="G731" s="1033"/>
      <c r="H731" s="1033"/>
      <c r="I731" s="1033"/>
      <c r="J731" s="1033"/>
      <c r="K731" s="1033"/>
      <c r="L731" s="90"/>
      <c r="M731" s="51"/>
      <c r="N731" s="113">
        <f t="shared" si="67"/>
        <v>7486</v>
      </c>
      <c r="O731" s="575">
        <v>0</v>
      </c>
      <c r="P731" s="582">
        <v>0</v>
      </c>
      <c r="Q731" s="589"/>
      <c r="R731" s="576"/>
      <c r="S731" s="583">
        <f t="shared" si="68"/>
        <v>0</v>
      </c>
      <c r="T731" s="580">
        <f t="shared" si="66"/>
        <v>0</v>
      </c>
      <c r="U731" s="51"/>
      <c r="V731" s="2119"/>
      <c r="W731" s="43"/>
      <c r="X731" s="43"/>
      <c r="Y731" s="43"/>
      <c r="Z731" s="43"/>
    </row>
    <row r="732" spans="1:26" ht="15.75" customHeight="1">
      <c r="A732" s="88">
        <v>7487</v>
      </c>
      <c r="B732" s="1032" t="s">
        <v>767</v>
      </c>
      <c r="C732" s="1033"/>
      <c r="D732" s="1033"/>
      <c r="E732" s="1033"/>
      <c r="F732" s="1033"/>
      <c r="G732" s="1033"/>
      <c r="H732" s="1033"/>
      <c r="I732" s="1033"/>
      <c r="J732" s="1033"/>
      <c r="K732" s="1033"/>
      <c r="L732" s="90"/>
      <c r="M732" s="51"/>
      <c r="N732" s="113">
        <f t="shared" si="67"/>
        <v>7487</v>
      </c>
      <c r="O732" s="575">
        <v>0</v>
      </c>
      <c r="P732" s="582">
        <v>0</v>
      </c>
      <c r="Q732" s="589"/>
      <c r="R732" s="576"/>
      <c r="S732" s="583">
        <f t="shared" si="68"/>
        <v>0</v>
      </c>
      <c r="T732" s="580">
        <f t="shared" si="66"/>
        <v>0</v>
      </c>
      <c r="U732" s="51"/>
      <c r="V732" s="2119"/>
      <c r="W732" s="43"/>
      <c r="X732" s="43"/>
      <c r="Y732" s="43"/>
      <c r="Z732" s="43"/>
    </row>
    <row r="733" spans="1:26" ht="15.75" customHeight="1">
      <c r="A733" s="88">
        <v>7488</v>
      </c>
      <c r="B733" s="1032" t="s">
        <v>768</v>
      </c>
      <c r="C733" s="1033"/>
      <c r="D733" s="1033"/>
      <c r="E733" s="1033"/>
      <c r="F733" s="1033"/>
      <c r="G733" s="1033"/>
      <c r="H733" s="1033"/>
      <c r="I733" s="1033"/>
      <c r="J733" s="1033"/>
      <c r="K733" s="1033"/>
      <c r="L733" s="90"/>
      <c r="M733" s="51"/>
      <c r="N733" s="113">
        <f t="shared" si="67"/>
        <v>7488</v>
      </c>
      <c r="O733" s="575">
        <v>0</v>
      </c>
      <c r="P733" s="582">
        <v>0</v>
      </c>
      <c r="Q733" s="589"/>
      <c r="R733" s="576"/>
      <c r="S733" s="583">
        <f t="shared" si="68"/>
        <v>0</v>
      </c>
      <c r="T733" s="580">
        <f t="shared" si="66"/>
        <v>0</v>
      </c>
      <c r="U733" s="51"/>
      <c r="V733" s="2119"/>
      <c r="W733" s="43"/>
      <c r="X733" s="43"/>
      <c r="Y733" s="43"/>
      <c r="Z733" s="43"/>
    </row>
    <row r="734" spans="1:26">
      <c r="A734" s="88">
        <v>7491</v>
      </c>
      <c r="B734" s="1033" t="s">
        <v>769</v>
      </c>
      <c r="C734" s="1033"/>
      <c r="D734" s="1033"/>
      <c r="E734" s="1033"/>
      <c r="F734" s="1033"/>
      <c r="G734" s="1033"/>
      <c r="H734" s="1033"/>
      <c r="I734" s="1033"/>
      <c r="J734" s="1033"/>
      <c r="K734" s="1033"/>
      <c r="L734" s="90"/>
      <c r="M734" s="51"/>
      <c r="N734" s="113">
        <f t="shared" si="67"/>
        <v>7491</v>
      </c>
      <c r="O734" s="575">
        <v>0</v>
      </c>
      <c r="P734" s="582">
        <v>0</v>
      </c>
      <c r="Q734" s="589"/>
      <c r="R734" s="576"/>
      <c r="S734" s="583">
        <f t="shared" si="68"/>
        <v>0</v>
      </c>
      <c r="T734" s="580">
        <f t="shared" si="66"/>
        <v>0</v>
      </c>
      <c r="U734" s="51"/>
      <c r="V734" s="2119"/>
      <c r="W734" s="43"/>
      <c r="X734" s="43"/>
      <c r="Y734" s="43"/>
      <c r="Z734" s="43"/>
    </row>
    <row r="735" spans="1:26">
      <c r="A735" s="88">
        <v>7492</v>
      </c>
      <c r="B735" s="1033" t="s">
        <v>770</v>
      </c>
      <c r="C735" s="1033"/>
      <c r="D735" s="1033"/>
      <c r="E735" s="1033"/>
      <c r="F735" s="1033"/>
      <c r="G735" s="1033"/>
      <c r="H735" s="1033"/>
      <c r="I735" s="1033"/>
      <c r="J735" s="1033"/>
      <c r="K735" s="1033"/>
      <c r="L735" s="90"/>
      <c r="M735" s="51"/>
      <c r="N735" s="113">
        <f t="shared" si="67"/>
        <v>7492</v>
      </c>
      <c r="O735" s="575">
        <v>0</v>
      </c>
      <c r="P735" s="582">
        <v>0</v>
      </c>
      <c r="Q735" s="589"/>
      <c r="R735" s="576"/>
      <c r="S735" s="583">
        <f t="shared" si="68"/>
        <v>0</v>
      </c>
      <c r="T735" s="580">
        <f t="shared" si="66"/>
        <v>0</v>
      </c>
      <c r="U735" s="51"/>
      <c r="V735" s="2119"/>
      <c r="W735" s="43"/>
      <c r="X735" s="43"/>
      <c r="Y735" s="43"/>
      <c r="Z735" s="43"/>
    </row>
    <row r="736" spans="1:26">
      <c r="A736" s="88">
        <v>7493</v>
      </c>
      <c r="B736" s="1033" t="s">
        <v>771</v>
      </c>
      <c r="C736" s="1033"/>
      <c r="D736" s="1033"/>
      <c r="E736" s="1033"/>
      <c r="F736" s="1033"/>
      <c r="G736" s="1033"/>
      <c r="H736" s="1033"/>
      <c r="I736" s="1033"/>
      <c r="J736" s="1033"/>
      <c r="K736" s="1033"/>
      <c r="L736" s="90"/>
      <c r="M736" s="51"/>
      <c r="N736" s="113">
        <f t="shared" si="67"/>
        <v>7493</v>
      </c>
      <c r="O736" s="575">
        <v>0</v>
      </c>
      <c r="P736" s="582">
        <v>0</v>
      </c>
      <c r="Q736" s="589"/>
      <c r="R736" s="576"/>
      <c r="S736" s="583">
        <f t="shared" si="68"/>
        <v>0</v>
      </c>
      <c r="T736" s="580">
        <f t="shared" si="66"/>
        <v>0</v>
      </c>
      <c r="U736" s="51"/>
      <c r="V736" s="2119"/>
      <c r="W736" s="43"/>
      <c r="X736" s="43"/>
      <c r="Y736" s="43"/>
      <c r="Z736" s="43"/>
    </row>
    <row r="737" spans="1:26">
      <c r="A737" s="88">
        <v>7494</v>
      </c>
      <c r="B737" s="1033" t="s">
        <v>772</v>
      </c>
      <c r="C737" s="1033"/>
      <c r="D737" s="1033"/>
      <c r="E737" s="1033"/>
      <c r="F737" s="1033"/>
      <c r="G737" s="1033"/>
      <c r="H737" s="1033"/>
      <c r="I737" s="1033"/>
      <c r="J737" s="1033"/>
      <c r="K737" s="1033"/>
      <c r="L737" s="90"/>
      <c r="M737" s="51"/>
      <c r="N737" s="113">
        <f t="shared" si="67"/>
        <v>7494</v>
      </c>
      <c r="O737" s="575">
        <v>0</v>
      </c>
      <c r="P737" s="582">
        <v>0</v>
      </c>
      <c r="Q737" s="589"/>
      <c r="R737" s="576"/>
      <c r="S737" s="583">
        <f t="shared" si="68"/>
        <v>0</v>
      </c>
      <c r="T737" s="580">
        <f t="shared" ref="T737:T800" si="69">+IF(ABS(+O737+Q737)&lt;=ABS(P737+R737),-O737+P737-Q737+R737,0)</f>
        <v>0</v>
      </c>
      <c r="U737" s="51"/>
      <c r="V737" s="2119"/>
      <c r="W737" s="43"/>
      <c r="X737" s="43"/>
      <c r="Y737" s="43"/>
      <c r="Z737" s="43"/>
    </row>
    <row r="738" spans="1:26" ht="15.75" customHeight="1">
      <c r="A738" s="88">
        <v>7499</v>
      </c>
      <c r="B738" s="1033" t="s">
        <v>47</v>
      </c>
      <c r="C738" s="1033"/>
      <c r="D738" s="1033"/>
      <c r="E738" s="1033"/>
      <c r="F738" s="1033"/>
      <c r="G738" s="1033"/>
      <c r="H738" s="1033"/>
      <c r="I738" s="1033"/>
      <c r="J738" s="1033"/>
      <c r="K738" s="1033"/>
      <c r="L738" s="90"/>
      <c r="M738" s="51"/>
      <c r="N738" s="113">
        <f t="shared" si="67"/>
        <v>7499</v>
      </c>
      <c r="O738" s="575">
        <v>0</v>
      </c>
      <c r="P738" s="582">
        <v>0</v>
      </c>
      <c r="Q738" s="589"/>
      <c r="R738" s="576"/>
      <c r="S738" s="583">
        <f t="shared" si="68"/>
        <v>0</v>
      </c>
      <c r="T738" s="580">
        <f t="shared" si="69"/>
        <v>0</v>
      </c>
      <c r="U738" s="51"/>
      <c r="V738" s="2119"/>
      <c r="W738" s="43"/>
      <c r="X738" s="43"/>
      <c r="Y738" s="43"/>
      <c r="Z738" s="43"/>
    </row>
    <row r="739" spans="1:26">
      <c r="A739" s="88">
        <v>7500</v>
      </c>
      <c r="B739" s="378" t="s">
        <v>48</v>
      </c>
      <c r="C739" s="1033"/>
      <c r="D739" s="1033"/>
      <c r="E739" s="1033"/>
      <c r="F739" s="1033"/>
      <c r="G739" s="1033"/>
      <c r="H739" s="1033"/>
      <c r="I739" s="1033"/>
      <c r="J739" s="1033"/>
      <c r="K739" s="1033"/>
      <c r="L739" s="90"/>
      <c r="M739" s="51"/>
      <c r="N739" s="113">
        <f t="shared" si="67"/>
        <v>7500</v>
      </c>
      <c r="O739" s="575">
        <v>0</v>
      </c>
      <c r="P739" s="582">
        <v>0</v>
      </c>
      <c r="Q739" s="589">
        <v>0</v>
      </c>
      <c r="R739" s="576">
        <v>0</v>
      </c>
      <c r="S739" s="583">
        <f t="shared" si="68"/>
        <v>0</v>
      </c>
      <c r="T739" s="580">
        <f t="shared" si="69"/>
        <v>0</v>
      </c>
      <c r="U739" s="51"/>
      <c r="V739" s="2119"/>
      <c r="W739" s="43"/>
      <c r="X739" s="43"/>
      <c r="Y739" s="43"/>
      <c r="Z739" s="43"/>
    </row>
    <row r="740" spans="1:26">
      <c r="A740" s="88">
        <v>7501</v>
      </c>
      <c r="B740" s="378" t="s">
        <v>49</v>
      </c>
      <c r="C740" s="1033"/>
      <c r="D740" s="1033"/>
      <c r="E740" s="1033"/>
      <c r="F740" s="1033"/>
      <c r="G740" s="1033"/>
      <c r="H740" s="1033"/>
      <c r="I740" s="1033"/>
      <c r="J740" s="1033"/>
      <c r="K740" s="1033"/>
      <c r="L740" s="90"/>
      <c r="M740" s="51"/>
      <c r="N740" s="113">
        <f t="shared" si="67"/>
        <v>7501</v>
      </c>
      <c r="O740" s="575">
        <v>0</v>
      </c>
      <c r="P740" s="582">
        <v>0</v>
      </c>
      <c r="Q740" s="589">
        <v>0</v>
      </c>
      <c r="R740" s="576">
        <v>0</v>
      </c>
      <c r="S740" s="583">
        <f t="shared" si="68"/>
        <v>0</v>
      </c>
      <c r="T740" s="580">
        <f t="shared" si="69"/>
        <v>0</v>
      </c>
      <c r="U740" s="51"/>
      <c r="V740" s="2119"/>
      <c r="W740" s="43"/>
      <c r="X740" s="43"/>
      <c r="Y740" s="43"/>
      <c r="Z740" s="43"/>
    </row>
    <row r="741" spans="1:26">
      <c r="A741" s="88">
        <v>7502</v>
      </c>
      <c r="B741" s="378" t="s">
        <v>50</v>
      </c>
      <c r="C741" s="1033"/>
      <c r="D741" s="1033"/>
      <c r="E741" s="1033"/>
      <c r="F741" s="1033"/>
      <c r="G741" s="1033"/>
      <c r="H741" s="1033"/>
      <c r="I741" s="1033"/>
      <c r="J741" s="1033"/>
      <c r="K741" s="1033"/>
      <c r="L741" s="90"/>
      <c r="M741" s="51"/>
      <c r="N741" s="113">
        <f t="shared" si="67"/>
        <v>7502</v>
      </c>
      <c r="O741" s="575">
        <v>0</v>
      </c>
      <c r="P741" s="582">
        <v>0</v>
      </c>
      <c r="Q741" s="589"/>
      <c r="R741" s="576"/>
      <c r="S741" s="583">
        <f t="shared" si="68"/>
        <v>0</v>
      </c>
      <c r="T741" s="580">
        <f t="shared" si="69"/>
        <v>0</v>
      </c>
      <c r="U741" s="51"/>
      <c r="V741" s="2119"/>
      <c r="W741" s="43"/>
      <c r="X741" s="43"/>
      <c r="Y741" s="43"/>
      <c r="Z741" s="43"/>
    </row>
    <row r="742" spans="1:26">
      <c r="A742" s="88">
        <v>7511</v>
      </c>
      <c r="B742" s="1033" t="s">
        <v>302</v>
      </c>
      <c r="C742" s="1033"/>
      <c r="D742" s="1033"/>
      <c r="E742" s="1033"/>
      <c r="F742" s="1033"/>
      <c r="G742" s="1033"/>
      <c r="H742" s="1033"/>
      <c r="I742" s="1033"/>
      <c r="J742" s="1033"/>
      <c r="K742" s="1033"/>
      <c r="L742" s="90"/>
      <c r="M742" s="51"/>
      <c r="N742" s="113">
        <f t="shared" si="67"/>
        <v>7511</v>
      </c>
      <c r="O742" s="575">
        <v>0</v>
      </c>
      <c r="P742" s="582">
        <v>0</v>
      </c>
      <c r="Q742" s="589">
        <v>0</v>
      </c>
      <c r="R742" s="576">
        <v>0</v>
      </c>
      <c r="S742" s="583">
        <f t="shared" si="68"/>
        <v>0</v>
      </c>
      <c r="T742" s="580">
        <f t="shared" si="69"/>
        <v>0</v>
      </c>
      <c r="U742" s="51"/>
      <c r="V742" s="2119"/>
      <c r="W742" s="43"/>
      <c r="X742" s="43"/>
      <c r="Y742" s="43"/>
      <c r="Z742" s="43"/>
    </row>
    <row r="743" spans="1:26">
      <c r="A743" s="88">
        <v>7519</v>
      </c>
      <c r="B743" s="1033" t="s">
        <v>51</v>
      </c>
      <c r="C743" s="1033"/>
      <c r="D743" s="1033"/>
      <c r="E743" s="1033"/>
      <c r="F743" s="1033"/>
      <c r="G743" s="1033"/>
      <c r="H743" s="1033"/>
      <c r="I743" s="1033"/>
      <c r="J743" s="1033"/>
      <c r="K743" s="1033"/>
      <c r="L743" s="90"/>
      <c r="M743" s="51"/>
      <c r="N743" s="113">
        <f t="shared" si="67"/>
        <v>7519</v>
      </c>
      <c r="O743" s="575">
        <v>0</v>
      </c>
      <c r="P743" s="582">
        <v>0</v>
      </c>
      <c r="Q743" s="589"/>
      <c r="R743" s="576"/>
      <c r="S743" s="583">
        <f t="shared" si="68"/>
        <v>0</v>
      </c>
      <c r="T743" s="580">
        <f t="shared" si="69"/>
        <v>0</v>
      </c>
      <c r="U743" s="51"/>
      <c r="V743" s="2119"/>
      <c r="W743" s="43"/>
      <c r="X743" s="43"/>
      <c r="Y743" s="43"/>
      <c r="Z743" s="43"/>
    </row>
    <row r="744" spans="1:26">
      <c r="A744" s="88">
        <v>7522</v>
      </c>
      <c r="B744" s="1033" t="s">
        <v>52</v>
      </c>
      <c r="C744" s="1033"/>
      <c r="D744" s="1033"/>
      <c r="E744" s="1033"/>
      <c r="F744" s="1033"/>
      <c r="G744" s="1033"/>
      <c r="H744" s="1033"/>
      <c r="I744" s="1033"/>
      <c r="J744" s="1033"/>
      <c r="K744" s="1033"/>
      <c r="L744" s="90"/>
      <c r="M744" s="51"/>
      <c r="N744" s="113">
        <f t="shared" si="67"/>
        <v>7522</v>
      </c>
      <c r="O744" s="575">
        <v>0</v>
      </c>
      <c r="P744" s="582">
        <v>0</v>
      </c>
      <c r="Q744" s="589">
        <v>0</v>
      </c>
      <c r="R744" s="576">
        <v>0</v>
      </c>
      <c r="S744" s="583">
        <f t="shared" si="68"/>
        <v>0</v>
      </c>
      <c r="T744" s="580">
        <f t="shared" si="69"/>
        <v>0</v>
      </c>
      <c r="U744" s="51"/>
      <c r="V744" s="2119"/>
      <c r="W744" s="43"/>
      <c r="X744" s="43"/>
      <c r="Y744" s="43"/>
      <c r="Z744" s="43"/>
    </row>
    <row r="745" spans="1:26" ht="15.75" customHeight="1">
      <c r="A745" s="88">
        <v>7524</v>
      </c>
      <c r="B745" s="1033" t="s">
        <v>53</v>
      </c>
      <c r="C745" s="1033"/>
      <c r="D745" s="1033"/>
      <c r="E745" s="1033"/>
      <c r="F745" s="1033"/>
      <c r="G745" s="1033"/>
      <c r="H745" s="1033"/>
      <c r="I745" s="1033"/>
      <c r="J745" s="1033"/>
      <c r="K745" s="1033"/>
      <c r="L745" s="90"/>
      <c r="M745" s="51"/>
      <c r="N745" s="113">
        <f t="shared" si="67"/>
        <v>7524</v>
      </c>
      <c r="O745" s="575">
        <v>0</v>
      </c>
      <c r="P745" s="582">
        <v>0</v>
      </c>
      <c r="Q745" s="589"/>
      <c r="R745" s="576"/>
      <c r="S745" s="583">
        <f t="shared" si="68"/>
        <v>0</v>
      </c>
      <c r="T745" s="580">
        <f t="shared" si="69"/>
        <v>0</v>
      </c>
      <c r="U745" s="51"/>
      <c r="V745" s="2119"/>
      <c r="W745" s="43"/>
      <c r="X745" s="43"/>
      <c r="Y745" s="43"/>
      <c r="Z745" s="43"/>
    </row>
    <row r="746" spans="1:26" ht="15.75" customHeight="1">
      <c r="A746" s="88">
        <v>7525</v>
      </c>
      <c r="B746" s="1033" t="s">
        <v>54</v>
      </c>
      <c r="C746" s="1033"/>
      <c r="D746" s="1033"/>
      <c r="E746" s="1033"/>
      <c r="F746" s="1033"/>
      <c r="G746" s="1033"/>
      <c r="H746" s="1033"/>
      <c r="I746" s="1033"/>
      <c r="J746" s="1033"/>
      <c r="K746" s="1033"/>
      <c r="L746" s="90"/>
      <c r="M746" s="51"/>
      <c r="N746" s="113">
        <f t="shared" si="67"/>
        <v>7525</v>
      </c>
      <c r="O746" s="575">
        <v>0</v>
      </c>
      <c r="P746" s="582">
        <v>0</v>
      </c>
      <c r="Q746" s="589"/>
      <c r="R746" s="576"/>
      <c r="S746" s="583">
        <f t="shared" si="68"/>
        <v>0</v>
      </c>
      <c r="T746" s="580">
        <f t="shared" si="69"/>
        <v>0</v>
      </c>
      <c r="U746" s="51"/>
      <c r="V746" s="2119"/>
      <c r="W746" s="43"/>
      <c r="X746" s="43"/>
      <c r="Y746" s="43"/>
      <c r="Z746" s="43"/>
    </row>
    <row r="747" spans="1:26" ht="15.75" customHeight="1">
      <c r="A747" s="88">
        <v>7532</v>
      </c>
      <c r="B747" s="1033" t="s">
        <v>55</v>
      </c>
      <c r="C747" s="1033"/>
      <c r="D747" s="1033"/>
      <c r="E747" s="1033"/>
      <c r="F747" s="1033"/>
      <c r="G747" s="1033"/>
      <c r="H747" s="1033"/>
      <c r="I747" s="1033"/>
      <c r="J747" s="1033"/>
      <c r="K747" s="1033"/>
      <c r="L747" s="90"/>
      <c r="M747" s="51"/>
      <c r="N747" s="113">
        <f t="shared" si="67"/>
        <v>7532</v>
      </c>
      <c r="O747" s="575">
        <v>0</v>
      </c>
      <c r="P747" s="582">
        <v>0</v>
      </c>
      <c r="Q747" s="589"/>
      <c r="R747" s="576"/>
      <c r="S747" s="583">
        <f t="shared" si="68"/>
        <v>0</v>
      </c>
      <c r="T747" s="580">
        <f t="shared" si="69"/>
        <v>0</v>
      </c>
      <c r="U747" s="51"/>
      <c r="V747" s="2119"/>
      <c r="W747" s="43"/>
      <c r="X747" s="43"/>
      <c r="Y747" s="43"/>
      <c r="Z747" s="43"/>
    </row>
    <row r="748" spans="1:26" ht="15.75" customHeight="1">
      <c r="A748" s="88">
        <v>7534</v>
      </c>
      <c r="B748" s="1033" t="s">
        <v>56</v>
      </c>
      <c r="C748" s="1033"/>
      <c r="D748" s="1033"/>
      <c r="E748" s="1033"/>
      <c r="F748" s="1033"/>
      <c r="G748" s="1033"/>
      <c r="H748" s="1033"/>
      <c r="I748" s="1033"/>
      <c r="J748" s="1033"/>
      <c r="K748" s="1033"/>
      <c r="L748" s="90"/>
      <c r="M748" s="51"/>
      <c r="N748" s="113">
        <f t="shared" si="67"/>
        <v>7534</v>
      </c>
      <c r="O748" s="575">
        <v>0</v>
      </c>
      <c r="P748" s="582">
        <v>0</v>
      </c>
      <c r="Q748" s="589">
        <v>0</v>
      </c>
      <c r="R748" s="576">
        <v>0</v>
      </c>
      <c r="S748" s="583">
        <f t="shared" si="68"/>
        <v>0</v>
      </c>
      <c r="T748" s="580">
        <f t="shared" si="69"/>
        <v>0</v>
      </c>
      <c r="U748" s="51"/>
      <c r="V748" s="2119"/>
      <c r="W748" s="43"/>
      <c r="X748" s="43"/>
      <c r="Y748" s="43"/>
      <c r="Z748" s="43"/>
    </row>
    <row r="749" spans="1:26" ht="15.75" customHeight="1">
      <c r="A749" s="88">
        <v>7535</v>
      </c>
      <c r="B749" s="1033" t="s">
        <v>57</v>
      </c>
      <c r="C749" s="1033"/>
      <c r="D749" s="1033"/>
      <c r="E749" s="1033"/>
      <c r="F749" s="1033"/>
      <c r="G749" s="1033"/>
      <c r="H749" s="1033"/>
      <c r="I749" s="1033"/>
      <c r="J749" s="1033"/>
      <c r="K749" s="1033"/>
      <c r="L749" s="90"/>
      <c r="M749" s="51"/>
      <c r="N749" s="113">
        <f t="shared" si="67"/>
        <v>7535</v>
      </c>
      <c r="O749" s="575">
        <v>0</v>
      </c>
      <c r="P749" s="582">
        <v>0</v>
      </c>
      <c r="Q749" s="589"/>
      <c r="R749" s="576"/>
      <c r="S749" s="583">
        <f t="shared" si="68"/>
        <v>0</v>
      </c>
      <c r="T749" s="580">
        <f t="shared" si="69"/>
        <v>0</v>
      </c>
      <c r="U749" s="51"/>
      <c r="V749" s="2119"/>
      <c r="W749" s="43"/>
      <c r="X749" s="43"/>
      <c r="Y749" s="43"/>
      <c r="Z749" s="43"/>
    </row>
    <row r="750" spans="1:26" ht="15.75" customHeight="1">
      <c r="A750" s="88">
        <v>7582</v>
      </c>
      <c r="B750" s="1033" t="s">
        <v>58</v>
      </c>
      <c r="C750" s="1033"/>
      <c r="D750" s="1033"/>
      <c r="E750" s="1033"/>
      <c r="F750" s="1033"/>
      <c r="G750" s="1033"/>
      <c r="H750" s="1033"/>
      <c r="I750" s="1033"/>
      <c r="J750" s="1033"/>
      <c r="K750" s="1033"/>
      <c r="L750" s="90"/>
      <c r="M750" s="51"/>
      <c r="N750" s="113">
        <f t="shared" si="67"/>
        <v>7582</v>
      </c>
      <c r="O750" s="575">
        <v>0</v>
      </c>
      <c r="P750" s="582">
        <v>0</v>
      </c>
      <c r="Q750" s="589"/>
      <c r="R750" s="576"/>
      <c r="S750" s="583">
        <f t="shared" si="68"/>
        <v>0</v>
      </c>
      <c r="T750" s="580">
        <f t="shared" si="69"/>
        <v>0</v>
      </c>
      <c r="U750" s="51"/>
      <c r="V750" s="2119"/>
      <c r="W750" s="43"/>
      <c r="X750" s="43"/>
      <c r="Y750" s="43"/>
      <c r="Z750" s="43"/>
    </row>
    <row r="751" spans="1:26" ht="15.75" customHeight="1">
      <c r="A751" s="88">
        <v>7584</v>
      </c>
      <c r="B751" s="1033" t="s">
        <v>59</v>
      </c>
      <c r="C751" s="1033"/>
      <c r="D751" s="1033"/>
      <c r="E751" s="1033"/>
      <c r="F751" s="1033"/>
      <c r="G751" s="1033"/>
      <c r="H751" s="1033"/>
      <c r="I751" s="1033"/>
      <c r="J751" s="1033"/>
      <c r="K751" s="1033"/>
      <c r="L751" s="90"/>
      <c r="M751" s="51"/>
      <c r="N751" s="113">
        <f t="shared" si="67"/>
        <v>7584</v>
      </c>
      <c r="O751" s="575">
        <v>0</v>
      </c>
      <c r="P751" s="582">
        <v>0</v>
      </c>
      <c r="Q751" s="589"/>
      <c r="R751" s="576"/>
      <c r="S751" s="583">
        <f t="shared" si="68"/>
        <v>0</v>
      </c>
      <c r="T751" s="580">
        <f t="shared" si="69"/>
        <v>0</v>
      </c>
      <c r="U751" s="51"/>
      <c r="V751" s="2119"/>
      <c r="W751" s="43"/>
      <c r="X751" s="43"/>
      <c r="Y751" s="43"/>
      <c r="Z751" s="43"/>
    </row>
    <row r="752" spans="1:26" ht="15.75" customHeight="1">
      <c r="A752" s="88">
        <v>7585</v>
      </c>
      <c r="B752" s="1033" t="s">
        <v>60</v>
      </c>
      <c r="C752" s="1033"/>
      <c r="D752" s="1033"/>
      <c r="E752" s="1033"/>
      <c r="F752" s="1033"/>
      <c r="G752" s="1033"/>
      <c r="H752" s="1033"/>
      <c r="I752" s="1033"/>
      <c r="J752" s="1033"/>
      <c r="K752" s="1033"/>
      <c r="L752" s="90"/>
      <c r="M752" s="51"/>
      <c r="N752" s="113">
        <f t="shared" si="67"/>
        <v>7585</v>
      </c>
      <c r="O752" s="575">
        <v>0</v>
      </c>
      <c r="P752" s="582">
        <v>0</v>
      </c>
      <c r="Q752" s="589"/>
      <c r="R752" s="576"/>
      <c r="S752" s="583">
        <f t="shared" si="68"/>
        <v>0</v>
      </c>
      <c r="T752" s="580">
        <f t="shared" si="69"/>
        <v>0</v>
      </c>
      <c r="U752" s="51"/>
      <c r="V752" s="2119"/>
      <c r="W752" s="43"/>
      <c r="X752" s="43"/>
      <c r="Y752" s="43"/>
      <c r="Z752" s="43"/>
    </row>
    <row r="753" spans="1:26">
      <c r="A753" s="88">
        <v>7591</v>
      </c>
      <c r="B753" s="1042" t="s">
        <v>61</v>
      </c>
      <c r="C753" s="1051"/>
      <c r="D753" s="1051"/>
      <c r="E753" s="1051"/>
      <c r="F753" s="1051"/>
      <c r="G753" s="1051"/>
      <c r="H753" s="1051"/>
      <c r="I753" s="1051"/>
      <c r="J753" s="1051"/>
      <c r="K753" s="1051"/>
      <c r="L753" s="90"/>
      <c r="M753" s="51"/>
      <c r="N753" s="113">
        <f t="shared" si="67"/>
        <v>7591</v>
      </c>
      <c r="O753" s="575">
        <v>0</v>
      </c>
      <c r="P753" s="582">
        <v>0</v>
      </c>
      <c r="Q753" s="589"/>
      <c r="R753" s="576"/>
      <c r="S753" s="583">
        <f t="shared" si="68"/>
        <v>0</v>
      </c>
      <c r="T753" s="580">
        <f t="shared" si="69"/>
        <v>0</v>
      </c>
      <c r="U753" s="51"/>
      <c r="V753" s="2119"/>
      <c r="W753" s="43"/>
      <c r="X753" s="43"/>
      <c r="Y753" s="43"/>
      <c r="Z753" s="43"/>
    </row>
    <row r="754" spans="1:26">
      <c r="A754" s="88">
        <v>7595</v>
      </c>
      <c r="B754" s="1042" t="s">
        <v>62</v>
      </c>
      <c r="C754" s="1051"/>
      <c r="D754" s="1051"/>
      <c r="E754" s="1051"/>
      <c r="F754" s="1051"/>
      <c r="G754" s="1051"/>
      <c r="H754" s="1051"/>
      <c r="I754" s="1051"/>
      <c r="J754" s="1051"/>
      <c r="K754" s="1051"/>
      <c r="L754" s="90"/>
      <c r="M754" s="51"/>
      <c r="N754" s="113">
        <f t="shared" si="67"/>
        <v>7595</v>
      </c>
      <c r="O754" s="575">
        <v>0</v>
      </c>
      <c r="P754" s="582">
        <v>0</v>
      </c>
      <c r="Q754" s="589"/>
      <c r="R754" s="576"/>
      <c r="S754" s="583">
        <f t="shared" si="68"/>
        <v>0</v>
      </c>
      <c r="T754" s="580">
        <f t="shared" si="69"/>
        <v>0</v>
      </c>
      <c r="U754" s="51"/>
      <c r="V754" s="2119"/>
      <c r="W754" s="43"/>
      <c r="X754" s="43"/>
      <c r="Y754" s="43"/>
      <c r="Z754" s="43"/>
    </row>
    <row r="755" spans="1:26">
      <c r="A755" s="88">
        <v>7596</v>
      </c>
      <c r="B755" s="1042" t="s">
        <v>63</v>
      </c>
      <c r="C755" s="1051"/>
      <c r="D755" s="1051"/>
      <c r="E755" s="1051"/>
      <c r="F755" s="1051"/>
      <c r="G755" s="1051"/>
      <c r="H755" s="1051"/>
      <c r="I755" s="1051"/>
      <c r="J755" s="1051"/>
      <c r="K755" s="1051"/>
      <c r="L755" s="90"/>
      <c r="M755" s="51"/>
      <c r="N755" s="113">
        <f t="shared" si="67"/>
        <v>7596</v>
      </c>
      <c r="O755" s="575">
        <v>0</v>
      </c>
      <c r="P755" s="582">
        <v>0</v>
      </c>
      <c r="Q755" s="589"/>
      <c r="R755" s="576"/>
      <c r="S755" s="583">
        <f t="shared" si="68"/>
        <v>0</v>
      </c>
      <c r="T755" s="580">
        <f t="shared" si="69"/>
        <v>0</v>
      </c>
      <c r="U755" s="51"/>
      <c r="V755" s="2119"/>
      <c r="W755" s="43"/>
      <c r="X755" s="43"/>
      <c r="Y755" s="43"/>
      <c r="Z755" s="43"/>
    </row>
    <row r="756" spans="1:26" ht="15.75" customHeight="1">
      <c r="A756" s="88">
        <v>7597</v>
      </c>
      <c r="B756" s="1042" t="s">
        <v>64</v>
      </c>
      <c r="C756" s="1042"/>
      <c r="D756" s="1042"/>
      <c r="E756" s="1042"/>
      <c r="F756" s="1042"/>
      <c r="G756" s="1042"/>
      <c r="H756" s="1042"/>
      <c r="I756" s="1042"/>
      <c r="J756" s="1042"/>
      <c r="K756" s="1042"/>
      <c r="L756" s="90"/>
      <c r="M756" s="51"/>
      <c r="N756" s="113">
        <f t="shared" si="67"/>
        <v>7597</v>
      </c>
      <c r="O756" s="575">
        <v>0</v>
      </c>
      <c r="P756" s="582">
        <v>0</v>
      </c>
      <c r="Q756" s="589"/>
      <c r="R756" s="576"/>
      <c r="S756" s="583">
        <f t="shared" si="68"/>
        <v>0</v>
      </c>
      <c r="T756" s="580">
        <f t="shared" si="69"/>
        <v>0</v>
      </c>
      <c r="U756" s="51"/>
      <c r="V756" s="2119"/>
      <c r="W756" s="43"/>
      <c r="X756" s="43"/>
      <c r="Y756" s="43"/>
      <c r="Z756" s="43"/>
    </row>
    <row r="757" spans="1:26">
      <c r="A757" s="88">
        <v>7598</v>
      </c>
      <c r="B757" s="1042" t="s">
        <v>65</v>
      </c>
      <c r="C757" s="1051"/>
      <c r="D757" s="1051"/>
      <c r="E757" s="1051"/>
      <c r="F757" s="1051"/>
      <c r="G757" s="1051"/>
      <c r="H757" s="1051"/>
      <c r="I757" s="1051"/>
      <c r="J757" s="1051"/>
      <c r="K757" s="1051"/>
      <c r="L757" s="90"/>
      <c r="M757" s="51"/>
      <c r="N757" s="113">
        <f t="shared" si="67"/>
        <v>7598</v>
      </c>
      <c r="O757" s="575">
        <v>0</v>
      </c>
      <c r="P757" s="582">
        <v>0</v>
      </c>
      <c r="Q757" s="589"/>
      <c r="R757" s="576"/>
      <c r="S757" s="583">
        <f t="shared" si="68"/>
        <v>0</v>
      </c>
      <c r="T757" s="580">
        <f t="shared" si="69"/>
        <v>0</v>
      </c>
      <c r="U757" s="51"/>
      <c r="V757" s="2119"/>
      <c r="W757" s="43"/>
      <c r="X757" s="43"/>
      <c r="Y757" s="43"/>
      <c r="Z757" s="43"/>
    </row>
    <row r="758" spans="1:26">
      <c r="A758" s="88">
        <v>7599</v>
      </c>
      <c r="B758" s="1042" t="s">
        <v>66</v>
      </c>
      <c r="C758" s="1051"/>
      <c r="D758" s="1051"/>
      <c r="E758" s="1051"/>
      <c r="F758" s="1051"/>
      <c r="G758" s="1051"/>
      <c r="H758" s="1051"/>
      <c r="I758" s="1051"/>
      <c r="J758" s="1051"/>
      <c r="K758" s="1051"/>
      <c r="L758" s="90"/>
      <c r="M758" s="51"/>
      <c r="N758" s="113">
        <f t="shared" si="67"/>
        <v>7599</v>
      </c>
      <c r="O758" s="575">
        <v>0</v>
      </c>
      <c r="P758" s="582">
        <v>0</v>
      </c>
      <c r="Q758" s="589"/>
      <c r="R758" s="576"/>
      <c r="S758" s="583">
        <f t="shared" si="68"/>
        <v>0</v>
      </c>
      <c r="T758" s="580">
        <f t="shared" si="69"/>
        <v>0</v>
      </c>
      <c r="U758" s="51"/>
      <c r="V758" s="2119"/>
      <c r="W758" s="43"/>
      <c r="X758" s="43"/>
      <c r="Y758" s="43"/>
      <c r="Z758" s="43"/>
    </row>
    <row r="759" spans="1:26" ht="15.75" customHeight="1">
      <c r="A759" s="88">
        <v>7600</v>
      </c>
      <c r="B759" s="1045" t="s">
        <v>2192</v>
      </c>
      <c r="C759" s="1035"/>
      <c r="D759" s="1035"/>
      <c r="E759" s="1035"/>
      <c r="F759" s="1035"/>
      <c r="G759" s="1035"/>
      <c r="H759" s="1035"/>
      <c r="I759" s="1035"/>
      <c r="J759" s="1035"/>
      <c r="K759" s="1035"/>
      <c r="L759" s="90"/>
      <c r="M759" s="51"/>
      <c r="N759" s="113">
        <f t="shared" si="67"/>
        <v>7600</v>
      </c>
      <c r="O759" s="575">
        <v>0</v>
      </c>
      <c r="P759" s="582">
        <v>0</v>
      </c>
      <c r="Q759" s="589"/>
      <c r="R759" s="576"/>
      <c r="S759" s="583">
        <f t="shared" si="68"/>
        <v>0</v>
      </c>
      <c r="T759" s="580">
        <f t="shared" si="69"/>
        <v>0</v>
      </c>
      <c r="U759" s="51"/>
      <c r="V759" s="2119"/>
      <c r="W759" s="43"/>
      <c r="X759" s="43"/>
      <c r="Y759" s="43"/>
      <c r="Z759" s="43"/>
    </row>
    <row r="760" spans="1:26" ht="15.75" customHeight="1">
      <c r="A760" s="88">
        <v>7601</v>
      </c>
      <c r="B760" s="2417" t="s">
        <v>2193</v>
      </c>
      <c r="C760" s="2418"/>
      <c r="D760" s="2418"/>
      <c r="E760" s="2418"/>
      <c r="F760" s="2418"/>
      <c r="G760" s="2418"/>
      <c r="H760" s="2418"/>
      <c r="I760" s="2418"/>
      <c r="J760" s="2418"/>
      <c r="K760" s="1035"/>
      <c r="L760" s="90"/>
      <c r="M760" s="51"/>
      <c r="N760" s="113">
        <f t="shared" si="67"/>
        <v>7601</v>
      </c>
      <c r="O760" s="575">
        <v>0</v>
      </c>
      <c r="P760" s="582">
        <v>0</v>
      </c>
      <c r="Q760" s="589">
        <v>0</v>
      </c>
      <c r="R760" s="576">
        <v>0</v>
      </c>
      <c r="S760" s="583">
        <f t="shared" si="68"/>
        <v>0</v>
      </c>
      <c r="T760" s="580">
        <f t="shared" si="69"/>
        <v>0</v>
      </c>
      <c r="U760" s="51"/>
      <c r="V760" s="2119"/>
      <c r="W760" s="43"/>
      <c r="X760" s="43"/>
      <c r="Y760" s="43"/>
      <c r="Z760" s="43"/>
    </row>
    <row r="761" spans="1:26" ht="15.75" customHeight="1">
      <c r="A761" s="88">
        <v>7602</v>
      </c>
      <c r="B761" s="1045" t="s">
        <v>2194</v>
      </c>
      <c r="C761" s="1035"/>
      <c r="D761" s="1035"/>
      <c r="E761" s="1035"/>
      <c r="F761" s="1035"/>
      <c r="G761" s="1035"/>
      <c r="H761" s="1035"/>
      <c r="I761" s="1035"/>
      <c r="J761" s="1035"/>
      <c r="K761" s="1035"/>
      <c r="L761" s="90"/>
      <c r="M761" s="51"/>
      <c r="N761" s="113">
        <f t="shared" si="67"/>
        <v>7602</v>
      </c>
      <c r="O761" s="575">
        <v>0</v>
      </c>
      <c r="P761" s="582">
        <v>0</v>
      </c>
      <c r="Q761" s="579">
        <v>0</v>
      </c>
      <c r="R761" s="582">
        <v>0</v>
      </c>
      <c r="S761" s="583">
        <f t="shared" si="68"/>
        <v>0</v>
      </c>
      <c r="T761" s="580">
        <f t="shared" si="69"/>
        <v>0</v>
      </c>
      <c r="U761" s="51"/>
      <c r="V761" s="2125">
        <f>+IF(OR(O761&lt;&gt;0,P761&lt;&gt;0,Q761&lt;&gt;0,R761&lt;&gt;0,S761&lt;&gt;0,T761&lt;&gt;0),+IF(ABS(O761+Q761)-ABS(P761+R761)&lt;&gt;0,ABS(O761+Q761)-ABS(P761+R761),1),0)</f>
        <v>0</v>
      </c>
      <c r="W761" s="43"/>
      <c r="X761" s="43"/>
      <c r="Y761" s="43"/>
      <c r="Z761" s="43"/>
    </row>
    <row r="762" spans="1:26" ht="15.75" customHeight="1">
      <c r="A762" s="88">
        <v>7603</v>
      </c>
      <c r="B762" s="2417" t="s">
        <v>2195</v>
      </c>
      <c r="C762" s="2419"/>
      <c r="D762" s="2419"/>
      <c r="E762" s="2419"/>
      <c r="F762" s="2419"/>
      <c r="G762" s="2419"/>
      <c r="H762" s="2419"/>
      <c r="I762" s="2419"/>
      <c r="J762" s="2419"/>
      <c r="K762" s="2419"/>
      <c r="L762" s="90"/>
      <c r="M762" s="51"/>
      <c r="N762" s="113">
        <f t="shared" si="67"/>
        <v>7603</v>
      </c>
      <c r="O762" s="575">
        <v>0</v>
      </c>
      <c r="P762" s="582">
        <v>0</v>
      </c>
      <c r="Q762" s="589"/>
      <c r="R762" s="576"/>
      <c r="S762" s="583">
        <f t="shared" si="68"/>
        <v>0</v>
      </c>
      <c r="T762" s="580">
        <f t="shared" si="69"/>
        <v>0</v>
      </c>
      <c r="U762" s="51"/>
      <c r="V762" s="2119"/>
      <c r="W762" s="43"/>
      <c r="X762" s="43"/>
      <c r="Y762" s="43"/>
      <c r="Z762" s="43"/>
    </row>
    <row r="763" spans="1:26" ht="15.75" customHeight="1">
      <c r="A763" s="88">
        <v>7609</v>
      </c>
      <c r="B763" s="1042" t="s">
        <v>67</v>
      </c>
      <c r="C763" s="1051"/>
      <c r="D763" s="1051"/>
      <c r="E763" s="1051"/>
      <c r="F763" s="1051"/>
      <c r="G763" s="1051"/>
      <c r="H763" s="1051"/>
      <c r="I763" s="1051"/>
      <c r="J763" s="1051"/>
      <c r="K763" s="1051"/>
      <c r="L763" s="90"/>
      <c r="M763" s="51"/>
      <c r="N763" s="113">
        <f t="shared" si="67"/>
        <v>7609</v>
      </c>
      <c r="O763" s="575">
        <v>0</v>
      </c>
      <c r="P763" s="582">
        <v>0</v>
      </c>
      <c r="Q763" s="579">
        <v>0</v>
      </c>
      <c r="R763" s="582">
        <v>0</v>
      </c>
      <c r="S763" s="583">
        <f t="shared" si="68"/>
        <v>0</v>
      </c>
      <c r="T763" s="580">
        <f t="shared" si="69"/>
        <v>0</v>
      </c>
      <c r="U763" s="51"/>
      <c r="V763" s="2125">
        <f>+IF(OR(O763&lt;&gt;0,P763&lt;&gt;0,Q763&lt;&gt;0,R763&lt;&gt;0,S763&lt;&gt;0,T763&lt;&gt;0),+IF(ABS(O763+Q763)-ABS(P763+R763)&lt;&gt;0,ABS(O763+Q763)-ABS(P763+R763),1),0)</f>
        <v>0</v>
      </c>
      <c r="W763" s="43"/>
      <c r="X763" s="43"/>
      <c r="Y763" s="43"/>
      <c r="Z763" s="43"/>
    </row>
    <row r="764" spans="1:26">
      <c r="A764" s="88">
        <v>7612</v>
      </c>
      <c r="B764" s="1033" t="s">
        <v>68</v>
      </c>
      <c r="C764" s="1033"/>
      <c r="D764" s="1033"/>
      <c r="E764" s="1033"/>
      <c r="F764" s="1033"/>
      <c r="G764" s="1033"/>
      <c r="H764" s="1033"/>
      <c r="I764" s="1033"/>
      <c r="J764" s="1033"/>
      <c r="K764" s="1033"/>
      <c r="L764" s="90"/>
      <c r="M764" s="51"/>
      <c r="N764" s="113">
        <f t="shared" si="67"/>
        <v>7612</v>
      </c>
      <c r="O764" s="575">
        <v>0</v>
      </c>
      <c r="P764" s="582">
        <v>0</v>
      </c>
      <c r="Q764" s="589">
        <v>0</v>
      </c>
      <c r="R764" s="576">
        <v>0</v>
      </c>
      <c r="S764" s="583">
        <f t="shared" si="68"/>
        <v>0</v>
      </c>
      <c r="T764" s="580">
        <f t="shared" si="69"/>
        <v>0</v>
      </c>
      <c r="U764" s="51"/>
      <c r="V764" s="2119"/>
      <c r="W764" s="43"/>
      <c r="X764" s="43"/>
      <c r="Y764" s="43"/>
      <c r="Z764" s="43"/>
    </row>
    <row r="765" spans="1:26" ht="15.75" customHeight="1">
      <c r="A765" s="88">
        <v>7613</v>
      </c>
      <c r="B765" s="1042" t="s">
        <v>69</v>
      </c>
      <c r="C765" s="1051"/>
      <c r="D765" s="1051"/>
      <c r="E765" s="1051"/>
      <c r="F765" s="1051"/>
      <c r="G765" s="1051"/>
      <c r="H765" s="1051"/>
      <c r="I765" s="1051"/>
      <c r="J765" s="1051"/>
      <c r="K765" s="1051"/>
      <c r="L765" s="90"/>
      <c r="M765" s="51"/>
      <c r="N765" s="113">
        <f t="shared" si="67"/>
        <v>7613</v>
      </c>
      <c r="O765" s="575">
        <v>0</v>
      </c>
      <c r="P765" s="582">
        <v>0</v>
      </c>
      <c r="Q765" s="589">
        <v>0</v>
      </c>
      <c r="R765" s="576">
        <v>0</v>
      </c>
      <c r="S765" s="583">
        <f>+IF(ABS(+O765+Q765)&gt;=ABS(P765+R765),+O765-P765+Q765-R765,0)</f>
        <v>0</v>
      </c>
      <c r="T765" s="580">
        <f t="shared" si="69"/>
        <v>0</v>
      </c>
      <c r="U765" s="51"/>
      <c r="V765" s="2119"/>
      <c r="W765" s="43"/>
      <c r="X765" s="43"/>
      <c r="Y765" s="43"/>
      <c r="Z765" s="43"/>
    </row>
    <row r="766" spans="1:26" ht="15.75" customHeight="1">
      <c r="A766" s="88">
        <v>7614</v>
      </c>
      <c r="B766" s="1042" t="s">
        <v>70</v>
      </c>
      <c r="C766" s="1051"/>
      <c r="D766" s="1051"/>
      <c r="E766" s="1051"/>
      <c r="F766" s="1051"/>
      <c r="G766" s="1051"/>
      <c r="H766" s="1051"/>
      <c r="I766" s="1051"/>
      <c r="J766" s="1051"/>
      <c r="K766" s="1051"/>
      <c r="L766" s="90"/>
      <c r="M766" s="51"/>
      <c r="N766" s="113">
        <f t="shared" si="67"/>
        <v>7614</v>
      </c>
      <c r="O766" s="575">
        <v>0</v>
      </c>
      <c r="P766" s="582">
        <v>0</v>
      </c>
      <c r="Q766" s="589"/>
      <c r="R766" s="576"/>
      <c r="S766" s="583">
        <f>+IF(ABS(+O766+Q766)&gt;=ABS(P766+R766),+O766-P766+Q766-R766,0)</f>
        <v>0</v>
      </c>
      <c r="T766" s="580">
        <f t="shared" si="69"/>
        <v>0</v>
      </c>
      <c r="U766" s="51"/>
      <c r="V766" s="2119"/>
      <c r="W766" s="43"/>
      <c r="X766" s="43"/>
      <c r="Y766" s="43"/>
      <c r="Z766" s="43"/>
    </row>
    <row r="767" spans="1:26" ht="15.75" customHeight="1">
      <c r="A767" s="88">
        <v>7615</v>
      </c>
      <c r="B767" s="1042" t="s">
        <v>71</v>
      </c>
      <c r="C767" s="1051"/>
      <c r="D767" s="1051"/>
      <c r="E767" s="1051"/>
      <c r="F767" s="1051"/>
      <c r="G767" s="1051"/>
      <c r="H767" s="1051"/>
      <c r="I767" s="1051"/>
      <c r="J767" s="1051"/>
      <c r="K767" s="1051"/>
      <c r="L767" s="90"/>
      <c r="M767" s="51"/>
      <c r="N767" s="113">
        <f t="shared" si="67"/>
        <v>7615</v>
      </c>
      <c r="O767" s="575">
        <v>0</v>
      </c>
      <c r="P767" s="582">
        <v>0</v>
      </c>
      <c r="Q767" s="589"/>
      <c r="R767" s="576"/>
      <c r="S767" s="583">
        <f>+IF(ABS(+O767+Q767)&gt;=ABS(P767+R767),+O767-P767+Q767-R767,0)</f>
        <v>0</v>
      </c>
      <c r="T767" s="580">
        <f t="shared" si="69"/>
        <v>0</v>
      </c>
      <c r="U767" s="51"/>
      <c r="V767" s="2119"/>
      <c r="W767" s="43"/>
      <c r="X767" s="43"/>
      <c r="Y767" s="43"/>
      <c r="Z767" s="43"/>
    </row>
    <row r="768" spans="1:26">
      <c r="A768" s="88">
        <v>7617</v>
      </c>
      <c r="B768" s="1033" t="s">
        <v>72</v>
      </c>
      <c r="C768" s="1033"/>
      <c r="D768" s="1033"/>
      <c r="E768" s="1033"/>
      <c r="F768" s="1033"/>
      <c r="G768" s="1033"/>
      <c r="H768" s="1033"/>
      <c r="I768" s="1033"/>
      <c r="J768" s="1033"/>
      <c r="K768" s="1033"/>
      <c r="L768" s="90"/>
      <c r="M768" s="51"/>
      <c r="N768" s="113">
        <f t="shared" si="67"/>
        <v>7617</v>
      </c>
      <c r="O768" s="575">
        <v>0</v>
      </c>
      <c r="P768" s="582">
        <v>0</v>
      </c>
      <c r="Q768" s="589">
        <v>0</v>
      </c>
      <c r="R768" s="576">
        <v>0</v>
      </c>
      <c r="S768" s="583">
        <f t="shared" ref="S768:S828" si="70">+IF(ABS(+O768+Q768)&gt;=ABS(P768+R768),+O768-P768+Q768-R768,0)</f>
        <v>0</v>
      </c>
      <c r="T768" s="580">
        <f t="shared" si="69"/>
        <v>0</v>
      </c>
      <c r="U768" s="51"/>
      <c r="V768" s="2119"/>
      <c r="W768" s="43"/>
      <c r="X768" s="43"/>
      <c r="Y768" s="43"/>
      <c r="Z768" s="43"/>
    </row>
    <row r="769" spans="1:26">
      <c r="A769" s="88">
        <v>7618</v>
      </c>
      <c r="B769" s="1033" t="s">
        <v>73</v>
      </c>
      <c r="C769" s="1033"/>
      <c r="D769" s="1033"/>
      <c r="E769" s="1033"/>
      <c r="F769" s="1033"/>
      <c r="G769" s="1033"/>
      <c r="H769" s="1033"/>
      <c r="I769" s="1033"/>
      <c r="J769" s="1033"/>
      <c r="K769" s="1033"/>
      <c r="L769" s="90"/>
      <c r="M769" s="51"/>
      <c r="N769" s="113">
        <f t="shared" si="67"/>
        <v>7618</v>
      </c>
      <c r="O769" s="575">
        <v>0</v>
      </c>
      <c r="P769" s="582">
        <v>0</v>
      </c>
      <c r="Q769" s="589"/>
      <c r="R769" s="576"/>
      <c r="S769" s="583">
        <f t="shared" si="70"/>
        <v>0</v>
      </c>
      <c r="T769" s="580">
        <f t="shared" si="69"/>
        <v>0</v>
      </c>
      <c r="U769" s="51"/>
      <c r="V769" s="2119"/>
      <c r="W769" s="43"/>
      <c r="X769" s="43"/>
      <c r="Y769" s="43"/>
      <c r="Z769" s="43"/>
    </row>
    <row r="770" spans="1:26">
      <c r="A770" s="88">
        <v>7642</v>
      </c>
      <c r="B770" s="1033" t="s">
        <v>74</v>
      </c>
      <c r="C770" s="1033"/>
      <c r="D770" s="1033"/>
      <c r="E770" s="1033"/>
      <c r="F770" s="1033"/>
      <c r="G770" s="1033"/>
      <c r="H770" s="1033"/>
      <c r="I770" s="1033"/>
      <c r="J770" s="1033"/>
      <c r="K770" s="1033"/>
      <c r="L770" s="90"/>
      <c r="M770" s="51"/>
      <c r="N770" s="113">
        <f t="shared" si="67"/>
        <v>7642</v>
      </c>
      <c r="O770" s="575">
        <v>0</v>
      </c>
      <c r="P770" s="582">
        <v>0</v>
      </c>
      <c r="Q770" s="589"/>
      <c r="R770" s="576"/>
      <c r="S770" s="583">
        <f t="shared" si="70"/>
        <v>0</v>
      </c>
      <c r="T770" s="580">
        <f t="shared" si="69"/>
        <v>0</v>
      </c>
      <c r="U770" s="51"/>
      <c r="V770" s="2119"/>
      <c r="W770" s="43"/>
      <c r="X770" s="43"/>
      <c r="Y770" s="43"/>
      <c r="Z770" s="43"/>
    </row>
    <row r="771" spans="1:26" ht="15.75" customHeight="1">
      <c r="A771" s="88">
        <v>7643</v>
      </c>
      <c r="B771" s="1033" t="s">
        <v>75</v>
      </c>
      <c r="C771" s="1033"/>
      <c r="D771" s="1033"/>
      <c r="E771" s="1033"/>
      <c r="F771" s="1033"/>
      <c r="G771" s="1033"/>
      <c r="H771" s="1033"/>
      <c r="I771" s="1033"/>
      <c r="J771" s="1033"/>
      <c r="K771" s="1033"/>
      <c r="L771" s="90"/>
      <c r="M771" s="51"/>
      <c r="N771" s="113">
        <f t="shared" si="67"/>
        <v>7643</v>
      </c>
      <c r="O771" s="575">
        <v>0</v>
      </c>
      <c r="P771" s="582">
        <v>0</v>
      </c>
      <c r="Q771" s="589">
        <v>0</v>
      </c>
      <c r="R771" s="576">
        <v>0</v>
      </c>
      <c r="S771" s="583">
        <f t="shared" si="70"/>
        <v>0</v>
      </c>
      <c r="T771" s="580">
        <f t="shared" si="69"/>
        <v>0</v>
      </c>
      <c r="U771" s="51"/>
      <c r="V771" s="2119"/>
      <c r="W771" s="43"/>
      <c r="X771" s="43"/>
      <c r="Y771" s="43"/>
      <c r="Z771" s="43"/>
    </row>
    <row r="772" spans="1:26" ht="15.75" customHeight="1">
      <c r="A772" s="88">
        <v>7644</v>
      </c>
      <c r="B772" s="1033" t="s">
        <v>76</v>
      </c>
      <c r="C772" s="1033"/>
      <c r="D772" s="1033"/>
      <c r="E772" s="1033"/>
      <c r="F772" s="1033"/>
      <c r="G772" s="1033"/>
      <c r="H772" s="1033"/>
      <c r="I772" s="1033"/>
      <c r="J772" s="1033"/>
      <c r="K772" s="1033"/>
      <c r="L772" s="90"/>
      <c r="M772" s="51"/>
      <c r="N772" s="113">
        <f t="shared" si="67"/>
        <v>7644</v>
      </c>
      <c r="O772" s="575">
        <v>0</v>
      </c>
      <c r="P772" s="582">
        <v>0</v>
      </c>
      <c r="Q772" s="589"/>
      <c r="R772" s="576"/>
      <c r="S772" s="583">
        <f t="shared" si="70"/>
        <v>0</v>
      </c>
      <c r="T772" s="580">
        <f t="shared" si="69"/>
        <v>0</v>
      </c>
      <c r="U772" s="51"/>
      <c r="V772" s="2119"/>
      <c r="W772" s="43"/>
      <c r="X772" s="43"/>
      <c r="Y772" s="43"/>
      <c r="Z772" s="43"/>
    </row>
    <row r="773" spans="1:26" ht="15.75" customHeight="1">
      <c r="A773" s="88">
        <v>7645</v>
      </c>
      <c r="B773" s="1033" t="s">
        <v>77</v>
      </c>
      <c r="C773" s="1033"/>
      <c r="D773" s="1033"/>
      <c r="E773" s="1033"/>
      <c r="F773" s="1033"/>
      <c r="G773" s="1033"/>
      <c r="H773" s="1033"/>
      <c r="I773" s="1033"/>
      <c r="J773" s="1033"/>
      <c r="K773" s="1033"/>
      <c r="L773" s="90"/>
      <c r="M773" s="51"/>
      <c r="N773" s="113">
        <f t="shared" si="67"/>
        <v>7645</v>
      </c>
      <c r="O773" s="575">
        <v>0</v>
      </c>
      <c r="P773" s="582">
        <v>0</v>
      </c>
      <c r="Q773" s="589"/>
      <c r="R773" s="576"/>
      <c r="S773" s="583">
        <f t="shared" si="70"/>
        <v>0</v>
      </c>
      <c r="T773" s="580">
        <f t="shared" si="69"/>
        <v>0</v>
      </c>
      <c r="U773" s="51"/>
      <c r="V773" s="2119"/>
      <c r="W773" s="43"/>
      <c r="X773" s="43"/>
      <c r="Y773" s="43"/>
      <c r="Z773" s="43"/>
    </row>
    <row r="774" spans="1:26" ht="15.75" customHeight="1">
      <c r="A774" s="88">
        <v>7647</v>
      </c>
      <c r="B774" s="1033" t="s">
        <v>78</v>
      </c>
      <c r="C774" s="1033"/>
      <c r="D774" s="1033"/>
      <c r="E774" s="1033"/>
      <c r="F774" s="1033"/>
      <c r="G774" s="1033"/>
      <c r="H774" s="1033"/>
      <c r="I774" s="1033"/>
      <c r="J774" s="1033"/>
      <c r="K774" s="1033"/>
      <c r="L774" s="90"/>
      <c r="M774" s="51"/>
      <c r="N774" s="113">
        <f t="shared" si="67"/>
        <v>7647</v>
      </c>
      <c r="O774" s="575">
        <v>0</v>
      </c>
      <c r="P774" s="582">
        <v>0</v>
      </c>
      <c r="Q774" s="589"/>
      <c r="R774" s="576"/>
      <c r="S774" s="583">
        <f t="shared" si="70"/>
        <v>0</v>
      </c>
      <c r="T774" s="580">
        <f t="shared" si="69"/>
        <v>0</v>
      </c>
      <c r="U774" s="51"/>
      <c r="V774" s="2119"/>
      <c r="W774" s="43"/>
      <c r="X774" s="43"/>
      <c r="Y774" s="43"/>
      <c r="Z774" s="43"/>
    </row>
    <row r="775" spans="1:26" ht="15.75" customHeight="1">
      <c r="A775" s="88">
        <v>7648</v>
      </c>
      <c r="B775" s="1033" t="s">
        <v>79</v>
      </c>
      <c r="C775" s="1033"/>
      <c r="D775" s="1033"/>
      <c r="E775" s="1033"/>
      <c r="F775" s="1033"/>
      <c r="G775" s="1033"/>
      <c r="H775" s="1033"/>
      <c r="I775" s="1033"/>
      <c r="J775" s="1033"/>
      <c r="K775" s="1033"/>
      <c r="L775" s="90"/>
      <c r="M775" s="51"/>
      <c r="N775" s="113">
        <f t="shared" si="67"/>
        <v>7648</v>
      </c>
      <c r="O775" s="575">
        <v>0</v>
      </c>
      <c r="P775" s="582">
        <v>0</v>
      </c>
      <c r="Q775" s="589"/>
      <c r="R775" s="576"/>
      <c r="S775" s="583">
        <f t="shared" si="70"/>
        <v>0</v>
      </c>
      <c r="T775" s="580">
        <f t="shared" si="69"/>
        <v>0</v>
      </c>
      <c r="U775" s="51"/>
      <c r="V775" s="2119"/>
      <c r="W775" s="43"/>
      <c r="X775" s="43"/>
      <c r="Y775" s="43"/>
      <c r="Z775" s="43"/>
    </row>
    <row r="776" spans="1:26" ht="15.75" customHeight="1">
      <c r="A776" s="88">
        <v>7652</v>
      </c>
      <c r="B776" s="1033" t="s">
        <v>80</v>
      </c>
      <c r="C776" s="1033"/>
      <c r="D776" s="1033"/>
      <c r="E776" s="1033"/>
      <c r="F776" s="1033"/>
      <c r="G776" s="1033"/>
      <c r="H776" s="1033"/>
      <c r="I776" s="1033"/>
      <c r="J776" s="1033"/>
      <c r="K776" s="1033"/>
      <c r="L776" s="90"/>
      <c r="M776" s="51"/>
      <c r="N776" s="113">
        <f t="shared" si="67"/>
        <v>7652</v>
      </c>
      <c r="O776" s="575">
        <v>0</v>
      </c>
      <c r="P776" s="582">
        <v>0</v>
      </c>
      <c r="Q776" s="589"/>
      <c r="R776" s="576"/>
      <c r="S776" s="583">
        <f t="shared" si="70"/>
        <v>0</v>
      </c>
      <c r="T776" s="580">
        <f t="shared" si="69"/>
        <v>0</v>
      </c>
      <c r="U776" s="51"/>
      <c r="V776" s="2119"/>
      <c r="W776" s="43"/>
      <c r="X776" s="43"/>
      <c r="Y776" s="43"/>
      <c r="Z776" s="43"/>
    </row>
    <row r="777" spans="1:26" ht="15.75" customHeight="1">
      <c r="A777" s="88">
        <v>7653</v>
      </c>
      <c r="B777" s="1033" t="s">
        <v>81</v>
      </c>
      <c r="C777" s="1033"/>
      <c r="D777" s="1033"/>
      <c r="E777" s="1033"/>
      <c r="F777" s="1033"/>
      <c r="G777" s="1033"/>
      <c r="H777" s="1033"/>
      <c r="I777" s="1033"/>
      <c r="J777" s="1033"/>
      <c r="K777" s="1033"/>
      <c r="L777" s="90"/>
      <c r="M777" s="51"/>
      <c r="N777" s="113">
        <f t="shared" si="67"/>
        <v>7653</v>
      </c>
      <c r="O777" s="575">
        <v>0</v>
      </c>
      <c r="P777" s="582">
        <v>0</v>
      </c>
      <c r="Q777" s="589"/>
      <c r="R777" s="576"/>
      <c r="S777" s="583">
        <f t="shared" si="70"/>
        <v>0</v>
      </c>
      <c r="T777" s="580">
        <f t="shared" si="69"/>
        <v>0</v>
      </c>
      <c r="U777" s="51"/>
      <c r="V777" s="2119"/>
      <c r="W777" s="43"/>
      <c r="X777" s="43"/>
      <c r="Y777" s="43"/>
      <c r="Z777" s="43"/>
    </row>
    <row r="778" spans="1:26" ht="15.75" customHeight="1">
      <c r="A778" s="88">
        <v>7654</v>
      </c>
      <c r="B778" s="1033" t="s">
        <v>82</v>
      </c>
      <c r="C778" s="1033"/>
      <c r="D778" s="1033"/>
      <c r="E778" s="1033"/>
      <c r="F778" s="1033"/>
      <c r="G778" s="1033"/>
      <c r="H778" s="1033"/>
      <c r="I778" s="1033"/>
      <c r="J778" s="1033"/>
      <c r="K778" s="1033"/>
      <c r="L778" s="90"/>
      <c r="M778" s="51"/>
      <c r="N778" s="113">
        <f t="shared" si="67"/>
        <v>7654</v>
      </c>
      <c r="O778" s="575">
        <v>0</v>
      </c>
      <c r="P778" s="582">
        <v>0</v>
      </c>
      <c r="Q778" s="589"/>
      <c r="R778" s="576"/>
      <c r="S778" s="583">
        <f t="shared" si="70"/>
        <v>0</v>
      </c>
      <c r="T778" s="580">
        <f t="shared" si="69"/>
        <v>0</v>
      </c>
      <c r="U778" s="51"/>
      <c r="V778" s="2119"/>
      <c r="W778" s="43"/>
      <c r="X778" s="43"/>
      <c r="Y778" s="43"/>
      <c r="Z778" s="43"/>
    </row>
    <row r="779" spans="1:26" ht="15.75" customHeight="1">
      <c r="A779" s="88">
        <v>7655</v>
      </c>
      <c r="B779" s="1033" t="s">
        <v>83</v>
      </c>
      <c r="C779" s="1033"/>
      <c r="D779" s="1033"/>
      <c r="E779" s="1033"/>
      <c r="F779" s="1033"/>
      <c r="G779" s="1033"/>
      <c r="H779" s="1033"/>
      <c r="I779" s="1033"/>
      <c r="J779" s="1033"/>
      <c r="K779" s="1033"/>
      <c r="L779" s="90"/>
      <c r="M779" s="51"/>
      <c r="N779" s="113">
        <f t="shared" si="67"/>
        <v>7655</v>
      </c>
      <c r="O779" s="575">
        <v>0</v>
      </c>
      <c r="P779" s="582">
        <v>0</v>
      </c>
      <c r="Q779" s="589"/>
      <c r="R779" s="576"/>
      <c r="S779" s="583">
        <f t="shared" si="70"/>
        <v>0</v>
      </c>
      <c r="T779" s="580">
        <f t="shared" si="69"/>
        <v>0</v>
      </c>
      <c r="U779" s="51"/>
      <c r="V779" s="2119"/>
      <c r="W779" s="43"/>
      <c r="X779" s="43"/>
      <c r="Y779" s="43"/>
      <c r="Z779" s="43"/>
    </row>
    <row r="780" spans="1:26" ht="15.75" customHeight="1">
      <c r="A780" s="88">
        <v>7657</v>
      </c>
      <c r="B780" s="1033" t="s">
        <v>84</v>
      </c>
      <c r="C780" s="1033"/>
      <c r="D780" s="1033"/>
      <c r="E780" s="1033"/>
      <c r="F780" s="1033"/>
      <c r="G780" s="1033"/>
      <c r="H780" s="1033"/>
      <c r="I780" s="1033"/>
      <c r="J780" s="1033"/>
      <c r="K780" s="1033"/>
      <c r="L780" s="90"/>
      <c r="M780" s="51"/>
      <c r="N780" s="113">
        <f t="shared" si="67"/>
        <v>7657</v>
      </c>
      <c r="O780" s="575">
        <v>0</v>
      </c>
      <c r="P780" s="582">
        <v>0</v>
      </c>
      <c r="Q780" s="589"/>
      <c r="R780" s="576"/>
      <c r="S780" s="583">
        <f t="shared" si="70"/>
        <v>0</v>
      </c>
      <c r="T780" s="580">
        <f t="shared" si="69"/>
        <v>0</v>
      </c>
      <c r="U780" s="51"/>
      <c r="V780" s="2119"/>
      <c r="W780" s="43"/>
      <c r="X780" s="43"/>
      <c r="Y780" s="43"/>
      <c r="Z780" s="43"/>
    </row>
    <row r="781" spans="1:26" ht="15.75" customHeight="1">
      <c r="A781" s="88">
        <v>7658</v>
      </c>
      <c r="B781" s="1033" t="s">
        <v>85</v>
      </c>
      <c r="C781" s="1033"/>
      <c r="D781" s="1033"/>
      <c r="E781" s="1033"/>
      <c r="F781" s="1033"/>
      <c r="G781" s="1033"/>
      <c r="H781" s="1033"/>
      <c r="I781" s="1033"/>
      <c r="J781" s="1033"/>
      <c r="K781" s="1033"/>
      <c r="L781" s="90"/>
      <c r="M781" s="51"/>
      <c r="N781" s="113">
        <f t="shared" si="67"/>
        <v>7658</v>
      </c>
      <c r="O781" s="575">
        <v>0</v>
      </c>
      <c r="P781" s="582">
        <v>0</v>
      </c>
      <c r="Q781" s="589"/>
      <c r="R781" s="576"/>
      <c r="S781" s="583">
        <f t="shared" si="70"/>
        <v>0</v>
      </c>
      <c r="T781" s="580">
        <f t="shared" si="69"/>
        <v>0</v>
      </c>
      <c r="U781" s="51"/>
      <c r="V781" s="2119"/>
      <c r="W781" s="43"/>
      <c r="X781" s="43"/>
      <c r="Y781" s="43"/>
      <c r="Z781" s="43"/>
    </row>
    <row r="782" spans="1:26" ht="15.75" customHeight="1">
      <c r="A782" s="88">
        <v>7672</v>
      </c>
      <c r="B782" s="1033" t="s">
        <v>86</v>
      </c>
      <c r="C782" s="1033"/>
      <c r="D782" s="1033"/>
      <c r="E782" s="1033"/>
      <c r="F782" s="1033"/>
      <c r="G782" s="1033"/>
      <c r="H782" s="1033"/>
      <c r="I782" s="1033"/>
      <c r="J782" s="1033"/>
      <c r="K782" s="1033"/>
      <c r="L782" s="90"/>
      <c r="M782" s="51"/>
      <c r="N782" s="113">
        <f t="shared" si="67"/>
        <v>7672</v>
      </c>
      <c r="O782" s="575">
        <v>0</v>
      </c>
      <c r="P782" s="582">
        <v>0</v>
      </c>
      <c r="Q782" s="589"/>
      <c r="R782" s="576"/>
      <c r="S782" s="583">
        <f t="shared" si="70"/>
        <v>0</v>
      </c>
      <c r="T782" s="580">
        <f t="shared" si="69"/>
        <v>0</v>
      </c>
      <c r="U782" s="51"/>
      <c r="V782" s="2119"/>
      <c r="W782" s="43"/>
      <c r="X782" s="43"/>
      <c r="Y782" s="43"/>
      <c r="Z782" s="43"/>
    </row>
    <row r="783" spans="1:26" ht="15.75" customHeight="1">
      <c r="A783" s="88">
        <v>7673</v>
      </c>
      <c r="B783" s="1033" t="s">
        <v>813</v>
      </c>
      <c r="C783" s="1033"/>
      <c r="D783" s="1033"/>
      <c r="E783" s="1033"/>
      <c r="F783" s="1033"/>
      <c r="G783" s="1033"/>
      <c r="H783" s="1033"/>
      <c r="I783" s="1033"/>
      <c r="J783" s="1033"/>
      <c r="K783" s="1033"/>
      <c r="L783" s="90"/>
      <c r="M783" s="51"/>
      <c r="N783" s="113">
        <f t="shared" si="67"/>
        <v>7673</v>
      </c>
      <c r="O783" s="575">
        <v>0</v>
      </c>
      <c r="P783" s="582">
        <v>0</v>
      </c>
      <c r="Q783" s="589"/>
      <c r="R783" s="576"/>
      <c r="S783" s="583">
        <f t="shared" si="70"/>
        <v>0</v>
      </c>
      <c r="T783" s="580">
        <f t="shared" si="69"/>
        <v>0</v>
      </c>
      <c r="U783" s="51"/>
      <c r="V783" s="2119"/>
      <c r="W783" s="43"/>
      <c r="X783" s="43"/>
      <c r="Y783" s="43"/>
      <c r="Z783" s="43"/>
    </row>
    <row r="784" spans="1:26" ht="15.75" customHeight="1">
      <c r="A784" s="88">
        <v>7674</v>
      </c>
      <c r="B784" s="1033" t="s">
        <v>814</v>
      </c>
      <c r="C784" s="1033"/>
      <c r="D784" s="1033"/>
      <c r="E784" s="1033"/>
      <c r="F784" s="1033"/>
      <c r="G784" s="1033"/>
      <c r="H784" s="1033"/>
      <c r="I784" s="1033"/>
      <c r="J784" s="1033"/>
      <c r="K784" s="1033"/>
      <c r="L784" s="90"/>
      <c r="M784" s="51"/>
      <c r="N784" s="113">
        <f t="shared" si="67"/>
        <v>7674</v>
      </c>
      <c r="O784" s="575">
        <v>0</v>
      </c>
      <c r="P784" s="582">
        <v>0</v>
      </c>
      <c r="Q784" s="589"/>
      <c r="R784" s="576"/>
      <c r="S784" s="583">
        <f t="shared" si="70"/>
        <v>0</v>
      </c>
      <c r="T784" s="580">
        <f t="shared" si="69"/>
        <v>0</v>
      </c>
      <c r="U784" s="51"/>
      <c r="V784" s="2119"/>
      <c r="W784" s="43"/>
      <c r="X784" s="43"/>
      <c r="Y784" s="43"/>
      <c r="Z784" s="43"/>
    </row>
    <row r="785" spans="1:26" ht="15.75" customHeight="1">
      <c r="A785" s="88">
        <v>7675</v>
      </c>
      <c r="B785" s="1033" t="s">
        <v>815</v>
      </c>
      <c r="C785" s="1033"/>
      <c r="D785" s="1033"/>
      <c r="E785" s="1033"/>
      <c r="F785" s="1033"/>
      <c r="G785" s="1033"/>
      <c r="H785" s="1033"/>
      <c r="I785" s="1033"/>
      <c r="J785" s="1033"/>
      <c r="K785" s="1033"/>
      <c r="L785" s="90"/>
      <c r="M785" s="51"/>
      <c r="N785" s="113">
        <f t="shared" si="67"/>
        <v>7675</v>
      </c>
      <c r="O785" s="575">
        <v>0</v>
      </c>
      <c r="P785" s="582">
        <v>0</v>
      </c>
      <c r="Q785" s="589"/>
      <c r="R785" s="576"/>
      <c r="S785" s="583">
        <f t="shared" si="70"/>
        <v>0</v>
      </c>
      <c r="T785" s="580">
        <f t="shared" si="69"/>
        <v>0</v>
      </c>
      <c r="U785" s="51"/>
      <c r="V785" s="2119"/>
      <c r="W785" s="43"/>
      <c r="X785" s="43"/>
      <c r="Y785" s="43"/>
      <c r="Z785" s="43"/>
    </row>
    <row r="786" spans="1:26" ht="15.75" customHeight="1">
      <c r="A786" s="88">
        <v>7677</v>
      </c>
      <c r="B786" s="1033" t="s">
        <v>816</v>
      </c>
      <c r="C786" s="1033"/>
      <c r="D786" s="1033"/>
      <c r="E786" s="1033"/>
      <c r="F786" s="1033"/>
      <c r="G786" s="1033"/>
      <c r="H786" s="1033"/>
      <c r="I786" s="1033"/>
      <c r="J786" s="1033"/>
      <c r="K786" s="1033"/>
      <c r="L786" s="90"/>
      <c r="M786" s="51"/>
      <c r="N786" s="113">
        <f t="shared" si="67"/>
        <v>7677</v>
      </c>
      <c r="O786" s="575">
        <v>0</v>
      </c>
      <c r="P786" s="582">
        <v>0</v>
      </c>
      <c r="Q786" s="589"/>
      <c r="R786" s="576"/>
      <c r="S786" s="583">
        <f t="shared" si="70"/>
        <v>0</v>
      </c>
      <c r="T786" s="580">
        <f t="shared" si="69"/>
        <v>0</v>
      </c>
      <c r="U786" s="51"/>
      <c r="V786" s="2119"/>
      <c r="W786" s="43"/>
      <c r="X786" s="43"/>
      <c r="Y786" s="43"/>
      <c r="Z786" s="43"/>
    </row>
    <row r="787" spans="1:26" ht="15.75" customHeight="1">
      <c r="A787" s="88">
        <v>7678</v>
      </c>
      <c r="B787" s="1033" t="s">
        <v>817</v>
      </c>
      <c r="C787" s="1033"/>
      <c r="D787" s="1033"/>
      <c r="E787" s="1033"/>
      <c r="F787" s="1033"/>
      <c r="G787" s="1033"/>
      <c r="H787" s="1033"/>
      <c r="I787" s="1033"/>
      <c r="J787" s="1033"/>
      <c r="K787" s="1033"/>
      <c r="L787" s="90"/>
      <c r="M787" s="51"/>
      <c r="N787" s="113">
        <f t="shared" si="67"/>
        <v>7678</v>
      </c>
      <c r="O787" s="575">
        <v>0</v>
      </c>
      <c r="P787" s="582">
        <v>0</v>
      </c>
      <c r="Q787" s="589"/>
      <c r="R787" s="576"/>
      <c r="S787" s="583">
        <f t="shared" si="70"/>
        <v>0</v>
      </c>
      <c r="T787" s="580">
        <f t="shared" si="69"/>
        <v>0</v>
      </c>
      <c r="U787" s="51"/>
      <c r="V787" s="2119"/>
      <c r="W787" s="43"/>
      <c r="X787" s="43"/>
      <c r="Y787" s="43"/>
      <c r="Z787" s="43"/>
    </row>
    <row r="788" spans="1:26">
      <c r="A788" s="88">
        <v>7682</v>
      </c>
      <c r="B788" s="1042" t="s">
        <v>818</v>
      </c>
      <c r="C788" s="1033"/>
      <c r="D788" s="1033"/>
      <c r="E788" s="1033"/>
      <c r="F788" s="1033"/>
      <c r="G788" s="1033"/>
      <c r="H788" s="1033"/>
      <c r="I788" s="1033"/>
      <c r="J788" s="1033"/>
      <c r="K788" s="1033"/>
      <c r="L788" s="90"/>
      <c r="M788" s="51"/>
      <c r="N788" s="113">
        <f t="shared" si="67"/>
        <v>7682</v>
      </c>
      <c r="O788" s="575">
        <v>0</v>
      </c>
      <c r="P788" s="582">
        <v>0</v>
      </c>
      <c r="Q788" s="589"/>
      <c r="R788" s="576"/>
      <c r="S788" s="583">
        <f t="shared" si="70"/>
        <v>0</v>
      </c>
      <c r="T788" s="580">
        <f t="shared" si="69"/>
        <v>0</v>
      </c>
      <c r="U788" s="51"/>
      <c r="V788" s="2119"/>
      <c r="W788" s="43"/>
      <c r="X788" s="43"/>
      <c r="Y788" s="43"/>
      <c r="Z788" s="43"/>
    </row>
    <row r="789" spans="1:26">
      <c r="A789" s="88">
        <v>7684</v>
      </c>
      <c r="B789" s="1042" t="s">
        <v>819</v>
      </c>
      <c r="C789" s="1033"/>
      <c r="D789" s="1033"/>
      <c r="E789" s="1033"/>
      <c r="F789" s="1033"/>
      <c r="G789" s="1033"/>
      <c r="H789" s="1033"/>
      <c r="I789" s="1033"/>
      <c r="J789" s="1033"/>
      <c r="K789" s="1033"/>
      <c r="L789" s="90"/>
      <c r="M789" s="51"/>
      <c r="N789" s="113">
        <f t="shared" si="67"/>
        <v>7684</v>
      </c>
      <c r="O789" s="575">
        <v>0</v>
      </c>
      <c r="P789" s="582">
        <v>0</v>
      </c>
      <c r="Q789" s="589">
        <v>0</v>
      </c>
      <c r="R789" s="576">
        <v>0</v>
      </c>
      <c r="S789" s="583">
        <f t="shared" si="70"/>
        <v>0</v>
      </c>
      <c r="T789" s="580">
        <f t="shared" si="69"/>
        <v>0</v>
      </c>
      <c r="U789" s="51"/>
      <c r="V789" s="2119"/>
      <c r="W789" s="43"/>
      <c r="X789" s="43"/>
      <c r="Y789" s="43"/>
      <c r="Z789" s="43"/>
    </row>
    <row r="790" spans="1:26" ht="15.75" customHeight="1">
      <c r="A790" s="88">
        <v>7685</v>
      </c>
      <c r="B790" s="1042" t="s">
        <v>820</v>
      </c>
      <c r="C790" s="1033"/>
      <c r="D790" s="1033"/>
      <c r="E790" s="1033"/>
      <c r="F790" s="1033"/>
      <c r="G790" s="1033"/>
      <c r="H790" s="1033"/>
      <c r="I790" s="1033"/>
      <c r="J790" s="1033"/>
      <c r="K790" s="1033"/>
      <c r="L790" s="90"/>
      <c r="M790" s="51"/>
      <c r="N790" s="113">
        <f t="shared" si="67"/>
        <v>7685</v>
      </c>
      <c r="O790" s="575">
        <v>0</v>
      </c>
      <c r="P790" s="582">
        <v>0</v>
      </c>
      <c r="Q790" s="589"/>
      <c r="R790" s="576"/>
      <c r="S790" s="583">
        <f t="shared" si="70"/>
        <v>0</v>
      </c>
      <c r="T790" s="580">
        <f t="shared" si="69"/>
        <v>0</v>
      </c>
      <c r="U790" s="51"/>
      <c r="V790" s="2119"/>
      <c r="W790" s="43"/>
      <c r="X790" s="43"/>
      <c r="Y790" s="43"/>
      <c r="Z790" s="43"/>
    </row>
    <row r="791" spans="1:26" ht="15.75" customHeight="1">
      <c r="A791" s="88">
        <v>7689</v>
      </c>
      <c r="B791" s="1042" t="s">
        <v>821</v>
      </c>
      <c r="C791" s="1033"/>
      <c r="D791" s="1033"/>
      <c r="E791" s="1033"/>
      <c r="F791" s="1033"/>
      <c r="G791" s="1033"/>
      <c r="H791" s="1033"/>
      <c r="I791" s="1033"/>
      <c r="J791" s="1033"/>
      <c r="K791" s="1033"/>
      <c r="L791" s="90"/>
      <c r="M791" s="51"/>
      <c r="N791" s="113">
        <f t="shared" si="67"/>
        <v>7689</v>
      </c>
      <c r="O791" s="575">
        <v>0</v>
      </c>
      <c r="P791" s="582">
        <v>0</v>
      </c>
      <c r="Q791" s="589"/>
      <c r="R791" s="576"/>
      <c r="S791" s="583">
        <f t="shared" si="70"/>
        <v>0</v>
      </c>
      <c r="T791" s="580">
        <f t="shared" si="69"/>
        <v>0</v>
      </c>
      <c r="U791" s="51"/>
      <c r="V791" s="2119"/>
      <c r="W791" s="43"/>
      <c r="X791" s="43"/>
      <c r="Y791" s="43"/>
      <c r="Z791" s="43"/>
    </row>
    <row r="792" spans="1:26">
      <c r="A792" s="88">
        <v>7692</v>
      </c>
      <c r="B792" s="378" t="s">
        <v>822</v>
      </c>
      <c r="C792" s="1033"/>
      <c r="D792" s="1033"/>
      <c r="E792" s="1033"/>
      <c r="F792" s="1033"/>
      <c r="G792" s="1033"/>
      <c r="H792" s="1033"/>
      <c r="I792" s="1033"/>
      <c r="J792" s="1033"/>
      <c r="K792" s="1033"/>
      <c r="L792" s="90"/>
      <c r="M792" s="51"/>
      <c r="N792" s="113">
        <f t="shared" si="67"/>
        <v>7692</v>
      </c>
      <c r="O792" s="575">
        <v>0</v>
      </c>
      <c r="P792" s="582">
        <v>0</v>
      </c>
      <c r="Q792" s="589"/>
      <c r="R792" s="576"/>
      <c r="S792" s="583">
        <f t="shared" si="70"/>
        <v>0</v>
      </c>
      <c r="T792" s="580">
        <f t="shared" si="69"/>
        <v>0</v>
      </c>
      <c r="U792" s="51"/>
      <c r="V792" s="2119"/>
      <c r="W792" s="43"/>
      <c r="X792" s="43"/>
      <c r="Y792" s="43"/>
      <c r="Z792" s="43"/>
    </row>
    <row r="793" spans="1:26" ht="15.75" customHeight="1">
      <c r="A793" s="88">
        <v>7693</v>
      </c>
      <c r="B793" s="1042" t="s">
        <v>823</v>
      </c>
      <c r="C793" s="1033"/>
      <c r="D793" s="1033"/>
      <c r="E793" s="1033"/>
      <c r="F793" s="1033"/>
      <c r="G793" s="1033"/>
      <c r="H793" s="1033"/>
      <c r="I793" s="1033"/>
      <c r="J793" s="1033"/>
      <c r="K793" s="1033"/>
      <c r="L793" s="90"/>
      <c r="M793" s="51"/>
      <c r="N793" s="113">
        <f t="shared" si="67"/>
        <v>7693</v>
      </c>
      <c r="O793" s="575">
        <v>0</v>
      </c>
      <c r="P793" s="582">
        <v>0</v>
      </c>
      <c r="Q793" s="589"/>
      <c r="R793" s="576"/>
      <c r="S793" s="583">
        <f t="shared" si="70"/>
        <v>0</v>
      </c>
      <c r="T793" s="580">
        <f t="shared" si="69"/>
        <v>0</v>
      </c>
      <c r="U793" s="51"/>
      <c r="V793" s="2119"/>
      <c r="W793" s="43"/>
      <c r="X793" s="43"/>
      <c r="Y793" s="43"/>
      <c r="Z793" s="43"/>
    </row>
    <row r="794" spans="1:26" ht="15.75" customHeight="1">
      <c r="A794" s="88">
        <v>7694</v>
      </c>
      <c r="B794" s="1042" t="s">
        <v>824</v>
      </c>
      <c r="C794" s="1033"/>
      <c r="D794" s="1033"/>
      <c r="E794" s="1033"/>
      <c r="F794" s="1033"/>
      <c r="G794" s="1033"/>
      <c r="H794" s="1033"/>
      <c r="I794" s="1033"/>
      <c r="J794" s="1033"/>
      <c r="K794" s="1033"/>
      <c r="L794" s="90"/>
      <c r="M794" s="51"/>
      <c r="N794" s="113">
        <f t="shared" ref="N794:N828" si="71">+A794</f>
        <v>7694</v>
      </c>
      <c r="O794" s="575">
        <v>0</v>
      </c>
      <c r="P794" s="582">
        <v>0</v>
      </c>
      <c r="Q794" s="589"/>
      <c r="R794" s="576"/>
      <c r="S794" s="583">
        <f t="shared" si="70"/>
        <v>0</v>
      </c>
      <c r="T794" s="580">
        <f t="shared" si="69"/>
        <v>0</v>
      </c>
      <c r="U794" s="51"/>
      <c r="V794" s="2119"/>
      <c r="W794" s="43"/>
      <c r="X794" s="43"/>
      <c r="Y794" s="43"/>
      <c r="Z794" s="43"/>
    </row>
    <row r="795" spans="1:26" ht="15.75" customHeight="1">
      <c r="A795" s="88">
        <v>7695</v>
      </c>
      <c r="B795" s="1042" t="s">
        <v>2108</v>
      </c>
      <c r="C795" s="1033"/>
      <c r="D795" s="1033"/>
      <c r="E795" s="1033"/>
      <c r="F795" s="1033"/>
      <c r="G795" s="1033"/>
      <c r="H795" s="1033"/>
      <c r="I795" s="1033"/>
      <c r="J795" s="1033"/>
      <c r="K795" s="1033"/>
      <c r="L795" s="90"/>
      <c r="M795" s="51"/>
      <c r="N795" s="113">
        <f t="shared" si="71"/>
        <v>7695</v>
      </c>
      <c r="O795" s="575">
        <v>0</v>
      </c>
      <c r="P795" s="582">
        <v>0</v>
      </c>
      <c r="Q795" s="589"/>
      <c r="R795" s="576"/>
      <c r="S795" s="583">
        <f t="shared" si="70"/>
        <v>0</v>
      </c>
      <c r="T795" s="580">
        <f t="shared" si="69"/>
        <v>0</v>
      </c>
      <c r="U795" s="51"/>
      <c r="V795" s="2119"/>
      <c r="W795" s="43"/>
      <c r="X795" s="43"/>
      <c r="Y795" s="43"/>
      <c r="Z795" s="43"/>
    </row>
    <row r="796" spans="1:26">
      <c r="A796" s="88">
        <v>7697</v>
      </c>
      <c r="B796" s="378" t="s">
        <v>825</v>
      </c>
      <c r="C796" s="1033"/>
      <c r="D796" s="1033"/>
      <c r="E796" s="1033"/>
      <c r="F796" s="1033"/>
      <c r="G796" s="1033"/>
      <c r="H796" s="1033"/>
      <c r="I796" s="1033"/>
      <c r="J796" s="1033"/>
      <c r="K796" s="1033"/>
      <c r="L796" s="90"/>
      <c r="M796" s="51"/>
      <c r="N796" s="113">
        <f t="shared" si="71"/>
        <v>7697</v>
      </c>
      <c r="O796" s="575">
        <v>0</v>
      </c>
      <c r="P796" s="582">
        <v>0</v>
      </c>
      <c r="Q796" s="589"/>
      <c r="R796" s="576"/>
      <c r="S796" s="583">
        <f t="shared" si="70"/>
        <v>0</v>
      </c>
      <c r="T796" s="580">
        <f t="shared" si="69"/>
        <v>0</v>
      </c>
      <c r="U796" s="51"/>
      <c r="V796" s="2119"/>
      <c r="W796" s="43"/>
      <c r="X796" s="43"/>
      <c r="Y796" s="43"/>
      <c r="Z796" s="43"/>
    </row>
    <row r="797" spans="1:26">
      <c r="A797" s="88">
        <v>7698</v>
      </c>
      <c r="B797" s="378" t="s">
        <v>826</v>
      </c>
      <c r="C797" s="1033"/>
      <c r="D797" s="1033"/>
      <c r="E797" s="1033"/>
      <c r="F797" s="1033"/>
      <c r="G797" s="1033"/>
      <c r="H797" s="1033"/>
      <c r="I797" s="1033"/>
      <c r="J797" s="1033"/>
      <c r="K797" s="1033"/>
      <c r="L797" s="90"/>
      <c r="M797" s="51"/>
      <c r="N797" s="113">
        <f t="shared" si="71"/>
        <v>7698</v>
      </c>
      <c r="O797" s="575">
        <v>0</v>
      </c>
      <c r="P797" s="582">
        <v>0</v>
      </c>
      <c r="Q797" s="589"/>
      <c r="R797" s="576"/>
      <c r="S797" s="583">
        <f t="shared" si="70"/>
        <v>0</v>
      </c>
      <c r="T797" s="580">
        <f t="shared" si="69"/>
        <v>0</v>
      </c>
      <c r="U797" s="51"/>
      <c r="V797" s="2119"/>
      <c r="W797" s="43"/>
      <c r="X797" s="43"/>
      <c r="Y797" s="43"/>
      <c r="Z797" s="43"/>
    </row>
    <row r="798" spans="1:26">
      <c r="A798" s="88">
        <v>7699</v>
      </c>
      <c r="B798" s="1032" t="s">
        <v>827</v>
      </c>
      <c r="C798" s="1033"/>
      <c r="D798" s="1033"/>
      <c r="E798" s="1033"/>
      <c r="F798" s="1033"/>
      <c r="G798" s="1033"/>
      <c r="H798" s="1033"/>
      <c r="I798" s="1033"/>
      <c r="J798" s="1033"/>
      <c r="K798" s="1033"/>
      <c r="L798" s="90"/>
      <c r="M798" s="51"/>
      <c r="N798" s="113">
        <f t="shared" si="71"/>
        <v>7699</v>
      </c>
      <c r="O798" s="575">
        <v>0</v>
      </c>
      <c r="P798" s="582">
        <v>0</v>
      </c>
      <c r="Q798" s="589"/>
      <c r="R798" s="576"/>
      <c r="S798" s="583">
        <f t="shared" si="70"/>
        <v>0</v>
      </c>
      <c r="T798" s="580">
        <f t="shared" si="69"/>
        <v>0</v>
      </c>
      <c r="U798" s="51"/>
      <c r="V798" s="2119"/>
      <c r="W798" s="43"/>
      <c r="X798" s="43"/>
      <c r="Y798" s="43"/>
      <c r="Z798" s="43"/>
    </row>
    <row r="799" spans="1:26">
      <c r="A799" s="88">
        <v>7801</v>
      </c>
      <c r="B799" s="378" t="s">
        <v>828</v>
      </c>
      <c r="C799" s="1033"/>
      <c r="D799" s="1033"/>
      <c r="E799" s="1033"/>
      <c r="F799" s="1033"/>
      <c r="G799" s="1033"/>
      <c r="H799" s="1033"/>
      <c r="I799" s="1033"/>
      <c r="J799" s="1033"/>
      <c r="K799" s="1033"/>
      <c r="L799" s="90"/>
      <c r="M799" s="51"/>
      <c r="N799" s="113">
        <f t="shared" si="71"/>
        <v>7801</v>
      </c>
      <c r="O799" s="575">
        <v>0</v>
      </c>
      <c r="P799" s="582">
        <v>0</v>
      </c>
      <c r="Q799" s="589">
        <v>0</v>
      </c>
      <c r="R799" s="576">
        <v>0</v>
      </c>
      <c r="S799" s="583">
        <f t="shared" si="70"/>
        <v>0</v>
      </c>
      <c r="T799" s="580">
        <f t="shared" si="69"/>
        <v>0</v>
      </c>
      <c r="U799" s="51"/>
      <c r="V799" s="2119"/>
      <c r="W799" s="43"/>
      <c r="X799" s="43"/>
      <c r="Y799" s="43"/>
      <c r="Z799" s="43"/>
    </row>
    <row r="800" spans="1:26">
      <c r="A800" s="88">
        <v>7802</v>
      </c>
      <c r="B800" s="378" t="s">
        <v>829</v>
      </c>
      <c r="C800" s="1033"/>
      <c r="D800" s="1033"/>
      <c r="E800" s="1033"/>
      <c r="F800" s="1033"/>
      <c r="G800" s="1033"/>
      <c r="H800" s="1033"/>
      <c r="I800" s="1033"/>
      <c r="J800" s="1033"/>
      <c r="K800" s="1033"/>
      <c r="L800" s="90"/>
      <c r="M800" s="51"/>
      <c r="N800" s="113">
        <f t="shared" si="71"/>
        <v>7802</v>
      </c>
      <c r="O800" s="575">
        <v>0</v>
      </c>
      <c r="P800" s="582">
        <v>0</v>
      </c>
      <c r="Q800" s="589">
        <v>0</v>
      </c>
      <c r="R800" s="576">
        <v>0</v>
      </c>
      <c r="S800" s="583">
        <f t="shared" si="70"/>
        <v>0</v>
      </c>
      <c r="T800" s="580">
        <f t="shared" si="69"/>
        <v>0</v>
      </c>
      <c r="U800" s="51"/>
      <c r="V800" s="2119"/>
      <c r="W800" s="43"/>
      <c r="X800" s="43"/>
      <c r="Y800" s="43"/>
      <c r="Z800" s="43"/>
    </row>
    <row r="801" spans="1:26" ht="15.75" customHeight="1">
      <c r="A801" s="88">
        <v>7803</v>
      </c>
      <c r="B801" s="1042" t="s">
        <v>830</v>
      </c>
      <c r="C801" s="1033"/>
      <c r="D801" s="1033"/>
      <c r="E801" s="1033"/>
      <c r="F801" s="1033"/>
      <c r="G801" s="1033"/>
      <c r="H801" s="1033"/>
      <c r="I801" s="1033"/>
      <c r="J801" s="1033"/>
      <c r="K801" s="1033"/>
      <c r="L801" s="90"/>
      <c r="M801" s="51"/>
      <c r="N801" s="113">
        <f t="shared" si="71"/>
        <v>7803</v>
      </c>
      <c r="O801" s="575">
        <v>0</v>
      </c>
      <c r="P801" s="582">
        <v>0</v>
      </c>
      <c r="Q801" s="589"/>
      <c r="R801" s="576"/>
      <c r="S801" s="583">
        <f t="shared" si="70"/>
        <v>0</v>
      </c>
      <c r="T801" s="580">
        <f t="shared" ref="T801:T828" si="72">+IF(ABS(+O801+Q801)&lt;=ABS(P801+R801),-O801+P801-Q801+R801,0)</f>
        <v>0</v>
      </c>
      <c r="U801" s="51"/>
      <c r="V801" s="2119"/>
      <c r="W801" s="43"/>
      <c r="X801" s="43"/>
      <c r="Y801" s="43"/>
      <c r="Z801" s="43"/>
    </row>
    <row r="802" spans="1:26" ht="15.75" customHeight="1">
      <c r="A802" s="88">
        <v>7804</v>
      </c>
      <c r="B802" s="1042" t="s">
        <v>831</v>
      </c>
      <c r="C802" s="1033"/>
      <c r="D802" s="1033"/>
      <c r="E802" s="1033"/>
      <c r="F802" s="1033"/>
      <c r="G802" s="1033"/>
      <c r="H802" s="1033"/>
      <c r="I802" s="1033"/>
      <c r="J802" s="1033"/>
      <c r="K802" s="1033"/>
      <c r="L802" s="90"/>
      <c r="M802" s="51"/>
      <c r="N802" s="113">
        <f t="shared" si="71"/>
        <v>7804</v>
      </c>
      <c r="O802" s="575">
        <v>0</v>
      </c>
      <c r="P802" s="582">
        <v>0</v>
      </c>
      <c r="Q802" s="589"/>
      <c r="R802" s="576"/>
      <c r="S802" s="583">
        <f t="shared" si="70"/>
        <v>0</v>
      </c>
      <c r="T802" s="580">
        <f t="shared" si="72"/>
        <v>0</v>
      </c>
      <c r="U802" s="51"/>
      <c r="V802" s="2119"/>
      <c r="W802" s="43"/>
      <c r="X802" s="43"/>
      <c r="Y802" s="43"/>
      <c r="Z802" s="43"/>
    </row>
    <row r="803" spans="1:26">
      <c r="A803" s="88">
        <v>7807</v>
      </c>
      <c r="B803" s="378" t="s">
        <v>832</v>
      </c>
      <c r="C803" s="1033"/>
      <c r="D803" s="1033"/>
      <c r="E803" s="1033"/>
      <c r="F803" s="1033"/>
      <c r="G803" s="1033"/>
      <c r="H803" s="1033"/>
      <c r="I803" s="1033"/>
      <c r="J803" s="1033"/>
      <c r="K803" s="1033"/>
      <c r="L803" s="90"/>
      <c r="M803" s="51"/>
      <c r="N803" s="113">
        <f t="shared" si="71"/>
        <v>7807</v>
      </c>
      <c r="O803" s="575">
        <v>0</v>
      </c>
      <c r="P803" s="582">
        <v>0</v>
      </c>
      <c r="Q803" s="589"/>
      <c r="R803" s="576"/>
      <c r="S803" s="583">
        <f t="shared" si="70"/>
        <v>0</v>
      </c>
      <c r="T803" s="580">
        <f t="shared" si="72"/>
        <v>0</v>
      </c>
      <c r="U803" s="51"/>
      <c r="V803" s="2119"/>
      <c r="W803" s="43"/>
      <c r="X803" s="43"/>
      <c r="Y803" s="43"/>
      <c r="Z803" s="43"/>
    </row>
    <row r="804" spans="1:26">
      <c r="A804" s="88">
        <v>7808</v>
      </c>
      <c r="B804" s="378" t="s">
        <v>833</v>
      </c>
      <c r="C804" s="1033"/>
      <c r="D804" s="1033"/>
      <c r="E804" s="1033"/>
      <c r="F804" s="1033"/>
      <c r="G804" s="1033"/>
      <c r="H804" s="1033"/>
      <c r="I804" s="1033"/>
      <c r="J804" s="1033"/>
      <c r="K804" s="1033"/>
      <c r="L804" s="90"/>
      <c r="M804" s="51"/>
      <c r="N804" s="113">
        <f t="shared" si="71"/>
        <v>7808</v>
      </c>
      <c r="O804" s="575">
        <v>0</v>
      </c>
      <c r="P804" s="582">
        <v>0</v>
      </c>
      <c r="Q804" s="589"/>
      <c r="R804" s="576"/>
      <c r="S804" s="583">
        <f t="shared" si="70"/>
        <v>0</v>
      </c>
      <c r="T804" s="580">
        <f t="shared" si="72"/>
        <v>0</v>
      </c>
      <c r="U804" s="51"/>
      <c r="V804" s="2119"/>
      <c r="W804" s="43"/>
      <c r="X804" s="43"/>
      <c r="Y804" s="43"/>
      <c r="Z804" s="43"/>
    </row>
    <row r="805" spans="1:26" ht="15.75" customHeight="1">
      <c r="A805" s="88">
        <v>7901</v>
      </c>
      <c r="B805" s="1042" t="s">
        <v>834</v>
      </c>
      <c r="C805" s="1033"/>
      <c r="D805" s="1033"/>
      <c r="E805" s="1033"/>
      <c r="F805" s="1033"/>
      <c r="G805" s="1033"/>
      <c r="H805" s="1033"/>
      <c r="I805" s="1033"/>
      <c r="J805" s="1033"/>
      <c r="K805" s="1033"/>
      <c r="L805" s="90"/>
      <c r="M805" s="51"/>
      <c r="N805" s="113">
        <f t="shared" si="71"/>
        <v>7901</v>
      </c>
      <c r="O805" s="575">
        <v>0</v>
      </c>
      <c r="P805" s="582">
        <v>0</v>
      </c>
      <c r="Q805" s="589"/>
      <c r="R805" s="576"/>
      <c r="S805" s="583">
        <f t="shared" si="70"/>
        <v>0</v>
      </c>
      <c r="T805" s="580">
        <f t="shared" si="72"/>
        <v>0</v>
      </c>
      <c r="U805" s="51"/>
      <c r="V805" s="2119"/>
      <c r="W805" s="43"/>
      <c r="X805" s="43"/>
      <c r="Y805" s="43"/>
      <c r="Z805" s="43"/>
    </row>
    <row r="806" spans="1:26" ht="15.75" customHeight="1">
      <c r="A806" s="88">
        <v>7902</v>
      </c>
      <c r="B806" s="1042" t="s">
        <v>835</v>
      </c>
      <c r="C806" s="1033"/>
      <c r="D806" s="1033"/>
      <c r="E806" s="1033"/>
      <c r="F806" s="1033"/>
      <c r="G806" s="1033"/>
      <c r="H806" s="1033"/>
      <c r="I806" s="1033"/>
      <c r="J806" s="1033"/>
      <c r="K806" s="1033"/>
      <c r="L806" s="90"/>
      <c r="M806" s="51"/>
      <c r="N806" s="113">
        <f t="shared" si="71"/>
        <v>7902</v>
      </c>
      <c r="O806" s="575">
        <v>0</v>
      </c>
      <c r="P806" s="582">
        <v>0</v>
      </c>
      <c r="Q806" s="589"/>
      <c r="R806" s="576"/>
      <c r="S806" s="583">
        <f t="shared" si="70"/>
        <v>0</v>
      </c>
      <c r="T806" s="580">
        <f t="shared" si="72"/>
        <v>0</v>
      </c>
      <c r="U806" s="51"/>
      <c r="V806" s="2119"/>
      <c r="W806" s="43"/>
      <c r="X806" s="43"/>
      <c r="Y806" s="43"/>
      <c r="Z806" s="43"/>
    </row>
    <row r="807" spans="1:26" ht="15.75" customHeight="1">
      <c r="A807" s="88">
        <v>7903</v>
      </c>
      <c r="B807" s="1042" t="s">
        <v>836</v>
      </c>
      <c r="C807" s="1033"/>
      <c r="D807" s="1033"/>
      <c r="E807" s="1033"/>
      <c r="F807" s="1033"/>
      <c r="G807" s="1033"/>
      <c r="H807" s="1033"/>
      <c r="I807" s="1033"/>
      <c r="J807" s="1033"/>
      <c r="K807" s="1033"/>
      <c r="L807" s="90"/>
      <c r="M807" s="51"/>
      <c r="N807" s="113">
        <f t="shared" si="71"/>
        <v>7903</v>
      </c>
      <c r="O807" s="575">
        <v>0</v>
      </c>
      <c r="P807" s="582">
        <v>0</v>
      </c>
      <c r="Q807" s="589"/>
      <c r="R807" s="576"/>
      <c r="S807" s="583">
        <f t="shared" si="70"/>
        <v>0</v>
      </c>
      <c r="T807" s="580">
        <f t="shared" si="72"/>
        <v>0</v>
      </c>
      <c r="U807" s="51"/>
      <c r="V807" s="2119"/>
      <c r="W807" s="43"/>
      <c r="X807" s="43"/>
      <c r="Y807" s="43"/>
      <c r="Z807" s="43"/>
    </row>
    <row r="808" spans="1:26" ht="15.75" customHeight="1">
      <c r="A808" s="88">
        <v>7904</v>
      </c>
      <c r="B808" s="1042" t="s">
        <v>837</v>
      </c>
      <c r="C808" s="1033"/>
      <c r="D808" s="1033"/>
      <c r="E808" s="1033"/>
      <c r="F808" s="1033"/>
      <c r="G808" s="1033"/>
      <c r="H808" s="1033"/>
      <c r="I808" s="1033"/>
      <c r="J808" s="1033"/>
      <c r="K808" s="1033"/>
      <c r="L808" s="90"/>
      <c r="M808" s="51"/>
      <c r="N808" s="113">
        <f t="shared" si="71"/>
        <v>7904</v>
      </c>
      <c r="O808" s="575">
        <v>0</v>
      </c>
      <c r="P808" s="582">
        <v>0</v>
      </c>
      <c r="Q808" s="589"/>
      <c r="R808" s="576"/>
      <c r="S808" s="583">
        <f t="shared" si="70"/>
        <v>0</v>
      </c>
      <c r="T808" s="580">
        <f t="shared" si="72"/>
        <v>0</v>
      </c>
      <c r="U808" s="51"/>
      <c r="V808" s="2119"/>
      <c r="W808" s="43"/>
      <c r="X808" s="43"/>
      <c r="Y808" s="43"/>
      <c r="Z808" s="43"/>
    </row>
    <row r="809" spans="1:26" ht="15.75" customHeight="1">
      <c r="A809" s="88">
        <v>7905</v>
      </c>
      <c r="B809" s="1042" t="s">
        <v>838</v>
      </c>
      <c r="C809" s="1033"/>
      <c r="D809" s="1033"/>
      <c r="E809" s="1033"/>
      <c r="F809" s="1033"/>
      <c r="G809" s="1033"/>
      <c r="H809" s="1033"/>
      <c r="I809" s="1033"/>
      <c r="J809" s="1033"/>
      <c r="K809" s="1033"/>
      <c r="L809" s="90"/>
      <c r="M809" s="51"/>
      <c r="N809" s="113">
        <f t="shared" si="71"/>
        <v>7905</v>
      </c>
      <c r="O809" s="575">
        <v>0</v>
      </c>
      <c r="P809" s="582">
        <v>0</v>
      </c>
      <c r="Q809" s="589"/>
      <c r="R809" s="576"/>
      <c r="S809" s="583">
        <f t="shared" si="70"/>
        <v>0</v>
      </c>
      <c r="T809" s="580">
        <f t="shared" si="72"/>
        <v>0</v>
      </c>
      <c r="U809" s="51"/>
      <c r="V809" s="2119"/>
      <c r="W809" s="43"/>
      <c r="X809" s="43"/>
      <c r="Y809" s="43"/>
      <c r="Z809" s="43"/>
    </row>
    <row r="810" spans="1:26" ht="15.75" customHeight="1">
      <c r="A810" s="88">
        <v>7906</v>
      </c>
      <c r="B810" s="1042" t="s">
        <v>839</v>
      </c>
      <c r="C810" s="1033"/>
      <c r="D810" s="1033"/>
      <c r="E810" s="1033"/>
      <c r="F810" s="1033"/>
      <c r="G810" s="1033"/>
      <c r="H810" s="1033"/>
      <c r="I810" s="1033"/>
      <c r="J810" s="1033"/>
      <c r="K810" s="1033"/>
      <c r="L810" s="90"/>
      <c r="M810" s="51"/>
      <c r="N810" s="113">
        <f t="shared" si="71"/>
        <v>7906</v>
      </c>
      <c r="O810" s="575">
        <v>0</v>
      </c>
      <c r="P810" s="582">
        <v>0</v>
      </c>
      <c r="Q810" s="589"/>
      <c r="R810" s="576"/>
      <c r="S810" s="583">
        <f t="shared" si="70"/>
        <v>0</v>
      </c>
      <c r="T810" s="580">
        <f t="shared" si="72"/>
        <v>0</v>
      </c>
      <c r="U810" s="51"/>
      <c r="V810" s="2119"/>
      <c r="W810" s="43"/>
      <c r="X810" s="43"/>
      <c r="Y810" s="43"/>
      <c r="Z810" s="43"/>
    </row>
    <row r="811" spans="1:26">
      <c r="A811" s="88">
        <v>7911</v>
      </c>
      <c r="B811" s="1042" t="s">
        <v>840</v>
      </c>
      <c r="C811" s="1033"/>
      <c r="D811" s="1033"/>
      <c r="E811" s="1033"/>
      <c r="F811" s="1033"/>
      <c r="G811" s="1033"/>
      <c r="H811" s="1033"/>
      <c r="I811" s="1033"/>
      <c r="J811" s="1033"/>
      <c r="K811" s="1033"/>
      <c r="L811" s="90"/>
      <c r="M811" s="51"/>
      <c r="N811" s="113">
        <f t="shared" si="71"/>
        <v>7911</v>
      </c>
      <c r="O811" s="575">
        <v>0</v>
      </c>
      <c r="P811" s="582">
        <v>0</v>
      </c>
      <c r="Q811" s="589"/>
      <c r="R811" s="576"/>
      <c r="S811" s="583">
        <f t="shared" si="70"/>
        <v>0</v>
      </c>
      <c r="T811" s="580">
        <f t="shared" si="72"/>
        <v>0</v>
      </c>
      <c r="U811" s="51"/>
      <c r="V811" s="2119"/>
      <c r="W811" s="43"/>
      <c r="X811" s="43"/>
      <c r="Y811" s="43"/>
      <c r="Z811" s="43"/>
    </row>
    <row r="812" spans="1:26">
      <c r="A812" s="88">
        <v>7912</v>
      </c>
      <c r="B812" s="1042" t="s">
        <v>841</v>
      </c>
      <c r="C812" s="1033"/>
      <c r="D812" s="1033"/>
      <c r="E812" s="1033"/>
      <c r="F812" s="1033"/>
      <c r="G812" s="1033"/>
      <c r="H812" s="1033"/>
      <c r="I812" s="1033"/>
      <c r="J812" s="1033"/>
      <c r="K812" s="1033"/>
      <c r="L812" s="90"/>
      <c r="M812" s="51"/>
      <c r="N812" s="113">
        <f t="shared" si="71"/>
        <v>7912</v>
      </c>
      <c r="O812" s="575">
        <v>0</v>
      </c>
      <c r="P812" s="582">
        <v>0</v>
      </c>
      <c r="Q812" s="589"/>
      <c r="R812" s="576"/>
      <c r="S812" s="583">
        <f t="shared" si="70"/>
        <v>0</v>
      </c>
      <c r="T812" s="580">
        <f t="shared" si="72"/>
        <v>0</v>
      </c>
      <c r="U812" s="51"/>
      <c r="V812" s="2119"/>
      <c r="W812" s="43"/>
      <c r="X812" s="43"/>
      <c r="Y812" s="43"/>
      <c r="Z812" s="43"/>
    </row>
    <row r="813" spans="1:26" ht="15.75" customHeight="1">
      <c r="A813" s="88">
        <v>7915</v>
      </c>
      <c r="B813" s="1042" t="s">
        <v>842</v>
      </c>
      <c r="C813" s="1033"/>
      <c r="D813" s="1033"/>
      <c r="E813" s="1033"/>
      <c r="F813" s="1033"/>
      <c r="G813" s="1033"/>
      <c r="H813" s="1033"/>
      <c r="I813" s="1033"/>
      <c r="J813" s="1033"/>
      <c r="K813" s="1033"/>
      <c r="L813" s="90"/>
      <c r="M813" s="51"/>
      <c r="N813" s="113">
        <f t="shared" si="71"/>
        <v>7915</v>
      </c>
      <c r="O813" s="575">
        <v>0</v>
      </c>
      <c r="P813" s="582">
        <v>0</v>
      </c>
      <c r="Q813" s="589"/>
      <c r="R813" s="576"/>
      <c r="S813" s="583">
        <f t="shared" si="70"/>
        <v>0</v>
      </c>
      <c r="T813" s="580">
        <f t="shared" si="72"/>
        <v>0</v>
      </c>
      <c r="U813" s="51"/>
      <c r="V813" s="2119"/>
      <c r="W813" s="43"/>
      <c r="X813" s="43"/>
      <c r="Y813" s="43"/>
      <c r="Z813" s="43"/>
    </row>
    <row r="814" spans="1:26" ht="15.75" customHeight="1">
      <c r="A814" s="88">
        <v>7916</v>
      </c>
      <c r="B814" s="1042" t="s">
        <v>843</v>
      </c>
      <c r="C814" s="1033"/>
      <c r="D814" s="1033"/>
      <c r="E814" s="1033"/>
      <c r="F814" s="1033"/>
      <c r="G814" s="1033"/>
      <c r="H814" s="1033"/>
      <c r="I814" s="1033"/>
      <c r="J814" s="1033"/>
      <c r="K814" s="1033"/>
      <c r="L814" s="90"/>
      <c r="M814" s="51"/>
      <c r="N814" s="113">
        <f t="shared" si="71"/>
        <v>7916</v>
      </c>
      <c r="O814" s="575">
        <v>0</v>
      </c>
      <c r="P814" s="582">
        <v>0</v>
      </c>
      <c r="Q814" s="589"/>
      <c r="R814" s="576"/>
      <c r="S814" s="583">
        <f t="shared" si="70"/>
        <v>0</v>
      </c>
      <c r="T814" s="580">
        <f t="shared" si="72"/>
        <v>0</v>
      </c>
      <c r="U814" s="51"/>
      <c r="V814" s="2119"/>
      <c r="W814" s="43"/>
      <c r="X814" s="43"/>
      <c r="Y814" s="43"/>
      <c r="Z814" s="43"/>
    </row>
    <row r="815" spans="1:26">
      <c r="A815" s="88">
        <v>7917</v>
      </c>
      <c r="B815" s="1033" t="s">
        <v>844</v>
      </c>
      <c r="C815" s="1033"/>
      <c r="D815" s="1033"/>
      <c r="E815" s="1033"/>
      <c r="F815" s="1033"/>
      <c r="G815" s="1033"/>
      <c r="H815" s="1033"/>
      <c r="I815" s="1033"/>
      <c r="J815" s="1033"/>
      <c r="K815" s="1033"/>
      <c r="L815" s="90"/>
      <c r="M815" s="51"/>
      <c r="N815" s="113">
        <f t="shared" si="71"/>
        <v>7917</v>
      </c>
      <c r="O815" s="575">
        <v>0</v>
      </c>
      <c r="P815" s="582">
        <v>0</v>
      </c>
      <c r="Q815" s="589"/>
      <c r="R815" s="576"/>
      <c r="S815" s="583">
        <f t="shared" si="70"/>
        <v>0</v>
      </c>
      <c r="T815" s="580">
        <f t="shared" si="72"/>
        <v>0</v>
      </c>
      <c r="U815" s="51"/>
      <c r="V815" s="2119"/>
      <c r="W815" s="43"/>
      <c r="X815" s="43"/>
      <c r="Y815" s="43"/>
      <c r="Z815" s="43"/>
    </row>
    <row r="816" spans="1:26">
      <c r="A816" s="88">
        <v>7918</v>
      </c>
      <c r="B816" s="1033" t="s">
        <v>845</v>
      </c>
      <c r="C816" s="1033"/>
      <c r="D816" s="1033"/>
      <c r="E816" s="1033"/>
      <c r="F816" s="1033"/>
      <c r="G816" s="1033"/>
      <c r="H816" s="1033"/>
      <c r="I816" s="1033"/>
      <c r="J816" s="1033"/>
      <c r="K816" s="1033"/>
      <c r="L816" s="90"/>
      <c r="M816" s="51"/>
      <c r="N816" s="113">
        <f t="shared" si="71"/>
        <v>7918</v>
      </c>
      <c r="O816" s="575">
        <v>0</v>
      </c>
      <c r="P816" s="582">
        <v>0</v>
      </c>
      <c r="Q816" s="589"/>
      <c r="R816" s="576"/>
      <c r="S816" s="583">
        <f t="shared" si="70"/>
        <v>0</v>
      </c>
      <c r="T816" s="580">
        <f t="shared" si="72"/>
        <v>0</v>
      </c>
      <c r="U816" s="51"/>
      <c r="V816" s="2119"/>
      <c r="W816" s="43"/>
      <c r="X816" s="43"/>
      <c r="Y816" s="43"/>
      <c r="Z816" s="43"/>
    </row>
    <row r="817" spans="1:26">
      <c r="A817" s="88">
        <v>7922</v>
      </c>
      <c r="B817" s="1033" t="s">
        <v>846</v>
      </c>
      <c r="C817" s="1033"/>
      <c r="D817" s="1033"/>
      <c r="E817" s="1033"/>
      <c r="F817" s="1033"/>
      <c r="G817" s="1033"/>
      <c r="H817" s="1033"/>
      <c r="I817" s="1033"/>
      <c r="J817" s="1033"/>
      <c r="K817" s="1033"/>
      <c r="L817" s="90"/>
      <c r="M817" s="51"/>
      <c r="N817" s="113">
        <f t="shared" si="71"/>
        <v>7922</v>
      </c>
      <c r="O817" s="575">
        <v>0</v>
      </c>
      <c r="P817" s="582">
        <v>0</v>
      </c>
      <c r="Q817" s="589"/>
      <c r="R817" s="576"/>
      <c r="S817" s="583">
        <f t="shared" si="70"/>
        <v>0</v>
      </c>
      <c r="T817" s="580">
        <f t="shared" si="72"/>
        <v>0</v>
      </c>
      <c r="U817" s="51"/>
      <c r="V817" s="2119"/>
      <c r="W817" s="43"/>
      <c r="X817" s="43"/>
      <c r="Y817" s="43"/>
      <c r="Z817" s="43"/>
    </row>
    <row r="818" spans="1:26">
      <c r="A818" s="88">
        <v>7923</v>
      </c>
      <c r="B818" s="1033" t="s">
        <v>847</v>
      </c>
      <c r="C818" s="1033"/>
      <c r="D818" s="1033"/>
      <c r="E818" s="1033"/>
      <c r="F818" s="1033"/>
      <c r="G818" s="1033"/>
      <c r="H818" s="1033"/>
      <c r="I818" s="1033"/>
      <c r="J818" s="1033"/>
      <c r="K818" s="1033"/>
      <c r="L818" s="90"/>
      <c r="M818" s="51"/>
      <c r="N818" s="113">
        <f t="shared" si="71"/>
        <v>7923</v>
      </c>
      <c r="O818" s="575">
        <v>0</v>
      </c>
      <c r="P818" s="582">
        <v>0</v>
      </c>
      <c r="Q818" s="589"/>
      <c r="R818" s="576"/>
      <c r="S818" s="583">
        <f t="shared" si="70"/>
        <v>0</v>
      </c>
      <c r="T818" s="580">
        <f t="shared" si="72"/>
        <v>0</v>
      </c>
      <c r="U818" s="51"/>
      <c r="V818" s="2119"/>
      <c r="W818" s="43"/>
      <c r="X818" s="43"/>
      <c r="Y818" s="43"/>
      <c r="Z818" s="43"/>
    </row>
    <row r="819" spans="1:26">
      <c r="A819" s="88">
        <v>7924</v>
      </c>
      <c r="B819" s="1033" t="s">
        <v>848</v>
      </c>
      <c r="C819" s="1033"/>
      <c r="D819" s="1033"/>
      <c r="E819" s="1033"/>
      <c r="F819" s="1033"/>
      <c r="G819" s="1033"/>
      <c r="H819" s="1033"/>
      <c r="I819" s="1033"/>
      <c r="J819" s="1033"/>
      <c r="K819" s="1033"/>
      <c r="L819" s="90"/>
      <c r="M819" s="51"/>
      <c r="N819" s="113">
        <f t="shared" si="71"/>
        <v>7924</v>
      </c>
      <c r="O819" s="575">
        <v>0</v>
      </c>
      <c r="P819" s="582">
        <v>0</v>
      </c>
      <c r="Q819" s="589"/>
      <c r="R819" s="576"/>
      <c r="S819" s="583">
        <f t="shared" si="70"/>
        <v>0</v>
      </c>
      <c r="T819" s="580">
        <f t="shared" si="72"/>
        <v>0</v>
      </c>
      <c r="U819" s="51"/>
      <c r="V819" s="2119"/>
      <c r="W819" s="43"/>
      <c r="X819" s="43"/>
      <c r="Y819" s="43"/>
      <c r="Z819" s="43"/>
    </row>
    <row r="820" spans="1:26">
      <c r="A820" s="88">
        <v>7925</v>
      </c>
      <c r="B820" s="1033" t="s">
        <v>849</v>
      </c>
      <c r="C820" s="1033"/>
      <c r="D820" s="1033"/>
      <c r="E820" s="1033"/>
      <c r="F820" s="1033"/>
      <c r="G820" s="1033"/>
      <c r="H820" s="1033"/>
      <c r="I820" s="1033"/>
      <c r="J820" s="1033"/>
      <c r="K820" s="1033"/>
      <c r="L820" s="90"/>
      <c r="M820" s="51"/>
      <c r="N820" s="113">
        <f t="shared" si="71"/>
        <v>7925</v>
      </c>
      <c r="O820" s="575">
        <v>0</v>
      </c>
      <c r="P820" s="582">
        <v>0</v>
      </c>
      <c r="Q820" s="589"/>
      <c r="R820" s="576"/>
      <c r="S820" s="583">
        <f t="shared" si="70"/>
        <v>0</v>
      </c>
      <c r="T820" s="580">
        <f t="shared" si="72"/>
        <v>0</v>
      </c>
      <c r="U820" s="51"/>
      <c r="V820" s="2119"/>
      <c r="W820" s="43"/>
      <c r="X820" s="43"/>
      <c r="Y820" s="43"/>
      <c r="Z820" s="43"/>
    </row>
    <row r="821" spans="1:26" ht="15.75" customHeight="1">
      <c r="A821" s="88">
        <v>7926</v>
      </c>
      <c r="B821" s="1033" t="s">
        <v>850</v>
      </c>
      <c r="C821" s="1033"/>
      <c r="D821" s="1033"/>
      <c r="E821" s="1033"/>
      <c r="F821" s="1033"/>
      <c r="G821" s="1033"/>
      <c r="H821" s="1033"/>
      <c r="I821" s="1033"/>
      <c r="J821" s="1033"/>
      <c r="K821" s="1033"/>
      <c r="L821" s="90"/>
      <c r="M821" s="51"/>
      <c r="N821" s="113">
        <f t="shared" si="71"/>
        <v>7926</v>
      </c>
      <c r="O821" s="575">
        <v>0</v>
      </c>
      <c r="P821" s="582">
        <v>0</v>
      </c>
      <c r="Q821" s="589"/>
      <c r="R821" s="576"/>
      <c r="S821" s="583">
        <f t="shared" si="70"/>
        <v>0</v>
      </c>
      <c r="T821" s="580">
        <f t="shared" si="72"/>
        <v>0</v>
      </c>
      <c r="U821" s="51"/>
      <c r="V821" s="2119"/>
      <c r="W821" s="43"/>
      <c r="X821" s="43"/>
      <c r="Y821" s="43"/>
      <c r="Z821" s="43"/>
    </row>
    <row r="822" spans="1:26" ht="15.75" customHeight="1">
      <c r="A822" s="88">
        <v>7992</v>
      </c>
      <c r="B822" s="1033" t="s">
        <v>851</v>
      </c>
      <c r="C822" s="1033"/>
      <c r="D822" s="1033"/>
      <c r="E822" s="1033"/>
      <c r="F822" s="1033"/>
      <c r="G822" s="1033"/>
      <c r="H822" s="1033"/>
      <c r="I822" s="1033"/>
      <c r="J822" s="1033"/>
      <c r="K822" s="1033"/>
      <c r="L822" s="90"/>
      <c r="M822" s="51"/>
      <c r="N822" s="113">
        <f t="shared" si="71"/>
        <v>7992</v>
      </c>
      <c r="O822" s="575">
        <v>0</v>
      </c>
      <c r="P822" s="582">
        <v>0</v>
      </c>
      <c r="Q822" s="589">
        <v>0</v>
      </c>
      <c r="R822" s="576">
        <v>0</v>
      </c>
      <c r="S822" s="583">
        <f t="shared" si="70"/>
        <v>0</v>
      </c>
      <c r="T822" s="580">
        <f t="shared" si="72"/>
        <v>0</v>
      </c>
      <c r="U822" s="51"/>
      <c r="V822" s="2119"/>
      <c r="W822" s="43"/>
      <c r="X822" s="43"/>
      <c r="Y822" s="43"/>
      <c r="Z822" s="43"/>
    </row>
    <row r="823" spans="1:26" ht="15.75" customHeight="1">
      <c r="A823" s="88">
        <v>7993</v>
      </c>
      <c r="B823" s="1033" t="s">
        <v>852</v>
      </c>
      <c r="C823" s="1033"/>
      <c r="D823" s="1033"/>
      <c r="E823" s="1033"/>
      <c r="F823" s="1033"/>
      <c r="G823" s="1033"/>
      <c r="H823" s="1033"/>
      <c r="I823" s="1033"/>
      <c r="J823" s="1033"/>
      <c r="K823" s="1033"/>
      <c r="L823" s="90"/>
      <c r="M823" s="51"/>
      <c r="N823" s="113">
        <f t="shared" si="71"/>
        <v>7993</v>
      </c>
      <c r="O823" s="575">
        <v>0</v>
      </c>
      <c r="P823" s="582">
        <v>0</v>
      </c>
      <c r="Q823" s="589"/>
      <c r="R823" s="576"/>
      <c r="S823" s="583">
        <f t="shared" si="70"/>
        <v>0</v>
      </c>
      <c r="T823" s="580">
        <f t="shared" si="72"/>
        <v>0</v>
      </c>
      <c r="U823" s="51"/>
      <c r="V823" s="2119"/>
      <c r="W823" s="43"/>
      <c r="X823" s="43"/>
      <c r="Y823" s="43"/>
      <c r="Z823" s="43"/>
    </row>
    <row r="824" spans="1:26" ht="15.75" customHeight="1">
      <c r="A824" s="88">
        <v>7994</v>
      </c>
      <c r="B824" s="1033" t="s">
        <v>853</v>
      </c>
      <c r="C824" s="1033"/>
      <c r="D824" s="1033"/>
      <c r="E824" s="1033"/>
      <c r="F824" s="1033"/>
      <c r="G824" s="1033"/>
      <c r="H824" s="1033"/>
      <c r="I824" s="1033"/>
      <c r="J824" s="1033"/>
      <c r="K824" s="1033"/>
      <c r="L824" s="90"/>
      <c r="M824" s="51"/>
      <c r="N824" s="113">
        <f t="shared" si="71"/>
        <v>7994</v>
      </c>
      <c r="O824" s="575">
        <v>0</v>
      </c>
      <c r="P824" s="582">
        <v>0</v>
      </c>
      <c r="Q824" s="589"/>
      <c r="R824" s="576"/>
      <c r="S824" s="583">
        <f t="shared" si="70"/>
        <v>0</v>
      </c>
      <c r="T824" s="580">
        <f t="shared" si="72"/>
        <v>0</v>
      </c>
      <c r="U824" s="51"/>
      <c r="V824" s="2119"/>
      <c r="W824" s="43"/>
      <c r="X824" s="43"/>
      <c r="Y824" s="43"/>
      <c r="Z824" s="43"/>
    </row>
    <row r="825" spans="1:26" ht="15.75" customHeight="1">
      <c r="A825" s="88">
        <v>7995</v>
      </c>
      <c r="B825" s="1033" t="s">
        <v>854</v>
      </c>
      <c r="C825" s="1033"/>
      <c r="D825" s="1033"/>
      <c r="E825" s="1033"/>
      <c r="F825" s="1033"/>
      <c r="G825" s="1033"/>
      <c r="H825" s="1033"/>
      <c r="I825" s="1033"/>
      <c r="J825" s="1033"/>
      <c r="K825" s="1033"/>
      <c r="L825" s="90"/>
      <c r="M825" s="51"/>
      <c r="N825" s="113">
        <f t="shared" si="71"/>
        <v>7995</v>
      </c>
      <c r="O825" s="575">
        <v>0</v>
      </c>
      <c r="P825" s="582">
        <v>0</v>
      </c>
      <c r="Q825" s="589"/>
      <c r="R825" s="576"/>
      <c r="S825" s="583">
        <f t="shared" si="70"/>
        <v>0</v>
      </c>
      <c r="T825" s="580">
        <f t="shared" si="72"/>
        <v>0</v>
      </c>
      <c r="U825" s="51"/>
      <c r="V825" s="2119"/>
      <c r="W825" s="43"/>
      <c r="X825" s="43"/>
      <c r="Y825" s="43"/>
      <c r="Z825" s="43"/>
    </row>
    <row r="826" spans="1:26" ht="15.75" customHeight="1">
      <c r="A826" s="88">
        <v>7996</v>
      </c>
      <c r="B826" s="1033" t="s">
        <v>142</v>
      </c>
      <c r="C826" s="1033"/>
      <c r="D826" s="1033"/>
      <c r="E826" s="1033"/>
      <c r="F826" s="1033"/>
      <c r="G826" s="1033"/>
      <c r="H826" s="1033"/>
      <c r="I826" s="1033"/>
      <c r="J826" s="1033"/>
      <c r="K826" s="1033"/>
      <c r="L826" s="90"/>
      <c r="M826" s="51"/>
      <c r="N826" s="113">
        <f t="shared" si="71"/>
        <v>7996</v>
      </c>
      <c r="O826" s="575">
        <v>0</v>
      </c>
      <c r="P826" s="582">
        <v>0</v>
      </c>
      <c r="Q826" s="589"/>
      <c r="R826" s="576"/>
      <c r="S826" s="583">
        <f t="shared" si="70"/>
        <v>0</v>
      </c>
      <c r="T826" s="580">
        <f t="shared" si="72"/>
        <v>0</v>
      </c>
      <c r="U826" s="51"/>
      <c r="V826" s="2119"/>
      <c r="W826" s="43"/>
      <c r="X826" s="43"/>
      <c r="Y826" s="43"/>
      <c r="Z826" s="43"/>
    </row>
    <row r="827" spans="1:26" ht="15.75" customHeight="1">
      <c r="A827" s="88">
        <v>7997</v>
      </c>
      <c r="B827" s="1033" t="s">
        <v>143</v>
      </c>
      <c r="C827" s="1033"/>
      <c r="D827" s="1033"/>
      <c r="E827" s="1033"/>
      <c r="F827" s="1033"/>
      <c r="G827" s="1033"/>
      <c r="H827" s="1033"/>
      <c r="I827" s="1033"/>
      <c r="J827" s="1033"/>
      <c r="K827" s="1033"/>
      <c r="L827" s="90"/>
      <c r="M827" s="51"/>
      <c r="N827" s="113">
        <f t="shared" si="71"/>
        <v>7997</v>
      </c>
      <c r="O827" s="575">
        <v>0</v>
      </c>
      <c r="P827" s="582">
        <v>0</v>
      </c>
      <c r="Q827" s="589"/>
      <c r="R827" s="576"/>
      <c r="S827" s="583">
        <f t="shared" si="70"/>
        <v>0</v>
      </c>
      <c r="T827" s="580">
        <f t="shared" si="72"/>
        <v>0</v>
      </c>
      <c r="U827" s="51"/>
      <c r="V827" s="2119"/>
      <c r="W827" s="43"/>
      <c r="X827" s="43"/>
      <c r="Y827" s="43"/>
      <c r="Z827" s="43"/>
    </row>
    <row r="828" spans="1:26" ht="15.75" customHeight="1" thickBot="1">
      <c r="A828" s="88">
        <v>7998</v>
      </c>
      <c r="B828" s="1033" t="s">
        <v>144</v>
      </c>
      <c r="C828" s="1033"/>
      <c r="D828" s="1033"/>
      <c r="E828" s="1033"/>
      <c r="F828" s="1033"/>
      <c r="G828" s="1033"/>
      <c r="H828" s="1033"/>
      <c r="I828" s="1033"/>
      <c r="J828" s="1033"/>
      <c r="K828" s="1033"/>
      <c r="L828" s="90"/>
      <c r="M828" s="51"/>
      <c r="N828" s="113">
        <f t="shared" si="71"/>
        <v>7998</v>
      </c>
      <c r="O828" s="575">
        <v>0</v>
      </c>
      <c r="P828" s="582">
        <v>0</v>
      </c>
      <c r="Q828" s="589"/>
      <c r="R828" s="576"/>
      <c r="S828" s="583">
        <f t="shared" si="70"/>
        <v>0</v>
      </c>
      <c r="T828" s="580">
        <f t="shared" si="72"/>
        <v>0</v>
      </c>
      <c r="U828" s="51"/>
      <c r="V828" s="2119"/>
      <c r="W828" s="43"/>
      <c r="X828" s="43"/>
      <c r="Y828" s="43"/>
      <c r="Z828" s="43"/>
    </row>
    <row r="829" spans="1:26" ht="16.5" thickBot="1">
      <c r="A829" s="94" t="s">
        <v>592</v>
      </c>
      <c r="B829" s="95"/>
      <c r="C829" s="95"/>
      <c r="D829" s="95"/>
      <c r="E829" s="95"/>
      <c r="F829" s="95"/>
      <c r="G829" s="95"/>
      <c r="H829" s="95"/>
      <c r="I829" s="2627" t="str">
        <f>+E12</f>
        <v>R A</v>
      </c>
      <c r="J829" s="2627"/>
      <c r="K829" s="2627"/>
      <c r="L829" s="96"/>
      <c r="M829" s="51"/>
      <c r="N829" s="128" t="s">
        <v>666</v>
      </c>
      <c r="O829" s="840">
        <f t="shared" ref="O829:T829" si="73">+ROUND(+SUM(O14:O828),2)</f>
        <v>0</v>
      </c>
      <c r="P829" s="841">
        <f t="shared" si="73"/>
        <v>0</v>
      </c>
      <c r="Q829" s="842">
        <f t="shared" si="73"/>
        <v>0</v>
      </c>
      <c r="R829" s="843">
        <f t="shared" si="73"/>
        <v>0</v>
      </c>
      <c r="S829" s="844">
        <f t="shared" si="73"/>
        <v>0</v>
      </c>
      <c r="T829" s="845">
        <f t="shared" si="73"/>
        <v>0</v>
      </c>
      <c r="U829" s="51"/>
      <c r="V829" s="2119"/>
      <c r="W829" s="43"/>
      <c r="X829" s="43"/>
      <c r="Y829" s="43"/>
      <c r="Z829" s="43"/>
    </row>
    <row r="830" spans="1:26" ht="7.5" customHeight="1" thickBot="1">
      <c r="A830" s="100"/>
      <c r="B830" s="100"/>
      <c r="C830" s="100"/>
      <c r="D830" s="100"/>
      <c r="E830" s="100"/>
      <c r="F830" s="100"/>
      <c r="G830" s="100"/>
      <c r="H830" s="100"/>
      <c r="I830" s="100"/>
      <c r="J830" s="100"/>
      <c r="K830" s="100"/>
      <c r="L830" s="100"/>
      <c r="M830" s="51"/>
      <c r="N830" s="115"/>
      <c r="O830" s="16"/>
      <c r="P830" s="16"/>
      <c r="Q830" s="16"/>
      <c r="R830" s="16"/>
      <c r="S830" s="16"/>
      <c r="T830" s="16"/>
      <c r="U830" s="44"/>
      <c r="V830" s="2119"/>
      <c r="W830" s="43"/>
      <c r="X830" s="43"/>
      <c r="Y830" s="43"/>
      <c r="Z830" s="43"/>
    </row>
    <row r="831" spans="1:26">
      <c r="A831" s="405" t="s">
        <v>375</v>
      </c>
      <c r="B831" s="406"/>
      <c r="C831" s="406"/>
      <c r="D831" s="406"/>
      <c r="E831" s="406"/>
      <c r="F831" s="406"/>
      <c r="G831" s="406"/>
      <c r="H831" s="406"/>
      <c r="I831" s="2628" t="str">
        <f>+I829</f>
        <v>R A</v>
      </c>
      <c r="J831" s="2628"/>
      <c r="K831" s="2628"/>
      <c r="L831" s="407"/>
      <c r="M831" s="51"/>
      <c r="N831" s="408">
        <v>9</v>
      </c>
      <c r="O831" s="409"/>
      <c r="P831" s="410"/>
      <c r="Q831" s="411"/>
      <c r="R831" s="410"/>
      <c r="S831" s="411"/>
      <c r="T831" s="412"/>
      <c r="U831" s="51"/>
      <c r="V831" s="2119"/>
      <c r="W831" s="43"/>
      <c r="X831" s="43"/>
      <c r="Y831" s="43"/>
      <c r="Z831" s="43"/>
    </row>
    <row r="832" spans="1:26">
      <c r="A832" s="85">
        <v>9110</v>
      </c>
      <c r="B832" s="404" t="s">
        <v>914</v>
      </c>
      <c r="C832" s="86"/>
      <c r="D832" s="86"/>
      <c r="E832" s="86"/>
      <c r="F832" s="86"/>
      <c r="G832" s="86"/>
      <c r="H832" s="86"/>
      <c r="I832" s="86"/>
      <c r="J832" s="86"/>
      <c r="K832" s="86"/>
      <c r="L832" s="87"/>
      <c r="M832" s="51"/>
      <c r="N832" s="112">
        <f t="shared" ref="N832:N857" si="74">+A832</f>
        <v>9110</v>
      </c>
      <c r="O832" s="323">
        <v>0</v>
      </c>
      <c r="P832" s="329">
        <v>0</v>
      </c>
      <c r="Q832" s="577">
        <v>0</v>
      </c>
      <c r="R832" s="578">
        <v>0</v>
      </c>
      <c r="S832" s="326">
        <f>+IF(ABS(+O832+Q832)&gt;=ABS(P832+R832),+O832-P832+Q832-R832,0)</f>
        <v>0</v>
      </c>
      <c r="T832" s="331">
        <v>0</v>
      </c>
      <c r="U832" s="51"/>
      <c r="V832" s="2120">
        <f>+IF(OR(ROUND(P832,2)+ROUND(R832,2)&gt;+ROUND(O832,2)+ROUND(Q832,2),+ABS(ROUND(P832,2)+ROUND(R832,2))&gt;+ABS(ROUND(O832,2)+ROUND(Q832,2))),+(ROUND(P832,2)+ROUND(R832,2))-(ROUND(O832,2)+ROUND(Q832,2)),0)</f>
        <v>0</v>
      </c>
      <c r="W832" s="43"/>
      <c r="X832" s="43"/>
      <c r="Y832" s="43"/>
      <c r="Z832" s="43"/>
    </row>
    <row r="833" spans="1:26">
      <c r="A833" s="88">
        <v>9120</v>
      </c>
      <c r="B833" s="1042" t="s">
        <v>709</v>
      </c>
      <c r="C833" s="1033"/>
      <c r="D833" s="1033"/>
      <c r="E833" s="1033"/>
      <c r="F833" s="1033"/>
      <c r="G833" s="1033"/>
      <c r="H833" s="1033"/>
      <c r="I833" s="1033"/>
      <c r="J833" s="1033"/>
      <c r="K833" s="1033"/>
      <c r="L833" s="90"/>
      <c r="M833" s="51"/>
      <c r="N833" s="113">
        <f t="shared" si="74"/>
        <v>9120</v>
      </c>
      <c r="O833" s="581">
        <v>0</v>
      </c>
      <c r="P833" s="582">
        <v>0</v>
      </c>
      <c r="Q833" s="589">
        <v>0</v>
      </c>
      <c r="R833" s="576">
        <v>0</v>
      </c>
      <c r="S833" s="27">
        <f>+IF(ABS(+O833+Q833)&gt;=ABS(P833+R833),+O833-P833+Q833-R833,0)</f>
        <v>0</v>
      </c>
      <c r="T833" s="30">
        <v>0</v>
      </c>
      <c r="U833" s="51"/>
      <c r="V833" s="2120">
        <f>+IF(OR(ROUND(P833,2)+ROUND(R833,2)&gt;+ROUND(O833,2)+ROUND(Q833,2),+ABS(ROUND(P833,2)+ROUND(R833,2))&gt;+ABS(ROUND(O833,2)+ROUND(Q833,2))),+(ROUND(P833,2)+ROUND(R833,2))-(ROUND(O833,2)+ROUND(Q833,2)),0)</f>
        <v>0</v>
      </c>
      <c r="W833" s="43"/>
      <c r="X833" s="43"/>
      <c r="Y833" s="43"/>
      <c r="Z833" s="43"/>
    </row>
    <row r="834" spans="1:26">
      <c r="A834" s="88">
        <v>9130</v>
      </c>
      <c r="B834" s="1033" t="s">
        <v>376</v>
      </c>
      <c r="C834" s="1033"/>
      <c r="D834" s="1033"/>
      <c r="E834" s="1033"/>
      <c r="F834" s="1033"/>
      <c r="G834" s="1033"/>
      <c r="H834" s="1033"/>
      <c r="I834" s="1033"/>
      <c r="J834" s="1033"/>
      <c r="K834" s="1033"/>
      <c r="L834" s="90"/>
      <c r="M834" s="51"/>
      <c r="N834" s="113">
        <f t="shared" si="74"/>
        <v>9130</v>
      </c>
      <c r="O834" s="581"/>
      <c r="P834" s="582">
        <v>0</v>
      </c>
      <c r="Q834" s="589"/>
      <c r="R834" s="576"/>
      <c r="S834" s="27">
        <f>+IF(ABS(+O834+Q834)&gt;=ABS(P834+R834),+O834-P834+Q834-R834,0)</f>
        <v>0</v>
      </c>
      <c r="T834" s="30">
        <v>0</v>
      </c>
      <c r="U834" s="51"/>
      <c r="V834" s="2120">
        <f>+IF(OR(ROUND(P834,2)+ROUND(R834,2)&gt;+ROUND(O834,2)+ROUND(Q834,2),+ABS(ROUND(P834,2)+ROUND(R834,2))&gt;+ABS(ROUND(O834,2)+ROUND(Q834,2))),+(ROUND(P834,2)+ROUND(R834,2))-(ROUND(O834,2)+ROUND(Q834,2)),0)</f>
        <v>0</v>
      </c>
      <c r="W834" s="43"/>
      <c r="X834" s="43"/>
      <c r="Y834" s="43"/>
      <c r="Z834" s="43"/>
    </row>
    <row r="835" spans="1:26">
      <c r="A835" s="88">
        <v>9200</v>
      </c>
      <c r="B835" s="1033" t="s">
        <v>710</v>
      </c>
      <c r="C835" s="1033"/>
      <c r="D835" s="1033"/>
      <c r="E835" s="1033"/>
      <c r="F835" s="1033"/>
      <c r="G835" s="1033"/>
      <c r="H835" s="1033"/>
      <c r="I835" s="1033"/>
      <c r="J835" s="1033"/>
      <c r="K835" s="1033"/>
      <c r="L835" s="90"/>
      <c r="M835" s="51"/>
      <c r="N835" s="113">
        <f t="shared" si="74"/>
        <v>9200</v>
      </c>
      <c r="O835" s="575">
        <v>0</v>
      </c>
      <c r="P835" s="576">
        <v>0</v>
      </c>
      <c r="Q835" s="589">
        <v>0</v>
      </c>
      <c r="R835" s="121">
        <v>0</v>
      </c>
      <c r="S835" s="29">
        <v>0</v>
      </c>
      <c r="T835" s="28">
        <f>+IF(ABS(+O835+Q835)&lt;=ABS(P835+R835),-O835+P835-Q835+R835,0)</f>
        <v>0</v>
      </c>
      <c r="U835" s="51"/>
      <c r="V835" s="2119">
        <f>+IF(OR(+ROUND(O835,2)+ROUND(Q835,2)&gt;ROUND(P835,2)+ROUND(R835,2),+ABS(ROUND(O835,2)+ROUND(Q835,2))&gt;+ABS(ROUND(P835,2)+ROUND(R835,2))),+(ROUND(O835,2)+ROUND(Q835,2))-(ROUND(P835,2)+ROUND(R835,2)),0)</f>
        <v>0</v>
      </c>
      <c r="W835" s="43"/>
      <c r="X835" s="43"/>
      <c r="Y835" s="43"/>
      <c r="Z835" s="43"/>
    </row>
    <row r="836" spans="1:26">
      <c r="A836" s="346">
        <v>9208</v>
      </c>
      <c r="B836" s="1042" t="s">
        <v>711</v>
      </c>
      <c r="C836" s="1033"/>
      <c r="D836" s="1033"/>
      <c r="E836" s="1033"/>
      <c r="F836" s="1033"/>
      <c r="G836" s="1033"/>
      <c r="H836" s="1033"/>
      <c r="I836" s="1033"/>
      <c r="J836" s="1033"/>
      <c r="K836" s="1033"/>
      <c r="L836" s="90"/>
      <c r="M836" s="51"/>
      <c r="N836" s="113">
        <f t="shared" si="74"/>
        <v>9208</v>
      </c>
      <c r="O836" s="575">
        <v>0</v>
      </c>
      <c r="P836" s="576"/>
      <c r="Q836" s="589"/>
      <c r="R836" s="121"/>
      <c r="S836" s="579">
        <v>0</v>
      </c>
      <c r="T836" s="580">
        <f>+IF(ABS(+O836+Q836)&lt;=ABS(P836+R836),-O836+P836-Q836+R836,0)</f>
        <v>0</v>
      </c>
      <c r="U836" s="51"/>
      <c r="V836" s="2119">
        <f>+IF(OR(+ROUND(O836,2)+ROUND(Q836,2)&gt;ROUND(P836,2)+ROUND(R836,2),+ABS(ROUND(O836,2)+ROUND(Q836,2))&gt;+ABS(ROUND(P836,2)+ROUND(R836,2))),+(ROUND(O836,2)+ROUND(Q836,2))-(ROUND(P836,2)+ROUND(R836,2)),0)</f>
        <v>0</v>
      </c>
      <c r="W836" s="43"/>
      <c r="X836" s="43"/>
      <c r="Y836" s="43"/>
      <c r="Z836" s="43"/>
    </row>
    <row r="837" spans="1:26">
      <c r="A837" s="88">
        <v>9211</v>
      </c>
      <c r="B837" s="378" t="s">
        <v>712</v>
      </c>
      <c r="C837" s="1033"/>
      <c r="D837" s="1033"/>
      <c r="E837" s="1033"/>
      <c r="F837" s="1033"/>
      <c r="G837" s="1033"/>
      <c r="H837" s="1033"/>
      <c r="I837" s="1033"/>
      <c r="J837" s="1033"/>
      <c r="K837" s="1033"/>
      <c r="L837" s="90"/>
      <c r="M837" s="51"/>
      <c r="N837" s="113">
        <f t="shared" si="74"/>
        <v>9211</v>
      </c>
      <c r="O837" s="581"/>
      <c r="P837" s="582">
        <v>0</v>
      </c>
      <c r="Q837" s="589"/>
      <c r="R837" s="576"/>
      <c r="S837" s="583">
        <f>+IF(ABS(+O837+Q837)&gt;=ABS(P837+R837),+O837-P837+Q837-R837,0)</f>
        <v>0</v>
      </c>
      <c r="T837" s="584">
        <v>0</v>
      </c>
      <c r="U837" s="51"/>
      <c r="V837" s="2120">
        <f>+IF(OR(ROUND(P837,2)+ROUND(R837,2)&gt;+ROUND(O837,2)+ROUND(Q837,2),+ABS(ROUND(P837,2)+ROUND(R837,2))&gt;+ABS(ROUND(O837,2)+ROUND(Q837,2))),+(ROUND(P837,2)+ROUND(R837,2))-(ROUND(O837,2)+ROUND(Q837,2)),0)</f>
        <v>0</v>
      </c>
      <c r="W837" s="43"/>
      <c r="X837" s="43"/>
      <c r="Y837" s="43"/>
      <c r="Z837" s="43"/>
    </row>
    <row r="838" spans="1:26">
      <c r="A838" s="88">
        <v>9212</v>
      </c>
      <c r="B838" s="378" t="s">
        <v>713</v>
      </c>
      <c r="C838" s="1033"/>
      <c r="D838" s="1033"/>
      <c r="E838" s="1033"/>
      <c r="F838" s="1033"/>
      <c r="G838" s="1033"/>
      <c r="H838" s="1033"/>
      <c r="I838" s="1033"/>
      <c r="J838" s="1033"/>
      <c r="K838" s="1033"/>
      <c r="L838" s="90"/>
      <c r="M838" s="51"/>
      <c r="N838" s="113">
        <f t="shared" si="74"/>
        <v>9212</v>
      </c>
      <c r="O838" s="581"/>
      <c r="P838" s="582">
        <v>0</v>
      </c>
      <c r="Q838" s="589"/>
      <c r="R838" s="576"/>
      <c r="S838" s="583">
        <f>+IF(ABS(+O838+Q838)&gt;=ABS(P838+R838),+O838-P838+Q838-R838,0)</f>
        <v>0</v>
      </c>
      <c r="T838" s="584">
        <v>0</v>
      </c>
      <c r="U838" s="51"/>
      <c r="V838" s="2120">
        <f>+IF(OR(ROUND(P838,2)+ROUND(R838,2)&gt;+ROUND(O838,2)+ROUND(Q838,2),+ABS(ROUND(P838,2)+ROUND(R838,2))&gt;+ABS(ROUND(O838,2)+ROUND(Q838,2))),+(ROUND(P838,2)+ROUND(R838,2))-(ROUND(O838,2)+ROUND(Q838,2)),0)</f>
        <v>0</v>
      </c>
      <c r="W838" s="43"/>
      <c r="X838" s="43"/>
      <c r="Y838" s="43"/>
      <c r="Z838" s="43"/>
    </row>
    <row r="839" spans="1:26">
      <c r="A839" s="88">
        <v>9214</v>
      </c>
      <c r="B839" s="1033" t="s">
        <v>714</v>
      </c>
      <c r="C839" s="1033"/>
      <c r="D839" s="1033"/>
      <c r="E839" s="1033"/>
      <c r="F839" s="1033"/>
      <c r="G839" s="1033"/>
      <c r="H839" s="1033"/>
      <c r="I839" s="1033"/>
      <c r="J839" s="1033"/>
      <c r="K839" s="1033"/>
      <c r="L839" s="90"/>
      <c r="M839" s="51"/>
      <c r="N839" s="113">
        <f t="shared" si="74"/>
        <v>9214</v>
      </c>
      <c r="O839" s="581"/>
      <c r="P839" s="582">
        <v>0</v>
      </c>
      <c r="Q839" s="589"/>
      <c r="R839" s="576"/>
      <c r="S839" s="583">
        <f>+IF(ABS(+O839+Q839)&gt;=ABS(P839+R839),+O839-P839+Q839-R839,0)</f>
        <v>0</v>
      </c>
      <c r="T839" s="584">
        <v>0</v>
      </c>
      <c r="U839" s="51"/>
      <c r="V839" s="2120">
        <f>+IF(OR(ROUND(P839,2)+ROUND(R839,2)&gt;+ROUND(O839,2)+ROUND(Q839,2),+ABS(ROUND(P839,2)+ROUND(R839,2))&gt;+ABS(ROUND(O839,2)+ROUND(Q839,2))),+(ROUND(P839,2)+ROUND(R839,2))-(ROUND(O839,2)+ROUND(Q839,2)),0)</f>
        <v>0</v>
      </c>
      <c r="W839" s="43"/>
      <c r="X839" s="43"/>
      <c r="Y839" s="43"/>
      <c r="Z839" s="43"/>
    </row>
    <row r="840" spans="1:26">
      <c r="A840" s="88">
        <v>9215</v>
      </c>
      <c r="B840" s="1033" t="s">
        <v>715</v>
      </c>
      <c r="C840" s="1033"/>
      <c r="D840" s="1033"/>
      <c r="E840" s="1033"/>
      <c r="F840" s="1033"/>
      <c r="G840" s="1033"/>
      <c r="H840" s="1033"/>
      <c r="I840" s="1033"/>
      <c r="J840" s="1033"/>
      <c r="K840" s="1033"/>
      <c r="L840" s="90"/>
      <c r="M840" s="51"/>
      <c r="N840" s="113">
        <f t="shared" si="74"/>
        <v>9215</v>
      </c>
      <c r="O840" s="581"/>
      <c r="P840" s="582">
        <v>0</v>
      </c>
      <c r="Q840" s="589"/>
      <c r="R840" s="576"/>
      <c r="S840" s="583">
        <f>+IF(ABS(+O840+Q840)&gt;=ABS(P840+R840),+O840-P840+Q840-R840,0)</f>
        <v>0</v>
      </c>
      <c r="T840" s="584">
        <v>0</v>
      </c>
      <c r="U840" s="51"/>
      <c r="V840" s="2120">
        <f>+IF(OR(ROUND(P840,2)+ROUND(R840,2)&gt;+ROUND(O840,2)+ROUND(Q840,2),+ABS(ROUND(P840,2)+ROUND(R840,2))&gt;+ABS(ROUND(O840,2)+ROUND(Q840,2))),+(ROUND(P840,2)+ROUND(R840,2))-(ROUND(O840,2)+ROUND(Q840,2)),0)</f>
        <v>0</v>
      </c>
      <c r="W840" s="43"/>
      <c r="X840" s="43"/>
      <c r="Y840" s="43"/>
      <c r="Z840" s="43"/>
    </row>
    <row r="841" spans="1:26">
      <c r="A841" s="88">
        <v>9216</v>
      </c>
      <c r="B841" s="1033" t="s">
        <v>716</v>
      </c>
      <c r="C841" s="1033"/>
      <c r="D841" s="1033"/>
      <c r="E841" s="1033"/>
      <c r="F841" s="1033"/>
      <c r="G841" s="1033"/>
      <c r="H841" s="1033"/>
      <c r="I841" s="1033"/>
      <c r="J841" s="1033"/>
      <c r="K841" s="1033"/>
      <c r="L841" s="90"/>
      <c r="M841" s="51"/>
      <c r="N841" s="113">
        <f t="shared" si="74"/>
        <v>9216</v>
      </c>
      <c r="O841" s="581"/>
      <c r="P841" s="582">
        <v>0</v>
      </c>
      <c r="Q841" s="589"/>
      <c r="R841" s="576"/>
      <c r="S841" s="583">
        <f>+IF(ABS(+O841+Q841)&gt;=ABS(P841+R841),+O841-P841+Q841-R841,0)</f>
        <v>0</v>
      </c>
      <c r="T841" s="584">
        <v>0</v>
      </c>
      <c r="U841" s="51"/>
      <c r="V841" s="2120">
        <f>+IF(OR(ROUND(P841,2)+ROUND(R841,2)&gt;+ROUND(O841,2)+ROUND(Q841,2),+ABS(ROUND(P841,2)+ROUND(R841,2))&gt;+ABS(ROUND(O841,2)+ROUND(Q841,2))),+(ROUND(P841,2)+ROUND(R841,2))-(ROUND(O841,2)+ROUND(Q841,2)),0)</f>
        <v>0</v>
      </c>
      <c r="W841" s="43"/>
      <c r="X841" s="43"/>
      <c r="Y841" s="43"/>
      <c r="Z841" s="43"/>
    </row>
    <row r="842" spans="1:26">
      <c r="A842" s="88">
        <v>9221</v>
      </c>
      <c r="B842" s="1033" t="s">
        <v>717</v>
      </c>
      <c r="C842" s="1033"/>
      <c r="D842" s="1033"/>
      <c r="E842" s="1033"/>
      <c r="F842" s="1033"/>
      <c r="G842" s="1033"/>
      <c r="H842" s="1033"/>
      <c r="I842" s="1033"/>
      <c r="J842" s="1033"/>
      <c r="K842" s="1033"/>
      <c r="L842" s="90"/>
      <c r="M842" s="51"/>
      <c r="N842" s="113">
        <f t="shared" si="74"/>
        <v>9221</v>
      </c>
      <c r="O842" s="575">
        <v>0</v>
      </c>
      <c r="P842" s="576"/>
      <c r="Q842" s="589"/>
      <c r="R842" s="121"/>
      <c r="S842" s="579">
        <v>0</v>
      </c>
      <c r="T842" s="580">
        <f>+IF(ABS(+O842+Q842)&lt;=ABS(P842+R842),-O842+P842-Q842+R842,0)</f>
        <v>0</v>
      </c>
      <c r="U842" s="51"/>
      <c r="V842" s="2119">
        <f>+IF(OR(+ROUND(O842,2)+ROUND(Q842,2)&gt;ROUND(P842,2)+ROUND(R842,2),+ABS(ROUND(O842,2)+ROUND(Q842,2))&gt;+ABS(ROUND(P842,2)+ROUND(R842,2))),+(ROUND(O842,2)+ROUND(Q842,2))-(ROUND(P842,2)+ROUND(R842,2)),0)</f>
        <v>0</v>
      </c>
      <c r="W842" s="43"/>
      <c r="X842" s="43"/>
      <c r="Y842" s="43"/>
      <c r="Z842" s="43"/>
    </row>
    <row r="843" spans="1:26">
      <c r="A843" s="88">
        <v>9222</v>
      </c>
      <c r="B843" s="1033" t="s">
        <v>718</v>
      </c>
      <c r="C843" s="1033"/>
      <c r="D843" s="1033"/>
      <c r="E843" s="1033"/>
      <c r="F843" s="1033"/>
      <c r="G843" s="1033"/>
      <c r="H843" s="1033"/>
      <c r="I843" s="1033"/>
      <c r="J843" s="1033"/>
      <c r="K843" s="1033"/>
      <c r="L843" s="90"/>
      <c r="M843" s="51"/>
      <c r="N843" s="113">
        <f t="shared" si="74"/>
        <v>9222</v>
      </c>
      <c r="O843" s="575">
        <v>0</v>
      </c>
      <c r="P843" s="576"/>
      <c r="Q843" s="589"/>
      <c r="R843" s="121"/>
      <c r="S843" s="579">
        <v>0</v>
      </c>
      <c r="T843" s="580">
        <f>+IF(ABS(+O843+Q843)&lt;=ABS(P843+R843),-O843+P843-Q843+R843,0)</f>
        <v>0</v>
      </c>
      <c r="U843" s="51"/>
      <c r="V843" s="2119">
        <f>+IF(OR(+ROUND(O843,2)+ROUND(Q843,2)&gt;ROUND(P843,2)+ROUND(R843,2),+ABS(ROUND(O843,2)+ROUND(Q843,2))&gt;+ABS(ROUND(P843,2)+ROUND(R843,2))),+(ROUND(O843,2)+ROUND(Q843,2))-(ROUND(P843,2)+ROUND(R843,2)),0)</f>
        <v>0</v>
      </c>
      <c r="W843" s="43"/>
      <c r="X843" s="43"/>
      <c r="Y843" s="43"/>
      <c r="Z843" s="43"/>
    </row>
    <row r="844" spans="1:26">
      <c r="A844" s="88">
        <v>9231</v>
      </c>
      <c r="B844" s="1033" t="s">
        <v>719</v>
      </c>
      <c r="C844" s="1033"/>
      <c r="D844" s="1033"/>
      <c r="E844" s="1033"/>
      <c r="F844" s="1033"/>
      <c r="G844" s="1033"/>
      <c r="H844" s="1033"/>
      <c r="I844" s="1033"/>
      <c r="J844" s="1033"/>
      <c r="K844" s="1033"/>
      <c r="L844" s="90"/>
      <c r="M844" s="51"/>
      <c r="N844" s="113">
        <f t="shared" si="74"/>
        <v>9231</v>
      </c>
      <c r="O844" s="575">
        <v>0</v>
      </c>
      <c r="P844" s="576"/>
      <c r="Q844" s="589"/>
      <c r="R844" s="121"/>
      <c r="S844" s="579">
        <v>0</v>
      </c>
      <c r="T844" s="580">
        <f>+IF(ABS(+O844+Q844)&lt;=ABS(P844+R844),-O844+P844-Q844+R844,0)</f>
        <v>0</v>
      </c>
      <c r="U844" s="51"/>
      <c r="V844" s="2119">
        <f>+IF(OR(+ROUND(O844,2)+ROUND(Q844,2)&gt;ROUND(P844,2)+ROUND(R844,2),+ABS(ROUND(O844,2)+ROUND(Q844,2))&gt;+ABS(ROUND(P844,2)+ROUND(R844,2))),+(ROUND(O844,2)+ROUND(Q844,2))-(ROUND(P844,2)+ROUND(R844,2)),0)</f>
        <v>0</v>
      </c>
      <c r="W844" s="43"/>
      <c r="X844" s="43"/>
      <c r="Y844" s="43"/>
      <c r="Z844" s="43"/>
    </row>
    <row r="845" spans="1:26">
      <c r="A845" s="88">
        <v>9233</v>
      </c>
      <c r="B845" s="1033" t="s">
        <v>720</v>
      </c>
      <c r="C845" s="1033"/>
      <c r="D845" s="1033"/>
      <c r="E845" s="1033"/>
      <c r="F845" s="1033"/>
      <c r="G845" s="1033"/>
      <c r="H845" s="1033"/>
      <c r="I845" s="1033"/>
      <c r="J845" s="1033"/>
      <c r="K845" s="1033"/>
      <c r="L845" s="90"/>
      <c r="M845" s="51"/>
      <c r="N845" s="113">
        <f t="shared" si="74"/>
        <v>9233</v>
      </c>
      <c r="O845" s="575">
        <v>0</v>
      </c>
      <c r="P845" s="576"/>
      <c r="Q845" s="589"/>
      <c r="R845" s="121"/>
      <c r="S845" s="579">
        <v>0</v>
      </c>
      <c r="T845" s="580">
        <f>+IF(ABS(+O845+Q845)&lt;=ABS(P845+R845),-O845+P845-Q845+R845,0)</f>
        <v>0</v>
      </c>
      <c r="U845" s="51"/>
      <c r="V845" s="2119">
        <f>+IF(OR(+ROUND(O845,2)+ROUND(Q845,2)&gt;ROUND(P845,2)+ROUND(R845,2),+ABS(ROUND(O845,2)+ROUND(Q845,2))&gt;+ABS(ROUND(P845,2)+ROUND(R845,2))),+(ROUND(O845,2)+ROUND(Q845,2))-(ROUND(P845,2)+ROUND(R845,2)),0)</f>
        <v>0</v>
      </c>
      <c r="W845" s="43"/>
      <c r="X845" s="43"/>
      <c r="Y845" s="43"/>
      <c r="Z845" s="43"/>
    </row>
    <row r="846" spans="1:26">
      <c r="A846" s="88">
        <v>9289</v>
      </c>
      <c r="B846" s="1033" t="s">
        <v>381</v>
      </c>
      <c r="C846" s="1033"/>
      <c r="D846" s="1033"/>
      <c r="E846" s="1033"/>
      <c r="F846" s="1033"/>
      <c r="G846" s="1033"/>
      <c r="H846" s="1033"/>
      <c r="I846" s="1033"/>
      <c r="J846" s="1033"/>
      <c r="K846" s="1033"/>
      <c r="L846" s="90"/>
      <c r="M846" s="51"/>
      <c r="N846" s="113">
        <f t="shared" si="74"/>
        <v>9289</v>
      </c>
      <c r="O846" s="581"/>
      <c r="P846" s="582">
        <v>0</v>
      </c>
      <c r="Q846" s="589"/>
      <c r="R846" s="576"/>
      <c r="S846" s="583">
        <f>+IF(ABS(+O846+Q846)&gt;=ABS(P846+R846),+O846-P846+Q846-R846,0)</f>
        <v>0</v>
      </c>
      <c r="T846" s="584">
        <v>0</v>
      </c>
      <c r="U846" s="51"/>
      <c r="V846" s="2120">
        <f>+IF(OR(ROUND(P846,2)+ROUND(R846,2)&gt;+ROUND(O846,2)+ROUND(Q846,2),+ABS(ROUND(P846,2)+ROUND(R846,2))&gt;+ABS(ROUND(O846,2)+ROUND(Q846,2))),+(ROUND(P846,2)+ROUND(R846,2))-(ROUND(O846,2)+ROUND(Q846,2)),0)</f>
        <v>0</v>
      </c>
      <c r="W846" s="43"/>
      <c r="X846" s="43"/>
      <c r="Y846" s="43"/>
      <c r="Z846" s="43"/>
    </row>
    <row r="847" spans="1:26">
      <c r="A847" s="88">
        <v>9295</v>
      </c>
      <c r="B847" s="1033" t="s">
        <v>721</v>
      </c>
      <c r="C847" s="1039"/>
      <c r="D847" s="1039"/>
      <c r="E847" s="1039"/>
      <c r="F847" s="1039"/>
      <c r="G847" s="1039"/>
      <c r="H847" s="1039"/>
      <c r="I847" s="1039"/>
      <c r="J847" s="1039"/>
      <c r="K847" s="1039"/>
      <c r="L847" s="574"/>
      <c r="M847" s="51"/>
      <c r="N847" s="113">
        <f t="shared" si="74"/>
        <v>9295</v>
      </c>
      <c r="O847" s="575">
        <v>0</v>
      </c>
      <c r="P847" s="582">
        <v>0</v>
      </c>
      <c r="Q847" s="579">
        <v>0</v>
      </c>
      <c r="R847" s="582">
        <v>0</v>
      </c>
      <c r="S847" s="579">
        <v>0</v>
      </c>
      <c r="T847" s="584">
        <v>0</v>
      </c>
      <c r="U847" s="51"/>
      <c r="V847" s="2125">
        <f>+IF(OR(O847&lt;&gt;0,P847&lt;&gt;0,Q847&lt;&gt;0,R847&lt;&gt;0,S847&lt;&gt;0,T847&lt;&gt;0),+IF(ABS(O847+Q847)-ABS(P847+R847)&lt;&gt;0,ABS(O847+Q847)-ABS(P847+R847),1),0)</f>
        <v>0</v>
      </c>
      <c r="W847" s="43"/>
      <c r="X847" s="43"/>
      <c r="Y847" s="43"/>
      <c r="Z847" s="43"/>
    </row>
    <row r="848" spans="1:26">
      <c r="A848" s="88">
        <v>9299</v>
      </c>
      <c r="B848" s="1033" t="s">
        <v>382</v>
      </c>
      <c r="C848" s="1033"/>
      <c r="D848" s="1033"/>
      <c r="E848" s="1033"/>
      <c r="F848" s="1033"/>
      <c r="G848" s="1033"/>
      <c r="H848" s="1033"/>
      <c r="I848" s="1033"/>
      <c r="J848" s="1033"/>
      <c r="K848" s="1033"/>
      <c r="L848" s="90"/>
      <c r="M848" s="51"/>
      <c r="N848" s="113">
        <f t="shared" si="74"/>
        <v>9299</v>
      </c>
      <c r="O848" s="575">
        <v>0</v>
      </c>
      <c r="P848" s="576"/>
      <c r="Q848" s="589"/>
      <c r="R848" s="121"/>
      <c r="S848" s="579">
        <v>0</v>
      </c>
      <c r="T848" s="580">
        <f t="shared" ref="T848:T857" si="75">+IF(ABS(+O848+Q848)&lt;=ABS(P848+R848),-O848+P848-Q848+R848,0)</f>
        <v>0</v>
      </c>
      <c r="U848" s="51"/>
      <c r="V848" s="2119">
        <f>+IF(OR(+ROUND(O848,2)+ROUND(Q848,2)&gt;ROUND(P848,2)+ROUND(R848,2),+ABS(ROUND(O848,2)+ROUND(Q848,2))&gt;+ABS(ROUND(P848,2)+ROUND(R848,2))),+(ROUND(O848,2)+ROUND(Q848,2))-(ROUND(P848,2)+ROUND(R848,2)),0)</f>
        <v>0</v>
      </c>
      <c r="W848" s="43"/>
      <c r="X848" s="43"/>
      <c r="Y848" s="43"/>
      <c r="Z848" s="43"/>
    </row>
    <row r="849" spans="1:26" ht="15.75" customHeight="1">
      <c r="A849" s="88">
        <v>9800</v>
      </c>
      <c r="B849" s="1033" t="s">
        <v>722</v>
      </c>
      <c r="C849" s="1038"/>
      <c r="D849" s="1038"/>
      <c r="E849" s="1038"/>
      <c r="F849" s="1038"/>
      <c r="G849" s="1038"/>
      <c r="H849" s="1038"/>
      <c r="I849" s="1038"/>
      <c r="J849" s="1038"/>
      <c r="K849" s="1038"/>
      <c r="L849" s="590"/>
      <c r="M849" s="51"/>
      <c r="N849" s="113">
        <f t="shared" si="74"/>
        <v>9800</v>
      </c>
      <c r="O849" s="575">
        <v>0</v>
      </c>
      <c r="P849" s="582">
        <v>0</v>
      </c>
      <c r="Q849" s="589">
        <v>0</v>
      </c>
      <c r="R849" s="576">
        <v>0</v>
      </c>
      <c r="S849" s="583">
        <f t="shared" ref="S849:S867" si="76">+IF(ABS(+O849+Q849)&gt;=ABS(P849+R849),+O849-P849+Q849-R849,0)</f>
        <v>0</v>
      </c>
      <c r="T849" s="580">
        <f t="shared" si="75"/>
        <v>0</v>
      </c>
      <c r="U849" s="51"/>
      <c r="V849" s="2119"/>
      <c r="W849" s="43"/>
      <c r="X849" s="43"/>
      <c r="Y849" s="43"/>
      <c r="Z849" s="43"/>
    </row>
    <row r="850" spans="1:26" ht="15.75" customHeight="1">
      <c r="A850" s="88">
        <v>9801</v>
      </c>
      <c r="B850" s="1033" t="s">
        <v>723</v>
      </c>
      <c r="C850" s="1038"/>
      <c r="D850" s="1038"/>
      <c r="E850" s="1038"/>
      <c r="F850" s="1038"/>
      <c r="G850" s="1038"/>
      <c r="H850" s="1038"/>
      <c r="I850" s="1038"/>
      <c r="J850" s="1038"/>
      <c r="K850" s="1038"/>
      <c r="L850" s="590"/>
      <c r="M850" s="51"/>
      <c r="N850" s="113">
        <f t="shared" si="74"/>
        <v>9801</v>
      </c>
      <c r="O850" s="575">
        <v>0</v>
      </c>
      <c r="P850" s="582">
        <v>0</v>
      </c>
      <c r="Q850" s="589">
        <v>0</v>
      </c>
      <c r="R850" s="576">
        <v>0</v>
      </c>
      <c r="S850" s="583">
        <f t="shared" si="76"/>
        <v>0</v>
      </c>
      <c r="T850" s="580">
        <f t="shared" si="75"/>
        <v>0</v>
      </c>
      <c r="U850" s="51"/>
      <c r="V850" s="2119"/>
      <c r="W850" s="43"/>
      <c r="X850" s="43"/>
      <c r="Y850" s="43"/>
      <c r="Z850" s="43"/>
    </row>
    <row r="851" spans="1:26" ht="15.75" customHeight="1">
      <c r="A851" s="88">
        <v>9803</v>
      </c>
      <c r="B851" s="1033" t="s">
        <v>724</v>
      </c>
      <c r="C851" s="1038"/>
      <c r="D851" s="1038"/>
      <c r="E851" s="1038"/>
      <c r="F851" s="1038"/>
      <c r="G851" s="1038"/>
      <c r="H851" s="1038"/>
      <c r="I851" s="1038"/>
      <c r="J851" s="1038"/>
      <c r="K851" s="1038"/>
      <c r="L851" s="590"/>
      <c r="M851" s="51"/>
      <c r="N851" s="113">
        <f t="shared" si="74"/>
        <v>9803</v>
      </c>
      <c r="O851" s="575">
        <v>0</v>
      </c>
      <c r="P851" s="582">
        <v>0</v>
      </c>
      <c r="Q851" s="589">
        <v>0</v>
      </c>
      <c r="R851" s="576">
        <v>0</v>
      </c>
      <c r="S851" s="583">
        <f t="shared" si="76"/>
        <v>0</v>
      </c>
      <c r="T851" s="580">
        <f t="shared" si="75"/>
        <v>0</v>
      </c>
      <c r="U851" s="51"/>
      <c r="V851" s="2119"/>
      <c r="W851" s="43"/>
      <c r="X851" s="43"/>
      <c r="Y851" s="43"/>
      <c r="Z851" s="43"/>
    </row>
    <row r="852" spans="1:26" ht="15.75" customHeight="1">
      <c r="A852" s="88">
        <v>9804</v>
      </c>
      <c r="B852" s="1033" t="s">
        <v>87</v>
      </c>
      <c r="C852" s="1038"/>
      <c r="D852" s="1038"/>
      <c r="E852" s="1038"/>
      <c r="F852" s="1038"/>
      <c r="G852" s="1038"/>
      <c r="H852" s="1038"/>
      <c r="I852" s="1038"/>
      <c r="J852" s="1038"/>
      <c r="K852" s="1038"/>
      <c r="L852" s="590"/>
      <c r="M852" s="51"/>
      <c r="N852" s="113">
        <f t="shared" si="74"/>
        <v>9804</v>
      </c>
      <c r="O852" s="575">
        <v>0</v>
      </c>
      <c r="P852" s="582">
        <v>0</v>
      </c>
      <c r="Q852" s="589"/>
      <c r="R852" s="576"/>
      <c r="S852" s="583">
        <f t="shared" si="76"/>
        <v>0</v>
      </c>
      <c r="T852" s="580">
        <f t="shared" si="75"/>
        <v>0</v>
      </c>
      <c r="U852" s="51"/>
      <c r="V852" s="2119"/>
      <c r="W852" s="43"/>
      <c r="X852" s="43"/>
      <c r="Y852" s="43"/>
      <c r="Z852" s="43"/>
    </row>
    <row r="853" spans="1:26" ht="15.75" customHeight="1">
      <c r="A853" s="88">
        <v>9805</v>
      </c>
      <c r="B853" s="1033" t="s">
        <v>88</v>
      </c>
      <c r="C853" s="1038"/>
      <c r="D853" s="1038"/>
      <c r="E853" s="1038"/>
      <c r="F853" s="1038"/>
      <c r="G853" s="1038"/>
      <c r="H853" s="1038"/>
      <c r="I853" s="1038"/>
      <c r="J853" s="1038"/>
      <c r="K853" s="1038"/>
      <c r="L853" s="590"/>
      <c r="M853" s="51"/>
      <c r="N853" s="113">
        <f t="shared" si="74"/>
        <v>9805</v>
      </c>
      <c r="O853" s="575">
        <v>0</v>
      </c>
      <c r="P853" s="582">
        <v>0</v>
      </c>
      <c r="Q853" s="589"/>
      <c r="R853" s="576"/>
      <c r="S853" s="583">
        <f t="shared" si="76"/>
        <v>0</v>
      </c>
      <c r="T853" s="580">
        <f t="shared" si="75"/>
        <v>0</v>
      </c>
      <c r="U853" s="51"/>
      <c r="V853" s="2119"/>
      <c r="W853" s="43"/>
      <c r="X853" s="43"/>
      <c r="Y853" s="43"/>
      <c r="Z853" s="43"/>
    </row>
    <row r="854" spans="1:26" ht="15.75" customHeight="1">
      <c r="A854" s="88">
        <v>9806</v>
      </c>
      <c r="B854" s="1033" t="s">
        <v>89</v>
      </c>
      <c r="C854" s="1038"/>
      <c r="D854" s="1038"/>
      <c r="E854" s="1038"/>
      <c r="F854" s="1038"/>
      <c r="G854" s="1038"/>
      <c r="H854" s="1038"/>
      <c r="I854" s="1038"/>
      <c r="J854" s="1038"/>
      <c r="K854" s="1038"/>
      <c r="L854" s="590"/>
      <c r="M854" s="51"/>
      <c r="N854" s="113">
        <f t="shared" si="74"/>
        <v>9806</v>
      </c>
      <c r="O854" s="575">
        <v>0</v>
      </c>
      <c r="P854" s="582">
        <v>0</v>
      </c>
      <c r="Q854" s="589"/>
      <c r="R854" s="576"/>
      <c r="S854" s="583">
        <f t="shared" si="76"/>
        <v>0</v>
      </c>
      <c r="T854" s="580">
        <f t="shared" si="75"/>
        <v>0</v>
      </c>
      <c r="U854" s="51"/>
      <c r="V854" s="2119"/>
      <c r="W854" s="43"/>
      <c r="X854" s="43"/>
      <c r="Y854" s="43"/>
      <c r="Z854" s="43"/>
    </row>
    <row r="855" spans="1:26" ht="15.75" customHeight="1">
      <c r="A855" s="88">
        <v>9808</v>
      </c>
      <c r="B855" s="1033" t="s">
        <v>90</v>
      </c>
      <c r="C855" s="1038"/>
      <c r="D855" s="1038"/>
      <c r="E855" s="1038"/>
      <c r="F855" s="1038"/>
      <c r="G855" s="1038"/>
      <c r="H855" s="1038"/>
      <c r="I855" s="1038"/>
      <c r="J855" s="1038"/>
      <c r="K855" s="1038"/>
      <c r="L855" s="590"/>
      <c r="M855" s="51"/>
      <c r="N855" s="113">
        <f t="shared" si="74"/>
        <v>9808</v>
      </c>
      <c r="O855" s="575">
        <v>0</v>
      </c>
      <c r="P855" s="582">
        <v>0</v>
      </c>
      <c r="Q855" s="589">
        <v>0</v>
      </c>
      <c r="R855" s="576">
        <v>0</v>
      </c>
      <c r="S855" s="583">
        <f t="shared" si="76"/>
        <v>0</v>
      </c>
      <c r="T855" s="580">
        <f t="shared" si="75"/>
        <v>0</v>
      </c>
      <c r="U855" s="51"/>
      <c r="V855" s="2119"/>
      <c r="W855" s="43"/>
      <c r="X855" s="43"/>
      <c r="Y855" s="43"/>
      <c r="Z855" s="43"/>
    </row>
    <row r="856" spans="1:26" ht="15.75" customHeight="1">
      <c r="A856" s="88">
        <v>9809</v>
      </c>
      <c r="B856" s="1033" t="s">
        <v>91</v>
      </c>
      <c r="C856" s="1038"/>
      <c r="D856" s="1038"/>
      <c r="E856" s="1038"/>
      <c r="F856" s="1038"/>
      <c r="G856" s="1038"/>
      <c r="H856" s="1038"/>
      <c r="I856" s="1038"/>
      <c r="J856" s="1038"/>
      <c r="K856" s="1038"/>
      <c r="L856" s="590"/>
      <c r="M856" s="51"/>
      <c r="N856" s="113">
        <f t="shared" si="74"/>
        <v>9809</v>
      </c>
      <c r="O856" s="575">
        <v>0</v>
      </c>
      <c r="P856" s="582">
        <v>0</v>
      </c>
      <c r="Q856" s="589"/>
      <c r="R856" s="576"/>
      <c r="S856" s="583">
        <f t="shared" si="76"/>
        <v>0</v>
      </c>
      <c r="T856" s="580">
        <f t="shared" si="75"/>
        <v>0</v>
      </c>
      <c r="U856" s="51"/>
      <c r="V856" s="2119"/>
      <c r="W856" s="43"/>
      <c r="X856" s="43"/>
      <c r="Y856" s="43"/>
      <c r="Z856" s="43"/>
    </row>
    <row r="857" spans="1:26" ht="15.75" customHeight="1">
      <c r="A857" s="88">
        <v>9860</v>
      </c>
      <c r="B857" s="1033" t="s">
        <v>92</v>
      </c>
      <c r="C857" s="1038"/>
      <c r="D857" s="1038"/>
      <c r="E857" s="1038"/>
      <c r="F857" s="1038"/>
      <c r="G857" s="1038"/>
      <c r="H857" s="1038"/>
      <c r="I857" s="1038"/>
      <c r="J857" s="1038"/>
      <c r="K857" s="1038"/>
      <c r="L857" s="590"/>
      <c r="M857" s="51"/>
      <c r="N857" s="113">
        <f t="shared" si="74"/>
        <v>9860</v>
      </c>
      <c r="O857" s="575">
        <v>0</v>
      </c>
      <c r="P857" s="582">
        <v>0</v>
      </c>
      <c r="Q857" s="589">
        <v>0</v>
      </c>
      <c r="R857" s="576">
        <v>0</v>
      </c>
      <c r="S857" s="583">
        <f t="shared" si="76"/>
        <v>0</v>
      </c>
      <c r="T857" s="580">
        <f t="shared" si="75"/>
        <v>0</v>
      </c>
      <c r="U857" s="51"/>
      <c r="V857" s="2119"/>
      <c r="W857" s="43"/>
      <c r="X857" s="43"/>
      <c r="Y857" s="43"/>
      <c r="Z857" s="43"/>
    </row>
    <row r="858" spans="1:26">
      <c r="A858" s="88">
        <v>9909</v>
      </c>
      <c r="B858" s="1033" t="s">
        <v>93</v>
      </c>
      <c r="C858" s="1033"/>
      <c r="D858" s="1033"/>
      <c r="E858" s="1033"/>
      <c r="F858" s="1033"/>
      <c r="G858" s="1033"/>
      <c r="H858" s="1033"/>
      <c r="I858" s="1033"/>
      <c r="J858" s="1033"/>
      <c r="K858" s="1033"/>
      <c r="L858" s="90"/>
      <c r="M858" s="51"/>
      <c r="N858" s="113">
        <f t="shared" ref="N858:N887" si="77">+A858</f>
        <v>9909</v>
      </c>
      <c r="O858" s="581">
        <v>0</v>
      </c>
      <c r="P858" s="582">
        <v>0</v>
      </c>
      <c r="Q858" s="589">
        <v>0</v>
      </c>
      <c r="R858" s="576">
        <v>0</v>
      </c>
      <c r="S858" s="583">
        <f t="shared" si="76"/>
        <v>0</v>
      </c>
      <c r="T858" s="584">
        <v>0</v>
      </c>
      <c r="U858" s="51"/>
      <c r="V858" s="2120">
        <f t="shared" ref="V858:V867" si="78">+IF(OR(ROUND(P858,2)+ROUND(R858,2)&gt;+ROUND(O858,2)+ROUND(Q858,2),+ABS(ROUND(P858,2)+ROUND(R858,2))&gt;+ABS(ROUND(O858,2)+ROUND(Q858,2))),+(ROUND(P858,2)+ROUND(R858,2))-(ROUND(O858,2)+ROUND(Q858,2)),0)</f>
        <v>0</v>
      </c>
      <c r="W858" s="43"/>
      <c r="X858" s="43"/>
      <c r="Y858" s="43"/>
      <c r="Z858" s="43"/>
    </row>
    <row r="859" spans="1:26">
      <c r="A859" s="88">
        <v>9911</v>
      </c>
      <c r="B859" s="1033" t="s">
        <v>94</v>
      </c>
      <c r="C859" s="1033"/>
      <c r="D859" s="1033"/>
      <c r="E859" s="1033"/>
      <c r="F859" s="1033"/>
      <c r="G859" s="1033"/>
      <c r="H859" s="1033"/>
      <c r="I859" s="1033"/>
      <c r="J859" s="1033"/>
      <c r="K859" s="1033"/>
      <c r="L859" s="90"/>
      <c r="M859" s="51"/>
      <c r="N859" s="113">
        <f t="shared" si="77"/>
        <v>9911</v>
      </c>
      <c r="O859" s="581"/>
      <c r="P859" s="582">
        <v>0</v>
      </c>
      <c r="Q859" s="589"/>
      <c r="R859" s="576"/>
      <c r="S859" s="583">
        <f t="shared" si="76"/>
        <v>0</v>
      </c>
      <c r="T859" s="584">
        <v>0</v>
      </c>
      <c r="U859" s="51"/>
      <c r="V859" s="2120">
        <f t="shared" si="78"/>
        <v>0</v>
      </c>
      <c r="W859" s="43"/>
      <c r="X859" s="43"/>
      <c r="Y859" s="43"/>
      <c r="Z859" s="43"/>
    </row>
    <row r="860" spans="1:26">
      <c r="A860" s="88">
        <v>9912</v>
      </c>
      <c r="B860" s="1033" t="s">
        <v>95</v>
      </c>
      <c r="C860" s="1033"/>
      <c r="D860" s="1033"/>
      <c r="E860" s="1033"/>
      <c r="F860" s="1033"/>
      <c r="G860" s="1033"/>
      <c r="H860" s="1033"/>
      <c r="I860" s="1033"/>
      <c r="J860" s="1033"/>
      <c r="K860" s="1033"/>
      <c r="L860" s="90"/>
      <c r="M860" s="51"/>
      <c r="N860" s="113">
        <f t="shared" si="77"/>
        <v>9912</v>
      </c>
      <c r="O860" s="581"/>
      <c r="P860" s="582">
        <v>0</v>
      </c>
      <c r="Q860" s="589"/>
      <c r="R860" s="576"/>
      <c r="S860" s="583">
        <f t="shared" si="76"/>
        <v>0</v>
      </c>
      <c r="T860" s="584">
        <v>0</v>
      </c>
      <c r="U860" s="51"/>
      <c r="V860" s="2120">
        <f t="shared" si="78"/>
        <v>0</v>
      </c>
      <c r="W860" s="43"/>
      <c r="X860" s="43"/>
      <c r="Y860" s="43"/>
      <c r="Z860" s="43"/>
    </row>
    <row r="861" spans="1:26">
      <c r="A861" s="88">
        <v>9913</v>
      </c>
      <c r="B861" s="1033" t="s">
        <v>96</v>
      </c>
      <c r="C861" s="1033"/>
      <c r="D861" s="1033"/>
      <c r="E861" s="1033"/>
      <c r="F861" s="1033"/>
      <c r="G861" s="1033"/>
      <c r="H861" s="1033"/>
      <c r="I861" s="1033"/>
      <c r="J861" s="1033"/>
      <c r="K861" s="1033"/>
      <c r="L861" s="90"/>
      <c r="M861" s="51"/>
      <c r="N861" s="113">
        <f t="shared" si="77"/>
        <v>9913</v>
      </c>
      <c r="O861" s="581">
        <v>0</v>
      </c>
      <c r="P861" s="582">
        <v>0</v>
      </c>
      <c r="Q861" s="589">
        <v>0</v>
      </c>
      <c r="R861" s="576">
        <v>0</v>
      </c>
      <c r="S861" s="583">
        <f t="shared" si="76"/>
        <v>0</v>
      </c>
      <c r="T861" s="584">
        <v>0</v>
      </c>
      <c r="U861" s="51"/>
      <c r="V861" s="2120">
        <f t="shared" si="78"/>
        <v>0</v>
      </c>
      <c r="W861" s="43"/>
      <c r="X861" s="43"/>
      <c r="Y861" s="43"/>
      <c r="Z861" s="43"/>
    </row>
    <row r="862" spans="1:26">
      <c r="A862" s="88">
        <v>9914</v>
      </c>
      <c r="B862" s="1033" t="s">
        <v>97</v>
      </c>
      <c r="C862" s="1033"/>
      <c r="D862" s="1033"/>
      <c r="E862" s="1033"/>
      <c r="F862" s="1033"/>
      <c r="G862" s="1033"/>
      <c r="H862" s="1033"/>
      <c r="I862" s="1033"/>
      <c r="J862" s="1033"/>
      <c r="K862" s="1033"/>
      <c r="L862" s="90"/>
      <c r="M862" s="51"/>
      <c r="N862" s="113">
        <f t="shared" si="77"/>
        <v>9914</v>
      </c>
      <c r="O862" s="581"/>
      <c r="P862" s="582">
        <v>0</v>
      </c>
      <c r="Q862" s="589"/>
      <c r="R862" s="576"/>
      <c r="S862" s="583">
        <f t="shared" si="76"/>
        <v>0</v>
      </c>
      <c r="T862" s="584">
        <v>0</v>
      </c>
      <c r="U862" s="51"/>
      <c r="V862" s="2120">
        <f t="shared" si="78"/>
        <v>0</v>
      </c>
      <c r="W862" s="43"/>
      <c r="X862" s="43"/>
      <c r="Y862" s="43"/>
      <c r="Z862" s="43"/>
    </row>
    <row r="863" spans="1:26">
      <c r="A863" s="88">
        <v>9915</v>
      </c>
      <c r="B863" s="1033" t="s">
        <v>98</v>
      </c>
      <c r="C863" s="1033"/>
      <c r="D863" s="1033"/>
      <c r="E863" s="1033"/>
      <c r="F863" s="1033"/>
      <c r="G863" s="1033"/>
      <c r="H863" s="1033"/>
      <c r="I863" s="1033"/>
      <c r="J863" s="1033"/>
      <c r="K863" s="1033"/>
      <c r="L863" s="90"/>
      <c r="M863" s="51"/>
      <c r="N863" s="113">
        <f t="shared" si="77"/>
        <v>9915</v>
      </c>
      <c r="O863" s="581"/>
      <c r="P863" s="582">
        <v>0</v>
      </c>
      <c r="Q863" s="589"/>
      <c r="R863" s="576"/>
      <c r="S863" s="583">
        <f t="shared" si="76"/>
        <v>0</v>
      </c>
      <c r="T863" s="584">
        <v>0</v>
      </c>
      <c r="U863" s="51"/>
      <c r="V863" s="2120">
        <f t="shared" si="78"/>
        <v>0</v>
      </c>
      <c r="W863" s="43"/>
      <c r="X863" s="43"/>
      <c r="Y863" s="43"/>
      <c r="Z863" s="43"/>
    </row>
    <row r="864" spans="1:26">
      <c r="A864" s="88">
        <v>9916</v>
      </c>
      <c r="B864" s="1033" t="s">
        <v>99</v>
      </c>
      <c r="C864" s="1033"/>
      <c r="D864" s="1033"/>
      <c r="E864" s="1033"/>
      <c r="F864" s="1033"/>
      <c r="G864" s="1033"/>
      <c r="H864" s="1033"/>
      <c r="I864" s="1033"/>
      <c r="J864" s="1033"/>
      <c r="K864" s="1033"/>
      <c r="L864" s="574"/>
      <c r="M864" s="51"/>
      <c r="N864" s="113">
        <f t="shared" si="77"/>
        <v>9916</v>
      </c>
      <c r="O864" s="581"/>
      <c r="P864" s="582">
        <v>0</v>
      </c>
      <c r="Q864" s="589"/>
      <c r="R864" s="576"/>
      <c r="S864" s="583">
        <f t="shared" si="76"/>
        <v>0</v>
      </c>
      <c r="T864" s="584">
        <v>0</v>
      </c>
      <c r="U864" s="51"/>
      <c r="V864" s="2120">
        <f t="shared" si="78"/>
        <v>0</v>
      </c>
      <c r="W864" s="43"/>
      <c r="X864" s="43"/>
      <c r="Y864" s="43"/>
      <c r="Z864" s="43"/>
    </row>
    <row r="865" spans="1:26">
      <c r="A865" s="88">
        <v>9917</v>
      </c>
      <c r="B865" s="1033" t="s">
        <v>100</v>
      </c>
      <c r="C865" s="1033"/>
      <c r="D865" s="1033"/>
      <c r="E865" s="1033"/>
      <c r="F865" s="1033"/>
      <c r="G865" s="1033"/>
      <c r="H865" s="1033"/>
      <c r="I865" s="1033"/>
      <c r="J865" s="1033"/>
      <c r="K865" s="1033"/>
      <c r="L865" s="574"/>
      <c r="M865" s="51"/>
      <c r="N865" s="113">
        <f t="shared" si="77"/>
        <v>9917</v>
      </c>
      <c r="O865" s="581"/>
      <c r="P865" s="582">
        <v>0</v>
      </c>
      <c r="Q865" s="589"/>
      <c r="R865" s="576"/>
      <c r="S865" s="583">
        <f t="shared" si="76"/>
        <v>0</v>
      </c>
      <c r="T865" s="584">
        <v>0</v>
      </c>
      <c r="U865" s="51"/>
      <c r="V865" s="2120">
        <f t="shared" si="78"/>
        <v>0</v>
      </c>
      <c r="W865" s="43"/>
      <c r="X865" s="43"/>
      <c r="Y865" s="43"/>
      <c r="Z865" s="43"/>
    </row>
    <row r="866" spans="1:26">
      <c r="A866" s="88">
        <v>9918</v>
      </c>
      <c r="B866" s="1032" t="s">
        <v>101</v>
      </c>
      <c r="C866" s="1033"/>
      <c r="D866" s="1033"/>
      <c r="E866" s="1033"/>
      <c r="F866" s="1033"/>
      <c r="G866" s="1033"/>
      <c r="H866" s="1033"/>
      <c r="I866" s="1033"/>
      <c r="J866" s="1033"/>
      <c r="K866" s="1033"/>
      <c r="L866" s="90"/>
      <c r="M866" s="51"/>
      <c r="N866" s="113">
        <f t="shared" si="77"/>
        <v>9918</v>
      </c>
      <c r="O866" s="581"/>
      <c r="P866" s="582">
        <v>0</v>
      </c>
      <c r="Q866" s="589"/>
      <c r="R866" s="576"/>
      <c r="S866" s="583">
        <f t="shared" si="76"/>
        <v>0</v>
      </c>
      <c r="T866" s="584">
        <v>0</v>
      </c>
      <c r="U866" s="51"/>
      <c r="V866" s="2120">
        <f t="shared" si="78"/>
        <v>0</v>
      </c>
      <c r="W866" s="43"/>
      <c r="X866" s="43"/>
      <c r="Y866" s="43"/>
      <c r="Z866" s="43"/>
    </row>
    <row r="867" spans="1:26">
      <c r="A867" s="88">
        <v>9919</v>
      </c>
      <c r="B867" s="1032" t="s">
        <v>102</v>
      </c>
      <c r="C867" s="1033"/>
      <c r="D867" s="1033"/>
      <c r="E867" s="1033"/>
      <c r="F867" s="1033"/>
      <c r="G867" s="1033"/>
      <c r="H867" s="1033"/>
      <c r="I867" s="1033"/>
      <c r="J867" s="1033"/>
      <c r="K867" s="1033"/>
      <c r="L867" s="90"/>
      <c r="M867" s="51"/>
      <c r="N867" s="113">
        <f t="shared" si="77"/>
        <v>9919</v>
      </c>
      <c r="O867" s="581"/>
      <c r="P867" s="582">
        <v>0</v>
      </c>
      <c r="Q867" s="589"/>
      <c r="R867" s="576"/>
      <c r="S867" s="583">
        <f t="shared" si="76"/>
        <v>0</v>
      </c>
      <c r="T867" s="584">
        <v>0</v>
      </c>
      <c r="U867" s="51"/>
      <c r="V867" s="2120">
        <f t="shared" si="78"/>
        <v>0</v>
      </c>
      <c r="W867" s="43"/>
      <c r="X867" s="43"/>
      <c r="Y867" s="43"/>
      <c r="Z867" s="43"/>
    </row>
    <row r="868" spans="1:26">
      <c r="A868" s="88">
        <v>9921</v>
      </c>
      <c r="B868" s="1033" t="s">
        <v>103</v>
      </c>
      <c r="C868" s="1033"/>
      <c r="D868" s="1033"/>
      <c r="E868" s="1033"/>
      <c r="F868" s="1033"/>
      <c r="G868" s="1033"/>
      <c r="H868" s="1033"/>
      <c r="I868" s="1033"/>
      <c r="J868" s="1033"/>
      <c r="K868" s="1033"/>
      <c r="L868" s="90"/>
      <c r="M868" s="51"/>
      <c r="N868" s="113">
        <f t="shared" si="77"/>
        <v>9921</v>
      </c>
      <c r="O868" s="575">
        <v>0</v>
      </c>
      <c r="P868" s="576"/>
      <c r="Q868" s="589"/>
      <c r="R868" s="121"/>
      <c r="S868" s="579">
        <v>0</v>
      </c>
      <c r="T868" s="580">
        <f t="shared" ref="T868:T883" si="79">+IF(ABS(+O868+Q868)&lt;=ABS(P868+R868),-O868+P868-Q868+R868,0)</f>
        <v>0</v>
      </c>
      <c r="U868" s="51"/>
      <c r="V868" s="2119">
        <f t="shared" ref="V868:V875" si="80">+IF(OR(+ROUND(O868,2)+ROUND(Q868,2)&gt;ROUND(P868,2)+ROUND(R868,2),+ABS(ROUND(O868,2)+ROUND(Q868,2))&gt;+ABS(ROUND(P868,2)+ROUND(R868,2))),+(ROUND(O868,2)+ROUND(Q868,2))-(ROUND(P868,2)+ROUND(R868,2)),0)</f>
        <v>0</v>
      </c>
      <c r="W868" s="43"/>
      <c r="X868" s="43"/>
      <c r="Y868" s="43"/>
      <c r="Z868" s="43"/>
    </row>
    <row r="869" spans="1:26">
      <c r="A869" s="88">
        <v>9922</v>
      </c>
      <c r="B869" s="1033" t="s">
        <v>104</v>
      </c>
      <c r="C869" s="1033"/>
      <c r="D869" s="1033"/>
      <c r="E869" s="1033"/>
      <c r="F869" s="1033"/>
      <c r="G869" s="1033"/>
      <c r="H869" s="1033"/>
      <c r="I869" s="1033"/>
      <c r="J869" s="1033"/>
      <c r="K869" s="1033"/>
      <c r="L869" s="90"/>
      <c r="M869" s="51"/>
      <c r="N869" s="113">
        <f t="shared" si="77"/>
        <v>9922</v>
      </c>
      <c r="O869" s="575">
        <v>0</v>
      </c>
      <c r="P869" s="576"/>
      <c r="Q869" s="589"/>
      <c r="R869" s="121"/>
      <c r="S869" s="579">
        <v>0</v>
      </c>
      <c r="T869" s="580">
        <f t="shared" si="79"/>
        <v>0</v>
      </c>
      <c r="U869" s="51"/>
      <c r="V869" s="2119">
        <f t="shared" si="80"/>
        <v>0</v>
      </c>
      <c r="W869" s="43"/>
      <c r="X869" s="43"/>
      <c r="Y869" s="43"/>
      <c r="Z869" s="43"/>
    </row>
    <row r="870" spans="1:26">
      <c r="A870" s="88">
        <v>9923</v>
      </c>
      <c r="B870" s="1033" t="s">
        <v>105</v>
      </c>
      <c r="C870" s="1033"/>
      <c r="D870" s="1033"/>
      <c r="E870" s="1033"/>
      <c r="F870" s="1033"/>
      <c r="G870" s="1033"/>
      <c r="H870" s="1033"/>
      <c r="I870" s="1033"/>
      <c r="J870" s="1033"/>
      <c r="K870" s="1033"/>
      <c r="L870" s="90"/>
      <c r="M870" s="51"/>
      <c r="N870" s="113">
        <f t="shared" si="77"/>
        <v>9923</v>
      </c>
      <c r="O870" s="575">
        <v>0</v>
      </c>
      <c r="P870" s="576">
        <v>0</v>
      </c>
      <c r="Q870" s="589">
        <v>0</v>
      </c>
      <c r="R870" s="121">
        <v>0</v>
      </c>
      <c r="S870" s="579">
        <v>0</v>
      </c>
      <c r="T870" s="580">
        <f t="shared" si="79"/>
        <v>0</v>
      </c>
      <c r="U870" s="51"/>
      <c r="V870" s="2119">
        <f t="shared" si="80"/>
        <v>0</v>
      </c>
      <c r="W870" s="43"/>
      <c r="X870" s="43"/>
      <c r="Y870" s="43"/>
      <c r="Z870" s="43"/>
    </row>
    <row r="871" spans="1:26">
      <c r="A871" s="88">
        <v>9924</v>
      </c>
      <c r="B871" s="1033" t="s">
        <v>106</v>
      </c>
      <c r="C871" s="1033"/>
      <c r="D871" s="1033"/>
      <c r="E871" s="1033"/>
      <c r="F871" s="1033"/>
      <c r="G871" s="1033"/>
      <c r="H871" s="1033"/>
      <c r="I871" s="1033"/>
      <c r="J871" s="1033"/>
      <c r="K871" s="1033"/>
      <c r="L871" s="90"/>
      <c r="M871" s="51"/>
      <c r="N871" s="113">
        <f t="shared" si="77"/>
        <v>9924</v>
      </c>
      <c r="O871" s="575">
        <v>0</v>
      </c>
      <c r="P871" s="576">
        <v>0</v>
      </c>
      <c r="Q871" s="589">
        <v>0</v>
      </c>
      <c r="R871" s="121">
        <v>0</v>
      </c>
      <c r="S871" s="579">
        <v>0</v>
      </c>
      <c r="T871" s="580">
        <f t="shared" si="79"/>
        <v>0</v>
      </c>
      <c r="U871" s="51"/>
      <c r="V871" s="2119">
        <f t="shared" si="80"/>
        <v>0</v>
      </c>
      <c r="W871" s="43"/>
      <c r="X871" s="43"/>
      <c r="Y871" s="43"/>
      <c r="Z871" s="43"/>
    </row>
    <row r="872" spans="1:26">
      <c r="A872" s="88">
        <v>9925</v>
      </c>
      <c r="B872" s="1033" t="s">
        <v>107</v>
      </c>
      <c r="C872" s="1033"/>
      <c r="D872" s="1033"/>
      <c r="E872" s="1033"/>
      <c r="F872" s="1033"/>
      <c r="G872" s="1033"/>
      <c r="H872" s="1033"/>
      <c r="I872" s="1033"/>
      <c r="J872" s="1033"/>
      <c r="K872" s="1033"/>
      <c r="L872" s="90"/>
      <c r="M872" s="51"/>
      <c r="N872" s="113">
        <f t="shared" si="77"/>
        <v>9925</v>
      </c>
      <c r="O872" s="575">
        <v>0</v>
      </c>
      <c r="P872" s="576"/>
      <c r="Q872" s="589"/>
      <c r="R872" s="121"/>
      <c r="S872" s="579">
        <v>0</v>
      </c>
      <c r="T872" s="580">
        <f t="shared" si="79"/>
        <v>0</v>
      </c>
      <c r="U872" s="51"/>
      <c r="V872" s="2119">
        <f t="shared" si="80"/>
        <v>0</v>
      </c>
      <c r="W872" s="43"/>
      <c r="X872" s="43"/>
      <c r="Y872" s="43"/>
      <c r="Z872" s="43"/>
    </row>
    <row r="873" spans="1:26">
      <c r="A873" s="88">
        <v>9926</v>
      </c>
      <c r="B873" s="1033" t="s">
        <v>108</v>
      </c>
      <c r="C873" s="1039"/>
      <c r="D873" s="1039"/>
      <c r="E873" s="1039"/>
      <c r="F873" s="1039"/>
      <c r="G873" s="1039"/>
      <c r="H873" s="1039"/>
      <c r="I873" s="1039"/>
      <c r="J873" s="1039"/>
      <c r="K873" s="1039"/>
      <c r="L873" s="574"/>
      <c r="M873" s="51"/>
      <c r="N873" s="113">
        <f t="shared" si="77"/>
        <v>9926</v>
      </c>
      <c r="O873" s="575">
        <v>0</v>
      </c>
      <c r="P873" s="576"/>
      <c r="Q873" s="589"/>
      <c r="R873" s="121"/>
      <c r="S873" s="579">
        <v>0</v>
      </c>
      <c r="T873" s="580">
        <f t="shared" si="79"/>
        <v>0</v>
      </c>
      <c r="U873" s="51"/>
      <c r="V873" s="2119">
        <f t="shared" si="80"/>
        <v>0</v>
      </c>
      <c r="W873" s="43"/>
      <c r="X873" s="43"/>
      <c r="Y873" s="43"/>
      <c r="Z873" s="43"/>
    </row>
    <row r="874" spans="1:26">
      <c r="A874" s="88">
        <v>9928</v>
      </c>
      <c r="B874" s="1033" t="s">
        <v>109</v>
      </c>
      <c r="C874" s="1033"/>
      <c r="D874" s="1033"/>
      <c r="E874" s="1033"/>
      <c r="F874" s="1033"/>
      <c r="G874" s="1033"/>
      <c r="H874" s="1033"/>
      <c r="I874" s="1033"/>
      <c r="J874" s="1033"/>
      <c r="K874" s="1033"/>
      <c r="L874" s="90"/>
      <c r="M874" s="51"/>
      <c r="N874" s="113">
        <f t="shared" si="77"/>
        <v>9928</v>
      </c>
      <c r="O874" s="575">
        <v>0</v>
      </c>
      <c r="P874" s="576"/>
      <c r="Q874" s="589"/>
      <c r="R874" s="121"/>
      <c r="S874" s="579">
        <v>0</v>
      </c>
      <c r="T874" s="580">
        <f t="shared" si="79"/>
        <v>0</v>
      </c>
      <c r="U874" s="51"/>
      <c r="V874" s="2119">
        <f t="shared" si="80"/>
        <v>0</v>
      </c>
      <c r="W874" s="43"/>
      <c r="X874" s="43"/>
      <c r="Y874" s="43"/>
      <c r="Z874" s="43"/>
    </row>
    <row r="875" spans="1:26">
      <c r="A875" s="88">
        <v>9929</v>
      </c>
      <c r="B875" s="1033" t="s">
        <v>110</v>
      </c>
      <c r="C875" s="1033"/>
      <c r="D875" s="1033"/>
      <c r="E875" s="1033"/>
      <c r="F875" s="1033"/>
      <c r="G875" s="1033"/>
      <c r="H875" s="1033"/>
      <c r="I875" s="1033"/>
      <c r="J875" s="1033"/>
      <c r="K875" s="1033"/>
      <c r="L875" s="90"/>
      <c r="M875" s="51"/>
      <c r="N875" s="113">
        <f t="shared" si="77"/>
        <v>9929</v>
      </c>
      <c r="O875" s="575">
        <v>0</v>
      </c>
      <c r="P875" s="576"/>
      <c r="Q875" s="589"/>
      <c r="R875" s="121"/>
      <c r="S875" s="579">
        <v>0</v>
      </c>
      <c r="T875" s="580">
        <f t="shared" si="79"/>
        <v>0</v>
      </c>
      <c r="U875" s="51"/>
      <c r="V875" s="2119">
        <f t="shared" si="80"/>
        <v>0</v>
      </c>
      <c r="W875" s="43"/>
      <c r="X875" s="43"/>
      <c r="Y875" s="43"/>
      <c r="Z875" s="43"/>
    </row>
    <row r="876" spans="1:26" ht="15.75" customHeight="1">
      <c r="A876" s="88">
        <v>9940</v>
      </c>
      <c r="B876" s="1033" t="s">
        <v>111</v>
      </c>
      <c r="C876" s="1038"/>
      <c r="D876" s="1038"/>
      <c r="E876" s="1038"/>
      <c r="F876" s="1038"/>
      <c r="G876" s="1038"/>
      <c r="H876" s="1038"/>
      <c r="I876" s="1038"/>
      <c r="J876" s="1038"/>
      <c r="K876" s="1038"/>
      <c r="L876" s="590"/>
      <c r="M876" s="51"/>
      <c r="N876" s="113">
        <f t="shared" si="77"/>
        <v>9940</v>
      </c>
      <c r="O876" s="575">
        <v>0</v>
      </c>
      <c r="P876" s="582">
        <v>0</v>
      </c>
      <c r="Q876" s="589"/>
      <c r="R876" s="576"/>
      <c r="S876" s="583">
        <f t="shared" ref="S876:S884" si="81">+IF(ABS(+O876+Q876)&gt;=ABS(P876+R876),+O876-P876+Q876-R876,0)</f>
        <v>0</v>
      </c>
      <c r="T876" s="580">
        <f t="shared" si="79"/>
        <v>0</v>
      </c>
      <c r="U876" s="51"/>
      <c r="V876" s="2119"/>
      <c r="W876" s="43"/>
      <c r="X876" s="43"/>
      <c r="Y876" s="43"/>
      <c r="Z876" s="43"/>
    </row>
    <row r="877" spans="1:26" ht="15.75" customHeight="1">
      <c r="A877" s="88">
        <v>9941</v>
      </c>
      <c r="B877" s="1033" t="s">
        <v>112</v>
      </c>
      <c r="C877" s="1038"/>
      <c r="D877" s="1038"/>
      <c r="E877" s="1038"/>
      <c r="F877" s="1038"/>
      <c r="G877" s="1038"/>
      <c r="H877" s="1038"/>
      <c r="I877" s="1038"/>
      <c r="J877" s="1038"/>
      <c r="K877" s="1038"/>
      <c r="L877" s="590"/>
      <c r="M877" s="51"/>
      <c r="N877" s="113">
        <f t="shared" si="77"/>
        <v>9941</v>
      </c>
      <c r="O877" s="575">
        <v>0</v>
      </c>
      <c r="P877" s="582">
        <v>0</v>
      </c>
      <c r="Q877" s="589"/>
      <c r="R877" s="576"/>
      <c r="S877" s="583">
        <f t="shared" si="81"/>
        <v>0</v>
      </c>
      <c r="T877" s="580">
        <f t="shared" si="79"/>
        <v>0</v>
      </c>
      <c r="U877" s="51"/>
      <c r="V877" s="2119"/>
      <c r="W877" s="43"/>
      <c r="X877" s="43"/>
      <c r="Y877" s="43"/>
      <c r="Z877" s="43"/>
    </row>
    <row r="878" spans="1:26" ht="15.75" customHeight="1">
      <c r="A878" s="88">
        <v>9944</v>
      </c>
      <c r="B878" s="1033" t="s">
        <v>113</v>
      </c>
      <c r="C878" s="1038"/>
      <c r="D878" s="1038"/>
      <c r="E878" s="1038"/>
      <c r="F878" s="1038"/>
      <c r="G878" s="1038"/>
      <c r="H878" s="1038"/>
      <c r="I878" s="1038"/>
      <c r="J878" s="1038"/>
      <c r="K878" s="1038"/>
      <c r="L878" s="590"/>
      <c r="M878" s="51"/>
      <c r="N878" s="113">
        <f t="shared" si="77"/>
        <v>9944</v>
      </c>
      <c r="O878" s="575">
        <v>0</v>
      </c>
      <c r="P878" s="582">
        <v>0</v>
      </c>
      <c r="Q878" s="589"/>
      <c r="R878" s="576"/>
      <c r="S878" s="583">
        <f t="shared" si="81"/>
        <v>0</v>
      </c>
      <c r="T878" s="580">
        <f t="shared" si="79"/>
        <v>0</v>
      </c>
      <c r="U878" s="51"/>
      <c r="V878" s="2119"/>
      <c r="W878" s="43"/>
      <c r="X878" s="43"/>
      <c r="Y878" s="43"/>
      <c r="Z878" s="43"/>
    </row>
    <row r="879" spans="1:26" ht="15.75" customHeight="1">
      <c r="A879" s="88">
        <v>9945</v>
      </c>
      <c r="B879" s="1033" t="s">
        <v>114</v>
      </c>
      <c r="C879" s="1038"/>
      <c r="D879" s="1038"/>
      <c r="E879" s="1038"/>
      <c r="F879" s="1038"/>
      <c r="G879" s="1038"/>
      <c r="H879" s="1038"/>
      <c r="I879" s="1038"/>
      <c r="J879" s="1038"/>
      <c r="K879" s="1038"/>
      <c r="L879" s="590"/>
      <c r="M879" s="51"/>
      <c r="N879" s="113">
        <f t="shared" si="77"/>
        <v>9945</v>
      </c>
      <c r="O879" s="575">
        <v>0</v>
      </c>
      <c r="P879" s="582">
        <v>0</v>
      </c>
      <c r="Q879" s="589"/>
      <c r="R879" s="576"/>
      <c r="S879" s="583">
        <f t="shared" si="81"/>
        <v>0</v>
      </c>
      <c r="T879" s="580">
        <f t="shared" si="79"/>
        <v>0</v>
      </c>
      <c r="U879" s="51"/>
      <c r="V879" s="2119"/>
      <c r="W879" s="43"/>
      <c r="X879" s="43"/>
      <c r="Y879" s="43"/>
      <c r="Z879" s="43"/>
    </row>
    <row r="880" spans="1:26" ht="15.75" customHeight="1">
      <c r="A880" s="88">
        <v>9946</v>
      </c>
      <c r="B880" s="1033" t="s">
        <v>115</v>
      </c>
      <c r="C880" s="1038"/>
      <c r="D880" s="1038"/>
      <c r="E880" s="1038"/>
      <c r="F880" s="1038"/>
      <c r="G880" s="1038"/>
      <c r="H880" s="1038"/>
      <c r="I880" s="1038"/>
      <c r="J880" s="1038"/>
      <c r="K880" s="1038"/>
      <c r="L880" s="590"/>
      <c r="M880" s="51"/>
      <c r="N880" s="113">
        <f t="shared" si="77"/>
        <v>9946</v>
      </c>
      <c r="O880" s="575">
        <v>0</v>
      </c>
      <c r="P880" s="582">
        <v>0</v>
      </c>
      <c r="Q880" s="589"/>
      <c r="R880" s="576"/>
      <c r="S880" s="583">
        <f t="shared" si="81"/>
        <v>0</v>
      </c>
      <c r="T880" s="580">
        <f t="shared" si="79"/>
        <v>0</v>
      </c>
      <c r="U880" s="51"/>
      <c r="V880" s="2119"/>
      <c r="W880" s="43"/>
      <c r="X880" s="43"/>
      <c r="Y880" s="43"/>
      <c r="Z880" s="43"/>
    </row>
    <row r="881" spans="1:26" ht="15.75" customHeight="1">
      <c r="A881" s="88">
        <v>9947</v>
      </c>
      <c r="B881" s="1033" t="s">
        <v>116</v>
      </c>
      <c r="C881" s="1038"/>
      <c r="D881" s="1038"/>
      <c r="E881" s="1038"/>
      <c r="F881" s="1038"/>
      <c r="G881" s="1038"/>
      <c r="H881" s="1038"/>
      <c r="I881" s="1038"/>
      <c r="J881" s="1038"/>
      <c r="K881" s="1038"/>
      <c r="L881" s="590"/>
      <c r="M881" s="51"/>
      <c r="N881" s="113">
        <f t="shared" si="77"/>
        <v>9947</v>
      </c>
      <c r="O881" s="575">
        <v>0</v>
      </c>
      <c r="P881" s="582">
        <v>0</v>
      </c>
      <c r="Q881" s="589"/>
      <c r="R881" s="576"/>
      <c r="S881" s="583">
        <f t="shared" si="81"/>
        <v>0</v>
      </c>
      <c r="T881" s="580">
        <f t="shared" si="79"/>
        <v>0</v>
      </c>
      <c r="U881" s="51"/>
      <c r="V881" s="2119"/>
      <c r="W881" s="43"/>
      <c r="X881" s="43"/>
      <c r="Y881" s="43"/>
      <c r="Z881" s="43"/>
    </row>
    <row r="882" spans="1:26" ht="15.75" customHeight="1">
      <c r="A882" s="88">
        <v>9948</v>
      </c>
      <c r="B882" s="1033" t="s">
        <v>117</v>
      </c>
      <c r="C882" s="1038"/>
      <c r="D882" s="1038"/>
      <c r="E882" s="1038"/>
      <c r="F882" s="1038"/>
      <c r="G882" s="1038"/>
      <c r="H882" s="1038"/>
      <c r="I882" s="1038"/>
      <c r="J882" s="1038"/>
      <c r="K882" s="1038"/>
      <c r="L882" s="590"/>
      <c r="M882" s="51"/>
      <c r="N882" s="113">
        <f t="shared" si="77"/>
        <v>9948</v>
      </c>
      <c r="O882" s="575">
        <v>0</v>
      </c>
      <c r="P882" s="582">
        <v>0</v>
      </c>
      <c r="Q882" s="589"/>
      <c r="R882" s="576"/>
      <c r="S882" s="583">
        <f t="shared" si="81"/>
        <v>0</v>
      </c>
      <c r="T882" s="580">
        <f t="shared" si="79"/>
        <v>0</v>
      </c>
      <c r="U882" s="51"/>
      <c r="V882" s="2119"/>
      <c r="W882" s="43"/>
      <c r="X882" s="43"/>
      <c r="Y882" s="43"/>
      <c r="Z882" s="43"/>
    </row>
    <row r="883" spans="1:26" ht="15.75" customHeight="1">
      <c r="A883" s="88">
        <v>9949</v>
      </c>
      <c r="B883" s="1033" t="s">
        <v>118</v>
      </c>
      <c r="C883" s="1038"/>
      <c r="D883" s="1038"/>
      <c r="E883" s="1038"/>
      <c r="F883" s="1038"/>
      <c r="G883" s="1038"/>
      <c r="H883" s="1038"/>
      <c r="I883" s="1038"/>
      <c r="J883" s="1038"/>
      <c r="K883" s="1038"/>
      <c r="L883" s="590"/>
      <c r="M883" s="51"/>
      <c r="N883" s="113">
        <f t="shared" si="77"/>
        <v>9949</v>
      </c>
      <c r="O883" s="575">
        <v>0</v>
      </c>
      <c r="P883" s="582">
        <v>0</v>
      </c>
      <c r="Q883" s="589"/>
      <c r="R883" s="576"/>
      <c r="S883" s="583">
        <f t="shared" si="81"/>
        <v>0</v>
      </c>
      <c r="T883" s="580">
        <f t="shared" si="79"/>
        <v>0</v>
      </c>
      <c r="U883" s="51"/>
      <c r="V883" s="2119"/>
      <c r="W883" s="43"/>
      <c r="X883" s="43"/>
      <c r="Y883" s="43"/>
      <c r="Z883" s="43"/>
    </row>
    <row r="884" spans="1:26">
      <c r="A884" s="88">
        <v>9978</v>
      </c>
      <c r="B884" s="1033" t="s">
        <v>119</v>
      </c>
      <c r="C884" s="1033"/>
      <c r="D884" s="1033"/>
      <c r="E884" s="1033"/>
      <c r="F884" s="1033"/>
      <c r="G884" s="1033"/>
      <c r="H884" s="1033"/>
      <c r="I884" s="1033"/>
      <c r="J884" s="1033"/>
      <c r="K884" s="1033"/>
      <c r="L884" s="90"/>
      <c r="M884" s="51"/>
      <c r="N884" s="113">
        <f t="shared" si="77"/>
        <v>9978</v>
      </c>
      <c r="O884" s="581">
        <v>0</v>
      </c>
      <c r="P884" s="582">
        <v>0</v>
      </c>
      <c r="Q884" s="589">
        <v>0</v>
      </c>
      <c r="R884" s="576">
        <v>0</v>
      </c>
      <c r="S884" s="583">
        <f t="shared" si="81"/>
        <v>0</v>
      </c>
      <c r="T884" s="584">
        <v>0</v>
      </c>
      <c r="U884" s="51"/>
      <c r="V884" s="2120">
        <f>+IF(OR(ROUND(P884,2)+ROUND(R884,2)&gt;+ROUND(O884,2)+ROUND(Q884,2),+ABS(ROUND(P884,2)+ROUND(R884,2))&gt;+ABS(ROUND(O884,2)+ROUND(Q884,2))),+(ROUND(P884,2)+ROUND(R884,2))-(ROUND(O884,2)+ROUND(Q884,2)),0)</f>
        <v>0</v>
      </c>
      <c r="W884" s="43"/>
      <c r="X884" s="43"/>
      <c r="Y884" s="43"/>
      <c r="Z884" s="43"/>
    </row>
    <row r="885" spans="1:26">
      <c r="A885" s="88">
        <v>9979</v>
      </c>
      <c r="B885" s="1033" t="s">
        <v>120</v>
      </c>
      <c r="C885" s="1033"/>
      <c r="D885" s="1033"/>
      <c r="E885" s="1033"/>
      <c r="F885" s="1033"/>
      <c r="G885" s="1033"/>
      <c r="H885" s="1033"/>
      <c r="I885" s="1033"/>
      <c r="J885" s="1033"/>
      <c r="K885" s="1033"/>
      <c r="L885" s="90"/>
      <c r="M885" s="51"/>
      <c r="N885" s="113">
        <f t="shared" si="77"/>
        <v>9979</v>
      </c>
      <c r="O885" s="575">
        <v>0</v>
      </c>
      <c r="P885" s="576">
        <v>0</v>
      </c>
      <c r="Q885" s="589">
        <v>0</v>
      </c>
      <c r="R885" s="121">
        <v>0</v>
      </c>
      <c r="S885" s="579">
        <v>0</v>
      </c>
      <c r="T885" s="580">
        <f>+IF(ABS(+O885+Q885)&lt;=ABS(P885+R885),-O885+P885-Q885+R885,0)</f>
        <v>0</v>
      </c>
      <c r="U885" s="51"/>
      <c r="V885" s="2119">
        <f>+IF(OR(+ROUND(O885,2)+ROUND(Q885,2)&gt;ROUND(P885,2)+ROUND(R885,2),+ABS(ROUND(O885,2)+ROUND(Q885,2))&gt;+ABS(ROUND(P885,2)+ROUND(R885,2))),+(ROUND(O885,2)+ROUND(Q885,2))-(ROUND(P885,2)+ROUND(R885,2)),0)</f>
        <v>0</v>
      </c>
      <c r="W885" s="43"/>
      <c r="X885" s="43"/>
      <c r="Y885" s="43"/>
      <c r="Z885" s="43"/>
    </row>
    <row r="886" spans="1:26">
      <c r="A886" s="88">
        <v>9981</v>
      </c>
      <c r="B886" s="1032" t="s">
        <v>121</v>
      </c>
      <c r="C886" s="1033"/>
      <c r="D886" s="1033"/>
      <c r="E886" s="1033"/>
      <c r="F886" s="1033"/>
      <c r="G886" s="1033"/>
      <c r="H886" s="1033"/>
      <c r="I886" s="1033"/>
      <c r="J886" s="1033"/>
      <c r="K886" s="1033"/>
      <c r="L886" s="90"/>
      <c r="M886" s="51"/>
      <c r="N886" s="113">
        <f t="shared" si="77"/>
        <v>9981</v>
      </c>
      <c r="O886" s="575">
        <v>0</v>
      </c>
      <c r="P886" s="576">
        <v>0</v>
      </c>
      <c r="Q886" s="589">
        <v>0</v>
      </c>
      <c r="R886" s="121">
        <v>0</v>
      </c>
      <c r="S886" s="579">
        <v>0</v>
      </c>
      <c r="T886" s="580">
        <f>+IF(ABS(+O886+Q886)&lt;=ABS(P886+R886),-O886+P886-Q886+R886,0)</f>
        <v>0</v>
      </c>
      <c r="U886" s="51"/>
      <c r="V886" s="2119">
        <f>+IF(OR(+ROUND(O886,2)+ROUND(Q886,2)&gt;ROUND(P886,2)+ROUND(R886,2),+ABS(ROUND(O886,2)+ROUND(Q886,2))&gt;+ABS(ROUND(P886,2)+ROUND(R886,2))),+(ROUND(O886,2)+ROUND(Q886,2))-(ROUND(P886,2)+ROUND(R886,2)),0)</f>
        <v>0</v>
      </c>
      <c r="W886" s="43"/>
      <c r="X886" s="43"/>
      <c r="Y886" s="43"/>
      <c r="Z886" s="43"/>
    </row>
    <row r="887" spans="1:26" ht="16.5" thickBot="1">
      <c r="A887" s="1052">
        <v>9989</v>
      </c>
      <c r="B887" s="1031" t="s">
        <v>122</v>
      </c>
      <c r="C887" s="101"/>
      <c r="D887" s="101"/>
      <c r="E887" s="101"/>
      <c r="F887" s="101"/>
      <c r="G887" s="101"/>
      <c r="H887" s="101"/>
      <c r="I887" s="101"/>
      <c r="J887" s="101"/>
      <c r="K887" s="101"/>
      <c r="L887" s="102"/>
      <c r="M887" s="51"/>
      <c r="N887" s="116">
        <f t="shared" si="77"/>
        <v>9989</v>
      </c>
      <c r="O887" s="838">
        <v>0</v>
      </c>
      <c r="P887" s="839">
        <v>0</v>
      </c>
      <c r="Q887" s="598">
        <v>0</v>
      </c>
      <c r="R887" s="597">
        <v>0</v>
      </c>
      <c r="S887" s="56">
        <f>+IF(ABS(+O887+Q887)&gt;=ABS(P887+R887),+O887-P887+Q887-R887,0)</f>
        <v>0</v>
      </c>
      <c r="T887" s="60">
        <v>0</v>
      </c>
      <c r="U887" s="51"/>
      <c r="V887" s="2119"/>
      <c r="W887" s="43"/>
      <c r="X887" s="43"/>
      <c r="Y887" s="43"/>
      <c r="Z887" s="43"/>
    </row>
    <row r="888" spans="1:26" ht="16.5" thickBot="1">
      <c r="A888" s="103" t="s">
        <v>593</v>
      </c>
      <c r="B888" s="104"/>
      <c r="C888" s="104"/>
      <c r="D888" s="104"/>
      <c r="E888" s="104"/>
      <c r="F888" s="104"/>
      <c r="G888" s="104"/>
      <c r="H888" s="104"/>
      <c r="I888" s="2630" t="str">
        <f>+I831</f>
        <v>R A</v>
      </c>
      <c r="J888" s="2630"/>
      <c r="K888" s="2630"/>
      <c r="L888" s="105"/>
      <c r="M888" s="51"/>
      <c r="N888" s="117">
        <v>9</v>
      </c>
      <c r="O888" s="840">
        <f t="shared" ref="O888:T888" si="82">+ROUND(SUM(O831:O887),2)</f>
        <v>0</v>
      </c>
      <c r="P888" s="843">
        <f t="shared" si="82"/>
        <v>0</v>
      </c>
      <c r="Q888" s="842">
        <f t="shared" si="82"/>
        <v>0</v>
      </c>
      <c r="R888" s="843">
        <f t="shared" si="82"/>
        <v>0</v>
      </c>
      <c r="S888" s="844">
        <f t="shared" si="82"/>
        <v>0</v>
      </c>
      <c r="T888" s="845">
        <f t="shared" si="82"/>
        <v>0</v>
      </c>
      <c r="U888" s="51"/>
      <c r="V888" s="2119"/>
      <c r="W888" s="43"/>
      <c r="X888" s="43"/>
      <c r="Y888" s="43"/>
      <c r="Z888" s="43"/>
    </row>
    <row r="889" spans="1:26" ht="12" customHeight="1" thickBot="1">
      <c r="A889" s="106"/>
      <c r="B889" s="49"/>
      <c r="C889" s="49"/>
      <c r="D889" s="49"/>
      <c r="E889" s="49"/>
      <c r="F889" s="49"/>
      <c r="G889" s="49"/>
      <c r="H889" s="49"/>
      <c r="I889" s="49"/>
      <c r="J889" s="49"/>
      <c r="K889" s="49"/>
      <c r="L889" s="49"/>
      <c r="M889" s="51"/>
      <c r="N889" s="118"/>
      <c r="O889" s="38"/>
      <c r="P889" s="38"/>
      <c r="Q889" s="38"/>
      <c r="R889" s="38"/>
      <c r="S889" s="38"/>
      <c r="T889" s="38"/>
      <c r="U889" s="51"/>
      <c r="V889" s="2119"/>
      <c r="W889" s="43"/>
      <c r="X889" s="43"/>
      <c r="Y889" s="43"/>
      <c r="Z889" s="43"/>
    </row>
    <row r="890" spans="1:26" ht="16.5" thickBot="1">
      <c r="A890" s="285" t="s">
        <v>594</v>
      </c>
      <c r="B890" s="286"/>
      <c r="C890" s="286"/>
      <c r="D890" s="286"/>
      <c r="E890" s="286"/>
      <c r="F890" s="286"/>
      <c r="G890" s="286"/>
      <c r="H890" s="286"/>
      <c r="I890" s="2626" t="str">
        <f>+I888</f>
        <v>R A</v>
      </c>
      <c r="J890" s="2626"/>
      <c r="K890" s="2626"/>
      <c r="L890" s="287"/>
      <c r="M890" s="51"/>
      <c r="N890" s="288" t="s">
        <v>665</v>
      </c>
      <c r="O890" s="430">
        <f t="shared" ref="O890:T890" si="83">+ROUND(+O829+O888,2)</f>
        <v>0</v>
      </c>
      <c r="P890" s="431">
        <f t="shared" si="83"/>
        <v>0</v>
      </c>
      <c r="Q890" s="432">
        <f t="shared" si="83"/>
        <v>0</v>
      </c>
      <c r="R890" s="431">
        <f t="shared" si="83"/>
        <v>0</v>
      </c>
      <c r="S890" s="432">
        <f t="shared" si="83"/>
        <v>0</v>
      </c>
      <c r="T890" s="433">
        <f t="shared" si="83"/>
        <v>0</v>
      </c>
      <c r="U890" s="51"/>
      <c r="V890" s="2119"/>
      <c r="W890" s="43"/>
      <c r="X890" s="43"/>
      <c r="Y890" s="43"/>
      <c r="Z890" s="43"/>
    </row>
    <row r="891" spans="1:26" ht="17.25" thickTop="1" thickBot="1">
      <c r="A891" s="43"/>
      <c r="B891" s="43"/>
      <c r="C891" s="43"/>
      <c r="D891" s="43"/>
      <c r="E891" s="43"/>
      <c r="F891" s="43"/>
      <c r="G891" s="43"/>
      <c r="H891" s="43"/>
      <c r="I891" s="43"/>
      <c r="J891" s="43"/>
      <c r="K891" s="43"/>
      <c r="L891" s="43"/>
      <c r="M891" s="44"/>
      <c r="N891" s="119"/>
      <c r="O891" s="38"/>
      <c r="P891" s="38"/>
      <c r="Q891" s="38"/>
      <c r="R891" s="38"/>
      <c r="S891" s="38"/>
      <c r="T891" s="38"/>
      <c r="U891" s="44"/>
      <c r="V891" s="2119"/>
      <c r="W891" s="43"/>
      <c r="X891" s="43"/>
      <c r="Y891" s="43"/>
      <c r="Z891" s="43"/>
    </row>
    <row r="892" spans="1:26" ht="16.5" thickBot="1">
      <c r="A892" s="97" t="s">
        <v>597</v>
      </c>
      <c r="B892" s="98"/>
      <c r="C892" s="98"/>
      <c r="D892" s="98"/>
      <c r="E892" s="98"/>
      <c r="F892" s="98"/>
      <c r="G892" s="98"/>
      <c r="H892" s="98"/>
      <c r="I892" s="98"/>
      <c r="J892" s="98"/>
      <c r="K892" s="98"/>
      <c r="L892" s="99"/>
      <c r="M892" s="51"/>
      <c r="N892" s="129" t="s">
        <v>666</v>
      </c>
      <c r="O892" s="58" t="s">
        <v>595</v>
      </c>
      <c r="P892" s="78">
        <f>+ROUND(+O829-P829,2)</f>
        <v>0</v>
      </c>
      <c r="Q892" s="62" t="s">
        <v>596</v>
      </c>
      <c r="R892" s="61">
        <f>+ROUND(+Q829-R829,2)</f>
        <v>0</v>
      </c>
      <c r="S892" s="63" t="s">
        <v>187</v>
      </c>
      <c r="T892" s="59">
        <f>+ROUND(+S829-T829,2)</f>
        <v>0</v>
      </c>
      <c r="U892" s="51"/>
      <c r="V892" s="2119"/>
      <c r="W892" s="43"/>
      <c r="X892" s="43"/>
      <c r="Y892" s="43"/>
      <c r="Z892" s="43"/>
    </row>
    <row r="893" spans="1:26" ht="7.5" customHeight="1" thickBot="1">
      <c r="A893" s="43"/>
      <c r="B893" s="43"/>
      <c r="C893" s="43"/>
      <c r="D893" s="43"/>
      <c r="E893" s="43"/>
      <c r="F893" s="43"/>
      <c r="G893" s="43"/>
      <c r="H893" s="43"/>
      <c r="I893" s="43"/>
      <c r="J893" s="43"/>
      <c r="K893" s="43"/>
      <c r="L893" s="43"/>
      <c r="M893" s="44"/>
      <c r="N893" s="119"/>
      <c r="O893" s="38"/>
      <c r="P893" s="38"/>
      <c r="Q893" s="38"/>
      <c r="R893" s="38"/>
      <c r="S893" s="38"/>
      <c r="T893" s="38"/>
      <c r="U893" s="44"/>
      <c r="V893" s="2119"/>
      <c r="W893" s="43"/>
      <c r="X893" s="43"/>
      <c r="Y893" s="43"/>
      <c r="Z893" s="43"/>
    </row>
    <row r="894" spans="1:26" ht="16.5" thickBot="1">
      <c r="A894" s="97" t="s">
        <v>186</v>
      </c>
      <c r="B894" s="98"/>
      <c r="C894" s="98"/>
      <c r="D894" s="98"/>
      <c r="E894" s="98"/>
      <c r="F894" s="98"/>
      <c r="G894" s="98"/>
      <c r="H894" s="98"/>
      <c r="I894" s="98"/>
      <c r="J894" s="98"/>
      <c r="K894" s="98"/>
      <c r="L894" s="99"/>
      <c r="M894" s="51"/>
      <c r="N894" s="130">
        <v>9</v>
      </c>
      <c r="O894" s="58" t="s">
        <v>595</v>
      </c>
      <c r="P894" s="61">
        <f>+ROUND(+O888-P888,2)</f>
        <v>0</v>
      </c>
      <c r="Q894" s="62" t="s">
        <v>596</v>
      </c>
      <c r="R894" s="61">
        <f>+ROUND(+Q888-R888,2)</f>
        <v>0</v>
      </c>
      <c r="S894" s="63" t="s">
        <v>187</v>
      </c>
      <c r="T894" s="59">
        <f>+ROUND(+S888-T888,2)</f>
        <v>0</v>
      </c>
      <c r="U894" s="51"/>
      <c r="V894" s="2119"/>
      <c r="W894" s="43"/>
      <c r="X894" s="43"/>
      <c r="Y894" s="43"/>
      <c r="Z894" s="43"/>
    </row>
    <row r="895" spans="1:26" ht="7.5" customHeight="1" thickBot="1">
      <c r="A895" s="43"/>
      <c r="B895" s="43"/>
      <c r="C895" s="43"/>
      <c r="D895" s="43"/>
      <c r="E895" s="43"/>
      <c r="F895" s="43"/>
      <c r="G895" s="43"/>
      <c r="H895" s="43"/>
      <c r="I895" s="43"/>
      <c r="J895" s="43"/>
      <c r="K895" s="43"/>
      <c r="L895" s="43"/>
      <c r="M895" s="44"/>
      <c r="N895" s="119"/>
      <c r="O895" s="38"/>
      <c r="P895" s="38"/>
      <c r="Q895" s="38"/>
      <c r="R895" s="38"/>
      <c r="S895" s="38"/>
      <c r="T895" s="38"/>
      <c r="U895" s="44"/>
      <c r="V895" s="2119"/>
      <c r="W895" s="43"/>
      <c r="X895" s="43"/>
      <c r="Y895" s="43"/>
      <c r="Z895" s="43"/>
    </row>
    <row r="896" spans="1:26" ht="16.5" thickBot="1">
      <c r="A896" s="107" t="s">
        <v>377</v>
      </c>
      <c r="B896" s="108"/>
      <c r="C896" s="108"/>
      <c r="D896" s="108"/>
      <c r="E896" s="108"/>
      <c r="F896" s="108"/>
      <c r="G896" s="108"/>
      <c r="H896" s="108"/>
      <c r="I896" s="108"/>
      <c r="J896" s="108"/>
      <c r="K896" s="108"/>
      <c r="L896" s="109"/>
      <c r="M896" s="51"/>
      <c r="N896" s="131" t="s">
        <v>665</v>
      </c>
      <c r="O896" s="67" t="s">
        <v>595</v>
      </c>
      <c r="P896" s="65">
        <f>+ROUND(+O890-P890,2)</f>
        <v>0</v>
      </c>
      <c r="Q896" s="64" t="s">
        <v>596</v>
      </c>
      <c r="R896" s="65">
        <f>+ROUND(+Q890-R890,2)</f>
        <v>0</v>
      </c>
      <c r="S896" s="64" t="s">
        <v>187</v>
      </c>
      <c r="T896" s="66">
        <f>+ROUND(+S890-T890,2)</f>
        <v>0</v>
      </c>
      <c r="U896" s="51"/>
      <c r="V896" s="2119"/>
      <c r="W896" s="43"/>
      <c r="X896" s="43"/>
      <c r="Y896" s="43"/>
      <c r="Z896" s="43"/>
    </row>
    <row r="897" spans="1:26" s="1399" customFormat="1" ht="17.25" thickTop="1" thickBot="1">
      <c r="A897" s="258"/>
      <c r="B897" s="258"/>
      <c r="C897" s="258"/>
      <c r="D897" s="258"/>
      <c r="E897" s="258"/>
      <c r="F897" s="258"/>
      <c r="G897" s="258"/>
      <c r="H897" s="258"/>
      <c r="I897" s="258"/>
      <c r="J897" s="258"/>
      <c r="K897" s="258"/>
      <c r="L897" s="258"/>
      <c r="M897" s="259"/>
      <c r="N897" s="260"/>
      <c r="O897" s="261"/>
      <c r="P897" s="261"/>
      <c r="Q897" s="261"/>
      <c r="R897" s="261"/>
      <c r="S897" s="261"/>
      <c r="T897" s="261"/>
      <c r="U897" s="259"/>
      <c r="V897" s="2119"/>
      <c r="W897" s="258"/>
      <c r="X897" s="258"/>
      <c r="Y897" s="258"/>
      <c r="Z897" s="258"/>
    </row>
    <row r="898" spans="1:26" s="1399" customFormat="1">
      <c r="A898" s="258"/>
      <c r="B898" s="262"/>
      <c r="C898" s="258"/>
      <c r="D898" s="267" t="s">
        <v>590</v>
      </c>
      <c r="E898" s="268"/>
      <c r="F898" s="268"/>
      <c r="G898" s="268"/>
      <c r="H898" s="268"/>
      <c r="I898" s="268"/>
      <c r="J898" s="268"/>
      <c r="K898" s="268"/>
      <c r="L898" s="269"/>
      <c r="M898" s="51"/>
      <c r="N898" s="260"/>
      <c r="O898" s="434" t="s">
        <v>696</v>
      </c>
      <c r="P898" s="274">
        <f>+IF((+SUM(O348:O350)+SUM(O354:O356)+O357+O359+SUM(O368:O369)+SUM(O372:O374)+O376+SUM(O351:O353)+SUM(O370:O371)+SUM(O375))&gt;0,+(+SUM(O348:O350)+SUM(O354:O356)+O357+O359+SUM(O368:O369)+SUM(O372:O374)+SUM(O376))/(+SUM(O348:O350)+SUM(O354:O356)+SUM(O357:O359)+SUM(O368:O369)+SUM(O372:O374)+SUM(O376)+SUM(O351:O353)+SUM(O370:O371)+O375),0)</f>
        <v>0</v>
      </c>
      <c r="Q898" s="263">
        <v>0</v>
      </c>
      <c r="R898" s="264">
        <v>0</v>
      </c>
      <c r="S898" s="436" t="s">
        <v>698</v>
      </c>
      <c r="T898" s="275">
        <f>+IF((+SUM(S348:S350)+SUM(S354:S356)+S357+S359+SUM(S368:S369)+SUM(S372:S374)+S376+SUM(S351:S353)+SUM(S370:S371)+SUM(S375))&gt;0,+(+SUM(S348:S350)+SUM(S354:S356)+S357+S359+SUM(S368:S369)+SUM(S372:S374)+SUM(S376))/(+SUM(S348:S350)+SUM(S354:S356)+SUM(S357:S359)+SUM(S368:S369)+SUM(S372:S374)+SUM(S376)+SUM(S351:S353)+SUM(S370:S371)+S375),0)</f>
        <v>0</v>
      </c>
      <c r="U898" s="51"/>
      <c r="V898" s="2119"/>
      <c r="W898" s="258"/>
      <c r="X898" s="258"/>
      <c r="Y898" s="258"/>
      <c r="Z898" s="258"/>
    </row>
    <row r="899" spans="1:26" s="1399" customFormat="1" ht="16.5" thickBot="1">
      <c r="A899" s="258"/>
      <c r="B899" s="262"/>
      <c r="C899" s="258"/>
      <c r="D899" s="270" t="s">
        <v>591</v>
      </c>
      <c r="E899" s="271"/>
      <c r="F899" s="271"/>
      <c r="G899" s="271"/>
      <c r="H899" s="271"/>
      <c r="I899" s="271"/>
      <c r="J899" s="271"/>
      <c r="K899" s="271"/>
      <c r="L899" s="272"/>
      <c r="M899" s="51"/>
      <c r="N899" s="260"/>
      <c r="O899" s="435" t="s">
        <v>697</v>
      </c>
      <c r="P899" s="273">
        <f>+IF((+SUM(O348:O350)+SUM(O354:O356)+O358+SUM(O368:O369)+SUM(O372:O374)+O376+SUM(O351:O353)+SUM(O370:O371)+SUM(O375))&gt;0,1-P898,0)</f>
        <v>0</v>
      </c>
      <c r="Q899" s="265">
        <v>0</v>
      </c>
      <c r="R899" s="266">
        <v>0</v>
      </c>
      <c r="S899" s="437" t="s">
        <v>699</v>
      </c>
      <c r="T899" s="276">
        <f>+IF((+SUM(S348:S350)+SUM(S354:S356)+S358+SUM(S368:S369)+SUM(S372:S374)+S376+SUM(S351:S353)+SUM(S370:S371)+SUM(S375))&gt;0,1-T898,0)</f>
        <v>0</v>
      </c>
      <c r="U899" s="51"/>
      <c r="V899" s="2119"/>
      <c r="W899" s="258"/>
      <c r="X899" s="258"/>
      <c r="Y899" s="258"/>
      <c r="Z899" s="258"/>
    </row>
    <row r="900" spans="1:26" s="1399" customFormat="1" ht="16.5" thickBot="1">
      <c r="A900" s="258"/>
      <c r="B900" s="258"/>
      <c r="C900" s="258"/>
      <c r="D900" s="258"/>
      <c r="E900" s="258"/>
      <c r="F900" s="258"/>
      <c r="G900" s="258"/>
      <c r="H900" s="258"/>
      <c r="I900" s="258"/>
      <c r="J900" s="258"/>
      <c r="K900" s="258"/>
      <c r="L900" s="258"/>
      <c r="M900" s="259"/>
      <c r="N900" s="260"/>
      <c r="O900" s="261"/>
      <c r="P900" s="261"/>
      <c r="Q900" s="261"/>
      <c r="R900" s="261"/>
      <c r="S900" s="261"/>
      <c r="T900" s="261"/>
      <c r="U900" s="259"/>
      <c r="V900" s="2119"/>
      <c r="W900" s="258"/>
      <c r="X900" s="258"/>
      <c r="Y900" s="258"/>
      <c r="Z900" s="258"/>
    </row>
    <row r="901" spans="1:26" s="1399" customFormat="1">
      <c r="A901" s="258"/>
      <c r="B901" s="262"/>
      <c r="C901" s="258"/>
      <c r="D901" s="267" t="s">
        <v>518</v>
      </c>
      <c r="E901" s="268"/>
      <c r="F901" s="268"/>
      <c r="G901" s="268"/>
      <c r="H901" s="268"/>
      <c r="I901" s="268"/>
      <c r="J901" s="268"/>
      <c r="K901" s="268"/>
      <c r="L901" s="269"/>
      <c r="M901" s="51"/>
      <c r="N901" s="260"/>
      <c r="O901" s="434" t="s">
        <v>701</v>
      </c>
      <c r="P901" s="274">
        <f>+IF((+P19+P20)&gt;0,(+P19)/(+P19+P20),0)</f>
        <v>0</v>
      </c>
      <c r="Q901" s="263">
        <v>0</v>
      </c>
      <c r="R901" s="264">
        <v>0</v>
      </c>
      <c r="S901" s="436" t="s">
        <v>703</v>
      </c>
      <c r="T901" s="275">
        <f>+IF((+T19+T20)&gt;0,(+T19)/(+T19+T20),0)</f>
        <v>0</v>
      </c>
      <c r="U901" s="51"/>
      <c r="V901" s="2119"/>
      <c r="W901" s="258"/>
      <c r="X901" s="258"/>
      <c r="Y901" s="258"/>
      <c r="Z901" s="258"/>
    </row>
    <row r="902" spans="1:26" s="1399" customFormat="1" ht="16.5" thickBot="1">
      <c r="A902" s="258"/>
      <c r="B902" s="262"/>
      <c r="C902" s="258"/>
      <c r="D902" s="270" t="s">
        <v>519</v>
      </c>
      <c r="E902" s="271"/>
      <c r="F902" s="271"/>
      <c r="G902" s="271"/>
      <c r="H902" s="271"/>
      <c r="I902" s="271"/>
      <c r="J902" s="271"/>
      <c r="K902" s="271"/>
      <c r="L902" s="272"/>
      <c r="M902" s="51"/>
      <c r="N902" s="260"/>
      <c r="O902" s="435" t="s">
        <v>700</v>
      </c>
      <c r="P902" s="273">
        <f>+IF((+P19+P20)&gt;0,1-P901,0)</f>
        <v>0</v>
      </c>
      <c r="Q902" s="265">
        <v>0</v>
      </c>
      <c r="R902" s="266">
        <v>0</v>
      </c>
      <c r="S902" s="437" t="s">
        <v>702</v>
      </c>
      <c r="T902" s="276">
        <f>+IF((+T19+T20)&gt;0,1-T901,0)</f>
        <v>0</v>
      </c>
      <c r="U902" s="51"/>
      <c r="V902" s="2119"/>
      <c r="W902" s="258"/>
      <c r="X902" s="258"/>
      <c r="Y902" s="258"/>
      <c r="Z902" s="258"/>
    </row>
    <row r="903" spans="1:26" s="1399" customFormat="1" ht="16.5" thickBot="1">
      <c r="A903" s="258"/>
      <c r="B903" s="258"/>
      <c r="C903" s="258"/>
      <c r="D903" s="258"/>
      <c r="E903" s="258"/>
      <c r="F903" s="258"/>
      <c r="G903" s="258"/>
      <c r="H903" s="258"/>
      <c r="I903" s="258"/>
      <c r="J903" s="258"/>
      <c r="K903" s="258"/>
      <c r="L903" s="258"/>
      <c r="M903" s="259"/>
      <c r="N903" s="260"/>
      <c r="O903" s="561"/>
      <c r="P903" s="261"/>
      <c r="Q903" s="261"/>
      <c r="R903" s="261"/>
      <c r="S903" s="261"/>
      <c r="T903" s="261"/>
      <c r="U903" s="259"/>
      <c r="V903" s="2119"/>
      <c r="W903" s="258"/>
      <c r="X903" s="258"/>
      <c r="Y903" s="258"/>
      <c r="Z903" s="258"/>
    </row>
    <row r="904" spans="1:26" s="1399" customFormat="1">
      <c r="A904" s="258"/>
      <c r="B904" s="262"/>
      <c r="C904" s="258"/>
      <c r="D904" s="267" t="s">
        <v>175</v>
      </c>
      <c r="E904" s="268"/>
      <c r="F904" s="268"/>
      <c r="G904" s="268"/>
      <c r="H904" s="268"/>
      <c r="I904" s="268"/>
      <c r="J904" s="268"/>
      <c r="K904" s="268"/>
      <c r="L904" s="269"/>
      <c r="M904" s="51"/>
      <c r="N904" s="260"/>
      <c r="O904" s="434" t="s">
        <v>705</v>
      </c>
      <c r="P904" s="274">
        <f>+IF((+P50+P51+P52+P53)&gt;0,(+P50+P51)/(+P50+P51+P52+P53),0)</f>
        <v>0</v>
      </c>
      <c r="Q904" s="263">
        <v>0</v>
      </c>
      <c r="R904" s="264">
        <v>0</v>
      </c>
      <c r="S904" s="436" t="s">
        <v>706</v>
      </c>
      <c r="T904" s="275">
        <f>+IF((+T50+T51+T52+T53)&gt;0,(+T50+T51)/(+T50+T51+T52+T53),0)</f>
        <v>0</v>
      </c>
      <c r="U904" s="51"/>
      <c r="V904" s="2119"/>
      <c r="W904" s="258"/>
      <c r="X904" s="258"/>
      <c r="Y904" s="258"/>
      <c r="Z904" s="258"/>
    </row>
    <row r="905" spans="1:26" s="1399" customFormat="1" ht="16.5" thickBot="1">
      <c r="A905" s="258"/>
      <c r="B905" s="262"/>
      <c r="C905" s="258"/>
      <c r="D905" s="270" t="s">
        <v>176</v>
      </c>
      <c r="E905" s="271"/>
      <c r="F905" s="271"/>
      <c r="G905" s="271"/>
      <c r="H905" s="271"/>
      <c r="I905" s="271"/>
      <c r="J905" s="271"/>
      <c r="K905" s="271"/>
      <c r="L905" s="272"/>
      <c r="M905" s="51"/>
      <c r="N905" s="260"/>
      <c r="O905" s="435" t="s">
        <v>704</v>
      </c>
      <c r="P905" s="273">
        <f>+IF((+P50+P51+P52+P53)&gt;0,1-P904,0)</f>
        <v>0</v>
      </c>
      <c r="Q905" s="265">
        <v>0</v>
      </c>
      <c r="R905" s="266">
        <v>0</v>
      </c>
      <c r="S905" s="437" t="s">
        <v>707</v>
      </c>
      <c r="T905" s="276">
        <f>+IF((+T50+T51+T52+T53)&gt;0,1-T904,0)</f>
        <v>0</v>
      </c>
      <c r="U905" s="51"/>
      <c r="V905" s="2119"/>
      <c r="W905" s="258"/>
      <c r="X905" s="258"/>
      <c r="Y905" s="258"/>
      <c r="Z905" s="258"/>
    </row>
    <row r="906" spans="1:26" s="1399" customFormat="1" ht="16.5" thickBot="1">
      <c r="A906" s="258"/>
      <c r="B906" s="258"/>
      <c r="C906" s="258"/>
      <c r="D906" s="258"/>
      <c r="E906" s="258"/>
      <c r="F906" s="258"/>
      <c r="G906" s="258"/>
      <c r="H906" s="258"/>
      <c r="I906" s="258"/>
      <c r="J906" s="258"/>
      <c r="K906" s="258"/>
      <c r="L906" s="258"/>
      <c r="M906" s="259"/>
      <c r="N906" s="260"/>
      <c r="O906" s="561"/>
      <c r="P906" s="261"/>
      <c r="Q906" s="261"/>
      <c r="R906" s="261"/>
      <c r="S906" s="261"/>
      <c r="T906" s="261"/>
      <c r="U906" s="259"/>
      <c r="V906" s="2119"/>
      <c r="W906" s="258"/>
      <c r="X906" s="258"/>
      <c r="Y906" s="258"/>
      <c r="Z906" s="258"/>
    </row>
    <row r="907" spans="1:26" s="1399" customFormat="1">
      <c r="A907" s="258"/>
      <c r="B907" s="262"/>
      <c r="C907" s="258"/>
      <c r="D907" s="267" t="s">
        <v>177</v>
      </c>
      <c r="E907" s="268"/>
      <c r="F907" s="268"/>
      <c r="G907" s="268"/>
      <c r="H907" s="268"/>
      <c r="I907" s="268"/>
      <c r="J907" s="268"/>
      <c r="K907" s="268"/>
      <c r="L907" s="269"/>
      <c r="M907" s="51"/>
      <c r="N907" s="260"/>
      <c r="O907" s="434" t="s">
        <v>179</v>
      </c>
      <c r="P907" s="274">
        <f>+IF((+P56+P57+P58+P59)&gt;0,(+P56+P57)/(+P56+P57+P58+P59),0)</f>
        <v>0</v>
      </c>
      <c r="Q907" s="263">
        <v>0</v>
      </c>
      <c r="R907" s="264">
        <v>0</v>
      </c>
      <c r="S907" s="434" t="s">
        <v>181</v>
      </c>
      <c r="T907" s="275">
        <f>+IF((+T56+T57+T58+T59)&gt;0,(+T56+T57)/(+T56+T57+T58+T59),0)</f>
        <v>0</v>
      </c>
      <c r="U907" s="51"/>
      <c r="V907" s="2119"/>
      <c r="W907" s="258"/>
      <c r="X907" s="258"/>
      <c r="Y907" s="258"/>
      <c r="Z907" s="258"/>
    </row>
    <row r="908" spans="1:26" s="1399" customFormat="1" ht="16.5" thickBot="1">
      <c r="A908" s="258"/>
      <c r="B908" s="262"/>
      <c r="C908" s="258"/>
      <c r="D908" s="270" t="s">
        <v>178</v>
      </c>
      <c r="E908" s="271"/>
      <c r="F908" s="271"/>
      <c r="G908" s="271"/>
      <c r="H908" s="271"/>
      <c r="I908" s="271"/>
      <c r="J908" s="271"/>
      <c r="K908" s="271"/>
      <c r="L908" s="272"/>
      <c r="M908" s="51"/>
      <c r="N908" s="260"/>
      <c r="O908" s="562" t="s">
        <v>180</v>
      </c>
      <c r="P908" s="273">
        <f>+IF((+P56+P57+P58+P59)&gt;0,1-P907,0)</f>
        <v>0</v>
      </c>
      <c r="Q908" s="265">
        <v>0</v>
      </c>
      <c r="R908" s="266">
        <v>0</v>
      </c>
      <c r="S908" s="562" t="s">
        <v>182</v>
      </c>
      <c r="T908" s="276">
        <f>+IF((+T56+T57+T58+T59)&gt;0,1-T907,0)</f>
        <v>0</v>
      </c>
      <c r="U908" s="51"/>
      <c r="V908" s="2119"/>
      <c r="W908" s="258"/>
      <c r="X908" s="258"/>
      <c r="Y908" s="258"/>
      <c r="Z908" s="258"/>
    </row>
    <row r="909" spans="1:26" s="1399" customFormat="1" ht="16.5" thickBot="1">
      <c r="A909" s="258"/>
      <c r="B909" s="258"/>
      <c r="C909" s="258"/>
      <c r="D909" s="258"/>
      <c r="E909" s="258"/>
      <c r="F909" s="258"/>
      <c r="G909" s="258"/>
      <c r="H909" s="258"/>
      <c r="I909" s="258"/>
      <c r="J909" s="258"/>
      <c r="K909" s="258"/>
      <c r="L909" s="258"/>
      <c r="M909" s="259"/>
      <c r="N909" s="260"/>
      <c r="O909" s="561"/>
      <c r="P909" s="261"/>
      <c r="Q909" s="261"/>
      <c r="R909" s="261"/>
      <c r="S909" s="261"/>
      <c r="T909" s="261"/>
      <c r="U909" s="259"/>
      <c r="V909" s="2119"/>
      <c r="W909" s="258"/>
      <c r="X909" s="258"/>
      <c r="Y909" s="258"/>
      <c r="Z909" s="258"/>
    </row>
    <row r="910" spans="1:26" s="1399" customFormat="1">
      <c r="A910" s="258"/>
      <c r="B910" s="262"/>
      <c r="C910" s="258"/>
      <c r="D910" s="267" t="s">
        <v>199</v>
      </c>
      <c r="E910" s="268"/>
      <c r="F910" s="268"/>
      <c r="G910" s="268"/>
      <c r="H910" s="268"/>
      <c r="I910" s="268"/>
      <c r="J910" s="268"/>
      <c r="K910" s="268"/>
      <c r="L910" s="269"/>
      <c r="M910" s="51"/>
      <c r="N910" s="260"/>
      <c r="O910" s="563" t="s">
        <v>146</v>
      </c>
      <c r="P910" s="463">
        <f>+'RA-TRIAL-BAL-2020'!O149+'RA-TRIAL-BAL-2020'!O154+'RA-TRIAL-BAL-2020'!O155+'RA-TRIAL-BAL-2020'!O229+'RA-TRIAL-BAL-2020'!O230+'RA-TRIAL-BAL-2020'!O231+'RA-TRIAL-BAL-2020'!O249+'RA-TRIAL-BAL-2020'!O250++'RA-TRIAL-BAL-2020'!O306+'RA-TRIAL-BAL-2020'!O307+'RA-TRIAL-BAL-2020'!O308+SUM('RA-TRIAL-BAL-2020'!O331:O335)+'RA-TRIAL-BAL-2020'!O346+'RA-TRIAL-BAL-2020'!O347+SUM('RA-TRIAL-BAL-2020'!O360:'RA-TRIAL-BAL-2020'!O363)+SUM('RA-TRIAL-BAL-2020'!O377:'RA-TRIAL-BAL-2020'!O379)</f>
        <v>0</v>
      </c>
      <c r="Q910" s="263">
        <v>0</v>
      </c>
      <c r="R910" s="264">
        <v>0</v>
      </c>
      <c r="S910" s="563" t="s">
        <v>148</v>
      </c>
      <c r="T910" s="465">
        <f>+'RA-TRIAL-BAL-2020'!S149+'RA-TRIAL-BAL-2020'!S154+'RA-TRIAL-BAL-2020'!S155+'RA-TRIAL-BAL-2020'!S229+'RA-TRIAL-BAL-2020'!S230+'RA-TRIAL-BAL-2020'!S231+'RA-TRIAL-BAL-2020'!S249+'RA-TRIAL-BAL-2020'!S250++'RA-TRIAL-BAL-2020'!S306+'RA-TRIAL-BAL-2020'!S307+'RA-TRIAL-BAL-2020'!S308+SUM('RA-TRIAL-BAL-2020'!S331:S335)+'RA-TRIAL-BAL-2020'!S346+'RA-TRIAL-BAL-2020'!S347+SUM('RA-TRIAL-BAL-2020'!S360:'RA-TRIAL-BAL-2020'!S363)+SUM('RA-TRIAL-BAL-2020'!S377:'RA-TRIAL-BAL-2020'!S379)</f>
        <v>0</v>
      </c>
      <c r="U910" s="51"/>
      <c r="V910" s="2119"/>
      <c r="W910" s="258"/>
      <c r="X910" s="258"/>
      <c r="Y910" s="258"/>
      <c r="Z910" s="258"/>
    </row>
    <row r="911" spans="1:26" s="1399" customFormat="1" ht="16.5" thickBot="1">
      <c r="A911" s="258"/>
      <c r="B911" s="262"/>
      <c r="C911" s="258"/>
      <c r="D911" s="270" t="s">
        <v>198</v>
      </c>
      <c r="E911" s="271"/>
      <c r="F911" s="271"/>
      <c r="G911" s="271"/>
      <c r="H911" s="271"/>
      <c r="I911" s="271"/>
      <c r="J911" s="271"/>
      <c r="K911" s="271"/>
      <c r="L911" s="272"/>
      <c r="M911" s="51"/>
      <c r="N911" s="260"/>
      <c r="O911" s="562" t="s">
        <v>147</v>
      </c>
      <c r="P911" s="464">
        <f>+P22-O23+SUM('RA-TRIAL-BAL-2020'!P41:P45)+SUM(P48:P49)+P65+P69+P151+P232+P233+P234+P251+P252</f>
        <v>0</v>
      </c>
      <c r="Q911" s="265">
        <v>0</v>
      </c>
      <c r="R911" s="266">
        <v>0</v>
      </c>
      <c r="S911" s="562" t="s">
        <v>149</v>
      </c>
      <c r="T911" s="466">
        <f>+T22-S23+SUM('RA-TRIAL-BAL-2020'!T41:T45)+SUM(T48:T49)+T65+T69+T151+T232+T233+T234+T251+T252</f>
        <v>0</v>
      </c>
      <c r="U911" s="51"/>
      <c r="V911" s="2119"/>
      <c r="W911" s="258"/>
      <c r="X911" s="258"/>
      <c r="Y911" s="258"/>
      <c r="Z911" s="258"/>
    </row>
    <row r="912" spans="1:26">
      <c r="A912" s="43"/>
      <c r="B912" s="43"/>
      <c r="C912" s="43"/>
      <c r="D912" s="43"/>
      <c r="E912" s="43"/>
      <c r="F912" s="43"/>
      <c r="G912" s="43"/>
      <c r="H912" s="43"/>
      <c r="I912" s="43"/>
      <c r="J912" s="43"/>
      <c r="K912" s="43"/>
      <c r="L912" s="43"/>
      <c r="M912" s="44"/>
      <c r="N912" s="119"/>
      <c r="O912" s="38"/>
      <c r="P912" s="38"/>
      <c r="Q912" s="38"/>
      <c r="R912" s="38"/>
      <c r="S912" s="38"/>
      <c r="T912" s="38"/>
      <c r="U912" s="44"/>
      <c r="V912" s="2119"/>
      <c r="W912" s="43"/>
      <c r="X912" s="43"/>
      <c r="Y912" s="43"/>
      <c r="Z912" s="43"/>
    </row>
    <row r="913" spans="1:26">
      <c r="A913" s="43"/>
      <c r="B913" s="43"/>
      <c r="C913" s="43"/>
      <c r="D913" s="43"/>
      <c r="E913" s="43"/>
      <c r="F913" s="43"/>
      <c r="G913" s="43"/>
      <c r="H913" s="43"/>
      <c r="I913" s="43"/>
      <c r="J913" s="43"/>
      <c r="K913" s="43"/>
      <c r="L913" s="43"/>
      <c r="M913" s="44"/>
      <c r="N913" s="119"/>
      <c r="O913" s="38"/>
      <c r="P913" s="38"/>
      <c r="Q913" s="38"/>
      <c r="R913" s="38"/>
      <c r="S913" s="38"/>
      <c r="T913" s="38"/>
      <c r="U913" s="44"/>
      <c r="V913" s="2119"/>
      <c r="W913" s="43"/>
      <c r="X913" s="43"/>
      <c r="Y913" s="43"/>
      <c r="Z913" s="43"/>
    </row>
    <row r="914" spans="1:26">
      <c r="A914" s="43"/>
      <c r="B914" s="43"/>
      <c r="C914" s="43"/>
      <c r="D914" s="43"/>
      <c r="E914" s="43"/>
      <c r="F914" s="43"/>
      <c r="G914" s="43"/>
      <c r="H914" s="43"/>
      <c r="I914" s="43"/>
      <c r="J914" s="43"/>
      <c r="K914" s="43"/>
      <c r="L914" s="43"/>
      <c r="M914" s="44"/>
      <c r="N914" s="119"/>
      <c r="O914" s="38"/>
      <c r="P914" s="38"/>
      <c r="Q914" s="38"/>
      <c r="R914" s="38"/>
      <c r="S914" s="38"/>
      <c r="T914" s="38"/>
      <c r="U914" s="44"/>
      <c r="V914" s="2119"/>
      <c r="W914" s="43"/>
      <c r="X914" s="43"/>
      <c r="Y914" s="43"/>
      <c r="Z914" s="43"/>
    </row>
    <row r="915" spans="1:26">
      <c r="A915" s="43"/>
      <c r="B915" s="43"/>
      <c r="C915" s="43"/>
      <c r="D915" s="43"/>
      <c r="E915" s="43"/>
      <c r="F915" s="43"/>
      <c r="G915" s="43"/>
      <c r="H915" s="43"/>
      <c r="I915" s="43"/>
      <c r="J915" s="43"/>
      <c r="K915" s="43"/>
      <c r="L915" s="43"/>
      <c r="M915" s="44"/>
      <c r="N915" s="119"/>
      <c r="O915" s="38"/>
      <c r="P915" s="38"/>
      <c r="Q915" s="38"/>
      <c r="R915" s="38"/>
      <c r="S915" s="38"/>
      <c r="T915" s="38"/>
      <c r="U915" s="44"/>
      <c r="V915" s="2119"/>
      <c r="W915" s="43"/>
      <c r="X915" s="43"/>
      <c r="Y915" s="43"/>
      <c r="Z915" s="43"/>
    </row>
    <row r="916" spans="1:26">
      <c r="A916" s="43"/>
      <c r="B916" s="43"/>
      <c r="C916" s="43"/>
      <c r="D916" s="43"/>
      <c r="E916" s="43"/>
      <c r="F916" s="43"/>
      <c r="G916" s="43"/>
      <c r="H916" s="43"/>
      <c r="I916" s="43"/>
      <c r="J916" s="43"/>
      <c r="K916" s="43"/>
      <c r="L916" s="43"/>
      <c r="M916" s="44"/>
      <c r="N916" s="119"/>
      <c r="O916" s="38"/>
      <c r="P916" s="38"/>
      <c r="Q916" s="38"/>
      <c r="R916" s="38"/>
      <c r="S916" s="38"/>
      <c r="T916" s="38"/>
      <c r="U916" s="44"/>
      <c r="V916" s="2119"/>
      <c r="W916" s="43"/>
      <c r="X916" s="43"/>
      <c r="Y916" s="43"/>
      <c r="Z916" s="43"/>
    </row>
    <row r="917" spans="1:26">
      <c r="A917" s="43"/>
      <c r="B917" s="43"/>
      <c r="C917" s="43"/>
      <c r="D917" s="43"/>
      <c r="E917" s="43"/>
      <c r="F917" s="43"/>
      <c r="G917" s="43"/>
      <c r="H917" s="43"/>
      <c r="I917" s="43"/>
      <c r="J917" s="43"/>
      <c r="K917" s="43"/>
      <c r="L917" s="43"/>
      <c r="M917" s="44"/>
      <c r="N917" s="119"/>
      <c r="O917" s="38"/>
      <c r="P917" s="38"/>
      <c r="Q917" s="38"/>
      <c r="R917" s="38"/>
      <c r="S917" s="38"/>
      <c r="T917" s="38"/>
      <c r="U917" s="44"/>
      <c r="V917" s="2119"/>
      <c r="W917" s="43"/>
      <c r="X917" s="43"/>
      <c r="Y917" s="43"/>
      <c r="Z917" s="43"/>
    </row>
    <row r="918" spans="1:26">
      <c r="A918" s="43"/>
      <c r="B918" s="43"/>
      <c r="C918" s="43"/>
      <c r="D918" s="43"/>
      <c r="E918" s="43"/>
      <c r="F918" s="43"/>
      <c r="G918" s="43"/>
      <c r="H918" s="43"/>
      <c r="I918" s="43"/>
      <c r="J918" s="43"/>
      <c r="K918" s="43"/>
      <c r="L918" s="43"/>
      <c r="M918" s="44"/>
      <c r="N918" s="119"/>
      <c r="O918" s="38"/>
      <c r="P918" s="38"/>
      <c r="Q918" s="38"/>
      <c r="R918" s="38"/>
      <c r="S918" s="38"/>
      <c r="T918" s="38"/>
      <c r="U918" s="44"/>
      <c r="V918" s="2119"/>
      <c r="W918" s="43"/>
      <c r="X918" s="43"/>
      <c r="Y918" s="43"/>
      <c r="Z918" s="43"/>
    </row>
    <row r="919" spans="1:26">
      <c r="A919" s="43"/>
      <c r="B919" s="43"/>
      <c r="C919" s="43"/>
      <c r="D919" s="43"/>
      <c r="E919" s="43"/>
      <c r="F919" s="43"/>
      <c r="G919" s="43"/>
      <c r="H919" s="43"/>
      <c r="I919" s="43"/>
      <c r="J919" s="43"/>
      <c r="K919" s="43"/>
      <c r="L919" s="43"/>
      <c r="M919" s="44"/>
      <c r="N919" s="119"/>
      <c r="O919" s="38"/>
      <c r="P919" s="38"/>
      <c r="Q919" s="38"/>
      <c r="R919" s="38"/>
      <c r="S919" s="38"/>
      <c r="T919" s="38"/>
      <c r="U919" s="44"/>
      <c r="V919" s="2119"/>
      <c r="W919" s="43"/>
      <c r="X919" s="43"/>
      <c r="Y919" s="43"/>
      <c r="Z919" s="43"/>
    </row>
    <row r="920" spans="1:26">
      <c r="A920" s="43"/>
      <c r="B920" s="43"/>
      <c r="C920" s="43"/>
      <c r="D920" s="43"/>
      <c r="E920" s="43"/>
      <c r="F920" s="43"/>
      <c r="G920" s="43"/>
      <c r="H920" s="43"/>
      <c r="I920" s="43"/>
      <c r="J920" s="43"/>
      <c r="K920" s="43"/>
      <c r="L920" s="43"/>
      <c r="M920" s="44"/>
      <c r="N920" s="119"/>
      <c r="O920" s="38"/>
      <c r="P920" s="38"/>
      <c r="Q920" s="38"/>
      <c r="R920" s="38"/>
      <c r="S920" s="38"/>
      <c r="T920" s="38"/>
      <c r="U920" s="44"/>
      <c r="V920" s="2119"/>
      <c r="W920" s="43"/>
      <c r="X920" s="43"/>
      <c r="Y920" s="43"/>
      <c r="Z920" s="43"/>
    </row>
    <row r="921" spans="1:26">
      <c r="A921" s="43"/>
      <c r="B921" s="43"/>
      <c r="C921" s="43"/>
      <c r="D921" s="43"/>
      <c r="E921" s="43"/>
      <c r="F921" s="43"/>
      <c r="G921" s="43"/>
      <c r="H921" s="43"/>
      <c r="I921" s="43"/>
      <c r="J921" s="43"/>
      <c r="K921" s="43"/>
      <c r="L921" s="43"/>
      <c r="M921" s="44"/>
      <c r="N921" s="119"/>
      <c r="O921" s="38"/>
      <c r="P921" s="38"/>
      <c r="Q921" s="38"/>
      <c r="R921" s="38"/>
      <c r="S921" s="38"/>
      <c r="T921" s="38"/>
      <c r="U921" s="44"/>
      <c r="V921" s="2119"/>
      <c r="W921" s="43"/>
      <c r="X921" s="43"/>
      <c r="Y921" s="43"/>
      <c r="Z921" s="43"/>
    </row>
    <row r="922" spans="1:26">
      <c r="A922" s="43"/>
      <c r="B922" s="43"/>
      <c r="C922" s="43"/>
      <c r="D922" s="43"/>
      <c r="E922" s="43"/>
      <c r="F922" s="43"/>
      <c r="G922" s="43"/>
      <c r="H922" s="43"/>
      <c r="I922" s="43"/>
      <c r="J922" s="43"/>
      <c r="K922" s="43"/>
      <c r="L922" s="43"/>
      <c r="M922" s="44"/>
      <c r="N922" s="119"/>
      <c r="O922" s="38"/>
      <c r="P922" s="38"/>
      <c r="Q922" s="38"/>
      <c r="R922" s="38"/>
      <c r="S922" s="38"/>
      <c r="T922" s="38"/>
      <c r="U922" s="44"/>
      <c r="V922" s="2119"/>
      <c r="W922" s="43"/>
      <c r="X922" s="43"/>
      <c r="Y922" s="43"/>
      <c r="Z922" s="43"/>
    </row>
    <row r="923" spans="1:26">
      <c r="A923" s="43"/>
      <c r="B923" s="43"/>
      <c r="C923" s="43"/>
      <c r="D923" s="43"/>
      <c r="E923" s="43"/>
      <c r="F923" s="43"/>
      <c r="G923" s="43"/>
      <c r="H923" s="43"/>
      <c r="I923" s="43"/>
      <c r="J923" s="43"/>
      <c r="K923" s="43"/>
      <c r="L923" s="43"/>
      <c r="M923" s="44"/>
      <c r="N923" s="119"/>
      <c r="O923" s="38"/>
      <c r="P923" s="38"/>
      <c r="Q923" s="38"/>
      <c r="R923" s="38"/>
      <c r="S923" s="38"/>
      <c r="T923" s="38"/>
      <c r="U923" s="44"/>
      <c r="V923" s="2119"/>
      <c r="W923" s="43"/>
      <c r="X923" s="43"/>
      <c r="Y923" s="43"/>
      <c r="Z923" s="43"/>
    </row>
    <row r="924" spans="1:26">
      <c r="A924" s="43"/>
      <c r="B924" s="43"/>
      <c r="C924" s="43"/>
      <c r="D924" s="43"/>
      <c r="E924" s="43"/>
      <c r="F924" s="43"/>
      <c r="G924" s="43"/>
      <c r="H924" s="43"/>
      <c r="I924" s="43"/>
      <c r="J924" s="43"/>
      <c r="K924" s="43"/>
      <c r="L924" s="43"/>
      <c r="M924" s="44"/>
      <c r="N924" s="119"/>
      <c r="O924" s="38"/>
      <c r="P924" s="38"/>
      <c r="Q924" s="38"/>
      <c r="R924" s="38"/>
      <c r="S924" s="38"/>
      <c r="T924" s="38"/>
      <c r="U924" s="44"/>
      <c r="V924" s="2119"/>
      <c r="W924" s="43"/>
      <c r="X924" s="43"/>
      <c r="Y924" s="43"/>
      <c r="Z924" s="43"/>
    </row>
    <row r="925" spans="1:26">
      <c r="A925" s="43"/>
      <c r="B925" s="43"/>
      <c r="C925" s="43"/>
      <c r="D925" s="43"/>
      <c r="E925" s="43"/>
      <c r="F925" s="43"/>
      <c r="G925" s="43"/>
      <c r="H925" s="43"/>
      <c r="I925" s="43"/>
      <c r="J925" s="43"/>
      <c r="K925" s="43"/>
      <c r="L925" s="43"/>
      <c r="M925" s="44"/>
      <c r="N925" s="119"/>
      <c r="O925" s="38"/>
      <c r="P925" s="38"/>
      <c r="Q925" s="38"/>
      <c r="R925" s="38"/>
      <c r="S925" s="38"/>
      <c r="T925" s="38"/>
      <c r="U925" s="44"/>
      <c r="V925" s="2119"/>
      <c r="W925" s="43"/>
      <c r="X925" s="43"/>
      <c r="Y925" s="43"/>
      <c r="Z925" s="43"/>
    </row>
    <row r="926" spans="1:26">
      <c r="A926" s="43"/>
      <c r="B926" s="43"/>
      <c r="C926" s="43"/>
      <c r="D926" s="43"/>
      <c r="E926" s="43"/>
      <c r="F926" s="43"/>
      <c r="G926" s="43"/>
      <c r="H926" s="43"/>
      <c r="I926" s="43"/>
      <c r="J926" s="43"/>
      <c r="K926" s="43"/>
      <c r="L926" s="43"/>
      <c r="M926" s="44"/>
      <c r="N926" s="119"/>
      <c r="O926" s="38"/>
      <c r="P926" s="38"/>
      <c r="Q926" s="38"/>
      <c r="R926" s="38"/>
      <c r="S926" s="38"/>
      <c r="T926" s="38"/>
      <c r="U926" s="44"/>
      <c r="V926" s="2119"/>
      <c r="W926" s="43"/>
      <c r="X926" s="43"/>
      <c r="Y926" s="43"/>
      <c r="Z926" s="43"/>
    </row>
    <row r="927" spans="1:26">
      <c r="A927" s="43"/>
      <c r="B927" s="43"/>
      <c r="C927" s="43"/>
      <c r="D927" s="43"/>
      <c r="E927" s="43"/>
      <c r="F927" s="43"/>
      <c r="G927" s="43"/>
      <c r="H927" s="43"/>
      <c r="I927" s="43"/>
      <c r="J927" s="43"/>
      <c r="K927" s="43"/>
      <c r="L927" s="43"/>
      <c r="M927" s="44"/>
      <c r="N927" s="119"/>
      <c r="O927" s="38"/>
      <c r="P927" s="38"/>
      <c r="Q927" s="38"/>
      <c r="R927" s="38"/>
      <c r="S927" s="38"/>
      <c r="T927" s="38"/>
      <c r="U927" s="44"/>
      <c r="V927" s="2119"/>
      <c r="W927" s="43"/>
      <c r="X927" s="43"/>
      <c r="Y927" s="43"/>
      <c r="Z927" s="43"/>
    </row>
    <row r="928" spans="1:26">
      <c r="A928" s="43"/>
      <c r="B928" s="43"/>
      <c r="C928" s="43"/>
      <c r="D928" s="43"/>
      <c r="E928" s="43"/>
      <c r="F928" s="43"/>
      <c r="G928" s="43"/>
      <c r="H928" s="43"/>
      <c r="I928" s="43"/>
      <c r="J928" s="43"/>
      <c r="K928" s="43"/>
      <c r="L928" s="43"/>
      <c r="M928" s="44"/>
      <c r="N928" s="119"/>
      <c r="O928" s="38"/>
      <c r="P928" s="38"/>
      <c r="Q928" s="38"/>
      <c r="R928" s="38"/>
      <c r="S928" s="38"/>
      <c r="T928" s="38"/>
      <c r="U928" s="44"/>
      <c r="V928" s="2119"/>
      <c r="W928" s="43"/>
      <c r="X928" s="43"/>
      <c r="Y928" s="43"/>
      <c r="Z928" s="43"/>
    </row>
    <row r="929" spans="1:26">
      <c r="A929" s="43"/>
      <c r="B929" s="43"/>
      <c r="C929" s="43"/>
      <c r="D929" s="43"/>
      <c r="E929" s="43"/>
      <c r="F929" s="43"/>
      <c r="G929" s="43"/>
      <c r="H929" s="43"/>
      <c r="I929" s="43"/>
      <c r="J929" s="43"/>
      <c r="K929" s="43"/>
      <c r="L929" s="43"/>
      <c r="M929" s="44"/>
      <c r="N929" s="119"/>
      <c r="O929" s="38"/>
      <c r="P929" s="38"/>
      <c r="Q929" s="38"/>
      <c r="R929" s="38"/>
      <c r="S929" s="38"/>
      <c r="T929" s="38"/>
      <c r="U929" s="44"/>
      <c r="V929" s="2119"/>
      <c r="W929" s="43"/>
      <c r="X929" s="43"/>
      <c r="Y929" s="43"/>
      <c r="Z929" s="43"/>
    </row>
    <row r="930" spans="1:26">
      <c r="A930" s="43"/>
      <c r="B930" s="43"/>
      <c r="C930" s="43"/>
      <c r="D930" s="43"/>
      <c r="E930" s="43"/>
      <c r="F930" s="43"/>
      <c r="G930" s="43"/>
      <c r="H930" s="43"/>
      <c r="I930" s="43"/>
      <c r="J930" s="43"/>
      <c r="K930" s="43"/>
      <c r="L930" s="43"/>
      <c r="M930" s="44"/>
      <c r="N930" s="119"/>
      <c r="O930" s="38"/>
      <c r="P930" s="38"/>
      <c r="Q930" s="38"/>
      <c r="R930" s="38"/>
      <c r="S930" s="38"/>
      <c r="T930" s="38"/>
      <c r="U930" s="44"/>
      <c r="V930" s="2119"/>
      <c r="W930" s="43"/>
      <c r="X930" s="43"/>
      <c r="Y930" s="43"/>
      <c r="Z930" s="43"/>
    </row>
    <row r="931" spans="1:26">
      <c r="A931" s="43"/>
      <c r="B931" s="43"/>
      <c r="C931" s="43"/>
      <c r="D931" s="43"/>
      <c r="E931" s="43"/>
      <c r="F931" s="43"/>
      <c r="G931" s="43"/>
      <c r="H931" s="43"/>
      <c r="I931" s="43"/>
      <c r="J931" s="43"/>
      <c r="K931" s="43"/>
      <c r="L931" s="43"/>
      <c r="M931" s="44"/>
      <c r="N931" s="119"/>
      <c r="O931" s="38"/>
      <c r="P931" s="38"/>
      <c r="Q931" s="38"/>
      <c r="R931" s="38"/>
      <c r="S931" s="38"/>
      <c r="T931" s="38"/>
      <c r="U931" s="44"/>
      <c r="V931" s="2119"/>
      <c r="W931" s="43"/>
      <c r="X931" s="43"/>
      <c r="Y931" s="43"/>
      <c r="Z931" s="43"/>
    </row>
    <row r="932" spans="1:26">
      <c r="A932" s="43"/>
      <c r="B932" s="43"/>
      <c r="C932" s="43"/>
      <c r="D932" s="43"/>
      <c r="E932" s="43"/>
      <c r="F932" s="43"/>
      <c r="G932" s="43"/>
      <c r="H932" s="43"/>
      <c r="I932" s="43"/>
      <c r="J932" s="43"/>
      <c r="K932" s="43"/>
      <c r="L932" s="43"/>
      <c r="M932" s="44"/>
      <c r="N932" s="119"/>
      <c r="O932" s="38"/>
      <c r="P932" s="38"/>
      <c r="Q932" s="38"/>
      <c r="R932" s="38"/>
      <c r="S932" s="38"/>
      <c r="T932" s="38"/>
      <c r="U932" s="44"/>
      <c r="V932" s="2119"/>
      <c r="W932" s="43"/>
      <c r="X932" s="43"/>
      <c r="Y932" s="43"/>
      <c r="Z932" s="43"/>
    </row>
    <row r="933" spans="1:26">
      <c r="A933" s="43"/>
      <c r="B933" s="43"/>
      <c r="C933" s="43"/>
      <c r="D933" s="43"/>
      <c r="E933" s="43"/>
      <c r="F933" s="43"/>
      <c r="G933" s="43"/>
      <c r="H933" s="43"/>
      <c r="I933" s="43"/>
      <c r="J933" s="43"/>
      <c r="K933" s="43"/>
      <c r="L933" s="43"/>
      <c r="M933" s="44"/>
      <c r="N933" s="119"/>
      <c r="O933" s="38"/>
      <c r="P933" s="38"/>
      <c r="Q933" s="38"/>
      <c r="R933" s="38"/>
      <c r="S933" s="38"/>
      <c r="T933" s="38"/>
      <c r="U933" s="44"/>
      <c r="V933" s="2119"/>
      <c r="W933" s="43"/>
      <c r="X933" s="43"/>
      <c r="Y933" s="43"/>
      <c r="Z933" s="43"/>
    </row>
    <row r="934" spans="1:26">
      <c r="A934" s="43"/>
      <c r="B934" s="43"/>
      <c r="C934" s="43"/>
      <c r="D934" s="43"/>
      <c r="E934" s="43"/>
      <c r="F934" s="43"/>
      <c r="G934" s="43"/>
      <c r="H934" s="43"/>
      <c r="I934" s="43"/>
      <c r="J934" s="43"/>
      <c r="K934" s="43"/>
      <c r="L934" s="43"/>
      <c r="M934" s="44"/>
      <c r="N934" s="119"/>
      <c r="O934" s="38"/>
      <c r="P934" s="38"/>
      <c r="Q934" s="38"/>
      <c r="R934" s="38"/>
      <c r="S934" s="38"/>
      <c r="T934" s="38"/>
      <c r="U934" s="44"/>
      <c r="V934" s="2119"/>
      <c r="W934" s="43"/>
      <c r="X934" s="43"/>
      <c r="Y934" s="43"/>
      <c r="Z934" s="43"/>
    </row>
    <row r="935" spans="1:26">
      <c r="A935" s="43"/>
      <c r="B935" s="43"/>
      <c r="C935" s="43"/>
      <c r="D935" s="43"/>
      <c r="E935" s="43"/>
      <c r="F935" s="43"/>
      <c r="G935" s="43"/>
      <c r="H935" s="43"/>
      <c r="I935" s="43"/>
      <c r="J935" s="43"/>
      <c r="K935" s="43"/>
      <c r="L935" s="43"/>
      <c r="M935" s="44"/>
      <c r="N935" s="119"/>
      <c r="O935" s="38"/>
      <c r="P935" s="38"/>
      <c r="Q935" s="38"/>
      <c r="R935" s="38"/>
      <c r="S935" s="38"/>
      <c r="T935" s="38"/>
      <c r="U935" s="44"/>
      <c r="V935" s="2119"/>
      <c r="W935" s="43"/>
      <c r="X935" s="43"/>
      <c r="Y935" s="43"/>
      <c r="Z935" s="43"/>
    </row>
    <row r="936" spans="1:26">
      <c r="A936" s="43"/>
      <c r="B936" s="43"/>
      <c r="C936" s="43"/>
      <c r="D936" s="43"/>
      <c r="E936" s="43"/>
      <c r="F936" s="43"/>
      <c r="G936" s="43"/>
      <c r="H936" s="43"/>
      <c r="I936" s="43"/>
      <c r="J936" s="43"/>
      <c r="K936" s="43"/>
      <c r="L936" s="43"/>
      <c r="M936" s="44"/>
      <c r="N936" s="119"/>
      <c r="O936" s="38"/>
      <c r="P936" s="38"/>
      <c r="Q936" s="38"/>
      <c r="R936" s="38"/>
      <c r="S936" s="38"/>
      <c r="T936" s="38"/>
      <c r="U936" s="44"/>
      <c r="V936" s="2119"/>
      <c r="W936" s="43"/>
      <c r="X936" s="43"/>
      <c r="Y936" s="43"/>
      <c r="Z936" s="43"/>
    </row>
    <row r="937" spans="1:26">
      <c r="A937" s="43"/>
      <c r="B937" s="43"/>
      <c r="C937" s="43"/>
      <c r="D937" s="43"/>
      <c r="E937" s="43"/>
      <c r="F937" s="43"/>
      <c r="G937" s="43"/>
      <c r="H937" s="43"/>
      <c r="I937" s="43"/>
      <c r="J937" s="43"/>
      <c r="K937" s="43"/>
      <c r="L937" s="43"/>
      <c r="M937" s="44"/>
      <c r="N937" s="119"/>
      <c r="O937" s="38"/>
      <c r="P937" s="38"/>
      <c r="Q937" s="38"/>
      <c r="R937" s="38"/>
      <c r="S937" s="38"/>
      <c r="T937" s="38"/>
      <c r="U937" s="44"/>
      <c r="V937" s="2119"/>
      <c r="W937" s="43"/>
      <c r="X937" s="43"/>
      <c r="Y937" s="43"/>
      <c r="Z937" s="43"/>
    </row>
    <row r="938" spans="1:26">
      <c r="A938" s="43"/>
      <c r="B938" s="43"/>
      <c r="C938" s="43"/>
      <c r="D938" s="43"/>
      <c r="E938" s="43"/>
      <c r="F938" s="43"/>
      <c r="G938" s="43"/>
      <c r="H938" s="43"/>
      <c r="I938" s="43"/>
      <c r="J938" s="43"/>
      <c r="K938" s="43"/>
      <c r="L938" s="43"/>
      <c r="M938" s="44"/>
      <c r="N938" s="119"/>
      <c r="O938" s="38"/>
      <c r="P938" s="38"/>
      <c r="Q938" s="38"/>
      <c r="R938" s="38"/>
      <c r="S938" s="38"/>
      <c r="T938" s="38"/>
      <c r="U938" s="44"/>
      <c r="V938" s="2119"/>
      <c r="W938" s="43"/>
      <c r="X938" s="43"/>
      <c r="Y938" s="43"/>
      <c r="Z938" s="43"/>
    </row>
    <row r="939" spans="1:26">
      <c r="A939" s="43"/>
      <c r="B939" s="43"/>
      <c r="C939" s="43"/>
      <c r="D939" s="43"/>
      <c r="E939" s="43"/>
      <c r="F939" s="43"/>
      <c r="G939" s="43"/>
      <c r="H939" s="43"/>
      <c r="I939" s="43"/>
      <c r="J939" s="43"/>
      <c r="K939" s="43"/>
      <c r="L939" s="43"/>
      <c r="M939" s="44"/>
      <c r="N939" s="119"/>
      <c r="O939" s="38"/>
      <c r="P939" s="38"/>
      <c r="Q939" s="38"/>
      <c r="R939" s="38"/>
      <c r="S939" s="38"/>
      <c r="T939" s="38"/>
      <c r="U939" s="44"/>
      <c r="V939" s="2119"/>
      <c r="W939" s="43"/>
      <c r="X939" s="43"/>
      <c r="Y939" s="43"/>
      <c r="Z939" s="43"/>
    </row>
    <row r="940" spans="1:26">
      <c r="A940" s="43"/>
      <c r="B940" s="43"/>
      <c r="C940" s="43"/>
      <c r="D940" s="43"/>
      <c r="E940" s="43"/>
      <c r="F940" s="43"/>
      <c r="G940" s="43"/>
      <c r="H940" s="43"/>
      <c r="I940" s="43"/>
      <c r="J940" s="43"/>
      <c r="K940" s="43"/>
      <c r="L940" s="43"/>
      <c r="M940" s="44"/>
      <c r="N940" s="119"/>
      <c r="O940" s="38"/>
      <c r="P940" s="38"/>
      <c r="Q940" s="38"/>
      <c r="R940" s="38"/>
      <c r="S940" s="38"/>
      <c r="T940" s="38"/>
      <c r="U940" s="44"/>
      <c r="V940" s="2119"/>
      <c r="W940" s="43"/>
      <c r="X940" s="43"/>
      <c r="Y940" s="43"/>
      <c r="Z940" s="43"/>
    </row>
    <row r="941" spans="1:26">
      <c r="A941" s="43"/>
      <c r="B941" s="43"/>
      <c r="C941" s="43"/>
      <c r="D941" s="43"/>
      <c r="E941" s="43"/>
      <c r="F941" s="43"/>
      <c r="G941" s="43"/>
      <c r="H941" s="43"/>
      <c r="I941" s="43"/>
      <c r="J941" s="43"/>
      <c r="K941" s="43"/>
      <c r="L941" s="43"/>
      <c r="M941" s="44"/>
      <c r="N941" s="119"/>
      <c r="O941" s="38"/>
      <c r="P941" s="38"/>
      <c r="Q941" s="38"/>
      <c r="R941" s="38"/>
      <c r="S941" s="38"/>
      <c r="T941" s="38"/>
      <c r="U941" s="44"/>
      <c r="V941" s="2116"/>
      <c r="W941" s="43"/>
      <c r="X941" s="43"/>
      <c r="Y941" s="43"/>
      <c r="Z941" s="43"/>
    </row>
    <row r="942" spans="1:26">
      <c r="A942" s="43"/>
      <c r="B942" s="43"/>
      <c r="C942" s="43"/>
      <c r="D942" s="43"/>
      <c r="E942" s="43"/>
      <c r="F942" s="43"/>
      <c r="G942" s="43"/>
      <c r="H942" s="43"/>
      <c r="I942" s="43"/>
      <c r="J942" s="43"/>
      <c r="K942" s="43"/>
      <c r="L942" s="43"/>
      <c r="M942" s="44"/>
      <c r="N942" s="119"/>
      <c r="O942" s="38"/>
      <c r="P942" s="38"/>
      <c r="Q942" s="38"/>
      <c r="R942" s="38"/>
      <c r="S942" s="38"/>
      <c r="T942" s="38"/>
      <c r="U942" s="44"/>
      <c r="V942" s="2116"/>
      <c r="W942" s="43"/>
      <c r="X942" s="43"/>
      <c r="Y942" s="43"/>
      <c r="Z942" s="43"/>
    </row>
    <row r="943" spans="1:26">
      <c r="A943" s="43"/>
      <c r="B943" s="43"/>
      <c r="C943" s="43"/>
      <c r="D943" s="43"/>
      <c r="E943" s="43"/>
      <c r="F943" s="43"/>
      <c r="G943" s="43"/>
      <c r="H943" s="43"/>
      <c r="I943" s="43"/>
      <c r="J943" s="43"/>
      <c r="K943" s="43"/>
      <c r="L943" s="43"/>
      <c r="M943" s="44"/>
      <c r="N943" s="119"/>
      <c r="O943" s="38"/>
      <c r="P943" s="38"/>
      <c r="Q943" s="38"/>
      <c r="R943" s="38"/>
      <c r="S943" s="38"/>
      <c r="T943" s="38"/>
      <c r="U943" s="44"/>
      <c r="V943" s="2116"/>
      <c r="W943" s="43"/>
      <c r="X943" s="43"/>
      <c r="Y943" s="43"/>
      <c r="Z943" s="43"/>
    </row>
    <row r="944" spans="1:26">
      <c r="A944" s="43"/>
      <c r="B944" s="43"/>
      <c r="C944" s="43"/>
      <c r="D944" s="43"/>
      <c r="E944" s="43"/>
      <c r="F944" s="43"/>
      <c r="G944" s="43"/>
      <c r="H944" s="43"/>
      <c r="I944" s="43"/>
      <c r="J944" s="43"/>
      <c r="K944" s="43"/>
      <c r="L944" s="43"/>
      <c r="M944" s="44"/>
      <c r="N944" s="119"/>
      <c r="O944" s="38"/>
      <c r="P944" s="38"/>
      <c r="Q944" s="38"/>
      <c r="R944" s="38"/>
      <c r="S944" s="38"/>
      <c r="T944" s="38"/>
      <c r="U944" s="44"/>
      <c r="V944" s="2116"/>
      <c r="W944" s="43"/>
      <c r="X944" s="43"/>
      <c r="Y944" s="43"/>
      <c r="Z944" s="43"/>
    </row>
    <row r="945" spans="1:26">
      <c r="A945" s="43"/>
      <c r="B945" s="43"/>
      <c r="C945" s="43"/>
      <c r="D945" s="43"/>
      <c r="E945" s="43"/>
      <c r="F945" s="43"/>
      <c r="G945" s="43"/>
      <c r="H945" s="43"/>
      <c r="I945" s="43"/>
      <c r="J945" s="43"/>
      <c r="K945" s="43"/>
      <c r="L945" s="43"/>
      <c r="M945" s="44"/>
      <c r="N945" s="119"/>
      <c r="O945" s="38"/>
      <c r="P945" s="38"/>
      <c r="Q945" s="38"/>
      <c r="R945" s="38"/>
      <c r="S945" s="38"/>
      <c r="T945" s="38"/>
      <c r="U945" s="44"/>
      <c r="V945" s="2116"/>
      <c r="W945" s="43"/>
      <c r="X945" s="43"/>
      <c r="Y945" s="43"/>
      <c r="Z945" s="43"/>
    </row>
    <row r="946" spans="1:26">
      <c r="A946" s="43"/>
      <c r="B946" s="43"/>
      <c r="C946" s="43"/>
      <c r="D946" s="43"/>
      <c r="E946" s="43"/>
      <c r="F946" s="43"/>
      <c r="G946" s="43"/>
      <c r="H946" s="43"/>
      <c r="I946" s="43"/>
      <c r="J946" s="43"/>
      <c r="K946" s="43"/>
      <c r="L946" s="43"/>
      <c r="M946" s="44"/>
      <c r="N946" s="119"/>
      <c r="O946" s="38"/>
      <c r="P946" s="38"/>
      <c r="Q946" s="38"/>
      <c r="R946" s="38"/>
      <c r="S946" s="38"/>
      <c r="T946" s="38"/>
      <c r="U946" s="44"/>
      <c r="V946" s="2116"/>
      <c r="W946" s="43"/>
      <c r="X946" s="43"/>
      <c r="Y946" s="43"/>
      <c r="Z946" s="43"/>
    </row>
    <row r="947" spans="1:26">
      <c r="A947" s="43"/>
      <c r="B947" s="43"/>
      <c r="C947" s="43"/>
      <c r="D947" s="43"/>
      <c r="E947" s="43"/>
      <c r="F947" s="43"/>
      <c r="G947" s="43"/>
      <c r="H947" s="43"/>
      <c r="I947" s="43"/>
      <c r="J947" s="43"/>
      <c r="K947" s="43"/>
      <c r="L947" s="43"/>
      <c r="M947" s="44"/>
      <c r="N947" s="119"/>
      <c r="O947" s="38"/>
      <c r="P947" s="38"/>
      <c r="Q947" s="38"/>
      <c r="R947" s="38"/>
      <c r="S947" s="38"/>
      <c r="T947" s="38"/>
      <c r="U947" s="44"/>
      <c r="V947" s="2116"/>
      <c r="W947" s="43"/>
      <c r="X947" s="43"/>
      <c r="Y947" s="43"/>
      <c r="Z947" s="43"/>
    </row>
    <row r="948" spans="1:26">
      <c r="A948" s="43"/>
      <c r="B948" s="43"/>
      <c r="C948" s="43"/>
      <c r="D948" s="43"/>
      <c r="E948" s="43"/>
      <c r="F948" s="43"/>
      <c r="G948" s="43"/>
      <c r="H948" s="43"/>
      <c r="I948" s="43"/>
      <c r="J948" s="43"/>
      <c r="K948" s="43"/>
      <c r="L948" s="43"/>
      <c r="M948" s="44"/>
      <c r="N948" s="119"/>
      <c r="O948" s="38"/>
      <c r="P948" s="38"/>
      <c r="Q948" s="38"/>
      <c r="R948" s="38"/>
      <c r="S948" s="38"/>
      <c r="T948" s="38"/>
      <c r="U948" s="44"/>
      <c r="V948" s="2116"/>
      <c r="W948" s="43"/>
      <c r="X948" s="43"/>
      <c r="Y948" s="43"/>
      <c r="Z948" s="43"/>
    </row>
    <row r="949" spans="1:26">
      <c r="A949" s="43"/>
      <c r="B949" s="43"/>
      <c r="C949" s="43"/>
      <c r="D949" s="43"/>
      <c r="E949" s="43"/>
      <c r="F949" s="43"/>
      <c r="G949" s="43"/>
      <c r="H949" s="43"/>
      <c r="I949" s="43"/>
      <c r="J949" s="43"/>
      <c r="K949" s="43"/>
      <c r="L949" s="43"/>
      <c r="M949" s="44"/>
      <c r="N949" s="119"/>
      <c r="O949" s="38"/>
      <c r="P949" s="38"/>
      <c r="Q949" s="38"/>
      <c r="R949" s="38"/>
      <c r="S949" s="38"/>
      <c r="T949" s="38"/>
      <c r="U949" s="44"/>
      <c r="V949" s="2116"/>
      <c r="W949" s="43"/>
      <c r="X949" s="43"/>
      <c r="Y949" s="43"/>
      <c r="Z949" s="43"/>
    </row>
  </sheetData>
  <sheetProtection password="889B" sheet="1" objects="1" scenarios="1"/>
  <mergeCells count="19">
    <mergeCell ref="B762:K762"/>
    <mergeCell ref="I890:K890"/>
    <mergeCell ref="I829:K829"/>
    <mergeCell ref="I831:K831"/>
    <mergeCell ref="O6:T7"/>
    <mergeCell ref="E12:F12"/>
    <mergeCell ref="K10:L10"/>
    <mergeCell ref="H12:K12"/>
    <mergeCell ref="I888:K888"/>
    <mergeCell ref="H13:L13"/>
    <mergeCell ref="B760:J760"/>
    <mergeCell ref="E2:L2"/>
    <mergeCell ref="C6:E6"/>
    <mergeCell ref="G6:L6"/>
    <mergeCell ref="G8:H8"/>
    <mergeCell ref="J8:L8"/>
    <mergeCell ref="A3:C5"/>
    <mergeCell ref="D4:E4"/>
    <mergeCell ref="G4:L4"/>
  </mergeCells>
  <phoneticPr fontId="0" type="noConversion"/>
  <conditionalFormatting sqref="Q898:S899 Q901:S902 Q910:S911 Q904:S905 O907:O908 Q907:S908 O898:O899 O910:O911 O901:O902 O904:O905 O831:P887 O13:T13 O338:P828 O14:P335">
    <cfRule type="cellIs" dxfId="845" priority="1135" stopIfTrue="1" operator="lessThan">
      <formula>0</formula>
    </cfRule>
  </conditionalFormatting>
  <conditionalFormatting sqref="P898:P899 T898:T899 P904:P905 T904:T905 P907:P908 T907:T908 T910:T911 P910:P911">
    <cfRule type="cellIs" dxfId="844" priority="1136" stopIfTrue="1" operator="equal">
      <formula>0</formula>
    </cfRule>
  </conditionalFormatting>
  <conditionalFormatting sqref="M890 O890:U890 O829:P829 M888:U888">
    <cfRule type="cellIs" dxfId="843" priority="1137" stopIfTrue="1" operator="lessThan">
      <formula>0</formula>
    </cfRule>
  </conditionalFormatting>
  <conditionalFormatting sqref="O2 Q2 S2">
    <cfRule type="cellIs" dxfId="842" priority="1138" stopIfTrue="1" operator="equal">
      <formula>"""O K"""</formula>
    </cfRule>
  </conditionalFormatting>
  <conditionalFormatting sqref="T2 T4 R2 R4 P2 P4">
    <cfRule type="cellIs" dxfId="841" priority="1139" stopIfTrue="1" operator="equal">
      <formula>"O K"</formula>
    </cfRule>
    <cfRule type="cellIs" dxfId="840" priority="1140" stopIfTrue="1" operator="notEqual">
      <formula>"O K"</formula>
    </cfRule>
  </conditionalFormatting>
  <conditionalFormatting sqref="E12:F12">
    <cfRule type="cellIs" dxfId="839" priority="1141" stopIfTrue="1" operator="equal">
      <formula>0</formula>
    </cfRule>
  </conditionalFormatting>
  <conditionalFormatting sqref="N10">
    <cfRule type="cellIs" dxfId="838" priority="1142" stopIfTrue="1" operator="equal">
      <formula>0</formula>
    </cfRule>
  </conditionalFormatting>
  <conditionalFormatting sqref="E2:L2 C6:E6 G6:L6 C8">
    <cfRule type="cellIs" dxfId="837" priority="1143" stopIfTrue="1" operator="equal">
      <formula>0</formula>
    </cfRule>
  </conditionalFormatting>
  <conditionalFormatting sqref="G8:H8">
    <cfRule type="cellIs" dxfId="836" priority="1125" stopIfTrue="1" operator="equal">
      <formula>0</formula>
    </cfRule>
  </conditionalFormatting>
  <conditionalFormatting sqref="J8:L8">
    <cfRule type="cellIs" dxfId="835" priority="1124" stopIfTrue="1" operator="equal">
      <formula>0</formula>
    </cfRule>
  </conditionalFormatting>
  <conditionalFormatting sqref="P901:P902">
    <cfRule type="cellIs" dxfId="834" priority="1123" stopIfTrue="1" operator="equal">
      <formula>0</formula>
    </cfRule>
  </conditionalFormatting>
  <conditionalFormatting sqref="T901:T902">
    <cfRule type="cellIs" dxfId="833" priority="1122" stopIfTrue="1" operator="equal">
      <formula>0</formula>
    </cfRule>
  </conditionalFormatting>
  <conditionalFormatting sqref="O336:P337">
    <cfRule type="cellIs" dxfId="832" priority="1121" stopIfTrue="1" operator="lessThan">
      <formula>0</formula>
    </cfRule>
  </conditionalFormatting>
  <conditionalFormatting sqref="E2:L2 C8">
    <cfRule type="cellIs" dxfId="831" priority="1119" stopIfTrue="1" operator="equal">
      <formula>0</formula>
    </cfRule>
  </conditionalFormatting>
  <conditionalFormatting sqref="K10:L10">
    <cfRule type="cellIs" dxfId="830" priority="1118" stopIfTrue="1" operator="equal">
      <formula>0</formula>
    </cfRule>
  </conditionalFormatting>
  <conditionalFormatting sqref="D4">
    <cfRule type="cellIs" dxfId="829" priority="1108" stopIfTrue="1" operator="between">
      <formula>1000000000000</formula>
      <formula>9999999999999990</formula>
    </cfRule>
    <cfRule type="cellIs" dxfId="828" priority="1109" stopIfTrue="1" operator="between">
      <formula>1000000000</formula>
      <formula>999999999999</formula>
    </cfRule>
    <cfRule type="cellIs" dxfId="827" priority="1110" stopIfTrue="1" operator="between">
      <formula>10000</formula>
      <formula>99999999</formula>
    </cfRule>
    <cfRule type="cellIs" dxfId="826" priority="1111" stopIfTrue="1" operator="between">
      <formula>10</formula>
      <formula>9999</formula>
    </cfRule>
  </conditionalFormatting>
  <conditionalFormatting sqref="D4">
    <cfRule type="cellIs" dxfId="825" priority="1107" operator="equal">
      <formula>0</formula>
    </cfRule>
  </conditionalFormatting>
  <conditionalFormatting sqref="A3:C5">
    <cfRule type="cellIs" dxfId="824" priority="1106" operator="equal">
      <formula>"Код на общински разпоредител с бюджет"</formula>
    </cfRule>
  </conditionalFormatting>
  <conditionalFormatting sqref="G4:L4">
    <cfRule type="cellIs" dxfId="823" priority="1100" operator="equal">
      <formula>0</formula>
    </cfRule>
  </conditionalFormatting>
  <conditionalFormatting sqref="Q831:T831 Q322:R322 Q570:R570 Q764:R828 Q344:R345 Q60:R61 Q54:R55 Q56:Q59 Q70:R70 Q62:Q69 Q26:Q53 Q90:R102 Q71:Q89 Q103:Q112 Q113:R113 Q119:R121 Q14:R25 Q160:R160 Q122:Q159 Q161:Q175 Q176:R183 Q191:R194 Q184:Q190 Q199:R218 Q195:Q198 Q271:R282 Q219:Q270 Q285:R286 Q283:Q284 Q287:Q321 Q327:R330 Q323:Q326 Q331:Q335 Q338:Q343 Q383:R414 Q346:Q382 Q417:R565 Q415:Q416 Q566:Q569 Q581:R603 Q571:Q580 Q605:R607 Q604 Q609:R760 Q608 Q847:R847 Q832:Q846 Q876:R883 Q884:Q887 Q849:R857 Q848 Q858:Q875 Q762:R762 Q114:Q118">
    <cfRule type="cellIs" dxfId="822" priority="1098" stopIfTrue="1" operator="lessThan">
      <formula>0</formula>
    </cfRule>
  </conditionalFormatting>
  <conditionalFormatting sqref="U829">
    <cfRule type="cellIs" dxfId="821" priority="1099" stopIfTrue="1" operator="lessThan">
      <formula>0</formula>
    </cfRule>
  </conditionalFormatting>
  <conditionalFormatting sqref="Q763:R763">
    <cfRule type="cellIs" dxfId="820" priority="1092" stopIfTrue="1" operator="lessThan">
      <formula>0</formula>
    </cfRule>
  </conditionalFormatting>
  <conditionalFormatting sqref="Q336:Q337">
    <cfRule type="cellIs" dxfId="819" priority="1091" stopIfTrue="1" operator="lessThan">
      <formula>0</formula>
    </cfRule>
  </conditionalFormatting>
  <conditionalFormatting sqref="R56:R59">
    <cfRule type="cellIs" dxfId="818" priority="1079" stopIfTrue="1" operator="lessThan">
      <formula>0</formula>
    </cfRule>
  </conditionalFormatting>
  <conditionalFormatting sqref="R62:R69">
    <cfRule type="cellIs" dxfId="817" priority="1078" stopIfTrue="1" operator="lessThan">
      <formula>0</formula>
    </cfRule>
  </conditionalFormatting>
  <conditionalFormatting sqref="R26:R52">
    <cfRule type="cellIs" dxfId="816" priority="1077" stopIfTrue="1" operator="lessThan">
      <formula>0</formula>
    </cfRule>
  </conditionalFormatting>
  <conditionalFormatting sqref="R71:R89">
    <cfRule type="cellIs" dxfId="815" priority="1076" stopIfTrue="1" operator="lessThan">
      <formula>0</formula>
    </cfRule>
  </conditionalFormatting>
  <conditionalFormatting sqref="R103:R112">
    <cfRule type="cellIs" dxfId="814" priority="1075" stopIfTrue="1" operator="lessThan">
      <formula>0</formula>
    </cfRule>
  </conditionalFormatting>
  <conditionalFormatting sqref="R118">
    <cfRule type="cellIs" dxfId="813" priority="1074" stopIfTrue="1" operator="lessThan">
      <formula>0</formula>
    </cfRule>
  </conditionalFormatting>
  <conditionalFormatting sqref="R122">
    <cfRule type="cellIs" dxfId="812" priority="1073" stopIfTrue="1" operator="lessThan">
      <formula>0</formula>
    </cfRule>
  </conditionalFormatting>
  <conditionalFormatting sqref="R125">
    <cfRule type="cellIs" dxfId="811" priority="1072" stopIfTrue="1" operator="lessThan">
      <formula>0</formula>
    </cfRule>
  </conditionalFormatting>
  <conditionalFormatting sqref="R127">
    <cfRule type="cellIs" dxfId="810" priority="1071" stopIfTrue="1" operator="lessThan">
      <formula>0</formula>
    </cfRule>
  </conditionalFormatting>
  <conditionalFormatting sqref="R128">
    <cfRule type="cellIs" dxfId="809" priority="1070" stopIfTrue="1" operator="lessThan">
      <formula>0</formula>
    </cfRule>
  </conditionalFormatting>
  <conditionalFormatting sqref="R130">
    <cfRule type="cellIs" dxfId="808" priority="1069" stopIfTrue="1" operator="lessThan">
      <formula>0</formula>
    </cfRule>
  </conditionalFormatting>
  <conditionalFormatting sqref="R132">
    <cfRule type="cellIs" dxfId="807" priority="1068" stopIfTrue="1" operator="lessThan">
      <formula>0</formula>
    </cfRule>
  </conditionalFormatting>
  <conditionalFormatting sqref="R133">
    <cfRule type="cellIs" dxfId="806" priority="1067" stopIfTrue="1" operator="lessThan">
      <formula>0</formula>
    </cfRule>
  </conditionalFormatting>
  <conditionalFormatting sqref="R135">
    <cfRule type="cellIs" dxfId="805" priority="1066" stopIfTrue="1" operator="lessThan">
      <formula>0</formula>
    </cfRule>
  </conditionalFormatting>
  <conditionalFormatting sqref="R123">
    <cfRule type="cellIs" dxfId="804" priority="1065" stopIfTrue="1" operator="lessThan">
      <formula>0</formula>
    </cfRule>
  </conditionalFormatting>
  <conditionalFormatting sqref="R124">
    <cfRule type="cellIs" dxfId="803" priority="1064" stopIfTrue="1" operator="lessThan">
      <formula>0</formula>
    </cfRule>
  </conditionalFormatting>
  <conditionalFormatting sqref="R126">
    <cfRule type="cellIs" dxfId="802" priority="1063" stopIfTrue="1" operator="lessThan">
      <formula>0</formula>
    </cfRule>
  </conditionalFormatting>
  <conditionalFormatting sqref="R129">
    <cfRule type="cellIs" dxfId="801" priority="1062" stopIfTrue="1" operator="lessThan">
      <formula>0</formula>
    </cfRule>
  </conditionalFormatting>
  <conditionalFormatting sqref="R131">
    <cfRule type="cellIs" dxfId="800" priority="1061" stopIfTrue="1" operator="lessThan">
      <formula>0</formula>
    </cfRule>
  </conditionalFormatting>
  <conditionalFormatting sqref="R134">
    <cfRule type="cellIs" dxfId="799" priority="1060" stopIfTrue="1" operator="lessThan">
      <formula>0</formula>
    </cfRule>
  </conditionalFormatting>
  <conditionalFormatting sqref="R136:R138">
    <cfRule type="cellIs" dxfId="798" priority="1059" stopIfTrue="1" operator="lessThan">
      <formula>0</formula>
    </cfRule>
  </conditionalFormatting>
  <conditionalFormatting sqref="R141">
    <cfRule type="cellIs" dxfId="797" priority="1058" stopIfTrue="1" operator="lessThan">
      <formula>0</formula>
    </cfRule>
  </conditionalFormatting>
  <conditionalFormatting sqref="R144:R145">
    <cfRule type="cellIs" dxfId="796" priority="1057" stopIfTrue="1" operator="lessThan">
      <formula>0</formula>
    </cfRule>
  </conditionalFormatting>
  <conditionalFormatting sqref="R147:R149">
    <cfRule type="cellIs" dxfId="795" priority="1056" stopIfTrue="1" operator="lessThan">
      <formula>0</formula>
    </cfRule>
  </conditionalFormatting>
  <conditionalFormatting sqref="R139">
    <cfRule type="cellIs" dxfId="794" priority="1054" stopIfTrue="1" operator="lessThan">
      <formula>0</formula>
    </cfRule>
  </conditionalFormatting>
  <conditionalFormatting sqref="R140">
    <cfRule type="cellIs" dxfId="793" priority="1052" stopIfTrue="1" operator="lessThan">
      <formula>0</formula>
    </cfRule>
  </conditionalFormatting>
  <conditionalFormatting sqref="R142">
    <cfRule type="cellIs" dxfId="792" priority="1050" stopIfTrue="1" operator="lessThan">
      <formula>0</formula>
    </cfRule>
  </conditionalFormatting>
  <conditionalFormatting sqref="R143">
    <cfRule type="cellIs" dxfId="791" priority="1048" stopIfTrue="1" operator="lessThan">
      <formula>0</formula>
    </cfRule>
  </conditionalFormatting>
  <conditionalFormatting sqref="R146">
    <cfRule type="cellIs" dxfId="790" priority="1046" stopIfTrue="1" operator="lessThan">
      <formula>0</formula>
    </cfRule>
  </conditionalFormatting>
  <conditionalFormatting sqref="R150">
    <cfRule type="cellIs" dxfId="789" priority="1044" stopIfTrue="1" operator="lessThan">
      <formula>0</formula>
    </cfRule>
  </conditionalFormatting>
  <conditionalFormatting sqref="R151">
    <cfRule type="cellIs" dxfId="788" priority="1042" stopIfTrue="1" operator="lessThan">
      <formula>0</formula>
    </cfRule>
  </conditionalFormatting>
  <conditionalFormatting sqref="R152">
    <cfRule type="cellIs" dxfId="787" priority="1041" stopIfTrue="1" operator="lessThan">
      <formula>0</formula>
    </cfRule>
  </conditionalFormatting>
  <conditionalFormatting sqref="R153">
    <cfRule type="cellIs" dxfId="786" priority="1040" stopIfTrue="1" operator="lessThan">
      <formula>0</formula>
    </cfRule>
  </conditionalFormatting>
  <conditionalFormatting sqref="R154:R159">
    <cfRule type="cellIs" dxfId="785" priority="1039" stopIfTrue="1" operator="lessThan">
      <formula>0</formula>
    </cfRule>
  </conditionalFormatting>
  <conditionalFormatting sqref="R161:R172">
    <cfRule type="cellIs" dxfId="784" priority="1038" stopIfTrue="1" operator="lessThan">
      <formula>0</formula>
    </cfRule>
  </conditionalFormatting>
  <conditionalFormatting sqref="R173:R175">
    <cfRule type="cellIs" dxfId="783" priority="1037" stopIfTrue="1" operator="lessThan">
      <formula>0</formula>
    </cfRule>
  </conditionalFormatting>
  <conditionalFormatting sqref="R184">
    <cfRule type="cellIs" dxfId="782" priority="1035" stopIfTrue="1" operator="lessThan">
      <formula>0</formula>
    </cfRule>
  </conditionalFormatting>
  <conditionalFormatting sqref="R186:R187">
    <cfRule type="cellIs" dxfId="781" priority="1033" stopIfTrue="1" operator="lessThan">
      <formula>0</formula>
    </cfRule>
  </conditionalFormatting>
  <conditionalFormatting sqref="R190">
    <cfRule type="cellIs" dxfId="780" priority="1031" stopIfTrue="1" operator="lessThan">
      <formula>0</formula>
    </cfRule>
  </conditionalFormatting>
  <conditionalFormatting sqref="R185">
    <cfRule type="cellIs" dxfId="779" priority="1030" stopIfTrue="1" operator="lessThan">
      <formula>0</formula>
    </cfRule>
  </conditionalFormatting>
  <conditionalFormatting sqref="R188:R189">
    <cfRule type="cellIs" dxfId="778" priority="1029" stopIfTrue="1" operator="lessThan">
      <formula>0</formula>
    </cfRule>
  </conditionalFormatting>
  <conditionalFormatting sqref="R196">
    <cfRule type="cellIs" dxfId="777" priority="1028" stopIfTrue="1" operator="lessThan">
      <formula>0</formula>
    </cfRule>
  </conditionalFormatting>
  <conditionalFormatting sqref="R195">
    <cfRule type="cellIs" dxfId="776" priority="1026" stopIfTrue="1" operator="lessThan">
      <formula>0</formula>
    </cfRule>
  </conditionalFormatting>
  <conditionalFormatting sqref="R197:R198">
    <cfRule type="cellIs" dxfId="775" priority="1024" stopIfTrue="1" operator="lessThan">
      <formula>0</formula>
    </cfRule>
  </conditionalFormatting>
  <conditionalFormatting sqref="R220">
    <cfRule type="cellIs" dxfId="774" priority="1022" stopIfTrue="1" operator="lessThan">
      <formula>0</formula>
    </cfRule>
  </conditionalFormatting>
  <conditionalFormatting sqref="R222">
    <cfRule type="cellIs" dxfId="773" priority="1020" stopIfTrue="1" operator="lessThan">
      <formula>0</formula>
    </cfRule>
  </conditionalFormatting>
  <conditionalFormatting sqref="R224:R228">
    <cfRule type="cellIs" dxfId="772" priority="1018" stopIfTrue="1" operator="lessThan">
      <formula>0</formula>
    </cfRule>
  </conditionalFormatting>
  <conditionalFormatting sqref="R219">
    <cfRule type="cellIs" dxfId="771" priority="1017" stopIfTrue="1" operator="lessThan">
      <formula>0</formula>
    </cfRule>
  </conditionalFormatting>
  <conditionalFormatting sqref="R221">
    <cfRule type="cellIs" dxfId="770" priority="1016" stopIfTrue="1" operator="lessThan">
      <formula>0</formula>
    </cfRule>
  </conditionalFormatting>
  <conditionalFormatting sqref="R223">
    <cfRule type="cellIs" dxfId="769" priority="1015" stopIfTrue="1" operator="lessThan">
      <formula>0</formula>
    </cfRule>
  </conditionalFormatting>
  <conditionalFormatting sqref="R229:R231">
    <cfRule type="cellIs" dxfId="768" priority="1014" stopIfTrue="1" operator="lessThan">
      <formula>0</formula>
    </cfRule>
  </conditionalFormatting>
  <conditionalFormatting sqref="R232:R235">
    <cfRule type="cellIs" dxfId="767" priority="1012" stopIfTrue="1" operator="lessThan">
      <formula>0</formula>
    </cfRule>
  </conditionalFormatting>
  <conditionalFormatting sqref="R237:R238">
    <cfRule type="cellIs" dxfId="766" priority="1010" stopIfTrue="1" operator="lessThan">
      <formula>0</formula>
    </cfRule>
  </conditionalFormatting>
  <conditionalFormatting sqref="R241:R244">
    <cfRule type="cellIs" dxfId="765" priority="1008" stopIfTrue="1" operator="lessThan">
      <formula>0</formula>
    </cfRule>
  </conditionalFormatting>
  <conditionalFormatting sqref="R251:R252">
    <cfRule type="cellIs" dxfId="764" priority="1006" stopIfTrue="1" operator="lessThan">
      <formula>0</formula>
    </cfRule>
  </conditionalFormatting>
  <conditionalFormatting sqref="R257:R270">
    <cfRule type="cellIs" dxfId="763" priority="1004" stopIfTrue="1" operator="lessThan">
      <formula>0</formula>
    </cfRule>
  </conditionalFormatting>
  <conditionalFormatting sqref="R284">
    <cfRule type="cellIs" dxfId="762" priority="1002" stopIfTrue="1" operator="lessThan">
      <formula>0</formula>
    </cfRule>
  </conditionalFormatting>
  <conditionalFormatting sqref="R236">
    <cfRule type="cellIs" dxfId="761" priority="1001" stopIfTrue="1" operator="lessThan">
      <formula>0</formula>
    </cfRule>
  </conditionalFormatting>
  <conditionalFormatting sqref="R239:R240">
    <cfRule type="cellIs" dxfId="760" priority="1000" stopIfTrue="1" operator="lessThan">
      <formula>0</formula>
    </cfRule>
  </conditionalFormatting>
  <conditionalFormatting sqref="R245:R250">
    <cfRule type="cellIs" dxfId="759" priority="999" stopIfTrue="1" operator="lessThan">
      <formula>0</formula>
    </cfRule>
  </conditionalFormatting>
  <conditionalFormatting sqref="R253:R256">
    <cfRule type="cellIs" dxfId="758" priority="998" stopIfTrue="1" operator="lessThan">
      <formula>0</formula>
    </cfRule>
  </conditionalFormatting>
  <conditionalFormatting sqref="R283">
    <cfRule type="cellIs" dxfId="757" priority="997" stopIfTrue="1" operator="lessThan">
      <formula>0</formula>
    </cfRule>
  </conditionalFormatting>
  <conditionalFormatting sqref="R287:R288">
    <cfRule type="cellIs" dxfId="756" priority="996" stopIfTrue="1" operator="lessThan">
      <formula>0</formula>
    </cfRule>
  </conditionalFormatting>
  <conditionalFormatting sqref="R291:R292">
    <cfRule type="cellIs" dxfId="755" priority="995" stopIfTrue="1" operator="lessThan">
      <formula>0</formula>
    </cfRule>
  </conditionalFormatting>
  <conditionalFormatting sqref="R289:R290">
    <cfRule type="cellIs" dxfId="754" priority="994" stopIfTrue="1" operator="lessThan">
      <formula>0</formula>
    </cfRule>
  </conditionalFormatting>
  <conditionalFormatting sqref="R293">
    <cfRule type="cellIs" dxfId="753" priority="992" stopIfTrue="1" operator="lessThan">
      <formula>0</formula>
    </cfRule>
  </conditionalFormatting>
  <conditionalFormatting sqref="R294:R321">
    <cfRule type="cellIs" dxfId="752" priority="990" stopIfTrue="1" operator="lessThan">
      <formula>0</formula>
    </cfRule>
  </conditionalFormatting>
  <conditionalFormatting sqref="R323:R326">
    <cfRule type="cellIs" dxfId="751" priority="989" stopIfTrue="1" operator="lessThan">
      <formula>0</formula>
    </cfRule>
  </conditionalFormatting>
  <conditionalFormatting sqref="R331:R336">
    <cfRule type="cellIs" dxfId="750" priority="988" stopIfTrue="1" operator="lessThan">
      <formula>0</formula>
    </cfRule>
  </conditionalFormatting>
  <conditionalFormatting sqref="R338:R343">
    <cfRule type="cellIs" dxfId="749" priority="987" stopIfTrue="1" operator="lessThan">
      <formula>0</formula>
    </cfRule>
  </conditionalFormatting>
  <conditionalFormatting sqref="R346:R363">
    <cfRule type="cellIs" dxfId="748" priority="986" stopIfTrue="1" operator="lessThan">
      <formula>0</formula>
    </cfRule>
  </conditionalFormatting>
  <conditionalFormatting sqref="R368:R379">
    <cfRule type="cellIs" dxfId="747" priority="985" stopIfTrue="1" operator="lessThan">
      <formula>0</formula>
    </cfRule>
  </conditionalFormatting>
  <conditionalFormatting sqref="R337">
    <cfRule type="cellIs" dxfId="746" priority="983" stopIfTrue="1" operator="lessThan">
      <formula>0</formula>
    </cfRule>
  </conditionalFormatting>
  <conditionalFormatting sqref="R364:R367">
    <cfRule type="cellIs" dxfId="745" priority="981" stopIfTrue="1" operator="lessThan">
      <formula>0</formula>
    </cfRule>
  </conditionalFormatting>
  <conditionalFormatting sqref="R380:R382">
    <cfRule type="cellIs" dxfId="744" priority="979" stopIfTrue="1" operator="lessThan">
      <formula>0</formula>
    </cfRule>
  </conditionalFormatting>
  <conditionalFormatting sqref="R415">
    <cfRule type="cellIs" dxfId="743" priority="978" stopIfTrue="1" operator="lessThan">
      <formula>0</formula>
    </cfRule>
  </conditionalFormatting>
  <conditionalFormatting sqref="R416">
    <cfRule type="cellIs" dxfId="742" priority="976" stopIfTrue="1" operator="lessThan">
      <formula>0</formula>
    </cfRule>
  </conditionalFormatting>
  <conditionalFormatting sqref="R566:R569">
    <cfRule type="cellIs" dxfId="741" priority="970" stopIfTrue="1" operator="lessThan">
      <formula>0</formula>
    </cfRule>
  </conditionalFormatting>
  <conditionalFormatting sqref="R571:R572">
    <cfRule type="cellIs" dxfId="740" priority="968" stopIfTrue="1" operator="lessThan">
      <formula>0</formula>
    </cfRule>
  </conditionalFormatting>
  <conditionalFormatting sqref="R576:R578">
    <cfRule type="cellIs" dxfId="739" priority="966" stopIfTrue="1" operator="lessThan">
      <formula>0</formula>
    </cfRule>
  </conditionalFormatting>
  <conditionalFormatting sqref="R580">
    <cfRule type="cellIs" dxfId="738" priority="964" stopIfTrue="1" operator="lessThan">
      <formula>0</formula>
    </cfRule>
  </conditionalFormatting>
  <conditionalFormatting sqref="R573:R575">
    <cfRule type="cellIs" dxfId="737" priority="963" stopIfTrue="1" operator="lessThan">
      <formula>0</formula>
    </cfRule>
  </conditionalFormatting>
  <conditionalFormatting sqref="R579">
    <cfRule type="cellIs" dxfId="736" priority="962" stopIfTrue="1" operator="lessThan">
      <formula>0</formula>
    </cfRule>
  </conditionalFormatting>
  <conditionalFormatting sqref="R604">
    <cfRule type="cellIs" dxfId="735" priority="961" stopIfTrue="1" operator="lessThan">
      <formula>0</formula>
    </cfRule>
  </conditionalFormatting>
  <conditionalFormatting sqref="R608">
    <cfRule type="cellIs" dxfId="734" priority="960" stopIfTrue="1" operator="lessThan">
      <formula>0</formula>
    </cfRule>
  </conditionalFormatting>
  <conditionalFormatting sqref="R832:R834">
    <cfRule type="cellIs" dxfId="733" priority="959" stopIfTrue="1" operator="lessThan">
      <formula>0</formula>
    </cfRule>
  </conditionalFormatting>
  <conditionalFormatting sqref="R837:R841">
    <cfRule type="cellIs" dxfId="732" priority="958" stopIfTrue="1" operator="lessThan">
      <formula>0</formula>
    </cfRule>
  </conditionalFormatting>
  <conditionalFormatting sqref="R846">
    <cfRule type="cellIs" dxfId="731" priority="957" stopIfTrue="1" operator="lessThan">
      <formula>0</formula>
    </cfRule>
  </conditionalFormatting>
  <conditionalFormatting sqref="R858:R867">
    <cfRule type="cellIs" dxfId="730" priority="956" stopIfTrue="1" operator="lessThan">
      <formula>0</formula>
    </cfRule>
  </conditionalFormatting>
  <conditionalFormatting sqref="R884">
    <cfRule type="cellIs" dxfId="729" priority="955" stopIfTrue="1" operator="lessThan">
      <formula>0</formula>
    </cfRule>
  </conditionalFormatting>
  <conditionalFormatting sqref="R887">
    <cfRule type="cellIs" dxfId="728" priority="954" stopIfTrue="1" operator="lessThan">
      <formula>0</formula>
    </cfRule>
  </conditionalFormatting>
  <conditionalFormatting sqref="R835:R836">
    <cfRule type="cellIs" dxfId="727" priority="953" stopIfTrue="1" operator="lessThan">
      <formula>0</formula>
    </cfRule>
  </conditionalFormatting>
  <conditionalFormatting sqref="R842:R845">
    <cfRule type="cellIs" dxfId="726" priority="952" stopIfTrue="1" operator="lessThan">
      <formula>0</formula>
    </cfRule>
  </conditionalFormatting>
  <conditionalFormatting sqref="R848">
    <cfRule type="cellIs" dxfId="725" priority="951" stopIfTrue="1" operator="lessThan">
      <formula>0</formula>
    </cfRule>
  </conditionalFormatting>
  <conditionalFormatting sqref="R868:R875">
    <cfRule type="cellIs" dxfId="724" priority="950" stopIfTrue="1" operator="lessThan">
      <formula>0</formula>
    </cfRule>
  </conditionalFormatting>
  <conditionalFormatting sqref="R885:R886">
    <cfRule type="cellIs" dxfId="723" priority="949" stopIfTrue="1" operator="lessThan">
      <formula>0</formula>
    </cfRule>
  </conditionalFormatting>
  <conditionalFormatting sqref="R53">
    <cfRule type="cellIs" dxfId="722" priority="948" stopIfTrue="1" operator="lessThan">
      <formula>0</formula>
    </cfRule>
  </conditionalFormatting>
  <conditionalFormatting sqref="Q829:T829">
    <cfRule type="cellIs" dxfId="721" priority="671" stopIfTrue="1" operator="lessThan">
      <formula>0</formula>
    </cfRule>
  </conditionalFormatting>
  <conditionalFormatting sqref="V53">
    <cfRule type="cellIs" dxfId="720" priority="148" operator="notEqual">
      <formula>0</formula>
    </cfRule>
  </conditionalFormatting>
  <conditionalFormatting sqref="V54">
    <cfRule type="cellIs" dxfId="719" priority="147" operator="notEqual">
      <formula>0</formula>
    </cfRule>
  </conditionalFormatting>
  <conditionalFormatting sqref="V13">
    <cfRule type="cellIs" dxfId="718" priority="146" operator="notEqual">
      <formula>0</formula>
    </cfRule>
  </conditionalFormatting>
  <conditionalFormatting sqref="V12">
    <cfRule type="cellIs" dxfId="717" priority="145" operator="notEqual">
      <formula>0</formula>
    </cfRule>
  </conditionalFormatting>
  <conditionalFormatting sqref="V10">
    <cfRule type="cellIs" dxfId="716" priority="144" operator="notEqual">
      <formula>0</formula>
    </cfRule>
  </conditionalFormatting>
  <conditionalFormatting sqref="V14:V15">
    <cfRule type="cellIs" dxfId="715" priority="143" operator="notEqual">
      <formula>0</formula>
    </cfRule>
  </conditionalFormatting>
  <conditionalFormatting sqref="V70 V102 V120:V121 V160 V176:V177 V191:V194 V199:V218 V271:V282 V285 V344:V345 V383:V401 V417:V565 V581:V603 V849:V857 V876:V883 V887:V940 V113 V322 V327:V330 V605:V607 V609:V639 V179:V183 V570 V410:V414 V641:V666 V668:V760 V764:V831 V762">
    <cfRule type="cellIs" dxfId="714" priority="142" operator="notEqual">
      <formula>0</formula>
    </cfRule>
  </conditionalFormatting>
  <conditionalFormatting sqref="V60:V61">
    <cfRule type="cellIs" dxfId="713" priority="141" operator="notEqual">
      <formula>0</formula>
    </cfRule>
  </conditionalFormatting>
  <conditionalFormatting sqref="V26">
    <cfRule type="cellIs" dxfId="712" priority="140" operator="notEqual">
      <formula>0</formula>
    </cfRule>
  </conditionalFormatting>
  <conditionalFormatting sqref="V27:V52">
    <cfRule type="cellIs" dxfId="711" priority="139" operator="notEqual">
      <formula>0</formula>
    </cfRule>
  </conditionalFormatting>
  <conditionalFormatting sqref="V56:V59">
    <cfRule type="cellIs" dxfId="710" priority="138" operator="notEqual">
      <formula>0</formula>
    </cfRule>
  </conditionalFormatting>
  <conditionalFormatting sqref="V62:V69">
    <cfRule type="cellIs" dxfId="709" priority="137" operator="notEqual">
      <formula>0</formula>
    </cfRule>
  </conditionalFormatting>
  <conditionalFormatting sqref="V94:V101">
    <cfRule type="cellIs" dxfId="708" priority="136" operator="notEqual">
      <formula>0</formula>
    </cfRule>
  </conditionalFormatting>
  <conditionalFormatting sqref="V114">
    <cfRule type="cellIs" dxfId="707" priority="135" operator="notEqual">
      <formula>0</formula>
    </cfRule>
  </conditionalFormatting>
  <conditionalFormatting sqref="V116">
    <cfRule type="cellIs" dxfId="706" priority="134" operator="notEqual">
      <formula>0</formula>
    </cfRule>
  </conditionalFormatting>
  <conditionalFormatting sqref="V118">
    <cfRule type="cellIs" dxfId="705" priority="133" operator="notEqual">
      <formula>0</formula>
    </cfRule>
  </conditionalFormatting>
  <conditionalFormatting sqref="V122">
    <cfRule type="cellIs" dxfId="704" priority="132" operator="notEqual">
      <formula>0</formula>
    </cfRule>
  </conditionalFormatting>
  <conditionalFormatting sqref="V125">
    <cfRule type="cellIs" dxfId="703" priority="131" operator="notEqual">
      <formula>0</formula>
    </cfRule>
  </conditionalFormatting>
  <conditionalFormatting sqref="V127:V128">
    <cfRule type="cellIs" dxfId="702" priority="130" operator="notEqual">
      <formula>0</formula>
    </cfRule>
  </conditionalFormatting>
  <conditionalFormatting sqref="V130">
    <cfRule type="cellIs" dxfId="701" priority="129" operator="notEqual">
      <formula>0</formula>
    </cfRule>
  </conditionalFormatting>
  <conditionalFormatting sqref="V132:V133">
    <cfRule type="cellIs" dxfId="700" priority="128" operator="notEqual">
      <formula>0</formula>
    </cfRule>
  </conditionalFormatting>
  <conditionalFormatting sqref="V135">
    <cfRule type="cellIs" dxfId="699" priority="127" operator="notEqual">
      <formula>0</formula>
    </cfRule>
  </conditionalFormatting>
  <conditionalFormatting sqref="V139:V140">
    <cfRule type="cellIs" dxfId="698" priority="126" operator="notEqual">
      <formula>0</formula>
    </cfRule>
  </conditionalFormatting>
  <conditionalFormatting sqref="V142:V143">
    <cfRule type="cellIs" dxfId="697" priority="125" operator="notEqual">
      <formula>0</formula>
    </cfRule>
  </conditionalFormatting>
  <conditionalFormatting sqref="V146">
    <cfRule type="cellIs" dxfId="696" priority="124" operator="notEqual">
      <formula>0</formula>
    </cfRule>
  </conditionalFormatting>
  <conditionalFormatting sqref="V150:V151">
    <cfRule type="cellIs" dxfId="695" priority="123" operator="notEqual">
      <formula>0</formula>
    </cfRule>
  </conditionalFormatting>
  <conditionalFormatting sqref="V173:V175">
    <cfRule type="cellIs" dxfId="694" priority="122" operator="notEqual">
      <formula>0</formula>
    </cfRule>
  </conditionalFormatting>
  <conditionalFormatting sqref="V184">
    <cfRule type="cellIs" dxfId="693" priority="121" operator="notEqual">
      <formula>0</formula>
    </cfRule>
  </conditionalFormatting>
  <conditionalFormatting sqref="V186:V187">
    <cfRule type="cellIs" dxfId="692" priority="120" operator="notEqual">
      <formula>0</formula>
    </cfRule>
  </conditionalFormatting>
  <conditionalFormatting sqref="V190">
    <cfRule type="cellIs" dxfId="691" priority="119" operator="notEqual">
      <formula>0</formula>
    </cfRule>
  </conditionalFormatting>
  <conditionalFormatting sqref="V195">
    <cfRule type="cellIs" dxfId="690" priority="118" operator="notEqual">
      <formula>0</formula>
    </cfRule>
  </conditionalFormatting>
  <conditionalFormatting sqref="V197:V198">
    <cfRule type="cellIs" dxfId="689" priority="117" operator="notEqual">
      <formula>0</formula>
    </cfRule>
  </conditionalFormatting>
  <conditionalFormatting sqref="V220">
    <cfRule type="cellIs" dxfId="688" priority="116" operator="notEqual">
      <formula>0</formula>
    </cfRule>
  </conditionalFormatting>
  <conditionalFormatting sqref="V222">
    <cfRule type="cellIs" dxfId="687" priority="115" operator="notEqual">
      <formula>0</formula>
    </cfRule>
  </conditionalFormatting>
  <conditionalFormatting sqref="V224:V228">
    <cfRule type="cellIs" dxfId="686" priority="114" operator="notEqual">
      <formula>0</formula>
    </cfRule>
  </conditionalFormatting>
  <conditionalFormatting sqref="V232:V235">
    <cfRule type="cellIs" dxfId="685" priority="113" operator="notEqual">
      <formula>0</formula>
    </cfRule>
  </conditionalFormatting>
  <conditionalFormatting sqref="V237:V238">
    <cfRule type="cellIs" dxfId="684" priority="112" operator="notEqual">
      <formula>0</formula>
    </cfRule>
  </conditionalFormatting>
  <conditionalFormatting sqref="V241:V244">
    <cfRule type="cellIs" dxfId="683" priority="111" operator="notEqual">
      <formula>0</formula>
    </cfRule>
  </conditionalFormatting>
  <conditionalFormatting sqref="V251:V252">
    <cfRule type="cellIs" dxfId="682" priority="110" operator="notEqual">
      <formula>0</formula>
    </cfRule>
  </conditionalFormatting>
  <conditionalFormatting sqref="V257:V270">
    <cfRule type="cellIs" dxfId="681" priority="109" operator="notEqual">
      <formula>0</formula>
    </cfRule>
  </conditionalFormatting>
  <conditionalFormatting sqref="V284">
    <cfRule type="cellIs" dxfId="680" priority="108" operator="notEqual">
      <formula>0</formula>
    </cfRule>
  </conditionalFormatting>
  <conditionalFormatting sqref="V337">
    <cfRule type="cellIs" dxfId="679" priority="107" operator="notEqual">
      <formula>0</formula>
    </cfRule>
  </conditionalFormatting>
  <conditionalFormatting sqref="V364:V367">
    <cfRule type="cellIs" dxfId="678" priority="106" operator="notEqual">
      <formula>0</formula>
    </cfRule>
  </conditionalFormatting>
  <conditionalFormatting sqref="V380:V382">
    <cfRule type="cellIs" dxfId="677" priority="105" operator="notEqual">
      <formula>0</formula>
    </cfRule>
  </conditionalFormatting>
  <conditionalFormatting sqref="V416">
    <cfRule type="cellIs" dxfId="676" priority="104" operator="notEqual">
      <formula>0</formula>
    </cfRule>
  </conditionalFormatting>
  <conditionalFormatting sqref="V566:V569">
    <cfRule type="cellIs" dxfId="675" priority="103" operator="notEqual">
      <formula>0</formula>
    </cfRule>
  </conditionalFormatting>
  <conditionalFormatting sqref="V571:V572">
    <cfRule type="cellIs" dxfId="674" priority="102" operator="notEqual">
      <formula>0</formula>
    </cfRule>
  </conditionalFormatting>
  <conditionalFormatting sqref="V576:V578">
    <cfRule type="cellIs" dxfId="673" priority="101" operator="notEqual">
      <formula>0</formula>
    </cfRule>
  </conditionalFormatting>
  <conditionalFormatting sqref="V580">
    <cfRule type="cellIs" dxfId="672" priority="100" operator="notEqual">
      <formula>0</formula>
    </cfRule>
  </conditionalFormatting>
  <conditionalFormatting sqref="V835:V836">
    <cfRule type="cellIs" dxfId="671" priority="99" operator="notEqual">
      <formula>0</formula>
    </cfRule>
  </conditionalFormatting>
  <conditionalFormatting sqref="V842:V845">
    <cfRule type="cellIs" dxfId="670" priority="98" operator="notEqual">
      <formula>0</formula>
    </cfRule>
  </conditionalFormatting>
  <conditionalFormatting sqref="V848">
    <cfRule type="cellIs" dxfId="669" priority="97" operator="notEqual">
      <formula>0</formula>
    </cfRule>
  </conditionalFormatting>
  <conditionalFormatting sqref="V868:V875">
    <cfRule type="cellIs" dxfId="668" priority="96" operator="notEqual">
      <formula>0</formula>
    </cfRule>
  </conditionalFormatting>
  <conditionalFormatting sqref="V885:V886">
    <cfRule type="cellIs" dxfId="667" priority="95" operator="notEqual">
      <formula>0</formula>
    </cfRule>
  </conditionalFormatting>
  <conditionalFormatting sqref="V55">
    <cfRule type="cellIs" dxfId="666" priority="94" operator="notEqual">
      <formula>0</formula>
    </cfRule>
  </conditionalFormatting>
  <conditionalFormatting sqref="V71:V89">
    <cfRule type="cellIs" dxfId="665" priority="93" operator="notEqual">
      <formula>0</formula>
    </cfRule>
  </conditionalFormatting>
  <conditionalFormatting sqref="V103:V112">
    <cfRule type="cellIs" dxfId="664" priority="92" operator="notEqual">
      <formula>0</formula>
    </cfRule>
  </conditionalFormatting>
  <conditionalFormatting sqref="V115">
    <cfRule type="cellIs" dxfId="663" priority="91" operator="notEqual">
      <formula>0</formula>
    </cfRule>
  </conditionalFormatting>
  <conditionalFormatting sqref="V119">
    <cfRule type="cellIs" dxfId="662" priority="90" operator="notEqual">
      <formula>0</formula>
    </cfRule>
  </conditionalFormatting>
  <conditionalFormatting sqref="V123:V124">
    <cfRule type="cellIs" dxfId="661" priority="89" operator="notEqual">
      <formula>0</formula>
    </cfRule>
  </conditionalFormatting>
  <conditionalFormatting sqref="V126">
    <cfRule type="cellIs" dxfId="660" priority="88" operator="notEqual">
      <formula>0</formula>
    </cfRule>
  </conditionalFormatting>
  <conditionalFormatting sqref="V129">
    <cfRule type="cellIs" dxfId="659" priority="87" operator="notEqual">
      <formula>0</formula>
    </cfRule>
  </conditionalFormatting>
  <conditionalFormatting sqref="V131">
    <cfRule type="cellIs" dxfId="658" priority="86" operator="notEqual">
      <formula>0</formula>
    </cfRule>
  </conditionalFormatting>
  <conditionalFormatting sqref="V134">
    <cfRule type="cellIs" dxfId="657" priority="85" operator="notEqual">
      <formula>0</formula>
    </cfRule>
  </conditionalFormatting>
  <conditionalFormatting sqref="V136:V138">
    <cfRule type="cellIs" dxfId="656" priority="84" operator="notEqual">
      <formula>0</formula>
    </cfRule>
  </conditionalFormatting>
  <conditionalFormatting sqref="V141">
    <cfRule type="cellIs" dxfId="655" priority="83" operator="notEqual">
      <formula>0</formula>
    </cfRule>
  </conditionalFormatting>
  <conditionalFormatting sqref="V144:V145">
    <cfRule type="cellIs" dxfId="654" priority="82" operator="notEqual">
      <formula>0</formula>
    </cfRule>
  </conditionalFormatting>
  <conditionalFormatting sqref="V147:V149">
    <cfRule type="cellIs" dxfId="653" priority="81" operator="notEqual">
      <formula>0</formula>
    </cfRule>
  </conditionalFormatting>
  <conditionalFormatting sqref="V152:V159">
    <cfRule type="cellIs" dxfId="652" priority="80" operator="notEqual">
      <formula>0</formula>
    </cfRule>
  </conditionalFormatting>
  <conditionalFormatting sqref="V161:V172">
    <cfRule type="cellIs" dxfId="651" priority="79" operator="notEqual">
      <formula>0</formula>
    </cfRule>
  </conditionalFormatting>
  <conditionalFormatting sqref="V185">
    <cfRule type="cellIs" dxfId="650" priority="78" operator="notEqual">
      <formula>0</formula>
    </cfRule>
  </conditionalFormatting>
  <conditionalFormatting sqref="V188:V189">
    <cfRule type="cellIs" dxfId="649" priority="77" operator="notEqual">
      <formula>0</formula>
    </cfRule>
  </conditionalFormatting>
  <conditionalFormatting sqref="V196">
    <cfRule type="cellIs" dxfId="648" priority="76" operator="notEqual">
      <formula>0</formula>
    </cfRule>
  </conditionalFormatting>
  <conditionalFormatting sqref="V219">
    <cfRule type="cellIs" dxfId="647" priority="75" operator="notEqual">
      <formula>0</formula>
    </cfRule>
  </conditionalFormatting>
  <conditionalFormatting sqref="V221">
    <cfRule type="cellIs" dxfId="646" priority="74" operator="notEqual">
      <formula>0</formula>
    </cfRule>
  </conditionalFormatting>
  <conditionalFormatting sqref="V223">
    <cfRule type="cellIs" dxfId="645" priority="73" operator="notEqual">
      <formula>0</formula>
    </cfRule>
  </conditionalFormatting>
  <conditionalFormatting sqref="V229:V231">
    <cfRule type="cellIs" dxfId="644" priority="72" operator="notEqual">
      <formula>0</formula>
    </cfRule>
  </conditionalFormatting>
  <conditionalFormatting sqref="V236">
    <cfRule type="cellIs" dxfId="643" priority="71" operator="notEqual">
      <formula>0</formula>
    </cfRule>
  </conditionalFormatting>
  <conditionalFormatting sqref="V239:V240">
    <cfRule type="cellIs" dxfId="642" priority="70" operator="notEqual">
      <formula>0</formula>
    </cfRule>
  </conditionalFormatting>
  <conditionalFormatting sqref="V245:V250">
    <cfRule type="cellIs" dxfId="641" priority="69" operator="notEqual">
      <formula>0</formula>
    </cfRule>
  </conditionalFormatting>
  <conditionalFormatting sqref="V253:V256">
    <cfRule type="cellIs" dxfId="640" priority="68" operator="notEqual">
      <formula>0</formula>
    </cfRule>
  </conditionalFormatting>
  <conditionalFormatting sqref="V283">
    <cfRule type="cellIs" dxfId="639" priority="67" operator="notEqual">
      <formula>0</formula>
    </cfRule>
  </conditionalFormatting>
  <conditionalFormatting sqref="V286:V288">
    <cfRule type="cellIs" dxfId="638" priority="66" operator="notEqual">
      <formula>0</formula>
    </cfRule>
  </conditionalFormatting>
  <conditionalFormatting sqref="V289:V321">
    <cfRule type="cellIs" dxfId="637" priority="65" operator="notEqual">
      <formula>0</formula>
    </cfRule>
  </conditionalFormatting>
  <conditionalFormatting sqref="V323:V326">
    <cfRule type="cellIs" dxfId="636" priority="64" operator="notEqual">
      <formula>0</formula>
    </cfRule>
  </conditionalFormatting>
  <conditionalFormatting sqref="V331:V336">
    <cfRule type="cellIs" dxfId="635" priority="63" operator="notEqual">
      <formula>0</formula>
    </cfRule>
  </conditionalFormatting>
  <conditionalFormatting sqref="V338:V343">
    <cfRule type="cellIs" dxfId="634" priority="62" operator="notEqual">
      <formula>0</formula>
    </cfRule>
  </conditionalFormatting>
  <conditionalFormatting sqref="V346:V363">
    <cfRule type="cellIs" dxfId="633" priority="61" operator="notEqual">
      <formula>0</formula>
    </cfRule>
  </conditionalFormatting>
  <conditionalFormatting sqref="V368:V379">
    <cfRule type="cellIs" dxfId="632" priority="60" operator="notEqual">
      <formula>0</formula>
    </cfRule>
  </conditionalFormatting>
  <conditionalFormatting sqref="V415">
    <cfRule type="cellIs" dxfId="631" priority="59" operator="notEqual">
      <formula>0</formula>
    </cfRule>
  </conditionalFormatting>
  <conditionalFormatting sqref="V573:V575">
    <cfRule type="cellIs" dxfId="630" priority="58" operator="notEqual">
      <formula>0</formula>
    </cfRule>
  </conditionalFormatting>
  <conditionalFormatting sqref="V579">
    <cfRule type="cellIs" dxfId="629" priority="57" operator="notEqual">
      <formula>0</formula>
    </cfRule>
  </conditionalFormatting>
  <conditionalFormatting sqref="V604">
    <cfRule type="cellIs" dxfId="628" priority="56" operator="notEqual">
      <formula>0</formula>
    </cfRule>
  </conditionalFormatting>
  <conditionalFormatting sqref="V608">
    <cfRule type="cellIs" dxfId="627" priority="55" operator="notEqual">
      <formula>0</formula>
    </cfRule>
  </conditionalFormatting>
  <conditionalFormatting sqref="V832:V834">
    <cfRule type="cellIs" dxfId="626" priority="54" operator="notEqual">
      <formula>0</formula>
    </cfRule>
  </conditionalFormatting>
  <conditionalFormatting sqref="V837:V841">
    <cfRule type="cellIs" dxfId="625" priority="53" operator="notEqual">
      <formula>0</formula>
    </cfRule>
  </conditionalFormatting>
  <conditionalFormatting sqref="V846">
    <cfRule type="cellIs" dxfId="624" priority="52" operator="notEqual">
      <formula>0</formula>
    </cfRule>
  </conditionalFormatting>
  <conditionalFormatting sqref="V858:V867">
    <cfRule type="cellIs" dxfId="623" priority="51" operator="notEqual">
      <formula>0</formula>
    </cfRule>
  </conditionalFormatting>
  <conditionalFormatting sqref="V884">
    <cfRule type="cellIs" dxfId="622" priority="50" operator="notEqual">
      <formula>0</formula>
    </cfRule>
  </conditionalFormatting>
  <conditionalFormatting sqref="V117">
    <cfRule type="cellIs" dxfId="621" priority="49" operator="notEqual">
      <formula>0</formula>
    </cfRule>
  </conditionalFormatting>
  <conditionalFormatting sqref="V847">
    <cfRule type="cellIs" dxfId="620" priority="47" operator="equal">
      <formula>1</formula>
    </cfRule>
    <cfRule type="cellIs" dxfId="619" priority="48" operator="notEqual">
      <formula>0</formula>
    </cfRule>
  </conditionalFormatting>
  <conditionalFormatting sqref="V178">
    <cfRule type="cellIs" dxfId="618" priority="45" operator="equal">
      <formula>1</formula>
    </cfRule>
    <cfRule type="cellIs" dxfId="617" priority="46" operator="notEqual">
      <formula>0</formula>
    </cfRule>
  </conditionalFormatting>
  <conditionalFormatting sqref="V90:V93">
    <cfRule type="cellIs" dxfId="616" priority="43" operator="equal">
      <formula>1</formula>
    </cfRule>
    <cfRule type="cellIs" dxfId="615" priority="44" operator="notEqual">
      <formula>0</formula>
    </cfRule>
  </conditionalFormatting>
  <conditionalFormatting sqref="V16:V25">
    <cfRule type="cellIs" dxfId="614" priority="41" operator="equal">
      <formula>1</formula>
    </cfRule>
    <cfRule type="cellIs" dxfId="613" priority="42" operator="notEqual">
      <formula>0</formula>
    </cfRule>
  </conditionalFormatting>
  <conditionalFormatting sqref="V402:V409">
    <cfRule type="cellIs" dxfId="612" priority="39" operator="equal">
      <formula>1</formula>
    </cfRule>
    <cfRule type="cellIs" dxfId="611" priority="40" operator="notEqual">
      <formula>0</formula>
    </cfRule>
  </conditionalFormatting>
  <conditionalFormatting sqref="V640">
    <cfRule type="cellIs" dxfId="610" priority="37" operator="equal">
      <formula>1</formula>
    </cfRule>
    <cfRule type="cellIs" dxfId="609" priority="38" operator="notEqual">
      <formula>0</formula>
    </cfRule>
  </conditionalFormatting>
  <conditionalFormatting sqref="V667">
    <cfRule type="cellIs" dxfId="608" priority="35" operator="equal">
      <formula>1</formula>
    </cfRule>
    <cfRule type="cellIs" dxfId="607" priority="36" operator="notEqual">
      <formula>0</formula>
    </cfRule>
  </conditionalFormatting>
  <conditionalFormatting sqref="V763">
    <cfRule type="cellIs" dxfId="606" priority="33" operator="equal">
      <formula>1</formula>
    </cfRule>
    <cfRule type="cellIs" dxfId="605" priority="34" operator="notEqual">
      <formula>0</formula>
    </cfRule>
  </conditionalFormatting>
  <conditionalFormatting sqref="S384:T565">
    <cfRule type="cellIs" dxfId="604" priority="9" stopIfTrue="1" operator="lessThan">
      <formula>0</formula>
    </cfRule>
  </conditionalFormatting>
  <conditionalFormatting sqref="Q761:R761">
    <cfRule type="cellIs" dxfId="603" priority="31" stopIfTrue="1" operator="lessThan">
      <formula>0</formula>
    </cfRule>
  </conditionalFormatting>
  <conditionalFormatting sqref="V761">
    <cfRule type="cellIs" dxfId="602" priority="29" operator="equal">
      <formula>1</formula>
    </cfRule>
    <cfRule type="cellIs" dxfId="601" priority="30" operator="notEqual">
      <formula>0</formula>
    </cfRule>
  </conditionalFormatting>
  <conditionalFormatting sqref="H13:L13">
    <cfRule type="cellIs" dxfId="600" priority="28" operator="notEqual">
      <formula>0</formula>
    </cfRule>
  </conditionalFormatting>
  <conditionalFormatting sqref="S115 S113:T113 S117 S383:T383">
    <cfRule type="cellIs" dxfId="599" priority="27" stopIfTrue="1" operator="lessThan">
      <formula>0</formula>
    </cfRule>
  </conditionalFormatting>
  <conditionalFormatting sqref="S570">
    <cfRule type="cellIs" dxfId="598" priority="26" stopIfTrue="1" operator="lessThan">
      <formula>0</formula>
    </cfRule>
  </conditionalFormatting>
  <conditionalFormatting sqref="S570">
    <cfRule type="expression" dxfId="597" priority="25">
      <formula>(#REF!+#REF!)&lt;&gt;(#REF!+#REF!)</formula>
    </cfRule>
  </conditionalFormatting>
  <conditionalFormatting sqref="T570">
    <cfRule type="cellIs" dxfId="596" priority="24" stopIfTrue="1" operator="lessThan">
      <formula>0</formula>
    </cfRule>
  </conditionalFormatting>
  <conditionalFormatting sqref="T570">
    <cfRule type="expression" dxfId="595" priority="23">
      <formula>(#REF!+#REF!)&lt;&gt;(#REF!+#REF!)</formula>
    </cfRule>
  </conditionalFormatting>
  <conditionalFormatting sqref="T115">
    <cfRule type="cellIs" dxfId="594" priority="22" stopIfTrue="1" operator="lessThan">
      <formula>0</formula>
    </cfRule>
  </conditionalFormatting>
  <conditionalFormatting sqref="T115">
    <cfRule type="expression" dxfId="593" priority="19">
      <formula>#REF!&lt;0</formula>
    </cfRule>
    <cfRule type="expression" dxfId="592" priority="20">
      <formula>AND($N$4="12",ABS(#REF!+#REF!)&gt;ABS(#REF!+#REF!),#REF!+#REF!&lt;0)</formula>
    </cfRule>
    <cfRule type="expression" dxfId="591" priority="21">
      <formula>AND(ABS(#REF!+#REF!)&gt;ABS(#REF!+#REF!),#REF!+#REF!&gt;0)</formula>
    </cfRule>
  </conditionalFormatting>
  <conditionalFormatting sqref="T117">
    <cfRule type="cellIs" dxfId="590" priority="18" stopIfTrue="1" operator="lessThan">
      <formula>0</formula>
    </cfRule>
  </conditionalFormatting>
  <conditionalFormatting sqref="T117">
    <cfRule type="expression" dxfId="589" priority="15">
      <formula>#REF!&lt;0</formula>
    </cfRule>
    <cfRule type="expression" dxfId="588" priority="16">
      <formula>AND($N$4="12",ABS(#REF!+#REF!)&gt;ABS(#REF!+#REF!),#REF!+#REF!&lt;0)</formula>
    </cfRule>
    <cfRule type="expression" dxfId="587" priority="17">
      <formula>AND(ABS(#REF!+#REF!)&gt;ABS(#REF!+#REF!),#REF!+#REF!&gt;0)</formula>
    </cfRule>
  </conditionalFormatting>
  <conditionalFormatting sqref="S14:T112">
    <cfRule type="cellIs" dxfId="586" priority="14" stopIfTrue="1" operator="lessThan">
      <formula>0</formula>
    </cfRule>
  </conditionalFormatting>
  <conditionalFormatting sqref="S114:T114">
    <cfRule type="cellIs" dxfId="585" priority="13" stopIfTrue="1" operator="lessThan">
      <formula>0</formula>
    </cfRule>
  </conditionalFormatting>
  <conditionalFormatting sqref="S116:T116">
    <cfRule type="cellIs" dxfId="584" priority="12" stopIfTrue="1" operator="lessThan">
      <formula>0</formula>
    </cfRule>
  </conditionalFormatting>
  <conditionalFormatting sqref="S118:T335 S338:T382">
    <cfRule type="cellIs" dxfId="583" priority="11" stopIfTrue="1" operator="lessThan">
      <formula>0</formula>
    </cfRule>
  </conditionalFormatting>
  <conditionalFormatting sqref="S336:T337">
    <cfRule type="cellIs" dxfId="582" priority="10" stopIfTrue="1" operator="lessThan">
      <formula>0</formula>
    </cfRule>
  </conditionalFormatting>
  <conditionalFormatting sqref="S566:T569">
    <cfRule type="cellIs" dxfId="581" priority="8" stopIfTrue="1" operator="lessThan">
      <formula>0</formula>
    </cfRule>
  </conditionalFormatting>
  <conditionalFormatting sqref="S573:T828">
    <cfRule type="cellIs" dxfId="580" priority="7" stopIfTrue="1" operator="lessThan">
      <formula>0</formula>
    </cfRule>
  </conditionalFormatting>
  <conditionalFormatting sqref="S571:T572">
    <cfRule type="cellIs" dxfId="579" priority="6" stopIfTrue="1" operator="lessThan">
      <formula>0</formula>
    </cfRule>
  </conditionalFormatting>
  <conditionalFormatting sqref="S832:T887">
    <cfRule type="cellIs" dxfId="578" priority="5" stopIfTrue="1" operator="lessThan">
      <formula>0</formula>
    </cfRule>
  </conditionalFormatting>
  <conditionalFormatting sqref="R115">
    <cfRule type="cellIs" dxfId="577" priority="4" stopIfTrue="1" operator="lessThan">
      <formula>0</formula>
    </cfRule>
  </conditionalFormatting>
  <conditionalFormatting sqref="R114">
    <cfRule type="cellIs" dxfId="576" priority="3" stopIfTrue="1" operator="lessThan">
      <formula>0</formula>
    </cfRule>
  </conditionalFormatting>
  <conditionalFormatting sqref="R117">
    <cfRule type="cellIs" dxfId="575" priority="2" stopIfTrue="1" operator="lessThan">
      <formula>0</formula>
    </cfRule>
  </conditionalFormatting>
  <conditionalFormatting sqref="R116">
    <cfRule type="cellIs" dxfId="574" priority="1" stopIfTrue="1" operator="lessThan">
      <formula>0</formula>
    </cfRule>
  </conditionalFormatting>
  <dataValidations disablePrompts="1" count="1">
    <dataValidation type="whole" allowBlank="1" showInputMessage="1" showErrorMessage="1" sqref="D4:E4">
      <formula1>0</formula1>
      <formula2>9999999999999990</formula2>
    </dataValidation>
  </dataValidations>
  <pageMargins left="0.24" right="0.24" top="0.43" bottom="0.35" header="0.23" footer="0.24"/>
  <pageSetup paperSize="9" scale="75" orientation="portrait" horizontalDpi="4294967292" r:id="rId1"/>
  <headerFooter alignWithMargins="0">
    <oddHeader>&amp;C&amp;"Times New Roman CYR,Bold"&amp;12- &amp;P / &amp;N -</oddHeader>
  </headerFooter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>
  <dimension ref="A1:Z949"/>
  <sheetViews>
    <sheetView zoomScaleNormal="100" workbookViewId="0">
      <pane xSplit="12" ySplit="13" topLeftCell="M14" activePane="bottomRight" state="frozen"/>
      <selection pane="topRight" activeCell="M1" sqref="M1"/>
      <selection pane="bottomLeft" activeCell="A14" sqref="A14"/>
      <selection pane="bottomRight" activeCell="M14" sqref="M14"/>
    </sheetView>
  </sheetViews>
  <sheetFormatPr defaultRowHeight="15.75"/>
  <cols>
    <col min="1" max="1" width="6.140625" style="1392" customWidth="1"/>
    <col min="2" max="2" width="8.7109375" style="1392" customWidth="1"/>
    <col min="3" max="3" width="9.7109375" style="1392" customWidth="1"/>
    <col min="4" max="4" width="9.42578125" style="1392" customWidth="1"/>
    <col min="5" max="5" width="9.140625" style="1392"/>
    <col min="6" max="6" width="9.85546875" style="1392" customWidth="1"/>
    <col min="7" max="7" width="9" style="1392" customWidth="1"/>
    <col min="8" max="8" width="8.140625" style="1392" customWidth="1"/>
    <col min="9" max="9" width="10.7109375" style="1392" customWidth="1"/>
    <col min="10" max="10" width="1.140625" style="1392" customWidth="1"/>
    <col min="11" max="11" width="11.140625" style="1392" customWidth="1"/>
    <col min="12" max="12" width="12" style="1392" customWidth="1"/>
    <col min="13" max="13" width="1" style="1395" customWidth="1"/>
    <col min="14" max="14" width="7.28515625" style="1396" customWidth="1"/>
    <col min="15" max="20" width="21" style="1393" customWidth="1"/>
    <col min="21" max="21" width="1" style="1395" customWidth="1"/>
    <col min="22" max="22" width="26.140625" style="2118" customWidth="1"/>
    <col min="23" max="16384" width="9.140625" style="1392"/>
  </cols>
  <sheetData>
    <row r="1" spans="1:26" ht="2.25" customHeight="1" thickBot="1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45"/>
      <c r="N1" s="110"/>
      <c r="O1" s="17"/>
      <c r="P1" s="17"/>
      <c r="Q1" s="17"/>
      <c r="R1" s="17"/>
      <c r="S1" s="17"/>
      <c r="T1" s="17"/>
      <c r="U1" s="45"/>
      <c r="V1" s="2116"/>
      <c r="W1" s="43"/>
      <c r="X1" s="43"/>
      <c r="Y1" s="43"/>
      <c r="Z1" s="43"/>
    </row>
    <row r="2" spans="1:26" ht="18" customHeight="1" thickBot="1">
      <c r="A2" s="439" t="s">
        <v>257</v>
      </c>
      <c r="B2" s="3"/>
      <c r="C2" s="4"/>
      <c r="D2" s="3"/>
      <c r="E2" s="2517" t="str">
        <f>+'TRIAL-BALANCE'!E2:L2</f>
        <v>ОУ "ПРОФЕСОР МАРИН ДРИНОВ"</v>
      </c>
      <c r="F2" s="2518"/>
      <c r="G2" s="2518"/>
      <c r="H2" s="2518"/>
      <c r="I2" s="2518"/>
      <c r="J2" s="2518"/>
      <c r="K2" s="2518"/>
      <c r="L2" s="2519"/>
      <c r="M2" s="46"/>
      <c r="N2" s="1950" t="str">
        <f>+LEFT(H12,6)</f>
        <v>31 мар</v>
      </c>
      <c r="O2" s="422" t="s">
        <v>191</v>
      </c>
      <c r="P2" s="423" t="str">
        <f>+IF(+P892=0,"O K","НЕРАВНЕНИЕ !")</f>
        <v>O K</v>
      </c>
      <c r="Q2" s="424" t="s">
        <v>188</v>
      </c>
      <c r="R2" s="425" t="str">
        <f>+IF(+R892=0,"O K","НЕРАВНЕНИЕ !")</f>
        <v>O K</v>
      </c>
      <c r="S2" s="426" t="s">
        <v>192</v>
      </c>
      <c r="T2" s="427" t="str">
        <f>+IF(+T892=0,"O K","НЕРАВНЕНИЕ !")</f>
        <v>O K</v>
      </c>
      <c r="U2" s="521"/>
      <c r="V2" s="2117"/>
      <c r="W2" s="522"/>
      <c r="X2" s="43"/>
      <c r="Y2" s="43"/>
      <c r="Z2" s="43"/>
    </row>
    <row r="3" spans="1:26" ht="3.75" customHeight="1" thickBot="1">
      <c r="A3" s="2459" t="str">
        <f>+IF('Local-&amp;-SSF'!E6&gt;0,"Код на общински разпоредител с бюджет","код от Регистъра на бюдж. организации в СЕБРА")</f>
        <v>код от Регистъра на бюдж. организации в СЕБРА</v>
      </c>
      <c r="B3" s="2459"/>
      <c r="C3" s="2459"/>
      <c r="D3" s="1918"/>
      <c r="E3" s="1918"/>
      <c r="F3" s="1918"/>
      <c r="G3" s="1918"/>
      <c r="H3" s="1918"/>
      <c r="I3" s="1918"/>
      <c r="J3" s="1918"/>
      <c r="K3" s="1918"/>
      <c r="L3" s="1918"/>
      <c r="M3" s="45"/>
      <c r="N3" s="110"/>
      <c r="O3" s="428"/>
      <c r="P3" s="428"/>
      <c r="Q3" s="428"/>
      <c r="R3" s="428"/>
      <c r="S3" s="428"/>
      <c r="T3" s="428"/>
      <c r="U3" s="523"/>
      <c r="V3" s="2117"/>
      <c r="W3" s="522"/>
      <c r="X3" s="43"/>
      <c r="Y3" s="43"/>
      <c r="Z3" s="43"/>
    </row>
    <row r="4" spans="1:26" ht="16.5" customHeight="1" thickBot="1">
      <c r="A4" s="2459"/>
      <c r="B4" s="2459"/>
      <c r="C4" s="2459"/>
      <c r="D4" s="2460">
        <f>+'TRIAL-BALANCE'!D4:E4</f>
        <v>0</v>
      </c>
      <c r="E4" s="2461"/>
      <c r="F4" s="1919" t="s">
        <v>1949</v>
      </c>
      <c r="G4" s="2462">
        <f>+'TRIAL-BALANCE'!G4:L4</f>
        <v>0</v>
      </c>
      <c r="H4" s="2463"/>
      <c r="I4" s="2463"/>
      <c r="J4" s="2463"/>
      <c r="K4" s="2463"/>
      <c r="L4" s="2464"/>
      <c r="M4" s="47"/>
      <c r="N4" s="1950" t="str">
        <f>+IF($N$2="31 дек","12",+IF($N$2="30 сеп","09",+IF($N$2="30 юни","06",+IF($N$2="31 мар","03",0))))</f>
        <v>03</v>
      </c>
      <c r="O4" s="422" t="s">
        <v>189</v>
      </c>
      <c r="P4" s="423" t="str">
        <f>+IF(+P894=0,"O K","НЕРАВНЕНИЕ !")</f>
        <v>O K</v>
      </c>
      <c r="Q4" s="424" t="s">
        <v>190</v>
      </c>
      <c r="R4" s="425" t="str">
        <f>+IF(+R894=0,"O K","НЕРАВНЕНИЕ !")</f>
        <v>O K</v>
      </c>
      <c r="S4" s="426" t="s">
        <v>193</v>
      </c>
      <c r="T4" s="429" t="str">
        <f>+IF(+T894=0,"O K","НЕРАВНЕНИЕ !")</f>
        <v>O K</v>
      </c>
      <c r="U4" s="524"/>
      <c r="V4" s="2117"/>
      <c r="W4" s="522"/>
      <c r="X4" s="43"/>
      <c r="Y4" s="43"/>
      <c r="Z4" s="43"/>
    </row>
    <row r="5" spans="1:26" ht="3.75" customHeight="1" thickBot="1">
      <c r="A5" s="2459"/>
      <c r="B5" s="2459"/>
      <c r="C5" s="2459"/>
      <c r="D5" s="1918"/>
      <c r="E5" s="1918"/>
      <c r="F5" s="1918"/>
      <c r="G5" s="1918"/>
      <c r="H5" s="1918"/>
      <c r="I5" s="1918"/>
      <c r="J5" s="1918"/>
      <c r="K5" s="1918"/>
      <c r="L5" s="1918"/>
      <c r="M5" s="45"/>
      <c r="N5" s="111"/>
      <c r="O5" s="428"/>
      <c r="P5" s="428"/>
      <c r="Q5" s="428"/>
      <c r="R5" s="428"/>
      <c r="S5" s="428"/>
      <c r="T5" s="428"/>
      <c r="U5" s="45"/>
      <c r="V5" s="2116"/>
      <c r="W5" s="43"/>
      <c r="X5" s="43"/>
      <c r="Y5" s="43"/>
      <c r="Z5" s="43"/>
    </row>
    <row r="6" spans="1:26" ht="18" customHeight="1">
      <c r="A6" s="518" t="s">
        <v>792</v>
      </c>
      <c r="B6" s="3"/>
      <c r="C6" s="2451">
        <f>+'TRIAL-BALANCE'!C6:E6</f>
        <v>341731</v>
      </c>
      <c r="D6" s="2452"/>
      <c r="E6" s="2453"/>
      <c r="F6" s="205" t="s">
        <v>534</v>
      </c>
      <c r="G6" s="2454" t="str">
        <f>+'TRIAL-BALANCE'!G6:L6</f>
        <v xml:space="preserve">                              </v>
      </c>
      <c r="H6" s="2455"/>
      <c r="I6" s="2455"/>
      <c r="J6" s="2455"/>
      <c r="K6" s="2455"/>
      <c r="L6" s="2456"/>
      <c r="M6" s="48"/>
      <c r="N6" s="111"/>
      <c r="O6" s="2426" t="s">
        <v>185</v>
      </c>
      <c r="P6" s="2427"/>
      <c r="Q6" s="2427"/>
      <c r="R6" s="2427"/>
      <c r="S6" s="2427"/>
      <c r="T6" s="2428"/>
      <c r="U6" s="48"/>
      <c r="V6" s="2116"/>
      <c r="W6" s="43"/>
      <c r="X6" s="43"/>
      <c r="Y6" s="43"/>
      <c r="Z6" s="43"/>
    </row>
    <row r="7" spans="1:26" ht="3.75" customHeight="1">
      <c r="A7" s="440"/>
      <c r="B7" s="2"/>
      <c r="C7" s="45"/>
      <c r="D7" s="45"/>
      <c r="E7" s="45"/>
      <c r="F7" s="45"/>
      <c r="G7" s="45"/>
      <c r="H7" s="45"/>
      <c r="I7" s="45"/>
      <c r="J7" s="45"/>
      <c r="K7" s="45"/>
      <c r="L7" s="45"/>
      <c r="M7" s="421"/>
      <c r="N7" s="1119"/>
      <c r="O7" s="2620"/>
      <c r="P7" s="2621"/>
      <c r="Q7" s="2621"/>
      <c r="R7" s="2621"/>
      <c r="S7" s="2621"/>
      <c r="T7" s="2622"/>
      <c r="U7" s="45"/>
      <c r="V7" s="2116"/>
      <c r="W7" s="43"/>
      <c r="X7" s="43"/>
      <c r="Y7" s="43"/>
      <c r="Z7" s="43"/>
    </row>
    <row r="8" spans="1:26" ht="18" customHeight="1">
      <c r="A8" s="441" t="s">
        <v>258</v>
      </c>
      <c r="B8" s="6"/>
      <c r="C8" s="1056">
        <f>+'TRIAL-BALANCE'!C8</f>
        <v>0</v>
      </c>
      <c r="D8" s="199" t="s">
        <v>1137</v>
      </c>
      <c r="E8" s="964">
        <f>+'TRIAL-BALANCE'!E8</f>
        <v>2020</v>
      </c>
      <c r="F8" s="443" t="s">
        <v>1204</v>
      </c>
      <c r="G8" s="2457" t="str">
        <f>+'TRIAL-BALANCE'!G8:H8</f>
        <v xml:space="preserve">;                             </v>
      </c>
      <c r="H8" s="2458"/>
      <c r="I8" s="1269" t="s">
        <v>1206</v>
      </c>
      <c r="J8" s="2454">
        <f>+'TRIAL-BALANCE'!J8:L8</f>
        <v>0</v>
      </c>
      <c r="K8" s="2455"/>
      <c r="L8" s="2456"/>
      <c r="M8" s="48"/>
      <c r="N8" s="1579" t="s">
        <v>378</v>
      </c>
      <c r="O8" s="1161" t="s">
        <v>936</v>
      </c>
      <c r="P8" s="1162"/>
      <c r="Q8" s="1163" t="str">
        <f>+O8</f>
        <v xml:space="preserve">   "Сметки за средства от ЕС" - DES</v>
      </c>
      <c r="R8" s="1162"/>
      <c r="S8" s="1164" t="str">
        <f>+O8</f>
        <v xml:space="preserve">   "Сметки за средства от ЕС" - DES</v>
      </c>
      <c r="T8" s="1165"/>
      <c r="U8" s="48"/>
      <c r="V8" s="2116"/>
      <c r="W8" s="43"/>
      <c r="X8" s="43"/>
      <c r="Y8" s="43"/>
      <c r="Z8" s="43"/>
    </row>
    <row r="9" spans="1:26" ht="3.75" customHeight="1">
      <c r="A9" s="440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45"/>
      <c r="N9" s="1566"/>
      <c r="O9" s="1156"/>
      <c r="P9" s="1157"/>
      <c r="Q9" s="1158"/>
      <c r="R9" s="1157"/>
      <c r="S9" s="1159"/>
      <c r="T9" s="1160"/>
      <c r="U9" s="45"/>
      <c r="V9" s="2116"/>
      <c r="W9" s="43"/>
      <c r="X9" s="43"/>
      <c r="Y9" s="43"/>
      <c r="Z9" s="43"/>
    </row>
    <row r="10" spans="1:26" ht="18" customHeight="1">
      <c r="A10" s="199" t="s">
        <v>259</v>
      </c>
      <c r="B10" s="5"/>
      <c r="C10" s="965" t="str">
        <f>+'TRIAL-BALANCE'!C10</f>
        <v>/с б о р е н/</v>
      </c>
      <c r="D10" s="7" t="s">
        <v>261</v>
      </c>
      <c r="E10" s="5"/>
      <c r="F10" s="966" t="s">
        <v>492</v>
      </c>
      <c r="G10" s="199" t="s">
        <v>380</v>
      </c>
      <c r="H10" s="147"/>
      <c r="I10" s="5"/>
      <c r="J10" s="5"/>
      <c r="K10" s="2446">
        <f>+'TRIAL-BALANCE'!K10:L10</f>
        <v>0</v>
      </c>
      <c r="L10" s="2447"/>
      <c r="M10" s="49"/>
      <c r="N10" s="1577">
        <f>+C8</f>
        <v>0</v>
      </c>
      <c r="O10" s="142" t="s">
        <v>379</v>
      </c>
      <c r="P10" s="143"/>
      <c r="Q10" s="26" t="s">
        <v>262</v>
      </c>
      <c r="R10" s="144"/>
      <c r="S10" s="145" t="s">
        <v>263</v>
      </c>
      <c r="T10" s="146"/>
      <c r="U10" s="49"/>
      <c r="V10" s="2122">
        <f>+IF(V13&gt;0,"СЕС - DES",0)</f>
        <v>0</v>
      </c>
      <c r="W10" s="43"/>
      <c r="X10" s="43"/>
      <c r="Y10" s="43"/>
      <c r="Z10" s="43"/>
    </row>
    <row r="11" spans="1:26" ht="3.75" customHeight="1">
      <c r="A11" s="53"/>
      <c r="B11" s="45"/>
      <c r="C11" s="45"/>
      <c r="D11" s="45"/>
      <c r="E11" s="45"/>
      <c r="F11" s="45"/>
      <c r="G11" s="45"/>
      <c r="H11" s="45"/>
      <c r="I11" s="45"/>
      <c r="J11" s="45"/>
      <c r="K11" s="45"/>
      <c r="L11" s="45"/>
      <c r="M11" s="45"/>
      <c r="N11" s="1401"/>
      <c r="O11" s="132"/>
      <c r="P11" s="133"/>
      <c r="Q11" s="134"/>
      <c r="R11" s="135"/>
      <c r="S11" s="134"/>
      <c r="T11" s="136"/>
      <c r="U11" s="45"/>
      <c r="V11" s="2116"/>
      <c r="W11" s="43"/>
      <c r="X11" s="43"/>
      <c r="Y11" s="43"/>
      <c r="Z11" s="43"/>
    </row>
    <row r="12" spans="1:26" ht="19.5" customHeight="1">
      <c r="A12" s="1126" t="s">
        <v>1002</v>
      </c>
      <c r="B12" s="1127"/>
      <c r="C12" s="1128"/>
      <c r="D12" s="1129"/>
      <c r="E12" s="2631" t="str">
        <f>+F10</f>
        <v>D E S</v>
      </c>
      <c r="F12" s="2631"/>
      <c r="G12" s="1130" t="s">
        <v>1003</v>
      </c>
      <c r="H12" s="2625" t="str">
        <f>+'TRIAL-BALANCE'!H12:K12</f>
        <v>31 март 2020 г.</v>
      </c>
      <c r="I12" s="2625"/>
      <c r="J12" s="2625"/>
      <c r="K12" s="2625"/>
      <c r="L12" s="1131" t="str">
        <f>+'TRIAL-BALANCE'!L12</f>
        <v xml:space="preserve"> (в левове)</v>
      </c>
      <c r="M12" s="50"/>
      <c r="N12" s="1402" t="s">
        <v>162</v>
      </c>
      <c r="O12" s="1140" t="s">
        <v>370</v>
      </c>
      <c r="P12" s="1141" t="s">
        <v>371</v>
      </c>
      <c r="Q12" s="1142" t="s">
        <v>46</v>
      </c>
      <c r="R12" s="1143" t="s">
        <v>386</v>
      </c>
      <c r="S12" s="1144" t="s">
        <v>370</v>
      </c>
      <c r="T12" s="1145" t="s">
        <v>371</v>
      </c>
      <c r="U12" s="50"/>
      <c r="V12" s="2121">
        <f>+IF(V13&gt;0,"брой грешни крайни с/да",0)</f>
        <v>0</v>
      </c>
      <c r="W12" s="43"/>
      <c r="X12" s="43"/>
      <c r="Y12" s="43"/>
      <c r="Z12" s="43"/>
    </row>
    <row r="13" spans="1:26">
      <c r="A13" s="515" t="s">
        <v>202</v>
      </c>
      <c r="B13" s="516" t="s">
        <v>372</v>
      </c>
      <c r="C13" s="517"/>
      <c r="D13" s="517"/>
      <c r="E13" s="517"/>
      <c r="F13" s="517"/>
      <c r="G13" s="517"/>
      <c r="H13" s="2617">
        <f>+IF(V13=0,0,"ИМА грешни КРАЙНИ салда - виж колона V")</f>
        <v>0</v>
      </c>
      <c r="I13" s="2617"/>
      <c r="J13" s="2617"/>
      <c r="K13" s="2617"/>
      <c r="L13" s="2618"/>
      <c r="M13" s="344"/>
      <c r="N13" s="1151" t="s">
        <v>202</v>
      </c>
      <c r="O13" s="1152">
        <f t="shared" ref="O13:T13" si="0">+O890</f>
        <v>0</v>
      </c>
      <c r="P13" s="1153">
        <f t="shared" si="0"/>
        <v>0</v>
      </c>
      <c r="Q13" s="1154">
        <f t="shared" si="0"/>
        <v>0</v>
      </c>
      <c r="R13" s="1153">
        <f t="shared" si="0"/>
        <v>0</v>
      </c>
      <c r="S13" s="1154">
        <f t="shared" si="0"/>
        <v>0</v>
      </c>
      <c r="T13" s="1155">
        <f t="shared" si="0"/>
        <v>0</v>
      </c>
      <c r="U13" s="344"/>
      <c r="V13" s="2122">
        <f>COUNTIF(V14:V887,"&gt;0")+COUNTIF(V14:V887,"&lt;0")</f>
        <v>0</v>
      </c>
      <c r="W13" s="43"/>
      <c r="X13" s="43"/>
      <c r="Y13" s="43"/>
      <c r="Z13" s="43"/>
    </row>
    <row r="14" spans="1:26">
      <c r="A14" s="85">
        <v>1001</v>
      </c>
      <c r="B14" s="377" t="s">
        <v>953</v>
      </c>
      <c r="C14" s="86"/>
      <c r="D14" s="86"/>
      <c r="E14" s="86"/>
      <c r="F14" s="86"/>
      <c r="G14" s="86"/>
      <c r="H14" s="86"/>
      <c r="I14" s="86"/>
      <c r="J14" s="86"/>
      <c r="K14" s="86"/>
      <c r="L14" s="87"/>
      <c r="M14" s="51"/>
      <c r="N14" s="112">
        <f t="shared" ref="N14:N26" si="1">+A14</f>
        <v>1001</v>
      </c>
      <c r="O14" s="323">
        <v>0</v>
      </c>
      <c r="P14" s="324">
        <v>0</v>
      </c>
      <c r="Q14" s="325">
        <v>0</v>
      </c>
      <c r="R14" s="324">
        <v>0</v>
      </c>
      <c r="S14" s="326">
        <f>+IF(ABS(+O14+Q14)&gt;=ABS(P14+R14),+O14-P14+Q14-R14,0)</f>
        <v>0</v>
      </c>
      <c r="T14" s="327">
        <f>+IF(ABS(+O14+Q14)&lt;=ABS(P14+R14),-O14+P14-Q14+R14,0)</f>
        <v>0</v>
      </c>
      <c r="U14" s="51"/>
      <c r="V14" s="2119"/>
      <c r="W14" s="43"/>
      <c r="X14" s="376"/>
      <c r="Y14" s="43"/>
      <c r="Z14" s="43"/>
    </row>
    <row r="15" spans="1:26">
      <c r="A15" s="88">
        <v>1101</v>
      </c>
      <c r="B15" s="378" t="s">
        <v>954</v>
      </c>
      <c r="C15" s="1033"/>
      <c r="D15" s="1033"/>
      <c r="E15" s="1033"/>
      <c r="F15" s="1033"/>
      <c r="G15" s="1033"/>
      <c r="H15" s="1033"/>
      <c r="I15" s="1033"/>
      <c r="J15" s="1033"/>
      <c r="K15" s="1033"/>
      <c r="L15" s="90"/>
      <c r="M15" s="51"/>
      <c r="N15" s="113">
        <f t="shared" si="1"/>
        <v>1101</v>
      </c>
      <c r="O15" s="835">
        <v>0</v>
      </c>
      <c r="P15" s="578">
        <v>0</v>
      </c>
      <c r="Q15" s="325">
        <v>0</v>
      </c>
      <c r="R15" s="324">
        <v>0</v>
      </c>
      <c r="S15" s="326">
        <f>+IF(ABS(+O15+Q15)&gt;=ABS(P15+R15),+O15-P15+Q15-R15,0)</f>
        <v>0</v>
      </c>
      <c r="T15" s="327">
        <f>+IF(ABS(+O15+Q15)&lt;=ABS(P15+R15),-O15+P15-Q15+R15,0)</f>
        <v>0</v>
      </c>
      <c r="U15" s="51"/>
      <c r="V15" s="2119"/>
      <c r="W15" s="43"/>
      <c r="X15" s="376"/>
      <c r="Y15" s="43"/>
      <c r="Z15" s="43"/>
    </row>
    <row r="16" spans="1:26">
      <c r="A16" s="88">
        <v>1201</v>
      </c>
      <c r="B16" s="378" t="s">
        <v>955</v>
      </c>
      <c r="C16" s="1033"/>
      <c r="D16" s="1033"/>
      <c r="E16" s="1033"/>
      <c r="F16" s="1033"/>
      <c r="G16" s="1033"/>
      <c r="H16" s="1033"/>
      <c r="I16" s="1033"/>
      <c r="J16" s="1033"/>
      <c r="K16" s="1033"/>
      <c r="L16" s="90"/>
      <c r="M16" s="51"/>
      <c r="N16" s="113">
        <f t="shared" si="1"/>
        <v>1201</v>
      </c>
      <c r="O16" s="575">
        <v>0</v>
      </c>
      <c r="P16" s="582">
        <v>0</v>
      </c>
      <c r="Q16" s="29">
        <v>0</v>
      </c>
      <c r="R16" s="9">
        <v>0</v>
      </c>
      <c r="S16" s="579">
        <v>0</v>
      </c>
      <c r="T16" s="584">
        <v>0</v>
      </c>
      <c r="U16" s="51"/>
      <c r="V16" s="2125">
        <f t="shared" ref="V16:V25" si="2">+IF(OR(O16&lt;&gt;0,P16&lt;&gt;0,Q16&lt;&gt;0,R16&lt;&gt;0,S16&lt;&gt;0,T16&lt;&gt;0),+IF(ABS(O16+Q16)-ABS(P16+R16)&lt;&gt;0,ABS(O16+Q16)-ABS(P16+R16),1),0)</f>
        <v>0</v>
      </c>
      <c r="W16" s="43"/>
      <c r="X16" s="43"/>
      <c r="Y16" s="43"/>
      <c r="Z16" s="43"/>
    </row>
    <row r="17" spans="1:26">
      <c r="A17" s="88">
        <v>1511</v>
      </c>
      <c r="B17" s="378" t="s">
        <v>956</v>
      </c>
      <c r="C17" s="1033"/>
      <c r="D17" s="1033"/>
      <c r="E17" s="1033"/>
      <c r="F17" s="1033"/>
      <c r="G17" s="1033"/>
      <c r="H17" s="1033"/>
      <c r="I17" s="1033"/>
      <c r="J17" s="1033"/>
      <c r="K17" s="1033"/>
      <c r="L17" s="90"/>
      <c r="M17" s="51"/>
      <c r="N17" s="113">
        <f t="shared" si="1"/>
        <v>1511</v>
      </c>
      <c r="O17" s="575">
        <v>0</v>
      </c>
      <c r="P17" s="582">
        <v>0</v>
      </c>
      <c r="Q17" s="29">
        <v>0</v>
      </c>
      <c r="R17" s="9">
        <v>0</v>
      </c>
      <c r="S17" s="579">
        <v>0</v>
      </c>
      <c r="T17" s="584">
        <v>0</v>
      </c>
      <c r="U17" s="51"/>
      <c r="V17" s="2125">
        <f t="shared" si="2"/>
        <v>0</v>
      </c>
      <c r="W17" s="43"/>
      <c r="X17" s="43"/>
      <c r="Y17" s="43"/>
      <c r="Z17" s="43"/>
    </row>
    <row r="18" spans="1:26">
      <c r="A18" s="88">
        <v>1517</v>
      </c>
      <c r="B18" s="378" t="s">
        <v>957</v>
      </c>
      <c r="C18" s="1033"/>
      <c r="D18" s="1033"/>
      <c r="E18" s="1033"/>
      <c r="F18" s="1033"/>
      <c r="G18" s="1033"/>
      <c r="H18" s="1033"/>
      <c r="I18" s="1033"/>
      <c r="J18" s="1033"/>
      <c r="K18" s="1033"/>
      <c r="L18" s="90"/>
      <c r="M18" s="51"/>
      <c r="N18" s="113">
        <f t="shared" si="1"/>
        <v>1517</v>
      </c>
      <c r="O18" s="575">
        <v>0</v>
      </c>
      <c r="P18" s="582">
        <v>0</v>
      </c>
      <c r="Q18" s="29">
        <v>0</v>
      </c>
      <c r="R18" s="9">
        <v>0</v>
      </c>
      <c r="S18" s="579">
        <v>0</v>
      </c>
      <c r="T18" s="584">
        <v>0</v>
      </c>
      <c r="U18" s="51"/>
      <c r="V18" s="2125">
        <f t="shared" si="2"/>
        <v>0</v>
      </c>
      <c r="W18" s="43"/>
      <c r="X18" s="43"/>
      <c r="Y18" s="43"/>
      <c r="Z18" s="43"/>
    </row>
    <row r="19" spans="1:26">
      <c r="A19" s="88">
        <v>1521</v>
      </c>
      <c r="B19" s="378" t="s">
        <v>958</v>
      </c>
      <c r="C19" s="1033"/>
      <c r="D19" s="1033"/>
      <c r="E19" s="1033"/>
      <c r="F19" s="1033"/>
      <c r="G19" s="1033"/>
      <c r="H19" s="1033"/>
      <c r="I19" s="1033"/>
      <c r="J19" s="1033"/>
      <c r="K19" s="1033"/>
      <c r="L19" s="90"/>
      <c r="M19" s="51"/>
      <c r="N19" s="113">
        <f t="shared" si="1"/>
        <v>1521</v>
      </c>
      <c r="O19" s="575">
        <v>0</v>
      </c>
      <c r="P19" s="582">
        <v>0</v>
      </c>
      <c r="Q19" s="29">
        <v>0</v>
      </c>
      <c r="R19" s="9">
        <v>0</v>
      </c>
      <c r="S19" s="579">
        <v>0</v>
      </c>
      <c r="T19" s="584">
        <v>0</v>
      </c>
      <c r="U19" s="51"/>
      <c r="V19" s="2125">
        <f t="shared" si="2"/>
        <v>0</v>
      </c>
      <c r="W19" s="43"/>
      <c r="X19" s="43"/>
      <c r="Y19" s="43"/>
      <c r="Z19" s="43"/>
    </row>
    <row r="20" spans="1:26">
      <c r="A20" s="88">
        <v>1523</v>
      </c>
      <c r="B20" s="378" t="s">
        <v>959</v>
      </c>
      <c r="C20" s="1033"/>
      <c r="D20" s="1033"/>
      <c r="E20" s="1033"/>
      <c r="F20" s="1033"/>
      <c r="G20" s="1033"/>
      <c r="H20" s="1033"/>
      <c r="I20" s="1033"/>
      <c r="J20" s="1033"/>
      <c r="K20" s="1033"/>
      <c r="L20" s="90"/>
      <c r="M20" s="51"/>
      <c r="N20" s="113">
        <f t="shared" si="1"/>
        <v>1523</v>
      </c>
      <c r="O20" s="575">
        <v>0</v>
      </c>
      <c r="P20" s="582">
        <v>0</v>
      </c>
      <c r="Q20" s="29">
        <v>0</v>
      </c>
      <c r="R20" s="9">
        <v>0</v>
      </c>
      <c r="S20" s="579">
        <v>0</v>
      </c>
      <c r="T20" s="584">
        <v>0</v>
      </c>
      <c r="U20" s="51"/>
      <c r="V20" s="2125">
        <f t="shared" si="2"/>
        <v>0</v>
      </c>
      <c r="W20" s="43"/>
      <c r="X20" s="43"/>
      <c r="Y20" s="43"/>
      <c r="Z20" s="43"/>
    </row>
    <row r="21" spans="1:26">
      <c r="A21" s="88">
        <v>1527</v>
      </c>
      <c r="B21" s="378" t="s">
        <v>960</v>
      </c>
      <c r="C21" s="1033"/>
      <c r="D21" s="1033"/>
      <c r="E21" s="1033"/>
      <c r="F21" s="1033"/>
      <c r="G21" s="1033"/>
      <c r="H21" s="1033"/>
      <c r="I21" s="1033"/>
      <c r="J21" s="1033"/>
      <c r="K21" s="1033"/>
      <c r="L21" s="90"/>
      <c r="M21" s="51"/>
      <c r="N21" s="113">
        <f t="shared" si="1"/>
        <v>1527</v>
      </c>
      <c r="O21" s="575">
        <v>0</v>
      </c>
      <c r="P21" s="582">
        <v>0</v>
      </c>
      <c r="Q21" s="579">
        <v>0</v>
      </c>
      <c r="R21" s="582">
        <v>0</v>
      </c>
      <c r="S21" s="579">
        <v>0</v>
      </c>
      <c r="T21" s="584">
        <v>0</v>
      </c>
      <c r="U21" s="51"/>
      <c r="V21" s="2125">
        <f t="shared" si="2"/>
        <v>0</v>
      </c>
      <c r="W21" s="43"/>
      <c r="X21" s="43"/>
      <c r="Y21" s="43"/>
      <c r="Z21" s="43"/>
    </row>
    <row r="22" spans="1:26">
      <c r="A22" s="88">
        <v>1581</v>
      </c>
      <c r="B22" s="378" t="s">
        <v>961</v>
      </c>
      <c r="C22" s="1033"/>
      <c r="D22" s="1033"/>
      <c r="E22" s="1033"/>
      <c r="F22" s="1033"/>
      <c r="G22" s="1033"/>
      <c r="H22" s="1033"/>
      <c r="I22" s="1033"/>
      <c r="J22" s="1033"/>
      <c r="K22" s="1033"/>
      <c r="L22" s="90"/>
      <c r="M22" s="51"/>
      <c r="N22" s="113">
        <f t="shared" si="1"/>
        <v>1581</v>
      </c>
      <c r="O22" s="575">
        <v>0</v>
      </c>
      <c r="P22" s="582">
        <v>0</v>
      </c>
      <c r="Q22" s="579">
        <v>0</v>
      </c>
      <c r="R22" s="582">
        <v>0</v>
      </c>
      <c r="S22" s="579">
        <v>0</v>
      </c>
      <c r="T22" s="584">
        <v>0</v>
      </c>
      <c r="U22" s="51"/>
      <c r="V22" s="2125">
        <f t="shared" si="2"/>
        <v>0</v>
      </c>
      <c r="W22" s="43"/>
      <c r="X22" s="43"/>
      <c r="Y22" s="43"/>
      <c r="Z22" s="43"/>
    </row>
    <row r="23" spans="1:26">
      <c r="A23" s="88">
        <v>1587</v>
      </c>
      <c r="B23" s="378" t="s">
        <v>962</v>
      </c>
      <c r="C23" s="1033"/>
      <c r="D23" s="1033"/>
      <c r="E23" s="1033"/>
      <c r="F23" s="1033"/>
      <c r="G23" s="1033"/>
      <c r="H23" s="1033"/>
      <c r="I23" s="1033"/>
      <c r="J23" s="1033"/>
      <c r="K23" s="1033"/>
      <c r="L23" s="90"/>
      <c r="M23" s="51"/>
      <c r="N23" s="113">
        <f t="shared" si="1"/>
        <v>1587</v>
      </c>
      <c r="O23" s="575">
        <v>0</v>
      </c>
      <c r="P23" s="582">
        <v>0</v>
      </c>
      <c r="Q23" s="579">
        <v>0</v>
      </c>
      <c r="R23" s="582">
        <v>0</v>
      </c>
      <c r="S23" s="579">
        <v>0</v>
      </c>
      <c r="T23" s="584">
        <v>0</v>
      </c>
      <c r="U23" s="51"/>
      <c r="V23" s="2125">
        <f t="shared" si="2"/>
        <v>0</v>
      </c>
      <c r="W23" s="43"/>
      <c r="X23" s="43"/>
      <c r="Y23" s="43"/>
      <c r="Z23" s="43"/>
    </row>
    <row r="24" spans="1:26">
      <c r="A24" s="88">
        <v>1591</v>
      </c>
      <c r="B24" s="378" t="s">
        <v>963</v>
      </c>
      <c r="C24" s="1033"/>
      <c r="D24" s="1033"/>
      <c r="E24" s="1033"/>
      <c r="F24" s="1033"/>
      <c r="G24" s="1033"/>
      <c r="H24" s="1033"/>
      <c r="I24" s="1033"/>
      <c r="J24" s="1033"/>
      <c r="K24" s="1033"/>
      <c r="L24" s="90"/>
      <c r="M24" s="51"/>
      <c r="N24" s="113">
        <f t="shared" si="1"/>
        <v>1591</v>
      </c>
      <c r="O24" s="575">
        <v>0</v>
      </c>
      <c r="P24" s="582">
        <v>0</v>
      </c>
      <c r="Q24" s="29">
        <v>0</v>
      </c>
      <c r="R24" s="9">
        <v>0</v>
      </c>
      <c r="S24" s="579">
        <v>0</v>
      </c>
      <c r="T24" s="584">
        <v>0</v>
      </c>
      <c r="U24" s="51"/>
      <c r="V24" s="2125">
        <f t="shared" si="2"/>
        <v>0</v>
      </c>
      <c r="W24" s="43"/>
      <c r="X24" s="43"/>
      <c r="Y24" s="43"/>
      <c r="Z24" s="43"/>
    </row>
    <row r="25" spans="1:26">
      <c r="A25" s="88">
        <v>1593</v>
      </c>
      <c r="B25" s="378" t="s">
        <v>964</v>
      </c>
      <c r="C25" s="1033"/>
      <c r="D25" s="1033"/>
      <c r="E25" s="1033"/>
      <c r="F25" s="1033"/>
      <c r="G25" s="1033"/>
      <c r="H25" s="1033"/>
      <c r="I25" s="1033"/>
      <c r="J25" s="1033"/>
      <c r="K25" s="1033"/>
      <c r="L25" s="90"/>
      <c r="M25" s="51"/>
      <c r="N25" s="113">
        <f t="shared" si="1"/>
        <v>1593</v>
      </c>
      <c r="O25" s="575">
        <v>0</v>
      </c>
      <c r="P25" s="582">
        <v>0</v>
      </c>
      <c r="Q25" s="29">
        <v>0</v>
      </c>
      <c r="R25" s="9">
        <v>0</v>
      </c>
      <c r="S25" s="579">
        <v>0</v>
      </c>
      <c r="T25" s="584">
        <v>0</v>
      </c>
      <c r="U25" s="51"/>
      <c r="V25" s="2125">
        <f t="shared" si="2"/>
        <v>0</v>
      </c>
      <c r="W25" s="43"/>
      <c r="X25" s="43"/>
      <c r="Y25" s="43"/>
      <c r="Z25" s="43"/>
    </row>
    <row r="26" spans="1:26">
      <c r="A26" s="88">
        <v>1621</v>
      </c>
      <c r="B26" s="378" t="s">
        <v>938</v>
      </c>
      <c r="C26" s="1033"/>
      <c r="D26" s="1033"/>
      <c r="E26" s="1033"/>
      <c r="F26" s="1033"/>
      <c r="G26" s="1033"/>
      <c r="H26" s="1033"/>
      <c r="I26" s="1033"/>
      <c r="J26" s="1033"/>
      <c r="K26" s="1033"/>
      <c r="L26" s="90"/>
      <c r="M26" s="51"/>
      <c r="N26" s="113">
        <f t="shared" si="1"/>
        <v>1621</v>
      </c>
      <c r="O26" s="575">
        <v>0</v>
      </c>
      <c r="P26" s="576"/>
      <c r="Q26" s="122"/>
      <c r="R26" s="121"/>
      <c r="S26" s="579">
        <v>0</v>
      </c>
      <c r="T26" s="580">
        <f t="shared" ref="T26:T53" si="3">+IF(ABS(+O26+Q26)&lt;=ABS(P26+R26),-O26+P26-Q26+R26,0)</f>
        <v>0</v>
      </c>
      <c r="U26" s="51"/>
      <c r="V26" s="2119">
        <f>+IF(OR(+ROUND(O26,2)+ROUND(Q26,2)&gt;ROUND(P26,2)+ROUND(R26,2),+ABS(ROUND(O26,2)+ROUND(Q26,2))&gt;+ABS(ROUND(P26,2)+ROUND(R26,2))),+(ROUND(O26,2)+ROUND(Q26,2))-(ROUND(P26,2)+ROUND(R26,2)),0)</f>
        <v>0</v>
      </c>
      <c r="W26" s="43"/>
      <c r="X26" s="43"/>
      <c r="Y26" s="43"/>
      <c r="Z26" s="43"/>
    </row>
    <row r="27" spans="1:26">
      <c r="A27" s="88">
        <v>1623</v>
      </c>
      <c r="B27" s="378" t="s">
        <v>939</v>
      </c>
      <c r="C27" s="1033"/>
      <c r="D27" s="1033"/>
      <c r="E27" s="1033"/>
      <c r="F27" s="1033"/>
      <c r="G27" s="1033"/>
      <c r="H27" s="1033"/>
      <c r="I27" s="1033"/>
      <c r="J27" s="1033"/>
      <c r="K27" s="1033"/>
      <c r="L27" s="90"/>
      <c r="M27" s="51"/>
      <c r="N27" s="113">
        <f t="shared" ref="N27:N57" si="4">+A27</f>
        <v>1623</v>
      </c>
      <c r="O27" s="575">
        <v>0</v>
      </c>
      <c r="P27" s="576"/>
      <c r="Q27" s="122"/>
      <c r="R27" s="121"/>
      <c r="S27" s="579">
        <v>0</v>
      </c>
      <c r="T27" s="580">
        <f t="shared" si="3"/>
        <v>0</v>
      </c>
      <c r="U27" s="51"/>
      <c r="V27" s="2119">
        <f t="shared" ref="V27:V52" si="5">+IF(OR(+ROUND(O27,2)+ROUND(Q27,2)&gt;ROUND(P27,2)+ROUND(R27,2),+ABS(ROUND(O27,2)+ROUND(Q27,2))&gt;+ABS(ROUND(P27,2)+ROUND(R27,2))),+(ROUND(O27,2)+ROUND(Q27,2))-(ROUND(P27,2)+ROUND(R27,2)),0)</f>
        <v>0</v>
      </c>
      <c r="W27" s="43"/>
      <c r="X27" s="43"/>
      <c r="Y27" s="43"/>
      <c r="Z27" s="43"/>
    </row>
    <row r="28" spans="1:26">
      <c r="A28" s="88">
        <v>1625</v>
      </c>
      <c r="B28" s="378" t="s">
        <v>940</v>
      </c>
      <c r="C28" s="1033"/>
      <c r="D28" s="1033"/>
      <c r="E28" s="1033"/>
      <c r="F28" s="1033"/>
      <c r="G28" s="1033"/>
      <c r="H28" s="1033"/>
      <c r="I28" s="1033"/>
      <c r="J28" s="1033"/>
      <c r="K28" s="1033"/>
      <c r="L28" s="90"/>
      <c r="M28" s="51"/>
      <c r="N28" s="113">
        <f t="shared" si="4"/>
        <v>1625</v>
      </c>
      <c r="O28" s="575">
        <v>0</v>
      </c>
      <c r="P28" s="576"/>
      <c r="Q28" s="122"/>
      <c r="R28" s="121"/>
      <c r="S28" s="579">
        <v>0</v>
      </c>
      <c r="T28" s="580">
        <f t="shared" si="3"/>
        <v>0</v>
      </c>
      <c r="U28" s="51"/>
      <c r="V28" s="2119">
        <f t="shared" si="5"/>
        <v>0</v>
      </c>
      <c r="W28" s="43"/>
      <c r="X28" s="43"/>
      <c r="Y28" s="43"/>
      <c r="Z28" s="43"/>
    </row>
    <row r="29" spans="1:26">
      <c r="A29" s="88">
        <v>1651</v>
      </c>
      <c r="B29" s="378" t="s">
        <v>941</v>
      </c>
      <c r="C29" s="1033"/>
      <c r="D29" s="1033"/>
      <c r="E29" s="1033"/>
      <c r="F29" s="1033"/>
      <c r="G29" s="1033"/>
      <c r="H29" s="1033"/>
      <c r="I29" s="1033"/>
      <c r="J29" s="1033"/>
      <c r="K29" s="1033"/>
      <c r="L29" s="90"/>
      <c r="M29" s="51"/>
      <c r="N29" s="113">
        <f t="shared" si="4"/>
        <v>1651</v>
      </c>
      <c r="O29" s="575">
        <v>0</v>
      </c>
      <c r="P29" s="576"/>
      <c r="Q29" s="122"/>
      <c r="R29" s="121"/>
      <c r="S29" s="579">
        <v>0</v>
      </c>
      <c r="T29" s="580">
        <f t="shared" si="3"/>
        <v>0</v>
      </c>
      <c r="U29" s="51"/>
      <c r="V29" s="2119">
        <f t="shared" si="5"/>
        <v>0</v>
      </c>
      <c r="W29" s="43"/>
      <c r="X29" s="43"/>
      <c r="Y29" s="43"/>
      <c r="Z29" s="43"/>
    </row>
    <row r="30" spans="1:26">
      <c r="A30" s="88">
        <v>1652</v>
      </c>
      <c r="B30" s="378" t="s">
        <v>942</v>
      </c>
      <c r="C30" s="1033"/>
      <c r="D30" s="1033"/>
      <c r="E30" s="1033"/>
      <c r="F30" s="1033"/>
      <c r="G30" s="1033"/>
      <c r="H30" s="1033"/>
      <c r="I30" s="1033"/>
      <c r="J30" s="1033"/>
      <c r="K30" s="1033"/>
      <c r="L30" s="90"/>
      <c r="M30" s="51"/>
      <c r="N30" s="113">
        <f t="shared" si="4"/>
        <v>1652</v>
      </c>
      <c r="O30" s="575">
        <v>0</v>
      </c>
      <c r="P30" s="576"/>
      <c r="Q30" s="122"/>
      <c r="R30" s="121"/>
      <c r="S30" s="579">
        <v>0</v>
      </c>
      <c r="T30" s="580">
        <f t="shared" si="3"/>
        <v>0</v>
      </c>
      <c r="U30" s="51"/>
      <c r="V30" s="2119">
        <f t="shared" si="5"/>
        <v>0</v>
      </c>
      <c r="W30" s="43"/>
      <c r="X30" s="43"/>
      <c r="Y30" s="43"/>
      <c r="Z30" s="43"/>
    </row>
    <row r="31" spans="1:26">
      <c r="A31" s="88">
        <v>1654</v>
      </c>
      <c r="B31" s="378" t="s">
        <v>943</v>
      </c>
      <c r="C31" s="1033"/>
      <c r="D31" s="1033"/>
      <c r="E31" s="1033"/>
      <c r="F31" s="1033"/>
      <c r="G31" s="1033"/>
      <c r="H31" s="1033"/>
      <c r="I31" s="1033"/>
      <c r="J31" s="1033"/>
      <c r="K31" s="1033"/>
      <c r="L31" s="90"/>
      <c r="M31" s="51"/>
      <c r="N31" s="113">
        <f t="shared" si="4"/>
        <v>1654</v>
      </c>
      <c r="O31" s="575">
        <v>0</v>
      </c>
      <c r="P31" s="576"/>
      <c r="Q31" s="122"/>
      <c r="R31" s="121"/>
      <c r="S31" s="579">
        <v>0</v>
      </c>
      <c r="T31" s="580">
        <f t="shared" si="3"/>
        <v>0</v>
      </c>
      <c r="U31" s="51"/>
      <c r="V31" s="2119">
        <f t="shared" si="5"/>
        <v>0</v>
      </c>
      <c r="W31" s="43"/>
      <c r="X31" s="43"/>
      <c r="Y31" s="43"/>
      <c r="Z31" s="43"/>
    </row>
    <row r="32" spans="1:26">
      <c r="A32" s="88">
        <v>1655</v>
      </c>
      <c r="B32" s="378" t="s">
        <v>944</v>
      </c>
      <c r="C32" s="1033"/>
      <c r="D32" s="1033"/>
      <c r="E32" s="1033"/>
      <c r="F32" s="1033"/>
      <c r="G32" s="1033"/>
      <c r="H32" s="1033"/>
      <c r="I32" s="1033"/>
      <c r="J32" s="1033"/>
      <c r="K32" s="1033"/>
      <c r="L32" s="90"/>
      <c r="M32" s="51"/>
      <c r="N32" s="113">
        <f t="shared" si="4"/>
        <v>1655</v>
      </c>
      <c r="O32" s="575">
        <v>0</v>
      </c>
      <c r="P32" s="576"/>
      <c r="Q32" s="122"/>
      <c r="R32" s="121"/>
      <c r="S32" s="579">
        <v>0</v>
      </c>
      <c r="T32" s="580">
        <f t="shared" si="3"/>
        <v>0</v>
      </c>
      <c r="U32" s="51"/>
      <c r="V32" s="2119">
        <f t="shared" si="5"/>
        <v>0</v>
      </c>
      <c r="W32" s="43"/>
      <c r="X32" s="43"/>
      <c r="Y32" s="43"/>
      <c r="Z32" s="43"/>
    </row>
    <row r="33" spans="1:26">
      <c r="A33" s="88">
        <v>1657</v>
      </c>
      <c r="B33" s="378" t="s">
        <v>945</v>
      </c>
      <c r="C33" s="1033"/>
      <c r="D33" s="1033"/>
      <c r="E33" s="1033"/>
      <c r="F33" s="1033"/>
      <c r="G33" s="1033"/>
      <c r="H33" s="1033"/>
      <c r="I33" s="1033"/>
      <c r="J33" s="1033"/>
      <c r="K33" s="1033"/>
      <c r="L33" s="90"/>
      <c r="M33" s="51"/>
      <c r="N33" s="113">
        <f t="shared" si="4"/>
        <v>1657</v>
      </c>
      <c r="O33" s="575">
        <v>0</v>
      </c>
      <c r="P33" s="576"/>
      <c r="Q33" s="122"/>
      <c r="R33" s="121"/>
      <c r="S33" s="579">
        <v>0</v>
      </c>
      <c r="T33" s="580">
        <f t="shared" si="3"/>
        <v>0</v>
      </c>
      <c r="U33" s="51"/>
      <c r="V33" s="2119">
        <f t="shared" si="5"/>
        <v>0</v>
      </c>
      <c r="W33" s="43"/>
      <c r="X33" s="43"/>
      <c r="Y33" s="43"/>
      <c r="Z33" s="43"/>
    </row>
    <row r="34" spans="1:26">
      <c r="A34" s="88">
        <v>1658</v>
      </c>
      <c r="B34" s="378" t="s">
        <v>946</v>
      </c>
      <c r="C34" s="1033"/>
      <c r="D34" s="1033"/>
      <c r="E34" s="1033"/>
      <c r="F34" s="1033"/>
      <c r="G34" s="1033"/>
      <c r="H34" s="1033"/>
      <c r="I34" s="1033"/>
      <c r="J34" s="1033"/>
      <c r="K34" s="1033"/>
      <c r="L34" s="90"/>
      <c r="M34" s="51"/>
      <c r="N34" s="113">
        <f t="shared" si="4"/>
        <v>1658</v>
      </c>
      <c r="O34" s="575">
        <v>0</v>
      </c>
      <c r="P34" s="576"/>
      <c r="Q34" s="122"/>
      <c r="R34" s="121"/>
      <c r="S34" s="579">
        <v>0</v>
      </c>
      <c r="T34" s="580">
        <f t="shared" si="3"/>
        <v>0</v>
      </c>
      <c r="U34" s="51"/>
      <c r="V34" s="2119">
        <f t="shared" si="5"/>
        <v>0</v>
      </c>
      <c r="W34" s="43"/>
      <c r="X34" s="43"/>
      <c r="Y34" s="43"/>
      <c r="Z34" s="43"/>
    </row>
    <row r="35" spans="1:26">
      <c r="A35" s="88">
        <v>1661</v>
      </c>
      <c r="B35" s="378" t="s">
        <v>947</v>
      </c>
      <c r="C35" s="1033"/>
      <c r="D35" s="1033"/>
      <c r="E35" s="1033"/>
      <c r="F35" s="1033"/>
      <c r="G35" s="1033"/>
      <c r="H35" s="1033"/>
      <c r="I35" s="1033"/>
      <c r="J35" s="1033"/>
      <c r="K35" s="1033"/>
      <c r="L35" s="90"/>
      <c r="M35" s="51"/>
      <c r="N35" s="113">
        <f t="shared" si="4"/>
        <v>1661</v>
      </c>
      <c r="O35" s="575">
        <v>0</v>
      </c>
      <c r="P35" s="576"/>
      <c r="Q35" s="122"/>
      <c r="R35" s="121"/>
      <c r="S35" s="579">
        <v>0</v>
      </c>
      <c r="T35" s="580">
        <f t="shared" si="3"/>
        <v>0</v>
      </c>
      <c r="U35" s="51"/>
      <c r="V35" s="2119">
        <f t="shared" si="5"/>
        <v>0</v>
      </c>
      <c r="W35" s="43"/>
      <c r="X35" s="43"/>
      <c r="Y35" s="43"/>
      <c r="Z35" s="43"/>
    </row>
    <row r="36" spans="1:26">
      <c r="A36" s="88">
        <v>1663</v>
      </c>
      <c r="B36" s="378" t="s">
        <v>948</v>
      </c>
      <c r="C36" s="1033"/>
      <c r="D36" s="1033"/>
      <c r="E36" s="1033"/>
      <c r="F36" s="1033"/>
      <c r="G36" s="1033"/>
      <c r="H36" s="1033"/>
      <c r="I36" s="1033"/>
      <c r="J36" s="1033"/>
      <c r="K36" s="1033"/>
      <c r="L36" s="90"/>
      <c r="M36" s="51"/>
      <c r="N36" s="113">
        <f t="shared" si="4"/>
        <v>1663</v>
      </c>
      <c r="O36" s="575">
        <v>0</v>
      </c>
      <c r="P36" s="576"/>
      <c r="Q36" s="122"/>
      <c r="R36" s="121"/>
      <c r="S36" s="579">
        <v>0</v>
      </c>
      <c r="T36" s="580">
        <f t="shared" si="3"/>
        <v>0</v>
      </c>
      <c r="U36" s="51"/>
      <c r="V36" s="2119">
        <f t="shared" si="5"/>
        <v>0</v>
      </c>
      <c r="W36" s="43"/>
      <c r="X36" s="43"/>
      <c r="Y36" s="43"/>
      <c r="Z36" s="43"/>
    </row>
    <row r="37" spans="1:26">
      <c r="A37" s="88">
        <v>1664</v>
      </c>
      <c r="B37" s="378" t="s">
        <v>949</v>
      </c>
      <c r="C37" s="1033"/>
      <c r="D37" s="1033"/>
      <c r="E37" s="1033"/>
      <c r="F37" s="1033"/>
      <c r="G37" s="1033"/>
      <c r="H37" s="1033"/>
      <c r="I37" s="1033"/>
      <c r="J37" s="1033"/>
      <c r="K37" s="1033"/>
      <c r="L37" s="90"/>
      <c r="M37" s="51"/>
      <c r="N37" s="113">
        <f t="shared" si="4"/>
        <v>1664</v>
      </c>
      <c r="O37" s="575">
        <v>0</v>
      </c>
      <c r="P37" s="576"/>
      <c r="Q37" s="122"/>
      <c r="R37" s="121"/>
      <c r="S37" s="579">
        <v>0</v>
      </c>
      <c r="T37" s="580">
        <f t="shared" si="3"/>
        <v>0</v>
      </c>
      <c r="U37" s="51"/>
      <c r="V37" s="2119">
        <f t="shared" si="5"/>
        <v>0</v>
      </c>
      <c r="W37" s="43"/>
      <c r="X37" s="43"/>
      <c r="Y37" s="43"/>
      <c r="Z37" s="43"/>
    </row>
    <row r="38" spans="1:26">
      <c r="A38" s="88">
        <v>1666</v>
      </c>
      <c r="B38" s="378" t="s">
        <v>950</v>
      </c>
      <c r="C38" s="1033"/>
      <c r="D38" s="1033"/>
      <c r="E38" s="1033"/>
      <c r="F38" s="1033"/>
      <c r="G38" s="1033"/>
      <c r="H38" s="1033"/>
      <c r="I38" s="1033"/>
      <c r="J38" s="1033"/>
      <c r="K38" s="1033"/>
      <c r="L38" s="90"/>
      <c r="M38" s="51"/>
      <c r="N38" s="113">
        <f t="shared" si="4"/>
        <v>1666</v>
      </c>
      <c r="O38" s="575">
        <v>0</v>
      </c>
      <c r="P38" s="576"/>
      <c r="Q38" s="122"/>
      <c r="R38" s="121"/>
      <c r="S38" s="579">
        <v>0</v>
      </c>
      <c r="T38" s="580">
        <f t="shared" si="3"/>
        <v>0</v>
      </c>
      <c r="U38" s="51"/>
      <c r="V38" s="2119">
        <f t="shared" si="5"/>
        <v>0</v>
      </c>
      <c r="W38" s="43"/>
      <c r="X38" s="43"/>
      <c r="Y38" s="43"/>
      <c r="Z38" s="43"/>
    </row>
    <row r="39" spans="1:26">
      <c r="A39" s="88">
        <v>1667</v>
      </c>
      <c r="B39" s="378" t="s">
        <v>951</v>
      </c>
      <c r="C39" s="1033"/>
      <c r="D39" s="1033"/>
      <c r="E39" s="1033"/>
      <c r="F39" s="1033"/>
      <c r="G39" s="1033"/>
      <c r="H39" s="1033"/>
      <c r="I39" s="1033"/>
      <c r="J39" s="1033"/>
      <c r="K39" s="1033"/>
      <c r="L39" s="90"/>
      <c r="M39" s="51"/>
      <c r="N39" s="113">
        <f t="shared" si="4"/>
        <v>1667</v>
      </c>
      <c r="O39" s="575">
        <v>0</v>
      </c>
      <c r="P39" s="576"/>
      <c r="Q39" s="122"/>
      <c r="R39" s="121"/>
      <c r="S39" s="579">
        <v>0</v>
      </c>
      <c r="T39" s="580">
        <f t="shared" si="3"/>
        <v>0</v>
      </c>
      <c r="U39" s="51"/>
      <c r="V39" s="2119">
        <f t="shared" si="5"/>
        <v>0</v>
      </c>
      <c r="W39" s="43"/>
      <c r="X39" s="43"/>
      <c r="Y39" s="43"/>
      <c r="Z39" s="43"/>
    </row>
    <row r="40" spans="1:26">
      <c r="A40" s="88">
        <v>1669</v>
      </c>
      <c r="B40" s="378" t="s">
        <v>212</v>
      </c>
      <c r="C40" s="1033"/>
      <c r="D40" s="1033"/>
      <c r="E40" s="1033"/>
      <c r="F40" s="1033"/>
      <c r="G40" s="1033"/>
      <c r="H40" s="1033"/>
      <c r="I40" s="1033"/>
      <c r="J40" s="1033"/>
      <c r="K40" s="1033"/>
      <c r="L40" s="90"/>
      <c r="M40" s="51"/>
      <c r="N40" s="113">
        <f t="shared" si="4"/>
        <v>1669</v>
      </c>
      <c r="O40" s="575">
        <v>0</v>
      </c>
      <c r="P40" s="576"/>
      <c r="Q40" s="122"/>
      <c r="R40" s="121"/>
      <c r="S40" s="579">
        <v>0</v>
      </c>
      <c r="T40" s="580">
        <f t="shared" si="3"/>
        <v>0</v>
      </c>
      <c r="U40" s="51"/>
      <c r="V40" s="2119">
        <f t="shared" si="5"/>
        <v>0</v>
      </c>
      <c r="W40" s="43"/>
      <c r="X40" s="43"/>
      <c r="Y40" s="43"/>
      <c r="Z40" s="43"/>
    </row>
    <row r="41" spans="1:26">
      <c r="A41" s="88">
        <v>1681</v>
      </c>
      <c r="B41" s="378" t="s">
        <v>965</v>
      </c>
      <c r="C41" s="1033"/>
      <c r="D41" s="1033"/>
      <c r="E41" s="1033"/>
      <c r="F41" s="1033"/>
      <c r="G41" s="1033"/>
      <c r="H41" s="1033"/>
      <c r="I41" s="1033"/>
      <c r="J41" s="1033"/>
      <c r="K41" s="1033"/>
      <c r="L41" s="574"/>
      <c r="M41" s="51"/>
      <c r="N41" s="113">
        <f t="shared" si="4"/>
        <v>1681</v>
      </c>
      <c r="O41" s="575">
        <v>0</v>
      </c>
      <c r="P41" s="576"/>
      <c r="Q41" s="122"/>
      <c r="R41" s="121"/>
      <c r="S41" s="579">
        <v>0</v>
      </c>
      <c r="T41" s="580">
        <f t="shared" si="3"/>
        <v>0</v>
      </c>
      <c r="U41" s="51"/>
      <c r="V41" s="2119">
        <f t="shared" si="5"/>
        <v>0</v>
      </c>
      <c r="W41" s="43"/>
      <c r="X41" s="43"/>
      <c r="Y41" s="43"/>
      <c r="Z41" s="43"/>
    </row>
    <row r="42" spans="1:26">
      <c r="A42" s="88">
        <v>1685</v>
      </c>
      <c r="B42" s="378" t="s">
        <v>966</v>
      </c>
      <c r="C42" s="1033"/>
      <c r="D42" s="1033"/>
      <c r="E42" s="1033"/>
      <c r="F42" s="1033"/>
      <c r="G42" s="1033"/>
      <c r="H42" s="1033"/>
      <c r="I42" s="1033"/>
      <c r="J42" s="1033"/>
      <c r="K42" s="1033"/>
      <c r="L42" s="574"/>
      <c r="M42" s="51"/>
      <c r="N42" s="113">
        <f t="shared" si="4"/>
        <v>1685</v>
      </c>
      <c r="O42" s="575">
        <v>0</v>
      </c>
      <c r="P42" s="576"/>
      <c r="Q42" s="122"/>
      <c r="R42" s="121"/>
      <c r="S42" s="579">
        <v>0</v>
      </c>
      <c r="T42" s="580">
        <f t="shared" si="3"/>
        <v>0</v>
      </c>
      <c r="U42" s="51"/>
      <c r="V42" s="2119">
        <f t="shared" si="5"/>
        <v>0</v>
      </c>
      <c r="W42" s="43"/>
      <c r="X42" s="43"/>
      <c r="Y42" s="43"/>
      <c r="Z42" s="43"/>
    </row>
    <row r="43" spans="1:26">
      <c r="A43" s="88">
        <v>1686</v>
      </c>
      <c r="B43" s="378" t="s">
        <v>967</v>
      </c>
      <c r="C43" s="1033"/>
      <c r="D43" s="1033"/>
      <c r="E43" s="1033"/>
      <c r="F43" s="1033"/>
      <c r="G43" s="1033"/>
      <c r="H43" s="1033"/>
      <c r="I43" s="1033"/>
      <c r="J43" s="1033"/>
      <c r="K43" s="1033"/>
      <c r="L43" s="574"/>
      <c r="M43" s="51"/>
      <c r="N43" s="113">
        <f t="shared" si="4"/>
        <v>1686</v>
      </c>
      <c r="O43" s="575">
        <v>0</v>
      </c>
      <c r="P43" s="576"/>
      <c r="Q43" s="122"/>
      <c r="R43" s="121"/>
      <c r="S43" s="579">
        <v>0</v>
      </c>
      <c r="T43" s="580">
        <f t="shared" si="3"/>
        <v>0</v>
      </c>
      <c r="U43" s="51"/>
      <c r="V43" s="2119">
        <f t="shared" si="5"/>
        <v>0</v>
      </c>
      <c r="W43" s="43"/>
      <c r="X43" s="43"/>
      <c r="Y43" s="43"/>
      <c r="Z43" s="43"/>
    </row>
    <row r="44" spans="1:26">
      <c r="A44" s="88">
        <v>1688</v>
      </c>
      <c r="B44" s="378" t="s">
        <v>968</v>
      </c>
      <c r="C44" s="1033"/>
      <c r="D44" s="1033"/>
      <c r="E44" s="1033"/>
      <c r="F44" s="1033"/>
      <c r="G44" s="1033"/>
      <c r="H44" s="1033"/>
      <c r="I44" s="1033"/>
      <c r="J44" s="1033"/>
      <c r="K44" s="1033"/>
      <c r="L44" s="574"/>
      <c r="M44" s="51"/>
      <c r="N44" s="113">
        <f t="shared" si="4"/>
        <v>1688</v>
      </c>
      <c r="O44" s="575">
        <v>0</v>
      </c>
      <c r="P44" s="576"/>
      <c r="Q44" s="122"/>
      <c r="R44" s="121"/>
      <c r="S44" s="579">
        <v>0</v>
      </c>
      <c r="T44" s="580">
        <f t="shared" si="3"/>
        <v>0</v>
      </c>
      <c r="U44" s="51"/>
      <c r="V44" s="2119">
        <f t="shared" si="5"/>
        <v>0</v>
      </c>
      <c r="W44" s="43"/>
      <c r="X44" s="43"/>
      <c r="Y44" s="43"/>
      <c r="Z44" s="43"/>
    </row>
    <row r="45" spans="1:26">
      <c r="A45" s="88">
        <v>1689</v>
      </c>
      <c r="B45" s="378" t="s">
        <v>969</v>
      </c>
      <c r="C45" s="1033"/>
      <c r="D45" s="1033"/>
      <c r="E45" s="1033"/>
      <c r="F45" s="1033"/>
      <c r="G45" s="1033"/>
      <c r="H45" s="1033"/>
      <c r="I45" s="1033"/>
      <c r="J45" s="1033"/>
      <c r="K45" s="1033"/>
      <c r="L45" s="574"/>
      <c r="M45" s="51"/>
      <c r="N45" s="113">
        <f t="shared" si="4"/>
        <v>1689</v>
      </c>
      <c r="O45" s="575">
        <v>0</v>
      </c>
      <c r="P45" s="576"/>
      <c r="Q45" s="122"/>
      <c r="R45" s="121"/>
      <c r="S45" s="579">
        <v>0</v>
      </c>
      <c r="T45" s="580">
        <f t="shared" si="3"/>
        <v>0</v>
      </c>
      <c r="U45" s="51"/>
      <c r="V45" s="2119">
        <f t="shared" si="5"/>
        <v>0</v>
      </c>
      <c r="W45" s="43"/>
      <c r="X45" s="43"/>
      <c r="Y45" s="43"/>
      <c r="Z45" s="43"/>
    </row>
    <row r="46" spans="1:26">
      <c r="A46" s="370">
        <v>1701</v>
      </c>
      <c r="B46" s="378" t="s">
        <v>213</v>
      </c>
      <c r="C46" s="1033"/>
      <c r="D46" s="1033"/>
      <c r="E46" s="1033"/>
      <c r="F46" s="1033"/>
      <c r="G46" s="1033"/>
      <c r="H46" s="1033"/>
      <c r="I46" s="1033"/>
      <c r="J46" s="1033"/>
      <c r="K46" s="1033"/>
      <c r="L46" s="90"/>
      <c r="M46" s="51"/>
      <c r="N46" s="113">
        <f t="shared" si="4"/>
        <v>1701</v>
      </c>
      <c r="O46" s="575">
        <v>0</v>
      </c>
      <c r="P46" s="576"/>
      <c r="Q46" s="122"/>
      <c r="R46" s="121"/>
      <c r="S46" s="579">
        <v>0</v>
      </c>
      <c r="T46" s="580">
        <f t="shared" si="3"/>
        <v>0</v>
      </c>
      <c r="U46" s="51"/>
      <c r="V46" s="2119">
        <f t="shared" si="5"/>
        <v>0</v>
      </c>
      <c r="W46" s="43"/>
      <c r="X46" s="43"/>
      <c r="Y46" s="43"/>
      <c r="Z46" s="43"/>
    </row>
    <row r="47" spans="1:26">
      <c r="A47" s="88">
        <v>1702</v>
      </c>
      <c r="B47" s="378" t="s">
        <v>214</v>
      </c>
      <c r="C47" s="1033"/>
      <c r="D47" s="1033"/>
      <c r="E47" s="1033"/>
      <c r="F47" s="1033"/>
      <c r="G47" s="1033"/>
      <c r="H47" s="1033"/>
      <c r="I47" s="1033"/>
      <c r="J47" s="1033"/>
      <c r="K47" s="1033"/>
      <c r="L47" s="90"/>
      <c r="M47" s="51"/>
      <c r="N47" s="113">
        <f t="shared" si="4"/>
        <v>1702</v>
      </c>
      <c r="O47" s="575">
        <v>0</v>
      </c>
      <c r="P47" s="576"/>
      <c r="Q47" s="122"/>
      <c r="R47" s="121"/>
      <c r="S47" s="579">
        <v>0</v>
      </c>
      <c r="T47" s="580">
        <f t="shared" si="3"/>
        <v>0</v>
      </c>
      <c r="U47" s="51"/>
      <c r="V47" s="2119">
        <f t="shared" si="5"/>
        <v>0</v>
      </c>
      <c r="W47" s="43"/>
      <c r="X47" s="43"/>
      <c r="Y47" s="43"/>
      <c r="Z47" s="43"/>
    </row>
    <row r="48" spans="1:26">
      <c r="A48" s="88">
        <v>1707</v>
      </c>
      <c r="B48" s="378" t="s">
        <v>970</v>
      </c>
      <c r="C48" s="1033"/>
      <c r="D48" s="1033"/>
      <c r="E48" s="1033"/>
      <c r="F48" s="1033"/>
      <c r="G48" s="1033"/>
      <c r="H48" s="1033"/>
      <c r="I48" s="1033"/>
      <c r="J48" s="1033"/>
      <c r="K48" s="1033"/>
      <c r="L48" s="90"/>
      <c r="M48" s="51"/>
      <c r="N48" s="113">
        <f t="shared" si="4"/>
        <v>1707</v>
      </c>
      <c r="O48" s="575">
        <v>0</v>
      </c>
      <c r="P48" s="576"/>
      <c r="Q48" s="122"/>
      <c r="R48" s="121"/>
      <c r="S48" s="579">
        <v>0</v>
      </c>
      <c r="T48" s="580">
        <f t="shared" si="3"/>
        <v>0</v>
      </c>
      <c r="U48" s="51"/>
      <c r="V48" s="2119">
        <f t="shared" si="5"/>
        <v>0</v>
      </c>
      <c r="W48" s="43"/>
      <c r="X48" s="43"/>
      <c r="Y48" s="43"/>
      <c r="Z48" s="43"/>
    </row>
    <row r="49" spans="1:26">
      <c r="A49" s="88">
        <v>1708</v>
      </c>
      <c r="B49" s="378" t="s">
        <v>971</v>
      </c>
      <c r="C49" s="1033"/>
      <c r="D49" s="1033"/>
      <c r="E49" s="1033"/>
      <c r="F49" s="1033"/>
      <c r="G49" s="1033"/>
      <c r="H49" s="1033"/>
      <c r="I49" s="1033"/>
      <c r="J49" s="1033"/>
      <c r="K49" s="1033"/>
      <c r="L49" s="90"/>
      <c r="M49" s="51"/>
      <c r="N49" s="113">
        <f t="shared" si="4"/>
        <v>1708</v>
      </c>
      <c r="O49" s="575">
        <v>0</v>
      </c>
      <c r="P49" s="576"/>
      <c r="Q49" s="122"/>
      <c r="R49" s="121"/>
      <c r="S49" s="579">
        <v>0</v>
      </c>
      <c r="T49" s="580">
        <f t="shared" si="3"/>
        <v>0</v>
      </c>
      <c r="U49" s="51"/>
      <c r="V49" s="2119">
        <f t="shared" si="5"/>
        <v>0</v>
      </c>
      <c r="W49" s="43"/>
      <c r="X49" s="43"/>
      <c r="Y49" s="43"/>
      <c r="Z49" s="43"/>
    </row>
    <row r="50" spans="1:26">
      <c r="A50" s="88">
        <v>1911</v>
      </c>
      <c r="B50" s="378" t="s">
        <v>215</v>
      </c>
      <c r="C50" s="1033"/>
      <c r="D50" s="1033"/>
      <c r="E50" s="1033"/>
      <c r="F50" s="1033"/>
      <c r="G50" s="1033"/>
      <c r="H50" s="1033"/>
      <c r="I50" s="1033"/>
      <c r="J50" s="1033"/>
      <c r="K50" s="1033"/>
      <c r="L50" s="90"/>
      <c r="M50" s="51"/>
      <c r="N50" s="113">
        <f t="shared" si="4"/>
        <v>1911</v>
      </c>
      <c r="O50" s="575">
        <v>0</v>
      </c>
      <c r="P50" s="576">
        <v>0</v>
      </c>
      <c r="Q50" s="122">
        <v>0</v>
      </c>
      <c r="R50" s="121">
        <v>0</v>
      </c>
      <c r="S50" s="579">
        <v>0</v>
      </c>
      <c r="T50" s="580">
        <f t="shared" si="3"/>
        <v>0</v>
      </c>
      <c r="U50" s="51"/>
      <c r="V50" s="2119">
        <f t="shared" si="5"/>
        <v>0</v>
      </c>
      <c r="W50" s="43"/>
      <c r="X50" s="43"/>
      <c r="Y50" s="43"/>
      <c r="Z50" s="43"/>
    </row>
    <row r="51" spans="1:26">
      <c r="A51" s="88">
        <v>1912</v>
      </c>
      <c r="B51" s="378" t="s">
        <v>216</v>
      </c>
      <c r="C51" s="1033"/>
      <c r="D51" s="1033"/>
      <c r="E51" s="1033"/>
      <c r="F51" s="1033"/>
      <c r="G51" s="1033"/>
      <c r="H51" s="1033"/>
      <c r="I51" s="1033"/>
      <c r="J51" s="1033"/>
      <c r="K51" s="1033"/>
      <c r="L51" s="90"/>
      <c r="M51" s="51"/>
      <c r="N51" s="113">
        <f t="shared" si="4"/>
        <v>1912</v>
      </c>
      <c r="O51" s="575">
        <v>0</v>
      </c>
      <c r="P51" s="576"/>
      <c r="Q51" s="122"/>
      <c r="R51" s="121"/>
      <c r="S51" s="579">
        <v>0</v>
      </c>
      <c r="T51" s="580">
        <f t="shared" si="3"/>
        <v>0</v>
      </c>
      <c r="U51" s="51"/>
      <c r="V51" s="2119">
        <f t="shared" si="5"/>
        <v>0</v>
      </c>
      <c r="W51" s="43"/>
      <c r="X51" s="43"/>
      <c r="Y51" s="43"/>
      <c r="Z51" s="43"/>
    </row>
    <row r="52" spans="1:26">
      <c r="A52" s="88">
        <v>1913</v>
      </c>
      <c r="B52" s="378" t="s">
        <v>217</v>
      </c>
      <c r="C52" s="1033"/>
      <c r="D52" s="1033"/>
      <c r="E52" s="1033"/>
      <c r="F52" s="1033"/>
      <c r="G52" s="1033"/>
      <c r="H52" s="1033"/>
      <c r="I52" s="1033"/>
      <c r="J52" s="1033"/>
      <c r="K52" s="1033"/>
      <c r="L52" s="90"/>
      <c r="M52" s="51"/>
      <c r="N52" s="113">
        <f t="shared" si="4"/>
        <v>1913</v>
      </c>
      <c r="O52" s="575">
        <v>0</v>
      </c>
      <c r="P52" s="576"/>
      <c r="Q52" s="122"/>
      <c r="R52" s="121"/>
      <c r="S52" s="579">
        <v>0</v>
      </c>
      <c r="T52" s="580">
        <f t="shared" si="3"/>
        <v>0</v>
      </c>
      <c r="U52" s="51"/>
      <c r="V52" s="2119">
        <f t="shared" si="5"/>
        <v>0</v>
      </c>
      <c r="W52" s="43"/>
      <c r="X52" s="43"/>
      <c r="Y52" s="43"/>
      <c r="Z52" s="43"/>
    </row>
    <row r="53" spans="1:26">
      <c r="A53" s="88">
        <v>1914</v>
      </c>
      <c r="B53" s="378" t="s">
        <v>218</v>
      </c>
      <c r="C53" s="1033"/>
      <c r="D53" s="1033"/>
      <c r="E53" s="1033"/>
      <c r="F53" s="1033"/>
      <c r="G53" s="1033"/>
      <c r="H53" s="1033"/>
      <c r="I53" s="1033"/>
      <c r="J53" s="1033"/>
      <c r="K53" s="1033"/>
      <c r="L53" s="90"/>
      <c r="M53" s="51"/>
      <c r="N53" s="113">
        <f t="shared" si="4"/>
        <v>1914</v>
      </c>
      <c r="O53" s="575">
        <v>0</v>
      </c>
      <c r="P53" s="576"/>
      <c r="Q53" s="122"/>
      <c r="R53" s="121"/>
      <c r="S53" s="579">
        <v>0</v>
      </c>
      <c r="T53" s="580">
        <f t="shared" si="3"/>
        <v>0</v>
      </c>
      <c r="U53" s="51"/>
      <c r="V53" s="2119">
        <f>+IF(OR(+ROUND(O53,2)+ROUND(Q53,2)&gt;ROUND(P53,2)+ROUND(R53,2),+ABS(ROUND(O53,2)+ROUND(Q53,2))&gt;+ABS(ROUND(P53,2)+ROUND(R53,2))),+(ROUND(O53,2)+ROUND(Q53,2))-(ROUND(P53,2)+ROUND(R53,2)),0)</f>
        <v>0</v>
      </c>
      <c r="W53" s="43"/>
      <c r="X53" s="43"/>
      <c r="Y53" s="43"/>
      <c r="Z53" s="43"/>
    </row>
    <row r="54" spans="1:26">
      <c r="A54" s="88">
        <v>1917</v>
      </c>
      <c r="B54" s="378" t="s">
        <v>219</v>
      </c>
      <c r="C54" s="1033"/>
      <c r="D54" s="1033"/>
      <c r="E54" s="1033"/>
      <c r="F54" s="1033"/>
      <c r="G54" s="1033"/>
      <c r="H54" s="1033"/>
      <c r="I54" s="1033"/>
      <c r="J54" s="1033"/>
      <c r="K54" s="1033"/>
      <c r="L54" s="90"/>
      <c r="M54" s="51"/>
      <c r="N54" s="113">
        <f t="shared" si="4"/>
        <v>1917</v>
      </c>
      <c r="O54" s="581">
        <v>0</v>
      </c>
      <c r="P54" s="582">
        <v>0</v>
      </c>
      <c r="Q54" s="122">
        <v>0</v>
      </c>
      <c r="R54" s="121">
        <v>0</v>
      </c>
      <c r="S54" s="583">
        <f>+IF(ABS(+O54+Q54)&gt;=ABS(P54+R54),+O54-P54+Q54-R54,0)</f>
        <v>0</v>
      </c>
      <c r="T54" s="584">
        <v>0</v>
      </c>
      <c r="U54" s="51"/>
      <c r="V54" s="2120">
        <f>+IF(OR(ROUND(P54,2)+ROUND(R54,2)&gt;+ROUND(O54,2)+ROUND(Q54,2),+ABS(ROUND(P54,2)+ROUND(R54,2))&gt;+ABS(ROUND(O54,2)+ROUND(Q54,2))),+(ROUND(P54,2)+ROUND(R54,2))-(ROUND(O54,2)+ROUND(Q54,2)),0)</f>
        <v>0</v>
      </c>
      <c r="W54" s="43"/>
      <c r="X54" s="43"/>
      <c r="Y54" s="43"/>
      <c r="Z54" s="43"/>
    </row>
    <row r="55" spans="1:26">
      <c r="A55" s="88">
        <v>1918</v>
      </c>
      <c r="B55" s="378" t="s">
        <v>952</v>
      </c>
      <c r="C55" s="1033"/>
      <c r="D55" s="1033"/>
      <c r="E55" s="1033"/>
      <c r="F55" s="1033"/>
      <c r="G55" s="1033"/>
      <c r="H55" s="1033"/>
      <c r="I55" s="1033"/>
      <c r="J55" s="1033"/>
      <c r="K55" s="1033"/>
      <c r="L55" s="90"/>
      <c r="M55" s="51"/>
      <c r="N55" s="113">
        <f t="shared" si="4"/>
        <v>1918</v>
      </c>
      <c r="O55" s="581"/>
      <c r="P55" s="582">
        <v>0</v>
      </c>
      <c r="Q55" s="122"/>
      <c r="R55" s="121"/>
      <c r="S55" s="583">
        <f>+IF(ABS(+O55+Q55)&gt;=ABS(P55+R55),+O55-P55+Q55-R55,0)</f>
        <v>0</v>
      </c>
      <c r="T55" s="584">
        <v>0</v>
      </c>
      <c r="U55" s="51"/>
      <c r="V55" s="2120">
        <f>+IF(OR(ROUND(P55,2)+ROUND(R55,2)&gt;+ROUND(O55,2)+ROUND(Q55,2),+ABS(ROUND(P55,2)+ROUND(R55,2))&gt;+ABS(ROUND(O55,2)+ROUND(Q55,2))),+(ROUND(P55,2)+ROUND(R55,2))-(ROUND(O55,2)+ROUND(Q55,2)),0)</f>
        <v>0</v>
      </c>
      <c r="W55" s="43"/>
      <c r="X55" s="43"/>
      <c r="Y55" s="43"/>
      <c r="Z55" s="43"/>
    </row>
    <row r="56" spans="1:26">
      <c r="A56" s="88">
        <v>1921</v>
      </c>
      <c r="B56" s="378" t="s">
        <v>860</v>
      </c>
      <c r="C56" s="1037"/>
      <c r="D56" s="1037"/>
      <c r="E56" s="1037"/>
      <c r="F56" s="1037"/>
      <c r="G56" s="1037"/>
      <c r="H56" s="1037"/>
      <c r="I56" s="1037"/>
      <c r="J56" s="1037"/>
      <c r="K56" s="1037"/>
      <c r="L56" s="590"/>
      <c r="M56" s="51"/>
      <c r="N56" s="113">
        <f t="shared" si="4"/>
        <v>1921</v>
      </c>
      <c r="O56" s="575">
        <v>0</v>
      </c>
      <c r="P56" s="576"/>
      <c r="Q56" s="589"/>
      <c r="R56" s="121"/>
      <c r="S56" s="579">
        <v>0</v>
      </c>
      <c r="T56" s="580">
        <f t="shared" ref="T56:T69" si="6">+IF(ABS(+O56+Q56)&lt;=ABS(P56+R56),-O56+P56-Q56+R56,0)</f>
        <v>0</v>
      </c>
      <c r="U56" s="51"/>
      <c r="V56" s="2119">
        <f>+IF(OR(+ROUND(O56,2)+ROUND(Q56,2)&gt;ROUND(P56,2)+ROUND(R56,2),+ABS(ROUND(O56,2)+ROUND(Q56,2))&gt;+ABS(ROUND(P56,2)+ROUND(R56,2))),+(ROUND(O56,2)+ROUND(Q56,2))-(ROUND(P56,2)+ROUND(R56,2)),0)</f>
        <v>0</v>
      </c>
      <c r="W56" s="43"/>
      <c r="X56" s="43"/>
      <c r="Y56" s="43"/>
      <c r="Z56" s="43"/>
    </row>
    <row r="57" spans="1:26">
      <c r="A57" s="88">
        <v>1922</v>
      </c>
      <c r="B57" s="378" t="s">
        <v>861</v>
      </c>
      <c r="C57" s="1037"/>
      <c r="D57" s="1037"/>
      <c r="E57" s="1037"/>
      <c r="F57" s="1037"/>
      <c r="G57" s="1037"/>
      <c r="H57" s="1037"/>
      <c r="I57" s="1037"/>
      <c r="J57" s="1037"/>
      <c r="K57" s="1037"/>
      <c r="L57" s="590"/>
      <c r="M57" s="51"/>
      <c r="N57" s="113">
        <f t="shared" si="4"/>
        <v>1922</v>
      </c>
      <c r="O57" s="575">
        <v>0</v>
      </c>
      <c r="P57" s="576"/>
      <c r="Q57" s="589"/>
      <c r="R57" s="121"/>
      <c r="S57" s="579">
        <v>0</v>
      </c>
      <c r="T57" s="580">
        <f t="shared" si="6"/>
        <v>0</v>
      </c>
      <c r="U57" s="51"/>
      <c r="V57" s="2119">
        <f>+IF(OR(+ROUND(O57,2)+ROUND(Q57,2)&gt;ROUND(P57,2)+ROUND(R57,2),+ABS(ROUND(O57,2)+ROUND(Q57,2))&gt;+ABS(ROUND(P57,2)+ROUND(R57,2))),+(ROUND(O57,2)+ROUND(Q57,2))-(ROUND(P57,2)+ROUND(R57,2)),0)</f>
        <v>0</v>
      </c>
      <c r="W57" s="43"/>
      <c r="X57" s="43"/>
      <c r="Y57" s="43"/>
      <c r="Z57" s="43"/>
    </row>
    <row r="58" spans="1:26">
      <c r="A58" s="88">
        <v>1923</v>
      </c>
      <c r="B58" s="378" t="s">
        <v>220</v>
      </c>
      <c r="C58" s="1037"/>
      <c r="D58" s="1037"/>
      <c r="E58" s="1037"/>
      <c r="F58" s="1037"/>
      <c r="G58" s="1037"/>
      <c r="H58" s="1037"/>
      <c r="I58" s="1037"/>
      <c r="J58" s="1037"/>
      <c r="K58" s="1037"/>
      <c r="L58" s="590"/>
      <c r="M58" s="51"/>
      <c r="N58" s="113">
        <f t="shared" ref="N58:N69" si="7">+A58</f>
        <v>1923</v>
      </c>
      <c r="O58" s="575">
        <v>0</v>
      </c>
      <c r="P58" s="576"/>
      <c r="Q58" s="589"/>
      <c r="R58" s="121"/>
      <c r="S58" s="579">
        <v>0</v>
      </c>
      <c r="T58" s="580">
        <f t="shared" si="6"/>
        <v>0</v>
      </c>
      <c r="U58" s="51"/>
      <c r="V58" s="2119">
        <f>+IF(OR(+ROUND(O58,2)+ROUND(Q58,2)&gt;ROUND(P58,2)+ROUND(R58,2),+ABS(ROUND(O58,2)+ROUND(Q58,2))&gt;+ABS(ROUND(P58,2)+ROUND(R58,2))),+(ROUND(O58,2)+ROUND(Q58,2))-(ROUND(P58,2)+ROUND(R58,2)),0)</f>
        <v>0</v>
      </c>
      <c r="W58" s="43"/>
      <c r="X58" s="43"/>
      <c r="Y58" s="43"/>
      <c r="Z58" s="43"/>
    </row>
    <row r="59" spans="1:26">
      <c r="A59" s="88">
        <v>1924</v>
      </c>
      <c r="B59" s="378" t="s">
        <v>221</v>
      </c>
      <c r="C59" s="1037"/>
      <c r="D59" s="1037"/>
      <c r="E59" s="1037"/>
      <c r="F59" s="1037"/>
      <c r="G59" s="1037"/>
      <c r="H59" s="1037"/>
      <c r="I59" s="1037"/>
      <c r="J59" s="1037"/>
      <c r="K59" s="1037"/>
      <c r="L59" s="590"/>
      <c r="M59" s="51"/>
      <c r="N59" s="113">
        <f t="shared" si="7"/>
        <v>1924</v>
      </c>
      <c r="O59" s="575">
        <v>0</v>
      </c>
      <c r="P59" s="576"/>
      <c r="Q59" s="589"/>
      <c r="R59" s="121"/>
      <c r="S59" s="579">
        <v>0</v>
      </c>
      <c r="T59" s="580">
        <f t="shared" si="6"/>
        <v>0</v>
      </c>
      <c r="U59" s="51"/>
      <c r="V59" s="2119">
        <f>+IF(OR(+ROUND(O59,2)+ROUND(Q59,2)&gt;ROUND(P59,2)+ROUND(R59,2),+ABS(ROUND(O59,2)+ROUND(Q59,2))&gt;+ABS(ROUND(P59,2)+ROUND(R59,2))),+(ROUND(O59,2)+ROUND(Q59,2))-(ROUND(P59,2)+ROUND(R59,2)),0)</f>
        <v>0</v>
      </c>
      <c r="W59" s="43"/>
      <c r="X59" s="43"/>
      <c r="Y59" s="43"/>
      <c r="Z59" s="43"/>
    </row>
    <row r="60" spans="1:26" ht="15.75" customHeight="1">
      <c r="A60" s="88">
        <v>1927</v>
      </c>
      <c r="B60" s="378" t="s">
        <v>222</v>
      </c>
      <c r="C60" s="1038"/>
      <c r="D60" s="1038"/>
      <c r="E60" s="1038"/>
      <c r="F60" s="1038"/>
      <c r="G60" s="1038"/>
      <c r="H60" s="1038"/>
      <c r="I60" s="1038"/>
      <c r="J60" s="1038"/>
      <c r="K60" s="1038"/>
      <c r="L60" s="590"/>
      <c r="M60" s="51"/>
      <c r="N60" s="113">
        <f t="shared" si="7"/>
        <v>1927</v>
      </c>
      <c r="O60" s="581"/>
      <c r="P60" s="576"/>
      <c r="Q60" s="589"/>
      <c r="R60" s="576"/>
      <c r="S60" s="583">
        <f>+IF(ABS(+O60+Q60)&gt;=ABS(P60+R60),+O60-P60+Q60-R60,0)</f>
        <v>0</v>
      </c>
      <c r="T60" s="580">
        <f t="shared" si="6"/>
        <v>0</v>
      </c>
      <c r="U60" s="51"/>
      <c r="V60" s="2119"/>
      <c r="W60" s="43"/>
      <c r="X60" s="43"/>
      <c r="Y60" s="43"/>
      <c r="Z60" s="43"/>
    </row>
    <row r="61" spans="1:26" ht="15.75" customHeight="1">
      <c r="A61" s="88">
        <v>1928</v>
      </c>
      <c r="B61" s="378" t="s">
        <v>223</v>
      </c>
      <c r="C61" s="1038"/>
      <c r="D61" s="1038"/>
      <c r="E61" s="1038"/>
      <c r="F61" s="1038"/>
      <c r="G61" s="1038"/>
      <c r="H61" s="1038"/>
      <c r="I61" s="1038"/>
      <c r="J61" s="1038"/>
      <c r="K61" s="1038"/>
      <c r="L61" s="590"/>
      <c r="M61" s="51"/>
      <c r="N61" s="113">
        <f t="shared" si="7"/>
        <v>1928</v>
      </c>
      <c r="O61" s="581"/>
      <c r="P61" s="576"/>
      <c r="Q61" s="589"/>
      <c r="R61" s="576"/>
      <c r="S61" s="583">
        <f>+IF(ABS(+O61+Q61)&gt;=ABS(P61+R61),+O61-P61+Q61-R61,0)</f>
        <v>0</v>
      </c>
      <c r="T61" s="580">
        <f t="shared" si="6"/>
        <v>0</v>
      </c>
      <c r="U61" s="51"/>
      <c r="V61" s="2119"/>
      <c r="W61" s="43"/>
      <c r="X61" s="43"/>
      <c r="Y61" s="43"/>
      <c r="Z61" s="43"/>
    </row>
    <row r="62" spans="1:26">
      <c r="A62" s="88">
        <v>1991</v>
      </c>
      <c r="B62" s="378" t="s">
        <v>855</v>
      </c>
      <c r="C62" s="1039"/>
      <c r="D62" s="1039"/>
      <c r="E62" s="1039"/>
      <c r="F62" s="1039"/>
      <c r="G62" s="1039"/>
      <c r="H62" s="1039"/>
      <c r="I62" s="1039"/>
      <c r="J62" s="1039"/>
      <c r="K62" s="1039"/>
      <c r="L62" s="574"/>
      <c r="M62" s="51"/>
      <c r="N62" s="113">
        <f t="shared" si="7"/>
        <v>1991</v>
      </c>
      <c r="O62" s="575">
        <v>0</v>
      </c>
      <c r="P62" s="576"/>
      <c r="Q62" s="589"/>
      <c r="R62" s="121"/>
      <c r="S62" s="579">
        <v>0</v>
      </c>
      <c r="T62" s="580">
        <f t="shared" si="6"/>
        <v>0</v>
      </c>
      <c r="U62" s="51"/>
      <c r="V62" s="2119">
        <f t="shared" ref="V62:V69" si="8">+IF(OR(+ROUND(O62,2)+ROUND(Q62,2)&gt;ROUND(P62,2)+ROUND(R62,2),+ABS(ROUND(O62,2)+ROUND(Q62,2))&gt;+ABS(ROUND(P62,2)+ROUND(R62,2))),+(ROUND(O62,2)+ROUND(Q62,2))-(ROUND(P62,2)+ROUND(R62,2)),0)</f>
        <v>0</v>
      </c>
      <c r="W62" s="43"/>
      <c r="X62" s="43"/>
      <c r="Y62" s="43"/>
      <c r="Z62" s="43"/>
    </row>
    <row r="63" spans="1:26">
      <c r="A63" s="88">
        <v>1992</v>
      </c>
      <c r="B63" s="378" t="s">
        <v>856</v>
      </c>
      <c r="C63" s="1039"/>
      <c r="D63" s="1039"/>
      <c r="E63" s="1039"/>
      <c r="F63" s="1039"/>
      <c r="G63" s="1039"/>
      <c r="H63" s="1039"/>
      <c r="I63" s="1039"/>
      <c r="J63" s="1039"/>
      <c r="K63" s="1039"/>
      <c r="L63" s="574"/>
      <c r="M63" s="51"/>
      <c r="N63" s="113">
        <f t="shared" si="7"/>
        <v>1992</v>
      </c>
      <c r="O63" s="575">
        <v>0</v>
      </c>
      <c r="P63" s="576"/>
      <c r="Q63" s="589"/>
      <c r="R63" s="121"/>
      <c r="S63" s="579">
        <v>0</v>
      </c>
      <c r="T63" s="580">
        <f t="shared" si="6"/>
        <v>0</v>
      </c>
      <c r="U63" s="51"/>
      <c r="V63" s="2119">
        <f t="shared" si="8"/>
        <v>0</v>
      </c>
      <c r="W63" s="43"/>
      <c r="X63" s="43"/>
      <c r="Y63" s="43"/>
      <c r="Z63" s="43"/>
    </row>
    <row r="64" spans="1:26" ht="15.75" customHeight="1">
      <c r="A64" s="88">
        <v>1993</v>
      </c>
      <c r="B64" s="378" t="s">
        <v>857</v>
      </c>
      <c r="C64" s="1039"/>
      <c r="D64" s="1039"/>
      <c r="E64" s="1039"/>
      <c r="F64" s="1039"/>
      <c r="G64" s="1039"/>
      <c r="H64" s="1039"/>
      <c r="I64" s="1039"/>
      <c r="J64" s="1039"/>
      <c r="K64" s="1039"/>
      <c r="L64" s="574"/>
      <c r="M64" s="51"/>
      <c r="N64" s="113">
        <f t="shared" si="7"/>
        <v>1993</v>
      </c>
      <c r="O64" s="575">
        <v>0</v>
      </c>
      <c r="P64" s="576"/>
      <c r="Q64" s="589"/>
      <c r="R64" s="121"/>
      <c r="S64" s="579">
        <v>0</v>
      </c>
      <c r="T64" s="580">
        <f t="shared" si="6"/>
        <v>0</v>
      </c>
      <c r="U64" s="51"/>
      <c r="V64" s="2119">
        <f t="shared" si="8"/>
        <v>0</v>
      </c>
      <c r="W64" s="43"/>
      <c r="X64" s="43"/>
      <c r="Y64" s="43"/>
      <c r="Z64" s="43"/>
    </row>
    <row r="65" spans="1:26" ht="15.75" customHeight="1">
      <c r="A65" s="88">
        <v>1994</v>
      </c>
      <c r="B65" s="378" t="s">
        <v>858</v>
      </c>
      <c r="C65" s="1039"/>
      <c r="D65" s="1039"/>
      <c r="E65" s="1039"/>
      <c r="F65" s="1039"/>
      <c r="G65" s="1039"/>
      <c r="H65" s="1039"/>
      <c r="I65" s="1039"/>
      <c r="J65" s="1039"/>
      <c r="K65" s="1039"/>
      <c r="L65" s="574"/>
      <c r="M65" s="51"/>
      <c r="N65" s="113">
        <f t="shared" si="7"/>
        <v>1994</v>
      </c>
      <c r="O65" s="575">
        <v>0</v>
      </c>
      <c r="P65" s="576"/>
      <c r="Q65" s="589"/>
      <c r="R65" s="121"/>
      <c r="S65" s="579">
        <v>0</v>
      </c>
      <c r="T65" s="580">
        <f t="shared" si="6"/>
        <v>0</v>
      </c>
      <c r="U65" s="51"/>
      <c r="V65" s="2119">
        <f t="shared" si="8"/>
        <v>0</v>
      </c>
      <c r="W65" s="43"/>
      <c r="X65" s="43"/>
      <c r="Y65" s="43"/>
      <c r="Z65" s="43"/>
    </row>
    <row r="66" spans="1:26">
      <c r="A66" s="88">
        <v>1995</v>
      </c>
      <c r="B66" s="378" t="s">
        <v>859</v>
      </c>
      <c r="C66" s="1039"/>
      <c r="D66" s="1039"/>
      <c r="E66" s="1039"/>
      <c r="F66" s="1039"/>
      <c r="G66" s="1039"/>
      <c r="H66" s="1039"/>
      <c r="I66" s="1039"/>
      <c r="J66" s="1039"/>
      <c r="K66" s="1039"/>
      <c r="L66" s="574"/>
      <c r="M66" s="51"/>
      <c r="N66" s="113">
        <f t="shared" si="7"/>
        <v>1995</v>
      </c>
      <c r="O66" s="575">
        <v>0</v>
      </c>
      <c r="P66" s="576"/>
      <c r="Q66" s="589"/>
      <c r="R66" s="121"/>
      <c r="S66" s="579">
        <v>0</v>
      </c>
      <c r="T66" s="580">
        <f t="shared" si="6"/>
        <v>0</v>
      </c>
      <c r="U66" s="51"/>
      <c r="V66" s="2119">
        <f t="shared" si="8"/>
        <v>0</v>
      </c>
      <c r="W66" s="43"/>
      <c r="X66" s="43"/>
      <c r="Y66" s="43"/>
      <c r="Z66" s="43"/>
    </row>
    <row r="67" spans="1:26">
      <c r="A67" s="88">
        <v>1996</v>
      </c>
      <c r="B67" s="378" t="s">
        <v>972</v>
      </c>
      <c r="C67" s="1039"/>
      <c r="D67" s="1039"/>
      <c r="E67" s="1039"/>
      <c r="F67" s="1039"/>
      <c r="G67" s="1039"/>
      <c r="H67" s="1039"/>
      <c r="I67" s="1039"/>
      <c r="J67" s="1039"/>
      <c r="K67" s="1039"/>
      <c r="L67" s="574"/>
      <c r="M67" s="51"/>
      <c r="N67" s="113">
        <f t="shared" si="7"/>
        <v>1996</v>
      </c>
      <c r="O67" s="575">
        <v>0</v>
      </c>
      <c r="P67" s="576"/>
      <c r="Q67" s="589"/>
      <c r="R67" s="121"/>
      <c r="S67" s="579">
        <v>0</v>
      </c>
      <c r="T67" s="580">
        <f t="shared" si="6"/>
        <v>0</v>
      </c>
      <c r="U67" s="51"/>
      <c r="V67" s="2119">
        <f t="shared" si="8"/>
        <v>0</v>
      </c>
      <c r="W67" s="43"/>
      <c r="X67" s="43"/>
      <c r="Y67" s="43"/>
      <c r="Z67" s="43"/>
    </row>
    <row r="68" spans="1:26">
      <c r="A68" s="88">
        <v>1997</v>
      </c>
      <c r="B68" s="378" t="s">
        <v>224</v>
      </c>
      <c r="C68" s="1033"/>
      <c r="D68" s="1033"/>
      <c r="E68" s="1033"/>
      <c r="F68" s="1033"/>
      <c r="G68" s="1033"/>
      <c r="H68" s="1033"/>
      <c r="I68" s="1033"/>
      <c r="J68" s="1033"/>
      <c r="K68" s="1033"/>
      <c r="L68" s="90"/>
      <c r="M68" s="51"/>
      <c r="N68" s="113">
        <f t="shared" si="7"/>
        <v>1997</v>
      </c>
      <c r="O68" s="575">
        <v>0</v>
      </c>
      <c r="P68" s="576"/>
      <c r="Q68" s="122"/>
      <c r="R68" s="121"/>
      <c r="S68" s="579">
        <v>0</v>
      </c>
      <c r="T68" s="580">
        <f t="shared" si="6"/>
        <v>0</v>
      </c>
      <c r="U68" s="51"/>
      <c r="V68" s="2119">
        <f t="shared" si="8"/>
        <v>0</v>
      </c>
      <c r="W68" s="43"/>
      <c r="X68" s="43"/>
      <c r="Y68" s="43"/>
      <c r="Z68" s="43"/>
    </row>
    <row r="69" spans="1:26">
      <c r="A69" s="88">
        <v>1998</v>
      </c>
      <c r="B69" s="378" t="s">
        <v>225</v>
      </c>
      <c r="C69" s="101"/>
      <c r="D69" s="101"/>
      <c r="E69" s="101"/>
      <c r="F69" s="101"/>
      <c r="G69" s="101"/>
      <c r="H69" s="101"/>
      <c r="I69" s="101"/>
      <c r="J69" s="101"/>
      <c r="K69" s="101"/>
      <c r="L69" s="102"/>
      <c r="M69" s="51"/>
      <c r="N69" s="116">
        <f t="shared" si="7"/>
        <v>1998</v>
      </c>
      <c r="O69" s="856">
        <v>0</v>
      </c>
      <c r="P69" s="597"/>
      <c r="Q69" s="126"/>
      <c r="R69" s="121"/>
      <c r="S69" s="382">
        <v>0</v>
      </c>
      <c r="T69" s="57">
        <f t="shared" si="6"/>
        <v>0</v>
      </c>
      <c r="U69" s="51"/>
      <c r="V69" s="2119">
        <f t="shared" si="8"/>
        <v>0</v>
      </c>
      <c r="W69" s="43"/>
      <c r="X69" s="43"/>
      <c r="Y69" s="43"/>
      <c r="Z69" s="43"/>
    </row>
    <row r="70" spans="1:26">
      <c r="A70" s="379" t="s">
        <v>811</v>
      </c>
      <c r="B70" s="380"/>
      <c r="C70" s="380"/>
      <c r="D70" s="380"/>
      <c r="E70" s="380"/>
      <c r="F70" s="380"/>
      <c r="G70" s="380"/>
      <c r="H70" s="380"/>
      <c r="I70" s="380"/>
      <c r="J70" s="380"/>
      <c r="K70" s="380"/>
      <c r="L70" s="381"/>
      <c r="M70" s="51"/>
      <c r="N70" s="383">
        <v>2</v>
      </c>
      <c r="O70" s="384"/>
      <c r="P70" s="385"/>
      <c r="Q70" s="386"/>
      <c r="R70" s="385"/>
      <c r="S70" s="386"/>
      <c r="T70" s="387"/>
      <c r="U70" s="51"/>
      <c r="V70" s="2119"/>
      <c r="W70" s="43"/>
      <c r="X70" s="43"/>
      <c r="Y70" s="43"/>
      <c r="Z70" s="43"/>
    </row>
    <row r="71" spans="1:26">
      <c r="A71" s="85">
        <v>2010</v>
      </c>
      <c r="B71" s="86" t="s">
        <v>973</v>
      </c>
      <c r="C71" s="86"/>
      <c r="D71" s="86"/>
      <c r="E71" s="86"/>
      <c r="F71" s="86"/>
      <c r="G71" s="86"/>
      <c r="H71" s="86"/>
      <c r="I71" s="86"/>
      <c r="J71" s="86"/>
      <c r="K71" s="86"/>
      <c r="L71" s="87"/>
      <c r="M71" s="51"/>
      <c r="N71" s="112">
        <f t="shared" ref="N71:N101" si="9">+A71</f>
        <v>2010</v>
      </c>
      <c r="O71" s="835"/>
      <c r="P71" s="836">
        <v>0</v>
      </c>
      <c r="Q71" s="577"/>
      <c r="R71" s="324"/>
      <c r="S71" s="837">
        <f t="shared" ref="S71:S89" si="10">+IF(ABS(+O71+Q71)&gt;=ABS(P71+R71),+O71-P71+Q71-R71,0)</f>
        <v>0</v>
      </c>
      <c r="T71" s="2168">
        <v>0</v>
      </c>
      <c r="U71" s="51"/>
      <c r="V71" s="2120">
        <f t="shared" ref="V71:V89" si="11">+IF(OR(ROUND(P71,2)+ROUND(R71,2)&gt;+ROUND(O71,2)+ROUND(Q71,2),+ABS(ROUND(P71,2)+ROUND(R71,2))&gt;+ABS(ROUND(O71,2)+ROUND(Q71,2))),+(ROUND(P71,2)+ROUND(R71,2))-(ROUND(O71,2)+ROUND(Q71,2)),0)</f>
        <v>0</v>
      </c>
      <c r="W71" s="43"/>
      <c r="X71" s="43"/>
      <c r="Y71" s="43"/>
      <c r="Z71" s="43"/>
    </row>
    <row r="72" spans="1:26">
      <c r="A72" s="88">
        <v>2020</v>
      </c>
      <c r="B72" s="86" t="s">
        <v>812</v>
      </c>
      <c r="C72" s="86"/>
      <c r="D72" s="86"/>
      <c r="E72" s="86"/>
      <c r="F72" s="86"/>
      <c r="G72" s="86"/>
      <c r="H72" s="86"/>
      <c r="I72" s="86"/>
      <c r="J72" s="86"/>
      <c r="K72" s="86"/>
      <c r="L72" s="90"/>
      <c r="M72" s="51"/>
      <c r="N72" s="112">
        <f t="shared" si="9"/>
        <v>2020</v>
      </c>
      <c r="O72" s="835"/>
      <c r="P72" s="836">
        <v>0</v>
      </c>
      <c r="Q72" s="577"/>
      <c r="R72" s="324"/>
      <c r="S72" s="837">
        <f t="shared" si="10"/>
        <v>0</v>
      </c>
      <c r="T72" s="2168">
        <v>0</v>
      </c>
      <c r="U72" s="51"/>
      <c r="V72" s="2120">
        <f t="shared" si="11"/>
        <v>0</v>
      </c>
      <c r="W72" s="43"/>
      <c r="X72" s="43"/>
      <c r="Y72" s="43"/>
      <c r="Z72" s="43"/>
    </row>
    <row r="73" spans="1:26">
      <c r="A73" s="88">
        <v>2031</v>
      </c>
      <c r="B73" s="86" t="s">
        <v>548</v>
      </c>
      <c r="C73" s="1033"/>
      <c r="D73" s="1033"/>
      <c r="E73" s="1033"/>
      <c r="F73" s="1033"/>
      <c r="G73" s="1033"/>
      <c r="H73" s="1033"/>
      <c r="I73" s="1033"/>
      <c r="J73" s="1033"/>
      <c r="K73" s="1033"/>
      <c r="L73" s="90"/>
      <c r="M73" s="51"/>
      <c r="N73" s="113">
        <f t="shared" si="9"/>
        <v>2031</v>
      </c>
      <c r="O73" s="581">
        <v>0</v>
      </c>
      <c r="P73" s="582">
        <v>0</v>
      </c>
      <c r="Q73" s="589">
        <v>0</v>
      </c>
      <c r="R73" s="121">
        <v>0</v>
      </c>
      <c r="S73" s="583">
        <f t="shared" si="10"/>
        <v>0</v>
      </c>
      <c r="T73" s="584">
        <v>0</v>
      </c>
      <c r="U73" s="51"/>
      <c r="V73" s="2120">
        <f t="shared" si="11"/>
        <v>0</v>
      </c>
      <c r="W73" s="43"/>
      <c r="X73" s="43"/>
      <c r="Y73" s="43"/>
      <c r="Z73" s="43"/>
    </row>
    <row r="74" spans="1:26">
      <c r="A74" s="88">
        <v>2032</v>
      </c>
      <c r="B74" s="86" t="s">
        <v>974</v>
      </c>
      <c r="C74" s="1033"/>
      <c r="D74" s="1033"/>
      <c r="E74" s="1033"/>
      <c r="F74" s="1033"/>
      <c r="G74" s="1033"/>
      <c r="H74" s="1033"/>
      <c r="I74" s="1033"/>
      <c r="J74" s="1033"/>
      <c r="K74" s="1033"/>
      <c r="L74" s="90"/>
      <c r="M74" s="51"/>
      <c r="N74" s="113">
        <f t="shared" si="9"/>
        <v>2032</v>
      </c>
      <c r="O74" s="581"/>
      <c r="P74" s="582">
        <v>0</v>
      </c>
      <c r="Q74" s="589"/>
      <c r="R74" s="121"/>
      <c r="S74" s="583">
        <f t="shared" si="10"/>
        <v>0</v>
      </c>
      <c r="T74" s="584">
        <v>0</v>
      </c>
      <c r="U74" s="51"/>
      <c r="V74" s="2120">
        <f t="shared" si="11"/>
        <v>0</v>
      </c>
      <c r="W74" s="43"/>
      <c r="X74" s="43"/>
      <c r="Y74" s="43"/>
      <c r="Z74" s="43"/>
    </row>
    <row r="75" spans="1:26">
      <c r="A75" s="88">
        <v>2038</v>
      </c>
      <c r="B75" s="86" t="s">
        <v>358</v>
      </c>
      <c r="C75" s="1033"/>
      <c r="D75" s="1033"/>
      <c r="E75" s="1033"/>
      <c r="F75" s="1033"/>
      <c r="G75" s="1033"/>
      <c r="H75" s="1033"/>
      <c r="I75" s="1033"/>
      <c r="J75" s="1033"/>
      <c r="K75" s="1033"/>
      <c r="L75" s="90"/>
      <c r="M75" s="51"/>
      <c r="N75" s="113">
        <f t="shared" si="9"/>
        <v>2038</v>
      </c>
      <c r="O75" s="581"/>
      <c r="P75" s="582">
        <v>0</v>
      </c>
      <c r="Q75" s="589"/>
      <c r="R75" s="121"/>
      <c r="S75" s="583">
        <f t="shared" si="10"/>
        <v>0</v>
      </c>
      <c r="T75" s="584">
        <v>0</v>
      </c>
      <c r="U75" s="51"/>
      <c r="V75" s="2120">
        <f t="shared" si="11"/>
        <v>0</v>
      </c>
      <c r="W75" s="43"/>
      <c r="X75" s="43"/>
      <c r="Y75" s="43"/>
      <c r="Z75" s="43"/>
    </row>
    <row r="76" spans="1:26">
      <c r="A76" s="88">
        <v>2039</v>
      </c>
      <c r="B76" s="86" t="s">
        <v>549</v>
      </c>
      <c r="C76" s="1033"/>
      <c r="D76" s="1033"/>
      <c r="E76" s="1033"/>
      <c r="F76" s="1033"/>
      <c r="G76" s="1033"/>
      <c r="H76" s="1033"/>
      <c r="I76" s="1033"/>
      <c r="J76" s="1033"/>
      <c r="K76" s="1033"/>
      <c r="L76" s="90"/>
      <c r="M76" s="51"/>
      <c r="N76" s="113">
        <f t="shared" si="9"/>
        <v>2039</v>
      </c>
      <c r="O76" s="581"/>
      <c r="P76" s="582">
        <v>0</v>
      </c>
      <c r="Q76" s="589"/>
      <c r="R76" s="121"/>
      <c r="S76" s="583">
        <f t="shared" si="10"/>
        <v>0</v>
      </c>
      <c r="T76" s="584">
        <v>0</v>
      </c>
      <c r="U76" s="51"/>
      <c r="V76" s="2120">
        <f t="shared" si="11"/>
        <v>0</v>
      </c>
      <c r="W76" s="43"/>
      <c r="X76" s="43"/>
      <c r="Y76" s="43"/>
      <c r="Z76" s="43"/>
    </row>
    <row r="77" spans="1:26">
      <c r="A77" s="88">
        <v>2041</v>
      </c>
      <c r="B77" s="86" t="s">
        <v>550</v>
      </c>
      <c r="C77" s="1033"/>
      <c r="D77" s="1033"/>
      <c r="E77" s="1033"/>
      <c r="F77" s="1033"/>
      <c r="G77" s="1033"/>
      <c r="H77" s="1033"/>
      <c r="I77" s="1033"/>
      <c r="J77" s="1033"/>
      <c r="K77" s="1033"/>
      <c r="L77" s="90"/>
      <c r="M77" s="51"/>
      <c r="N77" s="113">
        <f t="shared" si="9"/>
        <v>2041</v>
      </c>
      <c r="O77" s="581">
        <v>0</v>
      </c>
      <c r="P77" s="582">
        <v>0</v>
      </c>
      <c r="Q77" s="589">
        <v>0</v>
      </c>
      <c r="R77" s="121">
        <v>0</v>
      </c>
      <c r="S77" s="583">
        <f t="shared" si="10"/>
        <v>0</v>
      </c>
      <c r="T77" s="584">
        <v>0</v>
      </c>
      <c r="U77" s="51"/>
      <c r="V77" s="2120">
        <f t="shared" si="11"/>
        <v>0</v>
      </c>
      <c r="W77" s="43"/>
      <c r="X77" s="43"/>
      <c r="Y77" s="43"/>
      <c r="Z77" s="43"/>
    </row>
    <row r="78" spans="1:26">
      <c r="A78" s="88">
        <v>2049</v>
      </c>
      <c r="B78" s="86" t="s">
        <v>551</v>
      </c>
      <c r="C78" s="1033"/>
      <c r="D78" s="1033"/>
      <c r="E78" s="1033"/>
      <c r="F78" s="1033"/>
      <c r="G78" s="1033"/>
      <c r="H78" s="1033"/>
      <c r="I78" s="1033"/>
      <c r="J78" s="1033"/>
      <c r="K78" s="1033"/>
      <c r="L78" s="90"/>
      <c r="M78" s="51"/>
      <c r="N78" s="113">
        <f t="shared" si="9"/>
        <v>2049</v>
      </c>
      <c r="O78" s="581">
        <v>0</v>
      </c>
      <c r="P78" s="582">
        <v>0</v>
      </c>
      <c r="Q78" s="589">
        <v>0</v>
      </c>
      <c r="R78" s="121">
        <v>0</v>
      </c>
      <c r="S78" s="583">
        <f t="shared" si="10"/>
        <v>0</v>
      </c>
      <c r="T78" s="584">
        <v>0</v>
      </c>
      <c r="U78" s="51"/>
      <c r="V78" s="2120">
        <f t="shared" si="11"/>
        <v>0</v>
      </c>
      <c r="W78" s="43"/>
      <c r="X78" s="43"/>
      <c r="Y78" s="43"/>
      <c r="Z78" s="43"/>
    </row>
    <row r="79" spans="1:26">
      <c r="A79" s="88">
        <v>2051</v>
      </c>
      <c r="B79" s="86" t="s">
        <v>552</v>
      </c>
      <c r="C79" s="1033"/>
      <c r="D79" s="1033"/>
      <c r="E79" s="1033"/>
      <c r="F79" s="1033"/>
      <c r="G79" s="1033"/>
      <c r="H79" s="1033"/>
      <c r="I79" s="1033"/>
      <c r="J79" s="1033"/>
      <c r="K79" s="1033"/>
      <c r="L79" s="90"/>
      <c r="M79" s="51"/>
      <c r="N79" s="113">
        <f t="shared" si="9"/>
        <v>2051</v>
      </c>
      <c r="O79" s="581"/>
      <c r="P79" s="582">
        <v>0</v>
      </c>
      <c r="Q79" s="589"/>
      <c r="R79" s="121"/>
      <c r="S79" s="583">
        <f t="shared" si="10"/>
        <v>0</v>
      </c>
      <c r="T79" s="584">
        <v>0</v>
      </c>
      <c r="U79" s="51"/>
      <c r="V79" s="2120">
        <f t="shared" si="11"/>
        <v>0</v>
      </c>
      <c r="W79" s="43"/>
      <c r="X79" s="43"/>
      <c r="Y79" s="43"/>
      <c r="Z79" s="43"/>
    </row>
    <row r="80" spans="1:26">
      <c r="A80" s="88">
        <v>2059</v>
      </c>
      <c r="B80" s="86" t="s">
        <v>553</v>
      </c>
      <c r="C80" s="1033"/>
      <c r="D80" s="1033"/>
      <c r="E80" s="1033"/>
      <c r="F80" s="1033"/>
      <c r="G80" s="1033"/>
      <c r="H80" s="1033"/>
      <c r="I80" s="1033"/>
      <c r="J80" s="1033"/>
      <c r="K80" s="1033"/>
      <c r="L80" s="90"/>
      <c r="M80" s="51"/>
      <c r="N80" s="113">
        <f t="shared" si="9"/>
        <v>2059</v>
      </c>
      <c r="O80" s="581">
        <v>0</v>
      </c>
      <c r="P80" s="582">
        <v>0</v>
      </c>
      <c r="Q80" s="589">
        <v>0</v>
      </c>
      <c r="R80" s="121">
        <v>0</v>
      </c>
      <c r="S80" s="583">
        <f t="shared" si="10"/>
        <v>0</v>
      </c>
      <c r="T80" s="584">
        <v>0</v>
      </c>
      <c r="U80" s="51"/>
      <c r="V80" s="2120">
        <f t="shared" si="11"/>
        <v>0</v>
      </c>
      <c r="W80" s="43"/>
      <c r="X80" s="43"/>
      <c r="Y80" s="43"/>
      <c r="Z80" s="43"/>
    </row>
    <row r="81" spans="1:26">
      <c r="A81" s="88">
        <v>2060</v>
      </c>
      <c r="B81" s="86" t="s">
        <v>554</v>
      </c>
      <c r="C81" s="1033"/>
      <c r="D81" s="1033"/>
      <c r="E81" s="1033"/>
      <c r="F81" s="1033"/>
      <c r="G81" s="1033"/>
      <c r="H81" s="1033"/>
      <c r="I81" s="1033"/>
      <c r="J81" s="1033"/>
      <c r="K81" s="1033"/>
      <c r="L81" s="90"/>
      <c r="M81" s="51"/>
      <c r="N81" s="113">
        <f t="shared" si="9"/>
        <v>2060</v>
      </c>
      <c r="O81" s="581">
        <v>0</v>
      </c>
      <c r="P81" s="582">
        <v>0</v>
      </c>
      <c r="Q81" s="589">
        <v>0</v>
      </c>
      <c r="R81" s="121">
        <v>0</v>
      </c>
      <c r="S81" s="583">
        <f t="shared" si="10"/>
        <v>0</v>
      </c>
      <c r="T81" s="584">
        <v>0</v>
      </c>
      <c r="U81" s="51"/>
      <c r="V81" s="2120">
        <f t="shared" si="11"/>
        <v>0</v>
      </c>
      <c r="W81" s="43"/>
      <c r="X81" s="43"/>
      <c r="Y81" s="43"/>
      <c r="Z81" s="43"/>
    </row>
    <row r="82" spans="1:26">
      <c r="A82" s="88">
        <v>2071</v>
      </c>
      <c r="B82" s="86" t="s">
        <v>43</v>
      </c>
      <c r="C82" s="1033"/>
      <c r="D82" s="1033"/>
      <c r="E82" s="1033"/>
      <c r="F82" s="1033"/>
      <c r="G82" s="1033"/>
      <c r="H82" s="1033"/>
      <c r="I82" s="1033"/>
      <c r="J82" s="1033"/>
      <c r="K82" s="1033"/>
      <c r="L82" s="90"/>
      <c r="M82" s="51"/>
      <c r="N82" s="113">
        <f t="shared" si="9"/>
        <v>2071</v>
      </c>
      <c r="O82" s="581">
        <v>0</v>
      </c>
      <c r="P82" s="582">
        <v>0</v>
      </c>
      <c r="Q82" s="589">
        <v>0</v>
      </c>
      <c r="R82" s="121">
        <v>0</v>
      </c>
      <c r="S82" s="583">
        <f t="shared" si="10"/>
        <v>0</v>
      </c>
      <c r="T82" s="584">
        <v>0</v>
      </c>
      <c r="U82" s="51"/>
      <c r="V82" s="2120">
        <f t="shared" si="11"/>
        <v>0</v>
      </c>
      <c r="W82" s="43"/>
      <c r="X82" s="43"/>
      <c r="Y82" s="43"/>
      <c r="Z82" s="43"/>
    </row>
    <row r="83" spans="1:26">
      <c r="A83" s="88">
        <v>2079</v>
      </c>
      <c r="B83" s="86" t="s">
        <v>555</v>
      </c>
      <c r="C83" s="1033"/>
      <c r="D83" s="1033"/>
      <c r="E83" s="1033"/>
      <c r="F83" s="1033"/>
      <c r="G83" s="1033"/>
      <c r="H83" s="1033"/>
      <c r="I83" s="1033"/>
      <c r="J83" s="1033"/>
      <c r="K83" s="1033"/>
      <c r="L83" s="90"/>
      <c r="M83" s="51"/>
      <c r="N83" s="113">
        <f t="shared" si="9"/>
        <v>2079</v>
      </c>
      <c r="O83" s="581">
        <v>0</v>
      </c>
      <c r="P83" s="582">
        <v>0</v>
      </c>
      <c r="Q83" s="589">
        <v>0</v>
      </c>
      <c r="R83" s="121">
        <v>0</v>
      </c>
      <c r="S83" s="583">
        <f t="shared" si="10"/>
        <v>0</v>
      </c>
      <c r="T83" s="584">
        <v>0</v>
      </c>
      <c r="U83" s="51"/>
      <c r="V83" s="2120">
        <f t="shared" si="11"/>
        <v>0</v>
      </c>
      <c r="W83" s="43"/>
      <c r="X83" s="43"/>
      <c r="Y83" s="43"/>
      <c r="Z83" s="43"/>
    </row>
    <row r="84" spans="1:26">
      <c r="A84" s="88">
        <v>2091</v>
      </c>
      <c r="B84" s="86" t="s">
        <v>359</v>
      </c>
      <c r="C84" s="1033"/>
      <c r="D84" s="1033"/>
      <c r="E84" s="1033"/>
      <c r="F84" s="1033"/>
      <c r="G84" s="1033"/>
      <c r="H84" s="1033"/>
      <c r="I84" s="1033"/>
      <c r="J84" s="1033"/>
      <c r="K84" s="1033"/>
      <c r="L84" s="90"/>
      <c r="M84" s="51"/>
      <c r="N84" s="113">
        <f t="shared" si="9"/>
        <v>2091</v>
      </c>
      <c r="O84" s="581"/>
      <c r="P84" s="582">
        <v>0</v>
      </c>
      <c r="Q84" s="589"/>
      <c r="R84" s="121"/>
      <c r="S84" s="583">
        <f t="shared" si="10"/>
        <v>0</v>
      </c>
      <c r="T84" s="584">
        <v>0</v>
      </c>
      <c r="U84" s="51"/>
      <c r="V84" s="2120">
        <f t="shared" si="11"/>
        <v>0</v>
      </c>
      <c r="W84" s="43"/>
      <c r="X84" s="43"/>
      <c r="Y84" s="43"/>
      <c r="Z84" s="43"/>
    </row>
    <row r="85" spans="1:26">
      <c r="A85" s="88">
        <v>2099</v>
      </c>
      <c r="B85" s="86" t="s">
        <v>556</v>
      </c>
      <c r="C85" s="1033"/>
      <c r="D85" s="1033"/>
      <c r="E85" s="1033"/>
      <c r="F85" s="1033"/>
      <c r="G85" s="1033"/>
      <c r="H85" s="1033"/>
      <c r="I85" s="1033"/>
      <c r="J85" s="1033"/>
      <c r="K85" s="1033"/>
      <c r="L85" s="90"/>
      <c r="M85" s="51"/>
      <c r="N85" s="113">
        <f t="shared" si="9"/>
        <v>2099</v>
      </c>
      <c r="O85" s="581">
        <v>0</v>
      </c>
      <c r="P85" s="582">
        <v>0</v>
      </c>
      <c r="Q85" s="589">
        <v>0</v>
      </c>
      <c r="R85" s="121">
        <v>0</v>
      </c>
      <c r="S85" s="583">
        <f t="shared" si="10"/>
        <v>0</v>
      </c>
      <c r="T85" s="584">
        <v>0</v>
      </c>
      <c r="U85" s="51"/>
      <c r="V85" s="2120">
        <f t="shared" si="11"/>
        <v>0</v>
      </c>
      <c r="W85" s="43"/>
      <c r="X85" s="43"/>
      <c r="Y85" s="43"/>
      <c r="Z85" s="43"/>
    </row>
    <row r="86" spans="1:26">
      <c r="A86" s="88">
        <v>2101</v>
      </c>
      <c r="B86" s="86" t="s">
        <v>360</v>
      </c>
      <c r="C86" s="1033"/>
      <c r="D86" s="1033"/>
      <c r="E86" s="1033"/>
      <c r="F86" s="1033"/>
      <c r="G86" s="1033"/>
      <c r="H86" s="1033"/>
      <c r="I86" s="1033"/>
      <c r="J86" s="1033"/>
      <c r="K86" s="1033"/>
      <c r="L86" s="90"/>
      <c r="M86" s="51"/>
      <c r="N86" s="113">
        <f t="shared" si="9"/>
        <v>2101</v>
      </c>
      <c r="O86" s="581">
        <v>0</v>
      </c>
      <c r="P86" s="582">
        <v>0</v>
      </c>
      <c r="Q86" s="589">
        <v>0</v>
      </c>
      <c r="R86" s="121">
        <v>0</v>
      </c>
      <c r="S86" s="583">
        <f t="shared" si="10"/>
        <v>0</v>
      </c>
      <c r="T86" s="584">
        <v>0</v>
      </c>
      <c r="U86" s="51"/>
      <c r="V86" s="2120">
        <f t="shared" si="11"/>
        <v>0</v>
      </c>
      <c r="W86" s="43"/>
      <c r="X86" s="43"/>
      <c r="Y86" s="43"/>
      <c r="Z86" s="43"/>
    </row>
    <row r="87" spans="1:26">
      <c r="A87" s="88">
        <v>2102</v>
      </c>
      <c r="B87" s="86" t="s">
        <v>557</v>
      </c>
      <c r="C87" s="1033"/>
      <c r="D87" s="1033"/>
      <c r="E87" s="1033"/>
      <c r="F87" s="1033"/>
      <c r="G87" s="1033"/>
      <c r="H87" s="1033"/>
      <c r="I87" s="1033"/>
      <c r="J87" s="1033"/>
      <c r="K87" s="1033"/>
      <c r="L87" s="90"/>
      <c r="M87" s="51"/>
      <c r="N87" s="113">
        <f t="shared" si="9"/>
        <v>2102</v>
      </c>
      <c r="O87" s="581">
        <v>0</v>
      </c>
      <c r="P87" s="582">
        <v>0</v>
      </c>
      <c r="Q87" s="589">
        <v>0</v>
      </c>
      <c r="R87" s="121">
        <v>0</v>
      </c>
      <c r="S87" s="583">
        <f t="shared" si="10"/>
        <v>0</v>
      </c>
      <c r="T87" s="584">
        <v>0</v>
      </c>
      <c r="U87" s="51"/>
      <c r="V87" s="2120">
        <f t="shared" si="11"/>
        <v>0</v>
      </c>
      <c r="W87" s="43"/>
      <c r="X87" s="43"/>
      <c r="Y87" s="43"/>
      <c r="Z87" s="43"/>
    </row>
    <row r="88" spans="1:26">
      <c r="A88" s="88">
        <v>2107</v>
      </c>
      <c r="B88" s="86" t="s">
        <v>361</v>
      </c>
      <c r="C88" s="1033"/>
      <c r="D88" s="1033"/>
      <c r="E88" s="1033"/>
      <c r="F88" s="1033"/>
      <c r="G88" s="1033"/>
      <c r="H88" s="1033"/>
      <c r="I88" s="1033"/>
      <c r="J88" s="1033"/>
      <c r="K88" s="1033"/>
      <c r="L88" s="90"/>
      <c r="M88" s="51"/>
      <c r="N88" s="113">
        <f t="shared" si="9"/>
        <v>2107</v>
      </c>
      <c r="O88" s="581"/>
      <c r="P88" s="582">
        <v>0</v>
      </c>
      <c r="Q88" s="589"/>
      <c r="R88" s="121"/>
      <c r="S88" s="583">
        <f t="shared" si="10"/>
        <v>0</v>
      </c>
      <c r="T88" s="584">
        <v>0</v>
      </c>
      <c r="U88" s="51"/>
      <c r="V88" s="2120">
        <f t="shared" si="11"/>
        <v>0</v>
      </c>
      <c r="W88" s="43"/>
      <c r="X88" s="43"/>
      <c r="Y88" s="43"/>
      <c r="Z88" s="43"/>
    </row>
    <row r="89" spans="1:26">
      <c r="A89" s="88">
        <v>2109</v>
      </c>
      <c r="B89" s="86" t="s">
        <v>558</v>
      </c>
      <c r="C89" s="1033"/>
      <c r="D89" s="1033"/>
      <c r="E89" s="1033"/>
      <c r="F89" s="1033"/>
      <c r="G89" s="1033"/>
      <c r="H89" s="1033"/>
      <c r="I89" s="1033"/>
      <c r="J89" s="1033"/>
      <c r="K89" s="1033"/>
      <c r="L89" s="90"/>
      <c r="M89" s="51"/>
      <c r="N89" s="113">
        <f t="shared" si="9"/>
        <v>2109</v>
      </c>
      <c r="O89" s="581">
        <v>0</v>
      </c>
      <c r="P89" s="582">
        <v>0</v>
      </c>
      <c r="Q89" s="589">
        <v>0</v>
      </c>
      <c r="R89" s="121">
        <v>0</v>
      </c>
      <c r="S89" s="583">
        <f t="shared" si="10"/>
        <v>0</v>
      </c>
      <c r="T89" s="584">
        <v>0</v>
      </c>
      <c r="U89" s="51"/>
      <c r="V89" s="2120">
        <f t="shared" si="11"/>
        <v>0</v>
      </c>
      <c r="W89" s="43"/>
      <c r="X89" s="43"/>
      <c r="Y89" s="43"/>
      <c r="Z89" s="43"/>
    </row>
    <row r="90" spans="1:26">
      <c r="A90" s="88">
        <v>2201</v>
      </c>
      <c r="B90" s="86" t="s">
        <v>383</v>
      </c>
      <c r="C90" s="1033"/>
      <c r="D90" s="1033"/>
      <c r="E90" s="1033"/>
      <c r="F90" s="1033"/>
      <c r="G90" s="1033"/>
      <c r="H90" s="1033"/>
      <c r="I90" s="1033"/>
      <c r="J90" s="1033"/>
      <c r="K90" s="1033"/>
      <c r="L90" s="574"/>
      <c r="M90" s="51"/>
      <c r="N90" s="113">
        <f t="shared" si="9"/>
        <v>2201</v>
      </c>
      <c r="O90" s="575">
        <v>0</v>
      </c>
      <c r="P90" s="582">
        <v>0</v>
      </c>
      <c r="Q90" s="579">
        <v>0</v>
      </c>
      <c r="R90" s="582">
        <v>0</v>
      </c>
      <c r="S90" s="579">
        <v>0</v>
      </c>
      <c r="T90" s="584">
        <v>0</v>
      </c>
      <c r="U90" s="51"/>
      <c r="V90" s="2125">
        <f>+IF(OR(O90&lt;&gt;0,P90&lt;&gt;0,Q90&lt;&gt;0,R90&lt;&gt;0,S90&lt;&gt;0,T90&lt;&gt;0),+IF(ABS(O90+Q90)-ABS(P90+R90)&lt;&gt;0,ABS(O90+Q90)-ABS(P90+R90),1),0)</f>
        <v>0</v>
      </c>
      <c r="W90" s="43"/>
      <c r="X90" s="43"/>
      <c r="Y90" s="43"/>
      <c r="Z90" s="43"/>
    </row>
    <row r="91" spans="1:26">
      <c r="A91" s="88">
        <v>2202</v>
      </c>
      <c r="B91" s="86" t="s">
        <v>384</v>
      </c>
      <c r="C91" s="1033"/>
      <c r="D91" s="1033"/>
      <c r="E91" s="1033"/>
      <c r="F91" s="1033"/>
      <c r="G91" s="1033"/>
      <c r="H91" s="1033"/>
      <c r="I91" s="1033"/>
      <c r="J91" s="1033"/>
      <c r="K91" s="1033"/>
      <c r="L91" s="574"/>
      <c r="M91" s="51"/>
      <c r="N91" s="113">
        <f t="shared" si="9"/>
        <v>2202</v>
      </c>
      <c r="O91" s="575">
        <v>0</v>
      </c>
      <c r="P91" s="582">
        <v>0</v>
      </c>
      <c r="Q91" s="579">
        <v>0</v>
      </c>
      <c r="R91" s="582">
        <v>0</v>
      </c>
      <c r="S91" s="579">
        <v>0</v>
      </c>
      <c r="T91" s="584">
        <v>0</v>
      </c>
      <c r="U91" s="51"/>
      <c r="V91" s="2125">
        <f>+IF(OR(O91&lt;&gt;0,P91&lt;&gt;0,Q91&lt;&gt;0,R91&lt;&gt;0,S91&lt;&gt;0,T91&lt;&gt;0),+IF(ABS(O91+Q91)-ABS(P91+R91)&lt;&gt;0,ABS(O91+Q91)-ABS(P91+R91),1),0)</f>
        <v>0</v>
      </c>
      <c r="W91" s="43"/>
      <c r="X91" s="43"/>
      <c r="Y91" s="43"/>
      <c r="Z91" s="43"/>
    </row>
    <row r="92" spans="1:26">
      <c r="A92" s="88">
        <v>2203</v>
      </c>
      <c r="B92" s="86" t="s">
        <v>385</v>
      </c>
      <c r="C92" s="1033"/>
      <c r="D92" s="1033"/>
      <c r="E92" s="1033"/>
      <c r="F92" s="1033"/>
      <c r="G92" s="1033"/>
      <c r="H92" s="1033"/>
      <c r="I92" s="1033"/>
      <c r="J92" s="1033"/>
      <c r="K92" s="1033"/>
      <c r="L92" s="574"/>
      <c r="M92" s="51"/>
      <c r="N92" s="113">
        <f t="shared" si="9"/>
        <v>2203</v>
      </c>
      <c r="O92" s="575">
        <v>0</v>
      </c>
      <c r="P92" s="582">
        <v>0</v>
      </c>
      <c r="Q92" s="579">
        <v>0</v>
      </c>
      <c r="R92" s="582">
        <v>0</v>
      </c>
      <c r="S92" s="579">
        <v>0</v>
      </c>
      <c r="T92" s="584">
        <v>0</v>
      </c>
      <c r="U92" s="51"/>
      <c r="V92" s="2125">
        <f>+IF(OR(O92&lt;&gt;0,P92&lt;&gt;0,Q92&lt;&gt;0,R92&lt;&gt;0,S92&lt;&gt;0,T92&lt;&gt;0),+IF(ABS(O92+Q92)-ABS(P92+R92)&lt;&gt;0,ABS(O92+Q92)-ABS(P92+R92),1),0)</f>
        <v>0</v>
      </c>
      <c r="W92" s="43"/>
      <c r="X92" s="43"/>
      <c r="Y92" s="43"/>
      <c r="Z92" s="43"/>
    </row>
    <row r="93" spans="1:26">
      <c r="A93" s="88">
        <v>2204</v>
      </c>
      <c r="B93" s="86" t="s">
        <v>691</v>
      </c>
      <c r="C93" s="1033"/>
      <c r="D93" s="1033"/>
      <c r="E93" s="1033"/>
      <c r="F93" s="1033"/>
      <c r="G93" s="1033"/>
      <c r="H93" s="1033"/>
      <c r="I93" s="1033"/>
      <c r="J93" s="1033"/>
      <c r="K93" s="1033"/>
      <c r="L93" s="574"/>
      <c r="M93" s="51"/>
      <c r="N93" s="113">
        <f t="shared" si="9"/>
        <v>2204</v>
      </c>
      <c r="O93" s="575">
        <v>0</v>
      </c>
      <c r="P93" s="582">
        <v>0</v>
      </c>
      <c r="Q93" s="579">
        <v>0</v>
      </c>
      <c r="R93" s="582">
        <v>0</v>
      </c>
      <c r="S93" s="579">
        <v>0</v>
      </c>
      <c r="T93" s="584">
        <v>0</v>
      </c>
      <c r="U93" s="51"/>
      <c r="V93" s="2125">
        <f>+IF(OR(O93&lt;&gt;0,P93&lt;&gt;0,Q93&lt;&gt;0,R93&lt;&gt;0,S93&lt;&gt;0,T93&lt;&gt;0),+IF(ABS(O93+Q93)-ABS(P93+R93)&lt;&gt;0,ABS(O93+Q93)-ABS(P93+R93),1),0)</f>
        <v>0</v>
      </c>
      <c r="W93" s="43"/>
      <c r="X93" s="43"/>
      <c r="Y93" s="43"/>
      <c r="Z93" s="43"/>
    </row>
    <row r="94" spans="1:26">
      <c r="A94" s="591">
        <v>2412</v>
      </c>
      <c r="B94" s="1034" t="s">
        <v>975</v>
      </c>
      <c r="C94" s="1033"/>
      <c r="D94" s="1033"/>
      <c r="E94" s="1033"/>
      <c r="F94" s="1033"/>
      <c r="G94" s="1033"/>
      <c r="H94" s="1033"/>
      <c r="I94" s="1033"/>
      <c r="J94" s="1033"/>
      <c r="K94" s="1033"/>
      <c r="L94" s="574"/>
      <c r="M94" s="51"/>
      <c r="N94" s="1733">
        <f t="shared" si="9"/>
        <v>2412</v>
      </c>
      <c r="O94" s="575">
        <v>0</v>
      </c>
      <c r="P94" s="582">
        <v>0</v>
      </c>
      <c r="Q94" s="579">
        <v>0</v>
      </c>
      <c r="R94" s="582">
        <v>0</v>
      </c>
      <c r="S94" s="29">
        <v>0</v>
      </c>
      <c r="T94" s="28">
        <f t="shared" ref="T94:T101" si="12">+IF(ABS(+O94+Q94)&lt;=ABS(P94+R94),-O94+P94-Q94+R94,0)</f>
        <v>0</v>
      </c>
      <c r="U94" s="51"/>
      <c r="V94" s="2119">
        <f t="shared" ref="V94:V101" si="13">+IF(OR(+ROUND(O94,2)+ROUND(Q94,2)&gt;ROUND(P94,2)+ROUND(R94,2),+ABS(ROUND(O94,2)+ROUND(Q94,2))&gt;+ABS(ROUND(P94,2)+ROUND(R94,2))),+(ROUND(O94,2)+ROUND(Q94,2))-(ROUND(P94,2)+ROUND(R94,2)),0)</f>
        <v>0</v>
      </c>
      <c r="W94" s="43"/>
      <c r="X94" s="43"/>
      <c r="Y94" s="43"/>
      <c r="Z94" s="43"/>
    </row>
    <row r="95" spans="1:26">
      <c r="A95" s="591">
        <v>2413</v>
      </c>
      <c r="B95" s="1034" t="s">
        <v>976</v>
      </c>
      <c r="C95" s="1033"/>
      <c r="D95" s="1033"/>
      <c r="E95" s="1033"/>
      <c r="F95" s="1033"/>
      <c r="G95" s="1033"/>
      <c r="H95" s="1033"/>
      <c r="I95" s="1033"/>
      <c r="J95" s="1033"/>
      <c r="K95" s="1033"/>
      <c r="L95" s="574"/>
      <c r="M95" s="51"/>
      <c r="N95" s="1733">
        <f t="shared" si="9"/>
        <v>2413</v>
      </c>
      <c r="O95" s="575">
        <v>0</v>
      </c>
      <c r="P95" s="582">
        <v>0</v>
      </c>
      <c r="Q95" s="579">
        <v>0</v>
      </c>
      <c r="R95" s="582">
        <v>0</v>
      </c>
      <c r="S95" s="29">
        <v>0</v>
      </c>
      <c r="T95" s="28">
        <f t="shared" si="12"/>
        <v>0</v>
      </c>
      <c r="U95" s="51"/>
      <c r="V95" s="2119">
        <f t="shared" si="13"/>
        <v>0</v>
      </c>
      <c r="W95" s="43"/>
      <c r="X95" s="43"/>
      <c r="Y95" s="43"/>
      <c r="Z95" s="43"/>
    </row>
    <row r="96" spans="1:26">
      <c r="A96" s="591">
        <v>2414</v>
      </c>
      <c r="B96" s="1034" t="s">
        <v>977</v>
      </c>
      <c r="C96" s="1033"/>
      <c r="D96" s="1033"/>
      <c r="E96" s="1033"/>
      <c r="F96" s="1033"/>
      <c r="G96" s="1033"/>
      <c r="H96" s="1033"/>
      <c r="I96" s="1033"/>
      <c r="J96" s="1033"/>
      <c r="K96" s="1033"/>
      <c r="L96" s="574"/>
      <c r="M96" s="51"/>
      <c r="N96" s="1733">
        <f t="shared" si="9"/>
        <v>2414</v>
      </c>
      <c r="O96" s="575">
        <v>0</v>
      </c>
      <c r="P96" s="582">
        <v>0</v>
      </c>
      <c r="Q96" s="579">
        <v>0</v>
      </c>
      <c r="R96" s="582">
        <v>0</v>
      </c>
      <c r="S96" s="29">
        <v>0</v>
      </c>
      <c r="T96" s="28">
        <f t="shared" si="12"/>
        <v>0</v>
      </c>
      <c r="U96" s="51"/>
      <c r="V96" s="2119">
        <f t="shared" si="13"/>
        <v>0</v>
      </c>
      <c r="W96" s="43"/>
      <c r="X96" s="43"/>
      <c r="Y96" s="43"/>
      <c r="Z96" s="43"/>
    </row>
    <row r="97" spans="1:26">
      <c r="A97" s="591">
        <v>2415</v>
      </c>
      <c r="B97" s="1034" t="s">
        <v>355</v>
      </c>
      <c r="C97" s="1034"/>
      <c r="D97" s="1034"/>
      <c r="E97" s="1034"/>
      <c r="F97" s="1033"/>
      <c r="G97" s="1033"/>
      <c r="H97" s="1033"/>
      <c r="I97" s="1033"/>
      <c r="J97" s="1033"/>
      <c r="K97" s="1033"/>
      <c r="L97" s="574"/>
      <c r="M97" s="51"/>
      <c r="N97" s="1733">
        <f t="shared" si="9"/>
        <v>2415</v>
      </c>
      <c r="O97" s="575">
        <v>0</v>
      </c>
      <c r="P97" s="582">
        <v>0</v>
      </c>
      <c r="Q97" s="579">
        <v>0</v>
      </c>
      <c r="R97" s="582">
        <v>0</v>
      </c>
      <c r="S97" s="29">
        <v>0</v>
      </c>
      <c r="T97" s="28">
        <f t="shared" si="12"/>
        <v>0</v>
      </c>
      <c r="U97" s="51"/>
      <c r="V97" s="2119">
        <f t="shared" si="13"/>
        <v>0</v>
      </c>
      <c r="W97" s="43"/>
      <c r="X97" s="43"/>
      <c r="Y97" s="43"/>
      <c r="Z97" s="43"/>
    </row>
    <row r="98" spans="1:26">
      <c r="A98" s="591">
        <v>2416</v>
      </c>
      <c r="B98" s="1034" t="s">
        <v>356</v>
      </c>
      <c r="C98" s="1033"/>
      <c r="D98" s="1033"/>
      <c r="E98" s="1033"/>
      <c r="F98" s="1033"/>
      <c r="G98" s="1033"/>
      <c r="H98" s="1033"/>
      <c r="I98" s="1033"/>
      <c r="J98" s="1033"/>
      <c r="K98" s="1033"/>
      <c r="L98" s="574"/>
      <c r="M98" s="51"/>
      <c r="N98" s="1733">
        <f t="shared" si="9"/>
        <v>2416</v>
      </c>
      <c r="O98" s="575">
        <v>0</v>
      </c>
      <c r="P98" s="582">
        <v>0</v>
      </c>
      <c r="Q98" s="579">
        <v>0</v>
      </c>
      <c r="R98" s="582">
        <v>0</v>
      </c>
      <c r="S98" s="29">
        <v>0</v>
      </c>
      <c r="T98" s="28">
        <f t="shared" si="12"/>
        <v>0</v>
      </c>
      <c r="U98" s="51"/>
      <c r="V98" s="2119">
        <f t="shared" si="13"/>
        <v>0</v>
      </c>
      <c r="W98" s="43"/>
      <c r="X98" s="43"/>
      <c r="Y98" s="43"/>
      <c r="Z98" s="43"/>
    </row>
    <row r="99" spans="1:26">
      <c r="A99" s="591">
        <v>2417</v>
      </c>
      <c r="B99" s="1034" t="s">
        <v>362</v>
      </c>
      <c r="C99" s="591"/>
      <c r="D99" s="1034"/>
      <c r="E99" s="591"/>
      <c r="F99" s="1034"/>
      <c r="G99" s="1033"/>
      <c r="H99" s="1033"/>
      <c r="I99" s="1033"/>
      <c r="J99" s="1033"/>
      <c r="K99" s="1033"/>
      <c r="L99" s="574"/>
      <c r="M99" s="51"/>
      <c r="N99" s="1733">
        <f t="shared" si="9"/>
        <v>2417</v>
      </c>
      <c r="O99" s="575">
        <v>0</v>
      </c>
      <c r="P99" s="582">
        <v>0</v>
      </c>
      <c r="Q99" s="579">
        <v>0</v>
      </c>
      <c r="R99" s="582">
        <v>0</v>
      </c>
      <c r="S99" s="29">
        <v>0</v>
      </c>
      <c r="T99" s="28">
        <f t="shared" si="12"/>
        <v>0</v>
      </c>
      <c r="U99" s="51"/>
      <c r="V99" s="2119">
        <f t="shared" si="13"/>
        <v>0</v>
      </c>
      <c r="W99" s="43"/>
      <c r="X99" s="43"/>
      <c r="Y99" s="43"/>
      <c r="Z99" s="43"/>
    </row>
    <row r="100" spans="1:26">
      <c r="A100" s="591">
        <v>2419</v>
      </c>
      <c r="B100" s="1034" t="s">
        <v>357</v>
      </c>
      <c r="C100" s="1033"/>
      <c r="D100" s="1033"/>
      <c r="E100" s="1033"/>
      <c r="F100" s="1033"/>
      <c r="G100" s="1033"/>
      <c r="H100" s="1033"/>
      <c r="I100" s="1033"/>
      <c r="J100" s="1033"/>
      <c r="K100" s="1033"/>
      <c r="L100" s="574"/>
      <c r="M100" s="51"/>
      <c r="N100" s="1733">
        <f t="shared" si="9"/>
        <v>2419</v>
      </c>
      <c r="O100" s="575">
        <v>0</v>
      </c>
      <c r="P100" s="582">
        <v>0</v>
      </c>
      <c r="Q100" s="579">
        <v>0</v>
      </c>
      <c r="R100" s="582">
        <v>0</v>
      </c>
      <c r="S100" s="29">
        <v>0</v>
      </c>
      <c r="T100" s="28">
        <f t="shared" si="12"/>
        <v>0</v>
      </c>
      <c r="U100" s="51"/>
      <c r="V100" s="2119">
        <f t="shared" si="13"/>
        <v>0</v>
      </c>
      <c r="W100" s="43"/>
      <c r="X100" s="43"/>
      <c r="Y100" s="43"/>
      <c r="Z100" s="43"/>
    </row>
    <row r="101" spans="1:26">
      <c r="A101" s="1047">
        <v>2420</v>
      </c>
      <c r="B101" s="1049" t="s">
        <v>902</v>
      </c>
      <c r="C101" s="1049"/>
      <c r="D101" s="1049"/>
      <c r="E101" s="1049"/>
      <c r="F101" s="1049"/>
      <c r="G101" s="1049"/>
      <c r="H101" s="1049"/>
      <c r="I101" s="1049"/>
      <c r="J101" s="1049"/>
      <c r="K101" s="1049"/>
      <c r="L101" s="1050"/>
      <c r="M101" s="51"/>
      <c r="N101" s="2134">
        <f t="shared" si="9"/>
        <v>2420</v>
      </c>
      <c r="O101" s="856">
        <v>0</v>
      </c>
      <c r="P101" s="839">
        <v>0</v>
      </c>
      <c r="Q101" s="857">
        <v>0</v>
      </c>
      <c r="R101" s="839">
        <v>0</v>
      </c>
      <c r="S101" s="382">
        <v>0</v>
      </c>
      <c r="T101" s="57">
        <f t="shared" si="12"/>
        <v>0</v>
      </c>
      <c r="U101" s="51"/>
      <c r="V101" s="2119">
        <f t="shared" si="13"/>
        <v>0</v>
      </c>
      <c r="W101" s="43"/>
      <c r="X101" s="43"/>
      <c r="Y101" s="43"/>
      <c r="Z101" s="43"/>
    </row>
    <row r="102" spans="1:26">
      <c r="A102" s="379" t="s">
        <v>903</v>
      </c>
      <c r="B102" s="380"/>
      <c r="C102" s="380"/>
      <c r="D102" s="380"/>
      <c r="E102" s="380"/>
      <c r="F102" s="380"/>
      <c r="G102" s="380"/>
      <c r="H102" s="380"/>
      <c r="I102" s="380"/>
      <c r="J102" s="380"/>
      <c r="K102" s="380"/>
      <c r="L102" s="381"/>
      <c r="M102" s="51"/>
      <c r="N102" s="383">
        <v>3</v>
      </c>
      <c r="O102" s="384"/>
      <c r="P102" s="385"/>
      <c r="Q102" s="386"/>
      <c r="R102" s="385"/>
      <c r="S102" s="386"/>
      <c r="T102" s="387"/>
      <c r="U102" s="51"/>
      <c r="V102" s="2119"/>
      <c r="W102" s="43"/>
      <c r="X102" s="43"/>
      <c r="Y102" s="43"/>
      <c r="Z102" s="43"/>
    </row>
    <row r="103" spans="1:26">
      <c r="A103" s="85">
        <v>3010</v>
      </c>
      <c r="B103" s="86" t="s">
        <v>904</v>
      </c>
      <c r="C103" s="86"/>
      <c r="D103" s="86"/>
      <c r="E103" s="86"/>
      <c r="F103" s="86"/>
      <c r="G103" s="86"/>
      <c r="H103" s="86"/>
      <c r="I103" s="86"/>
      <c r="J103" s="86"/>
      <c r="K103" s="86"/>
      <c r="L103" s="87"/>
      <c r="M103" s="51"/>
      <c r="N103" s="112">
        <f t="shared" ref="N103:N112" si="14">+A103</f>
        <v>3010</v>
      </c>
      <c r="O103" s="323"/>
      <c r="P103" s="329">
        <v>0</v>
      </c>
      <c r="Q103" s="325"/>
      <c r="R103" s="324"/>
      <c r="S103" s="326">
        <f t="shared" ref="S103:S112" si="15">+IF(ABS(+O103+Q103)&gt;=ABS(P103+R103),+O103-P103+Q103-R103,0)</f>
        <v>0</v>
      </c>
      <c r="T103" s="331">
        <v>0</v>
      </c>
      <c r="U103" s="51"/>
      <c r="V103" s="2120">
        <f t="shared" ref="V103:V112" si="16">+IF(OR(ROUND(P103,2)+ROUND(R103,2)&gt;+ROUND(O103,2)+ROUND(Q103,2),+ABS(ROUND(P103,2)+ROUND(R103,2))&gt;+ABS(ROUND(O103,2)+ROUND(Q103,2))),+(ROUND(P103,2)+ROUND(R103,2))-(ROUND(O103,2)+ROUND(Q103,2)),0)</f>
        <v>0</v>
      </c>
      <c r="W103" s="43"/>
      <c r="X103" s="43"/>
      <c r="Y103" s="43"/>
      <c r="Z103" s="43"/>
    </row>
    <row r="104" spans="1:26">
      <c r="A104" s="88">
        <v>3020</v>
      </c>
      <c r="B104" s="1033" t="s">
        <v>363</v>
      </c>
      <c r="C104" s="1033"/>
      <c r="D104" s="1033"/>
      <c r="E104" s="1033"/>
      <c r="F104" s="1033"/>
      <c r="G104" s="1033"/>
      <c r="H104" s="1033"/>
      <c r="I104" s="1033"/>
      <c r="J104" s="1033"/>
      <c r="K104" s="1033"/>
      <c r="L104" s="90"/>
      <c r="M104" s="51"/>
      <c r="N104" s="113">
        <f t="shared" si="14"/>
        <v>3020</v>
      </c>
      <c r="O104" s="120">
        <v>0</v>
      </c>
      <c r="P104" s="9">
        <v>0</v>
      </c>
      <c r="Q104" s="122">
        <v>0</v>
      </c>
      <c r="R104" s="121">
        <v>0</v>
      </c>
      <c r="S104" s="27">
        <f t="shared" si="15"/>
        <v>0</v>
      </c>
      <c r="T104" s="30">
        <v>0</v>
      </c>
      <c r="U104" s="51"/>
      <c r="V104" s="2120">
        <f t="shared" si="16"/>
        <v>0</v>
      </c>
      <c r="W104" s="43"/>
      <c r="X104" s="43"/>
      <c r="Y104" s="43"/>
      <c r="Z104" s="43"/>
    </row>
    <row r="105" spans="1:26">
      <c r="A105" s="88">
        <v>3030</v>
      </c>
      <c r="B105" s="1033" t="s">
        <v>905</v>
      </c>
      <c r="C105" s="1033"/>
      <c r="D105" s="1033"/>
      <c r="E105" s="1033"/>
      <c r="F105" s="1033"/>
      <c r="G105" s="1033"/>
      <c r="H105" s="1033"/>
      <c r="I105" s="1033"/>
      <c r="J105" s="1033"/>
      <c r="K105" s="1033"/>
      <c r="L105" s="90"/>
      <c r="M105" s="51"/>
      <c r="N105" s="113">
        <f t="shared" si="14"/>
        <v>3030</v>
      </c>
      <c r="O105" s="120">
        <v>0</v>
      </c>
      <c r="P105" s="9">
        <v>0</v>
      </c>
      <c r="Q105" s="122">
        <v>0</v>
      </c>
      <c r="R105" s="121">
        <v>0</v>
      </c>
      <c r="S105" s="27">
        <f t="shared" si="15"/>
        <v>0</v>
      </c>
      <c r="T105" s="30">
        <v>0</v>
      </c>
      <c r="U105" s="51"/>
      <c r="V105" s="2120">
        <f t="shared" si="16"/>
        <v>0</v>
      </c>
      <c r="W105" s="43"/>
      <c r="X105" s="43"/>
      <c r="Y105" s="43"/>
      <c r="Z105" s="43"/>
    </row>
    <row r="106" spans="1:26">
      <c r="A106" s="88">
        <v>3040</v>
      </c>
      <c r="B106" s="1033" t="s">
        <v>906</v>
      </c>
      <c r="C106" s="1033"/>
      <c r="D106" s="1033"/>
      <c r="E106" s="1033"/>
      <c r="F106" s="1033"/>
      <c r="G106" s="1033"/>
      <c r="H106" s="1033"/>
      <c r="I106" s="1033"/>
      <c r="J106" s="1033"/>
      <c r="K106" s="1033"/>
      <c r="L106" s="90"/>
      <c r="M106" s="51"/>
      <c r="N106" s="113">
        <f t="shared" si="14"/>
        <v>3040</v>
      </c>
      <c r="O106" s="120">
        <v>0</v>
      </c>
      <c r="P106" s="9">
        <v>0</v>
      </c>
      <c r="Q106" s="122">
        <v>0</v>
      </c>
      <c r="R106" s="121">
        <v>0</v>
      </c>
      <c r="S106" s="27">
        <f t="shared" si="15"/>
        <v>0</v>
      </c>
      <c r="T106" s="30">
        <v>0</v>
      </c>
      <c r="U106" s="51"/>
      <c r="V106" s="2120">
        <f t="shared" si="16"/>
        <v>0</v>
      </c>
      <c r="W106" s="43"/>
      <c r="X106" s="43"/>
      <c r="Y106" s="43"/>
      <c r="Z106" s="43"/>
    </row>
    <row r="107" spans="1:26">
      <c r="A107" s="88">
        <v>3100</v>
      </c>
      <c r="B107" s="1033" t="s">
        <v>907</v>
      </c>
      <c r="C107" s="1033"/>
      <c r="D107" s="1033"/>
      <c r="E107" s="1033"/>
      <c r="F107" s="1033"/>
      <c r="G107" s="1033"/>
      <c r="H107" s="1033"/>
      <c r="I107" s="1033"/>
      <c r="J107" s="1033"/>
      <c r="K107" s="1033"/>
      <c r="L107" s="90"/>
      <c r="M107" s="51"/>
      <c r="N107" s="113">
        <f t="shared" si="14"/>
        <v>3100</v>
      </c>
      <c r="O107" s="120"/>
      <c r="P107" s="9">
        <v>0</v>
      </c>
      <c r="Q107" s="122"/>
      <c r="R107" s="121"/>
      <c r="S107" s="27">
        <f t="shared" si="15"/>
        <v>0</v>
      </c>
      <c r="T107" s="30">
        <v>0</v>
      </c>
      <c r="U107" s="51"/>
      <c r="V107" s="2120">
        <f t="shared" si="16"/>
        <v>0</v>
      </c>
      <c r="W107" s="43"/>
      <c r="X107" s="43"/>
      <c r="Y107" s="43"/>
      <c r="Z107" s="43"/>
    </row>
    <row r="108" spans="1:26">
      <c r="A108" s="88">
        <v>3210</v>
      </c>
      <c r="B108" s="1033" t="s">
        <v>908</v>
      </c>
      <c r="C108" s="1033"/>
      <c r="D108" s="1033"/>
      <c r="E108" s="1033"/>
      <c r="F108" s="1033"/>
      <c r="G108" s="1033"/>
      <c r="H108" s="1033"/>
      <c r="I108" s="1033"/>
      <c r="J108" s="1033"/>
      <c r="K108" s="1033"/>
      <c r="L108" s="90"/>
      <c r="M108" s="51"/>
      <c r="N108" s="113">
        <f t="shared" si="14"/>
        <v>3210</v>
      </c>
      <c r="O108" s="120"/>
      <c r="P108" s="9">
        <v>0</v>
      </c>
      <c r="Q108" s="122"/>
      <c r="R108" s="121"/>
      <c r="S108" s="27">
        <f t="shared" si="15"/>
        <v>0</v>
      </c>
      <c r="T108" s="30">
        <v>0</v>
      </c>
      <c r="U108" s="51"/>
      <c r="V108" s="2120">
        <f t="shared" si="16"/>
        <v>0</v>
      </c>
      <c r="W108" s="43"/>
      <c r="X108" s="43"/>
      <c r="Y108" s="43"/>
      <c r="Z108" s="43"/>
    </row>
    <row r="109" spans="1:26">
      <c r="A109" s="88">
        <v>3220</v>
      </c>
      <c r="B109" s="1033" t="s">
        <v>909</v>
      </c>
      <c r="C109" s="1033"/>
      <c r="D109" s="1033"/>
      <c r="E109" s="1033"/>
      <c r="F109" s="1033"/>
      <c r="G109" s="1033"/>
      <c r="H109" s="1033"/>
      <c r="I109" s="1033"/>
      <c r="J109" s="1033"/>
      <c r="K109" s="1033"/>
      <c r="L109" s="90"/>
      <c r="M109" s="51"/>
      <c r="N109" s="113">
        <f t="shared" si="14"/>
        <v>3220</v>
      </c>
      <c r="O109" s="120"/>
      <c r="P109" s="9">
        <v>0</v>
      </c>
      <c r="Q109" s="122"/>
      <c r="R109" s="121"/>
      <c r="S109" s="27">
        <f t="shared" si="15"/>
        <v>0</v>
      </c>
      <c r="T109" s="30">
        <v>0</v>
      </c>
      <c r="U109" s="51"/>
      <c r="V109" s="2120">
        <f t="shared" si="16"/>
        <v>0</v>
      </c>
      <c r="W109" s="43"/>
      <c r="X109" s="43"/>
      <c r="Y109" s="43"/>
      <c r="Z109" s="43"/>
    </row>
    <row r="110" spans="1:26">
      <c r="A110" s="88">
        <v>3310</v>
      </c>
      <c r="B110" s="1033" t="s">
        <v>910</v>
      </c>
      <c r="C110" s="1033"/>
      <c r="D110" s="1033"/>
      <c r="E110" s="1033"/>
      <c r="F110" s="1033"/>
      <c r="G110" s="1033"/>
      <c r="H110" s="1033"/>
      <c r="I110" s="1033"/>
      <c r="J110" s="1033"/>
      <c r="K110" s="1033"/>
      <c r="L110" s="90"/>
      <c r="M110" s="51"/>
      <c r="N110" s="113">
        <f t="shared" si="14"/>
        <v>3310</v>
      </c>
      <c r="O110" s="120"/>
      <c r="P110" s="9">
        <v>0</v>
      </c>
      <c r="Q110" s="122"/>
      <c r="R110" s="121"/>
      <c r="S110" s="27">
        <f t="shared" si="15"/>
        <v>0</v>
      </c>
      <c r="T110" s="30">
        <v>0</v>
      </c>
      <c r="U110" s="51"/>
      <c r="V110" s="2120">
        <f t="shared" si="16"/>
        <v>0</v>
      </c>
      <c r="W110" s="43"/>
      <c r="X110" s="43"/>
      <c r="Y110" s="43"/>
      <c r="Z110" s="43"/>
    </row>
    <row r="111" spans="1:26">
      <c r="A111" s="88">
        <v>3320</v>
      </c>
      <c r="B111" s="1033" t="s">
        <v>911</v>
      </c>
      <c r="C111" s="1033"/>
      <c r="D111" s="1033"/>
      <c r="E111" s="1033"/>
      <c r="F111" s="1033"/>
      <c r="G111" s="1033"/>
      <c r="H111" s="1033"/>
      <c r="I111" s="1033"/>
      <c r="J111" s="1033"/>
      <c r="K111" s="1033"/>
      <c r="L111" s="90"/>
      <c r="M111" s="51"/>
      <c r="N111" s="113">
        <f t="shared" si="14"/>
        <v>3320</v>
      </c>
      <c r="O111" s="120"/>
      <c r="P111" s="9">
        <v>0</v>
      </c>
      <c r="Q111" s="122"/>
      <c r="R111" s="121"/>
      <c r="S111" s="27">
        <f t="shared" si="15"/>
        <v>0</v>
      </c>
      <c r="T111" s="30">
        <v>0</v>
      </c>
      <c r="U111" s="51"/>
      <c r="V111" s="2120">
        <f t="shared" si="16"/>
        <v>0</v>
      </c>
      <c r="W111" s="43"/>
      <c r="X111" s="43"/>
      <c r="Y111" s="43"/>
      <c r="Z111" s="43"/>
    </row>
    <row r="112" spans="1:26">
      <c r="A112" s="1040">
        <v>3330</v>
      </c>
      <c r="B112" s="101" t="s">
        <v>912</v>
      </c>
      <c r="C112" s="101"/>
      <c r="D112" s="101"/>
      <c r="E112" s="101"/>
      <c r="F112" s="101"/>
      <c r="G112" s="101"/>
      <c r="H112" s="101"/>
      <c r="I112" s="101"/>
      <c r="J112" s="101"/>
      <c r="K112" s="101"/>
      <c r="L112" s="102"/>
      <c r="M112" s="51"/>
      <c r="N112" s="116">
        <f t="shared" si="14"/>
        <v>3330</v>
      </c>
      <c r="O112" s="123"/>
      <c r="P112" s="37">
        <v>0</v>
      </c>
      <c r="Q112" s="126"/>
      <c r="R112" s="127"/>
      <c r="S112" s="56">
        <f t="shared" si="15"/>
        <v>0</v>
      </c>
      <c r="T112" s="60">
        <v>0</v>
      </c>
      <c r="U112" s="51"/>
      <c r="V112" s="2120">
        <f t="shared" si="16"/>
        <v>0</v>
      </c>
      <c r="W112" s="43"/>
      <c r="X112" s="43"/>
      <c r="Y112" s="43"/>
      <c r="Z112" s="43"/>
    </row>
    <row r="113" spans="1:26">
      <c r="A113" s="379" t="s">
        <v>913</v>
      </c>
      <c r="B113" s="380"/>
      <c r="C113" s="380"/>
      <c r="D113" s="380"/>
      <c r="E113" s="380"/>
      <c r="F113" s="380"/>
      <c r="G113" s="380"/>
      <c r="H113" s="380"/>
      <c r="I113" s="380"/>
      <c r="J113" s="380"/>
      <c r="K113" s="380"/>
      <c r="L113" s="381"/>
      <c r="M113" s="51"/>
      <c r="N113" s="383">
        <v>4</v>
      </c>
      <c r="O113" s="384"/>
      <c r="P113" s="385"/>
      <c r="Q113" s="386"/>
      <c r="R113" s="385"/>
      <c r="S113" s="386"/>
      <c r="T113" s="387"/>
      <c r="U113" s="51"/>
      <c r="V113" s="2119"/>
      <c r="W113" s="43"/>
      <c r="X113" s="43"/>
      <c r="Y113" s="43"/>
      <c r="Z113" s="43"/>
    </row>
    <row r="114" spans="1:26">
      <c r="A114" s="85">
        <v>4010</v>
      </c>
      <c r="B114" s="86" t="s">
        <v>200</v>
      </c>
      <c r="C114" s="86"/>
      <c r="D114" s="86"/>
      <c r="E114" s="86"/>
      <c r="F114" s="86"/>
      <c r="G114" s="86"/>
      <c r="H114" s="86"/>
      <c r="I114" s="86"/>
      <c r="J114" s="86"/>
      <c r="K114" s="86"/>
      <c r="L114" s="87"/>
      <c r="M114" s="51"/>
      <c r="N114" s="112">
        <f t="shared" ref="N114:N172" si="17">+A114</f>
        <v>4010</v>
      </c>
      <c r="O114" s="328">
        <v>0</v>
      </c>
      <c r="P114" s="324">
        <v>0</v>
      </c>
      <c r="Q114" s="325">
        <v>0</v>
      </c>
      <c r="R114" s="324">
        <v>0</v>
      </c>
      <c r="S114" s="330">
        <v>0</v>
      </c>
      <c r="T114" s="327">
        <f>+IF(ABS(+O114+Q114)&lt;=ABS(P114+R114),-O114+P114-Q114+R114,0)</f>
        <v>0</v>
      </c>
      <c r="U114" s="51"/>
      <c r="V114" s="2119">
        <f>+IF(OR(+ROUND(O114,2)+ROUND(Q114,2)&gt;ROUND(P114,2)+ROUND(R114,2),+ABS(ROUND(O114,2)+ROUND(Q114,2))&gt;+ABS(ROUND(P114,2)+ROUND(R114,2))),+(ROUND(O114,2)+ROUND(Q114,2))-(ROUND(P114,2)+ROUND(R114,2)),0)</f>
        <v>0</v>
      </c>
      <c r="W114" s="43"/>
      <c r="X114" s="43"/>
      <c r="Y114" s="43"/>
      <c r="Z114" s="43"/>
    </row>
    <row r="115" spans="1:26">
      <c r="A115" s="88">
        <v>4020</v>
      </c>
      <c r="B115" s="1033" t="s">
        <v>203</v>
      </c>
      <c r="C115" s="1033"/>
      <c r="D115" s="1033"/>
      <c r="E115" s="1033"/>
      <c r="F115" s="1033"/>
      <c r="G115" s="1033"/>
      <c r="H115" s="1033"/>
      <c r="I115" s="1033"/>
      <c r="J115" s="1033"/>
      <c r="K115" s="1033"/>
      <c r="L115" s="90"/>
      <c r="M115" s="51"/>
      <c r="N115" s="113">
        <f t="shared" si="17"/>
        <v>4020</v>
      </c>
      <c r="O115" s="581">
        <v>0</v>
      </c>
      <c r="P115" s="582">
        <v>0</v>
      </c>
      <c r="Q115" s="122">
        <v>0</v>
      </c>
      <c r="R115" s="324">
        <v>0</v>
      </c>
      <c r="S115" s="27">
        <f>+IF(ABS(+O115+Q115)&gt;=ABS(P115+R115),+O115-P115+Q115-R115,0)</f>
        <v>0</v>
      </c>
      <c r="T115" s="2123">
        <f>+IF(OR($N$4="03",$N$4="06",$N$4="09"),+IF(AND(ABS(+O115+Q115)&lt;ABS(P115+R115),P115+R115&lt;0),-O115+P115-Q115+R115,0),+IF(AND(N$4="12",ABS(+O115+Q115)&lt;ABS(P115+R115)),-O115+P115-Q115+R115,0))</f>
        <v>0</v>
      </c>
      <c r="U115" s="51"/>
      <c r="V115" s="2124">
        <f>+IF(OR(ROUND(P115,2)+ROUND(R115,2)&gt;+ROUND(O115,2)+ROUND(Q115,2),+AND($N$4="12",ABS(ROUND(P115,2)+ROUND(R115,2))&gt;+ABS(ROUND(O115,2)+ROUND(Q115,2)))),+(ROUND(P115,2)+ROUND(R115,2))-(ROUND(O115,2)+ROUND(Q115,2)),0)</f>
        <v>0</v>
      </c>
      <c r="W115" s="43"/>
      <c r="X115" s="43"/>
      <c r="Y115" s="43"/>
      <c r="Z115" s="43"/>
    </row>
    <row r="116" spans="1:26">
      <c r="A116" s="88">
        <v>4030</v>
      </c>
      <c r="B116" s="1033" t="s">
        <v>204</v>
      </c>
      <c r="C116" s="1033"/>
      <c r="D116" s="1033"/>
      <c r="E116" s="1033"/>
      <c r="F116" s="1033"/>
      <c r="G116" s="1033"/>
      <c r="H116" s="1033"/>
      <c r="I116" s="1033"/>
      <c r="J116" s="1033"/>
      <c r="K116" s="1033"/>
      <c r="L116" s="90"/>
      <c r="M116" s="51"/>
      <c r="N116" s="113">
        <f t="shared" si="17"/>
        <v>4030</v>
      </c>
      <c r="O116" s="575">
        <v>0</v>
      </c>
      <c r="P116" s="576"/>
      <c r="Q116" s="122"/>
      <c r="R116" s="324"/>
      <c r="S116" s="579">
        <v>0</v>
      </c>
      <c r="T116" s="580">
        <f>+IF(ABS(+O116+Q116)&lt;=ABS(P116+R116),-O116+P116-Q116+R116,0)</f>
        <v>0</v>
      </c>
      <c r="U116" s="51"/>
      <c r="V116" s="2119">
        <f>+IF(OR(+ROUND(O116,2)+ROUND(Q116,2)&gt;ROUND(P116,2)+ROUND(R116,2),+ABS(ROUND(O116,2)+ROUND(Q116,2))&gt;+ABS(ROUND(P116,2)+ROUND(R116,2))),+(ROUND(O116,2)+ROUND(Q116,2))-(ROUND(P116,2)+ROUND(R116,2)),0)</f>
        <v>0</v>
      </c>
      <c r="W116" s="43"/>
      <c r="X116" s="43"/>
      <c r="Y116" s="43"/>
      <c r="Z116" s="43"/>
    </row>
    <row r="117" spans="1:26">
      <c r="A117" s="88">
        <v>4040</v>
      </c>
      <c r="B117" s="1033" t="s">
        <v>205</v>
      </c>
      <c r="C117" s="1033"/>
      <c r="D117" s="1033"/>
      <c r="E117" s="1033"/>
      <c r="F117" s="1033"/>
      <c r="G117" s="1033"/>
      <c r="H117" s="1033"/>
      <c r="I117" s="1033"/>
      <c r="J117" s="1033"/>
      <c r="K117" s="1033"/>
      <c r="L117" s="90"/>
      <c r="M117" s="51"/>
      <c r="N117" s="113">
        <f t="shared" si="17"/>
        <v>4040</v>
      </c>
      <c r="O117" s="581"/>
      <c r="P117" s="582">
        <v>0</v>
      </c>
      <c r="Q117" s="122"/>
      <c r="R117" s="324"/>
      <c r="S117" s="27">
        <f>+IF(ABS(+O117+Q117)&gt;=ABS(P117+R117),+O117-P117+Q117-R117,0)</f>
        <v>0</v>
      </c>
      <c r="T117" s="2123">
        <f>+IF(OR($N$4="03",$N$4="06",$N$4="09"),+IF(AND(ABS(+O117+Q117)&lt;ABS(P117+R117),P117+R117&lt;0),-O117+P117-Q117+R117,0),+IF(AND(N$4="12",ABS(+O117+Q117)&lt;ABS(P117+R117)),-O117+P117-Q117+R117,0))</f>
        <v>0</v>
      </c>
      <c r="U117" s="51"/>
      <c r="V117" s="2124">
        <f>+IF(OR(ROUND(P117,2)+ROUND(R117,2)&gt;+ROUND(O117,2)+ROUND(Q117,2),+AND($N$4="12",ABS(ROUND(P117,2)+ROUND(R117,2))&gt;+ABS(ROUND(O117,2)+ROUND(Q117,2)))),+(ROUND(P117,2)+ROUND(R117,2))-(ROUND(O117,2)+ROUND(Q117,2)),0)</f>
        <v>0</v>
      </c>
      <c r="W117" s="43"/>
      <c r="X117" s="43"/>
      <c r="Y117" s="43"/>
      <c r="Z117" s="43"/>
    </row>
    <row r="118" spans="1:26">
      <c r="A118" s="88">
        <v>4050</v>
      </c>
      <c r="B118" s="1033" t="s">
        <v>473</v>
      </c>
      <c r="C118" s="1033"/>
      <c r="D118" s="1033"/>
      <c r="E118" s="1033"/>
      <c r="F118" s="1033"/>
      <c r="G118" s="1033"/>
      <c r="H118" s="1033"/>
      <c r="I118" s="1033"/>
      <c r="J118" s="1033"/>
      <c r="K118" s="1033"/>
      <c r="L118" s="90"/>
      <c r="M118" s="51"/>
      <c r="N118" s="113">
        <f t="shared" si="17"/>
        <v>4050</v>
      </c>
      <c r="O118" s="575">
        <v>0</v>
      </c>
      <c r="P118" s="576"/>
      <c r="Q118" s="122"/>
      <c r="R118" s="324"/>
      <c r="S118" s="579">
        <v>0</v>
      </c>
      <c r="T118" s="580">
        <f>+IF(ABS(+O118+Q118)&lt;=ABS(P118+R118),-O118+P118-Q118+R118,0)</f>
        <v>0</v>
      </c>
      <c r="U118" s="51"/>
      <c r="V118" s="2119">
        <f>+IF(OR(+ROUND(O118,2)+ROUND(Q118,2)&gt;ROUND(P118,2)+ROUND(R118,2),+ABS(ROUND(O118,2)+ROUND(Q118,2))&gt;+ABS(ROUND(P118,2)+ROUND(R118,2))),+(ROUND(O118,2)+ROUND(Q118,2))-(ROUND(P118,2)+ROUND(R118,2)),0)</f>
        <v>0</v>
      </c>
      <c r="W118" s="43"/>
      <c r="X118" s="43"/>
      <c r="Y118" s="43"/>
      <c r="Z118" s="43"/>
    </row>
    <row r="119" spans="1:26">
      <c r="A119" s="88">
        <v>4052</v>
      </c>
      <c r="B119" s="1033" t="s">
        <v>474</v>
      </c>
      <c r="C119" s="1033"/>
      <c r="D119" s="1033"/>
      <c r="E119" s="1033"/>
      <c r="F119" s="1033"/>
      <c r="G119" s="1033"/>
      <c r="H119" s="1033"/>
      <c r="I119" s="1033"/>
      <c r="J119" s="1033"/>
      <c r="K119" s="1033"/>
      <c r="L119" s="90"/>
      <c r="M119" s="51"/>
      <c r="N119" s="1733">
        <f t="shared" si="17"/>
        <v>4052</v>
      </c>
      <c r="O119" s="581"/>
      <c r="P119" s="582">
        <v>0</v>
      </c>
      <c r="Q119" s="589"/>
      <c r="R119" s="576"/>
      <c r="S119" s="583">
        <f>+IF(ABS(+O119+Q119)&gt;=ABS(P119+R119),+O119-P119+Q119-R119,0)</f>
        <v>0</v>
      </c>
      <c r="T119" s="584">
        <v>0</v>
      </c>
      <c r="U119" s="51"/>
      <c r="V119" s="2120">
        <f>+IF(OR(ROUND(P119,2)+ROUND(R119,2)&gt;+ROUND(O119,2)+ROUND(Q119,2),+ABS(ROUND(P119,2)+ROUND(R119,2))&gt;+ABS(ROUND(O119,2)+ROUND(Q119,2))),+(ROUND(P119,2)+ROUND(R119,2))-(ROUND(O119,2)+ROUND(Q119,2)),0)</f>
        <v>0</v>
      </c>
      <c r="W119" s="43"/>
      <c r="X119" s="43"/>
      <c r="Y119" s="43"/>
      <c r="Z119" s="43"/>
    </row>
    <row r="120" spans="1:26" ht="15.75" customHeight="1">
      <c r="A120" s="88">
        <v>4057</v>
      </c>
      <c r="B120" s="1033" t="s">
        <v>475</v>
      </c>
      <c r="C120" s="1041"/>
      <c r="D120" s="1041"/>
      <c r="E120" s="1041"/>
      <c r="F120" s="1041"/>
      <c r="G120" s="1041"/>
      <c r="H120" s="1041"/>
      <c r="I120" s="1041"/>
      <c r="J120" s="1041"/>
      <c r="K120" s="1041"/>
      <c r="L120" s="590"/>
      <c r="M120" s="51"/>
      <c r="N120" s="1733">
        <f t="shared" si="17"/>
        <v>4057</v>
      </c>
      <c r="O120" s="581"/>
      <c r="P120" s="576"/>
      <c r="Q120" s="589"/>
      <c r="R120" s="576"/>
      <c r="S120" s="583">
        <f>+IF(ABS(+O120+Q120)&gt;=ABS(P120+R120),+O120-P120+Q120-R120,0)</f>
        <v>0</v>
      </c>
      <c r="T120" s="580">
        <f>+IF(ABS(+O120+Q120)&lt;=ABS(P120+R120),-O120+P120-Q120+R120,0)</f>
        <v>0</v>
      </c>
      <c r="U120" s="51"/>
      <c r="V120" s="2119"/>
      <c r="W120" s="43"/>
      <c r="X120" s="43"/>
      <c r="Y120" s="43"/>
      <c r="Z120" s="43"/>
    </row>
    <row r="121" spans="1:26" ht="15.75" customHeight="1">
      <c r="A121" s="88">
        <v>4058</v>
      </c>
      <c r="B121" s="1033" t="s">
        <v>476</v>
      </c>
      <c r="C121" s="1041"/>
      <c r="D121" s="1041"/>
      <c r="E121" s="1041"/>
      <c r="F121" s="1041"/>
      <c r="G121" s="1041"/>
      <c r="H121" s="1041"/>
      <c r="I121" s="1041"/>
      <c r="J121" s="1041"/>
      <c r="K121" s="1041"/>
      <c r="L121" s="590"/>
      <c r="M121" s="51"/>
      <c r="N121" s="1733">
        <f t="shared" si="17"/>
        <v>4058</v>
      </c>
      <c r="O121" s="581"/>
      <c r="P121" s="576"/>
      <c r="Q121" s="589"/>
      <c r="R121" s="576"/>
      <c r="S121" s="583">
        <f>+IF(ABS(+O121+Q121)&gt;=ABS(P121+R121),+O121-P121+Q121-R121,0)</f>
        <v>0</v>
      </c>
      <c r="T121" s="580">
        <f>+IF(ABS(+O121+Q121)&lt;=ABS(P121+R121),-O121+P121-Q121+R121,0)</f>
        <v>0</v>
      </c>
      <c r="U121" s="51"/>
      <c r="V121" s="2119"/>
      <c r="W121" s="43"/>
      <c r="X121" s="43"/>
      <c r="Y121" s="43"/>
      <c r="Z121" s="43"/>
    </row>
    <row r="122" spans="1:26">
      <c r="A122" s="88">
        <v>4071</v>
      </c>
      <c r="B122" s="1033" t="s">
        <v>477</v>
      </c>
      <c r="C122" s="1033"/>
      <c r="D122" s="1033"/>
      <c r="E122" s="1033"/>
      <c r="F122" s="1033"/>
      <c r="G122" s="1033"/>
      <c r="H122" s="1033"/>
      <c r="I122" s="1033"/>
      <c r="J122" s="1033"/>
      <c r="K122" s="1033"/>
      <c r="L122" s="90"/>
      <c r="M122" s="51"/>
      <c r="N122" s="1733">
        <f t="shared" si="17"/>
        <v>4071</v>
      </c>
      <c r="O122" s="575">
        <v>0</v>
      </c>
      <c r="P122" s="576"/>
      <c r="Q122" s="589"/>
      <c r="R122" s="324"/>
      <c r="S122" s="579">
        <v>0</v>
      </c>
      <c r="T122" s="580">
        <f>+IF(ABS(+O122+Q122)&lt;=ABS(P122+R122),-O122+P122-Q122+R122,0)</f>
        <v>0</v>
      </c>
      <c r="U122" s="51"/>
      <c r="V122" s="2119">
        <f>+IF(OR(+ROUND(O122,2)+ROUND(Q122,2)&gt;ROUND(P122,2)+ROUND(R122,2),+ABS(ROUND(O122,2)+ROUND(Q122,2))&gt;+ABS(ROUND(P122,2)+ROUND(R122,2))),+(ROUND(O122,2)+ROUND(Q122,2))-(ROUND(P122,2)+ROUND(R122,2)),0)</f>
        <v>0</v>
      </c>
      <c r="W122" s="43"/>
      <c r="X122" s="43"/>
      <c r="Y122" s="43"/>
      <c r="Z122" s="43"/>
    </row>
    <row r="123" spans="1:26">
      <c r="A123" s="88">
        <v>4072</v>
      </c>
      <c r="B123" s="1033" t="s">
        <v>478</v>
      </c>
      <c r="C123" s="1033"/>
      <c r="D123" s="1033"/>
      <c r="E123" s="1033"/>
      <c r="F123" s="1033"/>
      <c r="G123" s="1033"/>
      <c r="H123" s="1033"/>
      <c r="I123" s="1033"/>
      <c r="J123" s="1033"/>
      <c r="K123" s="1033"/>
      <c r="L123" s="90"/>
      <c r="M123" s="51"/>
      <c r="N123" s="113">
        <f t="shared" si="17"/>
        <v>4072</v>
      </c>
      <c r="O123" s="581"/>
      <c r="P123" s="582">
        <v>0</v>
      </c>
      <c r="Q123" s="589"/>
      <c r="R123" s="576"/>
      <c r="S123" s="583">
        <f>+IF(ABS(+O123+Q123)&gt;=ABS(P123+R123),+O123-P123+Q123-R123,0)</f>
        <v>0</v>
      </c>
      <c r="T123" s="584">
        <v>0</v>
      </c>
      <c r="U123" s="51"/>
      <c r="V123" s="2120">
        <f>+IF(OR(ROUND(P123,2)+ROUND(R123,2)&gt;+ROUND(O123,2)+ROUND(Q123,2),+ABS(ROUND(P123,2)+ROUND(R123,2))&gt;+ABS(ROUND(O123,2)+ROUND(Q123,2))),+(ROUND(P123,2)+ROUND(R123,2))-(ROUND(O123,2)+ROUND(Q123,2)),0)</f>
        <v>0</v>
      </c>
      <c r="W123" s="43"/>
      <c r="X123" s="43"/>
      <c r="Y123" s="43"/>
      <c r="Z123" s="43"/>
    </row>
    <row r="124" spans="1:26">
      <c r="A124" s="88">
        <v>4110</v>
      </c>
      <c r="B124" s="378" t="s">
        <v>206</v>
      </c>
      <c r="C124" s="1033"/>
      <c r="D124" s="1033"/>
      <c r="E124" s="1033"/>
      <c r="F124" s="1033"/>
      <c r="G124" s="1033"/>
      <c r="H124" s="1033"/>
      <c r="I124" s="1033"/>
      <c r="J124" s="1033"/>
      <c r="K124" s="1033"/>
      <c r="L124" s="90"/>
      <c r="M124" s="51"/>
      <c r="N124" s="113">
        <f t="shared" si="17"/>
        <v>4110</v>
      </c>
      <c r="O124" s="581">
        <v>0</v>
      </c>
      <c r="P124" s="582">
        <v>0</v>
      </c>
      <c r="Q124" s="122">
        <v>0</v>
      </c>
      <c r="R124" s="576">
        <v>0</v>
      </c>
      <c r="S124" s="583">
        <f>+IF(ABS(+O124+Q124)&gt;=ABS(P124+R124),+O124-P124+Q124-R124,0)</f>
        <v>0</v>
      </c>
      <c r="T124" s="584">
        <v>0</v>
      </c>
      <c r="U124" s="51"/>
      <c r="V124" s="2120">
        <f>+IF(OR(ROUND(P124,2)+ROUND(R124,2)&gt;+ROUND(O124,2)+ROUND(Q124,2),+ABS(ROUND(P124,2)+ROUND(R124,2))&gt;+ABS(ROUND(O124,2)+ROUND(Q124,2))),+(ROUND(P124,2)+ROUND(R124,2))-(ROUND(O124,2)+ROUND(Q124,2)),0)</f>
        <v>0</v>
      </c>
      <c r="W124" s="43"/>
      <c r="X124" s="43"/>
      <c r="Y124" s="43"/>
      <c r="Z124" s="43"/>
    </row>
    <row r="125" spans="1:26">
      <c r="A125" s="88">
        <v>4120</v>
      </c>
      <c r="B125" s="378" t="s">
        <v>896</v>
      </c>
      <c r="C125" s="1033"/>
      <c r="D125" s="1033"/>
      <c r="E125" s="1033"/>
      <c r="F125" s="1033"/>
      <c r="G125" s="1033"/>
      <c r="H125" s="1033"/>
      <c r="I125" s="1033"/>
      <c r="J125" s="1033"/>
      <c r="K125" s="1033"/>
      <c r="L125" s="90"/>
      <c r="M125" s="51"/>
      <c r="N125" s="113">
        <f t="shared" si="17"/>
        <v>4120</v>
      </c>
      <c r="O125" s="575">
        <v>0</v>
      </c>
      <c r="P125" s="576"/>
      <c r="Q125" s="122"/>
      <c r="R125" s="324"/>
      <c r="S125" s="579">
        <v>0</v>
      </c>
      <c r="T125" s="580">
        <f>+IF(ABS(+O125+Q125)&lt;=ABS(P125+R125),-O125+P125-Q125+R125,0)</f>
        <v>0</v>
      </c>
      <c r="U125" s="51"/>
      <c r="V125" s="2119">
        <f>+IF(OR(+ROUND(O125,2)+ROUND(Q125,2)&gt;ROUND(P125,2)+ROUND(R125,2),+ABS(ROUND(O125,2)+ROUND(Q125,2))&gt;+ABS(ROUND(P125,2)+ROUND(R125,2))),+(ROUND(O125,2)+ROUND(Q125,2))-(ROUND(P125,2)+ROUND(R125,2)),0)</f>
        <v>0</v>
      </c>
      <c r="W125" s="43"/>
      <c r="X125" s="43"/>
      <c r="Y125" s="43"/>
      <c r="Z125" s="43"/>
    </row>
    <row r="126" spans="1:26">
      <c r="A126" s="88">
        <v>4130</v>
      </c>
      <c r="B126" s="378" t="s">
        <v>897</v>
      </c>
      <c r="C126" s="1033"/>
      <c r="D126" s="1033"/>
      <c r="E126" s="1033"/>
      <c r="F126" s="1033"/>
      <c r="G126" s="1033"/>
      <c r="H126" s="1033"/>
      <c r="I126" s="1033"/>
      <c r="J126" s="1033"/>
      <c r="K126" s="1033"/>
      <c r="L126" s="90"/>
      <c r="M126" s="51"/>
      <c r="N126" s="113">
        <f t="shared" si="17"/>
        <v>4130</v>
      </c>
      <c r="O126" s="581"/>
      <c r="P126" s="582">
        <v>0</v>
      </c>
      <c r="Q126" s="122"/>
      <c r="R126" s="576"/>
      <c r="S126" s="583">
        <f>+IF(ABS(+O126+Q126)&gt;=ABS(P126+R126),+O126-P126+Q126-R126,0)</f>
        <v>0</v>
      </c>
      <c r="T126" s="584">
        <v>0</v>
      </c>
      <c r="U126" s="51"/>
      <c r="V126" s="2120">
        <f>+IF(OR(ROUND(P126,2)+ROUND(R126,2)&gt;+ROUND(O126,2)+ROUND(Q126,2),+ABS(ROUND(P126,2)+ROUND(R126,2))&gt;+ABS(ROUND(O126,2)+ROUND(Q126,2))),+(ROUND(P126,2)+ROUND(R126,2))-(ROUND(O126,2)+ROUND(Q126,2)),0)</f>
        <v>0</v>
      </c>
      <c r="W126" s="43"/>
      <c r="X126" s="43"/>
      <c r="Y126" s="43"/>
      <c r="Z126" s="43"/>
    </row>
    <row r="127" spans="1:26">
      <c r="A127" s="88">
        <v>4140</v>
      </c>
      <c r="B127" s="378" t="s">
        <v>898</v>
      </c>
      <c r="C127" s="1033"/>
      <c r="D127" s="1033"/>
      <c r="E127" s="1033"/>
      <c r="F127" s="1033"/>
      <c r="G127" s="1033"/>
      <c r="H127" s="1033"/>
      <c r="I127" s="1033"/>
      <c r="J127" s="1033"/>
      <c r="K127" s="1033"/>
      <c r="L127" s="90"/>
      <c r="M127" s="51"/>
      <c r="N127" s="113">
        <f t="shared" si="17"/>
        <v>4140</v>
      </c>
      <c r="O127" s="575">
        <v>0</v>
      </c>
      <c r="P127" s="576"/>
      <c r="Q127" s="122"/>
      <c r="R127" s="324"/>
      <c r="S127" s="579">
        <v>0</v>
      </c>
      <c r="T127" s="580">
        <f>+IF(ABS(+O127+Q127)&lt;=ABS(P127+R127),-O127+P127-Q127+R127,0)</f>
        <v>0</v>
      </c>
      <c r="U127" s="51"/>
      <c r="V127" s="2119">
        <f>+IF(OR(+ROUND(O127,2)+ROUND(Q127,2)&gt;ROUND(P127,2)+ROUND(R127,2),+ABS(ROUND(O127,2)+ROUND(Q127,2))&gt;+ABS(ROUND(P127,2)+ROUND(R127,2))),+(ROUND(O127,2)+ROUND(Q127,2))-(ROUND(P127,2)+ROUND(R127,2)),0)</f>
        <v>0</v>
      </c>
      <c r="W127" s="43"/>
      <c r="X127" s="43"/>
      <c r="Y127" s="43"/>
      <c r="Z127" s="43"/>
    </row>
    <row r="128" spans="1:26">
      <c r="A128" s="88">
        <v>4211</v>
      </c>
      <c r="B128" s="378" t="s">
        <v>480</v>
      </c>
      <c r="C128" s="1033"/>
      <c r="D128" s="1033"/>
      <c r="E128" s="1033"/>
      <c r="F128" s="1033"/>
      <c r="G128" s="1033"/>
      <c r="H128" s="1033"/>
      <c r="I128" s="1033"/>
      <c r="J128" s="1033"/>
      <c r="K128" s="1033"/>
      <c r="L128" s="90"/>
      <c r="M128" s="51"/>
      <c r="N128" s="113">
        <f t="shared" si="17"/>
        <v>4211</v>
      </c>
      <c r="O128" s="575">
        <v>0</v>
      </c>
      <c r="P128" s="576">
        <v>0</v>
      </c>
      <c r="Q128" s="122">
        <v>0</v>
      </c>
      <c r="R128" s="324">
        <v>0</v>
      </c>
      <c r="S128" s="579">
        <v>0</v>
      </c>
      <c r="T128" s="580">
        <f>+IF(ABS(+O128+Q128)&lt;=ABS(P128+R128),-O128+P128-Q128+R128,0)</f>
        <v>0</v>
      </c>
      <c r="U128" s="51"/>
      <c r="V128" s="2119">
        <f>+IF(OR(+ROUND(O128,2)+ROUND(Q128,2)&gt;ROUND(P128,2)+ROUND(R128,2),+ABS(ROUND(O128,2)+ROUND(Q128,2))&gt;+ABS(ROUND(P128,2)+ROUND(R128,2))),+(ROUND(O128,2)+ROUND(Q128,2))-(ROUND(P128,2)+ROUND(R128,2)),0)</f>
        <v>0</v>
      </c>
      <c r="W128" s="43"/>
      <c r="X128" s="43"/>
      <c r="Y128" s="43"/>
      <c r="Z128" s="43"/>
    </row>
    <row r="129" spans="1:26">
      <c r="A129" s="88">
        <v>4213</v>
      </c>
      <c r="B129" s="378" t="s">
        <v>481</v>
      </c>
      <c r="C129" s="1033"/>
      <c r="D129" s="1033"/>
      <c r="E129" s="1033"/>
      <c r="F129" s="1033"/>
      <c r="G129" s="1033"/>
      <c r="H129" s="1033"/>
      <c r="I129" s="1033"/>
      <c r="J129" s="1033"/>
      <c r="K129" s="1033"/>
      <c r="L129" s="90"/>
      <c r="M129" s="51"/>
      <c r="N129" s="113">
        <f t="shared" si="17"/>
        <v>4213</v>
      </c>
      <c r="O129" s="581">
        <v>0</v>
      </c>
      <c r="P129" s="582">
        <v>0</v>
      </c>
      <c r="Q129" s="122">
        <v>0</v>
      </c>
      <c r="R129" s="576">
        <v>0</v>
      </c>
      <c r="S129" s="583">
        <f>+IF(ABS(+O129+Q129)&gt;=ABS(P129+R129),+O129-P129+Q129-R129,0)</f>
        <v>0</v>
      </c>
      <c r="T129" s="584">
        <v>0</v>
      </c>
      <c r="U129" s="51"/>
      <c r="V129" s="2120">
        <f>+IF(OR(ROUND(P129,2)+ROUND(R129,2)&gt;+ROUND(O129,2)+ROUND(Q129,2),+ABS(ROUND(P129,2)+ROUND(R129,2))&gt;+ABS(ROUND(O129,2)+ROUND(Q129,2))),+(ROUND(P129,2)+ROUND(R129,2))-(ROUND(O129,2)+ROUND(Q129,2)),0)</f>
        <v>0</v>
      </c>
      <c r="W129" s="43"/>
      <c r="X129" s="43"/>
      <c r="Y129" s="43"/>
      <c r="Z129" s="43"/>
    </row>
    <row r="130" spans="1:26">
      <c r="A130" s="88">
        <v>4222</v>
      </c>
      <c r="B130" s="378" t="s">
        <v>482</v>
      </c>
      <c r="C130" s="1033"/>
      <c r="D130" s="1033"/>
      <c r="E130" s="1033"/>
      <c r="F130" s="1033"/>
      <c r="G130" s="1033"/>
      <c r="H130" s="1033"/>
      <c r="I130" s="1033"/>
      <c r="J130" s="1033"/>
      <c r="K130" s="1033"/>
      <c r="L130" s="90"/>
      <c r="M130" s="51"/>
      <c r="N130" s="113">
        <f t="shared" si="17"/>
        <v>4222</v>
      </c>
      <c r="O130" s="575">
        <v>0</v>
      </c>
      <c r="P130" s="576"/>
      <c r="Q130" s="122"/>
      <c r="R130" s="324"/>
      <c r="S130" s="579">
        <v>0</v>
      </c>
      <c r="T130" s="580">
        <f>+IF(ABS(+O130+Q130)&lt;=ABS(P130+R130),-O130+P130-Q130+R130,0)</f>
        <v>0</v>
      </c>
      <c r="U130" s="51"/>
      <c r="V130" s="2119">
        <f>+IF(OR(+ROUND(O130,2)+ROUND(Q130,2)&gt;ROUND(P130,2)+ROUND(R130,2),+ABS(ROUND(O130,2)+ROUND(Q130,2))&gt;+ABS(ROUND(P130,2)+ROUND(R130,2))),+(ROUND(O130,2)+ROUND(Q130,2))-(ROUND(P130,2)+ROUND(R130,2)),0)</f>
        <v>0</v>
      </c>
      <c r="W130" s="43"/>
      <c r="X130" s="43"/>
      <c r="Y130" s="43"/>
      <c r="Z130" s="43"/>
    </row>
    <row r="131" spans="1:26">
      <c r="A131" s="88">
        <v>4224</v>
      </c>
      <c r="B131" s="378" t="s">
        <v>483</v>
      </c>
      <c r="C131" s="1033"/>
      <c r="D131" s="1033"/>
      <c r="E131" s="1033"/>
      <c r="F131" s="1033"/>
      <c r="G131" s="1033"/>
      <c r="H131" s="1033"/>
      <c r="I131" s="1033"/>
      <c r="J131" s="1033"/>
      <c r="K131" s="1033"/>
      <c r="L131" s="90"/>
      <c r="M131" s="51"/>
      <c r="N131" s="113">
        <f t="shared" si="17"/>
        <v>4224</v>
      </c>
      <c r="O131" s="581"/>
      <c r="P131" s="582">
        <v>0</v>
      </c>
      <c r="Q131" s="122"/>
      <c r="R131" s="576"/>
      <c r="S131" s="583">
        <f>+IF(ABS(+O131+Q131)&gt;=ABS(P131+R131),+O131-P131+Q131-R131,0)</f>
        <v>0</v>
      </c>
      <c r="T131" s="584">
        <v>0</v>
      </c>
      <c r="U131" s="51"/>
      <c r="V131" s="2120">
        <f>+IF(OR(ROUND(P131,2)+ROUND(R131,2)&gt;+ROUND(O131,2)+ROUND(Q131,2),+ABS(ROUND(P131,2)+ROUND(R131,2))&gt;+ABS(ROUND(O131,2)+ROUND(Q131,2))),+(ROUND(P131,2)+ROUND(R131,2))-(ROUND(O131,2)+ROUND(Q131,2)),0)</f>
        <v>0</v>
      </c>
      <c r="W131" s="43"/>
      <c r="X131" s="43"/>
      <c r="Y131" s="43"/>
      <c r="Z131" s="43"/>
    </row>
    <row r="132" spans="1:26">
      <c r="A132" s="88">
        <v>4230</v>
      </c>
      <c r="B132" s="378" t="s">
        <v>1001</v>
      </c>
      <c r="C132" s="1033"/>
      <c r="D132" s="1033"/>
      <c r="E132" s="1033"/>
      <c r="F132" s="1033"/>
      <c r="G132" s="1033"/>
      <c r="H132" s="1033"/>
      <c r="I132" s="1033"/>
      <c r="J132" s="1033"/>
      <c r="K132" s="1033"/>
      <c r="L132" s="90"/>
      <c r="M132" s="51"/>
      <c r="N132" s="113">
        <f t="shared" si="17"/>
        <v>4230</v>
      </c>
      <c r="O132" s="575">
        <v>0</v>
      </c>
      <c r="P132" s="594">
        <v>0</v>
      </c>
      <c r="Q132" s="122">
        <v>0</v>
      </c>
      <c r="R132" s="324">
        <v>0</v>
      </c>
      <c r="S132" s="579">
        <v>0</v>
      </c>
      <c r="T132" s="580">
        <f>+IF(ABS(+O132+Q132)&lt;=ABS(P132+R132),-O132+P132-Q132+R132,0)</f>
        <v>0</v>
      </c>
      <c r="U132" s="51"/>
      <c r="V132" s="2119">
        <f>+IF(OR(+ROUND(O132,2)+ROUND(Q132,2)&gt;ROUND(P132,2)+ROUND(R132,2),+ABS(ROUND(O132,2)+ROUND(Q132,2))&gt;+ABS(ROUND(P132,2)+ROUND(R132,2))),+(ROUND(O132,2)+ROUND(Q132,2))-(ROUND(P132,2)+ROUND(R132,2)),0)</f>
        <v>0</v>
      </c>
      <c r="W132" s="43"/>
      <c r="X132" s="43"/>
      <c r="Y132" s="43"/>
      <c r="Z132" s="43"/>
    </row>
    <row r="133" spans="1:26">
      <c r="A133" s="88">
        <v>4241</v>
      </c>
      <c r="B133" s="1032" t="s">
        <v>484</v>
      </c>
      <c r="C133" s="1033"/>
      <c r="D133" s="1033"/>
      <c r="E133" s="1033"/>
      <c r="F133" s="1033"/>
      <c r="G133" s="1033"/>
      <c r="H133" s="1033"/>
      <c r="I133" s="1033"/>
      <c r="J133" s="1033"/>
      <c r="K133" s="1033"/>
      <c r="L133" s="90"/>
      <c r="M133" s="51"/>
      <c r="N133" s="113">
        <f t="shared" si="17"/>
        <v>4241</v>
      </c>
      <c r="O133" s="575">
        <v>0</v>
      </c>
      <c r="P133" s="576"/>
      <c r="Q133" s="122"/>
      <c r="R133" s="324"/>
      <c r="S133" s="579">
        <v>0</v>
      </c>
      <c r="T133" s="580">
        <f>+IF(ABS(+O133+Q133)&lt;=ABS(P133+R133),-O133+P133-Q133+R133,0)</f>
        <v>0</v>
      </c>
      <c r="U133" s="51"/>
      <c r="V133" s="2119">
        <f>+IF(OR(+ROUND(O133,2)+ROUND(Q133,2)&gt;ROUND(P133,2)+ROUND(R133,2),+ABS(ROUND(O133,2)+ROUND(Q133,2))&gt;+ABS(ROUND(P133,2)+ROUND(R133,2))),+(ROUND(O133,2)+ROUND(Q133,2))-(ROUND(P133,2)+ROUND(R133,2)),0)</f>
        <v>0</v>
      </c>
      <c r="W133" s="43"/>
      <c r="X133" s="43"/>
      <c r="Y133" s="43"/>
      <c r="Z133" s="43"/>
    </row>
    <row r="134" spans="1:26">
      <c r="A134" s="88">
        <v>4243</v>
      </c>
      <c r="B134" s="1032" t="s">
        <v>485</v>
      </c>
      <c r="C134" s="1033"/>
      <c r="D134" s="1033"/>
      <c r="E134" s="1033"/>
      <c r="F134" s="1033"/>
      <c r="G134" s="1033"/>
      <c r="H134" s="1033"/>
      <c r="I134" s="1033"/>
      <c r="J134" s="1033"/>
      <c r="K134" s="1033"/>
      <c r="L134" s="90"/>
      <c r="M134" s="51"/>
      <c r="N134" s="113">
        <f t="shared" si="17"/>
        <v>4243</v>
      </c>
      <c r="O134" s="581"/>
      <c r="P134" s="582">
        <v>0</v>
      </c>
      <c r="Q134" s="122"/>
      <c r="R134" s="576"/>
      <c r="S134" s="583">
        <f>+IF(ABS(+O134+Q134)&gt;=ABS(P134+R134),+O134-P134+Q134-R134,0)</f>
        <v>0</v>
      </c>
      <c r="T134" s="584">
        <v>0</v>
      </c>
      <c r="U134" s="51"/>
      <c r="V134" s="2120">
        <f>+IF(OR(ROUND(P134,2)+ROUND(R134,2)&gt;+ROUND(O134,2)+ROUND(Q134,2),+ABS(ROUND(P134,2)+ROUND(R134,2))&gt;+ABS(ROUND(O134,2)+ROUND(Q134,2))),+(ROUND(P134,2)+ROUND(R134,2))-(ROUND(O134,2)+ROUND(Q134,2)),0)</f>
        <v>0</v>
      </c>
      <c r="W134" s="43"/>
      <c r="X134" s="43"/>
      <c r="Y134" s="43"/>
      <c r="Z134" s="43"/>
    </row>
    <row r="135" spans="1:26">
      <c r="A135" s="88">
        <v>4252</v>
      </c>
      <c r="B135" s="378" t="s">
        <v>486</v>
      </c>
      <c r="C135" s="1033"/>
      <c r="D135" s="1033"/>
      <c r="E135" s="1033"/>
      <c r="F135" s="1033"/>
      <c r="G135" s="1033"/>
      <c r="H135" s="1033"/>
      <c r="I135" s="1033"/>
      <c r="J135" s="1033"/>
      <c r="K135" s="1033"/>
      <c r="L135" s="90"/>
      <c r="M135" s="51"/>
      <c r="N135" s="113">
        <f t="shared" si="17"/>
        <v>4252</v>
      </c>
      <c r="O135" s="575">
        <v>0</v>
      </c>
      <c r="P135" s="576"/>
      <c r="Q135" s="122"/>
      <c r="R135" s="324"/>
      <c r="S135" s="579">
        <v>0</v>
      </c>
      <c r="T135" s="580">
        <f>+IF(ABS(+O135+Q135)&lt;=ABS(P135+R135),-O135+P135-Q135+R135,0)</f>
        <v>0</v>
      </c>
      <c r="U135" s="51"/>
      <c r="V135" s="2119">
        <f>+IF(OR(+ROUND(O135,2)+ROUND(Q135,2)&gt;ROUND(P135,2)+ROUND(R135,2),+ABS(ROUND(O135,2)+ROUND(Q135,2))&gt;+ABS(ROUND(P135,2)+ROUND(R135,2))),+(ROUND(O135,2)+ROUND(Q135,2))-(ROUND(P135,2)+ROUND(R135,2)),0)</f>
        <v>0</v>
      </c>
      <c r="W135" s="43"/>
      <c r="X135" s="43"/>
      <c r="Y135" s="43"/>
      <c r="Z135" s="43"/>
    </row>
    <row r="136" spans="1:26">
      <c r="A136" s="88">
        <v>4254</v>
      </c>
      <c r="B136" s="378" t="s">
        <v>487</v>
      </c>
      <c r="C136" s="1033"/>
      <c r="D136" s="1033"/>
      <c r="E136" s="1033"/>
      <c r="F136" s="1033"/>
      <c r="G136" s="1033"/>
      <c r="H136" s="1033"/>
      <c r="I136" s="1033"/>
      <c r="J136" s="1033"/>
      <c r="K136" s="1033"/>
      <c r="L136" s="90"/>
      <c r="M136" s="51"/>
      <c r="N136" s="113">
        <f t="shared" si="17"/>
        <v>4254</v>
      </c>
      <c r="O136" s="581"/>
      <c r="P136" s="582">
        <v>0</v>
      </c>
      <c r="Q136" s="122"/>
      <c r="R136" s="576"/>
      <c r="S136" s="583">
        <f>+IF(ABS(+O136+Q136)&gt;=ABS(P136+R136),+O136-P136+Q136-R136,0)</f>
        <v>0</v>
      </c>
      <c r="T136" s="584">
        <v>0</v>
      </c>
      <c r="U136" s="51"/>
      <c r="V136" s="2120">
        <f>+IF(OR(ROUND(P136,2)+ROUND(R136,2)&gt;+ROUND(O136,2)+ROUND(Q136,2),+ABS(ROUND(P136,2)+ROUND(R136,2))&gt;+ABS(ROUND(O136,2)+ROUND(Q136,2))),+(ROUND(P136,2)+ROUND(R136,2))-(ROUND(O136,2)+ROUND(Q136,2)),0)</f>
        <v>0</v>
      </c>
      <c r="W136" s="43"/>
      <c r="X136" s="43"/>
      <c r="Y136" s="43"/>
      <c r="Z136" s="43"/>
    </row>
    <row r="137" spans="1:26">
      <c r="A137" s="88">
        <v>4261</v>
      </c>
      <c r="B137" s="378" t="s">
        <v>488</v>
      </c>
      <c r="C137" s="1033"/>
      <c r="D137" s="1033"/>
      <c r="E137" s="1033"/>
      <c r="F137" s="1033"/>
      <c r="G137" s="1033"/>
      <c r="H137" s="1033"/>
      <c r="I137" s="1033"/>
      <c r="J137" s="1033"/>
      <c r="K137" s="1033"/>
      <c r="L137" s="90"/>
      <c r="M137" s="51"/>
      <c r="N137" s="113">
        <f t="shared" si="17"/>
        <v>4261</v>
      </c>
      <c r="O137" s="581">
        <v>0</v>
      </c>
      <c r="P137" s="582">
        <v>0</v>
      </c>
      <c r="Q137" s="122">
        <v>0</v>
      </c>
      <c r="R137" s="576">
        <v>0</v>
      </c>
      <c r="S137" s="583">
        <f>+IF(ABS(+O137+Q137)&gt;=ABS(P137+R137),+O137-P137+Q137-R137,0)</f>
        <v>0</v>
      </c>
      <c r="T137" s="584">
        <v>0</v>
      </c>
      <c r="U137" s="51"/>
      <c r="V137" s="2120">
        <f>+IF(OR(ROUND(P137,2)+ROUND(R137,2)&gt;+ROUND(O137,2)+ROUND(Q137,2),+ABS(ROUND(P137,2)+ROUND(R137,2))&gt;+ABS(ROUND(O137,2)+ROUND(Q137,2))),+(ROUND(P137,2)+ROUND(R137,2))-(ROUND(O137,2)+ROUND(Q137,2)),0)</f>
        <v>0</v>
      </c>
      <c r="W137" s="43"/>
      <c r="X137" s="43"/>
      <c r="Y137" s="43"/>
      <c r="Z137" s="43"/>
    </row>
    <row r="138" spans="1:26">
      <c r="A138" s="88">
        <v>4262</v>
      </c>
      <c r="B138" s="378" t="s">
        <v>489</v>
      </c>
      <c r="C138" s="1033"/>
      <c r="D138" s="1033"/>
      <c r="E138" s="1033"/>
      <c r="F138" s="1033"/>
      <c r="G138" s="1033"/>
      <c r="H138" s="1033"/>
      <c r="I138" s="1033"/>
      <c r="J138" s="1033"/>
      <c r="K138" s="1033"/>
      <c r="L138" s="90"/>
      <c r="M138" s="51"/>
      <c r="N138" s="113">
        <f t="shared" si="17"/>
        <v>4262</v>
      </c>
      <c r="O138" s="581"/>
      <c r="P138" s="582">
        <v>0</v>
      </c>
      <c r="Q138" s="122"/>
      <c r="R138" s="576"/>
      <c r="S138" s="583">
        <f>+IF(ABS(+O138+Q138)&gt;=ABS(P138+R138),+O138-P138+Q138-R138,0)</f>
        <v>0</v>
      </c>
      <c r="T138" s="584">
        <v>0</v>
      </c>
      <c r="U138" s="51"/>
      <c r="V138" s="2120">
        <f>+IF(OR(ROUND(P138,2)+ROUND(R138,2)&gt;+ROUND(O138,2)+ROUND(Q138,2),+ABS(ROUND(P138,2)+ROUND(R138,2))&gt;+ABS(ROUND(O138,2)+ROUND(Q138,2))),+(ROUND(P138,2)+ROUND(R138,2))-(ROUND(O138,2)+ROUND(Q138,2)),0)</f>
        <v>0</v>
      </c>
      <c r="W138" s="43"/>
      <c r="X138" s="43"/>
      <c r="Y138" s="43"/>
      <c r="Z138" s="43"/>
    </row>
    <row r="139" spans="1:26">
      <c r="A139" s="88">
        <v>4271</v>
      </c>
      <c r="B139" s="378" t="s">
        <v>392</v>
      </c>
      <c r="C139" s="1033"/>
      <c r="D139" s="1033"/>
      <c r="E139" s="1033"/>
      <c r="F139" s="1033"/>
      <c r="G139" s="1033"/>
      <c r="H139" s="1033"/>
      <c r="I139" s="1033"/>
      <c r="J139" s="1033"/>
      <c r="K139" s="1033"/>
      <c r="L139" s="90"/>
      <c r="M139" s="51"/>
      <c r="N139" s="113">
        <f t="shared" si="17"/>
        <v>4271</v>
      </c>
      <c r="O139" s="575">
        <v>0</v>
      </c>
      <c r="P139" s="576"/>
      <c r="Q139" s="122"/>
      <c r="R139" s="324"/>
      <c r="S139" s="579">
        <v>0</v>
      </c>
      <c r="T139" s="580">
        <f>+IF(ABS(+O139+Q139)&lt;=ABS(P139+R139),-O139+P139-Q139+R139,0)</f>
        <v>0</v>
      </c>
      <c r="U139" s="51"/>
      <c r="V139" s="2119">
        <f>+IF(OR(+ROUND(O139,2)+ROUND(Q139,2)&gt;ROUND(P139,2)+ROUND(R139,2),+ABS(ROUND(O139,2)+ROUND(Q139,2))&gt;+ABS(ROUND(P139,2)+ROUND(R139,2))),+(ROUND(O139,2)+ROUND(Q139,2))-(ROUND(P139,2)+ROUND(R139,2)),0)</f>
        <v>0</v>
      </c>
      <c r="W139" s="43"/>
      <c r="X139" s="43"/>
      <c r="Y139" s="43"/>
      <c r="Z139" s="43"/>
    </row>
    <row r="140" spans="1:26">
      <c r="A140" s="88">
        <v>4272</v>
      </c>
      <c r="B140" s="378" t="s">
        <v>393</v>
      </c>
      <c r="C140" s="1033"/>
      <c r="D140" s="1033"/>
      <c r="E140" s="1033"/>
      <c r="F140" s="1033"/>
      <c r="G140" s="1033"/>
      <c r="H140" s="1033"/>
      <c r="I140" s="1033"/>
      <c r="J140" s="1033"/>
      <c r="K140" s="1033"/>
      <c r="L140" s="90"/>
      <c r="M140" s="51"/>
      <c r="N140" s="113">
        <f t="shared" si="17"/>
        <v>4272</v>
      </c>
      <c r="O140" s="575">
        <v>0</v>
      </c>
      <c r="P140" s="576"/>
      <c r="Q140" s="122"/>
      <c r="R140" s="324"/>
      <c r="S140" s="579">
        <v>0</v>
      </c>
      <c r="T140" s="580">
        <f>+IF(ABS(+O140+Q140)&lt;=ABS(P140+R140),-O140+P140-Q140+R140,0)</f>
        <v>0</v>
      </c>
      <c r="U140" s="51"/>
      <c r="V140" s="2119">
        <f>+IF(OR(+ROUND(O140,2)+ROUND(Q140,2)&gt;ROUND(P140,2)+ROUND(R140,2),+ABS(ROUND(O140,2)+ROUND(Q140,2))&gt;+ABS(ROUND(P140,2)+ROUND(R140,2))),+(ROUND(O140,2)+ROUND(Q140,2))-(ROUND(P140,2)+ROUND(R140,2)),0)</f>
        <v>0</v>
      </c>
      <c r="W140" s="43"/>
      <c r="X140" s="43"/>
      <c r="Y140" s="43"/>
      <c r="Z140" s="43"/>
    </row>
    <row r="141" spans="1:26">
      <c r="A141" s="88">
        <v>4279</v>
      </c>
      <c r="B141" s="378" t="s">
        <v>479</v>
      </c>
      <c r="C141" s="378"/>
      <c r="D141" s="1033"/>
      <c r="E141" s="1033"/>
      <c r="F141" s="1033"/>
      <c r="G141" s="1033"/>
      <c r="H141" s="1033"/>
      <c r="I141" s="1033"/>
      <c r="J141" s="1033"/>
      <c r="K141" s="1033"/>
      <c r="L141" s="90"/>
      <c r="M141" s="51"/>
      <c r="N141" s="113">
        <f t="shared" si="17"/>
        <v>4279</v>
      </c>
      <c r="O141" s="581"/>
      <c r="P141" s="582">
        <v>0</v>
      </c>
      <c r="Q141" s="122"/>
      <c r="R141" s="576"/>
      <c r="S141" s="583">
        <f>+IF(ABS(+O141+Q141)&gt;=ABS(P141+R141),+O141-P141+Q141-R141,0)</f>
        <v>0</v>
      </c>
      <c r="T141" s="584">
        <v>0</v>
      </c>
      <c r="U141" s="51"/>
      <c r="V141" s="2120">
        <f>+IF(OR(ROUND(P141,2)+ROUND(R141,2)&gt;+ROUND(O141,2)+ROUND(Q141,2),+ABS(ROUND(P141,2)+ROUND(R141,2))&gt;+ABS(ROUND(O141,2)+ROUND(Q141,2))),+(ROUND(P141,2)+ROUND(R141,2))-(ROUND(O141,2)+ROUND(Q141,2)),0)</f>
        <v>0</v>
      </c>
      <c r="W141" s="43"/>
      <c r="X141" s="43"/>
      <c r="Y141" s="43"/>
      <c r="Z141" s="43"/>
    </row>
    <row r="142" spans="1:26">
      <c r="A142" s="88">
        <v>4281</v>
      </c>
      <c r="B142" s="378" t="s">
        <v>394</v>
      </c>
      <c r="C142" s="1033"/>
      <c r="D142" s="1033"/>
      <c r="E142" s="1033"/>
      <c r="F142" s="1033"/>
      <c r="G142" s="1033"/>
      <c r="H142" s="1033"/>
      <c r="I142" s="1033"/>
      <c r="J142" s="1033"/>
      <c r="K142" s="1033"/>
      <c r="L142" s="90"/>
      <c r="M142" s="51"/>
      <c r="N142" s="113">
        <f t="shared" si="17"/>
        <v>4281</v>
      </c>
      <c r="O142" s="575">
        <v>0</v>
      </c>
      <c r="P142" s="576"/>
      <c r="Q142" s="122"/>
      <c r="R142" s="324"/>
      <c r="S142" s="579">
        <v>0</v>
      </c>
      <c r="T142" s="580">
        <f>+IF(ABS(+O142+Q142)&lt;=ABS(P142+R142),-O142+P142-Q142+R142,0)</f>
        <v>0</v>
      </c>
      <c r="U142" s="51"/>
      <c r="V142" s="2119">
        <f>+IF(OR(+ROUND(O142,2)+ROUND(Q142,2)&gt;ROUND(P142,2)+ROUND(R142,2),+ABS(ROUND(O142,2)+ROUND(Q142,2))&gt;+ABS(ROUND(P142,2)+ROUND(R142,2))),+(ROUND(O142,2)+ROUND(Q142,2))-(ROUND(P142,2)+ROUND(R142,2)),0)</f>
        <v>0</v>
      </c>
      <c r="W142" s="43"/>
      <c r="X142" s="43"/>
      <c r="Y142" s="43"/>
      <c r="Z142" s="43"/>
    </row>
    <row r="143" spans="1:26">
      <c r="A143" s="88">
        <v>4282</v>
      </c>
      <c r="B143" s="378" t="s">
        <v>395</v>
      </c>
      <c r="C143" s="1033"/>
      <c r="D143" s="1033"/>
      <c r="E143" s="1033"/>
      <c r="F143" s="1033"/>
      <c r="G143" s="1033"/>
      <c r="H143" s="1033"/>
      <c r="I143" s="1033"/>
      <c r="J143" s="1033"/>
      <c r="K143" s="1033"/>
      <c r="L143" s="90"/>
      <c r="M143" s="51"/>
      <c r="N143" s="113">
        <f t="shared" si="17"/>
        <v>4282</v>
      </c>
      <c r="O143" s="575">
        <v>0</v>
      </c>
      <c r="P143" s="576"/>
      <c r="Q143" s="122"/>
      <c r="R143" s="324"/>
      <c r="S143" s="579">
        <v>0</v>
      </c>
      <c r="T143" s="580">
        <f>+IF(ABS(+O143+Q143)&lt;=ABS(P143+R143),-O143+P143-Q143+R143,0)</f>
        <v>0</v>
      </c>
      <c r="U143" s="51"/>
      <c r="V143" s="2119">
        <f>+IF(OR(+ROUND(O143,2)+ROUND(Q143,2)&gt;ROUND(P143,2)+ROUND(R143,2),+ABS(ROUND(O143,2)+ROUND(Q143,2))&gt;+ABS(ROUND(P143,2)+ROUND(R143,2))),+(ROUND(O143,2)+ROUND(Q143,2))-(ROUND(P143,2)+ROUND(R143,2)),0)</f>
        <v>0</v>
      </c>
      <c r="W143" s="43"/>
      <c r="X143" s="43"/>
      <c r="Y143" s="43"/>
      <c r="Z143" s="43"/>
    </row>
    <row r="144" spans="1:26">
      <c r="A144" s="88">
        <v>4287</v>
      </c>
      <c r="B144" s="378" t="s">
        <v>396</v>
      </c>
      <c r="C144" s="1033"/>
      <c r="D144" s="1033"/>
      <c r="E144" s="1033"/>
      <c r="F144" s="1033"/>
      <c r="G144" s="1033"/>
      <c r="H144" s="1033"/>
      <c r="I144" s="1033"/>
      <c r="J144" s="1033"/>
      <c r="K144" s="1033"/>
      <c r="L144" s="90"/>
      <c r="M144" s="51"/>
      <c r="N144" s="113">
        <f t="shared" si="17"/>
        <v>4287</v>
      </c>
      <c r="O144" s="581"/>
      <c r="P144" s="582">
        <v>0</v>
      </c>
      <c r="Q144" s="122"/>
      <c r="R144" s="576"/>
      <c r="S144" s="583">
        <f>+IF(ABS(+O144+Q144)&gt;=ABS(P144+R144),+O144-P144+Q144-R144,0)</f>
        <v>0</v>
      </c>
      <c r="T144" s="584">
        <v>0</v>
      </c>
      <c r="U144" s="51"/>
      <c r="V144" s="2120">
        <f>+IF(OR(ROUND(P144,2)+ROUND(R144,2)&gt;+ROUND(O144,2)+ROUND(Q144,2),+ABS(ROUND(P144,2)+ROUND(R144,2))&gt;+ABS(ROUND(O144,2)+ROUND(Q144,2))),+(ROUND(P144,2)+ROUND(R144,2))-(ROUND(O144,2)+ROUND(Q144,2)),0)</f>
        <v>0</v>
      </c>
      <c r="W144" s="43"/>
      <c r="X144" s="43"/>
      <c r="Y144" s="43"/>
      <c r="Z144" s="43"/>
    </row>
    <row r="145" spans="1:26">
      <c r="A145" s="88">
        <v>4288</v>
      </c>
      <c r="B145" s="378" t="s">
        <v>397</v>
      </c>
      <c r="C145" s="1033"/>
      <c r="D145" s="1033"/>
      <c r="E145" s="1033"/>
      <c r="F145" s="1033"/>
      <c r="G145" s="1033"/>
      <c r="H145" s="1033"/>
      <c r="I145" s="1033"/>
      <c r="J145" s="1033"/>
      <c r="K145" s="1033"/>
      <c r="L145" s="90"/>
      <c r="M145" s="51"/>
      <c r="N145" s="113">
        <f t="shared" si="17"/>
        <v>4288</v>
      </c>
      <c r="O145" s="581"/>
      <c r="P145" s="582">
        <v>0</v>
      </c>
      <c r="Q145" s="122"/>
      <c r="R145" s="576"/>
      <c r="S145" s="583">
        <f>+IF(ABS(+O145+Q145)&gt;=ABS(P145+R145),+O145-P145+Q145-R145,0)</f>
        <v>0</v>
      </c>
      <c r="T145" s="584">
        <v>0</v>
      </c>
      <c r="U145" s="51"/>
      <c r="V145" s="2120">
        <f>+IF(OR(ROUND(P145,2)+ROUND(R145,2)&gt;+ROUND(O145,2)+ROUND(Q145,2),+ABS(ROUND(P145,2)+ROUND(R145,2))&gt;+ABS(ROUND(O145,2)+ROUND(Q145,2))),+(ROUND(P145,2)+ROUND(R145,2))-(ROUND(O145,2)+ROUND(Q145,2)),0)</f>
        <v>0</v>
      </c>
      <c r="W145" s="43"/>
      <c r="X145" s="43"/>
      <c r="Y145" s="43"/>
      <c r="Z145" s="43"/>
    </row>
    <row r="146" spans="1:26">
      <c r="A146" s="88">
        <v>4291</v>
      </c>
      <c r="B146" s="378" t="s">
        <v>400</v>
      </c>
      <c r="C146" s="1033"/>
      <c r="D146" s="1033"/>
      <c r="E146" s="1033"/>
      <c r="F146" s="1033"/>
      <c r="G146" s="1033"/>
      <c r="H146" s="1033"/>
      <c r="I146" s="1033"/>
      <c r="J146" s="1033"/>
      <c r="K146" s="1033"/>
      <c r="L146" s="90"/>
      <c r="M146" s="51"/>
      <c r="N146" s="113">
        <f t="shared" si="17"/>
        <v>4291</v>
      </c>
      <c r="O146" s="575">
        <v>0</v>
      </c>
      <c r="P146" s="576">
        <v>0</v>
      </c>
      <c r="Q146" s="122">
        <v>0</v>
      </c>
      <c r="R146" s="324">
        <v>0</v>
      </c>
      <c r="S146" s="579">
        <v>0</v>
      </c>
      <c r="T146" s="580">
        <f>+IF(ABS(+O146+Q146)&lt;=ABS(P146+R146),-O146+P146-Q146+R146,0)</f>
        <v>0</v>
      </c>
      <c r="U146" s="51"/>
      <c r="V146" s="2119">
        <f>+IF(OR(+ROUND(O146,2)+ROUND(Q146,2)&gt;ROUND(P146,2)+ROUND(R146,2),+ABS(ROUND(O146,2)+ROUND(Q146,2))&gt;+ABS(ROUND(P146,2)+ROUND(R146,2))),+(ROUND(O146,2)+ROUND(Q146,2))-(ROUND(P146,2)+ROUND(R146,2)),0)</f>
        <v>0</v>
      </c>
      <c r="W146" s="43"/>
      <c r="X146" s="43"/>
      <c r="Y146" s="43"/>
      <c r="Z146" s="43"/>
    </row>
    <row r="147" spans="1:26">
      <c r="A147" s="88">
        <v>4299</v>
      </c>
      <c r="B147" s="1032" t="s">
        <v>401</v>
      </c>
      <c r="C147" s="1033"/>
      <c r="D147" s="1033"/>
      <c r="E147" s="1033"/>
      <c r="F147" s="1033"/>
      <c r="G147" s="1033"/>
      <c r="H147" s="1033"/>
      <c r="I147" s="1033"/>
      <c r="J147" s="1033"/>
      <c r="K147" s="1033"/>
      <c r="L147" s="90"/>
      <c r="M147" s="51"/>
      <c r="N147" s="113">
        <f t="shared" si="17"/>
        <v>4299</v>
      </c>
      <c r="O147" s="581">
        <v>0</v>
      </c>
      <c r="P147" s="582">
        <v>0</v>
      </c>
      <c r="Q147" s="122">
        <v>0</v>
      </c>
      <c r="R147" s="576">
        <v>0</v>
      </c>
      <c r="S147" s="583">
        <f>+IF(ABS(+O147+Q147)&gt;=ABS(P147+R147),+O147-P147+Q147-R147,0)</f>
        <v>0</v>
      </c>
      <c r="T147" s="584">
        <v>0</v>
      </c>
      <c r="U147" s="51"/>
      <c r="V147" s="2120">
        <f>+IF(OR(ROUND(P147,2)+ROUND(R147,2)&gt;+ROUND(O147,2)+ROUND(Q147,2),+ABS(ROUND(P147,2)+ROUND(R147,2))&gt;+ABS(ROUND(O147,2)+ROUND(Q147,2))),+(ROUND(P147,2)+ROUND(R147,2))-(ROUND(O147,2)+ROUND(Q147,2)),0)</f>
        <v>0</v>
      </c>
      <c r="W147" s="43"/>
      <c r="X147" s="43"/>
      <c r="Y147" s="43"/>
      <c r="Z147" s="43"/>
    </row>
    <row r="148" spans="1:26">
      <c r="A148" s="417">
        <v>4301</v>
      </c>
      <c r="B148" s="2181" t="s">
        <v>2087</v>
      </c>
      <c r="C148" s="1033"/>
      <c r="D148" s="1033"/>
      <c r="E148" s="1033"/>
      <c r="F148" s="1033"/>
      <c r="G148" s="1033"/>
      <c r="H148" s="1033"/>
      <c r="I148" s="1033"/>
      <c r="J148" s="1033"/>
      <c r="K148" s="1033"/>
      <c r="L148" s="90"/>
      <c r="M148" s="51"/>
      <c r="N148" s="113">
        <f t="shared" si="17"/>
        <v>4301</v>
      </c>
      <c r="O148" s="593"/>
      <c r="P148" s="582">
        <v>0</v>
      </c>
      <c r="Q148" s="122"/>
      <c r="R148" s="576"/>
      <c r="S148" s="583">
        <f>+IF(ABS(+O148+Q148)&gt;=ABS(P148+R148),+O148-P148+Q148-R148,0)</f>
        <v>0</v>
      </c>
      <c r="T148" s="584">
        <v>0</v>
      </c>
      <c r="U148" s="51"/>
      <c r="V148" s="2120">
        <f>+IF(OR(ROUND(P148,2)+ROUND(R148,2)&gt;+ROUND(O148,2)+ROUND(Q148,2),+ABS(ROUND(P148,2)+ROUND(R148,2))&gt;+ABS(ROUND(O148,2)+ROUND(Q148,2))),+(ROUND(P148,2)+ROUND(R148,2))-(ROUND(O148,2)+ROUND(Q148,2)),0)</f>
        <v>0</v>
      </c>
      <c r="W148" s="43"/>
      <c r="X148" s="43"/>
      <c r="Y148" s="43"/>
      <c r="Z148" s="43"/>
    </row>
    <row r="149" spans="1:26">
      <c r="A149" s="417">
        <v>4303</v>
      </c>
      <c r="B149" s="378" t="s">
        <v>402</v>
      </c>
      <c r="C149" s="1033"/>
      <c r="D149" s="1033"/>
      <c r="E149" s="1033"/>
      <c r="F149" s="1033"/>
      <c r="G149" s="1033"/>
      <c r="H149" s="1033"/>
      <c r="I149" s="1033"/>
      <c r="J149" s="1033"/>
      <c r="K149" s="1033"/>
      <c r="L149" s="90"/>
      <c r="M149" s="51"/>
      <c r="N149" s="113">
        <f t="shared" si="17"/>
        <v>4303</v>
      </c>
      <c r="O149" s="581"/>
      <c r="P149" s="582">
        <v>0</v>
      </c>
      <c r="Q149" s="589"/>
      <c r="R149" s="576"/>
      <c r="S149" s="583">
        <f>+IF(ABS(+O149+Q149)&gt;=ABS(P149+R149),+O149-P149+Q149-R149,0)</f>
        <v>0</v>
      </c>
      <c r="T149" s="584">
        <v>0</v>
      </c>
      <c r="U149" s="51"/>
      <c r="V149" s="2120">
        <f>+IF(OR(ROUND(P149,2)+ROUND(R149,2)&gt;+ROUND(O149,2)+ROUND(Q149,2),+ABS(ROUND(P149,2)+ROUND(R149,2))&gt;+ABS(ROUND(O149,2)+ROUND(Q149,2))),+(ROUND(P149,2)+ROUND(R149,2))-(ROUND(O149,2)+ROUND(Q149,2)),0)</f>
        <v>0</v>
      </c>
      <c r="W149" s="43"/>
      <c r="X149" s="43"/>
      <c r="Y149" s="43"/>
      <c r="Z149" s="43"/>
    </row>
    <row r="150" spans="1:26">
      <c r="A150" s="88">
        <v>4311</v>
      </c>
      <c r="B150" s="1033" t="s">
        <v>403</v>
      </c>
      <c r="C150" s="1033"/>
      <c r="D150" s="1033"/>
      <c r="E150" s="1033"/>
      <c r="F150" s="1033"/>
      <c r="G150" s="1033"/>
      <c r="H150" s="1033"/>
      <c r="I150" s="1033"/>
      <c r="J150" s="1033"/>
      <c r="K150" s="1033"/>
      <c r="L150" s="90"/>
      <c r="M150" s="51"/>
      <c r="N150" s="113">
        <f t="shared" si="17"/>
        <v>4311</v>
      </c>
      <c r="O150" s="575">
        <v>0</v>
      </c>
      <c r="P150" s="576"/>
      <c r="Q150" s="589"/>
      <c r="R150" s="324"/>
      <c r="S150" s="579">
        <v>0</v>
      </c>
      <c r="T150" s="580">
        <f>+IF(ABS(+O150+Q150)&lt;=ABS(P150+R150),-O150+P150-Q150+R150,0)</f>
        <v>0</v>
      </c>
      <c r="U150" s="51"/>
      <c r="V150" s="2119">
        <f>+IF(OR(+ROUND(O150,2)+ROUND(Q150,2)&gt;ROUND(P150,2)+ROUND(R150,2),+ABS(ROUND(O150,2)+ROUND(Q150,2))&gt;+ABS(ROUND(P150,2)+ROUND(R150,2))),+(ROUND(O150,2)+ROUND(Q150,2))-(ROUND(P150,2)+ROUND(R150,2)),0)</f>
        <v>0</v>
      </c>
      <c r="W150" s="43"/>
      <c r="X150" s="43"/>
      <c r="Y150" s="43"/>
      <c r="Z150" s="43"/>
    </row>
    <row r="151" spans="1:26">
      <c r="A151" s="88">
        <v>4313</v>
      </c>
      <c r="B151" s="1033" t="s">
        <v>404</v>
      </c>
      <c r="C151" s="1033"/>
      <c r="D151" s="1033"/>
      <c r="E151" s="1033"/>
      <c r="F151" s="1033"/>
      <c r="G151" s="1033"/>
      <c r="H151" s="1033"/>
      <c r="I151" s="1033"/>
      <c r="J151" s="1033"/>
      <c r="K151" s="1033"/>
      <c r="L151" s="90"/>
      <c r="M151" s="51"/>
      <c r="N151" s="113">
        <f t="shared" si="17"/>
        <v>4313</v>
      </c>
      <c r="O151" s="575">
        <v>0</v>
      </c>
      <c r="P151" s="576"/>
      <c r="Q151" s="589"/>
      <c r="R151" s="324"/>
      <c r="S151" s="579">
        <v>0</v>
      </c>
      <c r="T151" s="580">
        <f>+IF(ABS(+O151+Q151)&lt;=ABS(P151+R151),-O151+P151-Q151+R151,0)</f>
        <v>0</v>
      </c>
      <c r="U151" s="51"/>
      <c r="V151" s="2119">
        <f>+IF(OR(+ROUND(O151,2)+ROUND(Q151,2)&gt;ROUND(P151,2)+ROUND(R151,2),+ABS(ROUND(O151,2)+ROUND(Q151,2))&gt;+ABS(ROUND(P151,2)+ROUND(R151,2))),+(ROUND(O151,2)+ROUND(Q151,2))-(ROUND(P151,2)+ROUND(R151,2)),0)</f>
        <v>0</v>
      </c>
      <c r="W151" s="43"/>
      <c r="X151" s="43"/>
      <c r="Y151" s="43"/>
      <c r="Z151" s="43"/>
    </row>
    <row r="152" spans="1:26">
      <c r="A152" s="88">
        <v>4321</v>
      </c>
      <c r="B152" s="378" t="s">
        <v>405</v>
      </c>
      <c r="C152" s="1033"/>
      <c r="D152" s="1033"/>
      <c r="E152" s="1033"/>
      <c r="F152" s="1033"/>
      <c r="G152" s="1033"/>
      <c r="H152" s="1033"/>
      <c r="I152" s="1033"/>
      <c r="J152" s="1033"/>
      <c r="K152" s="1033"/>
      <c r="L152" s="90"/>
      <c r="M152" s="51"/>
      <c r="N152" s="113">
        <f t="shared" si="17"/>
        <v>4321</v>
      </c>
      <c r="O152" s="581"/>
      <c r="P152" s="582">
        <v>0</v>
      </c>
      <c r="Q152" s="589"/>
      <c r="R152" s="576"/>
      <c r="S152" s="583">
        <f t="shared" ref="S152:S172" si="18">+IF(ABS(+O152+Q152)&gt;=ABS(P152+R152),+O152-P152+Q152-R152,0)</f>
        <v>0</v>
      </c>
      <c r="T152" s="584">
        <v>0</v>
      </c>
      <c r="U152" s="51"/>
      <c r="V152" s="2120">
        <f t="shared" ref="V152:V159" si="19">+IF(OR(ROUND(P152,2)+ROUND(R152,2)&gt;+ROUND(O152,2)+ROUND(Q152,2),+ABS(ROUND(P152,2)+ROUND(R152,2))&gt;+ABS(ROUND(O152,2)+ROUND(Q152,2))),+(ROUND(P152,2)+ROUND(R152,2))-(ROUND(O152,2)+ROUND(Q152,2)),0)</f>
        <v>0</v>
      </c>
      <c r="W152" s="43"/>
      <c r="X152" s="43"/>
      <c r="Y152" s="43"/>
      <c r="Z152" s="43"/>
    </row>
    <row r="153" spans="1:26">
      <c r="A153" s="88">
        <v>4322</v>
      </c>
      <c r="B153" s="378" t="s">
        <v>406</v>
      </c>
      <c r="C153" s="1033"/>
      <c r="D153" s="1033"/>
      <c r="E153" s="1033"/>
      <c r="F153" s="1033"/>
      <c r="G153" s="1033"/>
      <c r="H153" s="1033"/>
      <c r="I153" s="1033"/>
      <c r="J153" s="1033"/>
      <c r="K153" s="1033"/>
      <c r="L153" s="90"/>
      <c r="M153" s="51"/>
      <c r="N153" s="113">
        <f t="shared" si="17"/>
        <v>4322</v>
      </c>
      <c r="O153" s="581"/>
      <c r="P153" s="582">
        <v>0</v>
      </c>
      <c r="Q153" s="589"/>
      <c r="R153" s="576"/>
      <c r="S153" s="583">
        <f t="shared" si="18"/>
        <v>0</v>
      </c>
      <c r="T153" s="584">
        <v>0</v>
      </c>
      <c r="U153" s="51"/>
      <c r="V153" s="2120">
        <f t="shared" si="19"/>
        <v>0</v>
      </c>
      <c r="W153" s="43"/>
      <c r="X153" s="43"/>
      <c r="Y153" s="43"/>
      <c r="Z153" s="43"/>
    </row>
    <row r="154" spans="1:26">
      <c r="A154" s="88">
        <v>4327</v>
      </c>
      <c r="B154" s="378" t="s">
        <v>407</v>
      </c>
      <c r="C154" s="1033"/>
      <c r="D154" s="1033"/>
      <c r="E154" s="1033"/>
      <c r="F154" s="1033"/>
      <c r="G154" s="1033"/>
      <c r="H154" s="1033"/>
      <c r="I154" s="1033"/>
      <c r="J154" s="1033"/>
      <c r="K154" s="1033"/>
      <c r="L154" s="90"/>
      <c r="M154" s="51"/>
      <c r="N154" s="113">
        <f t="shared" si="17"/>
        <v>4327</v>
      </c>
      <c r="O154" s="581"/>
      <c r="P154" s="582">
        <v>0</v>
      </c>
      <c r="Q154" s="589"/>
      <c r="R154" s="576"/>
      <c r="S154" s="583">
        <f t="shared" si="18"/>
        <v>0</v>
      </c>
      <c r="T154" s="584">
        <v>0</v>
      </c>
      <c r="U154" s="51"/>
      <c r="V154" s="2120">
        <f t="shared" si="19"/>
        <v>0</v>
      </c>
      <c r="W154" s="43"/>
      <c r="X154" s="43"/>
      <c r="Y154" s="43"/>
      <c r="Z154" s="43"/>
    </row>
    <row r="155" spans="1:26">
      <c r="A155" s="88">
        <v>4328</v>
      </c>
      <c r="B155" s="378" t="s">
        <v>35</v>
      </c>
      <c r="C155" s="1033"/>
      <c r="D155" s="1033"/>
      <c r="E155" s="1033"/>
      <c r="F155" s="1033"/>
      <c r="G155" s="1033"/>
      <c r="H155" s="1033"/>
      <c r="I155" s="1033"/>
      <c r="J155" s="1033"/>
      <c r="K155" s="1033"/>
      <c r="L155" s="90"/>
      <c r="M155" s="51"/>
      <c r="N155" s="113">
        <f t="shared" si="17"/>
        <v>4328</v>
      </c>
      <c r="O155" s="581"/>
      <c r="P155" s="582">
        <v>0</v>
      </c>
      <c r="Q155" s="589"/>
      <c r="R155" s="576"/>
      <c r="S155" s="583">
        <f t="shared" si="18"/>
        <v>0</v>
      </c>
      <c r="T155" s="584">
        <v>0</v>
      </c>
      <c r="U155" s="51"/>
      <c r="V155" s="2120">
        <f t="shared" si="19"/>
        <v>0</v>
      </c>
      <c r="W155" s="43"/>
      <c r="X155" s="43"/>
      <c r="Y155" s="43"/>
      <c r="Z155" s="43"/>
    </row>
    <row r="156" spans="1:26">
      <c r="A156" s="88">
        <v>4331</v>
      </c>
      <c r="B156" s="378" t="s">
        <v>915</v>
      </c>
      <c r="C156" s="1033"/>
      <c r="D156" s="1033"/>
      <c r="E156" s="1033"/>
      <c r="F156" s="1033"/>
      <c r="G156" s="1033"/>
      <c r="H156" s="1033"/>
      <c r="I156" s="1033"/>
      <c r="J156" s="1033"/>
      <c r="K156" s="1033"/>
      <c r="L156" s="90"/>
      <c r="M156" s="51"/>
      <c r="N156" s="113">
        <f t="shared" si="17"/>
        <v>4331</v>
      </c>
      <c r="O156" s="581"/>
      <c r="P156" s="582">
        <v>0</v>
      </c>
      <c r="Q156" s="589"/>
      <c r="R156" s="576"/>
      <c r="S156" s="583">
        <f t="shared" si="18"/>
        <v>0</v>
      </c>
      <c r="T156" s="584">
        <v>0</v>
      </c>
      <c r="U156" s="51"/>
      <c r="V156" s="2120">
        <f t="shared" si="19"/>
        <v>0</v>
      </c>
      <c r="W156" s="43"/>
      <c r="X156" s="43"/>
      <c r="Y156" s="43"/>
      <c r="Z156" s="43"/>
    </row>
    <row r="157" spans="1:26">
      <c r="A157" s="88">
        <v>4332</v>
      </c>
      <c r="B157" s="378" t="s">
        <v>916</v>
      </c>
      <c r="C157" s="1033"/>
      <c r="D157" s="1033"/>
      <c r="E157" s="1033"/>
      <c r="F157" s="1033"/>
      <c r="G157" s="1033"/>
      <c r="H157" s="1033"/>
      <c r="I157" s="1033"/>
      <c r="J157" s="1033"/>
      <c r="K157" s="1033"/>
      <c r="L157" s="90"/>
      <c r="M157" s="51"/>
      <c r="N157" s="113">
        <f t="shared" si="17"/>
        <v>4332</v>
      </c>
      <c r="O157" s="581"/>
      <c r="P157" s="582">
        <v>0</v>
      </c>
      <c r="Q157" s="589"/>
      <c r="R157" s="576"/>
      <c r="S157" s="583">
        <f t="shared" si="18"/>
        <v>0</v>
      </c>
      <c r="T157" s="584">
        <v>0</v>
      </c>
      <c r="U157" s="51"/>
      <c r="V157" s="2120">
        <f t="shared" si="19"/>
        <v>0</v>
      </c>
      <c r="W157" s="43"/>
      <c r="X157" s="43"/>
      <c r="Y157" s="43"/>
      <c r="Z157" s="43"/>
    </row>
    <row r="158" spans="1:26">
      <c r="A158" s="88">
        <v>4351</v>
      </c>
      <c r="B158" s="1032" t="s">
        <v>1161</v>
      </c>
      <c r="C158" s="1033"/>
      <c r="D158" s="1033"/>
      <c r="E158" s="1033"/>
      <c r="F158" s="1033"/>
      <c r="G158" s="1033"/>
      <c r="H158" s="1033"/>
      <c r="I158" s="1033"/>
      <c r="J158" s="1033"/>
      <c r="K158" s="1033"/>
      <c r="L158" s="90"/>
      <c r="M158" s="51"/>
      <c r="N158" s="113">
        <f t="shared" si="17"/>
        <v>4351</v>
      </c>
      <c r="O158" s="581"/>
      <c r="P158" s="582">
        <v>0</v>
      </c>
      <c r="Q158" s="589"/>
      <c r="R158" s="576"/>
      <c r="S158" s="583">
        <f t="shared" si="18"/>
        <v>0</v>
      </c>
      <c r="T158" s="584">
        <v>0</v>
      </c>
      <c r="U158" s="51"/>
      <c r="V158" s="2120">
        <f t="shared" si="19"/>
        <v>0</v>
      </c>
      <c r="W158" s="43"/>
      <c r="X158" s="43"/>
      <c r="Y158" s="43"/>
      <c r="Z158" s="43"/>
    </row>
    <row r="159" spans="1:26">
      <c r="A159" s="88">
        <v>4352</v>
      </c>
      <c r="B159" s="1032" t="s">
        <v>1162</v>
      </c>
      <c r="C159" s="1033"/>
      <c r="D159" s="1033"/>
      <c r="E159" s="1033"/>
      <c r="F159" s="1033"/>
      <c r="G159" s="1033"/>
      <c r="H159" s="1033"/>
      <c r="I159" s="1033"/>
      <c r="J159" s="1033"/>
      <c r="K159" s="1033"/>
      <c r="L159" s="90"/>
      <c r="M159" s="51"/>
      <c r="N159" s="113">
        <f t="shared" si="17"/>
        <v>4352</v>
      </c>
      <c r="O159" s="581"/>
      <c r="P159" s="582">
        <v>0</v>
      </c>
      <c r="Q159" s="589"/>
      <c r="R159" s="576"/>
      <c r="S159" s="583">
        <f t="shared" si="18"/>
        <v>0</v>
      </c>
      <c r="T159" s="584">
        <v>0</v>
      </c>
      <c r="U159" s="51"/>
      <c r="V159" s="2120">
        <f t="shared" si="19"/>
        <v>0</v>
      </c>
      <c r="W159" s="43"/>
      <c r="X159" s="43"/>
      <c r="Y159" s="43"/>
      <c r="Z159" s="43"/>
    </row>
    <row r="160" spans="1:26">
      <c r="A160" s="88">
        <v>4360</v>
      </c>
      <c r="B160" s="1034" t="s">
        <v>664</v>
      </c>
      <c r="C160" s="1033"/>
      <c r="D160" s="1033"/>
      <c r="E160" s="1033"/>
      <c r="F160" s="1033"/>
      <c r="G160" s="1033"/>
      <c r="H160" s="1033"/>
      <c r="I160" s="1033"/>
      <c r="J160" s="1033"/>
      <c r="K160" s="1033"/>
      <c r="L160" s="90"/>
      <c r="M160" s="51"/>
      <c r="N160" s="113">
        <f t="shared" si="17"/>
        <v>4360</v>
      </c>
      <c r="O160" s="581"/>
      <c r="P160" s="576"/>
      <c r="Q160" s="589"/>
      <c r="R160" s="576"/>
      <c r="S160" s="583">
        <f t="shared" si="18"/>
        <v>0</v>
      </c>
      <c r="T160" s="580">
        <f>+IF(ABS(+O160+Q160)&lt;=ABS(P160+R160),-O160+P160-Q160+R160,0)</f>
        <v>0</v>
      </c>
      <c r="U160" s="51"/>
      <c r="V160" s="2119"/>
      <c r="W160" s="43"/>
      <c r="X160" s="43"/>
      <c r="Y160" s="43"/>
      <c r="Z160" s="43"/>
    </row>
    <row r="161" spans="1:26">
      <c r="A161" s="88">
        <v>4371</v>
      </c>
      <c r="B161" s="378" t="s">
        <v>36</v>
      </c>
      <c r="C161" s="1033"/>
      <c r="D161" s="1033"/>
      <c r="E161" s="1033"/>
      <c r="F161" s="1033"/>
      <c r="G161" s="1033"/>
      <c r="H161" s="1033"/>
      <c r="I161" s="1033"/>
      <c r="J161" s="1033"/>
      <c r="K161" s="1033"/>
      <c r="L161" s="90"/>
      <c r="M161" s="51"/>
      <c r="N161" s="113">
        <f t="shared" si="17"/>
        <v>4371</v>
      </c>
      <c r="O161" s="581"/>
      <c r="P161" s="582">
        <v>0</v>
      </c>
      <c r="Q161" s="589"/>
      <c r="R161" s="576"/>
      <c r="S161" s="583">
        <f t="shared" si="18"/>
        <v>0</v>
      </c>
      <c r="T161" s="584">
        <v>0</v>
      </c>
      <c r="U161" s="51"/>
      <c r="V161" s="2120">
        <f t="shared" ref="V161:V172" si="20">+IF(OR(ROUND(P161,2)+ROUND(R161,2)&gt;+ROUND(O161,2)+ROUND(Q161,2),+ABS(ROUND(P161,2)+ROUND(R161,2))&gt;+ABS(ROUND(O161,2)+ROUND(Q161,2))),+(ROUND(P161,2)+ROUND(R161,2))-(ROUND(O161,2)+ROUND(Q161,2)),0)</f>
        <v>0</v>
      </c>
      <c r="W161" s="43"/>
      <c r="X161" s="43"/>
      <c r="Y161" s="43"/>
      <c r="Z161" s="43"/>
    </row>
    <row r="162" spans="1:26">
      <c r="A162" s="88">
        <v>4372</v>
      </c>
      <c r="B162" s="378" t="s">
        <v>37</v>
      </c>
      <c r="C162" s="1033"/>
      <c r="D162" s="1033"/>
      <c r="E162" s="1033"/>
      <c r="F162" s="1033"/>
      <c r="G162" s="1033"/>
      <c r="H162" s="1033"/>
      <c r="I162" s="1033"/>
      <c r="J162" s="1033"/>
      <c r="K162" s="1033"/>
      <c r="L162" s="90"/>
      <c r="M162" s="51"/>
      <c r="N162" s="113">
        <f t="shared" si="17"/>
        <v>4372</v>
      </c>
      <c r="O162" s="581"/>
      <c r="P162" s="582">
        <v>0</v>
      </c>
      <c r="Q162" s="589"/>
      <c r="R162" s="576"/>
      <c r="S162" s="583">
        <f t="shared" si="18"/>
        <v>0</v>
      </c>
      <c r="T162" s="584">
        <v>0</v>
      </c>
      <c r="U162" s="51"/>
      <c r="V162" s="2120">
        <f t="shared" si="20"/>
        <v>0</v>
      </c>
      <c r="W162" s="43"/>
      <c r="X162" s="43"/>
      <c r="Y162" s="43"/>
      <c r="Z162" s="43"/>
    </row>
    <row r="163" spans="1:26">
      <c r="A163" s="88">
        <v>4373</v>
      </c>
      <c r="B163" s="378" t="s">
        <v>38</v>
      </c>
      <c r="C163" s="1033"/>
      <c r="D163" s="1033"/>
      <c r="E163" s="1033"/>
      <c r="F163" s="1033"/>
      <c r="G163" s="1033"/>
      <c r="H163" s="1033"/>
      <c r="I163" s="1033"/>
      <c r="J163" s="1033"/>
      <c r="K163" s="1033"/>
      <c r="L163" s="90"/>
      <c r="M163" s="51"/>
      <c r="N163" s="113">
        <f t="shared" si="17"/>
        <v>4373</v>
      </c>
      <c r="O163" s="581"/>
      <c r="P163" s="582">
        <v>0</v>
      </c>
      <c r="Q163" s="589"/>
      <c r="R163" s="576"/>
      <c r="S163" s="583">
        <f t="shared" si="18"/>
        <v>0</v>
      </c>
      <c r="T163" s="584">
        <v>0</v>
      </c>
      <c r="U163" s="51"/>
      <c r="V163" s="2120">
        <f t="shared" si="20"/>
        <v>0</v>
      </c>
      <c r="W163" s="43"/>
      <c r="X163" s="43"/>
      <c r="Y163" s="43"/>
      <c r="Z163" s="43"/>
    </row>
    <row r="164" spans="1:26">
      <c r="A164" s="88">
        <v>4374</v>
      </c>
      <c r="B164" s="378" t="s">
        <v>39</v>
      </c>
      <c r="C164" s="1033"/>
      <c r="D164" s="1033"/>
      <c r="E164" s="1033"/>
      <c r="F164" s="1033"/>
      <c r="G164" s="1033"/>
      <c r="H164" s="1033"/>
      <c r="I164" s="1033"/>
      <c r="J164" s="1033"/>
      <c r="K164" s="1033"/>
      <c r="L164" s="90"/>
      <c r="M164" s="51"/>
      <c r="N164" s="113">
        <f t="shared" si="17"/>
        <v>4374</v>
      </c>
      <c r="O164" s="581"/>
      <c r="P164" s="582">
        <v>0</v>
      </c>
      <c r="Q164" s="589"/>
      <c r="R164" s="576"/>
      <c r="S164" s="583">
        <f t="shared" si="18"/>
        <v>0</v>
      </c>
      <c r="T164" s="584">
        <v>0</v>
      </c>
      <c r="U164" s="51"/>
      <c r="V164" s="2120">
        <f t="shared" si="20"/>
        <v>0</v>
      </c>
      <c r="W164" s="43"/>
      <c r="X164" s="43"/>
      <c r="Y164" s="43"/>
      <c r="Z164" s="43"/>
    </row>
    <row r="165" spans="1:26">
      <c r="A165" s="88">
        <v>4375</v>
      </c>
      <c r="B165" s="378" t="s">
        <v>40</v>
      </c>
      <c r="C165" s="1033"/>
      <c r="D165" s="1033"/>
      <c r="E165" s="1033"/>
      <c r="F165" s="1033"/>
      <c r="G165" s="1033"/>
      <c r="H165" s="1033"/>
      <c r="I165" s="1033"/>
      <c r="J165" s="1033"/>
      <c r="K165" s="1033"/>
      <c r="L165" s="90"/>
      <c r="M165" s="51"/>
      <c r="N165" s="113">
        <f t="shared" si="17"/>
        <v>4375</v>
      </c>
      <c r="O165" s="581"/>
      <c r="P165" s="582">
        <v>0</v>
      </c>
      <c r="Q165" s="589"/>
      <c r="R165" s="576"/>
      <c r="S165" s="583">
        <f t="shared" si="18"/>
        <v>0</v>
      </c>
      <c r="T165" s="584">
        <v>0</v>
      </c>
      <c r="U165" s="51"/>
      <c r="V165" s="2120">
        <f t="shared" si="20"/>
        <v>0</v>
      </c>
      <c r="W165" s="43"/>
      <c r="X165" s="43"/>
      <c r="Y165" s="43"/>
      <c r="Z165" s="43"/>
    </row>
    <row r="166" spans="1:26">
      <c r="A166" s="88">
        <v>4376</v>
      </c>
      <c r="B166" s="378" t="s">
        <v>41</v>
      </c>
      <c r="C166" s="1033"/>
      <c r="D166" s="1033"/>
      <c r="E166" s="1033"/>
      <c r="F166" s="1033"/>
      <c r="G166" s="1033"/>
      <c r="H166" s="1033"/>
      <c r="I166" s="1033"/>
      <c r="J166" s="1033"/>
      <c r="K166" s="1033"/>
      <c r="L166" s="90"/>
      <c r="M166" s="51"/>
      <c r="N166" s="113">
        <f t="shared" si="17"/>
        <v>4376</v>
      </c>
      <c r="O166" s="581"/>
      <c r="P166" s="582">
        <v>0</v>
      </c>
      <c r="Q166" s="589"/>
      <c r="R166" s="576"/>
      <c r="S166" s="583">
        <f t="shared" si="18"/>
        <v>0</v>
      </c>
      <c r="T166" s="584">
        <v>0</v>
      </c>
      <c r="U166" s="51"/>
      <c r="V166" s="2120">
        <f t="shared" si="20"/>
        <v>0</v>
      </c>
      <c r="W166" s="43"/>
      <c r="X166" s="43"/>
      <c r="Y166" s="43"/>
      <c r="Z166" s="43"/>
    </row>
    <row r="167" spans="1:26">
      <c r="A167" s="88">
        <v>4379</v>
      </c>
      <c r="B167" s="378" t="s">
        <v>42</v>
      </c>
      <c r="C167" s="1033"/>
      <c r="D167" s="1033"/>
      <c r="E167" s="1033"/>
      <c r="F167" s="1033"/>
      <c r="G167" s="1033"/>
      <c r="H167" s="1033"/>
      <c r="I167" s="1033"/>
      <c r="J167" s="1033"/>
      <c r="K167" s="1033"/>
      <c r="L167" s="90"/>
      <c r="M167" s="51"/>
      <c r="N167" s="113">
        <f t="shared" si="17"/>
        <v>4379</v>
      </c>
      <c r="O167" s="581"/>
      <c r="P167" s="582">
        <v>0</v>
      </c>
      <c r="Q167" s="589"/>
      <c r="R167" s="576"/>
      <c r="S167" s="583">
        <f t="shared" si="18"/>
        <v>0</v>
      </c>
      <c r="T167" s="584">
        <v>0</v>
      </c>
      <c r="U167" s="51"/>
      <c r="V167" s="2120">
        <f t="shared" si="20"/>
        <v>0</v>
      </c>
      <c r="W167" s="43"/>
      <c r="X167" s="43"/>
      <c r="Y167" s="43"/>
      <c r="Z167" s="43"/>
    </row>
    <row r="168" spans="1:26">
      <c r="A168" s="88">
        <v>4381</v>
      </c>
      <c r="B168" s="378" t="s">
        <v>917</v>
      </c>
      <c r="C168" s="1033"/>
      <c r="D168" s="1033"/>
      <c r="E168" s="1033"/>
      <c r="F168" s="1033"/>
      <c r="G168" s="1033"/>
      <c r="H168" s="1033"/>
      <c r="I168" s="1033"/>
      <c r="J168" s="1033"/>
      <c r="K168" s="1033"/>
      <c r="L168" s="90"/>
      <c r="M168" s="51"/>
      <c r="N168" s="113">
        <f t="shared" si="17"/>
        <v>4381</v>
      </c>
      <c r="O168" s="581"/>
      <c r="P168" s="582">
        <v>0</v>
      </c>
      <c r="Q168" s="589"/>
      <c r="R168" s="576"/>
      <c r="S168" s="583">
        <f t="shared" si="18"/>
        <v>0</v>
      </c>
      <c r="T168" s="584">
        <v>0</v>
      </c>
      <c r="U168" s="51"/>
      <c r="V168" s="2120">
        <f t="shared" si="20"/>
        <v>0</v>
      </c>
      <c r="W168" s="43"/>
      <c r="X168" s="43"/>
      <c r="Y168" s="43"/>
      <c r="Z168" s="43"/>
    </row>
    <row r="169" spans="1:26">
      <c r="A169" s="88">
        <v>4382</v>
      </c>
      <c r="B169" s="378" t="s">
        <v>918</v>
      </c>
      <c r="C169" s="1033"/>
      <c r="D169" s="1033"/>
      <c r="E169" s="1033"/>
      <c r="F169" s="1033"/>
      <c r="G169" s="1033"/>
      <c r="H169" s="1033"/>
      <c r="I169" s="1033"/>
      <c r="J169" s="1033"/>
      <c r="K169" s="1033"/>
      <c r="L169" s="90"/>
      <c r="M169" s="51"/>
      <c r="N169" s="113">
        <f t="shared" si="17"/>
        <v>4382</v>
      </c>
      <c r="O169" s="581"/>
      <c r="P169" s="582">
        <v>0</v>
      </c>
      <c r="Q169" s="589"/>
      <c r="R169" s="576"/>
      <c r="S169" s="583">
        <f t="shared" si="18"/>
        <v>0</v>
      </c>
      <c r="T169" s="584">
        <v>0</v>
      </c>
      <c r="U169" s="51"/>
      <c r="V169" s="2120">
        <f t="shared" si="20"/>
        <v>0</v>
      </c>
      <c r="W169" s="43"/>
      <c r="X169" s="43"/>
      <c r="Y169" s="43"/>
      <c r="Z169" s="43"/>
    </row>
    <row r="170" spans="1:26">
      <c r="A170" s="88">
        <v>4383</v>
      </c>
      <c r="B170" s="378" t="s">
        <v>919</v>
      </c>
      <c r="C170" s="1033"/>
      <c r="D170" s="1033"/>
      <c r="E170" s="1033"/>
      <c r="F170" s="1033"/>
      <c r="G170" s="1033"/>
      <c r="H170" s="1033"/>
      <c r="I170" s="1033"/>
      <c r="J170" s="1033"/>
      <c r="K170" s="1033"/>
      <c r="L170" s="90"/>
      <c r="M170" s="51"/>
      <c r="N170" s="113">
        <f t="shared" si="17"/>
        <v>4383</v>
      </c>
      <c r="O170" s="581"/>
      <c r="P170" s="582">
        <v>0</v>
      </c>
      <c r="Q170" s="589"/>
      <c r="R170" s="576"/>
      <c r="S170" s="583">
        <f t="shared" si="18"/>
        <v>0</v>
      </c>
      <c r="T170" s="584">
        <v>0</v>
      </c>
      <c r="U170" s="51"/>
      <c r="V170" s="2120">
        <f t="shared" si="20"/>
        <v>0</v>
      </c>
      <c r="W170" s="43"/>
      <c r="X170" s="43"/>
      <c r="Y170" s="43"/>
      <c r="Z170" s="43"/>
    </row>
    <row r="171" spans="1:26">
      <c r="A171" s="88">
        <v>4384</v>
      </c>
      <c r="B171" s="378" t="s">
        <v>920</v>
      </c>
      <c r="C171" s="1033"/>
      <c r="D171" s="1033"/>
      <c r="E171" s="1033"/>
      <c r="F171" s="1033"/>
      <c r="G171" s="1033"/>
      <c r="H171" s="1033"/>
      <c r="I171" s="1033"/>
      <c r="J171" s="1033"/>
      <c r="K171" s="1033"/>
      <c r="L171" s="90"/>
      <c r="M171" s="51"/>
      <c r="N171" s="113">
        <f t="shared" si="17"/>
        <v>4384</v>
      </c>
      <c r="O171" s="581"/>
      <c r="P171" s="582">
        <v>0</v>
      </c>
      <c r="Q171" s="589"/>
      <c r="R171" s="576"/>
      <c r="S171" s="583">
        <f t="shared" si="18"/>
        <v>0</v>
      </c>
      <c r="T171" s="584">
        <v>0</v>
      </c>
      <c r="U171" s="51"/>
      <c r="V171" s="2120">
        <f t="shared" si="20"/>
        <v>0</v>
      </c>
      <c r="W171" s="43"/>
      <c r="X171" s="43"/>
      <c r="Y171" s="43"/>
      <c r="Z171" s="43"/>
    </row>
    <row r="172" spans="1:26">
      <c r="A172" s="88">
        <v>4385</v>
      </c>
      <c r="B172" s="378" t="s">
        <v>921</v>
      </c>
      <c r="C172" s="1033"/>
      <c r="D172" s="1033"/>
      <c r="E172" s="1033"/>
      <c r="F172" s="1033"/>
      <c r="G172" s="1033"/>
      <c r="H172" s="1033"/>
      <c r="I172" s="1033"/>
      <c r="J172" s="1033"/>
      <c r="K172" s="1033"/>
      <c r="L172" s="90"/>
      <c r="M172" s="51"/>
      <c r="N172" s="113">
        <f t="shared" si="17"/>
        <v>4385</v>
      </c>
      <c r="O172" s="581"/>
      <c r="P172" s="582">
        <v>0</v>
      </c>
      <c r="Q172" s="589"/>
      <c r="R172" s="576"/>
      <c r="S172" s="583">
        <f t="shared" si="18"/>
        <v>0</v>
      </c>
      <c r="T172" s="584">
        <v>0</v>
      </c>
      <c r="U172" s="51"/>
      <c r="V172" s="2120">
        <f t="shared" si="20"/>
        <v>0</v>
      </c>
      <c r="W172" s="43"/>
      <c r="X172" s="43"/>
      <c r="Y172" s="43"/>
      <c r="Z172" s="43"/>
    </row>
    <row r="173" spans="1:26">
      <c r="A173" s="88">
        <v>4393</v>
      </c>
      <c r="B173" s="1033" t="s">
        <v>922</v>
      </c>
      <c r="C173" s="1033"/>
      <c r="D173" s="1033"/>
      <c r="E173" s="1033"/>
      <c r="F173" s="1033"/>
      <c r="G173" s="1033"/>
      <c r="H173" s="1033"/>
      <c r="I173" s="1033"/>
      <c r="J173" s="1033"/>
      <c r="K173" s="1033"/>
      <c r="L173" s="90"/>
      <c r="M173" s="51"/>
      <c r="N173" s="113">
        <f t="shared" ref="N173:N221" si="21">+A173</f>
        <v>4393</v>
      </c>
      <c r="O173" s="575">
        <v>0</v>
      </c>
      <c r="P173" s="576"/>
      <c r="Q173" s="589"/>
      <c r="R173" s="324"/>
      <c r="S173" s="579">
        <v>0</v>
      </c>
      <c r="T173" s="580">
        <f>+IF(ABS(+O173+Q173)&lt;=ABS(P173+R173),-O173+P173-Q173+R173,0)</f>
        <v>0</v>
      </c>
      <c r="U173" s="51"/>
      <c r="V173" s="2119">
        <f>+IF(OR(+ROUND(O173,2)+ROUND(Q173,2)&gt;ROUND(P173,2)+ROUND(R173,2),+ABS(ROUND(O173,2)+ROUND(Q173,2))&gt;+ABS(ROUND(P173,2)+ROUND(R173,2))),+(ROUND(O173,2)+ROUND(Q173,2))-(ROUND(P173,2)+ROUND(R173,2)),0)</f>
        <v>0</v>
      </c>
      <c r="W173" s="43"/>
      <c r="X173" s="43"/>
      <c r="Y173" s="43"/>
      <c r="Z173" s="43"/>
    </row>
    <row r="174" spans="1:26">
      <c r="A174" s="88">
        <v>4397</v>
      </c>
      <c r="B174" s="1033" t="s">
        <v>923</v>
      </c>
      <c r="C174" s="1033"/>
      <c r="D174" s="1033"/>
      <c r="E174" s="1033"/>
      <c r="F174" s="1033"/>
      <c r="G174" s="1033"/>
      <c r="H174" s="1033"/>
      <c r="I174" s="1033"/>
      <c r="J174" s="1033"/>
      <c r="K174" s="1033"/>
      <c r="L174" s="90"/>
      <c r="M174" s="51"/>
      <c r="N174" s="113">
        <f t="shared" si="21"/>
        <v>4397</v>
      </c>
      <c r="O174" s="575">
        <v>0</v>
      </c>
      <c r="P174" s="576"/>
      <c r="Q174" s="589"/>
      <c r="R174" s="324"/>
      <c r="S174" s="579">
        <v>0</v>
      </c>
      <c r="T174" s="580">
        <f>+IF(ABS(+O174+Q174)&lt;=ABS(P174+R174),-O174+P174-Q174+R174,0)</f>
        <v>0</v>
      </c>
      <c r="U174" s="51"/>
      <c r="V174" s="2119">
        <f>+IF(OR(+ROUND(O174,2)+ROUND(Q174,2)&gt;ROUND(P174,2)+ROUND(R174,2),+ABS(ROUND(O174,2)+ROUND(Q174,2))&gt;+ABS(ROUND(P174,2)+ROUND(R174,2))),+(ROUND(O174,2)+ROUND(Q174,2))-(ROUND(P174,2)+ROUND(R174,2)),0)</f>
        <v>0</v>
      </c>
      <c r="W174" s="43"/>
      <c r="X174" s="43"/>
      <c r="Y174" s="43"/>
      <c r="Z174" s="43"/>
    </row>
    <row r="175" spans="1:26">
      <c r="A175" s="88">
        <v>4398</v>
      </c>
      <c r="B175" s="1033" t="s">
        <v>924</v>
      </c>
      <c r="C175" s="1033"/>
      <c r="D175" s="1033"/>
      <c r="E175" s="1033"/>
      <c r="F175" s="1033"/>
      <c r="G175" s="1033"/>
      <c r="H175" s="1033"/>
      <c r="I175" s="1033"/>
      <c r="J175" s="1033"/>
      <c r="K175" s="1033"/>
      <c r="L175" s="90"/>
      <c r="M175" s="51"/>
      <c r="N175" s="113">
        <f t="shared" si="21"/>
        <v>4398</v>
      </c>
      <c r="O175" s="575">
        <v>0</v>
      </c>
      <c r="P175" s="576"/>
      <c r="Q175" s="589"/>
      <c r="R175" s="324"/>
      <c r="S175" s="579">
        <v>0</v>
      </c>
      <c r="T175" s="580">
        <f>+IF(ABS(+O175+Q175)&lt;=ABS(P175+R175),-O175+P175-Q175+R175,0)</f>
        <v>0</v>
      </c>
      <c r="U175" s="51"/>
      <c r="V175" s="2119">
        <f>+IF(OR(+ROUND(O175,2)+ROUND(Q175,2)&gt;ROUND(P175,2)+ROUND(R175,2),+ABS(ROUND(O175,2)+ROUND(Q175,2))&gt;+ABS(ROUND(P175,2)+ROUND(R175,2))),+(ROUND(O175,2)+ROUND(Q175,2))-(ROUND(P175,2)+ROUND(R175,2)),0)</f>
        <v>0</v>
      </c>
      <c r="W175" s="43"/>
      <c r="X175" s="43"/>
      <c r="Y175" s="43"/>
      <c r="Z175" s="43"/>
    </row>
    <row r="176" spans="1:26">
      <c r="A176" s="88">
        <v>4500</v>
      </c>
      <c r="B176" s="1033" t="s">
        <v>925</v>
      </c>
      <c r="C176" s="1033"/>
      <c r="D176" s="1033"/>
      <c r="E176" s="1033"/>
      <c r="F176" s="1033"/>
      <c r="G176" s="1033"/>
      <c r="H176" s="1033"/>
      <c r="I176" s="1033"/>
      <c r="J176" s="1033"/>
      <c r="K176" s="1033"/>
      <c r="L176" s="90"/>
      <c r="M176" s="51"/>
      <c r="N176" s="113">
        <f t="shared" si="21"/>
        <v>4500</v>
      </c>
      <c r="O176" s="581">
        <v>0</v>
      </c>
      <c r="P176" s="576">
        <v>0</v>
      </c>
      <c r="Q176" s="589">
        <v>0</v>
      </c>
      <c r="R176" s="576">
        <v>0</v>
      </c>
      <c r="S176" s="583">
        <f>+IF(ABS(+O176+Q176)&gt;=ABS(P176+R176),+O176-P176+Q176-R176,0)</f>
        <v>0</v>
      </c>
      <c r="T176" s="580">
        <f>+IF(ABS(+O176+Q176)&lt;=ABS(P176+R176),-O176+P176-Q176+R176,0)</f>
        <v>0</v>
      </c>
      <c r="U176" s="51"/>
      <c r="V176" s="2119"/>
      <c r="W176" s="43"/>
      <c r="X176" s="43"/>
      <c r="Y176" s="43"/>
      <c r="Z176" s="43"/>
    </row>
    <row r="177" spans="1:26" ht="15.75" customHeight="1">
      <c r="A177" s="88">
        <v>4501</v>
      </c>
      <c r="B177" s="1033" t="s">
        <v>226</v>
      </c>
      <c r="C177" s="88"/>
      <c r="D177" s="1041"/>
      <c r="E177" s="1041"/>
      <c r="F177" s="1041"/>
      <c r="G177" s="1041"/>
      <c r="H177" s="1041"/>
      <c r="I177" s="1041"/>
      <c r="J177" s="1041"/>
      <c r="K177" s="1041"/>
      <c r="L177" s="590"/>
      <c r="M177" s="51"/>
      <c r="N177" s="113">
        <f t="shared" si="21"/>
        <v>4501</v>
      </c>
      <c r="O177" s="581"/>
      <c r="P177" s="576"/>
      <c r="Q177" s="589"/>
      <c r="R177" s="576"/>
      <c r="S177" s="583">
        <f>+IF(ABS(+O177+Q177)&gt;=ABS(P177+R177),+O177-P177+Q177-R177,0)</f>
        <v>0</v>
      </c>
      <c r="T177" s="580">
        <f>+IF(ABS(+O177+Q177)&lt;=ABS(P177+R177),-O177+P177-Q177+R177,0)</f>
        <v>0</v>
      </c>
      <c r="U177" s="51"/>
      <c r="V177" s="2119"/>
      <c r="W177" s="43"/>
      <c r="X177" s="43"/>
      <c r="Y177" s="43"/>
      <c r="Z177" s="43"/>
    </row>
    <row r="178" spans="1:26" ht="15.75" customHeight="1">
      <c r="A178" s="88">
        <v>4502</v>
      </c>
      <c r="B178" s="1033" t="s">
        <v>227</v>
      </c>
      <c r="C178" s="88"/>
      <c r="D178" s="1041"/>
      <c r="E178" s="1041"/>
      <c r="F178" s="1041"/>
      <c r="G178" s="1041"/>
      <c r="H178" s="1041"/>
      <c r="I178" s="1041"/>
      <c r="J178" s="1041"/>
      <c r="K178" s="1041"/>
      <c r="L178" s="590"/>
      <c r="M178" s="51"/>
      <c r="N178" s="113">
        <f t="shared" si="21"/>
        <v>4502</v>
      </c>
      <c r="O178" s="575">
        <v>0</v>
      </c>
      <c r="P178" s="582">
        <v>0</v>
      </c>
      <c r="Q178" s="579">
        <v>0</v>
      </c>
      <c r="R178" s="582">
        <v>0</v>
      </c>
      <c r="S178" s="579">
        <v>0</v>
      </c>
      <c r="T178" s="584">
        <v>0</v>
      </c>
      <c r="U178" s="51"/>
      <c r="V178" s="2125">
        <f>+IF(OR(O178&lt;&gt;0,P178&lt;&gt;0,Q178&lt;&gt;0,R178&lt;&gt;0,S178&lt;&gt;0,T178&lt;&gt;0),+IF(ABS(O178+Q178)-ABS(P178+R178)&lt;&gt;0,ABS(O178+Q178)-ABS(P178+R178),1),0)</f>
        <v>0</v>
      </c>
      <c r="W178" s="43"/>
      <c r="X178" s="43"/>
      <c r="Y178" s="43"/>
      <c r="Z178" s="43"/>
    </row>
    <row r="179" spans="1:26" ht="15.75" customHeight="1">
      <c r="A179" s="88">
        <v>4503</v>
      </c>
      <c r="B179" s="1033" t="s">
        <v>228</v>
      </c>
      <c r="C179" s="88"/>
      <c r="D179" s="1041"/>
      <c r="E179" s="1041"/>
      <c r="F179" s="1041"/>
      <c r="G179" s="1041"/>
      <c r="H179" s="1041"/>
      <c r="I179" s="1041"/>
      <c r="J179" s="1041"/>
      <c r="K179" s="1041"/>
      <c r="L179" s="590"/>
      <c r="M179" s="51"/>
      <c r="N179" s="113">
        <f t="shared" si="21"/>
        <v>4503</v>
      </c>
      <c r="O179" s="581"/>
      <c r="P179" s="576"/>
      <c r="Q179" s="589"/>
      <c r="R179" s="576"/>
      <c r="S179" s="583">
        <f>+IF(ABS(+O179+Q179)&gt;=ABS(P179+R179),+O179-P179+Q179-R179,0)</f>
        <v>0</v>
      </c>
      <c r="T179" s="580">
        <f t="shared" ref="T179:T184" si="22">+IF(ABS(+O179+Q179)&lt;=ABS(P179+R179),-O179+P179-Q179+R179,0)</f>
        <v>0</v>
      </c>
      <c r="U179" s="51"/>
      <c r="V179" s="2119"/>
      <c r="W179" s="43"/>
      <c r="X179" s="43"/>
      <c r="Y179" s="43"/>
      <c r="Z179" s="43"/>
    </row>
    <row r="180" spans="1:26" ht="15.75" customHeight="1">
      <c r="A180" s="88">
        <v>4510</v>
      </c>
      <c r="B180" s="1033" t="s">
        <v>229</v>
      </c>
      <c r="C180" s="88"/>
      <c r="D180" s="1038"/>
      <c r="E180" s="1038"/>
      <c r="F180" s="1038"/>
      <c r="G180" s="1038"/>
      <c r="H180" s="1038"/>
      <c r="I180" s="1038"/>
      <c r="J180" s="1038"/>
      <c r="K180" s="1038"/>
      <c r="L180" s="590"/>
      <c r="M180" s="51"/>
      <c r="N180" s="113">
        <f t="shared" si="21"/>
        <v>4510</v>
      </c>
      <c r="O180" s="581">
        <v>0</v>
      </c>
      <c r="P180" s="576">
        <v>0</v>
      </c>
      <c r="Q180" s="589">
        <v>0</v>
      </c>
      <c r="R180" s="576">
        <v>0</v>
      </c>
      <c r="S180" s="583">
        <f>+IF(ABS(+O180+Q180)&gt;=ABS(P180+R180),+O180-P180+Q180-R180,0)</f>
        <v>0</v>
      </c>
      <c r="T180" s="580">
        <f t="shared" si="22"/>
        <v>0</v>
      </c>
      <c r="U180" s="51"/>
      <c r="V180" s="2119"/>
      <c r="W180" s="43"/>
      <c r="X180" s="43"/>
      <c r="Y180" s="43"/>
      <c r="Z180" s="43"/>
    </row>
    <row r="181" spans="1:26">
      <c r="A181" s="88">
        <v>4511</v>
      </c>
      <c r="B181" s="378" t="s">
        <v>230</v>
      </c>
      <c r="C181" s="1033"/>
      <c r="D181" s="1033"/>
      <c r="E181" s="1033"/>
      <c r="F181" s="1033"/>
      <c r="G181" s="1033"/>
      <c r="H181" s="1033"/>
      <c r="I181" s="1033"/>
      <c r="J181" s="1033"/>
      <c r="K181" s="1033"/>
      <c r="L181" s="90"/>
      <c r="M181" s="51"/>
      <c r="N181" s="113">
        <f t="shared" si="21"/>
        <v>4511</v>
      </c>
      <c r="O181" s="581">
        <v>0</v>
      </c>
      <c r="P181" s="576">
        <v>0</v>
      </c>
      <c r="Q181" s="589">
        <v>0</v>
      </c>
      <c r="R181" s="576">
        <v>0</v>
      </c>
      <c r="S181" s="583">
        <f>+IF(ABS(+O181+Q181)&gt;=ABS(P181+R181),+O181-P181+Q181-R181,0)</f>
        <v>0</v>
      </c>
      <c r="T181" s="580">
        <f t="shared" si="22"/>
        <v>0</v>
      </c>
      <c r="U181" s="51"/>
      <c r="V181" s="2119"/>
      <c r="W181" s="43"/>
      <c r="X181" s="43"/>
      <c r="Y181" s="43"/>
      <c r="Z181" s="43"/>
    </row>
    <row r="182" spans="1:26">
      <c r="A182" s="88">
        <v>4512</v>
      </c>
      <c r="B182" s="1042" t="s">
        <v>231</v>
      </c>
      <c r="C182" s="1033"/>
      <c r="D182" s="1033"/>
      <c r="E182" s="1033"/>
      <c r="F182" s="1033"/>
      <c r="G182" s="1033"/>
      <c r="H182" s="1033"/>
      <c r="I182" s="1033"/>
      <c r="J182" s="1033"/>
      <c r="K182" s="1033"/>
      <c r="L182" s="90"/>
      <c r="M182" s="51"/>
      <c r="N182" s="113">
        <f t="shared" si="21"/>
        <v>4512</v>
      </c>
      <c r="O182" s="581">
        <v>0</v>
      </c>
      <c r="P182" s="576">
        <v>0</v>
      </c>
      <c r="Q182" s="589">
        <v>0</v>
      </c>
      <c r="R182" s="576">
        <v>0</v>
      </c>
      <c r="S182" s="583">
        <f>+IF(ABS(+O182+Q182)&gt;=ABS(P182+R182),+O182-P182+Q182-R182,0)</f>
        <v>0</v>
      </c>
      <c r="T182" s="580">
        <f t="shared" si="22"/>
        <v>0</v>
      </c>
      <c r="U182" s="51"/>
      <c r="V182" s="2119"/>
      <c r="W182" s="43"/>
      <c r="X182" s="43"/>
      <c r="Y182" s="43"/>
      <c r="Z182" s="43"/>
    </row>
    <row r="183" spans="1:26" ht="15.75" customHeight="1">
      <c r="A183" s="88">
        <v>4518</v>
      </c>
      <c r="B183" s="1042" t="s">
        <v>233</v>
      </c>
      <c r="C183" s="1038"/>
      <c r="D183" s="1038"/>
      <c r="E183" s="1038"/>
      <c r="F183" s="1038"/>
      <c r="G183" s="1038"/>
      <c r="H183" s="1038"/>
      <c r="I183" s="1038"/>
      <c r="J183" s="1038"/>
      <c r="K183" s="1038"/>
      <c r="L183" s="590"/>
      <c r="M183" s="51"/>
      <c r="N183" s="113">
        <f t="shared" si="21"/>
        <v>4518</v>
      </c>
      <c r="O183" s="581"/>
      <c r="P183" s="576"/>
      <c r="Q183" s="589"/>
      <c r="R183" s="576"/>
      <c r="S183" s="583">
        <f>+IF(ABS(+O183+Q183)&gt;=ABS(P183+R183),+O183-P183+Q183-R183,0)</f>
        <v>0</v>
      </c>
      <c r="T183" s="580">
        <f t="shared" si="22"/>
        <v>0</v>
      </c>
      <c r="U183" s="51"/>
      <c r="V183" s="2119"/>
      <c r="W183" s="43"/>
      <c r="X183" s="43"/>
      <c r="Y183" s="43"/>
      <c r="Z183" s="43"/>
    </row>
    <row r="184" spans="1:26">
      <c r="A184" s="88">
        <v>4520</v>
      </c>
      <c r="B184" s="1042" t="s">
        <v>234</v>
      </c>
      <c r="C184" s="1033"/>
      <c r="D184" s="1033"/>
      <c r="E184" s="1033"/>
      <c r="F184" s="1033"/>
      <c r="G184" s="1033"/>
      <c r="H184" s="1033"/>
      <c r="I184" s="1033"/>
      <c r="J184" s="1033"/>
      <c r="K184" s="1033"/>
      <c r="L184" s="574"/>
      <c r="M184" s="51"/>
      <c r="N184" s="113">
        <f t="shared" si="21"/>
        <v>4520</v>
      </c>
      <c r="O184" s="575">
        <v>0</v>
      </c>
      <c r="P184" s="576"/>
      <c r="Q184" s="589"/>
      <c r="R184" s="324"/>
      <c r="S184" s="579">
        <v>0</v>
      </c>
      <c r="T184" s="580">
        <f t="shared" si="22"/>
        <v>0</v>
      </c>
      <c r="U184" s="51"/>
      <c r="V184" s="2119">
        <f>+IF(OR(+ROUND(O184,2)+ROUND(Q184,2)&gt;ROUND(P184,2)+ROUND(R184,2),+ABS(ROUND(O184,2)+ROUND(Q184,2))&gt;+ABS(ROUND(P184,2)+ROUND(R184,2))),+(ROUND(O184,2)+ROUND(Q184,2))-(ROUND(P184,2)+ROUND(R184,2)),0)</f>
        <v>0</v>
      </c>
      <c r="W184" s="43"/>
      <c r="X184" s="43"/>
      <c r="Y184" s="43"/>
      <c r="Z184" s="43"/>
    </row>
    <row r="185" spans="1:26">
      <c r="A185" s="88">
        <v>4522</v>
      </c>
      <c r="B185" s="1033" t="s">
        <v>235</v>
      </c>
      <c r="C185" s="1033"/>
      <c r="D185" s="1033"/>
      <c r="E185" s="1033"/>
      <c r="F185" s="1033"/>
      <c r="G185" s="1033"/>
      <c r="H185" s="1033"/>
      <c r="I185" s="1033"/>
      <c r="J185" s="1033"/>
      <c r="K185" s="1033"/>
      <c r="L185" s="90"/>
      <c r="M185" s="51"/>
      <c r="N185" s="113">
        <f t="shared" si="21"/>
        <v>4522</v>
      </c>
      <c r="O185" s="581"/>
      <c r="P185" s="582">
        <v>0</v>
      </c>
      <c r="Q185" s="589"/>
      <c r="R185" s="576"/>
      <c r="S185" s="583">
        <f>+IF(ABS(+O185+Q185)&gt;=ABS(P185+R185),+O185-P185+Q185-R185,0)</f>
        <v>0</v>
      </c>
      <c r="T185" s="584">
        <v>0</v>
      </c>
      <c r="U185" s="51"/>
      <c r="V185" s="2120">
        <f>+IF(OR(ROUND(P185,2)+ROUND(R185,2)&gt;+ROUND(O185,2)+ROUND(Q185,2),+ABS(ROUND(P185,2)+ROUND(R185,2))&gt;+ABS(ROUND(O185,2)+ROUND(Q185,2))),+(ROUND(P185,2)+ROUND(R185,2))-(ROUND(O185,2)+ROUND(Q185,2)),0)</f>
        <v>0</v>
      </c>
      <c r="W185" s="43"/>
      <c r="X185" s="43"/>
      <c r="Y185" s="43"/>
      <c r="Z185" s="43"/>
    </row>
    <row r="186" spans="1:26">
      <c r="A186" s="88">
        <v>4523</v>
      </c>
      <c r="B186" s="1033" t="s">
        <v>236</v>
      </c>
      <c r="C186" s="1033"/>
      <c r="D186" s="1033"/>
      <c r="E186" s="1033"/>
      <c r="F186" s="1033"/>
      <c r="G186" s="1033"/>
      <c r="H186" s="1033"/>
      <c r="I186" s="1033"/>
      <c r="J186" s="1033"/>
      <c r="K186" s="1033"/>
      <c r="L186" s="574"/>
      <c r="M186" s="51"/>
      <c r="N186" s="113">
        <f t="shared" si="21"/>
        <v>4523</v>
      </c>
      <c r="O186" s="575">
        <v>0</v>
      </c>
      <c r="P186" s="576"/>
      <c r="Q186" s="589"/>
      <c r="R186" s="324"/>
      <c r="S186" s="579">
        <v>0</v>
      </c>
      <c r="T186" s="580">
        <f>+IF(ABS(+O186+Q186)&lt;=ABS(P186+R186),-O186+P186-Q186+R186,0)</f>
        <v>0</v>
      </c>
      <c r="U186" s="51"/>
      <c r="V186" s="2119">
        <f>+IF(OR(+ROUND(O186,2)+ROUND(Q186,2)&gt;ROUND(P186,2)+ROUND(R186,2),+ABS(ROUND(O186,2)+ROUND(Q186,2))&gt;+ABS(ROUND(P186,2)+ROUND(R186,2))),+(ROUND(O186,2)+ROUND(Q186,2))-(ROUND(P186,2)+ROUND(R186,2)),0)</f>
        <v>0</v>
      </c>
      <c r="W186" s="43"/>
      <c r="X186" s="43"/>
      <c r="Y186" s="43"/>
      <c r="Z186" s="43"/>
    </row>
    <row r="187" spans="1:26">
      <c r="A187" s="88">
        <v>4544</v>
      </c>
      <c r="B187" s="1033" t="s">
        <v>862</v>
      </c>
      <c r="C187" s="1033"/>
      <c r="D187" s="1033"/>
      <c r="E187" s="1033"/>
      <c r="F187" s="1033"/>
      <c r="G187" s="1033"/>
      <c r="H187" s="1033"/>
      <c r="I187" s="1033"/>
      <c r="J187" s="1033"/>
      <c r="K187" s="1033"/>
      <c r="L187" s="574"/>
      <c r="M187" s="51"/>
      <c r="N187" s="113">
        <f t="shared" si="21"/>
        <v>4544</v>
      </c>
      <c r="O187" s="575">
        <v>0</v>
      </c>
      <c r="P187" s="576">
        <v>0</v>
      </c>
      <c r="Q187" s="589">
        <v>0</v>
      </c>
      <c r="R187" s="324">
        <v>0</v>
      </c>
      <c r="S187" s="579">
        <v>0</v>
      </c>
      <c r="T187" s="580">
        <f>+IF(ABS(+O187+Q187)&lt;=ABS(P187+R187),-O187+P187-Q187+R187,0)</f>
        <v>0</v>
      </c>
      <c r="U187" s="51"/>
      <c r="V187" s="2119">
        <f>+IF(OR(+ROUND(O187,2)+ROUND(Q187,2)&gt;ROUND(P187,2)+ROUND(R187,2),+ABS(ROUND(O187,2)+ROUND(Q187,2))&gt;+ABS(ROUND(P187,2)+ROUND(R187,2))),+(ROUND(O187,2)+ROUND(Q187,2))-(ROUND(P187,2)+ROUND(R187,2)),0)</f>
        <v>0</v>
      </c>
      <c r="W187" s="43"/>
      <c r="X187" s="43"/>
      <c r="Y187" s="43"/>
      <c r="Z187" s="43"/>
    </row>
    <row r="188" spans="1:26">
      <c r="A188" s="88">
        <v>4545</v>
      </c>
      <c r="B188" s="1033" t="s">
        <v>863</v>
      </c>
      <c r="C188" s="1033"/>
      <c r="D188" s="1033"/>
      <c r="E188" s="1033"/>
      <c r="F188" s="1033"/>
      <c r="G188" s="1033"/>
      <c r="H188" s="1033"/>
      <c r="I188" s="1033"/>
      <c r="J188" s="1033"/>
      <c r="K188" s="1033"/>
      <c r="L188" s="574"/>
      <c r="M188" s="51"/>
      <c r="N188" s="113">
        <f t="shared" si="21"/>
        <v>4545</v>
      </c>
      <c r="O188" s="581"/>
      <c r="P188" s="582">
        <v>0</v>
      </c>
      <c r="Q188" s="589"/>
      <c r="R188" s="576"/>
      <c r="S188" s="583">
        <f>+IF(ABS(+O188+Q188)&gt;=ABS(P188+R188),+O188-P188+Q188-R188,0)</f>
        <v>0</v>
      </c>
      <c r="T188" s="584">
        <v>0</v>
      </c>
      <c r="U188" s="51"/>
      <c r="V188" s="2120">
        <f>+IF(OR(ROUND(P188,2)+ROUND(R188,2)&gt;+ROUND(O188,2)+ROUND(Q188,2),+ABS(ROUND(P188,2)+ROUND(R188,2))&gt;+ABS(ROUND(O188,2)+ROUND(Q188,2))),+(ROUND(P188,2)+ROUND(R188,2))-(ROUND(O188,2)+ROUND(Q188,2)),0)</f>
        <v>0</v>
      </c>
      <c r="W188" s="43"/>
      <c r="X188" s="43"/>
      <c r="Y188" s="43"/>
      <c r="Z188" s="43"/>
    </row>
    <row r="189" spans="1:26">
      <c r="A189" s="88">
        <v>4547</v>
      </c>
      <c r="B189" s="1033" t="s">
        <v>864</v>
      </c>
      <c r="C189" s="1033"/>
      <c r="D189" s="1033"/>
      <c r="E189" s="1033"/>
      <c r="F189" s="1033"/>
      <c r="G189" s="1033"/>
      <c r="H189" s="1033"/>
      <c r="I189" s="1033"/>
      <c r="J189" s="1033"/>
      <c r="K189" s="1033"/>
      <c r="L189" s="574"/>
      <c r="M189" s="51"/>
      <c r="N189" s="113">
        <f t="shared" si="21"/>
        <v>4547</v>
      </c>
      <c r="O189" s="581"/>
      <c r="P189" s="582">
        <v>0</v>
      </c>
      <c r="Q189" s="589"/>
      <c r="R189" s="576"/>
      <c r="S189" s="583">
        <f>+IF(ABS(+O189+Q189)&gt;=ABS(P189+R189),+O189-P189+Q189-R189,0)</f>
        <v>0</v>
      </c>
      <c r="T189" s="584">
        <v>0</v>
      </c>
      <c r="U189" s="51"/>
      <c r="V189" s="2120">
        <f>+IF(OR(ROUND(P189,2)+ROUND(R189,2)&gt;+ROUND(O189,2)+ROUND(Q189,2),+ABS(ROUND(P189,2)+ROUND(R189,2))&gt;+ABS(ROUND(O189,2)+ROUND(Q189,2))),+(ROUND(P189,2)+ROUND(R189,2))-(ROUND(O189,2)+ROUND(Q189,2)),0)</f>
        <v>0</v>
      </c>
      <c r="W189" s="43"/>
      <c r="X189" s="43"/>
      <c r="Y189" s="43"/>
      <c r="Z189" s="43"/>
    </row>
    <row r="190" spans="1:26">
      <c r="A190" s="88">
        <v>4548</v>
      </c>
      <c r="B190" s="378" t="s">
        <v>865</v>
      </c>
      <c r="C190" s="1033"/>
      <c r="D190" s="1033"/>
      <c r="E190" s="1033"/>
      <c r="F190" s="1033"/>
      <c r="G190" s="1033"/>
      <c r="H190" s="1033"/>
      <c r="I190" s="1033"/>
      <c r="J190" s="1033"/>
      <c r="K190" s="1033"/>
      <c r="L190" s="90"/>
      <c r="M190" s="51"/>
      <c r="N190" s="113">
        <f t="shared" si="21"/>
        <v>4548</v>
      </c>
      <c r="O190" s="575">
        <v>0</v>
      </c>
      <c r="P190" s="576"/>
      <c r="Q190" s="589"/>
      <c r="R190" s="324"/>
      <c r="S190" s="579">
        <v>0</v>
      </c>
      <c r="T190" s="580">
        <f t="shared" ref="T190:T195" si="23">+IF(ABS(+O190+Q190)&lt;=ABS(P190+R190),-O190+P190-Q190+R190,0)</f>
        <v>0</v>
      </c>
      <c r="U190" s="51"/>
      <c r="V190" s="2119">
        <f>+IF(OR(+ROUND(O190,2)+ROUND(Q190,2)&gt;ROUND(P190,2)+ROUND(R190,2),+ABS(ROUND(O190,2)+ROUND(Q190,2))&gt;+ABS(ROUND(P190,2)+ROUND(R190,2))),+(ROUND(O190,2)+ROUND(Q190,2))-(ROUND(P190,2)+ROUND(R190,2)),0)</f>
        <v>0</v>
      </c>
      <c r="W190" s="43"/>
      <c r="X190" s="43"/>
      <c r="Y190" s="43"/>
      <c r="Z190" s="43"/>
    </row>
    <row r="191" spans="1:26">
      <c r="A191" s="88">
        <v>4555</v>
      </c>
      <c r="B191" s="378" t="s">
        <v>866</v>
      </c>
      <c r="C191" s="1033"/>
      <c r="D191" s="1033"/>
      <c r="E191" s="1033"/>
      <c r="F191" s="1033"/>
      <c r="G191" s="1033"/>
      <c r="H191" s="1033"/>
      <c r="I191" s="1033"/>
      <c r="J191" s="1033"/>
      <c r="K191" s="1033"/>
      <c r="L191" s="90"/>
      <c r="M191" s="51"/>
      <c r="N191" s="113">
        <f t="shared" si="21"/>
        <v>4555</v>
      </c>
      <c r="O191" s="581">
        <v>0</v>
      </c>
      <c r="P191" s="576">
        <v>0</v>
      </c>
      <c r="Q191" s="589">
        <v>0</v>
      </c>
      <c r="R191" s="576">
        <v>0</v>
      </c>
      <c r="S191" s="583">
        <f>+IF(ABS(+O191+Q191)&gt;=ABS(P191+R191),+O191-P191+Q191-R191,0)</f>
        <v>0</v>
      </c>
      <c r="T191" s="580">
        <f t="shared" si="23"/>
        <v>0</v>
      </c>
      <c r="U191" s="51"/>
      <c r="V191" s="2119"/>
      <c r="W191" s="43"/>
      <c r="X191" s="43"/>
      <c r="Y191" s="43"/>
      <c r="Z191" s="43"/>
    </row>
    <row r="192" spans="1:26" ht="15.75" customHeight="1">
      <c r="A192" s="88">
        <v>4556</v>
      </c>
      <c r="B192" s="378" t="s">
        <v>867</v>
      </c>
      <c r="C192" s="1038"/>
      <c r="D192" s="1038"/>
      <c r="E192" s="1038"/>
      <c r="F192" s="1038"/>
      <c r="G192" s="1038"/>
      <c r="H192" s="1038"/>
      <c r="I192" s="1038"/>
      <c r="J192" s="1038"/>
      <c r="K192" s="1038"/>
      <c r="L192" s="590"/>
      <c r="M192" s="51"/>
      <c r="N192" s="113">
        <f t="shared" si="21"/>
        <v>4556</v>
      </c>
      <c r="O192" s="581">
        <v>0</v>
      </c>
      <c r="P192" s="576">
        <v>0</v>
      </c>
      <c r="Q192" s="589">
        <v>0</v>
      </c>
      <c r="R192" s="576">
        <v>0</v>
      </c>
      <c r="S192" s="583">
        <f>+IF(ABS(+O192+Q192)&gt;=ABS(P192+R192),+O192-P192+Q192-R192,0)</f>
        <v>0</v>
      </c>
      <c r="T192" s="580">
        <f t="shared" si="23"/>
        <v>0</v>
      </c>
      <c r="U192" s="51"/>
      <c r="V192" s="2119"/>
      <c r="W192" s="43"/>
      <c r="X192" s="43"/>
      <c r="Y192" s="43"/>
      <c r="Z192" s="43"/>
    </row>
    <row r="193" spans="1:26">
      <c r="A193" s="346">
        <v>4557</v>
      </c>
      <c r="B193" s="1032" t="s">
        <v>868</v>
      </c>
      <c r="C193" s="345"/>
      <c r="D193" s="1033"/>
      <c r="E193" s="1033"/>
      <c r="F193" s="1033"/>
      <c r="G193" s="1033"/>
      <c r="H193" s="1033"/>
      <c r="I193" s="1033"/>
      <c r="J193" s="1033"/>
      <c r="K193" s="1033"/>
      <c r="L193" s="90"/>
      <c r="M193" s="51"/>
      <c r="N193" s="113">
        <f t="shared" si="21"/>
        <v>4557</v>
      </c>
      <c r="O193" s="581">
        <v>0</v>
      </c>
      <c r="P193" s="576">
        <v>0</v>
      </c>
      <c r="Q193" s="589">
        <v>0</v>
      </c>
      <c r="R193" s="576">
        <v>0</v>
      </c>
      <c r="S193" s="583">
        <f>+IF(ABS(+O193+Q193)&gt;=ABS(P193+R193),+O193-P193+Q193-R193,0)</f>
        <v>0</v>
      </c>
      <c r="T193" s="580">
        <f t="shared" si="23"/>
        <v>0</v>
      </c>
      <c r="U193" s="51"/>
      <c r="V193" s="2119"/>
      <c r="W193" s="43"/>
      <c r="X193" s="43"/>
      <c r="Y193" s="43"/>
      <c r="Z193" s="43"/>
    </row>
    <row r="194" spans="1:26">
      <c r="A194" s="88">
        <v>4558</v>
      </c>
      <c r="B194" s="378" t="s">
        <v>869</v>
      </c>
      <c r="C194" s="1033"/>
      <c r="D194" s="1033"/>
      <c r="E194" s="1033"/>
      <c r="F194" s="1033"/>
      <c r="G194" s="1033"/>
      <c r="H194" s="1033"/>
      <c r="I194" s="1033"/>
      <c r="J194" s="1033"/>
      <c r="K194" s="1033"/>
      <c r="L194" s="90"/>
      <c r="M194" s="51"/>
      <c r="N194" s="113">
        <f t="shared" si="21"/>
        <v>4558</v>
      </c>
      <c r="O194" s="581">
        <v>0</v>
      </c>
      <c r="P194" s="576">
        <v>0</v>
      </c>
      <c r="Q194" s="589">
        <v>0</v>
      </c>
      <c r="R194" s="576">
        <v>0</v>
      </c>
      <c r="S194" s="583">
        <f>+IF(ABS(+O194+Q194)&gt;=ABS(P194+R194),+O194-P194+Q194-R194,0)</f>
        <v>0</v>
      </c>
      <c r="T194" s="580">
        <f t="shared" si="23"/>
        <v>0</v>
      </c>
      <c r="U194" s="51"/>
      <c r="V194" s="2119"/>
      <c r="W194" s="43"/>
      <c r="X194" s="43"/>
      <c r="Y194" s="43"/>
      <c r="Z194" s="43"/>
    </row>
    <row r="195" spans="1:26">
      <c r="A195" s="88">
        <v>4560</v>
      </c>
      <c r="B195" s="378" t="s">
        <v>870</v>
      </c>
      <c r="C195" s="1033"/>
      <c r="D195" s="1033"/>
      <c r="E195" s="1033"/>
      <c r="F195" s="1033"/>
      <c r="G195" s="1033"/>
      <c r="H195" s="1033"/>
      <c r="I195" s="1033"/>
      <c r="J195" s="1033"/>
      <c r="K195" s="1033"/>
      <c r="L195" s="574"/>
      <c r="M195" s="51"/>
      <c r="N195" s="113">
        <f t="shared" si="21"/>
        <v>4560</v>
      </c>
      <c r="O195" s="575">
        <v>0</v>
      </c>
      <c r="P195" s="576"/>
      <c r="Q195" s="589"/>
      <c r="R195" s="324"/>
      <c r="S195" s="579">
        <v>0</v>
      </c>
      <c r="T195" s="580">
        <f t="shared" si="23"/>
        <v>0</v>
      </c>
      <c r="U195" s="51"/>
      <c r="V195" s="2119">
        <f>+IF(OR(+ROUND(O195,2)+ROUND(Q195,2)&gt;ROUND(P195,2)+ROUND(R195,2),+ABS(ROUND(O195,2)+ROUND(Q195,2))&gt;+ABS(ROUND(P195,2)+ROUND(R195,2))),+(ROUND(O195,2)+ROUND(Q195,2))-(ROUND(P195,2)+ROUND(R195,2)),0)</f>
        <v>0</v>
      </c>
      <c r="W195" s="43"/>
      <c r="X195" s="43"/>
      <c r="Y195" s="43"/>
      <c r="Z195" s="43"/>
    </row>
    <row r="196" spans="1:26">
      <c r="A196" s="88">
        <v>4567</v>
      </c>
      <c r="B196" s="378" t="s">
        <v>871</v>
      </c>
      <c r="C196" s="1033"/>
      <c r="D196" s="1033"/>
      <c r="E196" s="1033"/>
      <c r="F196" s="1033"/>
      <c r="G196" s="1033"/>
      <c r="H196" s="1033"/>
      <c r="I196" s="1033"/>
      <c r="J196" s="1033"/>
      <c r="K196" s="1033"/>
      <c r="L196" s="574"/>
      <c r="M196" s="51"/>
      <c r="N196" s="113">
        <f t="shared" si="21"/>
        <v>4567</v>
      </c>
      <c r="O196" s="581"/>
      <c r="P196" s="582">
        <v>0</v>
      </c>
      <c r="Q196" s="589"/>
      <c r="R196" s="576"/>
      <c r="S196" s="583">
        <f>+IF(ABS(+O196+Q196)&gt;=ABS(P196+R196),+O196-P196+Q196-R196,0)</f>
        <v>0</v>
      </c>
      <c r="T196" s="584">
        <v>0</v>
      </c>
      <c r="U196" s="51"/>
      <c r="V196" s="2120">
        <f>+IF(OR(ROUND(P196,2)+ROUND(R196,2)&gt;+ROUND(O196,2)+ROUND(Q196,2),+ABS(ROUND(P196,2)+ROUND(R196,2))&gt;+ABS(ROUND(O196,2)+ROUND(Q196,2))),+(ROUND(P196,2)+ROUND(R196,2))-(ROUND(O196,2)+ROUND(Q196,2)),0)</f>
        <v>0</v>
      </c>
      <c r="W196" s="43"/>
      <c r="X196" s="43"/>
      <c r="Y196" s="43"/>
      <c r="Z196" s="43"/>
    </row>
    <row r="197" spans="1:26">
      <c r="A197" s="88">
        <v>4568</v>
      </c>
      <c r="B197" s="378" t="s">
        <v>872</v>
      </c>
      <c r="C197" s="1033"/>
      <c r="D197" s="1033"/>
      <c r="E197" s="1033"/>
      <c r="F197" s="1033"/>
      <c r="G197" s="1033"/>
      <c r="H197" s="1033"/>
      <c r="I197" s="1033"/>
      <c r="J197" s="1033"/>
      <c r="K197" s="1033"/>
      <c r="L197" s="574"/>
      <c r="M197" s="51"/>
      <c r="N197" s="113">
        <f t="shared" si="21"/>
        <v>4568</v>
      </c>
      <c r="O197" s="575">
        <v>0</v>
      </c>
      <c r="P197" s="576"/>
      <c r="Q197" s="589"/>
      <c r="R197" s="324"/>
      <c r="S197" s="579">
        <v>0</v>
      </c>
      <c r="T197" s="580">
        <f t="shared" ref="T197:T218" si="24">+IF(ABS(+O197+Q197)&lt;=ABS(P197+R197),-O197+P197-Q197+R197,0)</f>
        <v>0</v>
      </c>
      <c r="U197" s="51"/>
      <c r="V197" s="2119">
        <f>+IF(OR(+ROUND(O197,2)+ROUND(Q197,2)&gt;ROUND(P197,2)+ROUND(R197,2),+ABS(ROUND(O197,2)+ROUND(Q197,2))&gt;+ABS(ROUND(P197,2)+ROUND(R197,2))),+(ROUND(O197,2)+ROUND(Q197,2))-(ROUND(P197,2)+ROUND(R197,2)),0)</f>
        <v>0</v>
      </c>
      <c r="W197" s="43"/>
      <c r="X197" s="43"/>
      <c r="Y197" s="43"/>
      <c r="Z197" s="43"/>
    </row>
    <row r="198" spans="1:26">
      <c r="A198" s="88">
        <v>4598</v>
      </c>
      <c r="B198" s="378" t="s">
        <v>873</v>
      </c>
      <c r="C198" s="1033"/>
      <c r="D198" s="1033"/>
      <c r="E198" s="1033"/>
      <c r="F198" s="1033"/>
      <c r="G198" s="1033"/>
      <c r="H198" s="1033"/>
      <c r="I198" s="1033"/>
      <c r="J198" s="1033"/>
      <c r="K198" s="1033"/>
      <c r="L198" s="574"/>
      <c r="M198" s="51"/>
      <c r="N198" s="113">
        <f t="shared" si="21"/>
        <v>4598</v>
      </c>
      <c r="O198" s="575">
        <v>0</v>
      </c>
      <c r="P198" s="576"/>
      <c r="Q198" s="589"/>
      <c r="R198" s="324"/>
      <c r="S198" s="579">
        <v>0</v>
      </c>
      <c r="T198" s="580">
        <f t="shared" si="24"/>
        <v>0</v>
      </c>
      <c r="U198" s="51"/>
      <c r="V198" s="2119">
        <f>+IF(OR(+ROUND(O198,2)+ROUND(Q198,2)&gt;ROUND(P198,2)+ROUND(R198,2),+ABS(ROUND(O198,2)+ROUND(Q198,2))&gt;+ABS(ROUND(P198,2)+ROUND(R198,2))),+(ROUND(O198,2)+ROUND(Q198,2))-(ROUND(P198,2)+ROUND(R198,2)),0)</f>
        <v>0</v>
      </c>
      <c r="W198" s="43"/>
      <c r="X198" s="43"/>
      <c r="Y198" s="43"/>
      <c r="Z198" s="43"/>
    </row>
    <row r="199" spans="1:26" ht="15.75" customHeight="1">
      <c r="A199" s="88">
        <v>4599</v>
      </c>
      <c r="B199" s="378" t="s">
        <v>232</v>
      </c>
      <c r="C199" s="1038"/>
      <c r="D199" s="1038"/>
      <c r="E199" s="1038"/>
      <c r="F199" s="1038"/>
      <c r="G199" s="1038"/>
      <c r="H199" s="1038"/>
      <c r="I199" s="1038"/>
      <c r="J199" s="1038"/>
      <c r="K199" s="1038"/>
      <c r="L199" s="590"/>
      <c r="M199" s="51"/>
      <c r="N199" s="113">
        <f t="shared" si="21"/>
        <v>4599</v>
      </c>
      <c r="O199" s="581"/>
      <c r="P199" s="576"/>
      <c r="Q199" s="589"/>
      <c r="R199" s="576"/>
      <c r="S199" s="583">
        <f t="shared" ref="S199:S219" si="25">+IF(ABS(+O199+Q199)&gt;=ABS(P199+R199),+O199-P199+Q199-R199,0)</f>
        <v>0</v>
      </c>
      <c r="T199" s="580">
        <f t="shared" si="24"/>
        <v>0</v>
      </c>
      <c r="U199" s="51"/>
      <c r="V199" s="2119"/>
      <c r="W199" s="43"/>
      <c r="X199" s="43"/>
      <c r="Y199" s="43"/>
      <c r="Z199" s="43"/>
    </row>
    <row r="200" spans="1:26">
      <c r="A200" s="88">
        <v>4611</v>
      </c>
      <c r="B200" s="378" t="s">
        <v>874</v>
      </c>
      <c r="C200" s="1033"/>
      <c r="D200" s="1033"/>
      <c r="E200" s="1033"/>
      <c r="F200" s="1033"/>
      <c r="G200" s="1033"/>
      <c r="H200" s="1033"/>
      <c r="I200" s="1033"/>
      <c r="J200" s="1033"/>
      <c r="K200" s="1033"/>
      <c r="L200" s="90"/>
      <c r="M200" s="51"/>
      <c r="N200" s="113">
        <f t="shared" si="21"/>
        <v>4611</v>
      </c>
      <c r="O200" s="581"/>
      <c r="P200" s="576"/>
      <c r="Q200" s="589"/>
      <c r="R200" s="576"/>
      <c r="S200" s="583">
        <f t="shared" si="25"/>
        <v>0</v>
      </c>
      <c r="T200" s="580">
        <f t="shared" si="24"/>
        <v>0</v>
      </c>
      <c r="U200" s="51"/>
      <c r="V200" s="2119"/>
      <c r="W200" s="43"/>
      <c r="X200" s="43"/>
      <c r="Y200" s="43"/>
      <c r="Z200" s="43"/>
    </row>
    <row r="201" spans="1:26" ht="15.75" customHeight="1">
      <c r="A201" s="88">
        <v>4612</v>
      </c>
      <c r="B201" s="378" t="s">
        <v>875</v>
      </c>
      <c r="C201" s="1038"/>
      <c r="D201" s="1038"/>
      <c r="E201" s="1038"/>
      <c r="F201" s="1038"/>
      <c r="G201" s="1038"/>
      <c r="H201" s="1038"/>
      <c r="I201" s="1038"/>
      <c r="J201" s="1038"/>
      <c r="K201" s="1038"/>
      <c r="L201" s="590"/>
      <c r="M201" s="51"/>
      <c r="N201" s="113">
        <f t="shared" si="21"/>
        <v>4612</v>
      </c>
      <c r="O201" s="581"/>
      <c r="P201" s="576"/>
      <c r="Q201" s="589"/>
      <c r="R201" s="576"/>
      <c r="S201" s="583">
        <f t="shared" si="25"/>
        <v>0</v>
      </c>
      <c r="T201" s="580">
        <f t="shared" si="24"/>
        <v>0</v>
      </c>
      <c r="U201" s="51"/>
      <c r="V201" s="2119"/>
      <c r="W201" s="43"/>
      <c r="X201" s="43"/>
      <c r="Y201" s="43"/>
      <c r="Z201" s="43"/>
    </row>
    <row r="202" spans="1:26">
      <c r="A202" s="88">
        <v>4614</v>
      </c>
      <c r="B202" s="1033" t="s">
        <v>876</v>
      </c>
      <c r="C202" s="1033"/>
      <c r="D202" s="1033"/>
      <c r="E202" s="1033"/>
      <c r="F202" s="1033"/>
      <c r="G202" s="1033"/>
      <c r="H202" s="1033"/>
      <c r="I202" s="1033"/>
      <c r="J202" s="1033"/>
      <c r="K202" s="1033"/>
      <c r="L202" s="90"/>
      <c r="M202" s="51"/>
      <c r="N202" s="113">
        <f t="shared" si="21"/>
        <v>4614</v>
      </c>
      <c r="O202" s="581">
        <v>0</v>
      </c>
      <c r="P202" s="576">
        <v>0</v>
      </c>
      <c r="Q202" s="589">
        <v>0</v>
      </c>
      <c r="R202" s="576">
        <v>0</v>
      </c>
      <c r="S202" s="583">
        <f t="shared" si="25"/>
        <v>0</v>
      </c>
      <c r="T202" s="580">
        <f t="shared" si="24"/>
        <v>0</v>
      </c>
      <c r="U202" s="51"/>
      <c r="V202" s="2119"/>
      <c r="W202" s="43"/>
      <c r="X202" s="43"/>
      <c r="Y202" s="43"/>
      <c r="Z202" s="43"/>
    </row>
    <row r="203" spans="1:26">
      <c r="A203" s="88">
        <v>4615</v>
      </c>
      <c r="B203" s="1033" t="s">
        <v>877</v>
      </c>
      <c r="C203" s="1033"/>
      <c r="D203" s="1033"/>
      <c r="E203" s="1033"/>
      <c r="F203" s="1033"/>
      <c r="G203" s="1033"/>
      <c r="H203" s="1033"/>
      <c r="I203" s="1033"/>
      <c r="J203" s="1033"/>
      <c r="K203" s="1033"/>
      <c r="L203" s="90"/>
      <c r="M203" s="51"/>
      <c r="N203" s="113">
        <f t="shared" si="21"/>
        <v>4615</v>
      </c>
      <c r="O203" s="581"/>
      <c r="P203" s="576"/>
      <c r="Q203" s="589"/>
      <c r="R203" s="576"/>
      <c r="S203" s="583">
        <f t="shared" si="25"/>
        <v>0</v>
      </c>
      <c r="T203" s="580">
        <f t="shared" si="24"/>
        <v>0</v>
      </c>
      <c r="U203" s="51"/>
      <c r="V203" s="2119"/>
      <c r="W203" s="43"/>
      <c r="X203" s="43"/>
      <c r="Y203" s="43"/>
      <c r="Z203" s="43"/>
    </row>
    <row r="204" spans="1:26">
      <c r="A204" s="88">
        <v>4622</v>
      </c>
      <c r="B204" s="1033" t="s">
        <v>878</v>
      </c>
      <c r="C204" s="1033"/>
      <c r="D204" s="1033"/>
      <c r="E204" s="1033"/>
      <c r="F204" s="1033"/>
      <c r="G204" s="1033"/>
      <c r="H204" s="1033"/>
      <c r="I204" s="1033"/>
      <c r="J204" s="1033"/>
      <c r="K204" s="1033"/>
      <c r="L204" s="90"/>
      <c r="M204" s="51"/>
      <c r="N204" s="113">
        <f t="shared" si="21"/>
        <v>4622</v>
      </c>
      <c r="O204" s="581"/>
      <c r="P204" s="576"/>
      <c r="Q204" s="589"/>
      <c r="R204" s="576"/>
      <c r="S204" s="583">
        <f t="shared" si="25"/>
        <v>0</v>
      </c>
      <c r="T204" s="580">
        <f t="shared" si="24"/>
        <v>0</v>
      </c>
      <c r="U204" s="51"/>
      <c r="V204" s="2119"/>
      <c r="W204" s="43"/>
      <c r="X204" s="43"/>
      <c r="Y204" s="43"/>
      <c r="Z204" s="43"/>
    </row>
    <row r="205" spans="1:26">
      <c r="A205" s="88">
        <v>4624</v>
      </c>
      <c r="B205" s="1033" t="s">
        <v>879</v>
      </c>
      <c r="C205" s="1033"/>
      <c r="D205" s="1033"/>
      <c r="E205" s="1033"/>
      <c r="F205" s="1033"/>
      <c r="G205" s="1033"/>
      <c r="H205" s="1033"/>
      <c r="I205" s="1033"/>
      <c r="J205" s="1033"/>
      <c r="K205" s="1033"/>
      <c r="L205" s="90"/>
      <c r="M205" s="51"/>
      <c r="N205" s="113">
        <f t="shared" si="21"/>
        <v>4624</v>
      </c>
      <c r="O205" s="581">
        <v>0</v>
      </c>
      <c r="P205" s="576">
        <v>0</v>
      </c>
      <c r="Q205" s="589">
        <v>0</v>
      </c>
      <c r="R205" s="576">
        <v>0</v>
      </c>
      <c r="S205" s="583">
        <f t="shared" si="25"/>
        <v>0</v>
      </c>
      <c r="T205" s="580">
        <f t="shared" si="24"/>
        <v>0</v>
      </c>
      <c r="U205" s="51"/>
      <c r="V205" s="2119"/>
      <c r="W205" s="43"/>
      <c r="X205" s="43"/>
      <c r="Y205" s="43"/>
      <c r="Z205" s="43"/>
    </row>
    <row r="206" spans="1:26" ht="15.75" customHeight="1">
      <c r="A206" s="88">
        <v>4625</v>
      </c>
      <c r="B206" s="378" t="s">
        <v>880</v>
      </c>
      <c r="C206" s="88"/>
      <c r="D206" s="1038"/>
      <c r="E206" s="1038"/>
      <c r="F206" s="1038"/>
      <c r="G206" s="1038"/>
      <c r="H206" s="1038"/>
      <c r="I206" s="1038"/>
      <c r="J206" s="1038"/>
      <c r="K206" s="1038"/>
      <c r="L206" s="590"/>
      <c r="M206" s="51"/>
      <c r="N206" s="113">
        <f t="shared" si="21"/>
        <v>4625</v>
      </c>
      <c r="O206" s="581"/>
      <c r="P206" s="576"/>
      <c r="Q206" s="589"/>
      <c r="R206" s="576"/>
      <c r="S206" s="583">
        <f t="shared" si="25"/>
        <v>0</v>
      </c>
      <c r="T206" s="580">
        <f t="shared" si="24"/>
        <v>0</v>
      </c>
      <c r="U206" s="51"/>
      <c r="V206" s="2119"/>
      <c r="W206" s="43"/>
      <c r="X206" s="43"/>
      <c r="Y206" s="43"/>
      <c r="Z206" s="43"/>
    </row>
    <row r="207" spans="1:26">
      <c r="A207" s="88">
        <v>4630</v>
      </c>
      <c r="B207" s="378" t="s">
        <v>881</v>
      </c>
      <c r="C207" s="88"/>
      <c r="D207" s="1033"/>
      <c r="E207" s="1033"/>
      <c r="F207" s="1033"/>
      <c r="G207" s="1033"/>
      <c r="H207" s="1033"/>
      <c r="I207" s="1033"/>
      <c r="J207" s="1033"/>
      <c r="K207" s="1033"/>
      <c r="L207" s="574"/>
      <c r="M207" s="51"/>
      <c r="N207" s="113">
        <f t="shared" si="21"/>
        <v>4630</v>
      </c>
      <c r="O207" s="581">
        <v>0</v>
      </c>
      <c r="P207" s="576">
        <v>0</v>
      </c>
      <c r="Q207" s="589">
        <v>0</v>
      </c>
      <c r="R207" s="576">
        <v>0</v>
      </c>
      <c r="S207" s="583">
        <f t="shared" si="25"/>
        <v>0</v>
      </c>
      <c r="T207" s="580">
        <f t="shared" si="24"/>
        <v>0</v>
      </c>
      <c r="U207" s="51"/>
      <c r="V207" s="2119"/>
      <c r="W207" s="43"/>
      <c r="X207" s="43"/>
      <c r="Y207" s="43"/>
      <c r="Z207" s="43"/>
    </row>
    <row r="208" spans="1:26">
      <c r="A208" s="88">
        <v>4651</v>
      </c>
      <c r="B208" s="378" t="s">
        <v>882</v>
      </c>
      <c r="C208" s="88"/>
      <c r="D208" s="1043"/>
      <c r="E208" s="1043"/>
      <c r="F208" s="1043"/>
      <c r="G208" s="1043"/>
      <c r="H208" s="1043"/>
      <c r="I208" s="1043"/>
      <c r="J208" s="1043"/>
      <c r="K208" s="1043"/>
      <c r="L208" s="574"/>
      <c r="M208" s="51"/>
      <c r="N208" s="113">
        <f t="shared" si="21"/>
        <v>4651</v>
      </c>
      <c r="O208" s="581"/>
      <c r="P208" s="576"/>
      <c r="Q208" s="589"/>
      <c r="R208" s="576"/>
      <c r="S208" s="583">
        <f t="shared" si="25"/>
        <v>0</v>
      </c>
      <c r="T208" s="580">
        <f t="shared" si="24"/>
        <v>0</v>
      </c>
      <c r="U208" s="51"/>
      <c r="V208" s="2119"/>
      <c r="W208" s="43"/>
      <c r="X208" s="43"/>
      <c r="Y208" s="43"/>
      <c r="Z208" s="43"/>
    </row>
    <row r="209" spans="1:26" ht="15.75" customHeight="1">
      <c r="A209" s="88">
        <v>4655</v>
      </c>
      <c r="B209" s="378" t="s">
        <v>883</v>
      </c>
      <c r="C209" s="88"/>
      <c r="D209" s="1038"/>
      <c r="E209" s="1038"/>
      <c r="F209" s="1038"/>
      <c r="G209" s="1038"/>
      <c r="H209" s="1038"/>
      <c r="I209" s="1038"/>
      <c r="J209" s="1038"/>
      <c r="K209" s="1038"/>
      <c r="L209" s="590"/>
      <c r="M209" s="51"/>
      <c r="N209" s="113">
        <f t="shared" si="21"/>
        <v>4655</v>
      </c>
      <c r="O209" s="581"/>
      <c r="P209" s="576"/>
      <c r="Q209" s="589"/>
      <c r="R209" s="576"/>
      <c r="S209" s="583">
        <f t="shared" si="25"/>
        <v>0</v>
      </c>
      <c r="T209" s="580">
        <f t="shared" si="24"/>
        <v>0</v>
      </c>
      <c r="U209" s="51"/>
      <c r="V209" s="2119"/>
      <c r="W209" s="43"/>
      <c r="X209" s="43"/>
      <c r="Y209" s="43"/>
      <c r="Z209" s="43"/>
    </row>
    <row r="210" spans="1:26">
      <c r="A210" s="88">
        <v>4659</v>
      </c>
      <c r="B210" s="378" t="s">
        <v>884</v>
      </c>
      <c r="C210" s="88"/>
      <c r="D210" s="1033"/>
      <c r="E210" s="1033"/>
      <c r="F210" s="1033"/>
      <c r="G210" s="1033"/>
      <c r="H210" s="1033"/>
      <c r="I210" s="1033"/>
      <c r="J210" s="1033"/>
      <c r="K210" s="1033"/>
      <c r="L210" s="574"/>
      <c r="M210" s="51"/>
      <c r="N210" s="113">
        <f t="shared" si="21"/>
        <v>4659</v>
      </c>
      <c r="O210" s="581"/>
      <c r="P210" s="576"/>
      <c r="Q210" s="589"/>
      <c r="R210" s="576"/>
      <c r="S210" s="583">
        <f t="shared" si="25"/>
        <v>0</v>
      </c>
      <c r="T210" s="580">
        <f t="shared" si="24"/>
        <v>0</v>
      </c>
      <c r="U210" s="51"/>
      <c r="V210" s="2119"/>
      <c r="W210" s="43"/>
      <c r="X210" s="43"/>
      <c r="Y210" s="43"/>
      <c r="Z210" s="43"/>
    </row>
    <row r="211" spans="1:26">
      <c r="A211" s="88">
        <v>4671</v>
      </c>
      <c r="B211" s="378" t="s">
        <v>885</v>
      </c>
      <c r="C211" s="88"/>
      <c r="D211" s="1033"/>
      <c r="E211" s="1033"/>
      <c r="F211" s="1033"/>
      <c r="G211" s="1033"/>
      <c r="H211" s="1033"/>
      <c r="I211" s="1033"/>
      <c r="J211" s="1033"/>
      <c r="K211" s="1033"/>
      <c r="L211" s="574"/>
      <c r="M211" s="51"/>
      <c r="N211" s="113">
        <f t="shared" si="21"/>
        <v>4671</v>
      </c>
      <c r="O211" s="581"/>
      <c r="P211" s="576"/>
      <c r="Q211" s="589"/>
      <c r="R211" s="576"/>
      <c r="S211" s="583">
        <f t="shared" si="25"/>
        <v>0</v>
      </c>
      <c r="T211" s="580">
        <f t="shared" si="24"/>
        <v>0</v>
      </c>
      <c r="U211" s="51"/>
      <c r="V211" s="2119"/>
      <c r="W211" s="43"/>
      <c r="X211" s="43"/>
      <c r="Y211" s="43"/>
      <c r="Z211" s="43"/>
    </row>
    <row r="212" spans="1:26" ht="15.75" customHeight="1">
      <c r="A212" s="88">
        <v>4672</v>
      </c>
      <c r="B212" s="378" t="s">
        <v>886</v>
      </c>
      <c r="C212" s="88"/>
      <c r="D212" s="1038"/>
      <c r="E212" s="1038"/>
      <c r="F212" s="1038"/>
      <c r="G212" s="1038"/>
      <c r="H212" s="1038"/>
      <c r="I212" s="1038"/>
      <c r="J212" s="1038"/>
      <c r="K212" s="1038"/>
      <c r="L212" s="590"/>
      <c r="M212" s="51"/>
      <c r="N212" s="113">
        <f t="shared" si="21"/>
        <v>4672</v>
      </c>
      <c r="O212" s="581"/>
      <c r="P212" s="576"/>
      <c r="Q212" s="589"/>
      <c r="R212" s="576"/>
      <c r="S212" s="583">
        <f t="shared" si="25"/>
        <v>0</v>
      </c>
      <c r="T212" s="580">
        <f t="shared" si="24"/>
        <v>0</v>
      </c>
      <c r="U212" s="51"/>
      <c r="V212" s="2119"/>
      <c r="W212" s="43"/>
      <c r="X212" s="43"/>
      <c r="Y212" s="43"/>
      <c r="Z212" s="43"/>
    </row>
    <row r="213" spans="1:26">
      <c r="A213" s="88">
        <v>4674</v>
      </c>
      <c r="B213" s="378" t="s">
        <v>887</v>
      </c>
      <c r="C213" s="88"/>
      <c r="D213" s="1033"/>
      <c r="E213" s="1033"/>
      <c r="F213" s="1033"/>
      <c r="G213" s="1033"/>
      <c r="H213" s="1033"/>
      <c r="I213" s="1033"/>
      <c r="J213" s="1033"/>
      <c r="K213" s="1033"/>
      <c r="L213" s="574"/>
      <c r="M213" s="51"/>
      <c r="N213" s="113">
        <f t="shared" si="21"/>
        <v>4674</v>
      </c>
      <c r="O213" s="581"/>
      <c r="P213" s="576"/>
      <c r="Q213" s="589"/>
      <c r="R213" s="576"/>
      <c r="S213" s="583">
        <f t="shared" si="25"/>
        <v>0</v>
      </c>
      <c r="T213" s="580">
        <f t="shared" si="24"/>
        <v>0</v>
      </c>
      <c r="U213" s="51"/>
      <c r="V213" s="2119"/>
      <c r="W213" s="43"/>
      <c r="X213" s="43"/>
      <c r="Y213" s="43"/>
      <c r="Z213" s="43"/>
    </row>
    <row r="214" spans="1:26" ht="15.75" customHeight="1">
      <c r="A214" s="88">
        <v>4675</v>
      </c>
      <c r="B214" s="378" t="s">
        <v>888</v>
      </c>
      <c r="C214" s="88"/>
      <c r="D214" s="1038"/>
      <c r="E214" s="1038"/>
      <c r="F214" s="1038"/>
      <c r="G214" s="1038"/>
      <c r="H214" s="1038"/>
      <c r="I214" s="1038"/>
      <c r="J214" s="1038"/>
      <c r="K214" s="1038"/>
      <c r="L214" s="590"/>
      <c r="M214" s="51"/>
      <c r="N214" s="113">
        <f t="shared" si="21"/>
        <v>4675</v>
      </c>
      <c r="O214" s="581"/>
      <c r="P214" s="576"/>
      <c r="Q214" s="589"/>
      <c r="R214" s="576"/>
      <c r="S214" s="583">
        <f t="shared" si="25"/>
        <v>0</v>
      </c>
      <c r="T214" s="580">
        <f t="shared" si="24"/>
        <v>0</v>
      </c>
      <c r="U214" s="51"/>
      <c r="V214" s="2119"/>
      <c r="W214" s="43"/>
      <c r="X214" s="43"/>
      <c r="Y214" s="43"/>
      <c r="Z214" s="43"/>
    </row>
    <row r="215" spans="1:26">
      <c r="A215" s="88">
        <v>4679</v>
      </c>
      <c r="B215" s="378" t="s">
        <v>889</v>
      </c>
      <c r="C215" s="88"/>
      <c r="D215" s="1033"/>
      <c r="E215" s="1033"/>
      <c r="F215" s="1033"/>
      <c r="G215" s="1033"/>
      <c r="H215" s="1033"/>
      <c r="I215" s="1033"/>
      <c r="J215" s="1033"/>
      <c r="K215" s="1033"/>
      <c r="L215" s="574"/>
      <c r="M215" s="51"/>
      <c r="N215" s="113">
        <f t="shared" si="21"/>
        <v>4679</v>
      </c>
      <c r="O215" s="581">
        <v>0</v>
      </c>
      <c r="P215" s="576">
        <v>0</v>
      </c>
      <c r="Q215" s="589">
        <v>0</v>
      </c>
      <c r="R215" s="576">
        <v>0</v>
      </c>
      <c r="S215" s="583">
        <f t="shared" si="25"/>
        <v>0</v>
      </c>
      <c r="T215" s="580">
        <f t="shared" si="24"/>
        <v>0</v>
      </c>
      <c r="U215" s="51"/>
      <c r="V215" s="2119"/>
      <c r="W215" s="43"/>
      <c r="X215" s="43"/>
      <c r="Y215" s="43"/>
      <c r="Z215" s="43"/>
    </row>
    <row r="216" spans="1:26">
      <c r="A216" s="88">
        <v>4682</v>
      </c>
      <c r="B216" s="378" t="s">
        <v>890</v>
      </c>
      <c r="C216" s="88"/>
      <c r="D216" s="1033"/>
      <c r="E216" s="1033"/>
      <c r="F216" s="1033"/>
      <c r="G216" s="1033"/>
      <c r="H216" s="1033"/>
      <c r="I216" s="1033"/>
      <c r="J216" s="1033"/>
      <c r="K216" s="1033"/>
      <c r="L216" s="574"/>
      <c r="M216" s="51"/>
      <c r="N216" s="113">
        <f t="shared" si="21"/>
        <v>4682</v>
      </c>
      <c r="O216" s="581">
        <v>0</v>
      </c>
      <c r="P216" s="576">
        <v>0</v>
      </c>
      <c r="Q216" s="589">
        <v>0</v>
      </c>
      <c r="R216" s="576">
        <v>0</v>
      </c>
      <c r="S216" s="583">
        <f t="shared" si="25"/>
        <v>0</v>
      </c>
      <c r="T216" s="580">
        <f t="shared" si="24"/>
        <v>0</v>
      </c>
      <c r="U216" s="51"/>
      <c r="V216" s="2119"/>
      <c r="W216" s="43"/>
      <c r="X216" s="43"/>
      <c r="Y216" s="43"/>
      <c r="Z216" s="43"/>
    </row>
    <row r="217" spans="1:26">
      <c r="A217" s="88">
        <v>4684</v>
      </c>
      <c r="B217" s="378" t="s">
        <v>891</v>
      </c>
      <c r="C217" s="88"/>
      <c r="D217" s="1033"/>
      <c r="E217" s="1033"/>
      <c r="F217" s="1033"/>
      <c r="G217" s="1033"/>
      <c r="H217" s="1033"/>
      <c r="I217" s="1033"/>
      <c r="J217" s="1033"/>
      <c r="K217" s="1033"/>
      <c r="L217" s="574"/>
      <c r="M217" s="51"/>
      <c r="N217" s="113">
        <f t="shared" si="21"/>
        <v>4684</v>
      </c>
      <c r="O217" s="581">
        <v>0</v>
      </c>
      <c r="P217" s="576">
        <v>0</v>
      </c>
      <c r="Q217" s="589">
        <v>0</v>
      </c>
      <c r="R217" s="576">
        <v>0</v>
      </c>
      <c r="S217" s="583">
        <f t="shared" si="25"/>
        <v>0</v>
      </c>
      <c r="T217" s="580">
        <f t="shared" si="24"/>
        <v>0</v>
      </c>
      <c r="U217" s="51"/>
      <c r="V217" s="2119"/>
      <c r="W217" s="43"/>
      <c r="X217" s="43"/>
      <c r="Y217" s="43"/>
      <c r="Z217" s="43"/>
    </row>
    <row r="218" spans="1:26" ht="15.75" customHeight="1">
      <c r="A218" s="88">
        <v>4685</v>
      </c>
      <c r="B218" s="378" t="s">
        <v>892</v>
      </c>
      <c r="C218" s="88"/>
      <c r="D218" s="1038"/>
      <c r="E218" s="1038"/>
      <c r="F218" s="1038"/>
      <c r="G218" s="1038"/>
      <c r="H218" s="1038"/>
      <c r="I218" s="1038"/>
      <c r="J218" s="1038"/>
      <c r="K218" s="1038"/>
      <c r="L218" s="590"/>
      <c r="M218" s="51"/>
      <c r="N218" s="113">
        <f t="shared" si="21"/>
        <v>4685</v>
      </c>
      <c r="O218" s="581"/>
      <c r="P218" s="576"/>
      <c r="Q218" s="589"/>
      <c r="R218" s="576"/>
      <c r="S218" s="583">
        <f t="shared" si="25"/>
        <v>0</v>
      </c>
      <c r="T218" s="580">
        <f t="shared" si="24"/>
        <v>0</v>
      </c>
      <c r="U218" s="51"/>
      <c r="V218" s="2119"/>
      <c r="W218" s="43"/>
      <c r="X218" s="43"/>
      <c r="Y218" s="43"/>
      <c r="Z218" s="43"/>
    </row>
    <row r="219" spans="1:26">
      <c r="A219" s="88">
        <v>4691</v>
      </c>
      <c r="B219" s="378" t="s">
        <v>893</v>
      </c>
      <c r="C219" s="88"/>
      <c r="D219" s="1033"/>
      <c r="E219" s="1033"/>
      <c r="F219" s="1033"/>
      <c r="G219" s="1033"/>
      <c r="H219" s="1033"/>
      <c r="I219" s="1033"/>
      <c r="J219" s="1033"/>
      <c r="K219" s="1033"/>
      <c r="L219" s="574"/>
      <c r="M219" s="51"/>
      <c r="N219" s="113">
        <f t="shared" si="21"/>
        <v>4691</v>
      </c>
      <c r="O219" s="581"/>
      <c r="P219" s="582">
        <v>0</v>
      </c>
      <c r="Q219" s="589"/>
      <c r="R219" s="576"/>
      <c r="S219" s="583">
        <f t="shared" si="25"/>
        <v>0</v>
      </c>
      <c r="T219" s="584">
        <v>0</v>
      </c>
      <c r="U219" s="51"/>
      <c r="V219" s="2120">
        <f>+IF(OR(ROUND(P219,2)+ROUND(R219,2)&gt;+ROUND(O219,2)+ROUND(Q219,2),+ABS(ROUND(P219,2)+ROUND(R219,2))&gt;+ABS(ROUND(O219,2)+ROUND(Q219,2))),+(ROUND(P219,2)+ROUND(R219,2))-(ROUND(O219,2)+ROUND(Q219,2)),0)</f>
        <v>0</v>
      </c>
      <c r="W219" s="43"/>
      <c r="X219" s="43"/>
      <c r="Y219" s="43"/>
      <c r="Z219" s="43"/>
    </row>
    <row r="220" spans="1:26">
      <c r="A220" s="88">
        <v>4692</v>
      </c>
      <c r="B220" s="378" t="s">
        <v>894</v>
      </c>
      <c r="C220" s="88"/>
      <c r="D220" s="1033"/>
      <c r="E220" s="1033"/>
      <c r="F220" s="1033"/>
      <c r="G220" s="1033"/>
      <c r="H220" s="1033"/>
      <c r="I220" s="1033"/>
      <c r="J220" s="1033"/>
      <c r="K220" s="1033"/>
      <c r="L220" s="574"/>
      <c r="M220" s="51"/>
      <c r="N220" s="113">
        <f t="shared" si="21"/>
        <v>4692</v>
      </c>
      <c r="O220" s="575">
        <v>0</v>
      </c>
      <c r="P220" s="576"/>
      <c r="Q220" s="589"/>
      <c r="R220" s="324"/>
      <c r="S220" s="579">
        <v>0</v>
      </c>
      <c r="T220" s="580">
        <f>+IF(ABS(+O220+Q220)&lt;=ABS(P220+R220),-O220+P220-Q220+R220,0)</f>
        <v>0</v>
      </c>
      <c r="U220" s="51"/>
      <c r="V220" s="2119">
        <f>+IF(OR(+ROUND(O220,2)+ROUND(Q220,2)&gt;ROUND(P220,2)+ROUND(R220,2),+ABS(ROUND(O220,2)+ROUND(Q220,2))&gt;+ABS(ROUND(P220,2)+ROUND(R220,2))),+(ROUND(O220,2)+ROUND(Q220,2))-(ROUND(P220,2)+ROUND(R220,2)),0)</f>
        <v>0</v>
      </c>
      <c r="W220" s="43"/>
      <c r="X220" s="43"/>
      <c r="Y220" s="43"/>
      <c r="Z220" s="43"/>
    </row>
    <row r="221" spans="1:26">
      <c r="A221" s="88">
        <v>4693</v>
      </c>
      <c r="B221" s="378" t="s">
        <v>895</v>
      </c>
      <c r="C221" s="88"/>
      <c r="D221" s="1033"/>
      <c r="E221" s="1033"/>
      <c r="F221" s="1033"/>
      <c r="G221" s="1033"/>
      <c r="H221" s="1033"/>
      <c r="I221" s="1033"/>
      <c r="J221" s="1033"/>
      <c r="K221" s="1033"/>
      <c r="L221" s="574"/>
      <c r="M221" s="51"/>
      <c r="N221" s="113">
        <f t="shared" si="21"/>
        <v>4693</v>
      </c>
      <c r="O221" s="581"/>
      <c r="P221" s="582">
        <v>0</v>
      </c>
      <c r="Q221" s="589"/>
      <c r="R221" s="576"/>
      <c r="S221" s="583">
        <f>+IF(ABS(+O221+Q221)&gt;=ABS(P221+R221),+O221-P221+Q221-R221,0)</f>
        <v>0</v>
      </c>
      <c r="T221" s="584">
        <v>0</v>
      </c>
      <c r="U221" s="51"/>
      <c r="V221" s="2120">
        <f>+IF(OR(ROUND(P221,2)+ROUND(R221,2)&gt;+ROUND(O221,2)+ROUND(Q221,2),+ABS(ROUND(P221,2)+ROUND(R221,2))&gt;+ABS(ROUND(O221,2)+ROUND(Q221,2))),+(ROUND(P221,2)+ROUND(R221,2))-(ROUND(O221,2)+ROUND(Q221,2)),0)</f>
        <v>0</v>
      </c>
      <c r="W221" s="43"/>
      <c r="X221" s="43"/>
      <c r="Y221" s="43"/>
      <c r="Z221" s="43"/>
    </row>
    <row r="222" spans="1:26">
      <c r="A222" s="88">
        <v>4694</v>
      </c>
      <c r="B222" s="378" t="s">
        <v>268</v>
      </c>
      <c r="C222" s="88"/>
      <c r="D222" s="1033"/>
      <c r="E222" s="1033"/>
      <c r="F222" s="1033"/>
      <c r="G222" s="1033"/>
      <c r="H222" s="1033"/>
      <c r="I222" s="1033"/>
      <c r="J222" s="1033"/>
      <c r="K222" s="1033"/>
      <c r="L222" s="574"/>
      <c r="M222" s="51"/>
      <c r="N222" s="113">
        <f t="shared" ref="N222:N274" si="26">+A222</f>
        <v>4694</v>
      </c>
      <c r="O222" s="575">
        <v>0</v>
      </c>
      <c r="P222" s="576"/>
      <c r="Q222" s="589"/>
      <c r="R222" s="324"/>
      <c r="S222" s="579">
        <v>0</v>
      </c>
      <c r="T222" s="580">
        <f>+IF(ABS(+O222+Q222)&lt;=ABS(P222+R222),-O222+P222-Q222+R222,0)</f>
        <v>0</v>
      </c>
      <c r="U222" s="51"/>
      <c r="V222" s="2119">
        <f>+IF(OR(+ROUND(O222,2)+ROUND(Q222,2)&gt;ROUND(P222,2)+ROUND(R222,2),+ABS(ROUND(O222,2)+ROUND(Q222,2))&gt;+ABS(ROUND(P222,2)+ROUND(R222,2))),+(ROUND(O222,2)+ROUND(Q222,2))-(ROUND(P222,2)+ROUND(R222,2)),0)</f>
        <v>0</v>
      </c>
      <c r="W222" s="43"/>
      <c r="X222" s="43"/>
      <c r="Y222" s="43"/>
      <c r="Z222" s="43"/>
    </row>
    <row r="223" spans="1:26">
      <c r="A223" s="88">
        <v>4695</v>
      </c>
      <c r="B223" s="378" t="s">
        <v>269</v>
      </c>
      <c r="C223" s="88"/>
      <c r="D223" s="1033"/>
      <c r="E223" s="1033"/>
      <c r="F223" s="1033"/>
      <c r="G223" s="1033"/>
      <c r="H223" s="1033"/>
      <c r="I223" s="1033"/>
      <c r="J223" s="1033"/>
      <c r="K223" s="1033"/>
      <c r="L223" s="574"/>
      <c r="M223" s="51"/>
      <c r="N223" s="113">
        <f t="shared" si="26"/>
        <v>4695</v>
      </c>
      <c r="O223" s="581"/>
      <c r="P223" s="582">
        <v>0</v>
      </c>
      <c r="Q223" s="589"/>
      <c r="R223" s="576"/>
      <c r="S223" s="583">
        <f>+IF(ABS(+O223+Q223)&gt;=ABS(P223+R223),+O223-P223+Q223-R223,0)</f>
        <v>0</v>
      </c>
      <c r="T223" s="584">
        <v>0</v>
      </c>
      <c r="U223" s="51"/>
      <c r="V223" s="2120">
        <f>+IF(OR(ROUND(P223,2)+ROUND(R223,2)&gt;+ROUND(O223,2)+ROUND(Q223,2),+ABS(ROUND(P223,2)+ROUND(R223,2))&gt;+ABS(ROUND(O223,2)+ROUND(Q223,2))),+(ROUND(P223,2)+ROUND(R223,2))-(ROUND(O223,2)+ROUND(Q223,2)),0)</f>
        <v>0</v>
      </c>
      <c r="W223" s="43"/>
      <c r="X223" s="43"/>
      <c r="Y223" s="43"/>
      <c r="Z223" s="43"/>
    </row>
    <row r="224" spans="1:26">
      <c r="A224" s="88">
        <v>4696</v>
      </c>
      <c r="B224" s="378" t="s">
        <v>270</v>
      </c>
      <c r="C224" s="88"/>
      <c r="D224" s="1033"/>
      <c r="E224" s="1033"/>
      <c r="F224" s="1033"/>
      <c r="G224" s="1033"/>
      <c r="H224" s="1033"/>
      <c r="I224" s="1033"/>
      <c r="J224" s="1033"/>
      <c r="K224" s="1033"/>
      <c r="L224" s="574"/>
      <c r="M224" s="51"/>
      <c r="N224" s="113">
        <f t="shared" si="26"/>
        <v>4696</v>
      </c>
      <c r="O224" s="575">
        <v>0</v>
      </c>
      <c r="P224" s="576"/>
      <c r="Q224" s="589"/>
      <c r="R224" s="324"/>
      <c r="S224" s="579">
        <v>0</v>
      </c>
      <c r="T224" s="580">
        <f>+IF(ABS(+O224+Q224)&lt;=ABS(P224+R224),-O224+P224-Q224+R224,0)</f>
        <v>0</v>
      </c>
      <c r="U224" s="51"/>
      <c r="V224" s="2119">
        <f>+IF(OR(+ROUND(O224,2)+ROUND(Q224,2)&gt;ROUND(P224,2)+ROUND(R224,2),+ABS(ROUND(O224,2)+ROUND(Q224,2))&gt;+ABS(ROUND(P224,2)+ROUND(R224,2))),+(ROUND(O224,2)+ROUND(Q224,2))-(ROUND(P224,2)+ROUND(R224,2)),0)</f>
        <v>0</v>
      </c>
      <c r="W224" s="43"/>
      <c r="X224" s="43"/>
      <c r="Y224" s="43"/>
      <c r="Z224" s="43"/>
    </row>
    <row r="225" spans="1:26">
      <c r="A225" s="88">
        <v>4830</v>
      </c>
      <c r="B225" s="378" t="s">
        <v>271</v>
      </c>
      <c r="C225" s="88"/>
      <c r="D225" s="1033"/>
      <c r="E225" s="1033"/>
      <c r="F225" s="1033"/>
      <c r="G225" s="1033"/>
      <c r="H225" s="1033"/>
      <c r="I225" s="1033"/>
      <c r="J225" s="1033"/>
      <c r="K225" s="1033"/>
      <c r="L225" s="574"/>
      <c r="M225" s="51"/>
      <c r="N225" s="113">
        <f t="shared" si="26"/>
        <v>4830</v>
      </c>
      <c r="O225" s="575">
        <v>0</v>
      </c>
      <c r="P225" s="576"/>
      <c r="Q225" s="589"/>
      <c r="R225" s="324"/>
      <c r="S225" s="579">
        <v>0</v>
      </c>
      <c r="T225" s="580">
        <f>+IF(ABS(+O225+Q225)&lt;=ABS(P225+R225),-O225+P225-Q225+R225,0)</f>
        <v>0</v>
      </c>
      <c r="U225" s="51"/>
      <c r="V225" s="2119">
        <f>+IF(OR(+ROUND(O225,2)+ROUND(Q225,2)&gt;ROUND(P225,2)+ROUND(R225,2),+ABS(ROUND(O225,2)+ROUND(Q225,2))&gt;+ABS(ROUND(P225,2)+ROUND(R225,2))),+(ROUND(O225,2)+ROUND(Q225,2))-(ROUND(P225,2)+ROUND(R225,2)),0)</f>
        <v>0</v>
      </c>
      <c r="W225" s="43"/>
      <c r="X225" s="43"/>
      <c r="Y225" s="43"/>
      <c r="Z225" s="43"/>
    </row>
    <row r="226" spans="1:26">
      <c r="A226" s="88">
        <v>4831</v>
      </c>
      <c r="B226" s="378" t="s">
        <v>272</v>
      </c>
      <c r="C226" s="88"/>
      <c r="D226" s="1033"/>
      <c r="E226" s="1033"/>
      <c r="F226" s="1033"/>
      <c r="G226" s="1033"/>
      <c r="H226" s="1033"/>
      <c r="I226" s="1033"/>
      <c r="J226" s="1033"/>
      <c r="K226" s="1033"/>
      <c r="L226" s="574"/>
      <c r="M226" s="51"/>
      <c r="N226" s="113">
        <f t="shared" si="26"/>
        <v>4831</v>
      </c>
      <c r="O226" s="575">
        <v>0</v>
      </c>
      <c r="P226" s="576">
        <v>0</v>
      </c>
      <c r="Q226" s="589">
        <v>0</v>
      </c>
      <c r="R226" s="324">
        <v>0</v>
      </c>
      <c r="S226" s="579">
        <v>0</v>
      </c>
      <c r="T226" s="580">
        <f>+IF(ABS(+O226+Q226)&lt;=ABS(P226+R226),-O226+P226-Q226+R226,0)</f>
        <v>0</v>
      </c>
      <c r="U226" s="51"/>
      <c r="V226" s="2119">
        <f>+IF(OR(+ROUND(O226,2)+ROUND(Q226,2)&gt;ROUND(P226,2)+ROUND(R226,2),+ABS(ROUND(O226,2)+ROUND(Q226,2))&gt;+ABS(ROUND(P226,2)+ROUND(R226,2))),+(ROUND(O226,2)+ROUND(Q226,2))-(ROUND(P226,2)+ROUND(R226,2)),0)</f>
        <v>0</v>
      </c>
      <c r="W226" s="43"/>
      <c r="X226" s="43"/>
      <c r="Y226" s="43"/>
      <c r="Z226" s="43"/>
    </row>
    <row r="227" spans="1:26">
      <c r="A227" s="88">
        <v>4832</v>
      </c>
      <c r="B227" s="378" t="s">
        <v>273</v>
      </c>
      <c r="C227" s="88"/>
      <c r="D227" s="1033"/>
      <c r="E227" s="1033"/>
      <c r="F227" s="1033"/>
      <c r="G227" s="1033"/>
      <c r="H227" s="1033"/>
      <c r="I227" s="1033"/>
      <c r="J227" s="1033"/>
      <c r="K227" s="1033"/>
      <c r="L227" s="574"/>
      <c r="M227" s="51"/>
      <c r="N227" s="113">
        <f t="shared" si="26"/>
        <v>4832</v>
      </c>
      <c r="O227" s="575">
        <v>0</v>
      </c>
      <c r="P227" s="576"/>
      <c r="Q227" s="589"/>
      <c r="R227" s="324"/>
      <c r="S227" s="579">
        <v>0</v>
      </c>
      <c r="T227" s="580">
        <f>+IF(ABS(+O227+Q227)&lt;=ABS(P227+R227),-O227+P227-Q227+R227,0)</f>
        <v>0</v>
      </c>
      <c r="U227" s="51"/>
      <c r="V227" s="2119">
        <f>+IF(OR(+ROUND(O227,2)+ROUND(Q227,2)&gt;ROUND(P227,2)+ROUND(R227,2),+ABS(ROUND(O227,2)+ROUND(Q227,2))&gt;+ABS(ROUND(P227,2)+ROUND(R227,2))),+(ROUND(O227,2)+ROUND(Q227,2))-(ROUND(P227,2)+ROUND(R227,2)),0)</f>
        <v>0</v>
      </c>
      <c r="W227" s="43"/>
      <c r="X227" s="43"/>
      <c r="Y227" s="43"/>
      <c r="Z227" s="43"/>
    </row>
    <row r="228" spans="1:26">
      <c r="A228" s="88">
        <v>4835</v>
      </c>
      <c r="B228" s="378" t="s">
        <v>274</v>
      </c>
      <c r="C228" s="88"/>
      <c r="D228" s="1033"/>
      <c r="E228" s="1033"/>
      <c r="F228" s="1033"/>
      <c r="G228" s="1033"/>
      <c r="H228" s="1033"/>
      <c r="I228" s="1033"/>
      <c r="J228" s="1033"/>
      <c r="K228" s="1033"/>
      <c r="L228" s="574"/>
      <c r="M228" s="51"/>
      <c r="N228" s="113">
        <f t="shared" si="26"/>
        <v>4835</v>
      </c>
      <c r="O228" s="575">
        <v>0</v>
      </c>
      <c r="P228" s="576"/>
      <c r="Q228" s="589"/>
      <c r="R228" s="324"/>
      <c r="S228" s="579">
        <v>0</v>
      </c>
      <c r="T228" s="580">
        <f>+IF(ABS(+O228+Q228)&lt;=ABS(P228+R228),-O228+P228-Q228+R228,0)</f>
        <v>0</v>
      </c>
      <c r="U228" s="51"/>
      <c r="V228" s="2119">
        <f>+IF(OR(+ROUND(O228,2)+ROUND(Q228,2)&gt;ROUND(P228,2)+ROUND(R228,2),+ABS(ROUND(O228,2)+ROUND(Q228,2))&gt;+ABS(ROUND(P228,2)+ROUND(R228,2))),+(ROUND(O228,2)+ROUND(Q228,2))-(ROUND(P228,2)+ROUND(R228,2)),0)</f>
        <v>0</v>
      </c>
      <c r="W228" s="43"/>
      <c r="X228" s="43"/>
      <c r="Y228" s="43"/>
      <c r="Z228" s="43"/>
    </row>
    <row r="229" spans="1:26">
      <c r="A229" s="88">
        <v>4841</v>
      </c>
      <c r="B229" s="378" t="s">
        <v>275</v>
      </c>
      <c r="C229" s="88"/>
      <c r="D229" s="1033"/>
      <c r="E229" s="1033"/>
      <c r="F229" s="1033"/>
      <c r="G229" s="1033"/>
      <c r="H229" s="1033"/>
      <c r="I229" s="1033"/>
      <c r="J229" s="1033"/>
      <c r="K229" s="1033"/>
      <c r="L229" s="574"/>
      <c r="M229" s="51"/>
      <c r="N229" s="113">
        <f t="shared" si="26"/>
        <v>4841</v>
      </c>
      <c r="O229" s="581"/>
      <c r="P229" s="582">
        <v>0</v>
      </c>
      <c r="Q229" s="589"/>
      <c r="R229" s="576"/>
      <c r="S229" s="583">
        <f>+IF(ABS(+O229+Q229)&gt;=ABS(P229+R229),+O229-P229+Q229-R229,0)</f>
        <v>0</v>
      </c>
      <c r="T229" s="584">
        <v>0</v>
      </c>
      <c r="U229" s="51"/>
      <c r="V229" s="2120">
        <f>+IF(OR(ROUND(P229,2)+ROUND(R229,2)&gt;+ROUND(O229,2)+ROUND(Q229,2),+ABS(ROUND(P229,2)+ROUND(R229,2))&gt;+ABS(ROUND(O229,2)+ROUND(Q229,2))),+(ROUND(P229,2)+ROUND(R229,2))-(ROUND(O229,2)+ROUND(Q229,2)),0)</f>
        <v>0</v>
      </c>
      <c r="W229" s="43"/>
      <c r="X229" s="43"/>
      <c r="Y229" s="43"/>
      <c r="Z229" s="43"/>
    </row>
    <row r="230" spans="1:26">
      <c r="A230" s="88">
        <v>4843</v>
      </c>
      <c r="B230" s="378" t="s">
        <v>276</v>
      </c>
      <c r="C230" s="88"/>
      <c r="D230" s="1033"/>
      <c r="E230" s="1033"/>
      <c r="F230" s="1033"/>
      <c r="G230" s="1033"/>
      <c r="H230" s="1033"/>
      <c r="I230" s="1033"/>
      <c r="J230" s="1033"/>
      <c r="K230" s="1033"/>
      <c r="L230" s="574"/>
      <c r="M230" s="51"/>
      <c r="N230" s="113">
        <f t="shared" si="26"/>
        <v>4843</v>
      </c>
      <c r="O230" s="581"/>
      <c r="P230" s="582">
        <v>0</v>
      </c>
      <c r="Q230" s="589"/>
      <c r="R230" s="576"/>
      <c r="S230" s="583">
        <f>+IF(ABS(+O230+Q230)&gt;=ABS(P230+R230),+O230-P230+Q230-R230,0)</f>
        <v>0</v>
      </c>
      <c r="T230" s="584">
        <v>0</v>
      </c>
      <c r="U230" s="51"/>
      <c r="V230" s="2120">
        <f>+IF(OR(ROUND(P230,2)+ROUND(R230,2)&gt;+ROUND(O230,2)+ROUND(Q230,2),+ABS(ROUND(P230,2)+ROUND(R230,2))&gt;+ABS(ROUND(O230,2)+ROUND(Q230,2))),+(ROUND(P230,2)+ROUND(R230,2))-(ROUND(O230,2)+ROUND(Q230,2)),0)</f>
        <v>0</v>
      </c>
      <c r="W230" s="43"/>
      <c r="X230" s="43"/>
      <c r="Y230" s="43"/>
      <c r="Z230" s="43"/>
    </row>
    <row r="231" spans="1:26">
      <c r="A231" s="88">
        <v>4844</v>
      </c>
      <c r="B231" s="378" t="s">
        <v>277</v>
      </c>
      <c r="C231" s="88"/>
      <c r="D231" s="1033"/>
      <c r="E231" s="1033"/>
      <c r="F231" s="1033"/>
      <c r="G231" s="1033"/>
      <c r="H231" s="1033"/>
      <c r="I231" s="1033"/>
      <c r="J231" s="1033"/>
      <c r="K231" s="1033"/>
      <c r="L231" s="574"/>
      <c r="M231" s="51"/>
      <c r="N231" s="113">
        <f t="shared" si="26"/>
        <v>4844</v>
      </c>
      <c r="O231" s="581"/>
      <c r="P231" s="582">
        <v>0</v>
      </c>
      <c r="Q231" s="589"/>
      <c r="R231" s="576"/>
      <c r="S231" s="583">
        <f>+IF(ABS(+O231+Q231)&gt;=ABS(P231+R231),+O231-P231+Q231-R231,0)</f>
        <v>0</v>
      </c>
      <c r="T231" s="584">
        <v>0</v>
      </c>
      <c r="U231" s="51"/>
      <c r="V231" s="2120">
        <f>+IF(OR(ROUND(P231,2)+ROUND(R231,2)&gt;+ROUND(O231,2)+ROUND(Q231,2),+ABS(ROUND(P231,2)+ROUND(R231,2))&gt;+ABS(ROUND(O231,2)+ROUND(Q231,2))),+(ROUND(P231,2)+ROUND(R231,2))-(ROUND(O231,2)+ROUND(Q231,2)),0)</f>
        <v>0</v>
      </c>
      <c r="W231" s="43"/>
      <c r="X231" s="43"/>
      <c r="Y231" s="43"/>
      <c r="Z231" s="43"/>
    </row>
    <row r="232" spans="1:26">
      <c r="A232" s="88">
        <v>4845</v>
      </c>
      <c r="B232" s="378" t="s">
        <v>278</v>
      </c>
      <c r="C232" s="88"/>
      <c r="D232" s="1033"/>
      <c r="E232" s="1033"/>
      <c r="F232" s="1033"/>
      <c r="G232" s="1033"/>
      <c r="H232" s="1033"/>
      <c r="I232" s="1033"/>
      <c r="J232" s="1033"/>
      <c r="K232" s="1033"/>
      <c r="L232" s="574"/>
      <c r="M232" s="51"/>
      <c r="N232" s="113">
        <f t="shared" si="26"/>
        <v>4845</v>
      </c>
      <c r="O232" s="575">
        <v>0</v>
      </c>
      <c r="P232" s="576"/>
      <c r="Q232" s="589"/>
      <c r="R232" s="324"/>
      <c r="S232" s="579">
        <v>0</v>
      </c>
      <c r="T232" s="580">
        <f>+IF(ABS(+O232+Q232)&lt;=ABS(P232+R232),-O232+P232-Q232+R232,0)</f>
        <v>0</v>
      </c>
      <c r="U232" s="51"/>
      <c r="V232" s="2119">
        <f>+IF(OR(+ROUND(O232,2)+ROUND(Q232,2)&gt;ROUND(P232,2)+ROUND(R232,2),+ABS(ROUND(O232,2)+ROUND(Q232,2))&gt;+ABS(ROUND(P232,2)+ROUND(R232,2))),+(ROUND(O232,2)+ROUND(Q232,2))-(ROUND(P232,2)+ROUND(R232,2)),0)</f>
        <v>0</v>
      </c>
      <c r="W232" s="43"/>
      <c r="X232" s="43"/>
      <c r="Y232" s="43"/>
      <c r="Z232" s="43"/>
    </row>
    <row r="233" spans="1:26">
      <c r="A233" s="88">
        <v>4847</v>
      </c>
      <c r="B233" s="378" t="s">
        <v>279</v>
      </c>
      <c r="C233" s="88"/>
      <c r="D233" s="1033"/>
      <c r="E233" s="1033"/>
      <c r="F233" s="1033"/>
      <c r="G233" s="1033"/>
      <c r="H233" s="1033"/>
      <c r="I233" s="1033"/>
      <c r="J233" s="1033"/>
      <c r="K233" s="1033"/>
      <c r="L233" s="574"/>
      <c r="M233" s="51"/>
      <c r="N233" s="113">
        <f t="shared" si="26"/>
        <v>4847</v>
      </c>
      <c r="O233" s="575">
        <v>0</v>
      </c>
      <c r="P233" s="576"/>
      <c r="Q233" s="589"/>
      <c r="R233" s="324"/>
      <c r="S233" s="579">
        <v>0</v>
      </c>
      <c r="T233" s="580">
        <f>+IF(ABS(+O233+Q233)&lt;=ABS(P233+R233),-O233+P233-Q233+R233,0)</f>
        <v>0</v>
      </c>
      <c r="U233" s="51"/>
      <c r="V233" s="2119">
        <f>+IF(OR(+ROUND(O233,2)+ROUND(Q233,2)&gt;ROUND(P233,2)+ROUND(R233,2),+ABS(ROUND(O233,2)+ROUND(Q233,2))&gt;+ABS(ROUND(P233,2)+ROUND(R233,2))),+(ROUND(O233,2)+ROUND(Q233,2))-(ROUND(P233,2)+ROUND(R233,2)),0)</f>
        <v>0</v>
      </c>
      <c r="W233" s="43"/>
      <c r="X233" s="43"/>
      <c r="Y233" s="43"/>
      <c r="Z233" s="43"/>
    </row>
    <row r="234" spans="1:26">
      <c r="A234" s="88">
        <v>4848</v>
      </c>
      <c r="B234" s="378" t="s">
        <v>280</v>
      </c>
      <c r="C234" s="88"/>
      <c r="D234" s="1033"/>
      <c r="E234" s="1033"/>
      <c r="F234" s="1033"/>
      <c r="G234" s="1033"/>
      <c r="H234" s="1033"/>
      <c r="I234" s="1033"/>
      <c r="J234" s="1033"/>
      <c r="K234" s="1033"/>
      <c r="L234" s="574"/>
      <c r="M234" s="51"/>
      <c r="N234" s="113">
        <f t="shared" si="26"/>
        <v>4848</v>
      </c>
      <c r="O234" s="575">
        <v>0</v>
      </c>
      <c r="P234" s="576"/>
      <c r="Q234" s="589"/>
      <c r="R234" s="324"/>
      <c r="S234" s="579">
        <v>0</v>
      </c>
      <c r="T234" s="580">
        <f>+IF(ABS(+O234+Q234)&lt;=ABS(P234+R234),-O234+P234-Q234+R234,0)</f>
        <v>0</v>
      </c>
      <c r="U234" s="51"/>
      <c r="V234" s="2119">
        <f>+IF(OR(+ROUND(O234,2)+ROUND(Q234,2)&gt;ROUND(P234,2)+ROUND(R234,2),+ABS(ROUND(O234,2)+ROUND(Q234,2))&gt;+ABS(ROUND(P234,2)+ROUND(R234,2))),+(ROUND(O234,2)+ROUND(Q234,2))-(ROUND(P234,2)+ROUND(R234,2)),0)</f>
        <v>0</v>
      </c>
      <c r="W234" s="43"/>
      <c r="X234" s="43"/>
      <c r="Y234" s="43"/>
      <c r="Z234" s="43"/>
    </row>
    <row r="235" spans="1:26">
      <c r="A235" s="88">
        <v>4851</v>
      </c>
      <c r="B235" s="378" t="s">
        <v>281</v>
      </c>
      <c r="C235" s="88"/>
      <c r="D235" s="1033"/>
      <c r="E235" s="1033"/>
      <c r="F235" s="1033"/>
      <c r="G235" s="1033"/>
      <c r="H235" s="1033"/>
      <c r="I235" s="1033"/>
      <c r="J235" s="1033"/>
      <c r="K235" s="1033"/>
      <c r="L235" s="574"/>
      <c r="M235" s="51"/>
      <c r="N235" s="113">
        <f t="shared" si="26"/>
        <v>4851</v>
      </c>
      <c r="O235" s="575">
        <v>0</v>
      </c>
      <c r="P235" s="576"/>
      <c r="Q235" s="589"/>
      <c r="R235" s="324"/>
      <c r="S235" s="579">
        <v>0</v>
      </c>
      <c r="T235" s="580">
        <f>+IF(ABS(+O235+Q235)&lt;=ABS(P235+R235),-O235+P235-Q235+R235,0)</f>
        <v>0</v>
      </c>
      <c r="U235" s="51"/>
      <c r="V235" s="2119">
        <f>+IF(OR(+ROUND(O235,2)+ROUND(Q235,2)&gt;ROUND(P235,2)+ROUND(R235,2),+ABS(ROUND(O235,2)+ROUND(Q235,2))&gt;+ABS(ROUND(P235,2)+ROUND(R235,2))),+(ROUND(O235,2)+ROUND(Q235,2))-(ROUND(P235,2)+ROUND(R235,2)),0)</f>
        <v>0</v>
      </c>
      <c r="W235" s="43"/>
      <c r="X235" s="43"/>
      <c r="Y235" s="43"/>
      <c r="Z235" s="43"/>
    </row>
    <row r="236" spans="1:26">
      <c r="A236" s="88">
        <v>4852</v>
      </c>
      <c r="B236" s="378" t="s">
        <v>282</v>
      </c>
      <c r="C236" s="88"/>
      <c r="D236" s="1033"/>
      <c r="E236" s="1033"/>
      <c r="F236" s="1033"/>
      <c r="G236" s="1033"/>
      <c r="H236" s="1033"/>
      <c r="I236" s="1033"/>
      <c r="J236" s="1033"/>
      <c r="K236" s="1033"/>
      <c r="L236" s="574"/>
      <c r="M236" s="51"/>
      <c r="N236" s="113">
        <f t="shared" si="26"/>
        <v>4852</v>
      </c>
      <c r="O236" s="581"/>
      <c r="P236" s="582">
        <v>0</v>
      </c>
      <c r="Q236" s="589"/>
      <c r="R236" s="576"/>
      <c r="S236" s="583">
        <f>+IF(ABS(+O236+Q236)&gt;=ABS(P236+R236),+O236-P236+Q236-R236,0)</f>
        <v>0</v>
      </c>
      <c r="T236" s="584">
        <v>0</v>
      </c>
      <c r="U236" s="51"/>
      <c r="V236" s="2120">
        <f>+IF(OR(ROUND(P236,2)+ROUND(R236,2)&gt;+ROUND(O236,2)+ROUND(Q236,2),+ABS(ROUND(P236,2)+ROUND(R236,2))&gt;+ABS(ROUND(O236,2)+ROUND(Q236,2))),+(ROUND(P236,2)+ROUND(R236,2))-(ROUND(O236,2)+ROUND(Q236,2)),0)</f>
        <v>0</v>
      </c>
      <c r="W236" s="43"/>
      <c r="X236" s="43"/>
      <c r="Y236" s="43"/>
      <c r="Z236" s="43"/>
    </row>
    <row r="237" spans="1:26">
      <c r="A237" s="88">
        <v>4853</v>
      </c>
      <c r="B237" s="378" t="s">
        <v>283</v>
      </c>
      <c r="C237" s="88"/>
      <c r="D237" s="1033"/>
      <c r="E237" s="1033"/>
      <c r="F237" s="1033"/>
      <c r="G237" s="1033"/>
      <c r="H237" s="1033"/>
      <c r="I237" s="1033"/>
      <c r="J237" s="1033"/>
      <c r="K237" s="1033"/>
      <c r="L237" s="574"/>
      <c r="M237" s="51"/>
      <c r="N237" s="113">
        <f t="shared" si="26"/>
        <v>4853</v>
      </c>
      <c r="O237" s="575">
        <v>0</v>
      </c>
      <c r="P237" s="576"/>
      <c r="Q237" s="589"/>
      <c r="R237" s="324"/>
      <c r="S237" s="579">
        <v>0</v>
      </c>
      <c r="T237" s="580">
        <f>+IF(ABS(+O237+Q237)&lt;=ABS(P237+R237),-O237+P237-Q237+R237,0)</f>
        <v>0</v>
      </c>
      <c r="U237" s="51"/>
      <c r="V237" s="2119">
        <f>+IF(OR(+ROUND(O237,2)+ROUND(Q237,2)&gt;ROUND(P237,2)+ROUND(R237,2),+ABS(ROUND(O237,2)+ROUND(Q237,2))&gt;+ABS(ROUND(P237,2)+ROUND(R237,2))),+(ROUND(O237,2)+ROUND(Q237,2))-(ROUND(P237,2)+ROUND(R237,2)),0)</f>
        <v>0</v>
      </c>
      <c r="W237" s="43"/>
      <c r="X237" s="43"/>
      <c r="Y237" s="43"/>
      <c r="Z237" s="43"/>
    </row>
    <row r="238" spans="1:26">
      <c r="A238" s="88">
        <v>4854</v>
      </c>
      <c r="B238" s="378" t="s">
        <v>284</v>
      </c>
      <c r="C238" s="88"/>
      <c r="D238" s="1033"/>
      <c r="E238" s="1033"/>
      <c r="F238" s="1033"/>
      <c r="G238" s="1033"/>
      <c r="H238" s="1033"/>
      <c r="I238" s="1033"/>
      <c r="J238" s="1033"/>
      <c r="K238" s="1033"/>
      <c r="L238" s="574"/>
      <c r="M238" s="51"/>
      <c r="N238" s="113">
        <f t="shared" si="26"/>
        <v>4854</v>
      </c>
      <c r="O238" s="575">
        <v>0</v>
      </c>
      <c r="P238" s="576"/>
      <c r="Q238" s="589"/>
      <c r="R238" s="324"/>
      <c r="S238" s="579">
        <v>0</v>
      </c>
      <c r="T238" s="580">
        <f>+IF(ABS(+O238+Q238)&lt;=ABS(P238+R238),-O238+P238-Q238+R238,0)</f>
        <v>0</v>
      </c>
      <c r="U238" s="51"/>
      <c r="V238" s="2119">
        <f>+IF(OR(+ROUND(O238,2)+ROUND(Q238,2)&gt;ROUND(P238,2)+ROUND(R238,2),+ABS(ROUND(O238,2)+ROUND(Q238,2))&gt;+ABS(ROUND(P238,2)+ROUND(R238,2))),+(ROUND(O238,2)+ROUND(Q238,2))-(ROUND(P238,2)+ROUND(R238,2)),0)</f>
        <v>0</v>
      </c>
      <c r="W238" s="43"/>
      <c r="X238" s="43"/>
      <c r="Y238" s="43"/>
      <c r="Z238" s="43"/>
    </row>
    <row r="239" spans="1:26">
      <c r="A239" s="88">
        <v>4857</v>
      </c>
      <c r="B239" s="378" t="s">
        <v>285</v>
      </c>
      <c r="C239" s="88"/>
      <c r="D239" s="1033"/>
      <c r="E239" s="1033"/>
      <c r="F239" s="1033"/>
      <c r="G239" s="1033"/>
      <c r="H239" s="1033"/>
      <c r="I239" s="1033"/>
      <c r="J239" s="1033"/>
      <c r="K239" s="1033"/>
      <c r="L239" s="574"/>
      <c r="M239" s="51"/>
      <c r="N239" s="113">
        <f t="shared" si="26"/>
        <v>4857</v>
      </c>
      <c r="O239" s="581"/>
      <c r="P239" s="582">
        <v>0</v>
      </c>
      <c r="Q239" s="589"/>
      <c r="R239" s="576"/>
      <c r="S239" s="583">
        <f>+IF(ABS(+O239+Q239)&gt;=ABS(P239+R239),+O239-P239+Q239-R239,0)</f>
        <v>0</v>
      </c>
      <c r="T239" s="584">
        <v>0</v>
      </c>
      <c r="U239" s="51"/>
      <c r="V239" s="2120">
        <f>+IF(OR(ROUND(P239,2)+ROUND(R239,2)&gt;+ROUND(O239,2)+ROUND(Q239,2),+ABS(ROUND(P239,2)+ROUND(R239,2))&gt;+ABS(ROUND(O239,2)+ROUND(Q239,2))),+(ROUND(P239,2)+ROUND(R239,2))-(ROUND(O239,2)+ROUND(Q239,2)),0)</f>
        <v>0</v>
      </c>
      <c r="W239" s="43"/>
      <c r="X239" s="43"/>
      <c r="Y239" s="43"/>
      <c r="Z239" s="43"/>
    </row>
    <row r="240" spans="1:26">
      <c r="A240" s="88">
        <v>4858</v>
      </c>
      <c r="B240" s="378" t="s">
        <v>286</v>
      </c>
      <c r="C240" s="88"/>
      <c r="D240" s="1033"/>
      <c r="E240" s="1033"/>
      <c r="F240" s="1033"/>
      <c r="G240" s="1033"/>
      <c r="H240" s="1033"/>
      <c r="I240" s="1033"/>
      <c r="J240" s="1033"/>
      <c r="K240" s="1033"/>
      <c r="L240" s="574"/>
      <c r="M240" s="51"/>
      <c r="N240" s="113">
        <f t="shared" si="26"/>
        <v>4858</v>
      </c>
      <c r="O240" s="581"/>
      <c r="P240" s="582">
        <v>0</v>
      </c>
      <c r="Q240" s="589"/>
      <c r="R240" s="576"/>
      <c r="S240" s="583">
        <f>+IF(ABS(+O240+Q240)&gt;=ABS(P240+R240),+O240-P240+Q240-R240,0)</f>
        <v>0</v>
      </c>
      <c r="T240" s="584">
        <v>0</v>
      </c>
      <c r="U240" s="51"/>
      <c r="V240" s="2120">
        <f>+IF(OR(ROUND(P240,2)+ROUND(R240,2)&gt;+ROUND(O240,2)+ROUND(Q240,2),+ABS(ROUND(P240,2)+ROUND(R240,2))&gt;+ABS(ROUND(O240,2)+ROUND(Q240,2))),+(ROUND(P240,2)+ROUND(R240,2))-(ROUND(O240,2)+ROUND(Q240,2)),0)</f>
        <v>0</v>
      </c>
      <c r="W240" s="43"/>
      <c r="X240" s="43"/>
      <c r="Y240" s="43"/>
      <c r="Z240" s="43"/>
    </row>
    <row r="241" spans="1:26">
      <c r="A241" s="88">
        <v>4861</v>
      </c>
      <c r="B241" s="378" t="s">
        <v>287</v>
      </c>
      <c r="C241" s="88"/>
      <c r="D241" s="1033"/>
      <c r="E241" s="1033"/>
      <c r="F241" s="1033"/>
      <c r="G241" s="1033"/>
      <c r="H241" s="1033"/>
      <c r="I241" s="1033"/>
      <c r="J241" s="1033"/>
      <c r="K241" s="1033"/>
      <c r="L241" s="574"/>
      <c r="M241" s="51"/>
      <c r="N241" s="113">
        <f t="shared" si="26"/>
        <v>4861</v>
      </c>
      <c r="O241" s="575">
        <v>0</v>
      </c>
      <c r="P241" s="576"/>
      <c r="Q241" s="589"/>
      <c r="R241" s="324"/>
      <c r="S241" s="579">
        <v>0</v>
      </c>
      <c r="T241" s="580">
        <f>+IF(ABS(+O241+Q241)&lt;=ABS(P241+R241),-O241+P241-Q241+R241,0)</f>
        <v>0</v>
      </c>
      <c r="U241" s="51"/>
      <c r="V241" s="2119">
        <f>+IF(OR(+ROUND(O241,2)+ROUND(Q241,2)&gt;ROUND(P241,2)+ROUND(R241,2),+ABS(ROUND(O241,2)+ROUND(Q241,2))&gt;+ABS(ROUND(P241,2)+ROUND(R241,2))),+(ROUND(O241,2)+ROUND(Q241,2))-(ROUND(P241,2)+ROUND(R241,2)),0)</f>
        <v>0</v>
      </c>
      <c r="W241" s="43"/>
      <c r="X241" s="43"/>
      <c r="Y241" s="43"/>
      <c r="Z241" s="43"/>
    </row>
    <row r="242" spans="1:26">
      <c r="A242" s="88">
        <v>4862</v>
      </c>
      <c r="B242" s="378" t="s">
        <v>288</v>
      </c>
      <c r="C242" s="88"/>
      <c r="D242" s="1033"/>
      <c r="E242" s="1033"/>
      <c r="F242" s="1033"/>
      <c r="G242" s="1033"/>
      <c r="H242" s="1033"/>
      <c r="I242" s="1033"/>
      <c r="J242" s="1033"/>
      <c r="K242" s="1033"/>
      <c r="L242" s="574"/>
      <c r="M242" s="51"/>
      <c r="N242" s="113">
        <f t="shared" si="26"/>
        <v>4862</v>
      </c>
      <c r="O242" s="575">
        <v>0</v>
      </c>
      <c r="P242" s="576"/>
      <c r="Q242" s="589"/>
      <c r="R242" s="324"/>
      <c r="S242" s="579">
        <v>0</v>
      </c>
      <c r="T242" s="580">
        <f>+IF(ABS(+O242+Q242)&lt;=ABS(P242+R242),-O242+P242-Q242+R242,0)</f>
        <v>0</v>
      </c>
      <c r="U242" s="51"/>
      <c r="V242" s="2119">
        <f>+IF(OR(+ROUND(O242,2)+ROUND(Q242,2)&gt;ROUND(P242,2)+ROUND(R242,2),+ABS(ROUND(O242,2)+ROUND(Q242,2))&gt;+ABS(ROUND(P242,2)+ROUND(R242,2))),+(ROUND(O242,2)+ROUND(Q242,2))-(ROUND(P242,2)+ROUND(R242,2)),0)</f>
        <v>0</v>
      </c>
      <c r="W242" s="43"/>
      <c r="X242" s="43"/>
      <c r="Y242" s="43"/>
      <c r="Z242" s="43"/>
    </row>
    <row r="243" spans="1:26">
      <c r="A243" s="88">
        <v>4863</v>
      </c>
      <c r="B243" s="378" t="s">
        <v>289</v>
      </c>
      <c r="C243" s="88"/>
      <c r="D243" s="1033"/>
      <c r="E243" s="1033"/>
      <c r="F243" s="1033"/>
      <c r="G243" s="1033"/>
      <c r="H243" s="1033"/>
      <c r="I243" s="1033"/>
      <c r="J243" s="1033"/>
      <c r="K243" s="1033"/>
      <c r="L243" s="574"/>
      <c r="M243" s="51"/>
      <c r="N243" s="113">
        <f t="shared" si="26"/>
        <v>4863</v>
      </c>
      <c r="O243" s="575">
        <v>0</v>
      </c>
      <c r="P243" s="576"/>
      <c r="Q243" s="589"/>
      <c r="R243" s="324"/>
      <c r="S243" s="579">
        <v>0</v>
      </c>
      <c r="T243" s="580">
        <f>+IF(ABS(+O243+Q243)&lt;=ABS(P243+R243),-O243+P243-Q243+R243,0)</f>
        <v>0</v>
      </c>
      <c r="U243" s="51"/>
      <c r="V243" s="2119">
        <f>+IF(OR(+ROUND(O243,2)+ROUND(Q243,2)&gt;ROUND(P243,2)+ROUND(R243,2),+ABS(ROUND(O243,2)+ROUND(Q243,2))&gt;+ABS(ROUND(P243,2)+ROUND(R243,2))),+(ROUND(O243,2)+ROUND(Q243,2))-(ROUND(P243,2)+ROUND(R243,2)),0)</f>
        <v>0</v>
      </c>
      <c r="W243" s="43"/>
      <c r="X243" s="43"/>
      <c r="Y243" s="43"/>
      <c r="Z243" s="43"/>
    </row>
    <row r="244" spans="1:26">
      <c r="A244" s="88">
        <v>4864</v>
      </c>
      <c r="B244" s="378" t="s">
        <v>290</v>
      </c>
      <c r="C244" s="88"/>
      <c r="D244" s="1033"/>
      <c r="E244" s="1033"/>
      <c r="F244" s="1033"/>
      <c r="G244" s="1033"/>
      <c r="H244" s="1033"/>
      <c r="I244" s="1033"/>
      <c r="J244" s="1033"/>
      <c r="K244" s="1033"/>
      <c r="L244" s="574"/>
      <c r="M244" s="51"/>
      <c r="N244" s="113">
        <f t="shared" si="26"/>
        <v>4864</v>
      </c>
      <c r="O244" s="575">
        <v>0</v>
      </c>
      <c r="P244" s="576"/>
      <c r="Q244" s="589"/>
      <c r="R244" s="324"/>
      <c r="S244" s="579">
        <v>0</v>
      </c>
      <c r="T244" s="580">
        <f>+IF(ABS(+O244+Q244)&lt;=ABS(P244+R244),-O244+P244-Q244+R244,0)</f>
        <v>0</v>
      </c>
      <c r="U244" s="51"/>
      <c r="V244" s="2119">
        <f>+IF(OR(+ROUND(O244,2)+ROUND(Q244,2)&gt;ROUND(P244,2)+ROUND(R244,2),+ABS(ROUND(O244,2)+ROUND(Q244,2))&gt;+ABS(ROUND(P244,2)+ROUND(R244,2))),+(ROUND(O244,2)+ROUND(Q244,2))-(ROUND(P244,2)+ROUND(R244,2)),0)</f>
        <v>0</v>
      </c>
      <c r="W244" s="43"/>
      <c r="X244" s="43"/>
      <c r="Y244" s="43"/>
      <c r="Z244" s="43"/>
    </row>
    <row r="245" spans="1:26">
      <c r="A245" s="88">
        <v>4865</v>
      </c>
      <c r="B245" s="378" t="s">
        <v>291</v>
      </c>
      <c r="C245" s="88"/>
      <c r="D245" s="1033"/>
      <c r="E245" s="1033"/>
      <c r="F245" s="1033"/>
      <c r="G245" s="1033"/>
      <c r="H245" s="1033"/>
      <c r="I245" s="1033"/>
      <c r="J245" s="1033"/>
      <c r="K245" s="1033"/>
      <c r="L245" s="574"/>
      <c r="M245" s="51"/>
      <c r="N245" s="113">
        <f t="shared" si="26"/>
        <v>4865</v>
      </c>
      <c r="O245" s="581"/>
      <c r="P245" s="582">
        <v>0</v>
      </c>
      <c r="Q245" s="589"/>
      <c r="R245" s="576"/>
      <c r="S245" s="583">
        <f t="shared" ref="S245:S250" si="27">+IF(ABS(+O245+Q245)&gt;=ABS(P245+R245),+O245-P245+Q245-R245,0)</f>
        <v>0</v>
      </c>
      <c r="T245" s="584">
        <v>0</v>
      </c>
      <c r="U245" s="51"/>
      <c r="V245" s="2120">
        <f t="shared" ref="V245:V250" si="28">+IF(OR(ROUND(P245,2)+ROUND(R245,2)&gt;+ROUND(O245,2)+ROUND(Q245,2),+ABS(ROUND(P245,2)+ROUND(R245,2))&gt;+ABS(ROUND(O245,2)+ROUND(Q245,2))),+(ROUND(P245,2)+ROUND(R245,2))-(ROUND(O245,2)+ROUND(Q245,2)),0)</f>
        <v>0</v>
      </c>
      <c r="W245" s="43"/>
      <c r="X245" s="43"/>
      <c r="Y245" s="43"/>
      <c r="Z245" s="43"/>
    </row>
    <row r="246" spans="1:26">
      <c r="A246" s="88">
        <v>4866</v>
      </c>
      <c r="B246" s="378" t="s">
        <v>292</v>
      </c>
      <c r="C246" s="88"/>
      <c r="D246" s="1033"/>
      <c r="E246" s="1033"/>
      <c r="F246" s="1033"/>
      <c r="G246" s="1033"/>
      <c r="H246" s="1033"/>
      <c r="I246" s="1033"/>
      <c r="J246" s="1033"/>
      <c r="K246" s="1033"/>
      <c r="L246" s="574"/>
      <c r="M246" s="51"/>
      <c r="N246" s="113">
        <f t="shared" si="26"/>
        <v>4866</v>
      </c>
      <c r="O246" s="581"/>
      <c r="P246" s="582">
        <v>0</v>
      </c>
      <c r="Q246" s="589"/>
      <c r="R246" s="576"/>
      <c r="S246" s="583">
        <f t="shared" si="27"/>
        <v>0</v>
      </c>
      <c r="T246" s="584">
        <v>0</v>
      </c>
      <c r="U246" s="51"/>
      <c r="V246" s="2120">
        <f t="shared" si="28"/>
        <v>0</v>
      </c>
      <c r="W246" s="43"/>
      <c r="X246" s="43"/>
      <c r="Y246" s="43"/>
      <c r="Z246" s="43"/>
    </row>
    <row r="247" spans="1:26">
      <c r="A247" s="88">
        <v>4867</v>
      </c>
      <c r="B247" s="378" t="s">
        <v>293</v>
      </c>
      <c r="C247" s="88"/>
      <c r="D247" s="1033"/>
      <c r="E247" s="1033"/>
      <c r="F247" s="1033"/>
      <c r="G247" s="1033"/>
      <c r="H247" s="1033"/>
      <c r="I247" s="1033"/>
      <c r="J247" s="1033"/>
      <c r="K247" s="1033"/>
      <c r="L247" s="574"/>
      <c r="M247" s="51"/>
      <c r="N247" s="113">
        <f t="shared" si="26"/>
        <v>4867</v>
      </c>
      <c r="O247" s="581"/>
      <c r="P247" s="582">
        <v>0</v>
      </c>
      <c r="Q247" s="589"/>
      <c r="R247" s="576"/>
      <c r="S247" s="583">
        <f t="shared" si="27"/>
        <v>0</v>
      </c>
      <c r="T247" s="584">
        <v>0</v>
      </c>
      <c r="U247" s="51"/>
      <c r="V247" s="2120">
        <f t="shared" si="28"/>
        <v>0</v>
      </c>
      <c r="W247" s="43"/>
      <c r="X247" s="43"/>
      <c r="Y247" s="43"/>
      <c r="Z247" s="43"/>
    </row>
    <row r="248" spans="1:26">
      <c r="A248" s="88">
        <v>4868</v>
      </c>
      <c r="B248" s="378" t="s">
        <v>294</v>
      </c>
      <c r="C248" s="88"/>
      <c r="D248" s="1033"/>
      <c r="E248" s="1033"/>
      <c r="F248" s="1033"/>
      <c r="G248" s="1033"/>
      <c r="H248" s="1033"/>
      <c r="I248" s="1033"/>
      <c r="J248" s="1033"/>
      <c r="K248" s="1033"/>
      <c r="L248" s="574"/>
      <c r="M248" s="51"/>
      <c r="N248" s="113">
        <f t="shared" si="26"/>
        <v>4868</v>
      </c>
      <c r="O248" s="581"/>
      <c r="P248" s="582">
        <v>0</v>
      </c>
      <c r="Q248" s="589"/>
      <c r="R248" s="576"/>
      <c r="S248" s="583">
        <f t="shared" si="27"/>
        <v>0</v>
      </c>
      <c r="T248" s="584">
        <v>0</v>
      </c>
      <c r="U248" s="51"/>
      <c r="V248" s="2120">
        <f t="shared" si="28"/>
        <v>0</v>
      </c>
      <c r="W248" s="43"/>
      <c r="X248" s="43"/>
      <c r="Y248" s="43"/>
      <c r="Z248" s="43"/>
    </row>
    <row r="249" spans="1:26">
      <c r="A249" s="88">
        <v>4871</v>
      </c>
      <c r="B249" s="378" t="s">
        <v>295</v>
      </c>
      <c r="C249" s="88"/>
      <c r="D249" s="1033"/>
      <c r="E249" s="1033"/>
      <c r="F249" s="1033"/>
      <c r="G249" s="1033"/>
      <c r="H249" s="1033"/>
      <c r="I249" s="1033"/>
      <c r="J249" s="1033"/>
      <c r="K249" s="1033"/>
      <c r="L249" s="574"/>
      <c r="M249" s="51"/>
      <c r="N249" s="113">
        <f t="shared" si="26"/>
        <v>4871</v>
      </c>
      <c r="O249" s="581"/>
      <c r="P249" s="582">
        <v>0</v>
      </c>
      <c r="Q249" s="589"/>
      <c r="R249" s="576"/>
      <c r="S249" s="583">
        <f t="shared" si="27"/>
        <v>0</v>
      </c>
      <c r="T249" s="584">
        <v>0</v>
      </c>
      <c r="U249" s="51"/>
      <c r="V249" s="2120">
        <f t="shared" si="28"/>
        <v>0</v>
      </c>
      <c r="W249" s="43"/>
      <c r="X249" s="43"/>
      <c r="Y249" s="43"/>
      <c r="Z249" s="43"/>
    </row>
    <row r="250" spans="1:26">
      <c r="A250" s="88">
        <v>4872</v>
      </c>
      <c r="B250" s="378" t="s">
        <v>296</v>
      </c>
      <c r="C250" s="88"/>
      <c r="D250" s="1033"/>
      <c r="E250" s="1033"/>
      <c r="F250" s="1033"/>
      <c r="G250" s="1033"/>
      <c r="H250" s="1033"/>
      <c r="I250" s="1033"/>
      <c r="J250" s="1033"/>
      <c r="K250" s="1033"/>
      <c r="L250" s="574"/>
      <c r="M250" s="51"/>
      <c r="N250" s="113">
        <f t="shared" si="26"/>
        <v>4872</v>
      </c>
      <c r="O250" s="581"/>
      <c r="P250" s="582">
        <v>0</v>
      </c>
      <c r="Q250" s="589"/>
      <c r="R250" s="576"/>
      <c r="S250" s="583">
        <f t="shared" si="27"/>
        <v>0</v>
      </c>
      <c r="T250" s="584">
        <v>0</v>
      </c>
      <c r="U250" s="51"/>
      <c r="V250" s="2120">
        <f t="shared" si="28"/>
        <v>0</v>
      </c>
      <c r="W250" s="43"/>
      <c r="X250" s="43"/>
      <c r="Y250" s="43"/>
      <c r="Z250" s="43"/>
    </row>
    <row r="251" spans="1:26">
      <c r="A251" s="88">
        <v>4877</v>
      </c>
      <c r="B251" s="378" t="s">
        <v>297</v>
      </c>
      <c r="C251" s="88"/>
      <c r="D251" s="1033"/>
      <c r="E251" s="1033"/>
      <c r="F251" s="1033"/>
      <c r="G251" s="1033"/>
      <c r="H251" s="1033"/>
      <c r="I251" s="1033"/>
      <c r="J251" s="1033"/>
      <c r="K251" s="1033"/>
      <c r="L251" s="574"/>
      <c r="M251" s="51"/>
      <c r="N251" s="113">
        <f t="shared" si="26"/>
        <v>4877</v>
      </c>
      <c r="O251" s="575">
        <v>0</v>
      </c>
      <c r="P251" s="576"/>
      <c r="Q251" s="589"/>
      <c r="R251" s="324"/>
      <c r="S251" s="579">
        <v>0</v>
      </c>
      <c r="T251" s="580">
        <f>+IF(ABS(+O251+Q251)&lt;=ABS(P251+R251),-O251+P251-Q251+R251,0)</f>
        <v>0</v>
      </c>
      <c r="U251" s="51"/>
      <c r="V251" s="2119">
        <f>+IF(OR(+ROUND(O251,2)+ROUND(Q251,2)&gt;ROUND(P251,2)+ROUND(R251,2),+ABS(ROUND(O251,2)+ROUND(Q251,2))&gt;+ABS(ROUND(P251,2)+ROUND(R251,2))),+(ROUND(O251,2)+ROUND(Q251,2))-(ROUND(P251,2)+ROUND(R251,2)),0)</f>
        <v>0</v>
      </c>
      <c r="W251" s="43"/>
      <c r="X251" s="43"/>
      <c r="Y251" s="43"/>
      <c r="Z251" s="43"/>
    </row>
    <row r="252" spans="1:26">
      <c r="A252" s="88">
        <v>4878</v>
      </c>
      <c r="B252" s="378" t="s">
        <v>298</v>
      </c>
      <c r="C252" s="88"/>
      <c r="D252" s="1033"/>
      <c r="E252" s="1033"/>
      <c r="F252" s="1033"/>
      <c r="G252" s="1033"/>
      <c r="H252" s="1033"/>
      <c r="I252" s="1033"/>
      <c r="J252" s="1033"/>
      <c r="K252" s="1033"/>
      <c r="L252" s="574"/>
      <c r="M252" s="51"/>
      <c r="N252" s="113">
        <f t="shared" si="26"/>
        <v>4878</v>
      </c>
      <c r="O252" s="575">
        <v>0</v>
      </c>
      <c r="P252" s="576"/>
      <c r="Q252" s="589"/>
      <c r="R252" s="324"/>
      <c r="S252" s="579">
        <v>0</v>
      </c>
      <c r="T252" s="580">
        <f>+IF(ABS(+O252+Q252)&lt;=ABS(P252+R252),-O252+P252-Q252+R252,0)</f>
        <v>0</v>
      </c>
      <c r="U252" s="51"/>
      <c r="V252" s="2119">
        <f>+IF(OR(+ROUND(O252,2)+ROUND(Q252,2)&gt;ROUND(P252,2)+ROUND(R252,2),+ABS(ROUND(O252,2)+ROUND(Q252,2))&gt;+ABS(ROUND(P252,2)+ROUND(R252,2))),+(ROUND(O252,2)+ROUND(Q252,2))-(ROUND(P252,2)+ROUND(R252,2)),0)</f>
        <v>0</v>
      </c>
      <c r="W252" s="43"/>
      <c r="X252" s="43"/>
      <c r="Y252" s="43"/>
      <c r="Z252" s="43"/>
    </row>
    <row r="253" spans="1:26">
      <c r="A253" s="88">
        <v>4885</v>
      </c>
      <c r="B253" s="378" t="s">
        <v>299</v>
      </c>
      <c r="C253" s="88"/>
      <c r="D253" s="1033"/>
      <c r="E253" s="1033"/>
      <c r="F253" s="1033"/>
      <c r="G253" s="1033"/>
      <c r="H253" s="1033"/>
      <c r="I253" s="1033"/>
      <c r="J253" s="1033"/>
      <c r="K253" s="1033"/>
      <c r="L253" s="574"/>
      <c r="M253" s="51"/>
      <c r="N253" s="113">
        <f t="shared" si="26"/>
        <v>4885</v>
      </c>
      <c r="O253" s="581"/>
      <c r="P253" s="582">
        <v>0</v>
      </c>
      <c r="Q253" s="589"/>
      <c r="R253" s="576"/>
      <c r="S253" s="583">
        <f>+IF(ABS(+O253+Q253)&gt;=ABS(P253+R253),+O253-P253+Q253-R253,0)</f>
        <v>0</v>
      </c>
      <c r="T253" s="584">
        <v>0</v>
      </c>
      <c r="U253" s="51"/>
      <c r="V253" s="2120">
        <f>+IF(OR(ROUND(P253,2)+ROUND(R253,2)&gt;+ROUND(O253,2)+ROUND(Q253,2),+ABS(ROUND(P253,2)+ROUND(R253,2))&gt;+ABS(ROUND(O253,2)+ROUND(Q253,2))),+(ROUND(P253,2)+ROUND(R253,2))-(ROUND(O253,2)+ROUND(Q253,2)),0)</f>
        <v>0</v>
      </c>
      <c r="W253" s="43"/>
      <c r="X253" s="43"/>
      <c r="Y253" s="43"/>
      <c r="Z253" s="43"/>
    </row>
    <row r="254" spans="1:26">
      <c r="A254" s="88">
        <v>4886</v>
      </c>
      <c r="B254" s="378" t="s">
        <v>300</v>
      </c>
      <c r="C254" s="88"/>
      <c r="D254" s="1033"/>
      <c r="E254" s="1033"/>
      <c r="F254" s="1033"/>
      <c r="G254" s="1033"/>
      <c r="H254" s="1033"/>
      <c r="I254" s="1033"/>
      <c r="J254" s="1033"/>
      <c r="K254" s="1033"/>
      <c r="L254" s="574"/>
      <c r="M254" s="51"/>
      <c r="N254" s="113">
        <f t="shared" si="26"/>
        <v>4886</v>
      </c>
      <c r="O254" s="581"/>
      <c r="P254" s="582">
        <v>0</v>
      </c>
      <c r="Q254" s="589"/>
      <c r="R254" s="576"/>
      <c r="S254" s="583">
        <f>+IF(ABS(+O254+Q254)&gt;=ABS(P254+R254),+O254-P254+Q254-R254,0)</f>
        <v>0</v>
      </c>
      <c r="T254" s="584">
        <v>0</v>
      </c>
      <c r="U254" s="51"/>
      <c r="V254" s="2120">
        <f>+IF(OR(ROUND(P254,2)+ROUND(R254,2)&gt;+ROUND(O254,2)+ROUND(Q254,2),+ABS(ROUND(P254,2)+ROUND(R254,2))&gt;+ABS(ROUND(O254,2)+ROUND(Q254,2))),+(ROUND(P254,2)+ROUND(R254,2))-(ROUND(O254,2)+ROUND(Q254,2)),0)</f>
        <v>0</v>
      </c>
      <c r="W254" s="43"/>
      <c r="X254" s="43"/>
      <c r="Y254" s="43"/>
      <c r="Z254" s="43"/>
    </row>
    <row r="255" spans="1:26">
      <c r="A255" s="88">
        <v>4887</v>
      </c>
      <c r="B255" s="378" t="s">
        <v>301</v>
      </c>
      <c r="C255" s="88"/>
      <c r="D255" s="1033"/>
      <c r="E255" s="1033"/>
      <c r="F255" s="1033"/>
      <c r="G255" s="1033"/>
      <c r="H255" s="1033"/>
      <c r="I255" s="1033"/>
      <c r="J255" s="1033"/>
      <c r="K255" s="1033"/>
      <c r="L255" s="574"/>
      <c r="M255" s="51"/>
      <c r="N255" s="113">
        <f t="shared" si="26"/>
        <v>4887</v>
      </c>
      <c r="O255" s="593">
        <v>0</v>
      </c>
      <c r="P255" s="582">
        <v>0</v>
      </c>
      <c r="Q255" s="589">
        <v>0</v>
      </c>
      <c r="R255" s="576">
        <v>0</v>
      </c>
      <c r="S255" s="583">
        <f>+IF(ABS(+O255+Q255)&gt;=ABS(P255+R255),+O255-P255+Q255-R255,0)</f>
        <v>0</v>
      </c>
      <c r="T255" s="584">
        <v>0</v>
      </c>
      <c r="U255" s="51"/>
      <c r="V255" s="2120">
        <f>+IF(OR(ROUND(P255,2)+ROUND(R255,2)&gt;+ROUND(O255,2)+ROUND(Q255,2),+ABS(ROUND(P255,2)+ROUND(R255,2))&gt;+ABS(ROUND(O255,2)+ROUND(Q255,2))),+(ROUND(P255,2)+ROUND(R255,2))-(ROUND(O255,2)+ROUND(Q255,2)),0)</f>
        <v>0</v>
      </c>
      <c r="W255" s="43"/>
      <c r="X255" s="43"/>
      <c r="Y255" s="43"/>
      <c r="Z255" s="43"/>
    </row>
    <row r="256" spans="1:26">
      <c r="A256" s="88">
        <v>4888</v>
      </c>
      <c r="B256" s="378" t="s">
        <v>926</v>
      </c>
      <c r="C256" s="88"/>
      <c r="D256" s="1033"/>
      <c r="E256" s="1033"/>
      <c r="F256" s="1033"/>
      <c r="G256" s="1033"/>
      <c r="H256" s="1033"/>
      <c r="I256" s="1033"/>
      <c r="J256" s="1033"/>
      <c r="K256" s="1033"/>
      <c r="L256" s="574"/>
      <c r="M256" s="51"/>
      <c r="N256" s="113">
        <f t="shared" si="26"/>
        <v>4888</v>
      </c>
      <c r="O256" s="593"/>
      <c r="P256" s="582">
        <v>0</v>
      </c>
      <c r="Q256" s="589"/>
      <c r="R256" s="576"/>
      <c r="S256" s="583">
        <f>+IF(ABS(+O256+Q256)&gt;=ABS(P256+R256),+O256-P256+Q256-R256,0)</f>
        <v>0</v>
      </c>
      <c r="T256" s="584">
        <v>0</v>
      </c>
      <c r="U256" s="51"/>
      <c r="V256" s="2120">
        <f>+IF(OR(ROUND(P256,2)+ROUND(R256,2)&gt;+ROUND(O256,2)+ROUND(Q256,2),+ABS(ROUND(P256,2)+ROUND(R256,2))&gt;+ABS(ROUND(O256,2)+ROUND(Q256,2))),+(ROUND(P256,2)+ROUND(R256,2))-(ROUND(O256,2)+ROUND(Q256,2)),0)</f>
        <v>0</v>
      </c>
      <c r="W256" s="43"/>
      <c r="X256" s="43"/>
      <c r="Y256" s="43"/>
      <c r="Z256" s="43"/>
    </row>
    <row r="257" spans="1:26">
      <c r="A257" s="88">
        <v>4895</v>
      </c>
      <c r="B257" s="378" t="s">
        <v>927</v>
      </c>
      <c r="C257" s="88"/>
      <c r="D257" s="1033"/>
      <c r="E257" s="1033"/>
      <c r="F257" s="1033"/>
      <c r="G257" s="1033"/>
      <c r="H257" s="1033"/>
      <c r="I257" s="1033"/>
      <c r="J257" s="1033"/>
      <c r="K257" s="1033"/>
      <c r="L257" s="574"/>
      <c r="M257" s="51"/>
      <c r="N257" s="113">
        <f t="shared" si="26"/>
        <v>4895</v>
      </c>
      <c r="O257" s="575">
        <v>0</v>
      </c>
      <c r="P257" s="576"/>
      <c r="Q257" s="589"/>
      <c r="R257" s="324"/>
      <c r="S257" s="579">
        <v>0</v>
      </c>
      <c r="T257" s="580">
        <f t="shared" ref="T257:T282" si="29">+IF(ABS(+O257+Q257)&lt;=ABS(P257+R257),-O257+P257-Q257+R257,0)</f>
        <v>0</v>
      </c>
      <c r="U257" s="51"/>
      <c r="V257" s="2119">
        <f t="shared" ref="V257:V270" si="30">+IF(OR(+ROUND(O257,2)+ROUND(Q257,2)&gt;ROUND(P257,2)+ROUND(R257,2),+ABS(ROUND(O257,2)+ROUND(Q257,2))&gt;+ABS(ROUND(P257,2)+ROUND(R257,2))),+(ROUND(O257,2)+ROUND(Q257,2))-(ROUND(P257,2)+ROUND(R257,2)),0)</f>
        <v>0</v>
      </c>
      <c r="W257" s="43"/>
      <c r="X257" s="43"/>
      <c r="Y257" s="43"/>
      <c r="Z257" s="43"/>
    </row>
    <row r="258" spans="1:26">
      <c r="A258" s="88">
        <v>4896</v>
      </c>
      <c r="B258" s="378" t="s">
        <v>928</v>
      </c>
      <c r="C258" s="88"/>
      <c r="D258" s="1033"/>
      <c r="E258" s="1033"/>
      <c r="F258" s="1033"/>
      <c r="G258" s="1033"/>
      <c r="H258" s="1033"/>
      <c r="I258" s="1033"/>
      <c r="J258" s="1033"/>
      <c r="K258" s="1033"/>
      <c r="L258" s="574"/>
      <c r="M258" s="51"/>
      <c r="N258" s="113">
        <f t="shared" si="26"/>
        <v>4896</v>
      </c>
      <c r="O258" s="575">
        <v>0</v>
      </c>
      <c r="P258" s="576"/>
      <c r="Q258" s="589"/>
      <c r="R258" s="324"/>
      <c r="S258" s="579">
        <v>0</v>
      </c>
      <c r="T258" s="580">
        <f t="shared" si="29"/>
        <v>0</v>
      </c>
      <c r="U258" s="51"/>
      <c r="V258" s="2119">
        <f t="shared" si="30"/>
        <v>0</v>
      </c>
      <c r="W258" s="43"/>
      <c r="X258" s="43"/>
      <c r="Y258" s="43"/>
      <c r="Z258" s="43"/>
    </row>
    <row r="259" spans="1:26">
      <c r="A259" s="88">
        <v>4897</v>
      </c>
      <c r="B259" s="378" t="s">
        <v>929</v>
      </c>
      <c r="C259" s="88"/>
      <c r="D259" s="1033"/>
      <c r="E259" s="1033"/>
      <c r="F259" s="1033"/>
      <c r="G259" s="1033"/>
      <c r="H259" s="1033"/>
      <c r="I259" s="1033"/>
      <c r="J259" s="1033"/>
      <c r="K259" s="1033"/>
      <c r="L259" s="574"/>
      <c r="M259" s="51"/>
      <c r="N259" s="113">
        <f t="shared" si="26"/>
        <v>4897</v>
      </c>
      <c r="O259" s="575">
        <v>0</v>
      </c>
      <c r="P259" s="594">
        <v>0</v>
      </c>
      <c r="Q259" s="589">
        <v>0</v>
      </c>
      <c r="R259" s="324">
        <v>0</v>
      </c>
      <c r="S259" s="579">
        <v>0</v>
      </c>
      <c r="T259" s="580">
        <f t="shared" si="29"/>
        <v>0</v>
      </c>
      <c r="U259" s="51"/>
      <c r="V259" s="2119">
        <f t="shared" si="30"/>
        <v>0</v>
      </c>
      <c r="W259" s="43"/>
      <c r="X259" s="43"/>
      <c r="Y259" s="43"/>
      <c r="Z259" s="43"/>
    </row>
    <row r="260" spans="1:26">
      <c r="A260" s="88">
        <v>4898</v>
      </c>
      <c r="B260" s="378" t="s">
        <v>930</v>
      </c>
      <c r="C260" s="88"/>
      <c r="D260" s="1033"/>
      <c r="E260" s="1033"/>
      <c r="F260" s="1033"/>
      <c r="G260" s="1033"/>
      <c r="H260" s="1033"/>
      <c r="I260" s="1033"/>
      <c r="J260" s="1033"/>
      <c r="K260" s="1033"/>
      <c r="L260" s="574"/>
      <c r="M260" s="51"/>
      <c r="N260" s="113">
        <f t="shared" si="26"/>
        <v>4898</v>
      </c>
      <c r="O260" s="575">
        <v>0</v>
      </c>
      <c r="P260" s="594"/>
      <c r="Q260" s="589"/>
      <c r="R260" s="324"/>
      <c r="S260" s="579">
        <v>0</v>
      </c>
      <c r="T260" s="580">
        <f t="shared" si="29"/>
        <v>0</v>
      </c>
      <c r="U260" s="51"/>
      <c r="V260" s="2119">
        <f t="shared" si="30"/>
        <v>0</v>
      </c>
      <c r="W260" s="43"/>
      <c r="X260" s="43"/>
      <c r="Y260" s="43"/>
      <c r="Z260" s="43"/>
    </row>
    <row r="261" spans="1:26">
      <c r="A261" s="88">
        <v>4911</v>
      </c>
      <c r="B261" s="378" t="s">
        <v>931</v>
      </c>
      <c r="C261" s="88"/>
      <c r="D261" s="1044"/>
      <c r="E261" s="1044"/>
      <c r="F261" s="1044"/>
      <c r="G261" s="1044"/>
      <c r="H261" s="1044"/>
      <c r="I261" s="1044"/>
      <c r="J261" s="1044"/>
      <c r="K261" s="1044"/>
      <c r="L261" s="592"/>
      <c r="M261" s="51"/>
      <c r="N261" s="113">
        <f t="shared" si="26"/>
        <v>4911</v>
      </c>
      <c r="O261" s="575">
        <v>0</v>
      </c>
      <c r="P261" s="576"/>
      <c r="Q261" s="589"/>
      <c r="R261" s="324"/>
      <c r="S261" s="579">
        <v>0</v>
      </c>
      <c r="T261" s="580">
        <f t="shared" si="29"/>
        <v>0</v>
      </c>
      <c r="U261" s="52"/>
      <c r="V261" s="2119">
        <f t="shared" si="30"/>
        <v>0</v>
      </c>
      <c r="W261" s="43"/>
      <c r="X261" s="43"/>
      <c r="Y261" s="43"/>
      <c r="Z261" s="43"/>
    </row>
    <row r="262" spans="1:26">
      <c r="A262" s="88">
        <v>4915</v>
      </c>
      <c r="B262" s="378" t="s">
        <v>932</v>
      </c>
      <c r="C262" s="88"/>
      <c r="D262" s="1033"/>
      <c r="E262" s="1033"/>
      <c r="F262" s="1033"/>
      <c r="G262" s="1033"/>
      <c r="H262" s="1033"/>
      <c r="I262" s="1033"/>
      <c r="J262" s="1033"/>
      <c r="K262" s="1033"/>
      <c r="L262" s="574"/>
      <c r="M262" s="51"/>
      <c r="N262" s="113">
        <f t="shared" si="26"/>
        <v>4915</v>
      </c>
      <c r="O262" s="575">
        <v>0</v>
      </c>
      <c r="P262" s="576"/>
      <c r="Q262" s="589"/>
      <c r="R262" s="324"/>
      <c r="S262" s="579">
        <v>0</v>
      </c>
      <c r="T262" s="580">
        <f t="shared" si="29"/>
        <v>0</v>
      </c>
      <c r="U262" s="51"/>
      <c r="V262" s="2119">
        <f t="shared" si="30"/>
        <v>0</v>
      </c>
      <c r="W262" s="43"/>
      <c r="X262" s="43"/>
      <c r="Y262" s="43"/>
      <c r="Z262" s="43"/>
    </row>
    <row r="263" spans="1:26">
      <c r="A263" s="88">
        <v>4916</v>
      </c>
      <c r="B263" s="378" t="s">
        <v>933</v>
      </c>
      <c r="C263" s="88"/>
      <c r="D263" s="1033"/>
      <c r="E263" s="1033"/>
      <c r="F263" s="1033"/>
      <c r="G263" s="1033"/>
      <c r="H263" s="1033"/>
      <c r="I263" s="1033"/>
      <c r="J263" s="1033"/>
      <c r="K263" s="1033"/>
      <c r="L263" s="574"/>
      <c r="M263" s="51"/>
      <c r="N263" s="113">
        <f t="shared" si="26"/>
        <v>4916</v>
      </c>
      <c r="O263" s="575">
        <v>0</v>
      </c>
      <c r="P263" s="576"/>
      <c r="Q263" s="589"/>
      <c r="R263" s="324"/>
      <c r="S263" s="579">
        <v>0</v>
      </c>
      <c r="T263" s="580">
        <f t="shared" si="29"/>
        <v>0</v>
      </c>
      <c r="U263" s="51"/>
      <c r="V263" s="2119">
        <f t="shared" si="30"/>
        <v>0</v>
      </c>
      <c r="W263" s="43"/>
      <c r="X263" s="43"/>
      <c r="Y263" s="43"/>
      <c r="Z263" s="43"/>
    </row>
    <row r="264" spans="1:26">
      <c r="A264" s="88">
        <v>4917</v>
      </c>
      <c r="B264" s="378" t="s">
        <v>934</v>
      </c>
      <c r="C264" s="88"/>
      <c r="D264" s="1033"/>
      <c r="E264" s="1033"/>
      <c r="F264" s="1033"/>
      <c r="G264" s="1033"/>
      <c r="H264" s="1033"/>
      <c r="I264" s="1033"/>
      <c r="J264" s="1033"/>
      <c r="K264" s="1033"/>
      <c r="L264" s="574"/>
      <c r="M264" s="51"/>
      <c r="N264" s="113">
        <f t="shared" si="26"/>
        <v>4917</v>
      </c>
      <c r="O264" s="575">
        <v>0</v>
      </c>
      <c r="P264" s="576">
        <v>0</v>
      </c>
      <c r="Q264" s="589">
        <v>0</v>
      </c>
      <c r="R264" s="324">
        <v>0</v>
      </c>
      <c r="S264" s="579">
        <v>0</v>
      </c>
      <c r="T264" s="580">
        <f t="shared" si="29"/>
        <v>0</v>
      </c>
      <c r="U264" s="51"/>
      <c r="V264" s="2119">
        <f t="shared" si="30"/>
        <v>0</v>
      </c>
      <c r="W264" s="43"/>
      <c r="X264" s="43"/>
      <c r="Y264" s="43"/>
      <c r="Z264" s="43"/>
    </row>
    <row r="265" spans="1:26">
      <c r="A265" s="88">
        <v>4918</v>
      </c>
      <c r="B265" s="378" t="s">
        <v>935</v>
      </c>
      <c r="C265" s="88"/>
      <c r="D265" s="1033"/>
      <c r="E265" s="1033"/>
      <c r="F265" s="1033"/>
      <c r="G265" s="1033"/>
      <c r="H265" s="1033"/>
      <c r="I265" s="1033"/>
      <c r="J265" s="1033"/>
      <c r="K265" s="1033"/>
      <c r="L265" s="574"/>
      <c r="M265" s="51"/>
      <c r="N265" s="113">
        <f t="shared" si="26"/>
        <v>4918</v>
      </c>
      <c r="O265" s="575">
        <v>0</v>
      </c>
      <c r="P265" s="576"/>
      <c r="Q265" s="589"/>
      <c r="R265" s="324"/>
      <c r="S265" s="579">
        <v>0</v>
      </c>
      <c r="T265" s="580">
        <f t="shared" si="29"/>
        <v>0</v>
      </c>
      <c r="U265" s="51"/>
      <c r="V265" s="2119">
        <f t="shared" si="30"/>
        <v>0</v>
      </c>
      <c r="W265" s="43"/>
      <c r="X265" s="43"/>
      <c r="Y265" s="43"/>
      <c r="Z265" s="43"/>
    </row>
    <row r="266" spans="1:26">
      <c r="A266" s="88">
        <v>4940</v>
      </c>
      <c r="B266" s="378" t="s">
        <v>44</v>
      </c>
      <c r="C266" s="88"/>
      <c r="D266" s="1033"/>
      <c r="E266" s="1033"/>
      <c r="F266" s="1033"/>
      <c r="G266" s="1033"/>
      <c r="H266" s="1033"/>
      <c r="I266" s="1033"/>
      <c r="J266" s="1033"/>
      <c r="K266" s="1033"/>
      <c r="L266" s="574"/>
      <c r="M266" s="51"/>
      <c r="N266" s="113">
        <f t="shared" si="26"/>
        <v>4940</v>
      </c>
      <c r="O266" s="575">
        <v>0</v>
      </c>
      <c r="P266" s="576"/>
      <c r="Q266" s="589"/>
      <c r="R266" s="324"/>
      <c r="S266" s="579">
        <v>0</v>
      </c>
      <c r="T266" s="580">
        <f t="shared" si="29"/>
        <v>0</v>
      </c>
      <c r="U266" s="51"/>
      <c r="V266" s="2119">
        <f t="shared" si="30"/>
        <v>0</v>
      </c>
      <c r="W266" s="43"/>
      <c r="X266" s="43"/>
      <c r="Y266" s="43"/>
      <c r="Z266" s="43"/>
    </row>
    <row r="267" spans="1:26">
      <c r="A267" s="88">
        <v>4951</v>
      </c>
      <c r="B267" s="378" t="s">
        <v>238</v>
      </c>
      <c r="C267" s="88"/>
      <c r="D267" s="1033"/>
      <c r="E267" s="1033"/>
      <c r="F267" s="1033"/>
      <c r="G267" s="1033"/>
      <c r="H267" s="1033"/>
      <c r="I267" s="1033"/>
      <c r="J267" s="1033"/>
      <c r="K267" s="1033"/>
      <c r="L267" s="574"/>
      <c r="M267" s="51"/>
      <c r="N267" s="113">
        <f t="shared" si="26"/>
        <v>4951</v>
      </c>
      <c r="O267" s="575">
        <v>0</v>
      </c>
      <c r="P267" s="576"/>
      <c r="Q267" s="589"/>
      <c r="R267" s="324"/>
      <c r="S267" s="579">
        <v>0</v>
      </c>
      <c r="T267" s="580">
        <f t="shared" si="29"/>
        <v>0</v>
      </c>
      <c r="U267" s="51"/>
      <c r="V267" s="2119">
        <f t="shared" si="30"/>
        <v>0</v>
      </c>
      <c r="W267" s="43"/>
      <c r="X267" s="43"/>
      <c r="Y267" s="43"/>
      <c r="Z267" s="43"/>
    </row>
    <row r="268" spans="1:26">
      <c r="A268" s="88">
        <v>4955</v>
      </c>
      <c r="B268" s="378" t="s">
        <v>239</v>
      </c>
      <c r="C268" s="88"/>
      <c r="D268" s="1033"/>
      <c r="E268" s="1033"/>
      <c r="F268" s="1033"/>
      <c r="G268" s="1033"/>
      <c r="H268" s="1033"/>
      <c r="I268" s="1033"/>
      <c r="J268" s="1033"/>
      <c r="K268" s="1033"/>
      <c r="L268" s="574"/>
      <c r="M268" s="51"/>
      <c r="N268" s="113">
        <f t="shared" si="26"/>
        <v>4955</v>
      </c>
      <c r="O268" s="575">
        <v>0</v>
      </c>
      <c r="P268" s="576"/>
      <c r="Q268" s="589"/>
      <c r="R268" s="324"/>
      <c r="S268" s="579">
        <v>0</v>
      </c>
      <c r="T268" s="580">
        <f t="shared" si="29"/>
        <v>0</v>
      </c>
      <c r="U268" s="51"/>
      <c r="V268" s="2119">
        <f t="shared" si="30"/>
        <v>0</v>
      </c>
      <c r="W268" s="43"/>
      <c r="X268" s="43"/>
      <c r="Y268" s="43"/>
      <c r="Z268" s="43"/>
    </row>
    <row r="269" spans="1:26">
      <c r="A269" s="88">
        <v>4956</v>
      </c>
      <c r="B269" s="378" t="s">
        <v>240</v>
      </c>
      <c r="C269" s="88"/>
      <c r="D269" s="1033"/>
      <c r="E269" s="1033"/>
      <c r="F269" s="1033"/>
      <c r="G269" s="1033"/>
      <c r="H269" s="1033"/>
      <c r="I269" s="1033"/>
      <c r="J269" s="1033"/>
      <c r="K269" s="1033"/>
      <c r="L269" s="574"/>
      <c r="M269" s="51"/>
      <c r="N269" s="113">
        <f t="shared" si="26"/>
        <v>4956</v>
      </c>
      <c r="O269" s="575">
        <v>0</v>
      </c>
      <c r="P269" s="576"/>
      <c r="Q269" s="589"/>
      <c r="R269" s="324"/>
      <c r="S269" s="579">
        <v>0</v>
      </c>
      <c r="T269" s="580">
        <f t="shared" si="29"/>
        <v>0</v>
      </c>
      <c r="U269" s="51"/>
      <c r="V269" s="2119">
        <f t="shared" si="30"/>
        <v>0</v>
      </c>
      <c r="W269" s="43"/>
      <c r="X269" s="43"/>
      <c r="Y269" s="43"/>
      <c r="Z269" s="43"/>
    </row>
    <row r="270" spans="1:26">
      <c r="A270" s="88">
        <v>4957</v>
      </c>
      <c r="B270" s="378" t="s">
        <v>237</v>
      </c>
      <c r="C270" s="88"/>
      <c r="D270" s="1033"/>
      <c r="E270" s="1033"/>
      <c r="F270" s="1033"/>
      <c r="G270" s="1033"/>
      <c r="H270" s="1033"/>
      <c r="I270" s="1033"/>
      <c r="J270" s="1033"/>
      <c r="K270" s="1033"/>
      <c r="L270" s="574"/>
      <c r="M270" s="51"/>
      <c r="N270" s="113">
        <f t="shared" si="26"/>
        <v>4957</v>
      </c>
      <c r="O270" s="575">
        <v>0</v>
      </c>
      <c r="P270" s="576"/>
      <c r="Q270" s="589"/>
      <c r="R270" s="324"/>
      <c r="S270" s="579">
        <v>0</v>
      </c>
      <c r="T270" s="580">
        <f t="shared" si="29"/>
        <v>0</v>
      </c>
      <c r="U270" s="51"/>
      <c r="V270" s="2119">
        <f t="shared" si="30"/>
        <v>0</v>
      </c>
      <c r="W270" s="43"/>
      <c r="X270" s="43"/>
      <c r="Y270" s="43"/>
      <c r="Z270" s="43"/>
    </row>
    <row r="271" spans="1:26" ht="15.75" customHeight="1">
      <c r="A271" s="88">
        <v>4960</v>
      </c>
      <c r="B271" s="378" t="s">
        <v>241</v>
      </c>
      <c r="C271" s="88"/>
      <c r="D271" s="1038"/>
      <c r="E271" s="1038"/>
      <c r="F271" s="1038"/>
      <c r="G271" s="1038"/>
      <c r="H271" s="1038"/>
      <c r="I271" s="1038"/>
      <c r="J271" s="1038"/>
      <c r="K271" s="1038"/>
      <c r="L271" s="590"/>
      <c r="M271" s="51"/>
      <c r="N271" s="113">
        <f t="shared" si="26"/>
        <v>4960</v>
      </c>
      <c r="O271" s="581"/>
      <c r="P271" s="576"/>
      <c r="Q271" s="589"/>
      <c r="R271" s="576"/>
      <c r="S271" s="583">
        <f t="shared" ref="S271:S283" si="31">+IF(ABS(+O271+Q271)&gt;=ABS(P271+R271),+O271-P271+Q271-R271,0)</f>
        <v>0</v>
      </c>
      <c r="T271" s="580">
        <f t="shared" si="29"/>
        <v>0</v>
      </c>
      <c r="U271" s="51"/>
      <c r="V271" s="2119"/>
      <c r="W271" s="43"/>
      <c r="X271" s="43"/>
      <c r="Y271" s="43"/>
      <c r="Z271" s="43"/>
    </row>
    <row r="272" spans="1:26">
      <c r="A272" s="88">
        <v>4961</v>
      </c>
      <c r="B272" s="378" t="s">
        <v>242</v>
      </c>
      <c r="C272" s="88"/>
      <c r="D272" s="1033"/>
      <c r="E272" s="1033"/>
      <c r="F272" s="1033"/>
      <c r="G272" s="1033"/>
      <c r="H272" s="1033"/>
      <c r="I272" s="1033"/>
      <c r="J272" s="1033"/>
      <c r="K272" s="1033"/>
      <c r="L272" s="574"/>
      <c r="M272" s="51"/>
      <c r="N272" s="113">
        <f t="shared" si="26"/>
        <v>4961</v>
      </c>
      <c r="O272" s="581">
        <v>0</v>
      </c>
      <c r="P272" s="576">
        <v>0</v>
      </c>
      <c r="Q272" s="589">
        <v>0</v>
      </c>
      <c r="R272" s="576">
        <v>0</v>
      </c>
      <c r="S272" s="583">
        <f t="shared" si="31"/>
        <v>0</v>
      </c>
      <c r="T272" s="580">
        <f t="shared" si="29"/>
        <v>0</v>
      </c>
      <c r="U272" s="51"/>
      <c r="V272" s="2119"/>
      <c r="W272" s="43"/>
      <c r="X272" s="43"/>
      <c r="Y272" s="43"/>
      <c r="Z272" s="43"/>
    </row>
    <row r="273" spans="1:26">
      <c r="A273" s="88">
        <v>4962</v>
      </c>
      <c r="B273" s="378" t="s">
        <v>243</v>
      </c>
      <c r="C273" s="88"/>
      <c r="D273" s="1033"/>
      <c r="E273" s="1033"/>
      <c r="F273" s="1033"/>
      <c r="G273" s="1033"/>
      <c r="H273" s="1033"/>
      <c r="I273" s="1033"/>
      <c r="J273" s="1033"/>
      <c r="K273" s="1033"/>
      <c r="L273" s="574"/>
      <c r="M273" s="51"/>
      <c r="N273" s="113">
        <f t="shared" si="26"/>
        <v>4962</v>
      </c>
      <c r="O273" s="581"/>
      <c r="P273" s="576"/>
      <c r="Q273" s="589"/>
      <c r="R273" s="576"/>
      <c r="S273" s="583">
        <f t="shared" si="31"/>
        <v>0</v>
      </c>
      <c r="T273" s="580">
        <f t="shared" si="29"/>
        <v>0</v>
      </c>
      <c r="U273" s="51"/>
      <c r="V273" s="2119"/>
      <c r="W273" s="43"/>
      <c r="X273" s="43"/>
      <c r="Y273" s="43"/>
      <c r="Z273" s="43"/>
    </row>
    <row r="274" spans="1:26" ht="15.75" customHeight="1">
      <c r="A274" s="88">
        <v>4970</v>
      </c>
      <c r="B274" s="378" t="s">
        <v>244</v>
      </c>
      <c r="C274" s="88"/>
      <c r="D274" s="1038"/>
      <c r="E274" s="1038"/>
      <c r="F274" s="1038"/>
      <c r="G274" s="1038"/>
      <c r="H274" s="1038"/>
      <c r="I274" s="1038"/>
      <c r="J274" s="1038"/>
      <c r="K274" s="1038"/>
      <c r="L274" s="590"/>
      <c r="M274" s="51"/>
      <c r="N274" s="113">
        <f t="shared" si="26"/>
        <v>4970</v>
      </c>
      <c r="O274" s="581"/>
      <c r="P274" s="576"/>
      <c r="Q274" s="589"/>
      <c r="R274" s="576"/>
      <c r="S274" s="583">
        <f t="shared" si="31"/>
        <v>0</v>
      </c>
      <c r="T274" s="580">
        <f t="shared" si="29"/>
        <v>0</v>
      </c>
      <c r="U274" s="51"/>
      <c r="V274" s="2119"/>
      <c r="W274" s="43"/>
      <c r="X274" s="43"/>
      <c r="Y274" s="43"/>
      <c r="Z274" s="43"/>
    </row>
    <row r="275" spans="1:26" ht="15.75" customHeight="1">
      <c r="A275" s="88">
        <v>4971</v>
      </c>
      <c r="B275" s="378" t="s">
        <v>245</v>
      </c>
      <c r="C275" s="88"/>
      <c r="D275" s="1038"/>
      <c r="E275" s="1038"/>
      <c r="F275" s="1038"/>
      <c r="G275" s="1038"/>
      <c r="H275" s="1038"/>
      <c r="I275" s="1038"/>
      <c r="J275" s="1038"/>
      <c r="K275" s="1038"/>
      <c r="L275" s="590"/>
      <c r="M275" s="51"/>
      <c r="N275" s="113">
        <f t="shared" ref="N275:N284" si="32">+A275</f>
        <v>4971</v>
      </c>
      <c r="O275" s="581">
        <v>0</v>
      </c>
      <c r="P275" s="576">
        <v>0</v>
      </c>
      <c r="Q275" s="589">
        <v>0</v>
      </c>
      <c r="R275" s="576">
        <v>0</v>
      </c>
      <c r="S275" s="583">
        <f t="shared" si="31"/>
        <v>0</v>
      </c>
      <c r="T275" s="580">
        <f t="shared" si="29"/>
        <v>0</v>
      </c>
      <c r="U275" s="51"/>
      <c r="V275" s="2119"/>
      <c r="W275" s="43"/>
      <c r="X275" s="43"/>
      <c r="Y275" s="43"/>
      <c r="Z275" s="43"/>
    </row>
    <row r="276" spans="1:26" ht="15.75" customHeight="1">
      <c r="A276" s="88">
        <v>4972</v>
      </c>
      <c r="B276" s="378" t="s">
        <v>246</v>
      </c>
      <c r="C276" s="88"/>
      <c r="D276" s="1038"/>
      <c r="E276" s="1038"/>
      <c r="F276" s="1038"/>
      <c r="G276" s="1038"/>
      <c r="H276" s="1038"/>
      <c r="I276" s="1038"/>
      <c r="J276" s="1038"/>
      <c r="K276" s="1038"/>
      <c r="L276" s="590"/>
      <c r="M276" s="51"/>
      <c r="N276" s="113">
        <f t="shared" si="32"/>
        <v>4972</v>
      </c>
      <c r="O276" s="581"/>
      <c r="P276" s="576"/>
      <c r="Q276" s="589"/>
      <c r="R276" s="576"/>
      <c r="S276" s="583">
        <f t="shared" si="31"/>
        <v>0</v>
      </c>
      <c r="T276" s="580">
        <f t="shared" si="29"/>
        <v>0</v>
      </c>
      <c r="U276" s="51"/>
      <c r="V276" s="2119"/>
      <c r="W276" s="43"/>
      <c r="X276" s="43"/>
      <c r="Y276" s="43"/>
      <c r="Z276" s="43"/>
    </row>
    <row r="277" spans="1:26" ht="15.75" customHeight="1">
      <c r="A277" s="88">
        <v>4973</v>
      </c>
      <c r="B277" s="378" t="s">
        <v>247</v>
      </c>
      <c r="C277" s="88"/>
      <c r="D277" s="1038"/>
      <c r="E277" s="1038"/>
      <c r="F277" s="1038"/>
      <c r="G277" s="1038"/>
      <c r="H277" s="1038"/>
      <c r="I277" s="1038"/>
      <c r="J277" s="1038"/>
      <c r="K277" s="1038"/>
      <c r="L277" s="590"/>
      <c r="M277" s="51"/>
      <c r="N277" s="113">
        <f t="shared" si="32"/>
        <v>4973</v>
      </c>
      <c r="O277" s="581"/>
      <c r="P277" s="576"/>
      <c r="Q277" s="589"/>
      <c r="R277" s="576"/>
      <c r="S277" s="583">
        <f t="shared" si="31"/>
        <v>0</v>
      </c>
      <c r="T277" s="580">
        <f t="shared" si="29"/>
        <v>0</v>
      </c>
      <c r="U277" s="51"/>
      <c r="V277" s="2119"/>
      <c r="W277" s="43"/>
      <c r="X277" s="43"/>
      <c r="Y277" s="43"/>
      <c r="Z277" s="43"/>
    </row>
    <row r="278" spans="1:26" ht="15.75" customHeight="1">
      <c r="A278" s="88">
        <v>4974</v>
      </c>
      <c r="B278" s="378" t="s">
        <v>248</v>
      </c>
      <c r="C278" s="88"/>
      <c r="D278" s="1038"/>
      <c r="E278" s="1038"/>
      <c r="F278" s="1038"/>
      <c r="G278" s="1038"/>
      <c r="H278" s="1038"/>
      <c r="I278" s="1038"/>
      <c r="J278" s="1038"/>
      <c r="K278" s="1038"/>
      <c r="L278" s="590"/>
      <c r="M278" s="51"/>
      <c r="N278" s="113">
        <f t="shared" si="32"/>
        <v>4974</v>
      </c>
      <c r="O278" s="581"/>
      <c r="P278" s="576"/>
      <c r="Q278" s="589"/>
      <c r="R278" s="576"/>
      <c r="S278" s="583">
        <f t="shared" si="31"/>
        <v>0</v>
      </c>
      <c r="T278" s="580">
        <f t="shared" si="29"/>
        <v>0</v>
      </c>
      <c r="U278" s="51"/>
      <c r="V278" s="2119"/>
      <c r="W278" s="43"/>
      <c r="X278" s="43"/>
      <c r="Y278" s="43"/>
      <c r="Z278" s="43"/>
    </row>
    <row r="279" spans="1:26" ht="15.75" customHeight="1">
      <c r="A279" s="88">
        <v>4975</v>
      </c>
      <c r="B279" s="378" t="s">
        <v>249</v>
      </c>
      <c r="C279" s="88"/>
      <c r="D279" s="1038"/>
      <c r="E279" s="1038"/>
      <c r="F279" s="1038"/>
      <c r="G279" s="1038"/>
      <c r="H279" s="1038"/>
      <c r="I279" s="1038"/>
      <c r="J279" s="1038"/>
      <c r="K279" s="1038"/>
      <c r="L279" s="590"/>
      <c r="M279" s="51"/>
      <c r="N279" s="113">
        <f t="shared" si="32"/>
        <v>4975</v>
      </c>
      <c r="O279" s="581"/>
      <c r="P279" s="576"/>
      <c r="Q279" s="589"/>
      <c r="R279" s="576"/>
      <c r="S279" s="583">
        <f t="shared" si="31"/>
        <v>0</v>
      </c>
      <c r="T279" s="580">
        <f t="shared" si="29"/>
        <v>0</v>
      </c>
      <c r="U279" s="51"/>
      <c r="V279" s="2119"/>
      <c r="W279" s="43"/>
      <c r="X279" s="43"/>
      <c r="Y279" s="43"/>
      <c r="Z279" s="43"/>
    </row>
    <row r="280" spans="1:26" ht="15.75" customHeight="1">
      <c r="A280" s="88">
        <v>4976</v>
      </c>
      <c r="B280" s="378" t="s">
        <v>250</v>
      </c>
      <c r="C280" s="88"/>
      <c r="D280" s="1038"/>
      <c r="E280" s="1038"/>
      <c r="F280" s="1038"/>
      <c r="G280" s="1038"/>
      <c r="H280" s="1038"/>
      <c r="I280" s="1038"/>
      <c r="J280" s="1038"/>
      <c r="K280" s="1038"/>
      <c r="L280" s="590"/>
      <c r="M280" s="51"/>
      <c r="N280" s="113">
        <f t="shared" si="32"/>
        <v>4976</v>
      </c>
      <c r="O280" s="581"/>
      <c r="P280" s="576"/>
      <c r="Q280" s="589"/>
      <c r="R280" s="576"/>
      <c r="S280" s="583">
        <f t="shared" si="31"/>
        <v>0</v>
      </c>
      <c r="T280" s="580">
        <f t="shared" si="29"/>
        <v>0</v>
      </c>
      <c r="U280" s="51"/>
      <c r="V280" s="2119"/>
      <c r="W280" s="43"/>
      <c r="X280" s="43"/>
      <c r="Y280" s="43"/>
      <c r="Z280" s="43"/>
    </row>
    <row r="281" spans="1:26" ht="15.75" customHeight="1">
      <c r="A281" s="88">
        <v>4978</v>
      </c>
      <c r="B281" s="378" t="s">
        <v>251</v>
      </c>
      <c r="C281" s="88"/>
      <c r="D281" s="1038"/>
      <c r="E281" s="1038"/>
      <c r="F281" s="1038"/>
      <c r="G281" s="1038"/>
      <c r="H281" s="1038"/>
      <c r="I281" s="1038"/>
      <c r="J281" s="1038"/>
      <c r="K281" s="1038"/>
      <c r="L281" s="590"/>
      <c r="M281" s="51"/>
      <c r="N281" s="113">
        <f t="shared" si="32"/>
        <v>4978</v>
      </c>
      <c r="O281" s="581"/>
      <c r="P281" s="576"/>
      <c r="Q281" s="589"/>
      <c r="R281" s="576"/>
      <c r="S281" s="583">
        <f t="shared" si="31"/>
        <v>0</v>
      </c>
      <c r="T281" s="580">
        <f t="shared" si="29"/>
        <v>0</v>
      </c>
      <c r="U281" s="51"/>
      <c r="V281" s="2119"/>
      <c r="W281" s="43"/>
      <c r="X281" s="43"/>
      <c r="Y281" s="43"/>
      <c r="Z281" s="43"/>
    </row>
    <row r="282" spans="1:26" ht="15.75" customHeight="1">
      <c r="A282" s="88">
        <v>4979</v>
      </c>
      <c r="B282" s="378" t="s">
        <v>252</v>
      </c>
      <c r="C282" s="88"/>
      <c r="D282" s="1038"/>
      <c r="E282" s="1038"/>
      <c r="F282" s="1038"/>
      <c r="G282" s="1038"/>
      <c r="H282" s="1038"/>
      <c r="I282" s="1038"/>
      <c r="J282" s="1038"/>
      <c r="K282" s="1038"/>
      <c r="L282" s="590"/>
      <c r="M282" s="51"/>
      <c r="N282" s="113">
        <f t="shared" si="32"/>
        <v>4979</v>
      </c>
      <c r="O282" s="581"/>
      <c r="P282" s="576"/>
      <c r="Q282" s="589"/>
      <c r="R282" s="576"/>
      <c r="S282" s="583">
        <f t="shared" si="31"/>
        <v>0</v>
      </c>
      <c r="T282" s="580">
        <f t="shared" si="29"/>
        <v>0</v>
      </c>
      <c r="U282" s="51"/>
      <c r="V282" s="2119"/>
      <c r="W282" s="43"/>
      <c r="X282" s="43"/>
      <c r="Y282" s="43"/>
      <c r="Z282" s="43"/>
    </row>
    <row r="283" spans="1:26">
      <c r="A283" s="88">
        <v>4980</v>
      </c>
      <c r="B283" s="378" t="s">
        <v>253</v>
      </c>
      <c r="C283" s="88"/>
      <c r="D283" s="1033"/>
      <c r="E283" s="1033"/>
      <c r="F283" s="1033"/>
      <c r="G283" s="1033"/>
      <c r="H283" s="1033"/>
      <c r="I283" s="1033"/>
      <c r="J283" s="1033"/>
      <c r="K283" s="1033"/>
      <c r="L283" s="574"/>
      <c r="M283" s="51"/>
      <c r="N283" s="113">
        <f t="shared" si="32"/>
        <v>4980</v>
      </c>
      <c r="O283" s="581"/>
      <c r="P283" s="582">
        <v>0</v>
      </c>
      <c r="Q283" s="589"/>
      <c r="R283" s="576"/>
      <c r="S283" s="583">
        <f t="shared" si="31"/>
        <v>0</v>
      </c>
      <c r="T283" s="584">
        <v>0</v>
      </c>
      <c r="U283" s="51"/>
      <c r="V283" s="2120">
        <f>+IF(OR(ROUND(P283,2)+ROUND(R283,2)&gt;+ROUND(O283,2)+ROUND(Q283,2),+ABS(ROUND(P283,2)+ROUND(R283,2))&gt;+ABS(ROUND(O283,2)+ROUND(Q283,2))),+(ROUND(P283,2)+ROUND(R283,2))-(ROUND(O283,2)+ROUND(Q283,2)),0)</f>
        <v>0</v>
      </c>
      <c r="W283" s="43"/>
      <c r="X283" s="43"/>
      <c r="Y283" s="43"/>
      <c r="Z283" s="43"/>
    </row>
    <row r="284" spans="1:26">
      <c r="A284" s="595">
        <v>4989</v>
      </c>
      <c r="B284" s="1045" t="s">
        <v>254</v>
      </c>
      <c r="C284" s="1033"/>
      <c r="D284" s="1033"/>
      <c r="E284" s="1033"/>
      <c r="F284" s="1033"/>
      <c r="G284" s="1033"/>
      <c r="H284" s="1033"/>
      <c r="I284" s="1033"/>
      <c r="J284" s="1033"/>
      <c r="K284" s="1033"/>
      <c r="L284" s="574"/>
      <c r="M284" s="51"/>
      <c r="N284" s="113">
        <f t="shared" si="32"/>
        <v>4989</v>
      </c>
      <c r="O284" s="575">
        <v>0</v>
      </c>
      <c r="P284" s="576"/>
      <c r="Q284" s="589"/>
      <c r="R284" s="121"/>
      <c r="S284" s="579">
        <v>0</v>
      </c>
      <c r="T284" s="580">
        <f>+IF(ABS(+O284+Q284)&lt;=ABS(P284+R284),-O284+P284-Q284+R284,0)</f>
        <v>0</v>
      </c>
      <c r="U284" s="51"/>
      <c r="V284" s="2119">
        <f>+IF(OR(+ROUND(O284,2)+ROUND(Q284,2)&gt;ROUND(P284,2)+ROUND(R284,2),+ABS(ROUND(O284,2)+ROUND(Q284,2))&gt;+ABS(ROUND(P284,2)+ROUND(R284,2))),+(ROUND(O284,2)+ROUND(Q284,2))-(ROUND(P284,2)+ROUND(R284,2)),0)</f>
        <v>0</v>
      </c>
      <c r="W284" s="43"/>
      <c r="X284" s="43"/>
      <c r="Y284" s="43"/>
      <c r="Z284" s="43"/>
    </row>
    <row r="285" spans="1:26">
      <c r="A285" s="398" t="s">
        <v>45</v>
      </c>
      <c r="B285" s="399"/>
      <c r="C285" s="399"/>
      <c r="D285" s="399"/>
      <c r="E285" s="399"/>
      <c r="F285" s="399"/>
      <c r="G285" s="399"/>
      <c r="H285" s="399"/>
      <c r="I285" s="399"/>
      <c r="J285" s="399"/>
      <c r="K285" s="399"/>
      <c r="L285" s="381"/>
      <c r="M285" s="51"/>
      <c r="N285" s="383">
        <v>5</v>
      </c>
      <c r="O285" s="384"/>
      <c r="P285" s="385"/>
      <c r="Q285" s="386"/>
      <c r="R285" s="385"/>
      <c r="S285" s="386"/>
      <c r="T285" s="387"/>
      <c r="U285" s="51"/>
      <c r="V285" s="2119"/>
      <c r="W285" s="43"/>
      <c r="X285" s="43"/>
      <c r="Y285" s="43"/>
      <c r="Z285" s="43"/>
    </row>
    <row r="286" spans="1:26">
      <c r="A286" s="395">
        <v>5000</v>
      </c>
      <c r="B286" s="418" t="s">
        <v>799</v>
      </c>
      <c r="C286" s="418"/>
      <c r="D286" s="418"/>
      <c r="E286" s="418"/>
      <c r="F286" s="418"/>
      <c r="G286" s="396"/>
      <c r="H286" s="396"/>
      <c r="I286" s="396"/>
      <c r="J286" s="396"/>
      <c r="K286" s="396"/>
      <c r="L286" s="397"/>
      <c r="M286" s="51"/>
      <c r="N286" s="400">
        <f t="shared" ref="N286:N317" si="33">+A286</f>
        <v>5000</v>
      </c>
      <c r="O286" s="401">
        <v>0</v>
      </c>
      <c r="P286" s="402">
        <v>0</v>
      </c>
      <c r="Q286" s="403">
        <v>0</v>
      </c>
      <c r="R286" s="402">
        <v>0</v>
      </c>
      <c r="S286" s="829">
        <f t="shared" ref="S286:S349" si="34">+IF(ABS(+O286+Q286)&gt;=ABS(P286+R286),+O286-P286+Q286-R286,0)</f>
        <v>0</v>
      </c>
      <c r="T286" s="830">
        <v>0</v>
      </c>
      <c r="U286" s="51"/>
      <c r="V286" s="2120">
        <f t="shared" ref="V286:V321" si="35">+IF(OR(ROUND(P286,2)+ROUND(R286,2)&gt;+ROUND(O286,2)+ROUND(Q286,2),+ABS(ROUND(P286,2)+ROUND(R286,2))&gt;+ABS(ROUND(O286,2)+ROUND(Q286,2))),+(ROUND(P286,2)+ROUND(R286,2))-(ROUND(O286,2)+ROUND(Q286,2)),0)</f>
        <v>0</v>
      </c>
      <c r="W286" s="43"/>
      <c r="X286" s="43"/>
      <c r="Y286" s="43"/>
      <c r="Z286" s="43"/>
    </row>
    <row r="287" spans="1:26">
      <c r="A287" s="88">
        <v>5001</v>
      </c>
      <c r="B287" s="378" t="s">
        <v>800</v>
      </c>
      <c r="C287" s="1034"/>
      <c r="D287" s="1034"/>
      <c r="E287" s="1034"/>
      <c r="F287" s="1034"/>
      <c r="G287" s="1033"/>
      <c r="H287" s="1033"/>
      <c r="I287" s="1033"/>
      <c r="J287" s="1033"/>
      <c r="K287" s="1033"/>
      <c r="L287" s="90"/>
      <c r="M287" s="51"/>
      <c r="N287" s="113">
        <f t="shared" si="33"/>
        <v>5001</v>
      </c>
      <c r="O287" s="120">
        <v>0</v>
      </c>
      <c r="P287" s="9">
        <v>0</v>
      </c>
      <c r="Q287" s="122">
        <v>0</v>
      </c>
      <c r="R287" s="576">
        <v>0</v>
      </c>
      <c r="S287" s="27">
        <f t="shared" si="34"/>
        <v>0</v>
      </c>
      <c r="T287" s="30">
        <v>0</v>
      </c>
      <c r="U287" s="51"/>
      <c r="V287" s="2120">
        <f t="shared" si="35"/>
        <v>0</v>
      </c>
      <c r="W287" s="43"/>
      <c r="X287" s="43"/>
      <c r="Y287" s="43"/>
      <c r="Z287" s="43"/>
    </row>
    <row r="288" spans="1:26">
      <c r="A288" s="88">
        <v>5002</v>
      </c>
      <c r="B288" s="378" t="s">
        <v>801</v>
      </c>
      <c r="C288" s="1034"/>
      <c r="D288" s="1034"/>
      <c r="E288" s="1034"/>
      <c r="F288" s="1034"/>
      <c r="G288" s="1033"/>
      <c r="H288" s="1033"/>
      <c r="I288" s="1033"/>
      <c r="J288" s="1033"/>
      <c r="K288" s="1033"/>
      <c r="L288" s="90"/>
      <c r="M288" s="51"/>
      <c r="N288" s="113">
        <f t="shared" si="33"/>
        <v>5002</v>
      </c>
      <c r="O288" s="120"/>
      <c r="P288" s="9">
        <v>0</v>
      </c>
      <c r="Q288" s="122"/>
      <c r="R288" s="576"/>
      <c r="S288" s="27">
        <f t="shared" si="34"/>
        <v>0</v>
      </c>
      <c r="T288" s="30">
        <v>0</v>
      </c>
      <c r="U288" s="51"/>
      <c r="V288" s="2120">
        <f t="shared" si="35"/>
        <v>0</v>
      </c>
      <c r="W288" s="43"/>
      <c r="X288" s="43"/>
      <c r="Y288" s="43"/>
      <c r="Z288" s="43"/>
    </row>
    <row r="289" spans="1:26">
      <c r="A289" s="91">
        <v>5005</v>
      </c>
      <c r="B289" s="1036" t="s">
        <v>802</v>
      </c>
      <c r="C289" s="1036"/>
      <c r="D289" s="1036"/>
      <c r="E289" s="1036"/>
      <c r="F289" s="1036"/>
      <c r="G289" s="92"/>
      <c r="H289" s="92"/>
      <c r="I289" s="92"/>
      <c r="J289" s="92"/>
      <c r="K289" s="92"/>
      <c r="L289" s="93"/>
      <c r="M289" s="51"/>
      <c r="N289" s="114">
        <f t="shared" si="33"/>
        <v>5005</v>
      </c>
      <c r="O289" s="10">
        <v>0</v>
      </c>
      <c r="P289" s="11">
        <v>0</v>
      </c>
      <c r="Q289" s="31">
        <v>0</v>
      </c>
      <c r="R289" s="11">
        <v>0</v>
      </c>
      <c r="S289" s="829">
        <f t="shared" si="34"/>
        <v>0</v>
      </c>
      <c r="T289" s="830">
        <v>0</v>
      </c>
      <c r="U289" s="51"/>
      <c r="V289" s="2120">
        <f t="shared" si="35"/>
        <v>0</v>
      </c>
      <c r="W289" s="43"/>
      <c r="X289" s="43"/>
      <c r="Y289" s="43"/>
      <c r="Z289" s="43"/>
    </row>
    <row r="290" spans="1:26">
      <c r="A290" s="91">
        <v>5006</v>
      </c>
      <c r="B290" s="1036" t="s">
        <v>803</v>
      </c>
      <c r="C290" s="1036"/>
      <c r="D290" s="1036"/>
      <c r="E290" s="1036"/>
      <c r="F290" s="1036"/>
      <c r="G290" s="92"/>
      <c r="H290" s="92"/>
      <c r="I290" s="92"/>
      <c r="J290" s="92"/>
      <c r="K290" s="92"/>
      <c r="L290" s="93"/>
      <c r="M290" s="51"/>
      <c r="N290" s="114">
        <f t="shared" si="33"/>
        <v>5006</v>
      </c>
      <c r="O290" s="10">
        <v>0</v>
      </c>
      <c r="P290" s="11">
        <v>0</v>
      </c>
      <c r="Q290" s="31">
        <v>0</v>
      </c>
      <c r="R290" s="11">
        <v>0</v>
      </c>
      <c r="S290" s="829">
        <f t="shared" si="34"/>
        <v>0</v>
      </c>
      <c r="T290" s="830">
        <v>0</v>
      </c>
      <c r="U290" s="51"/>
      <c r="V290" s="2120">
        <f t="shared" si="35"/>
        <v>0</v>
      </c>
      <c r="W290" s="43"/>
      <c r="X290" s="43"/>
      <c r="Y290" s="43"/>
      <c r="Z290" s="43"/>
    </row>
    <row r="291" spans="1:26">
      <c r="A291" s="88">
        <v>5007</v>
      </c>
      <c r="B291" s="378" t="s">
        <v>804</v>
      </c>
      <c r="C291" s="1034"/>
      <c r="D291" s="1034"/>
      <c r="E291" s="1034"/>
      <c r="F291" s="1034"/>
      <c r="G291" s="1033"/>
      <c r="H291" s="1033"/>
      <c r="I291" s="1033"/>
      <c r="J291" s="1033"/>
      <c r="K291" s="1033"/>
      <c r="L291" s="90"/>
      <c r="M291" s="51"/>
      <c r="N291" s="113">
        <f t="shared" si="33"/>
        <v>5007</v>
      </c>
      <c r="O291" s="120"/>
      <c r="P291" s="9">
        <v>0</v>
      </c>
      <c r="Q291" s="122"/>
      <c r="R291" s="576"/>
      <c r="S291" s="27">
        <f t="shared" si="34"/>
        <v>0</v>
      </c>
      <c r="T291" s="30">
        <v>0</v>
      </c>
      <c r="U291" s="51"/>
      <c r="V291" s="2120">
        <f t="shared" si="35"/>
        <v>0</v>
      </c>
      <c r="W291" s="43"/>
      <c r="X291" s="43"/>
      <c r="Y291" s="43"/>
      <c r="Z291" s="43"/>
    </row>
    <row r="292" spans="1:26">
      <c r="A292" s="88">
        <v>5008</v>
      </c>
      <c r="B292" s="378" t="s">
        <v>805</v>
      </c>
      <c r="C292" s="1034"/>
      <c r="D292" s="1034"/>
      <c r="E292" s="1034"/>
      <c r="F292" s="1034"/>
      <c r="G292" s="1033"/>
      <c r="H292" s="1033"/>
      <c r="I292" s="1033"/>
      <c r="J292" s="1033"/>
      <c r="K292" s="1033"/>
      <c r="L292" s="90"/>
      <c r="M292" s="51"/>
      <c r="N292" s="113">
        <f t="shared" si="33"/>
        <v>5008</v>
      </c>
      <c r="O292" s="120"/>
      <c r="P292" s="9">
        <v>0</v>
      </c>
      <c r="Q292" s="122"/>
      <c r="R292" s="576"/>
      <c r="S292" s="27">
        <f t="shared" si="34"/>
        <v>0</v>
      </c>
      <c r="T292" s="30">
        <v>0</v>
      </c>
      <c r="U292" s="51"/>
      <c r="V292" s="2120">
        <f t="shared" si="35"/>
        <v>0</v>
      </c>
      <c r="W292" s="43"/>
      <c r="X292" s="43"/>
      <c r="Y292" s="43"/>
      <c r="Z292" s="43"/>
    </row>
    <row r="293" spans="1:26">
      <c r="A293" s="91">
        <v>5009</v>
      </c>
      <c r="B293" s="1036" t="s">
        <v>806</v>
      </c>
      <c r="C293" s="1036"/>
      <c r="D293" s="1036"/>
      <c r="E293" s="1036"/>
      <c r="F293" s="1036"/>
      <c r="G293" s="92"/>
      <c r="H293" s="92"/>
      <c r="I293" s="92"/>
      <c r="J293" s="92"/>
      <c r="K293" s="92"/>
      <c r="L293" s="93"/>
      <c r="M293" s="51"/>
      <c r="N293" s="114">
        <f t="shared" si="33"/>
        <v>5009</v>
      </c>
      <c r="O293" s="10">
        <v>0</v>
      </c>
      <c r="P293" s="11">
        <v>0</v>
      </c>
      <c r="Q293" s="31">
        <v>0</v>
      </c>
      <c r="R293" s="11">
        <v>0</v>
      </c>
      <c r="S293" s="829">
        <f t="shared" si="34"/>
        <v>0</v>
      </c>
      <c r="T293" s="830">
        <v>0</v>
      </c>
      <c r="U293" s="51"/>
      <c r="V293" s="2120">
        <f t="shared" si="35"/>
        <v>0</v>
      </c>
      <c r="W293" s="43"/>
      <c r="X293" s="43"/>
      <c r="Y293" s="43"/>
      <c r="Z293" s="43"/>
    </row>
    <row r="294" spans="1:26">
      <c r="A294" s="88">
        <v>5011</v>
      </c>
      <c r="B294" s="378" t="s">
        <v>807</v>
      </c>
      <c r="C294" s="1034"/>
      <c r="D294" s="1034"/>
      <c r="E294" s="1034"/>
      <c r="F294" s="1034"/>
      <c r="G294" s="1033"/>
      <c r="H294" s="1033"/>
      <c r="I294" s="1033"/>
      <c r="J294" s="1033"/>
      <c r="K294" s="1033"/>
      <c r="L294" s="90"/>
      <c r="M294" s="51"/>
      <c r="N294" s="113">
        <f t="shared" si="33"/>
        <v>5011</v>
      </c>
      <c r="O294" s="120">
        <v>0</v>
      </c>
      <c r="P294" s="9">
        <v>0</v>
      </c>
      <c r="Q294" s="122">
        <v>0</v>
      </c>
      <c r="R294" s="576">
        <v>0</v>
      </c>
      <c r="S294" s="27">
        <f t="shared" si="34"/>
        <v>0</v>
      </c>
      <c r="T294" s="30">
        <v>0</v>
      </c>
      <c r="U294" s="51"/>
      <c r="V294" s="2120">
        <f t="shared" si="35"/>
        <v>0</v>
      </c>
      <c r="W294" s="43"/>
      <c r="X294" s="43"/>
      <c r="Y294" s="43"/>
      <c r="Z294" s="43"/>
    </row>
    <row r="295" spans="1:26">
      <c r="A295" s="88">
        <v>5012</v>
      </c>
      <c r="B295" s="378" t="s">
        <v>808</v>
      </c>
      <c r="C295" s="1034"/>
      <c r="D295" s="1034"/>
      <c r="E295" s="1034"/>
      <c r="F295" s="1034"/>
      <c r="G295" s="1033"/>
      <c r="H295" s="1033"/>
      <c r="I295" s="1033"/>
      <c r="J295" s="1033"/>
      <c r="K295" s="1033"/>
      <c r="L295" s="90"/>
      <c r="M295" s="51"/>
      <c r="N295" s="113">
        <f t="shared" si="33"/>
        <v>5012</v>
      </c>
      <c r="O295" s="120">
        <v>0</v>
      </c>
      <c r="P295" s="9">
        <v>0</v>
      </c>
      <c r="Q295" s="122">
        <v>0</v>
      </c>
      <c r="R295" s="576">
        <v>0</v>
      </c>
      <c r="S295" s="583">
        <f t="shared" si="34"/>
        <v>0</v>
      </c>
      <c r="T295" s="584">
        <v>0</v>
      </c>
      <c r="U295" s="51"/>
      <c r="V295" s="2120">
        <f t="shared" si="35"/>
        <v>0</v>
      </c>
      <c r="W295" s="43"/>
      <c r="X295" s="43"/>
      <c r="Y295" s="43"/>
      <c r="Z295" s="43"/>
    </row>
    <row r="296" spans="1:26">
      <c r="A296" s="88">
        <v>5013</v>
      </c>
      <c r="B296" s="378" t="s">
        <v>986</v>
      </c>
      <c r="C296" s="1034"/>
      <c r="D296" s="1034"/>
      <c r="E296" s="1034"/>
      <c r="F296" s="1034"/>
      <c r="G296" s="1033"/>
      <c r="H296" s="1033"/>
      <c r="I296" s="1033"/>
      <c r="J296" s="1033"/>
      <c r="K296" s="1033"/>
      <c r="L296" s="90"/>
      <c r="M296" s="51"/>
      <c r="N296" s="113">
        <f t="shared" si="33"/>
        <v>5013</v>
      </c>
      <c r="O296" s="120">
        <v>0</v>
      </c>
      <c r="P296" s="9">
        <v>0</v>
      </c>
      <c r="Q296" s="122">
        <v>0</v>
      </c>
      <c r="R296" s="576">
        <v>0</v>
      </c>
      <c r="S296" s="583">
        <f t="shared" si="34"/>
        <v>0</v>
      </c>
      <c r="T296" s="584">
        <v>0</v>
      </c>
      <c r="U296" s="51"/>
      <c r="V296" s="2120">
        <f t="shared" si="35"/>
        <v>0</v>
      </c>
      <c r="W296" s="43"/>
      <c r="X296" s="43"/>
      <c r="Y296" s="43"/>
      <c r="Z296" s="43"/>
    </row>
    <row r="297" spans="1:26">
      <c r="A297" s="88">
        <v>5014</v>
      </c>
      <c r="B297" s="378" t="s">
        <v>987</v>
      </c>
      <c r="C297" s="1034"/>
      <c r="D297" s="1034"/>
      <c r="E297" s="1034"/>
      <c r="F297" s="1034"/>
      <c r="G297" s="1033"/>
      <c r="H297" s="1033"/>
      <c r="I297" s="1033"/>
      <c r="J297" s="1033"/>
      <c r="K297" s="1033"/>
      <c r="L297" s="90"/>
      <c r="M297" s="51"/>
      <c r="N297" s="113">
        <f t="shared" si="33"/>
        <v>5014</v>
      </c>
      <c r="O297" s="120">
        <v>0</v>
      </c>
      <c r="P297" s="9">
        <v>0</v>
      </c>
      <c r="Q297" s="122">
        <v>0</v>
      </c>
      <c r="R297" s="576">
        <v>0</v>
      </c>
      <c r="S297" s="583">
        <f t="shared" si="34"/>
        <v>0</v>
      </c>
      <c r="T297" s="584">
        <v>0</v>
      </c>
      <c r="U297" s="51"/>
      <c r="V297" s="2120">
        <f t="shared" si="35"/>
        <v>0</v>
      </c>
      <c r="W297" s="43"/>
      <c r="X297" s="43"/>
      <c r="Y297" s="43"/>
      <c r="Z297" s="43"/>
    </row>
    <row r="298" spans="1:26">
      <c r="A298" s="88">
        <v>5015</v>
      </c>
      <c r="B298" s="378" t="s">
        <v>988</v>
      </c>
      <c r="C298" s="1034"/>
      <c r="D298" s="1034"/>
      <c r="E298" s="1034"/>
      <c r="F298" s="1034"/>
      <c r="G298" s="1033"/>
      <c r="H298" s="1033"/>
      <c r="I298" s="1033"/>
      <c r="J298" s="1033"/>
      <c r="K298" s="1033"/>
      <c r="L298" s="90"/>
      <c r="M298" s="51"/>
      <c r="N298" s="113">
        <f t="shared" si="33"/>
        <v>5015</v>
      </c>
      <c r="O298" s="120"/>
      <c r="P298" s="9">
        <v>0</v>
      </c>
      <c r="Q298" s="122"/>
      <c r="R298" s="576"/>
      <c r="S298" s="583">
        <f t="shared" si="34"/>
        <v>0</v>
      </c>
      <c r="T298" s="584">
        <v>0</v>
      </c>
      <c r="U298" s="51"/>
      <c r="V298" s="2120">
        <f t="shared" si="35"/>
        <v>0</v>
      </c>
      <c r="W298" s="43"/>
      <c r="X298" s="43"/>
      <c r="Y298" s="43"/>
      <c r="Z298" s="43"/>
    </row>
    <row r="299" spans="1:26">
      <c r="A299" s="88">
        <v>5016</v>
      </c>
      <c r="B299" s="378" t="s">
        <v>989</v>
      </c>
      <c r="C299" s="1034"/>
      <c r="D299" s="1034"/>
      <c r="E299" s="1034"/>
      <c r="F299" s="1034"/>
      <c r="G299" s="1033"/>
      <c r="H299" s="1033"/>
      <c r="I299" s="1033"/>
      <c r="J299" s="1033"/>
      <c r="K299" s="1033"/>
      <c r="L299" s="90"/>
      <c r="M299" s="51"/>
      <c r="N299" s="113">
        <f t="shared" si="33"/>
        <v>5016</v>
      </c>
      <c r="O299" s="120">
        <v>0</v>
      </c>
      <c r="P299" s="9">
        <v>0</v>
      </c>
      <c r="Q299" s="122">
        <v>0</v>
      </c>
      <c r="R299" s="576">
        <v>0</v>
      </c>
      <c r="S299" s="583">
        <f t="shared" si="34"/>
        <v>0</v>
      </c>
      <c r="T299" s="584">
        <v>0</v>
      </c>
      <c r="U299" s="51"/>
      <c r="V299" s="2120">
        <f t="shared" si="35"/>
        <v>0</v>
      </c>
      <c r="W299" s="43"/>
      <c r="X299" s="43"/>
      <c r="Y299" s="43"/>
      <c r="Z299" s="43"/>
    </row>
    <row r="300" spans="1:26">
      <c r="A300" s="88">
        <v>5017</v>
      </c>
      <c r="B300" s="378" t="s">
        <v>990</v>
      </c>
      <c r="C300" s="1034"/>
      <c r="D300" s="1034"/>
      <c r="E300" s="1034"/>
      <c r="F300" s="1034"/>
      <c r="G300" s="1033"/>
      <c r="H300" s="1033"/>
      <c r="I300" s="1033"/>
      <c r="J300" s="1033"/>
      <c r="K300" s="1033"/>
      <c r="L300" s="90"/>
      <c r="M300" s="51"/>
      <c r="N300" s="113">
        <f t="shared" si="33"/>
        <v>5017</v>
      </c>
      <c r="O300" s="120"/>
      <c r="P300" s="9">
        <v>0</v>
      </c>
      <c r="Q300" s="122"/>
      <c r="R300" s="576"/>
      <c r="S300" s="583">
        <f t="shared" si="34"/>
        <v>0</v>
      </c>
      <c r="T300" s="584">
        <v>0</v>
      </c>
      <c r="U300" s="51"/>
      <c r="V300" s="2120">
        <f t="shared" si="35"/>
        <v>0</v>
      </c>
      <c r="W300" s="43"/>
      <c r="X300" s="43"/>
      <c r="Y300" s="43"/>
      <c r="Z300" s="43"/>
    </row>
    <row r="301" spans="1:26">
      <c r="A301" s="88">
        <v>5018</v>
      </c>
      <c r="B301" s="378" t="s">
        <v>991</v>
      </c>
      <c r="C301" s="1034"/>
      <c r="D301" s="1034"/>
      <c r="E301" s="1034"/>
      <c r="F301" s="1034"/>
      <c r="G301" s="1033"/>
      <c r="H301" s="1033"/>
      <c r="I301" s="1033"/>
      <c r="J301" s="1033"/>
      <c r="K301" s="1033"/>
      <c r="L301" s="90"/>
      <c r="M301" s="51"/>
      <c r="N301" s="113">
        <f t="shared" si="33"/>
        <v>5018</v>
      </c>
      <c r="O301" s="581"/>
      <c r="P301" s="582">
        <v>0</v>
      </c>
      <c r="Q301" s="589"/>
      <c r="R301" s="576"/>
      <c r="S301" s="583">
        <f t="shared" si="34"/>
        <v>0</v>
      </c>
      <c r="T301" s="584">
        <v>0</v>
      </c>
      <c r="U301" s="51"/>
      <c r="V301" s="2120">
        <f t="shared" si="35"/>
        <v>0</v>
      </c>
      <c r="W301" s="43"/>
      <c r="X301" s="43"/>
      <c r="Y301" s="43"/>
      <c r="Z301" s="43"/>
    </row>
    <row r="302" spans="1:26">
      <c r="A302" s="88">
        <v>5022</v>
      </c>
      <c r="B302" s="378" t="s">
        <v>992</v>
      </c>
      <c r="C302" s="1034"/>
      <c r="D302" s="1034"/>
      <c r="E302" s="1034"/>
      <c r="F302" s="1034"/>
      <c r="G302" s="1033"/>
      <c r="H302" s="1033"/>
      <c r="I302" s="1033"/>
      <c r="J302" s="1033"/>
      <c r="K302" s="1033"/>
      <c r="L302" s="90"/>
      <c r="M302" s="51"/>
      <c r="N302" s="113">
        <f t="shared" si="33"/>
        <v>5022</v>
      </c>
      <c r="O302" s="581"/>
      <c r="P302" s="582">
        <v>0</v>
      </c>
      <c r="Q302" s="589"/>
      <c r="R302" s="576"/>
      <c r="S302" s="583">
        <f t="shared" si="34"/>
        <v>0</v>
      </c>
      <c r="T302" s="584">
        <v>0</v>
      </c>
      <c r="U302" s="51"/>
      <c r="V302" s="2120">
        <f t="shared" si="35"/>
        <v>0</v>
      </c>
      <c r="W302" s="43"/>
      <c r="X302" s="43"/>
      <c r="Y302" s="43"/>
      <c r="Z302" s="43"/>
    </row>
    <row r="303" spans="1:26">
      <c r="A303" s="88">
        <v>5024</v>
      </c>
      <c r="B303" s="378" t="s">
        <v>993</v>
      </c>
      <c r="C303" s="1034"/>
      <c r="D303" s="1034"/>
      <c r="E303" s="1034"/>
      <c r="F303" s="1034"/>
      <c r="G303" s="1033"/>
      <c r="H303" s="1033"/>
      <c r="I303" s="1033"/>
      <c r="J303" s="1033"/>
      <c r="K303" s="1033"/>
      <c r="L303" s="90"/>
      <c r="M303" s="51"/>
      <c r="N303" s="113">
        <f t="shared" si="33"/>
        <v>5024</v>
      </c>
      <c r="O303" s="581"/>
      <c r="P303" s="582">
        <v>0</v>
      </c>
      <c r="Q303" s="589"/>
      <c r="R303" s="576"/>
      <c r="S303" s="583">
        <f t="shared" si="34"/>
        <v>0</v>
      </c>
      <c r="T303" s="584">
        <v>0</v>
      </c>
      <c r="U303" s="51"/>
      <c r="V303" s="2120">
        <f t="shared" si="35"/>
        <v>0</v>
      </c>
      <c r="W303" s="43"/>
      <c r="X303" s="43"/>
      <c r="Y303" s="43"/>
      <c r="Z303" s="43"/>
    </row>
    <row r="304" spans="1:26">
      <c r="A304" s="88">
        <v>5026</v>
      </c>
      <c r="B304" s="378" t="s">
        <v>994</v>
      </c>
      <c r="C304" s="1034"/>
      <c r="D304" s="1034"/>
      <c r="E304" s="1034"/>
      <c r="F304" s="1034"/>
      <c r="G304" s="1033"/>
      <c r="H304" s="1033"/>
      <c r="I304" s="1033"/>
      <c r="J304" s="1033"/>
      <c r="K304" s="1033"/>
      <c r="L304" s="90"/>
      <c r="M304" s="51"/>
      <c r="N304" s="113">
        <f t="shared" si="33"/>
        <v>5026</v>
      </c>
      <c r="O304" s="581"/>
      <c r="P304" s="582">
        <v>0</v>
      </c>
      <c r="Q304" s="589"/>
      <c r="R304" s="576"/>
      <c r="S304" s="583">
        <f t="shared" si="34"/>
        <v>0</v>
      </c>
      <c r="T304" s="584">
        <v>0</v>
      </c>
      <c r="U304" s="51"/>
      <c r="V304" s="2120">
        <f t="shared" si="35"/>
        <v>0</v>
      </c>
      <c r="W304" s="43"/>
      <c r="X304" s="43"/>
      <c r="Y304" s="43"/>
      <c r="Z304" s="43"/>
    </row>
    <row r="305" spans="1:26">
      <c r="A305" s="88">
        <v>5028</v>
      </c>
      <c r="B305" s="378" t="s">
        <v>995</v>
      </c>
      <c r="C305" s="1034"/>
      <c r="D305" s="1034"/>
      <c r="E305" s="1034"/>
      <c r="F305" s="1034"/>
      <c r="G305" s="1033"/>
      <c r="H305" s="1033"/>
      <c r="I305" s="1033"/>
      <c r="J305" s="1033"/>
      <c r="K305" s="1033"/>
      <c r="L305" s="90"/>
      <c r="M305" s="51"/>
      <c r="N305" s="113">
        <f t="shared" si="33"/>
        <v>5028</v>
      </c>
      <c r="O305" s="581"/>
      <c r="P305" s="582">
        <v>0</v>
      </c>
      <c r="Q305" s="589"/>
      <c r="R305" s="576"/>
      <c r="S305" s="583">
        <f t="shared" si="34"/>
        <v>0</v>
      </c>
      <c r="T305" s="584">
        <v>0</v>
      </c>
      <c r="U305" s="51"/>
      <c r="V305" s="2120">
        <f t="shared" si="35"/>
        <v>0</v>
      </c>
      <c r="W305" s="43"/>
      <c r="X305" s="43"/>
      <c r="Y305" s="43"/>
      <c r="Z305" s="43"/>
    </row>
    <row r="306" spans="1:26">
      <c r="A306" s="88">
        <v>5071</v>
      </c>
      <c r="B306" s="378" t="s">
        <v>996</v>
      </c>
      <c r="C306" s="1034"/>
      <c r="D306" s="1034"/>
      <c r="E306" s="1034"/>
      <c r="F306" s="1034"/>
      <c r="G306" s="1033"/>
      <c r="H306" s="1033"/>
      <c r="I306" s="1033"/>
      <c r="J306" s="1033"/>
      <c r="K306" s="1033"/>
      <c r="L306" s="574"/>
      <c r="M306" s="51"/>
      <c r="N306" s="113">
        <f t="shared" si="33"/>
        <v>5071</v>
      </c>
      <c r="O306" s="581"/>
      <c r="P306" s="582">
        <v>0</v>
      </c>
      <c r="Q306" s="589"/>
      <c r="R306" s="576"/>
      <c r="S306" s="583">
        <f t="shared" si="34"/>
        <v>0</v>
      </c>
      <c r="T306" s="584">
        <v>0</v>
      </c>
      <c r="U306" s="51"/>
      <c r="V306" s="2120">
        <f t="shared" si="35"/>
        <v>0</v>
      </c>
      <c r="W306" s="43"/>
      <c r="X306" s="43"/>
      <c r="Y306" s="43"/>
      <c r="Z306" s="43"/>
    </row>
    <row r="307" spans="1:26">
      <c r="A307" s="88">
        <v>5073</v>
      </c>
      <c r="B307" s="378" t="s">
        <v>997</v>
      </c>
      <c r="C307" s="1034"/>
      <c r="D307" s="1034"/>
      <c r="E307" s="1034"/>
      <c r="F307" s="1034"/>
      <c r="G307" s="1033"/>
      <c r="H307" s="1033"/>
      <c r="I307" s="1033"/>
      <c r="J307" s="1033"/>
      <c r="K307" s="1033"/>
      <c r="L307" s="574"/>
      <c r="M307" s="51"/>
      <c r="N307" s="113">
        <f t="shared" si="33"/>
        <v>5073</v>
      </c>
      <c r="O307" s="581"/>
      <c r="P307" s="582">
        <v>0</v>
      </c>
      <c r="Q307" s="589"/>
      <c r="R307" s="576"/>
      <c r="S307" s="583">
        <f t="shared" si="34"/>
        <v>0</v>
      </c>
      <c r="T307" s="584">
        <v>0</v>
      </c>
      <c r="U307" s="51"/>
      <c r="V307" s="2120">
        <f t="shared" si="35"/>
        <v>0</v>
      </c>
      <c r="W307" s="43"/>
      <c r="X307" s="43"/>
      <c r="Y307" s="43"/>
      <c r="Z307" s="43"/>
    </row>
    <row r="308" spans="1:26">
      <c r="A308" s="88">
        <v>5078</v>
      </c>
      <c r="B308" s="378" t="s">
        <v>998</v>
      </c>
      <c r="C308" s="1034"/>
      <c r="D308" s="1034"/>
      <c r="E308" s="1034"/>
      <c r="F308" s="1034"/>
      <c r="G308" s="1033"/>
      <c r="H308" s="1033"/>
      <c r="I308" s="1033"/>
      <c r="J308" s="1033"/>
      <c r="K308" s="1033"/>
      <c r="L308" s="574"/>
      <c r="M308" s="51"/>
      <c r="N308" s="113">
        <f t="shared" si="33"/>
        <v>5078</v>
      </c>
      <c r="O308" s="581"/>
      <c r="P308" s="582">
        <v>0</v>
      </c>
      <c r="Q308" s="589"/>
      <c r="R308" s="576"/>
      <c r="S308" s="583">
        <f t="shared" si="34"/>
        <v>0</v>
      </c>
      <c r="T308" s="584">
        <v>0</v>
      </c>
      <c r="U308" s="51"/>
      <c r="V308" s="2120">
        <f t="shared" si="35"/>
        <v>0</v>
      </c>
      <c r="W308" s="43"/>
      <c r="X308" s="43"/>
      <c r="Y308" s="43"/>
      <c r="Z308" s="43"/>
    </row>
    <row r="309" spans="1:26">
      <c r="A309" s="88">
        <v>5081</v>
      </c>
      <c r="B309" s="378" t="s">
        <v>999</v>
      </c>
      <c r="C309" s="1034"/>
      <c r="D309" s="1034"/>
      <c r="E309" s="1034"/>
      <c r="F309" s="1034"/>
      <c r="G309" s="1034"/>
      <c r="H309" s="1034"/>
      <c r="I309" s="1034"/>
      <c r="J309" s="1034"/>
      <c r="K309" s="1034"/>
      <c r="L309" s="574"/>
      <c r="M309" s="51"/>
      <c r="N309" s="113">
        <f t="shared" si="33"/>
        <v>5081</v>
      </c>
      <c r="O309" s="581"/>
      <c r="P309" s="582">
        <v>0</v>
      </c>
      <c r="Q309" s="589"/>
      <c r="R309" s="576"/>
      <c r="S309" s="583">
        <f t="shared" si="34"/>
        <v>0</v>
      </c>
      <c r="T309" s="584">
        <v>0</v>
      </c>
      <c r="U309" s="51"/>
      <c r="V309" s="2120">
        <f t="shared" si="35"/>
        <v>0</v>
      </c>
      <c r="W309" s="43"/>
      <c r="X309" s="43"/>
      <c r="Y309" s="43"/>
      <c r="Z309" s="43"/>
    </row>
    <row r="310" spans="1:26">
      <c r="A310" s="88">
        <v>5082</v>
      </c>
      <c r="B310" s="378" t="s">
        <v>1000</v>
      </c>
      <c r="C310" s="1034"/>
      <c r="D310" s="1034"/>
      <c r="E310" s="1034"/>
      <c r="F310" s="1034"/>
      <c r="G310" s="1034"/>
      <c r="H310" s="1034"/>
      <c r="I310" s="1034"/>
      <c r="J310" s="1034"/>
      <c r="K310" s="1034"/>
      <c r="L310" s="574"/>
      <c r="M310" s="51"/>
      <c r="N310" s="113">
        <f t="shared" si="33"/>
        <v>5082</v>
      </c>
      <c r="O310" s="581"/>
      <c r="P310" s="582">
        <v>0</v>
      </c>
      <c r="Q310" s="589"/>
      <c r="R310" s="576"/>
      <c r="S310" s="583">
        <f t="shared" si="34"/>
        <v>0</v>
      </c>
      <c r="T310" s="584">
        <v>0</v>
      </c>
      <c r="U310" s="51"/>
      <c r="V310" s="2120">
        <f t="shared" si="35"/>
        <v>0</v>
      </c>
      <c r="W310" s="43"/>
      <c r="X310" s="43"/>
      <c r="Y310" s="43"/>
      <c r="Z310" s="43"/>
    </row>
    <row r="311" spans="1:26">
      <c r="A311" s="88">
        <v>5091</v>
      </c>
      <c r="B311" s="378" t="s">
        <v>123</v>
      </c>
      <c r="C311" s="1034"/>
      <c r="D311" s="1034"/>
      <c r="E311" s="1034"/>
      <c r="F311" s="1034"/>
      <c r="G311" s="1033"/>
      <c r="H311" s="1033"/>
      <c r="I311" s="1033"/>
      <c r="J311" s="1033"/>
      <c r="K311" s="1033"/>
      <c r="L311" s="574"/>
      <c r="M311" s="51"/>
      <c r="N311" s="113">
        <f t="shared" si="33"/>
        <v>5091</v>
      </c>
      <c r="O311" s="581"/>
      <c r="P311" s="582">
        <v>0</v>
      </c>
      <c r="Q311" s="122"/>
      <c r="R311" s="576"/>
      <c r="S311" s="583">
        <f t="shared" si="34"/>
        <v>0</v>
      </c>
      <c r="T311" s="584">
        <v>0</v>
      </c>
      <c r="U311" s="51"/>
      <c r="V311" s="2120">
        <f t="shared" si="35"/>
        <v>0</v>
      </c>
      <c r="W311" s="43"/>
      <c r="X311" s="43"/>
      <c r="Y311" s="43"/>
      <c r="Z311" s="43"/>
    </row>
    <row r="312" spans="1:26">
      <c r="A312" s="88">
        <v>5092</v>
      </c>
      <c r="B312" s="378" t="s">
        <v>124</v>
      </c>
      <c r="C312" s="1034"/>
      <c r="D312" s="1034"/>
      <c r="E312" s="1034"/>
      <c r="F312" s="1034"/>
      <c r="G312" s="1033"/>
      <c r="H312" s="1033"/>
      <c r="I312" s="1033"/>
      <c r="J312" s="1033"/>
      <c r="K312" s="1033"/>
      <c r="L312" s="574"/>
      <c r="M312" s="51"/>
      <c r="N312" s="113">
        <f t="shared" si="33"/>
        <v>5092</v>
      </c>
      <c r="O312" s="581"/>
      <c r="P312" s="582">
        <v>0</v>
      </c>
      <c r="Q312" s="122"/>
      <c r="R312" s="576"/>
      <c r="S312" s="583">
        <f t="shared" si="34"/>
        <v>0</v>
      </c>
      <c r="T312" s="584">
        <v>0</v>
      </c>
      <c r="U312" s="51"/>
      <c r="V312" s="2120">
        <f t="shared" si="35"/>
        <v>0</v>
      </c>
      <c r="W312" s="43"/>
      <c r="X312" s="43"/>
      <c r="Y312" s="43"/>
      <c r="Z312" s="43"/>
    </row>
    <row r="313" spans="1:26">
      <c r="A313" s="88">
        <v>5111</v>
      </c>
      <c r="B313" s="1032" t="s">
        <v>125</v>
      </c>
      <c r="C313" s="1034"/>
      <c r="D313" s="1034"/>
      <c r="E313" s="1034"/>
      <c r="F313" s="1034"/>
      <c r="G313" s="1033"/>
      <c r="H313" s="1033"/>
      <c r="I313" s="1033"/>
      <c r="J313" s="1033"/>
      <c r="K313" s="1033"/>
      <c r="L313" s="574"/>
      <c r="M313" s="51"/>
      <c r="N313" s="113">
        <f t="shared" si="33"/>
        <v>5111</v>
      </c>
      <c r="O313" s="581"/>
      <c r="P313" s="582">
        <v>0</v>
      </c>
      <c r="Q313" s="122"/>
      <c r="R313" s="576"/>
      <c r="S313" s="583">
        <f t="shared" si="34"/>
        <v>0</v>
      </c>
      <c r="T313" s="584">
        <v>0</v>
      </c>
      <c r="U313" s="51"/>
      <c r="V313" s="2120">
        <f t="shared" si="35"/>
        <v>0</v>
      </c>
      <c r="W313" s="43"/>
      <c r="X313" s="43"/>
      <c r="Y313" s="43"/>
      <c r="Z313" s="43"/>
    </row>
    <row r="314" spans="1:26">
      <c r="A314" s="88">
        <v>5112</v>
      </c>
      <c r="B314" s="1032" t="s">
        <v>1178</v>
      </c>
      <c r="C314" s="1034"/>
      <c r="D314" s="1034"/>
      <c r="E314" s="1034"/>
      <c r="F314" s="1034"/>
      <c r="G314" s="1033"/>
      <c r="H314" s="1033"/>
      <c r="I314" s="1033"/>
      <c r="J314" s="1033"/>
      <c r="K314" s="1033"/>
      <c r="L314" s="574"/>
      <c r="M314" s="51"/>
      <c r="N314" s="113">
        <f t="shared" si="33"/>
        <v>5112</v>
      </c>
      <c r="O314" s="581">
        <v>0</v>
      </c>
      <c r="P314" s="582">
        <v>0</v>
      </c>
      <c r="Q314" s="122">
        <v>0</v>
      </c>
      <c r="R314" s="576">
        <v>0</v>
      </c>
      <c r="S314" s="583">
        <f t="shared" si="34"/>
        <v>0</v>
      </c>
      <c r="T314" s="584">
        <v>0</v>
      </c>
      <c r="U314" s="51"/>
      <c r="V314" s="2120">
        <f t="shared" si="35"/>
        <v>0</v>
      </c>
      <c r="W314" s="43"/>
      <c r="X314" s="43"/>
      <c r="Y314" s="43"/>
      <c r="Z314" s="43"/>
    </row>
    <row r="315" spans="1:26">
      <c r="A315" s="88">
        <v>5113</v>
      </c>
      <c r="B315" s="1032" t="s">
        <v>126</v>
      </c>
      <c r="C315" s="1034"/>
      <c r="D315" s="1034"/>
      <c r="E315" s="1034"/>
      <c r="F315" s="1034"/>
      <c r="G315" s="1033"/>
      <c r="H315" s="1033"/>
      <c r="I315" s="1033"/>
      <c r="J315" s="1033"/>
      <c r="K315" s="1033"/>
      <c r="L315" s="574"/>
      <c r="M315" s="51"/>
      <c r="N315" s="113">
        <f t="shared" si="33"/>
        <v>5113</v>
      </c>
      <c r="O315" s="581"/>
      <c r="P315" s="582">
        <v>0</v>
      </c>
      <c r="Q315" s="122"/>
      <c r="R315" s="576"/>
      <c r="S315" s="583">
        <f t="shared" si="34"/>
        <v>0</v>
      </c>
      <c r="T315" s="584">
        <v>0</v>
      </c>
      <c r="U315" s="51"/>
      <c r="V315" s="2120">
        <f t="shared" si="35"/>
        <v>0</v>
      </c>
      <c r="W315" s="43"/>
      <c r="X315" s="43"/>
      <c r="Y315" s="43"/>
      <c r="Z315" s="43"/>
    </row>
    <row r="316" spans="1:26">
      <c r="A316" s="88">
        <v>5114</v>
      </c>
      <c r="B316" s="1032" t="s">
        <v>127</v>
      </c>
      <c r="C316" s="1034"/>
      <c r="D316" s="1034"/>
      <c r="E316" s="1034"/>
      <c r="F316" s="1034"/>
      <c r="G316" s="1033"/>
      <c r="H316" s="1033"/>
      <c r="I316" s="1033"/>
      <c r="J316" s="1033"/>
      <c r="K316" s="1033"/>
      <c r="L316" s="574"/>
      <c r="M316" s="51"/>
      <c r="N316" s="113">
        <f t="shared" si="33"/>
        <v>5114</v>
      </c>
      <c r="O316" s="581"/>
      <c r="P316" s="582">
        <v>0</v>
      </c>
      <c r="Q316" s="122"/>
      <c r="R316" s="576"/>
      <c r="S316" s="583">
        <f t="shared" si="34"/>
        <v>0</v>
      </c>
      <c r="T316" s="584">
        <v>0</v>
      </c>
      <c r="U316" s="51"/>
      <c r="V316" s="2120">
        <f t="shared" si="35"/>
        <v>0</v>
      </c>
      <c r="W316" s="43"/>
      <c r="X316" s="43"/>
      <c r="Y316" s="43"/>
      <c r="Z316" s="43"/>
    </row>
    <row r="317" spans="1:26">
      <c r="A317" s="88">
        <v>5121</v>
      </c>
      <c r="B317" s="1032" t="s">
        <v>128</v>
      </c>
      <c r="C317" s="1034"/>
      <c r="D317" s="1034"/>
      <c r="E317" s="1034"/>
      <c r="F317" s="1034"/>
      <c r="G317" s="1033"/>
      <c r="H317" s="1033"/>
      <c r="I317" s="1033"/>
      <c r="J317" s="1033"/>
      <c r="K317" s="1033"/>
      <c r="L317" s="574"/>
      <c r="M317" s="51"/>
      <c r="N317" s="113">
        <f t="shared" si="33"/>
        <v>5121</v>
      </c>
      <c r="O317" s="581"/>
      <c r="P317" s="582">
        <v>0</v>
      </c>
      <c r="Q317" s="122"/>
      <c r="R317" s="576"/>
      <c r="S317" s="583">
        <f t="shared" si="34"/>
        <v>0</v>
      </c>
      <c r="T317" s="584">
        <v>0</v>
      </c>
      <c r="U317" s="51"/>
      <c r="V317" s="2120">
        <f t="shared" si="35"/>
        <v>0</v>
      </c>
      <c r="W317" s="43"/>
      <c r="X317" s="43"/>
      <c r="Y317" s="43"/>
      <c r="Z317" s="43"/>
    </row>
    <row r="318" spans="1:26">
      <c r="A318" s="88">
        <v>5122</v>
      </c>
      <c r="B318" s="1032" t="s">
        <v>1163</v>
      </c>
      <c r="C318" s="1034"/>
      <c r="D318" s="1034"/>
      <c r="E318" s="1034"/>
      <c r="F318" s="1034"/>
      <c r="G318" s="1033"/>
      <c r="H318" s="1033"/>
      <c r="I318" s="1033"/>
      <c r="J318" s="1033"/>
      <c r="K318" s="1033"/>
      <c r="L318" s="574"/>
      <c r="M318" s="51"/>
      <c r="N318" s="113">
        <f t="shared" ref="N318:N344" si="36">+A318</f>
        <v>5122</v>
      </c>
      <c r="O318" s="581"/>
      <c r="P318" s="582">
        <v>0</v>
      </c>
      <c r="Q318" s="122"/>
      <c r="R318" s="576"/>
      <c r="S318" s="583">
        <f t="shared" si="34"/>
        <v>0</v>
      </c>
      <c r="T318" s="584">
        <v>0</v>
      </c>
      <c r="U318" s="51"/>
      <c r="V318" s="2120">
        <f t="shared" si="35"/>
        <v>0</v>
      </c>
      <c r="W318" s="43"/>
      <c r="X318" s="43"/>
      <c r="Y318" s="43"/>
      <c r="Z318" s="43"/>
    </row>
    <row r="319" spans="1:26">
      <c r="A319" s="88">
        <v>5123</v>
      </c>
      <c r="B319" s="1032" t="s">
        <v>129</v>
      </c>
      <c r="C319" s="1034"/>
      <c r="D319" s="1034"/>
      <c r="E319" s="1034"/>
      <c r="F319" s="1034"/>
      <c r="G319" s="1033"/>
      <c r="H319" s="1033"/>
      <c r="I319" s="1033"/>
      <c r="J319" s="1033"/>
      <c r="K319" s="1033"/>
      <c r="L319" s="574"/>
      <c r="M319" s="51"/>
      <c r="N319" s="113">
        <f t="shared" si="36"/>
        <v>5123</v>
      </c>
      <c r="O319" s="581"/>
      <c r="P319" s="582">
        <v>0</v>
      </c>
      <c r="Q319" s="122"/>
      <c r="R319" s="576"/>
      <c r="S319" s="583">
        <f t="shared" si="34"/>
        <v>0</v>
      </c>
      <c r="T319" s="584">
        <v>0</v>
      </c>
      <c r="U319" s="51"/>
      <c r="V319" s="2120">
        <f t="shared" si="35"/>
        <v>0</v>
      </c>
      <c r="W319" s="43"/>
      <c r="X319" s="43"/>
      <c r="Y319" s="43"/>
      <c r="Z319" s="43"/>
    </row>
    <row r="320" spans="1:26">
      <c r="A320" s="88">
        <v>5124</v>
      </c>
      <c r="B320" s="1032" t="s">
        <v>1164</v>
      </c>
      <c r="C320" s="1034"/>
      <c r="D320" s="1034"/>
      <c r="E320" s="1034"/>
      <c r="F320" s="1034"/>
      <c r="G320" s="1033"/>
      <c r="H320" s="1033"/>
      <c r="I320" s="1033"/>
      <c r="J320" s="1033"/>
      <c r="K320" s="1033"/>
      <c r="L320" s="574"/>
      <c r="M320" s="51"/>
      <c r="N320" s="113">
        <f t="shared" si="36"/>
        <v>5124</v>
      </c>
      <c r="O320" s="581"/>
      <c r="P320" s="582">
        <v>0</v>
      </c>
      <c r="Q320" s="122"/>
      <c r="R320" s="576"/>
      <c r="S320" s="583">
        <f t="shared" si="34"/>
        <v>0</v>
      </c>
      <c r="T320" s="584">
        <v>0</v>
      </c>
      <c r="U320" s="51"/>
      <c r="V320" s="2120">
        <f t="shared" si="35"/>
        <v>0</v>
      </c>
      <c r="W320" s="43"/>
      <c r="X320" s="43"/>
      <c r="Y320" s="43"/>
      <c r="Z320" s="43"/>
    </row>
    <row r="321" spans="1:26">
      <c r="A321" s="88">
        <v>5131</v>
      </c>
      <c r="B321" s="378" t="s">
        <v>130</v>
      </c>
      <c r="C321" s="1034"/>
      <c r="D321" s="1034"/>
      <c r="E321" s="1034"/>
      <c r="F321" s="1034"/>
      <c r="G321" s="1033"/>
      <c r="H321" s="1033"/>
      <c r="I321" s="1033"/>
      <c r="J321" s="1033"/>
      <c r="K321" s="1033"/>
      <c r="L321" s="574"/>
      <c r="M321" s="51"/>
      <c r="N321" s="113">
        <f t="shared" si="36"/>
        <v>5131</v>
      </c>
      <c r="O321" s="581"/>
      <c r="P321" s="582">
        <v>0</v>
      </c>
      <c r="Q321" s="122"/>
      <c r="R321" s="576"/>
      <c r="S321" s="583">
        <f t="shared" si="34"/>
        <v>0</v>
      </c>
      <c r="T321" s="584">
        <v>0</v>
      </c>
      <c r="U321" s="51"/>
      <c r="V321" s="2120">
        <f t="shared" si="35"/>
        <v>0</v>
      </c>
      <c r="W321" s="43"/>
      <c r="X321" s="43"/>
      <c r="Y321" s="43"/>
      <c r="Z321" s="43"/>
    </row>
    <row r="322" spans="1:26">
      <c r="A322" s="88">
        <v>5139</v>
      </c>
      <c r="B322" s="378" t="s">
        <v>135</v>
      </c>
      <c r="C322" s="1034"/>
      <c r="D322" s="1034"/>
      <c r="E322" s="1034"/>
      <c r="F322" s="1034"/>
      <c r="G322" s="1033"/>
      <c r="H322" s="1033"/>
      <c r="I322" s="1033"/>
      <c r="J322" s="1033"/>
      <c r="K322" s="1033"/>
      <c r="L322" s="574"/>
      <c r="M322" s="51"/>
      <c r="N322" s="113">
        <f t="shared" si="36"/>
        <v>5139</v>
      </c>
      <c r="O322" s="581"/>
      <c r="P322" s="576"/>
      <c r="Q322" s="122"/>
      <c r="R322" s="121"/>
      <c r="S322" s="583">
        <f t="shared" si="34"/>
        <v>0</v>
      </c>
      <c r="T322" s="580">
        <f>+IF(ABS(+O322+Q322)&lt;=ABS(P322+R322),-O322+P322-Q322+R322,0)</f>
        <v>0</v>
      </c>
      <c r="U322" s="51"/>
      <c r="V322" s="2119"/>
      <c r="W322" s="43"/>
      <c r="X322" s="43"/>
      <c r="Y322" s="43"/>
      <c r="Z322" s="43"/>
    </row>
    <row r="323" spans="1:26">
      <c r="A323" s="88">
        <v>5141</v>
      </c>
      <c r="B323" s="378" t="s">
        <v>131</v>
      </c>
      <c r="C323" s="1034"/>
      <c r="D323" s="1034"/>
      <c r="E323" s="1034"/>
      <c r="F323" s="1034"/>
      <c r="G323" s="1033"/>
      <c r="H323" s="1033"/>
      <c r="I323" s="1033"/>
      <c r="J323" s="1033"/>
      <c r="K323" s="1033"/>
      <c r="L323" s="574"/>
      <c r="M323" s="51"/>
      <c r="N323" s="113">
        <f t="shared" si="36"/>
        <v>5141</v>
      </c>
      <c r="O323" s="581"/>
      <c r="P323" s="582">
        <v>0</v>
      </c>
      <c r="Q323" s="122"/>
      <c r="R323" s="576"/>
      <c r="S323" s="583">
        <f t="shared" si="34"/>
        <v>0</v>
      </c>
      <c r="T323" s="584">
        <v>0</v>
      </c>
      <c r="U323" s="51"/>
      <c r="V323" s="2120">
        <f>+IF(OR(ROUND(P323,2)+ROUND(R323,2)&gt;+ROUND(O323,2)+ROUND(Q323,2),+ABS(ROUND(P323,2)+ROUND(R323,2))&gt;+ABS(ROUND(O323,2)+ROUND(Q323,2))),+(ROUND(P323,2)+ROUND(R323,2))-(ROUND(O323,2)+ROUND(Q323,2)),0)</f>
        <v>0</v>
      </c>
      <c r="W323" s="43"/>
      <c r="X323" s="43"/>
      <c r="Y323" s="43"/>
      <c r="Z323" s="43"/>
    </row>
    <row r="324" spans="1:26">
      <c r="A324" s="88">
        <v>5142</v>
      </c>
      <c r="B324" s="378" t="s">
        <v>132</v>
      </c>
      <c r="C324" s="1034"/>
      <c r="D324" s="1034"/>
      <c r="E324" s="1034"/>
      <c r="F324" s="1034"/>
      <c r="G324" s="1033"/>
      <c r="H324" s="1033"/>
      <c r="I324" s="1033"/>
      <c r="J324" s="1033"/>
      <c r="K324" s="1033"/>
      <c r="L324" s="574"/>
      <c r="M324" s="51"/>
      <c r="N324" s="113">
        <f t="shared" si="36"/>
        <v>5142</v>
      </c>
      <c r="O324" s="581"/>
      <c r="P324" s="582">
        <v>0</v>
      </c>
      <c r="Q324" s="122"/>
      <c r="R324" s="576"/>
      <c r="S324" s="583">
        <f t="shared" si="34"/>
        <v>0</v>
      </c>
      <c r="T324" s="584">
        <v>0</v>
      </c>
      <c r="U324" s="51"/>
      <c r="V324" s="2120">
        <f>+IF(OR(ROUND(P324,2)+ROUND(R324,2)&gt;+ROUND(O324,2)+ROUND(Q324,2),+ABS(ROUND(P324,2)+ROUND(R324,2))&gt;+ABS(ROUND(O324,2)+ROUND(Q324,2))),+(ROUND(P324,2)+ROUND(R324,2))-(ROUND(O324,2)+ROUND(Q324,2)),0)</f>
        <v>0</v>
      </c>
      <c r="W324" s="43"/>
      <c r="X324" s="43"/>
      <c r="Y324" s="43"/>
      <c r="Z324" s="43"/>
    </row>
    <row r="325" spans="1:26">
      <c r="A325" s="88">
        <v>5143</v>
      </c>
      <c r="B325" s="378" t="s">
        <v>133</v>
      </c>
      <c r="C325" s="1033"/>
      <c r="D325" s="1033"/>
      <c r="E325" s="1033"/>
      <c r="F325" s="1033"/>
      <c r="G325" s="1033"/>
      <c r="H325" s="1033"/>
      <c r="I325" s="1033"/>
      <c r="J325" s="1033"/>
      <c r="K325" s="1033"/>
      <c r="L325" s="574"/>
      <c r="M325" s="51"/>
      <c r="N325" s="113">
        <f t="shared" si="36"/>
        <v>5143</v>
      </c>
      <c r="O325" s="581"/>
      <c r="P325" s="582">
        <v>0</v>
      </c>
      <c r="Q325" s="122"/>
      <c r="R325" s="576"/>
      <c r="S325" s="583">
        <f t="shared" si="34"/>
        <v>0</v>
      </c>
      <c r="T325" s="584">
        <v>0</v>
      </c>
      <c r="U325" s="51"/>
      <c r="V325" s="2120">
        <f>+IF(OR(ROUND(P325,2)+ROUND(R325,2)&gt;+ROUND(O325,2)+ROUND(Q325,2),+ABS(ROUND(P325,2)+ROUND(R325,2))&gt;+ABS(ROUND(O325,2)+ROUND(Q325,2))),+(ROUND(P325,2)+ROUND(R325,2))-(ROUND(O325,2)+ROUND(Q325,2)),0)</f>
        <v>0</v>
      </c>
      <c r="W325" s="43"/>
      <c r="X325" s="43"/>
      <c r="Y325" s="43"/>
      <c r="Z325" s="43"/>
    </row>
    <row r="326" spans="1:26">
      <c r="A326" s="88">
        <v>5144</v>
      </c>
      <c r="B326" s="378" t="s">
        <v>134</v>
      </c>
      <c r="C326" s="1033"/>
      <c r="D326" s="1033"/>
      <c r="E326" s="1033"/>
      <c r="F326" s="1033"/>
      <c r="G326" s="1033"/>
      <c r="H326" s="1033"/>
      <c r="I326" s="1033"/>
      <c r="J326" s="1033"/>
      <c r="K326" s="1033"/>
      <c r="L326" s="574"/>
      <c r="M326" s="51"/>
      <c r="N326" s="113">
        <f t="shared" si="36"/>
        <v>5144</v>
      </c>
      <c r="O326" s="581"/>
      <c r="P326" s="582">
        <v>0</v>
      </c>
      <c r="Q326" s="122"/>
      <c r="R326" s="576"/>
      <c r="S326" s="583">
        <f t="shared" si="34"/>
        <v>0</v>
      </c>
      <c r="T326" s="584">
        <v>0</v>
      </c>
      <c r="U326" s="51"/>
      <c r="V326" s="2120">
        <f>+IF(OR(ROUND(P326,2)+ROUND(R326,2)&gt;+ROUND(O326,2)+ROUND(Q326,2),+ABS(ROUND(P326,2)+ROUND(R326,2))&gt;+ABS(ROUND(O326,2)+ROUND(Q326,2))),+(ROUND(P326,2)+ROUND(R326,2))-(ROUND(O326,2)+ROUND(Q326,2)),0)</f>
        <v>0</v>
      </c>
      <c r="W326" s="43"/>
      <c r="X326" s="43"/>
      <c r="Y326" s="43"/>
      <c r="Z326" s="43"/>
    </row>
    <row r="327" spans="1:26">
      <c r="A327" s="88">
        <v>5145</v>
      </c>
      <c r="B327" s="378" t="s">
        <v>136</v>
      </c>
      <c r="C327" s="1033"/>
      <c r="D327" s="1033"/>
      <c r="E327" s="1033"/>
      <c r="F327" s="1033"/>
      <c r="G327" s="1033"/>
      <c r="H327" s="1033"/>
      <c r="I327" s="1033"/>
      <c r="J327" s="1033"/>
      <c r="K327" s="1033"/>
      <c r="L327" s="574"/>
      <c r="M327" s="51"/>
      <c r="N327" s="113">
        <f t="shared" si="36"/>
        <v>5145</v>
      </c>
      <c r="O327" s="581"/>
      <c r="P327" s="576"/>
      <c r="Q327" s="122"/>
      <c r="R327" s="121"/>
      <c r="S327" s="583">
        <f t="shared" si="34"/>
        <v>0</v>
      </c>
      <c r="T327" s="580">
        <f>+IF(ABS(+O327+Q327)&lt;=ABS(P327+R327),-O327+P327-Q327+R327,0)</f>
        <v>0</v>
      </c>
      <c r="U327" s="51"/>
      <c r="V327" s="2119"/>
      <c r="W327" s="43"/>
      <c r="X327" s="43"/>
      <c r="Y327" s="43"/>
      <c r="Z327" s="43"/>
    </row>
    <row r="328" spans="1:26">
      <c r="A328" s="88">
        <v>5146</v>
      </c>
      <c r="B328" s="378" t="s">
        <v>137</v>
      </c>
      <c r="C328" s="1033"/>
      <c r="D328" s="1033"/>
      <c r="E328" s="1033"/>
      <c r="F328" s="1033"/>
      <c r="G328" s="1033"/>
      <c r="H328" s="1033"/>
      <c r="I328" s="1033"/>
      <c r="J328" s="1033"/>
      <c r="K328" s="1033"/>
      <c r="L328" s="574"/>
      <c r="M328" s="51"/>
      <c r="N328" s="113">
        <f t="shared" si="36"/>
        <v>5146</v>
      </c>
      <c r="O328" s="581"/>
      <c r="P328" s="576"/>
      <c r="Q328" s="589"/>
      <c r="R328" s="576"/>
      <c r="S328" s="583">
        <f t="shared" si="34"/>
        <v>0</v>
      </c>
      <c r="T328" s="580">
        <f>+IF(ABS(+O328+Q328)&lt;=ABS(P328+R328),-O328+P328-Q328+R328,0)</f>
        <v>0</v>
      </c>
      <c r="U328" s="51"/>
      <c r="V328" s="2119"/>
      <c r="W328" s="43"/>
      <c r="X328" s="43"/>
      <c r="Y328" s="43"/>
      <c r="Z328" s="43"/>
    </row>
    <row r="329" spans="1:26">
      <c r="A329" s="88">
        <v>5147</v>
      </c>
      <c r="B329" s="378" t="s">
        <v>138</v>
      </c>
      <c r="C329" s="1033"/>
      <c r="D329" s="1033"/>
      <c r="E329" s="1033"/>
      <c r="F329" s="1033"/>
      <c r="G329" s="1033"/>
      <c r="H329" s="1033"/>
      <c r="I329" s="1033"/>
      <c r="J329" s="1033"/>
      <c r="K329" s="1033"/>
      <c r="L329" s="574"/>
      <c r="M329" s="51"/>
      <c r="N329" s="113">
        <f t="shared" si="36"/>
        <v>5147</v>
      </c>
      <c r="O329" s="581"/>
      <c r="P329" s="576"/>
      <c r="Q329" s="589"/>
      <c r="R329" s="576"/>
      <c r="S329" s="583">
        <f t="shared" si="34"/>
        <v>0</v>
      </c>
      <c r="T329" s="580">
        <f>+IF(ABS(+O329+Q329)&lt;=ABS(P329+R329),-O329+P329-Q329+R329,0)</f>
        <v>0</v>
      </c>
      <c r="U329" s="51"/>
      <c r="V329" s="2119"/>
      <c r="W329" s="43"/>
      <c r="X329" s="43"/>
      <c r="Y329" s="43"/>
      <c r="Z329" s="43"/>
    </row>
    <row r="330" spans="1:26">
      <c r="A330" s="88">
        <v>5148</v>
      </c>
      <c r="B330" s="378" t="s">
        <v>139</v>
      </c>
      <c r="C330" s="1033"/>
      <c r="D330" s="1033"/>
      <c r="E330" s="1033"/>
      <c r="F330" s="1033"/>
      <c r="G330" s="1033"/>
      <c r="H330" s="1033"/>
      <c r="I330" s="1033"/>
      <c r="J330" s="1033"/>
      <c r="K330" s="1033"/>
      <c r="L330" s="574"/>
      <c r="M330" s="51"/>
      <c r="N330" s="113">
        <f t="shared" si="36"/>
        <v>5148</v>
      </c>
      <c r="O330" s="581"/>
      <c r="P330" s="576"/>
      <c r="Q330" s="589"/>
      <c r="R330" s="576"/>
      <c r="S330" s="583">
        <f t="shared" si="34"/>
        <v>0</v>
      </c>
      <c r="T330" s="580">
        <f>+IF(ABS(+O330+Q330)&lt;=ABS(P330+R330),-O330+P330-Q330+R330,0)</f>
        <v>0</v>
      </c>
      <c r="U330" s="51"/>
      <c r="V330" s="2119"/>
      <c r="W330" s="43"/>
      <c r="X330" s="43"/>
      <c r="Y330" s="43"/>
      <c r="Z330" s="43"/>
    </row>
    <row r="331" spans="1:26">
      <c r="A331" s="88">
        <v>5181</v>
      </c>
      <c r="B331" s="378" t="s">
        <v>140</v>
      </c>
      <c r="C331" s="1033"/>
      <c r="D331" s="1033"/>
      <c r="E331" s="1033"/>
      <c r="F331" s="1033"/>
      <c r="G331" s="1033"/>
      <c r="H331" s="1033"/>
      <c r="I331" s="1033"/>
      <c r="J331" s="1033"/>
      <c r="K331" s="1033"/>
      <c r="L331" s="574"/>
      <c r="M331" s="51"/>
      <c r="N331" s="113">
        <f t="shared" si="36"/>
        <v>5181</v>
      </c>
      <c r="O331" s="581"/>
      <c r="P331" s="582">
        <v>0</v>
      </c>
      <c r="Q331" s="589"/>
      <c r="R331" s="576"/>
      <c r="S331" s="583">
        <f t="shared" si="34"/>
        <v>0</v>
      </c>
      <c r="T331" s="584">
        <v>0</v>
      </c>
      <c r="U331" s="51"/>
      <c r="V331" s="2120">
        <f t="shared" ref="V331:V336" si="37">+IF(OR(ROUND(P331,2)+ROUND(R331,2)&gt;+ROUND(O331,2)+ROUND(Q331,2),+ABS(ROUND(P331,2)+ROUND(R331,2))&gt;+ABS(ROUND(O331,2)+ROUND(Q331,2))),+(ROUND(P331,2)+ROUND(R331,2))-(ROUND(O331,2)+ROUND(Q331,2)),0)</f>
        <v>0</v>
      </c>
      <c r="W331" s="43"/>
      <c r="X331" s="43"/>
      <c r="Y331" s="43"/>
      <c r="Z331" s="43"/>
    </row>
    <row r="332" spans="1:26">
      <c r="A332" s="88">
        <v>5184</v>
      </c>
      <c r="B332" s="378" t="s">
        <v>141</v>
      </c>
      <c r="C332" s="1033"/>
      <c r="D332" s="1033"/>
      <c r="E332" s="1033"/>
      <c r="F332" s="1033"/>
      <c r="G332" s="1033"/>
      <c r="H332" s="1033"/>
      <c r="I332" s="1033"/>
      <c r="J332" s="1033"/>
      <c r="K332" s="1033"/>
      <c r="L332" s="574"/>
      <c r="M332" s="51"/>
      <c r="N332" s="113">
        <f t="shared" si="36"/>
        <v>5184</v>
      </c>
      <c r="O332" s="581"/>
      <c r="P332" s="582">
        <v>0</v>
      </c>
      <c r="Q332" s="589"/>
      <c r="R332" s="576"/>
      <c r="S332" s="583">
        <f t="shared" si="34"/>
        <v>0</v>
      </c>
      <c r="T332" s="584">
        <v>0</v>
      </c>
      <c r="U332" s="51"/>
      <c r="V332" s="2120">
        <f t="shared" si="37"/>
        <v>0</v>
      </c>
      <c r="W332" s="43"/>
      <c r="X332" s="43"/>
      <c r="Y332" s="43"/>
      <c r="Z332" s="43"/>
    </row>
    <row r="333" spans="1:26">
      <c r="A333" s="88">
        <v>5186</v>
      </c>
      <c r="B333" s="378" t="s">
        <v>773</v>
      </c>
      <c r="C333" s="1033"/>
      <c r="D333" s="1033"/>
      <c r="E333" s="1033"/>
      <c r="F333" s="1033"/>
      <c r="G333" s="1033"/>
      <c r="H333" s="1033"/>
      <c r="I333" s="1033"/>
      <c r="J333" s="1033"/>
      <c r="K333" s="1033"/>
      <c r="L333" s="574"/>
      <c r="M333" s="51"/>
      <c r="N333" s="113">
        <f t="shared" si="36"/>
        <v>5186</v>
      </c>
      <c r="O333" s="581"/>
      <c r="P333" s="582">
        <v>0</v>
      </c>
      <c r="Q333" s="589"/>
      <c r="R333" s="576"/>
      <c r="S333" s="583">
        <f t="shared" si="34"/>
        <v>0</v>
      </c>
      <c r="T333" s="584">
        <v>0</v>
      </c>
      <c r="U333" s="51"/>
      <c r="V333" s="2120">
        <f t="shared" si="37"/>
        <v>0</v>
      </c>
      <c r="W333" s="43"/>
      <c r="X333" s="43"/>
      <c r="Y333" s="43"/>
      <c r="Z333" s="43"/>
    </row>
    <row r="334" spans="1:26">
      <c r="A334" s="88">
        <v>5188</v>
      </c>
      <c r="B334" s="378" t="s">
        <v>774</v>
      </c>
      <c r="C334" s="1033"/>
      <c r="D334" s="1033"/>
      <c r="E334" s="1033"/>
      <c r="F334" s="1033"/>
      <c r="G334" s="1033"/>
      <c r="H334" s="1033"/>
      <c r="I334" s="1033"/>
      <c r="J334" s="1033"/>
      <c r="K334" s="1033"/>
      <c r="L334" s="574"/>
      <c r="M334" s="51"/>
      <c r="N334" s="113">
        <f t="shared" si="36"/>
        <v>5188</v>
      </c>
      <c r="O334" s="581"/>
      <c r="P334" s="582">
        <v>0</v>
      </c>
      <c r="Q334" s="589"/>
      <c r="R334" s="576"/>
      <c r="S334" s="583">
        <f t="shared" si="34"/>
        <v>0</v>
      </c>
      <c r="T334" s="584">
        <v>0</v>
      </c>
      <c r="U334" s="51"/>
      <c r="V334" s="2120">
        <f t="shared" si="37"/>
        <v>0</v>
      </c>
      <c r="W334" s="43"/>
      <c r="X334" s="43"/>
      <c r="Y334" s="43"/>
      <c r="Z334" s="43"/>
    </row>
    <row r="335" spans="1:26">
      <c r="A335" s="88">
        <v>5189</v>
      </c>
      <c r="B335" s="378" t="s">
        <v>775</v>
      </c>
      <c r="C335" s="1033"/>
      <c r="D335" s="1033"/>
      <c r="E335" s="1033"/>
      <c r="F335" s="1033"/>
      <c r="G335" s="1033"/>
      <c r="H335" s="1033"/>
      <c r="I335" s="1033"/>
      <c r="J335" s="1033"/>
      <c r="K335" s="1033"/>
      <c r="L335" s="574"/>
      <c r="M335" s="51"/>
      <c r="N335" s="113">
        <f t="shared" si="36"/>
        <v>5189</v>
      </c>
      <c r="O335" s="581"/>
      <c r="P335" s="582">
        <v>0</v>
      </c>
      <c r="Q335" s="589"/>
      <c r="R335" s="576"/>
      <c r="S335" s="583">
        <f t="shared" si="34"/>
        <v>0</v>
      </c>
      <c r="T335" s="584">
        <v>0</v>
      </c>
      <c r="U335" s="51"/>
      <c r="V335" s="2120">
        <f t="shared" si="37"/>
        <v>0</v>
      </c>
      <c r="W335" s="43"/>
      <c r="X335" s="43"/>
      <c r="Y335" s="43"/>
      <c r="Z335" s="43"/>
    </row>
    <row r="336" spans="1:26">
      <c r="A336" s="88">
        <v>5191</v>
      </c>
      <c r="B336" s="1032" t="s">
        <v>1165</v>
      </c>
      <c r="C336" s="1033"/>
      <c r="D336" s="1033"/>
      <c r="E336" s="1033"/>
      <c r="F336" s="1033"/>
      <c r="G336" s="1033"/>
      <c r="H336" s="1033"/>
      <c r="I336" s="1033"/>
      <c r="J336" s="1033"/>
      <c r="K336" s="1033"/>
      <c r="L336" s="574"/>
      <c r="M336" s="51"/>
      <c r="N336" s="113">
        <f t="shared" si="36"/>
        <v>5191</v>
      </c>
      <c r="O336" s="581"/>
      <c r="P336" s="582">
        <v>0</v>
      </c>
      <c r="Q336" s="325"/>
      <c r="R336" s="576"/>
      <c r="S336" s="583">
        <f t="shared" si="34"/>
        <v>0</v>
      </c>
      <c r="T336" s="584">
        <v>0</v>
      </c>
      <c r="U336" s="51"/>
      <c r="V336" s="2120">
        <f t="shared" si="37"/>
        <v>0</v>
      </c>
      <c r="W336" s="43"/>
      <c r="X336" s="43"/>
      <c r="Y336" s="43"/>
      <c r="Z336" s="43"/>
    </row>
    <row r="337" spans="1:26">
      <c r="A337" s="88">
        <v>5192</v>
      </c>
      <c r="B337" s="1032" t="s">
        <v>1166</v>
      </c>
      <c r="C337" s="1033"/>
      <c r="D337" s="1033"/>
      <c r="E337" s="1033"/>
      <c r="F337" s="1033"/>
      <c r="G337" s="1033"/>
      <c r="H337" s="1033"/>
      <c r="I337" s="1033"/>
      <c r="J337" s="1033"/>
      <c r="K337" s="1033"/>
      <c r="L337" s="574"/>
      <c r="M337" s="51"/>
      <c r="N337" s="113">
        <f t="shared" si="36"/>
        <v>5192</v>
      </c>
      <c r="O337" s="575">
        <v>0</v>
      </c>
      <c r="P337" s="576"/>
      <c r="Q337" s="325"/>
      <c r="R337" s="324"/>
      <c r="S337" s="579">
        <v>0</v>
      </c>
      <c r="T337" s="580">
        <f>+IF(ABS(+O337+Q337)&lt;=ABS(P337+R337),-O337+P337-Q337+R337,0)</f>
        <v>0</v>
      </c>
      <c r="U337" s="51"/>
      <c r="V337" s="2119">
        <f>+IF(OR(+ROUND(O337,2)+ROUND(Q337,2)&gt;ROUND(P337,2)+ROUND(R337,2),+ABS(ROUND(O337,2)+ROUND(Q337,2))&gt;+ABS(ROUND(P337,2)+ROUND(R337,2))),+(ROUND(O337,2)+ROUND(Q337,2))-(ROUND(P337,2)+ROUND(R337,2)),0)</f>
        <v>0</v>
      </c>
      <c r="W337" s="43"/>
      <c r="X337" s="43"/>
      <c r="Y337" s="43"/>
      <c r="Z337" s="43"/>
    </row>
    <row r="338" spans="1:26">
      <c r="A338" s="88">
        <v>5197</v>
      </c>
      <c r="B338" s="1032" t="s">
        <v>1167</v>
      </c>
      <c r="C338" s="1033"/>
      <c r="D338" s="1033"/>
      <c r="E338" s="1033"/>
      <c r="F338" s="1033"/>
      <c r="G338" s="1033"/>
      <c r="H338" s="1033"/>
      <c r="I338" s="1033"/>
      <c r="J338" s="1033"/>
      <c r="K338" s="1033"/>
      <c r="L338" s="574"/>
      <c r="M338" s="51"/>
      <c r="N338" s="113">
        <f t="shared" si="36"/>
        <v>5197</v>
      </c>
      <c r="O338" s="581"/>
      <c r="P338" s="582">
        <v>0</v>
      </c>
      <c r="Q338" s="589"/>
      <c r="R338" s="576"/>
      <c r="S338" s="583">
        <f t="shared" ref="S338:S343" si="38">+IF(ABS(+O338+Q338)&gt;=ABS(P338+R338),+O338-P338+Q338-R338,0)</f>
        <v>0</v>
      </c>
      <c r="T338" s="584">
        <v>0</v>
      </c>
      <c r="U338" s="51"/>
      <c r="V338" s="2120">
        <f t="shared" ref="V338:V343" si="39">+IF(OR(ROUND(P338,2)+ROUND(R338,2)&gt;+ROUND(O338,2)+ROUND(Q338,2),+ABS(ROUND(P338,2)+ROUND(R338,2))&gt;+ABS(ROUND(O338,2)+ROUND(Q338,2))),+(ROUND(P338,2)+ROUND(R338,2))-(ROUND(O338,2)+ROUND(Q338,2)),0)</f>
        <v>0</v>
      </c>
      <c r="W338" s="43"/>
      <c r="X338" s="43"/>
      <c r="Y338" s="43"/>
      <c r="Z338" s="43"/>
    </row>
    <row r="339" spans="1:26">
      <c r="A339" s="88">
        <v>5198</v>
      </c>
      <c r="B339" s="1032" t="s">
        <v>1168</v>
      </c>
      <c r="C339" s="1033"/>
      <c r="D339" s="1033"/>
      <c r="E339" s="1033"/>
      <c r="F339" s="1033"/>
      <c r="G339" s="1033"/>
      <c r="H339" s="1033"/>
      <c r="I339" s="1033"/>
      <c r="J339" s="1033"/>
      <c r="K339" s="1033"/>
      <c r="L339" s="574"/>
      <c r="M339" s="51"/>
      <c r="N339" s="113">
        <f t="shared" si="36"/>
        <v>5198</v>
      </c>
      <c r="O339" s="581"/>
      <c r="P339" s="582">
        <v>0</v>
      </c>
      <c r="Q339" s="589"/>
      <c r="R339" s="576"/>
      <c r="S339" s="583">
        <f t="shared" si="38"/>
        <v>0</v>
      </c>
      <c r="T339" s="584">
        <v>0</v>
      </c>
      <c r="U339" s="51"/>
      <c r="V339" s="2120">
        <f t="shared" si="39"/>
        <v>0</v>
      </c>
      <c r="W339" s="43"/>
      <c r="X339" s="43"/>
      <c r="Y339" s="43"/>
      <c r="Z339" s="43"/>
    </row>
    <row r="340" spans="1:26">
      <c r="A340" s="88">
        <v>5211</v>
      </c>
      <c r="B340" s="378" t="s">
        <v>776</v>
      </c>
      <c r="C340" s="1033"/>
      <c r="D340" s="1033"/>
      <c r="E340" s="1033"/>
      <c r="F340" s="1033"/>
      <c r="G340" s="1033"/>
      <c r="H340" s="1033"/>
      <c r="I340" s="1033"/>
      <c r="J340" s="1033"/>
      <c r="K340" s="1033"/>
      <c r="L340" s="574"/>
      <c r="M340" s="51"/>
      <c r="N340" s="113">
        <f t="shared" si="36"/>
        <v>5211</v>
      </c>
      <c r="O340" s="581"/>
      <c r="P340" s="582">
        <v>0</v>
      </c>
      <c r="Q340" s="122"/>
      <c r="R340" s="576"/>
      <c r="S340" s="583">
        <f t="shared" si="38"/>
        <v>0</v>
      </c>
      <c r="T340" s="584">
        <v>0</v>
      </c>
      <c r="U340" s="51"/>
      <c r="V340" s="2120">
        <f t="shared" si="39"/>
        <v>0</v>
      </c>
      <c r="W340" s="43"/>
      <c r="X340" s="43"/>
      <c r="Y340" s="43"/>
      <c r="Z340" s="43"/>
    </row>
    <row r="341" spans="1:26">
      <c r="A341" s="88">
        <v>5213</v>
      </c>
      <c r="B341" s="378" t="s">
        <v>777</v>
      </c>
      <c r="C341" s="1033"/>
      <c r="D341" s="1033"/>
      <c r="E341" s="1033"/>
      <c r="F341" s="1033"/>
      <c r="G341" s="1033"/>
      <c r="H341" s="1033"/>
      <c r="I341" s="1033"/>
      <c r="J341" s="1033"/>
      <c r="K341" s="1033"/>
      <c r="L341" s="574"/>
      <c r="M341" s="51"/>
      <c r="N341" s="113">
        <f t="shared" si="36"/>
        <v>5213</v>
      </c>
      <c r="O341" s="581"/>
      <c r="P341" s="582">
        <v>0</v>
      </c>
      <c r="Q341" s="122"/>
      <c r="R341" s="576"/>
      <c r="S341" s="583">
        <f t="shared" si="38"/>
        <v>0</v>
      </c>
      <c r="T341" s="584">
        <v>0</v>
      </c>
      <c r="U341" s="51"/>
      <c r="V341" s="2120">
        <f t="shared" si="39"/>
        <v>0</v>
      </c>
      <c r="W341" s="43"/>
      <c r="X341" s="43"/>
      <c r="Y341" s="43"/>
      <c r="Z341" s="43"/>
    </row>
    <row r="342" spans="1:26">
      <c r="A342" s="88">
        <v>5215</v>
      </c>
      <c r="B342" s="378" t="s">
        <v>778</v>
      </c>
      <c r="C342" s="1033"/>
      <c r="D342" s="1033"/>
      <c r="E342" s="1033"/>
      <c r="F342" s="1033"/>
      <c r="G342" s="1033"/>
      <c r="H342" s="1033"/>
      <c r="I342" s="1033"/>
      <c r="J342" s="1033"/>
      <c r="K342" s="1033"/>
      <c r="L342" s="574"/>
      <c r="M342" s="51"/>
      <c r="N342" s="113">
        <f t="shared" si="36"/>
        <v>5215</v>
      </c>
      <c r="O342" s="581"/>
      <c r="P342" s="582">
        <v>0</v>
      </c>
      <c r="Q342" s="122"/>
      <c r="R342" s="576"/>
      <c r="S342" s="583">
        <f t="shared" si="38"/>
        <v>0</v>
      </c>
      <c r="T342" s="584">
        <v>0</v>
      </c>
      <c r="U342" s="51"/>
      <c r="V342" s="2120">
        <f t="shared" si="39"/>
        <v>0</v>
      </c>
      <c r="W342" s="43"/>
      <c r="X342" s="43"/>
      <c r="Y342" s="43"/>
      <c r="Z342" s="43"/>
    </row>
    <row r="343" spans="1:26">
      <c r="A343" s="88">
        <v>5217</v>
      </c>
      <c r="B343" s="378" t="s">
        <v>779</v>
      </c>
      <c r="C343" s="1033"/>
      <c r="D343" s="1033"/>
      <c r="E343" s="1033"/>
      <c r="F343" s="1033"/>
      <c r="G343" s="1033"/>
      <c r="H343" s="1033"/>
      <c r="I343" s="1033"/>
      <c r="J343" s="1033"/>
      <c r="K343" s="1033"/>
      <c r="L343" s="574"/>
      <c r="M343" s="51"/>
      <c r="N343" s="113">
        <f t="shared" si="36"/>
        <v>5217</v>
      </c>
      <c r="O343" s="581"/>
      <c r="P343" s="582">
        <v>0</v>
      </c>
      <c r="Q343" s="122"/>
      <c r="R343" s="576"/>
      <c r="S343" s="583">
        <f t="shared" si="38"/>
        <v>0</v>
      </c>
      <c r="T343" s="584">
        <v>0</v>
      </c>
      <c r="U343" s="51"/>
      <c r="V343" s="2120">
        <f t="shared" si="39"/>
        <v>0</v>
      </c>
      <c r="W343" s="43"/>
      <c r="X343" s="43"/>
      <c r="Y343" s="43"/>
      <c r="Z343" s="43"/>
    </row>
    <row r="344" spans="1:26">
      <c r="A344" s="88">
        <v>5221</v>
      </c>
      <c r="B344" s="378" t="s">
        <v>780</v>
      </c>
      <c r="C344" s="1033"/>
      <c r="D344" s="1033"/>
      <c r="E344" s="1033"/>
      <c r="F344" s="1033"/>
      <c r="G344" s="1033"/>
      <c r="H344" s="1033"/>
      <c r="I344" s="1033"/>
      <c r="J344" s="1033"/>
      <c r="K344" s="1033"/>
      <c r="L344" s="574"/>
      <c r="M344" s="51"/>
      <c r="N344" s="113">
        <f t="shared" si="36"/>
        <v>5221</v>
      </c>
      <c r="O344" s="581"/>
      <c r="P344" s="576"/>
      <c r="Q344" s="589"/>
      <c r="R344" s="576"/>
      <c r="S344" s="583">
        <f t="shared" si="34"/>
        <v>0</v>
      </c>
      <c r="T344" s="580">
        <f>+IF(ABS(+O344+Q344)&lt;=ABS(P344+R344),-O344+P344-Q344+R344,0)</f>
        <v>0</v>
      </c>
      <c r="U344" s="51"/>
      <c r="V344" s="2119"/>
      <c r="W344" s="43"/>
      <c r="X344" s="43"/>
      <c r="Y344" s="43"/>
      <c r="Z344" s="43"/>
    </row>
    <row r="345" spans="1:26">
      <c r="A345" s="88">
        <v>5223</v>
      </c>
      <c r="B345" s="378" t="s">
        <v>781</v>
      </c>
      <c r="C345" s="1033"/>
      <c r="D345" s="1033"/>
      <c r="E345" s="1033"/>
      <c r="F345" s="1033"/>
      <c r="G345" s="1033"/>
      <c r="H345" s="1033"/>
      <c r="I345" s="1033"/>
      <c r="J345" s="1033"/>
      <c r="K345" s="1033"/>
      <c r="L345" s="574"/>
      <c r="M345" s="51"/>
      <c r="N345" s="113">
        <f t="shared" ref="N345:N375" si="40">+A345</f>
        <v>5223</v>
      </c>
      <c r="O345" s="581"/>
      <c r="P345" s="576"/>
      <c r="Q345" s="589"/>
      <c r="R345" s="576"/>
      <c r="S345" s="583">
        <f t="shared" si="34"/>
        <v>0</v>
      </c>
      <c r="T345" s="580">
        <f>+IF(ABS(+O345+Q345)&lt;=ABS(P345+R345),-O345+P345-Q345+R345,0)</f>
        <v>0</v>
      </c>
      <c r="U345" s="51"/>
      <c r="V345" s="2119"/>
      <c r="W345" s="43"/>
      <c r="X345" s="43"/>
      <c r="Y345" s="43"/>
      <c r="Z345" s="43"/>
    </row>
    <row r="346" spans="1:26">
      <c r="A346" s="88">
        <v>5231</v>
      </c>
      <c r="B346" s="378" t="s">
        <v>782</v>
      </c>
      <c r="C346" s="1033"/>
      <c r="D346" s="1033"/>
      <c r="E346" s="1033"/>
      <c r="F346" s="1033"/>
      <c r="G346" s="1033"/>
      <c r="H346" s="1033"/>
      <c r="I346" s="1033"/>
      <c r="J346" s="1033"/>
      <c r="K346" s="1033"/>
      <c r="L346" s="574"/>
      <c r="M346" s="51"/>
      <c r="N346" s="113">
        <f t="shared" si="40"/>
        <v>5231</v>
      </c>
      <c r="O346" s="581"/>
      <c r="P346" s="582">
        <v>0</v>
      </c>
      <c r="Q346" s="589"/>
      <c r="R346" s="576"/>
      <c r="S346" s="583">
        <f t="shared" si="34"/>
        <v>0</v>
      </c>
      <c r="T346" s="584">
        <v>0</v>
      </c>
      <c r="U346" s="51"/>
      <c r="V346" s="2120">
        <f t="shared" ref="V346:V363" si="41">+IF(OR(ROUND(P346,2)+ROUND(R346,2)&gt;+ROUND(O346,2)+ROUND(Q346,2),+ABS(ROUND(P346,2)+ROUND(R346,2))&gt;+ABS(ROUND(O346,2)+ROUND(Q346,2))),+(ROUND(P346,2)+ROUND(R346,2))-(ROUND(O346,2)+ROUND(Q346,2)),0)</f>
        <v>0</v>
      </c>
      <c r="W346" s="43"/>
      <c r="X346" s="43"/>
      <c r="Y346" s="43"/>
      <c r="Z346" s="43"/>
    </row>
    <row r="347" spans="1:26">
      <c r="A347" s="88">
        <v>5235</v>
      </c>
      <c r="B347" s="378" t="s">
        <v>783</v>
      </c>
      <c r="C347" s="1033"/>
      <c r="D347" s="1033"/>
      <c r="E347" s="1033"/>
      <c r="F347" s="1033"/>
      <c r="G347" s="1033"/>
      <c r="H347" s="1033"/>
      <c r="I347" s="1033"/>
      <c r="J347" s="1033"/>
      <c r="K347" s="1033"/>
      <c r="L347" s="574"/>
      <c r="M347" s="51"/>
      <c r="N347" s="113">
        <f t="shared" si="40"/>
        <v>5235</v>
      </c>
      <c r="O347" s="581"/>
      <c r="P347" s="582">
        <v>0</v>
      </c>
      <c r="Q347" s="589"/>
      <c r="R347" s="576"/>
      <c r="S347" s="583">
        <f t="shared" si="34"/>
        <v>0</v>
      </c>
      <c r="T347" s="584">
        <v>0</v>
      </c>
      <c r="U347" s="51"/>
      <c r="V347" s="2120">
        <f t="shared" si="41"/>
        <v>0</v>
      </c>
      <c r="W347" s="43"/>
      <c r="X347" s="43"/>
      <c r="Y347" s="43"/>
      <c r="Z347" s="43"/>
    </row>
    <row r="348" spans="1:26">
      <c r="A348" s="88">
        <v>5311</v>
      </c>
      <c r="B348" s="378" t="s">
        <v>787</v>
      </c>
      <c r="C348" s="1033"/>
      <c r="D348" s="1033"/>
      <c r="E348" s="1033"/>
      <c r="F348" s="1033"/>
      <c r="G348" s="1033"/>
      <c r="H348" s="1033"/>
      <c r="I348" s="1033"/>
      <c r="J348" s="1033"/>
      <c r="K348" s="1033"/>
      <c r="L348" s="574"/>
      <c r="M348" s="51"/>
      <c r="N348" s="113">
        <f t="shared" si="40"/>
        <v>5311</v>
      </c>
      <c r="O348" s="581"/>
      <c r="P348" s="582">
        <v>0</v>
      </c>
      <c r="Q348" s="589"/>
      <c r="R348" s="576"/>
      <c r="S348" s="583">
        <f t="shared" si="34"/>
        <v>0</v>
      </c>
      <c r="T348" s="584">
        <v>0</v>
      </c>
      <c r="U348" s="51"/>
      <c r="V348" s="2120">
        <f t="shared" si="41"/>
        <v>0</v>
      </c>
      <c r="W348" s="43"/>
      <c r="X348" s="43"/>
      <c r="Y348" s="43"/>
      <c r="Z348" s="43"/>
    </row>
    <row r="349" spans="1:26">
      <c r="A349" s="88">
        <v>5312</v>
      </c>
      <c r="B349" s="378" t="s">
        <v>788</v>
      </c>
      <c r="C349" s="1033"/>
      <c r="D349" s="1033"/>
      <c r="E349" s="1033"/>
      <c r="F349" s="1033"/>
      <c r="G349" s="1033"/>
      <c r="H349" s="1033"/>
      <c r="I349" s="1033"/>
      <c r="J349" s="1033"/>
      <c r="K349" s="1033"/>
      <c r="L349" s="574"/>
      <c r="M349" s="51"/>
      <c r="N349" s="113">
        <f t="shared" si="40"/>
        <v>5312</v>
      </c>
      <c r="O349" s="581">
        <v>0</v>
      </c>
      <c r="P349" s="582">
        <v>0</v>
      </c>
      <c r="Q349" s="589">
        <v>0</v>
      </c>
      <c r="R349" s="576">
        <v>0</v>
      </c>
      <c r="S349" s="583">
        <f t="shared" si="34"/>
        <v>0</v>
      </c>
      <c r="T349" s="584">
        <v>0</v>
      </c>
      <c r="U349" s="51"/>
      <c r="V349" s="2120">
        <f t="shared" si="41"/>
        <v>0</v>
      </c>
      <c r="W349" s="43"/>
      <c r="X349" s="43"/>
      <c r="Y349" s="43"/>
      <c r="Z349" s="43"/>
    </row>
    <row r="350" spans="1:26">
      <c r="A350" s="88">
        <v>5313</v>
      </c>
      <c r="B350" s="378" t="s">
        <v>789</v>
      </c>
      <c r="C350" s="1033"/>
      <c r="D350" s="1033"/>
      <c r="E350" s="1033"/>
      <c r="F350" s="1033"/>
      <c r="G350" s="1033"/>
      <c r="H350" s="1033"/>
      <c r="I350" s="1033"/>
      <c r="J350" s="1033"/>
      <c r="K350" s="1033"/>
      <c r="L350" s="574"/>
      <c r="M350" s="51"/>
      <c r="N350" s="113">
        <f t="shared" si="40"/>
        <v>5313</v>
      </c>
      <c r="O350" s="581"/>
      <c r="P350" s="582">
        <v>0</v>
      </c>
      <c r="Q350" s="589"/>
      <c r="R350" s="576"/>
      <c r="S350" s="583">
        <f t="shared" ref="S350:S363" si="42">+IF(ABS(+O350+Q350)&gt;=ABS(P350+R350),+O350-P350+Q350-R350,0)</f>
        <v>0</v>
      </c>
      <c r="T350" s="584">
        <v>0</v>
      </c>
      <c r="U350" s="51"/>
      <c r="V350" s="2120">
        <f t="shared" si="41"/>
        <v>0</v>
      </c>
      <c r="W350" s="43"/>
      <c r="X350" s="43"/>
      <c r="Y350" s="43"/>
      <c r="Z350" s="43"/>
    </row>
    <row r="351" spans="1:26">
      <c r="A351" s="88">
        <v>5314</v>
      </c>
      <c r="B351" s="378" t="s">
        <v>1007</v>
      </c>
      <c r="C351" s="1033"/>
      <c r="D351" s="1033"/>
      <c r="E351" s="1033"/>
      <c r="F351" s="1033"/>
      <c r="G351" s="1033"/>
      <c r="H351" s="1033"/>
      <c r="I351" s="1033"/>
      <c r="J351" s="1033"/>
      <c r="K351" s="1033"/>
      <c r="L351" s="574"/>
      <c r="M351" s="51"/>
      <c r="N351" s="113">
        <f t="shared" si="40"/>
        <v>5314</v>
      </c>
      <c r="O351" s="581"/>
      <c r="P351" s="582">
        <v>0</v>
      </c>
      <c r="Q351" s="589"/>
      <c r="R351" s="576"/>
      <c r="S351" s="583">
        <f t="shared" si="42"/>
        <v>0</v>
      </c>
      <c r="T351" s="584">
        <v>0</v>
      </c>
      <c r="U351" s="51"/>
      <c r="V351" s="2120">
        <f t="shared" si="41"/>
        <v>0</v>
      </c>
      <c r="W351" s="43"/>
      <c r="X351" s="43"/>
      <c r="Y351" s="43"/>
      <c r="Z351" s="43"/>
    </row>
    <row r="352" spans="1:26">
      <c r="A352" s="88">
        <v>5315</v>
      </c>
      <c r="B352" s="378" t="s">
        <v>1008</v>
      </c>
      <c r="C352" s="1033"/>
      <c r="D352" s="1033"/>
      <c r="E352" s="1033"/>
      <c r="F352" s="1033"/>
      <c r="G352" s="1033"/>
      <c r="H352" s="1033"/>
      <c r="I352" s="1033"/>
      <c r="J352" s="1033"/>
      <c r="K352" s="1033"/>
      <c r="L352" s="574"/>
      <c r="M352" s="51"/>
      <c r="N352" s="113">
        <f t="shared" si="40"/>
        <v>5315</v>
      </c>
      <c r="O352" s="581"/>
      <c r="P352" s="582">
        <v>0</v>
      </c>
      <c r="Q352" s="589"/>
      <c r="R352" s="576"/>
      <c r="S352" s="583">
        <f t="shared" si="42"/>
        <v>0</v>
      </c>
      <c r="T352" s="584">
        <v>0</v>
      </c>
      <c r="U352" s="51"/>
      <c r="V352" s="2120">
        <f t="shared" si="41"/>
        <v>0</v>
      </c>
      <c r="W352" s="43"/>
      <c r="X352" s="43"/>
      <c r="Y352" s="43"/>
      <c r="Z352" s="43"/>
    </row>
    <row r="353" spans="1:26">
      <c r="A353" s="88">
        <v>5316</v>
      </c>
      <c r="B353" s="378" t="s">
        <v>387</v>
      </c>
      <c r="C353" s="1033"/>
      <c r="D353" s="1033"/>
      <c r="E353" s="1033"/>
      <c r="F353" s="1033"/>
      <c r="G353" s="1033"/>
      <c r="H353" s="1033"/>
      <c r="I353" s="1033"/>
      <c r="J353" s="1033"/>
      <c r="K353" s="1033"/>
      <c r="L353" s="574"/>
      <c r="M353" s="51"/>
      <c r="N353" s="113">
        <f t="shared" si="40"/>
        <v>5316</v>
      </c>
      <c r="O353" s="581"/>
      <c r="P353" s="582">
        <v>0</v>
      </c>
      <c r="Q353" s="589"/>
      <c r="R353" s="576"/>
      <c r="S353" s="583">
        <f t="shared" si="42"/>
        <v>0</v>
      </c>
      <c r="T353" s="584">
        <v>0</v>
      </c>
      <c r="U353" s="51"/>
      <c r="V353" s="2120">
        <f t="shared" si="41"/>
        <v>0</v>
      </c>
      <c r="W353" s="43"/>
      <c r="X353" s="43"/>
      <c r="Y353" s="43"/>
      <c r="Z353" s="43"/>
    </row>
    <row r="354" spans="1:26">
      <c r="A354" s="88">
        <v>5317</v>
      </c>
      <c r="B354" s="378" t="s">
        <v>784</v>
      </c>
      <c r="C354" s="1033"/>
      <c r="D354" s="1033"/>
      <c r="E354" s="1033"/>
      <c r="F354" s="1033"/>
      <c r="G354" s="1033"/>
      <c r="H354" s="1033"/>
      <c r="I354" s="1033"/>
      <c r="J354" s="1033"/>
      <c r="K354" s="1033"/>
      <c r="L354" s="574"/>
      <c r="M354" s="51"/>
      <c r="N354" s="113">
        <f t="shared" si="40"/>
        <v>5317</v>
      </c>
      <c r="O354" s="581"/>
      <c r="P354" s="582">
        <v>0</v>
      </c>
      <c r="Q354" s="589"/>
      <c r="R354" s="576"/>
      <c r="S354" s="583">
        <f t="shared" si="42"/>
        <v>0</v>
      </c>
      <c r="T354" s="584">
        <v>0</v>
      </c>
      <c r="U354" s="51"/>
      <c r="V354" s="2120">
        <f t="shared" si="41"/>
        <v>0</v>
      </c>
      <c r="W354" s="43"/>
      <c r="X354" s="43"/>
      <c r="Y354" s="43"/>
      <c r="Z354" s="43"/>
    </row>
    <row r="355" spans="1:26">
      <c r="A355" s="88">
        <v>5318</v>
      </c>
      <c r="B355" s="378" t="s">
        <v>785</v>
      </c>
      <c r="C355" s="1033"/>
      <c r="D355" s="1033"/>
      <c r="E355" s="1033"/>
      <c r="F355" s="1033"/>
      <c r="G355" s="1033"/>
      <c r="H355" s="1033"/>
      <c r="I355" s="1033"/>
      <c r="J355" s="1033"/>
      <c r="K355" s="1033"/>
      <c r="L355" s="574"/>
      <c r="M355" s="51"/>
      <c r="N355" s="113">
        <f t="shared" si="40"/>
        <v>5318</v>
      </c>
      <c r="O355" s="581"/>
      <c r="P355" s="582">
        <v>0</v>
      </c>
      <c r="Q355" s="589"/>
      <c r="R355" s="576"/>
      <c r="S355" s="583">
        <f t="shared" si="42"/>
        <v>0</v>
      </c>
      <c r="T355" s="584">
        <v>0</v>
      </c>
      <c r="U355" s="51"/>
      <c r="V355" s="2120">
        <f t="shared" si="41"/>
        <v>0</v>
      </c>
      <c r="W355" s="43"/>
      <c r="X355" s="43"/>
      <c r="Y355" s="43"/>
      <c r="Z355" s="43"/>
    </row>
    <row r="356" spans="1:26">
      <c r="A356" s="88">
        <v>5319</v>
      </c>
      <c r="B356" s="378" t="s">
        <v>786</v>
      </c>
      <c r="C356" s="1033"/>
      <c r="D356" s="1033"/>
      <c r="E356" s="1033"/>
      <c r="F356" s="1033"/>
      <c r="G356" s="1033"/>
      <c r="H356" s="1033"/>
      <c r="I356" s="1033"/>
      <c r="J356" s="1033"/>
      <c r="K356" s="1033"/>
      <c r="L356" s="574"/>
      <c r="M356" s="51"/>
      <c r="N356" s="113">
        <f t="shared" si="40"/>
        <v>5319</v>
      </c>
      <c r="O356" s="581"/>
      <c r="P356" s="582">
        <v>0</v>
      </c>
      <c r="Q356" s="589"/>
      <c r="R356" s="576"/>
      <c r="S356" s="583">
        <f t="shared" si="42"/>
        <v>0</v>
      </c>
      <c r="T356" s="584">
        <v>0</v>
      </c>
      <c r="U356" s="51"/>
      <c r="V356" s="2120">
        <f t="shared" si="41"/>
        <v>0</v>
      </c>
      <c r="W356" s="43"/>
      <c r="X356" s="43"/>
      <c r="Y356" s="43"/>
      <c r="Z356" s="43"/>
    </row>
    <row r="357" spans="1:26">
      <c r="A357" s="88">
        <v>5321</v>
      </c>
      <c r="B357" s="378" t="s">
        <v>388</v>
      </c>
      <c r="C357" s="1033"/>
      <c r="D357" s="1033"/>
      <c r="E357" s="1033"/>
      <c r="F357" s="1033"/>
      <c r="G357" s="1033"/>
      <c r="H357" s="1033"/>
      <c r="I357" s="1033"/>
      <c r="J357" s="1033"/>
      <c r="K357" s="1033"/>
      <c r="L357" s="574"/>
      <c r="M357" s="51"/>
      <c r="N357" s="113">
        <f t="shared" si="40"/>
        <v>5321</v>
      </c>
      <c r="O357" s="581"/>
      <c r="P357" s="582">
        <v>0</v>
      </c>
      <c r="Q357" s="589"/>
      <c r="R357" s="576"/>
      <c r="S357" s="583">
        <f t="shared" si="42"/>
        <v>0</v>
      </c>
      <c r="T357" s="584">
        <v>0</v>
      </c>
      <c r="U357" s="51"/>
      <c r="V357" s="2120">
        <f t="shared" si="41"/>
        <v>0</v>
      </c>
      <c r="W357" s="43"/>
      <c r="X357" s="43"/>
      <c r="Y357" s="43"/>
      <c r="Z357" s="43"/>
    </row>
    <row r="358" spans="1:26">
      <c r="A358" s="88">
        <v>5322</v>
      </c>
      <c r="B358" s="378" t="s">
        <v>389</v>
      </c>
      <c r="C358" s="1033"/>
      <c r="D358" s="1033"/>
      <c r="E358" s="1033"/>
      <c r="F358" s="1033"/>
      <c r="G358" s="1033"/>
      <c r="H358" s="1033"/>
      <c r="I358" s="1033"/>
      <c r="J358" s="1033"/>
      <c r="K358" s="1033"/>
      <c r="L358" s="574"/>
      <c r="M358" s="51"/>
      <c r="N358" s="113">
        <f t="shared" si="40"/>
        <v>5322</v>
      </c>
      <c r="O358" s="581"/>
      <c r="P358" s="582">
        <v>0</v>
      </c>
      <c r="Q358" s="589"/>
      <c r="R358" s="576"/>
      <c r="S358" s="583">
        <f t="shared" si="42"/>
        <v>0</v>
      </c>
      <c r="T358" s="584">
        <v>0</v>
      </c>
      <c r="U358" s="51"/>
      <c r="V358" s="2120">
        <f t="shared" si="41"/>
        <v>0</v>
      </c>
      <c r="W358" s="43"/>
      <c r="X358" s="43"/>
      <c r="Y358" s="43"/>
      <c r="Z358" s="43"/>
    </row>
    <row r="359" spans="1:26">
      <c r="A359" s="88">
        <v>5323</v>
      </c>
      <c r="B359" s="378" t="s">
        <v>390</v>
      </c>
      <c r="C359" s="1033"/>
      <c r="D359" s="1033"/>
      <c r="E359" s="1033"/>
      <c r="F359" s="1033"/>
      <c r="G359" s="1033"/>
      <c r="H359" s="1033"/>
      <c r="I359" s="1033"/>
      <c r="J359" s="1033"/>
      <c r="K359" s="1033"/>
      <c r="L359" s="574"/>
      <c r="M359" s="51"/>
      <c r="N359" s="113">
        <f t="shared" si="40"/>
        <v>5323</v>
      </c>
      <c r="O359" s="581"/>
      <c r="P359" s="582">
        <v>0</v>
      </c>
      <c r="Q359" s="589"/>
      <c r="R359" s="576"/>
      <c r="S359" s="583">
        <f t="shared" si="42"/>
        <v>0</v>
      </c>
      <c r="T359" s="584">
        <v>0</v>
      </c>
      <c r="U359" s="51"/>
      <c r="V359" s="2120">
        <f t="shared" si="41"/>
        <v>0</v>
      </c>
      <c r="W359" s="43"/>
      <c r="X359" s="43"/>
      <c r="Y359" s="43"/>
      <c r="Z359" s="43"/>
    </row>
    <row r="360" spans="1:26">
      <c r="A360" s="88">
        <v>5381</v>
      </c>
      <c r="B360" s="378" t="s">
        <v>391</v>
      </c>
      <c r="C360" s="1033"/>
      <c r="D360" s="1033"/>
      <c r="E360" s="1033"/>
      <c r="F360" s="1033"/>
      <c r="G360" s="1033"/>
      <c r="H360" s="1033"/>
      <c r="I360" s="1033"/>
      <c r="J360" s="1033"/>
      <c r="K360" s="1033"/>
      <c r="L360" s="574"/>
      <c r="M360" s="51"/>
      <c r="N360" s="113">
        <f t="shared" si="40"/>
        <v>5381</v>
      </c>
      <c r="O360" s="581"/>
      <c r="P360" s="582">
        <v>0</v>
      </c>
      <c r="Q360" s="589"/>
      <c r="R360" s="576"/>
      <c r="S360" s="583">
        <f t="shared" si="42"/>
        <v>0</v>
      </c>
      <c r="T360" s="584">
        <v>0</v>
      </c>
      <c r="U360" s="51"/>
      <c r="V360" s="2120">
        <f t="shared" si="41"/>
        <v>0</v>
      </c>
      <c r="W360" s="43"/>
      <c r="X360" s="43"/>
      <c r="Y360" s="43"/>
      <c r="Z360" s="43"/>
    </row>
    <row r="361" spans="1:26">
      <c r="A361" s="88">
        <v>5382</v>
      </c>
      <c r="B361" s="378" t="s">
        <v>303</v>
      </c>
      <c r="C361" s="1033"/>
      <c r="D361" s="1033"/>
      <c r="E361" s="1033"/>
      <c r="F361" s="1033"/>
      <c r="G361" s="1033"/>
      <c r="H361" s="1033"/>
      <c r="I361" s="1033"/>
      <c r="J361" s="1033"/>
      <c r="K361" s="1033"/>
      <c r="L361" s="574"/>
      <c r="M361" s="51"/>
      <c r="N361" s="113">
        <f t="shared" si="40"/>
        <v>5382</v>
      </c>
      <c r="O361" s="581"/>
      <c r="P361" s="582">
        <v>0</v>
      </c>
      <c r="Q361" s="589"/>
      <c r="R361" s="576"/>
      <c r="S361" s="583">
        <f t="shared" si="42"/>
        <v>0</v>
      </c>
      <c r="T361" s="584">
        <v>0</v>
      </c>
      <c r="U361" s="51"/>
      <c r="V361" s="2120">
        <f t="shared" si="41"/>
        <v>0</v>
      </c>
      <c r="W361" s="43"/>
      <c r="X361" s="43"/>
      <c r="Y361" s="43"/>
      <c r="Z361" s="43"/>
    </row>
    <row r="362" spans="1:26">
      <c r="A362" s="88">
        <v>5383</v>
      </c>
      <c r="B362" s="378" t="s">
        <v>304</v>
      </c>
      <c r="C362" s="1033"/>
      <c r="D362" s="1033"/>
      <c r="E362" s="1033"/>
      <c r="F362" s="1033"/>
      <c r="G362" s="1033"/>
      <c r="H362" s="1033"/>
      <c r="I362" s="1033"/>
      <c r="J362" s="1033"/>
      <c r="K362" s="1033"/>
      <c r="L362" s="574"/>
      <c r="M362" s="51"/>
      <c r="N362" s="113">
        <f t="shared" si="40"/>
        <v>5383</v>
      </c>
      <c r="O362" s="581"/>
      <c r="P362" s="582">
        <v>0</v>
      </c>
      <c r="Q362" s="589"/>
      <c r="R362" s="576"/>
      <c r="S362" s="583">
        <f t="shared" si="42"/>
        <v>0</v>
      </c>
      <c r="T362" s="584">
        <v>0</v>
      </c>
      <c r="U362" s="51"/>
      <c r="V362" s="2120">
        <f t="shared" si="41"/>
        <v>0</v>
      </c>
      <c r="W362" s="43"/>
      <c r="X362" s="43"/>
      <c r="Y362" s="43"/>
      <c r="Z362" s="43"/>
    </row>
    <row r="363" spans="1:26">
      <c r="A363" s="88">
        <v>5384</v>
      </c>
      <c r="B363" s="378" t="s">
        <v>305</v>
      </c>
      <c r="C363" s="1033"/>
      <c r="D363" s="1033"/>
      <c r="E363" s="1033"/>
      <c r="F363" s="1033"/>
      <c r="G363" s="1033"/>
      <c r="H363" s="1033"/>
      <c r="I363" s="1033"/>
      <c r="J363" s="1033"/>
      <c r="K363" s="1033"/>
      <c r="L363" s="574"/>
      <c r="M363" s="51"/>
      <c r="N363" s="113">
        <f t="shared" si="40"/>
        <v>5384</v>
      </c>
      <c r="O363" s="581"/>
      <c r="P363" s="582">
        <v>0</v>
      </c>
      <c r="Q363" s="589"/>
      <c r="R363" s="576"/>
      <c r="S363" s="583">
        <f t="shared" si="42"/>
        <v>0</v>
      </c>
      <c r="T363" s="584">
        <v>0</v>
      </c>
      <c r="U363" s="51"/>
      <c r="V363" s="2120">
        <f t="shared" si="41"/>
        <v>0</v>
      </c>
      <c r="W363" s="43"/>
      <c r="X363" s="43"/>
      <c r="Y363" s="43"/>
      <c r="Z363" s="43"/>
    </row>
    <row r="364" spans="1:26">
      <c r="A364" s="88">
        <v>5391</v>
      </c>
      <c r="B364" s="378" t="s">
        <v>306</v>
      </c>
      <c r="C364" s="1033"/>
      <c r="D364" s="1033"/>
      <c r="E364" s="1033"/>
      <c r="F364" s="1033"/>
      <c r="G364" s="1033"/>
      <c r="H364" s="1033"/>
      <c r="I364" s="1033"/>
      <c r="J364" s="1033"/>
      <c r="K364" s="1033"/>
      <c r="L364" s="574"/>
      <c r="M364" s="51"/>
      <c r="N364" s="113">
        <f t="shared" si="40"/>
        <v>5391</v>
      </c>
      <c r="O364" s="596">
        <v>0</v>
      </c>
      <c r="P364" s="576"/>
      <c r="Q364" s="589"/>
      <c r="R364" s="324"/>
      <c r="S364" s="2167">
        <v>0</v>
      </c>
      <c r="T364" s="580">
        <f>+IF(ABS(+O364+Q364)&lt;=ABS(P364+R364),-O364+P364-Q364+R364,0)</f>
        <v>0</v>
      </c>
      <c r="U364" s="51"/>
      <c r="V364" s="2119">
        <f>+IF(OR(+ROUND(O364,2)+ROUND(Q364,2)&gt;ROUND(P364,2)+ROUND(R364,2),+ABS(ROUND(O364,2)+ROUND(Q364,2))&gt;+ABS(ROUND(P364,2)+ROUND(R364,2))),+(ROUND(O364,2)+ROUND(Q364,2))-(ROUND(P364,2)+ROUND(R364,2)),0)</f>
        <v>0</v>
      </c>
      <c r="W364" s="43"/>
      <c r="X364" s="43"/>
      <c r="Y364" s="43"/>
      <c r="Z364" s="43"/>
    </row>
    <row r="365" spans="1:26">
      <c r="A365" s="88">
        <v>5392</v>
      </c>
      <c r="B365" s="378" t="s">
        <v>307</v>
      </c>
      <c r="C365" s="1033"/>
      <c r="D365" s="1033"/>
      <c r="E365" s="1033"/>
      <c r="F365" s="1033"/>
      <c r="G365" s="1033"/>
      <c r="H365" s="1033"/>
      <c r="I365" s="1033"/>
      <c r="J365" s="1033"/>
      <c r="K365" s="1033"/>
      <c r="L365" s="574"/>
      <c r="M365" s="51"/>
      <c r="N365" s="113">
        <f t="shared" si="40"/>
        <v>5392</v>
      </c>
      <c r="O365" s="596">
        <v>0</v>
      </c>
      <c r="P365" s="576"/>
      <c r="Q365" s="589"/>
      <c r="R365" s="324"/>
      <c r="S365" s="2167">
        <v>0</v>
      </c>
      <c r="T365" s="580">
        <f>+IF(ABS(+O365+Q365)&lt;=ABS(P365+R365),-O365+P365-Q365+R365,0)</f>
        <v>0</v>
      </c>
      <c r="U365" s="51"/>
      <c r="V365" s="2119">
        <f>+IF(OR(+ROUND(O365,2)+ROUND(Q365,2)&gt;ROUND(P365,2)+ROUND(R365,2),+ABS(ROUND(O365,2)+ROUND(Q365,2))&gt;+ABS(ROUND(P365,2)+ROUND(R365,2))),+(ROUND(O365,2)+ROUND(Q365,2))-(ROUND(P365,2)+ROUND(R365,2)),0)</f>
        <v>0</v>
      </c>
      <c r="W365" s="43"/>
      <c r="X365" s="43"/>
      <c r="Y365" s="43"/>
      <c r="Z365" s="43"/>
    </row>
    <row r="366" spans="1:26">
      <c r="A366" s="88">
        <v>5393</v>
      </c>
      <c r="B366" s="378" t="s">
        <v>308</v>
      </c>
      <c r="C366" s="1033"/>
      <c r="D366" s="1033"/>
      <c r="E366" s="1033"/>
      <c r="F366" s="1033"/>
      <c r="G366" s="1033"/>
      <c r="H366" s="1033"/>
      <c r="I366" s="1033"/>
      <c r="J366" s="1033"/>
      <c r="K366" s="1033"/>
      <c r="L366" s="574"/>
      <c r="M366" s="51"/>
      <c r="N366" s="113">
        <f t="shared" si="40"/>
        <v>5393</v>
      </c>
      <c r="O366" s="596">
        <v>0</v>
      </c>
      <c r="P366" s="576"/>
      <c r="Q366" s="589"/>
      <c r="R366" s="324"/>
      <c r="S366" s="2167">
        <v>0</v>
      </c>
      <c r="T366" s="580">
        <f>+IF(ABS(+O366+Q366)&lt;=ABS(P366+R366),-O366+P366-Q366+R366,0)</f>
        <v>0</v>
      </c>
      <c r="U366" s="51"/>
      <c r="V366" s="2119">
        <f>+IF(OR(+ROUND(O366,2)+ROUND(Q366,2)&gt;ROUND(P366,2)+ROUND(R366,2),+ABS(ROUND(O366,2)+ROUND(Q366,2))&gt;+ABS(ROUND(P366,2)+ROUND(R366,2))),+(ROUND(O366,2)+ROUND(Q366,2))-(ROUND(P366,2)+ROUND(R366,2)),0)</f>
        <v>0</v>
      </c>
      <c r="W366" s="43"/>
      <c r="X366" s="43"/>
      <c r="Y366" s="43"/>
      <c r="Z366" s="43"/>
    </row>
    <row r="367" spans="1:26">
      <c r="A367" s="88">
        <v>5398</v>
      </c>
      <c r="B367" s="378" t="s">
        <v>309</v>
      </c>
      <c r="C367" s="1033"/>
      <c r="D367" s="1033"/>
      <c r="E367" s="1033"/>
      <c r="F367" s="1033"/>
      <c r="G367" s="1033"/>
      <c r="H367" s="1033"/>
      <c r="I367" s="1033"/>
      <c r="J367" s="1033"/>
      <c r="K367" s="1033"/>
      <c r="L367" s="574"/>
      <c r="M367" s="51"/>
      <c r="N367" s="113">
        <f t="shared" si="40"/>
        <v>5398</v>
      </c>
      <c r="O367" s="575">
        <v>0</v>
      </c>
      <c r="P367" s="576"/>
      <c r="Q367" s="589"/>
      <c r="R367" s="324"/>
      <c r="S367" s="579">
        <v>0</v>
      </c>
      <c r="T367" s="580">
        <f>+IF(ABS(+O367+Q367)&lt;=ABS(P367+R367),-O367+P367-Q367+R367,0)</f>
        <v>0</v>
      </c>
      <c r="U367" s="51"/>
      <c r="V367" s="2119">
        <f>+IF(OR(+ROUND(O367,2)+ROUND(Q367,2)&gt;ROUND(P367,2)+ROUND(R367,2),+ABS(ROUND(O367,2)+ROUND(Q367,2))&gt;+ABS(ROUND(P367,2)+ROUND(R367,2))),+(ROUND(O367,2)+ROUND(Q367,2))-(ROUND(P367,2)+ROUND(R367,2)),0)</f>
        <v>0</v>
      </c>
      <c r="W367" s="43"/>
      <c r="X367" s="43"/>
      <c r="Y367" s="43"/>
      <c r="Z367" s="43"/>
    </row>
    <row r="368" spans="1:26">
      <c r="A368" s="88">
        <v>5811</v>
      </c>
      <c r="B368" s="378" t="s">
        <v>312</v>
      </c>
      <c r="C368" s="1033"/>
      <c r="D368" s="1033"/>
      <c r="E368" s="1033"/>
      <c r="F368" s="1033"/>
      <c r="G368" s="1033"/>
      <c r="H368" s="1033"/>
      <c r="I368" s="1033"/>
      <c r="J368" s="1033"/>
      <c r="K368" s="1033"/>
      <c r="L368" s="574"/>
      <c r="M368" s="51"/>
      <c r="N368" s="113">
        <f t="shared" si="40"/>
        <v>5811</v>
      </c>
      <c r="O368" s="581"/>
      <c r="P368" s="582">
        <v>0</v>
      </c>
      <c r="Q368" s="589"/>
      <c r="R368" s="576"/>
      <c r="S368" s="583">
        <f t="shared" ref="S368:S379" si="43">+IF(ABS(+O368+Q368)&gt;=ABS(P368+R368),+O368-P368+Q368-R368,0)</f>
        <v>0</v>
      </c>
      <c r="T368" s="584">
        <v>0</v>
      </c>
      <c r="U368" s="51"/>
      <c r="V368" s="2120">
        <f t="shared" ref="V368:V379" si="44">+IF(OR(ROUND(P368,2)+ROUND(R368,2)&gt;+ROUND(O368,2)+ROUND(Q368,2),+ABS(ROUND(P368,2)+ROUND(R368,2))&gt;+ABS(ROUND(O368,2)+ROUND(Q368,2))),+(ROUND(P368,2)+ROUND(R368,2))-(ROUND(O368,2)+ROUND(Q368,2)),0)</f>
        <v>0</v>
      </c>
      <c r="W368" s="43"/>
      <c r="X368" s="43"/>
      <c r="Y368" s="43"/>
      <c r="Z368" s="43"/>
    </row>
    <row r="369" spans="1:26">
      <c r="A369" s="88">
        <v>5812</v>
      </c>
      <c r="B369" s="378" t="s">
        <v>313</v>
      </c>
      <c r="C369" s="1033"/>
      <c r="D369" s="1033"/>
      <c r="E369" s="1033"/>
      <c r="F369" s="1033"/>
      <c r="G369" s="1033"/>
      <c r="H369" s="1033"/>
      <c r="I369" s="1033"/>
      <c r="J369" s="1033"/>
      <c r="K369" s="1033"/>
      <c r="L369" s="574"/>
      <c r="M369" s="51"/>
      <c r="N369" s="113">
        <f t="shared" si="40"/>
        <v>5812</v>
      </c>
      <c r="O369" s="581"/>
      <c r="P369" s="582">
        <v>0</v>
      </c>
      <c r="Q369" s="589"/>
      <c r="R369" s="576"/>
      <c r="S369" s="583">
        <f t="shared" si="43"/>
        <v>0</v>
      </c>
      <c r="T369" s="584">
        <v>0</v>
      </c>
      <c r="U369" s="51"/>
      <c r="V369" s="2120">
        <f t="shared" si="44"/>
        <v>0</v>
      </c>
      <c r="W369" s="43"/>
      <c r="X369" s="43"/>
      <c r="Y369" s="43"/>
      <c r="Z369" s="43"/>
    </row>
    <row r="370" spans="1:26">
      <c r="A370" s="88">
        <v>5814</v>
      </c>
      <c r="B370" s="378" t="s">
        <v>314</v>
      </c>
      <c r="C370" s="1033"/>
      <c r="D370" s="1033"/>
      <c r="E370" s="1033"/>
      <c r="F370" s="1033"/>
      <c r="G370" s="1033"/>
      <c r="H370" s="1033"/>
      <c r="I370" s="1033"/>
      <c r="J370" s="1033"/>
      <c r="K370" s="1033"/>
      <c r="L370" s="574"/>
      <c r="M370" s="51"/>
      <c r="N370" s="113">
        <f t="shared" si="40"/>
        <v>5814</v>
      </c>
      <c r="O370" s="581"/>
      <c r="P370" s="582">
        <v>0</v>
      </c>
      <c r="Q370" s="589"/>
      <c r="R370" s="576"/>
      <c r="S370" s="583">
        <f t="shared" si="43"/>
        <v>0</v>
      </c>
      <c r="T370" s="584">
        <v>0</v>
      </c>
      <c r="U370" s="51"/>
      <c r="V370" s="2120">
        <f t="shared" si="44"/>
        <v>0</v>
      </c>
      <c r="W370" s="43"/>
      <c r="X370" s="43"/>
      <c r="Y370" s="43"/>
      <c r="Z370" s="43"/>
    </row>
    <row r="371" spans="1:26">
      <c r="A371" s="88">
        <v>5815</v>
      </c>
      <c r="B371" s="378" t="s">
        <v>315</v>
      </c>
      <c r="C371" s="1033"/>
      <c r="D371" s="1033"/>
      <c r="E371" s="1033"/>
      <c r="F371" s="1033"/>
      <c r="G371" s="1033"/>
      <c r="H371" s="1033"/>
      <c r="I371" s="1033"/>
      <c r="J371" s="1033"/>
      <c r="K371" s="1033"/>
      <c r="L371" s="574"/>
      <c r="M371" s="51"/>
      <c r="N371" s="113">
        <f t="shared" si="40"/>
        <v>5815</v>
      </c>
      <c r="O371" s="581"/>
      <c r="P371" s="582">
        <v>0</v>
      </c>
      <c r="Q371" s="589"/>
      <c r="R371" s="576"/>
      <c r="S371" s="583">
        <f t="shared" si="43"/>
        <v>0</v>
      </c>
      <c r="T371" s="584">
        <v>0</v>
      </c>
      <c r="U371" s="51"/>
      <c r="V371" s="2120">
        <f t="shared" si="44"/>
        <v>0</v>
      </c>
      <c r="W371" s="43"/>
      <c r="X371" s="43"/>
      <c r="Y371" s="43"/>
      <c r="Z371" s="43"/>
    </row>
    <row r="372" spans="1:26">
      <c r="A372" s="88">
        <v>5817</v>
      </c>
      <c r="B372" s="378" t="s">
        <v>310</v>
      </c>
      <c r="C372" s="1033"/>
      <c r="D372" s="1033"/>
      <c r="E372" s="1033"/>
      <c r="F372" s="1033"/>
      <c r="G372" s="1033"/>
      <c r="H372" s="1033"/>
      <c r="I372" s="1033"/>
      <c r="J372" s="1033"/>
      <c r="K372" s="1033"/>
      <c r="L372" s="574"/>
      <c r="M372" s="51"/>
      <c r="N372" s="113">
        <f t="shared" si="40"/>
        <v>5817</v>
      </c>
      <c r="O372" s="581"/>
      <c r="P372" s="582">
        <v>0</v>
      </c>
      <c r="Q372" s="589"/>
      <c r="R372" s="576"/>
      <c r="S372" s="583">
        <f t="shared" si="43"/>
        <v>0</v>
      </c>
      <c r="T372" s="584">
        <v>0</v>
      </c>
      <c r="U372" s="51"/>
      <c r="V372" s="2120">
        <f t="shared" si="44"/>
        <v>0</v>
      </c>
      <c r="W372" s="43"/>
      <c r="X372" s="43"/>
      <c r="Y372" s="43"/>
      <c r="Z372" s="43"/>
    </row>
    <row r="373" spans="1:26">
      <c r="A373" s="88">
        <v>5818</v>
      </c>
      <c r="B373" s="378" t="s">
        <v>311</v>
      </c>
      <c r="C373" s="1033"/>
      <c r="D373" s="1033"/>
      <c r="E373" s="1033"/>
      <c r="F373" s="1033"/>
      <c r="G373" s="1033"/>
      <c r="H373" s="1033"/>
      <c r="I373" s="1033"/>
      <c r="J373" s="1033"/>
      <c r="K373" s="1033"/>
      <c r="L373" s="574"/>
      <c r="M373" s="51"/>
      <c r="N373" s="113">
        <f t="shared" si="40"/>
        <v>5818</v>
      </c>
      <c r="O373" s="581"/>
      <c r="P373" s="582">
        <v>0</v>
      </c>
      <c r="Q373" s="589"/>
      <c r="R373" s="576"/>
      <c r="S373" s="583">
        <f t="shared" si="43"/>
        <v>0</v>
      </c>
      <c r="T373" s="584">
        <v>0</v>
      </c>
      <c r="U373" s="51"/>
      <c r="V373" s="2120">
        <f t="shared" si="44"/>
        <v>0</v>
      </c>
      <c r="W373" s="43"/>
      <c r="X373" s="43"/>
      <c r="Y373" s="43"/>
      <c r="Z373" s="43"/>
    </row>
    <row r="374" spans="1:26">
      <c r="A374" s="88">
        <v>5823</v>
      </c>
      <c r="B374" s="378" t="s">
        <v>316</v>
      </c>
      <c r="C374" s="1033"/>
      <c r="D374" s="1033"/>
      <c r="E374" s="1033"/>
      <c r="F374" s="1033"/>
      <c r="G374" s="1033"/>
      <c r="H374" s="1033"/>
      <c r="I374" s="1033"/>
      <c r="J374" s="1033"/>
      <c r="K374" s="1033"/>
      <c r="L374" s="574"/>
      <c r="M374" s="51"/>
      <c r="N374" s="113">
        <f t="shared" si="40"/>
        <v>5823</v>
      </c>
      <c r="O374" s="581"/>
      <c r="P374" s="582">
        <v>0</v>
      </c>
      <c r="Q374" s="589"/>
      <c r="R374" s="576"/>
      <c r="S374" s="583">
        <f t="shared" si="43"/>
        <v>0</v>
      </c>
      <c r="T374" s="584">
        <v>0</v>
      </c>
      <c r="U374" s="51"/>
      <c r="V374" s="2120">
        <f t="shared" si="44"/>
        <v>0</v>
      </c>
      <c r="W374" s="43"/>
      <c r="X374" s="43"/>
      <c r="Y374" s="43"/>
      <c r="Z374" s="43"/>
    </row>
    <row r="375" spans="1:26">
      <c r="A375" s="88">
        <v>5826</v>
      </c>
      <c r="B375" s="378" t="s">
        <v>317</v>
      </c>
      <c r="C375" s="1033"/>
      <c r="D375" s="1033"/>
      <c r="E375" s="1033"/>
      <c r="F375" s="1033"/>
      <c r="G375" s="1033"/>
      <c r="H375" s="1033"/>
      <c r="I375" s="1033"/>
      <c r="J375" s="1033"/>
      <c r="K375" s="1033"/>
      <c r="L375" s="574"/>
      <c r="M375" s="51"/>
      <c r="N375" s="113">
        <f t="shared" si="40"/>
        <v>5826</v>
      </c>
      <c r="O375" s="581"/>
      <c r="P375" s="582">
        <v>0</v>
      </c>
      <c r="Q375" s="589"/>
      <c r="R375" s="576"/>
      <c r="S375" s="583">
        <f t="shared" si="43"/>
        <v>0</v>
      </c>
      <c r="T375" s="584">
        <v>0</v>
      </c>
      <c r="U375" s="51"/>
      <c r="V375" s="2120">
        <f t="shared" si="44"/>
        <v>0</v>
      </c>
      <c r="W375" s="43"/>
      <c r="X375" s="43"/>
      <c r="Y375" s="43"/>
      <c r="Z375" s="43"/>
    </row>
    <row r="376" spans="1:26">
      <c r="A376" s="88">
        <v>5829</v>
      </c>
      <c r="B376" s="378" t="s">
        <v>318</v>
      </c>
      <c r="C376" s="1033"/>
      <c r="D376" s="1033"/>
      <c r="E376" s="1033"/>
      <c r="F376" s="1033"/>
      <c r="G376" s="1033"/>
      <c r="H376" s="1033"/>
      <c r="I376" s="1033"/>
      <c r="J376" s="1033"/>
      <c r="K376" s="1033"/>
      <c r="L376" s="574"/>
      <c r="M376" s="51"/>
      <c r="N376" s="113">
        <f t="shared" ref="N376:N382" si="45">+A376</f>
        <v>5829</v>
      </c>
      <c r="O376" s="581"/>
      <c r="P376" s="582">
        <v>0</v>
      </c>
      <c r="Q376" s="589"/>
      <c r="R376" s="576"/>
      <c r="S376" s="583">
        <f t="shared" si="43"/>
        <v>0</v>
      </c>
      <c r="T376" s="584">
        <v>0</v>
      </c>
      <c r="U376" s="51"/>
      <c r="V376" s="2120">
        <f t="shared" si="44"/>
        <v>0</v>
      </c>
      <c r="W376" s="43"/>
      <c r="X376" s="43"/>
      <c r="Y376" s="43"/>
      <c r="Z376" s="43"/>
    </row>
    <row r="377" spans="1:26">
      <c r="A377" s="88">
        <v>5881</v>
      </c>
      <c r="B377" s="378" t="s">
        <v>612</v>
      </c>
      <c r="C377" s="1033"/>
      <c r="D377" s="1033"/>
      <c r="E377" s="1033"/>
      <c r="F377" s="1033"/>
      <c r="G377" s="1033"/>
      <c r="H377" s="1033"/>
      <c r="I377" s="1033"/>
      <c r="J377" s="1033"/>
      <c r="K377" s="1033"/>
      <c r="L377" s="574"/>
      <c r="M377" s="51"/>
      <c r="N377" s="113">
        <f t="shared" si="45"/>
        <v>5881</v>
      </c>
      <c r="O377" s="581"/>
      <c r="P377" s="582">
        <v>0</v>
      </c>
      <c r="Q377" s="589"/>
      <c r="R377" s="576"/>
      <c r="S377" s="583">
        <f t="shared" si="43"/>
        <v>0</v>
      </c>
      <c r="T377" s="584">
        <v>0</v>
      </c>
      <c r="U377" s="51"/>
      <c r="V377" s="2120">
        <f t="shared" si="44"/>
        <v>0</v>
      </c>
      <c r="W377" s="43"/>
      <c r="X377" s="43"/>
      <c r="Y377" s="43"/>
      <c r="Z377" s="43"/>
    </row>
    <row r="378" spans="1:26">
      <c r="A378" s="88">
        <v>5882</v>
      </c>
      <c r="B378" s="378" t="s">
        <v>613</v>
      </c>
      <c r="C378" s="1033"/>
      <c r="D378" s="1033"/>
      <c r="E378" s="1033"/>
      <c r="F378" s="1033"/>
      <c r="G378" s="1033"/>
      <c r="H378" s="1033"/>
      <c r="I378" s="1033"/>
      <c r="J378" s="1033"/>
      <c r="K378" s="1033"/>
      <c r="L378" s="574"/>
      <c r="M378" s="51"/>
      <c r="N378" s="113">
        <f t="shared" si="45"/>
        <v>5882</v>
      </c>
      <c r="O378" s="581"/>
      <c r="P378" s="582">
        <v>0</v>
      </c>
      <c r="Q378" s="589"/>
      <c r="R378" s="576"/>
      <c r="S378" s="583">
        <f t="shared" si="43"/>
        <v>0</v>
      </c>
      <c r="T378" s="584">
        <v>0</v>
      </c>
      <c r="U378" s="51"/>
      <c r="V378" s="2120">
        <f t="shared" si="44"/>
        <v>0</v>
      </c>
      <c r="W378" s="43"/>
      <c r="X378" s="43"/>
      <c r="Y378" s="43"/>
      <c r="Z378" s="43"/>
    </row>
    <row r="379" spans="1:26">
      <c r="A379" s="88">
        <v>5889</v>
      </c>
      <c r="B379" s="378" t="s">
        <v>614</v>
      </c>
      <c r="C379" s="1033"/>
      <c r="D379" s="1033"/>
      <c r="E379" s="1033"/>
      <c r="F379" s="1033"/>
      <c r="G379" s="1033"/>
      <c r="H379" s="1033"/>
      <c r="I379" s="1033"/>
      <c r="J379" s="1033"/>
      <c r="K379" s="1033"/>
      <c r="L379" s="574"/>
      <c r="M379" s="51"/>
      <c r="N379" s="113">
        <f t="shared" si="45"/>
        <v>5889</v>
      </c>
      <c r="O379" s="581"/>
      <c r="P379" s="582">
        <v>0</v>
      </c>
      <c r="Q379" s="589"/>
      <c r="R379" s="576"/>
      <c r="S379" s="583">
        <f t="shared" si="43"/>
        <v>0</v>
      </c>
      <c r="T379" s="584">
        <v>0</v>
      </c>
      <c r="U379" s="51"/>
      <c r="V379" s="2120">
        <f t="shared" si="44"/>
        <v>0</v>
      </c>
      <c r="W379" s="43"/>
      <c r="X379" s="43"/>
      <c r="Y379" s="43"/>
      <c r="Z379" s="43"/>
    </row>
    <row r="380" spans="1:26">
      <c r="A380" s="88">
        <v>5891</v>
      </c>
      <c r="B380" s="378" t="s">
        <v>319</v>
      </c>
      <c r="C380" s="1033"/>
      <c r="D380" s="1033"/>
      <c r="E380" s="1033"/>
      <c r="F380" s="1033"/>
      <c r="G380" s="1033"/>
      <c r="H380" s="1033"/>
      <c r="I380" s="1033"/>
      <c r="J380" s="1033"/>
      <c r="K380" s="1033"/>
      <c r="L380" s="574"/>
      <c r="M380" s="51"/>
      <c r="N380" s="113">
        <f t="shared" si="45"/>
        <v>5891</v>
      </c>
      <c r="O380" s="575">
        <v>0</v>
      </c>
      <c r="P380" s="576"/>
      <c r="Q380" s="589"/>
      <c r="R380" s="121"/>
      <c r="S380" s="579">
        <v>0</v>
      </c>
      <c r="T380" s="580">
        <f>+IF(ABS(+O380+Q380)&lt;=ABS(P380+R380),-O380+P380-Q380+R380,0)</f>
        <v>0</v>
      </c>
      <c r="U380" s="51"/>
      <c r="V380" s="2119">
        <f>+IF(OR(+ROUND(O380,2)+ROUND(Q380,2)&gt;ROUND(P380,2)+ROUND(R380,2),+ABS(ROUND(O380,2)+ROUND(Q380,2))&gt;+ABS(ROUND(P380,2)+ROUND(R380,2))),+(ROUND(O380,2)+ROUND(Q380,2))-(ROUND(P380,2)+ROUND(R380,2)),0)</f>
        <v>0</v>
      </c>
      <c r="W380" s="43"/>
      <c r="X380" s="43"/>
      <c r="Y380" s="43"/>
      <c r="Z380" s="43"/>
    </row>
    <row r="381" spans="1:26">
      <c r="A381" s="591">
        <v>5892</v>
      </c>
      <c r="B381" s="1046" t="s">
        <v>320</v>
      </c>
      <c r="C381" s="1033"/>
      <c r="D381" s="1033"/>
      <c r="E381" s="1033"/>
      <c r="F381" s="1033"/>
      <c r="G381" s="1033"/>
      <c r="H381" s="1033"/>
      <c r="I381" s="1033"/>
      <c r="J381" s="1033"/>
      <c r="K381" s="1033"/>
      <c r="L381" s="574"/>
      <c r="M381" s="51"/>
      <c r="N381" s="113">
        <f t="shared" si="45"/>
        <v>5892</v>
      </c>
      <c r="O381" s="575">
        <v>0</v>
      </c>
      <c r="P381" s="576"/>
      <c r="Q381" s="589"/>
      <c r="R381" s="121"/>
      <c r="S381" s="579">
        <v>0</v>
      </c>
      <c r="T381" s="580">
        <f>+IF(ABS(+O381+Q381)&lt;=ABS(P381+R381),-O381+P381-Q381+R381,0)</f>
        <v>0</v>
      </c>
      <c r="U381" s="51"/>
      <c r="V381" s="2119">
        <f>+IF(OR(+ROUND(O381,2)+ROUND(Q381,2)&gt;ROUND(P381,2)+ROUND(R381,2),+ABS(ROUND(O381,2)+ROUND(Q381,2))&gt;+ABS(ROUND(P381,2)+ROUND(R381,2))),+(ROUND(O381,2)+ROUND(Q381,2))-(ROUND(P381,2)+ROUND(R381,2)),0)</f>
        <v>0</v>
      </c>
      <c r="W381" s="43"/>
      <c r="X381" s="43"/>
      <c r="Y381" s="43"/>
      <c r="Z381" s="43"/>
    </row>
    <row r="382" spans="1:26">
      <c r="A382" s="1047">
        <v>5894</v>
      </c>
      <c r="B382" s="1048" t="s">
        <v>321</v>
      </c>
      <c r="C382" s="1049"/>
      <c r="D382" s="1049"/>
      <c r="E382" s="1049"/>
      <c r="F382" s="1049"/>
      <c r="G382" s="1049"/>
      <c r="H382" s="1049"/>
      <c r="I382" s="1049"/>
      <c r="J382" s="1049"/>
      <c r="K382" s="1049"/>
      <c r="L382" s="1050"/>
      <c r="M382" s="51"/>
      <c r="N382" s="113">
        <f t="shared" si="45"/>
        <v>5894</v>
      </c>
      <c r="O382" s="55">
        <v>0</v>
      </c>
      <c r="P382" s="127"/>
      <c r="Q382" s="598"/>
      <c r="R382" s="127"/>
      <c r="S382" s="857">
        <v>0</v>
      </c>
      <c r="T382" s="599">
        <f>+IF(ABS(+O382+Q382)&lt;=ABS(P382+R382),-O382+P382-Q382+R382,0)</f>
        <v>0</v>
      </c>
      <c r="U382" s="51"/>
      <c r="V382" s="2119">
        <f>+IF(OR(+ROUND(O382,2)+ROUND(Q382,2)&gt;ROUND(P382,2)+ROUND(R382,2),+ABS(ROUND(O382,2)+ROUND(Q382,2))&gt;+ABS(ROUND(P382,2)+ROUND(R382,2))),+(ROUND(O382,2)+ROUND(Q382,2))-(ROUND(P382,2)+ROUND(R382,2)),0)</f>
        <v>0</v>
      </c>
      <c r="W382" s="43"/>
      <c r="X382" s="43"/>
      <c r="Y382" s="43"/>
      <c r="Z382" s="43"/>
    </row>
    <row r="383" spans="1:26">
      <c r="A383" s="398" t="s">
        <v>472</v>
      </c>
      <c r="B383" s="399"/>
      <c r="C383" s="399"/>
      <c r="D383" s="399"/>
      <c r="E383" s="399"/>
      <c r="F383" s="399"/>
      <c r="G383" s="399"/>
      <c r="H383" s="399"/>
      <c r="I383" s="399"/>
      <c r="J383" s="399"/>
      <c r="K383" s="399"/>
      <c r="L383" s="381"/>
      <c r="M383" s="51"/>
      <c r="N383" s="383">
        <v>6</v>
      </c>
      <c r="O383" s="384"/>
      <c r="P383" s="385"/>
      <c r="Q383" s="386"/>
      <c r="R383" s="385"/>
      <c r="S383" s="386"/>
      <c r="T383" s="387"/>
      <c r="U383" s="51"/>
      <c r="V383" s="2119"/>
      <c r="W383" s="43"/>
      <c r="X383" s="43"/>
      <c r="Y383" s="43"/>
      <c r="Z383" s="43"/>
    </row>
    <row r="384" spans="1:26">
      <c r="A384" s="85">
        <v>6010</v>
      </c>
      <c r="B384" s="419" t="s">
        <v>322</v>
      </c>
      <c r="C384" s="86"/>
      <c r="D384" s="86"/>
      <c r="E384" s="86"/>
      <c r="F384" s="86"/>
      <c r="G384" s="86"/>
      <c r="H384" s="86"/>
      <c r="I384" s="86"/>
      <c r="J384" s="86"/>
      <c r="K384" s="86"/>
      <c r="L384" s="87"/>
      <c r="M384" s="51"/>
      <c r="N384" s="112">
        <f t="shared" ref="N384:N447" si="46">+A384</f>
        <v>6010</v>
      </c>
      <c r="O384" s="328">
        <v>0</v>
      </c>
      <c r="P384" s="329">
        <v>0</v>
      </c>
      <c r="Q384" s="325">
        <v>0</v>
      </c>
      <c r="R384" s="324">
        <v>0</v>
      </c>
      <c r="S384" s="326">
        <f t="shared" ref="S384:S415" si="47">+IF(ABS(+O384+Q384)&gt;=ABS(P384+R384),+O384-P384+Q384-R384,0)</f>
        <v>0</v>
      </c>
      <c r="T384" s="327">
        <f t="shared" ref="T384:T409" si="48">+IF(ABS(+O384+Q384)&lt;=ABS(P384+R384),-O384+P384-Q384+R384,0)</f>
        <v>0</v>
      </c>
      <c r="U384" s="51"/>
      <c r="V384" s="2119"/>
      <c r="W384" s="43"/>
      <c r="X384" s="43"/>
      <c r="Y384" s="43"/>
      <c r="Z384" s="43"/>
    </row>
    <row r="385" spans="1:26">
      <c r="A385" s="88">
        <v>6011</v>
      </c>
      <c r="B385" s="1032" t="s">
        <v>323</v>
      </c>
      <c r="C385" s="1033"/>
      <c r="D385" s="1033"/>
      <c r="E385" s="1033"/>
      <c r="F385" s="1033"/>
      <c r="G385" s="1033"/>
      <c r="H385" s="1033"/>
      <c r="I385" s="1033"/>
      <c r="J385" s="1033"/>
      <c r="K385" s="1033"/>
      <c r="L385" s="90"/>
      <c r="M385" s="51"/>
      <c r="N385" s="113">
        <f t="shared" si="46"/>
        <v>6011</v>
      </c>
      <c r="O385" s="8">
        <v>0</v>
      </c>
      <c r="P385" s="9">
        <v>0</v>
      </c>
      <c r="Q385" s="122">
        <v>0</v>
      </c>
      <c r="R385" s="121">
        <v>0</v>
      </c>
      <c r="S385" s="27">
        <f t="shared" si="47"/>
        <v>0</v>
      </c>
      <c r="T385" s="28">
        <f t="shared" si="48"/>
        <v>0</v>
      </c>
      <c r="U385" s="51"/>
      <c r="V385" s="2119"/>
      <c r="W385" s="43"/>
      <c r="X385" s="43"/>
      <c r="Y385" s="43"/>
      <c r="Z385" s="43"/>
    </row>
    <row r="386" spans="1:26">
      <c r="A386" s="88">
        <v>6012</v>
      </c>
      <c r="B386" s="1032" t="s">
        <v>324</v>
      </c>
      <c r="C386" s="1033"/>
      <c r="D386" s="1033"/>
      <c r="E386" s="1033"/>
      <c r="F386" s="1033"/>
      <c r="G386" s="1033"/>
      <c r="H386" s="1033"/>
      <c r="I386" s="1033"/>
      <c r="J386" s="1033"/>
      <c r="K386" s="1033"/>
      <c r="L386" s="90"/>
      <c r="M386" s="51"/>
      <c r="N386" s="113">
        <f t="shared" si="46"/>
        <v>6012</v>
      </c>
      <c r="O386" s="8">
        <v>0</v>
      </c>
      <c r="P386" s="9">
        <v>0</v>
      </c>
      <c r="Q386" s="122">
        <v>0</v>
      </c>
      <c r="R386" s="121">
        <v>0</v>
      </c>
      <c r="S386" s="27">
        <f t="shared" si="47"/>
        <v>0</v>
      </c>
      <c r="T386" s="28">
        <f t="shared" si="48"/>
        <v>0</v>
      </c>
      <c r="U386" s="51"/>
      <c r="V386" s="2119"/>
      <c r="W386" s="43"/>
      <c r="X386" s="43"/>
      <c r="Y386" s="43"/>
      <c r="Z386" s="43"/>
    </row>
    <row r="387" spans="1:26">
      <c r="A387" s="88">
        <v>6013</v>
      </c>
      <c r="B387" s="1032" t="s">
        <v>325</v>
      </c>
      <c r="C387" s="1033"/>
      <c r="D387" s="1033"/>
      <c r="E387" s="1033"/>
      <c r="F387" s="1033"/>
      <c r="G387" s="1033"/>
      <c r="H387" s="1033"/>
      <c r="I387" s="1033"/>
      <c r="J387" s="1033"/>
      <c r="K387" s="1033"/>
      <c r="L387" s="90"/>
      <c r="M387" s="51"/>
      <c r="N387" s="113">
        <f t="shared" si="46"/>
        <v>6013</v>
      </c>
      <c r="O387" s="8">
        <v>0</v>
      </c>
      <c r="P387" s="9">
        <v>0</v>
      </c>
      <c r="Q387" s="122">
        <v>0</v>
      </c>
      <c r="R387" s="121">
        <v>0</v>
      </c>
      <c r="S387" s="27">
        <f t="shared" si="47"/>
        <v>0</v>
      </c>
      <c r="T387" s="28">
        <f t="shared" si="48"/>
        <v>0</v>
      </c>
      <c r="U387" s="51"/>
      <c r="V387" s="2119"/>
      <c r="W387" s="43"/>
      <c r="X387" s="43"/>
      <c r="Y387" s="43"/>
      <c r="Z387" s="43"/>
    </row>
    <row r="388" spans="1:26">
      <c r="A388" s="88">
        <v>6014</v>
      </c>
      <c r="B388" s="1032" t="s">
        <v>326</v>
      </c>
      <c r="C388" s="1033"/>
      <c r="D388" s="1033"/>
      <c r="E388" s="1033"/>
      <c r="F388" s="1033"/>
      <c r="G388" s="1033"/>
      <c r="H388" s="1033"/>
      <c r="I388" s="1033"/>
      <c r="J388" s="1033"/>
      <c r="K388" s="1033"/>
      <c r="L388" s="90"/>
      <c r="M388" s="51"/>
      <c r="N388" s="113">
        <f t="shared" si="46"/>
        <v>6014</v>
      </c>
      <c r="O388" s="8">
        <v>0</v>
      </c>
      <c r="P388" s="9">
        <v>0</v>
      </c>
      <c r="Q388" s="122">
        <v>0</v>
      </c>
      <c r="R388" s="121">
        <v>0</v>
      </c>
      <c r="S388" s="27">
        <f t="shared" si="47"/>
        <v>0</v>
      </c>
      <c r="T388" s="28">
        <f t="shared" si="48"/>
        <v>0</v>
      </c>
      <c r="U388" s="51"/>
      <c r="V388" s="2119"/>
      <c r="W388" s="43"/>
      <c r="X388" s="43"/>
      <c r="Y388" s="43"/>
      <c r="Z388" s="43"/>
    </row>
    <row r="389" spans="1:26">
      <c r="A389" s="88">
        <v>6015</v>
      </c>
      <c r="B389" s="1032" t="s">
        <v>327</v>
      </c>
      <c r="C389" s="1033"/>
      <c r="D389" s="1033"/>
      <c r="E389" s="1033"/>
      <c r="F389" s="1033"/>
      <c r="G389" s="1033"/>
      <c r="H389" s="1033"/>
      <c r="I389" s="1033"/>
      <c r="J389" s="1033"/>
      <c r="K389" s="1033"/>
      <c r="L389" s="90"/>
      <c r="M389" s="51"/>
      <c r="N389" s="113">
        <f t="shared" si="46"/>
        <v>6015</v>
      </c>
      <c r="O389" s="8">
        <v>0</v>
      </c>
      <c r="P389" s="9">
        <v>0</v>
      </c>
      <c r="Q389" s="122">
        <v>0</v>
      </c>
      <c r="R389" s="121">
        <v>0</v>
      </c>
      <c r="S389" s="27">
        <f t="shared" si="47"/>
        <v>0</v>
      </c>
      <c r="T389" s="28">
        <f t="shared" si="48"/>
        <v>0</v>
      </c>
      <c r="U389" s="51"/>
      <c r="V389" s="2119"/>
      <c r="W389" s="43"/>
      <c r="X389" s="43"/>
      <c r="Y389" s="43"/>
      <c r="Z389" s="43"/>
    </row>
    <row r="390" spans="1:26">
      <c r="A390" s="88">
        <v>6016</v>
      </c>
      <c r="B390" s="1032" t="s">
        <v>328</v>
      </c>
      <c r="C390" s="1033"/>
      <c r="D390" s="1033"/>
      <c r="E390" s="1033"/>
      <c r="F390" s="1033"/>
      <c r="G390" s="1033"/>
      <c r="H390" s="1033"/>
      <c r="I390" s="1033"/>
      <c r="J390" s="1033"/>
      <c r="K390" s="1033"/>
      <c r="L390" s="90"/>
      <c r="M390" s="51"/>
      <c r="N390" s="113">
        <f t="shared" si="46"/>
        <v>6016</v>
      </c>
      <c r="O390" s="8">
        <v>0</v>
      </c>
      <c r="P390" s="9">
        <v>0</v>
      </c>
      <c r="Q390" s="122">
        <v>0</v>
      </c>
      <c r="R390" s="121">
        <v>0</v>
      </c>
      <c r="S390" s="27">
        <f t="shared" si="47"/>
        <v>0</v>
      </c>
      <c r="T390" s="28">
        <f t="shared" si="48"/>
        <v>0</v>
      </c>
      <c r="U390" s="51"/>
      <c r="V390" s="2119"/>
      <c r="W390" s="43"/>
      <c r="X390" s="43"/>
      <c r="Y390" s="43"/>
      <c r="Z390" s="43"/>
    </row>
    <row r="391" spans="1:26">
      <c r="A391" s="88">
        <v>6017</v>
      </c>
      <c r="B391" s="1032" t="s">
        <v>329</v>
      </c>
      <c r="C391" s="1033"/>
      <c r="D391" s="1033"/>
      <c r="E391" s="1033"/>
      <c r="F391" s="1033"/>
      <c r="G391" s="1033"/>
      <c r="H391" s="1033"/>
      <c r="I391" s="1033"/>
      <c r="J391" s="1033"/>
      <c r="K391" s="1033"/>
      <c r="L391" s="90"/>
      <c r="M391" s="51"/>
      <c r="N391" s="113">
        <f t="shared" si="46"/>
        <v>6017</v>
      </c>
      <c r="O391" s="8">
        <v>0</v>
      </c>
      <c r="P391" s="9">
        <v>0</v>
      </c>
      <c r="Q391" s="122">
        <v>0</v>
      </c>
      <c r="R391" s="121">
        <v>0</v>
      </c>
      <c r="S391" s="27">
        <f t="shared" si="47"/>
        <v>0</v>
      </c>
      <c r="T391" s="28">
        <f t="shared" si="48"/>
        <v>0</v>
      </c>
      <c r="U391" s="51"/>
      <c r="V391" s="2119"/>
      <c r="W391" s="43"/>
      <c r="X391" s="43"/>
      <c r="Y391" s="43"/>
      <c r="Z391" s="43"/>
    </row>
    <row r="392" spans="1:26">
      <c r="A392" s="88">
        <v>6018</v>
      </c>
      <c r="B392" s="1032" t="s">
        <v>330</v>
      </c>
      <c r="C392" s="1033"/>
      <c r="D392" s="1033"/>
      <c r="E392" s="1033"/>
      <c r="F392" s="1033"/>
      <c r="G392" s="1033"/>
      <c r="H392" s="1033"/>
      <c r="I392" s="1033"/>
      <c r="J392" s="1033"/>
      <c r="K392" s="1033"/>
      <c r="L392" s="90"/>
      <c r="M392" s="51"/>
      <c r="N392" s="113">
        <f t="shared" si="46"/>
        <v>6018</v>
      </c>
      <c r="O392" s="8">
        <v>0</v>
      </c>
      <c r="P392" s="9">
        <v>0</v>
      </c>
      <c r="Q392" s="122">
        <v>0</v>
      </c>
      <c r="R392" s="121">
        <v>0</v>
      </c>
      <c r="S392" s="27">
        <f t="shared" si="47"/>
        <v>0</v>
      </c>
      <c r="T392" s="28">
        <f t="shared" si="48"/>
        <v>0</v>
      </c>
      <c r="U392" s="51"/>
      <c r="V392" s="2119"/>
      <c r="W392" s="43"/>
      <c r="X392" s="43"/>
      <c r="Y392" s="43"/>
      <c r="Z392" s="43"/>
    </row>
    <row r="393" spans="1:26">
      <c r="A393" s="88">
        <v>6019</v>
      </c>
      <c r="B393" s="1032" t="s">
        <v>331</v>
      </c>
      <c r="C393" s="1033"/>
      <c r="D393" s="1033"/>
      <c r="E393" s="1033"/>
      <c r="F393" s="1033"/>
      <c r="G393" s="1033"/>
      <c r="H393" s="1033"/>
      <c r="I393" s="1033"/>
      <c r="J393" s="1033"/>
      <c r="K393" s="1033"/>
      <c r="L393" s="90"/>
      <c r="M393" s="51"/>
      <c r="N393" s="113">
        <f t="shared" si="46"/>
        <v>6019</v>
      </c>
      <c r="O393" s="8">
        <v>0</v>
      </c>
      <c r="P393" s="9">
        <v>0</v>
      </c>
      <c r="Q393" s="122">
        <v>0</v>
      </c>
      <c r="R393" s="121">
        <v>0</v>
      </c>
      <c r="S393" s="27">
        <f t="shared" si="47"/>
        <v>0</v>
      </c>
      <c r="T393" s="28">
        <f t="shared" si="48"/>
        <v>0</v>
      </c>
      <c r="U393" s="51"/>
      <c r="V393" s="2119"/>
      <c r="W393" s="43"/>
      <c r="X393" s="43"/>
      <c r="Y393" s="43"/>
      <c r="Z393" s="43"/>
    </row>
    <row r="394" spans="1:26">
      <c r="A394" s="88">
        <v>6021</v>
      </c>
      <c r="B394" s="1032" t="s">
        <v>332</v>
      </c>
      <c r="C394" s="1033"/>
      <c r="D394" s="1033"/>
      <c r="E394" s="1033"/>
      <c r="F394" s="1033"/>
      <c r="G394" s="1033"/>
      <c r="H394" s="1033"/>
      <c r="I394" s="1033"/>
      <c r="J394" s="1033"/>
      <c r="K394" s="1033"/>
      <c r="L394" s="90"/>
      <c r="M394" s="51"/>
      <c r="N394" s="113">
        <f t="shared" si="46"/>
        <v>6021</v>
      </c>
      <c r="O394" s="8">
        <v>0</v>
      </c>
      <c r="P394" s="9">
        <v>0</v>
      </c>
      <c r="Q394" s="122">
        <v>0</v>
      </c>
      <c r="R394" s="121">
        <v>0</v>
      </c>
      <c r="S394" s="27">
        <f t="shared" si="47"/>
        <v>0</v>
      </c>
      <c r="T394" s="28">
        <f t="shared" si="48"/>
        <v>0</v>
      </c>
      <c r="U394" s="51"/>
      <c r="V394" s="2119"/>
      <c r="W394" s="43"/>
      <c r="X394" s="43"/>
      <c r="Y394" s="43"/>
      <c r="Z394" s="43"/>
    </row>
    <row r="395" spans="1:26">
      <c r="A395" s="88">
        <v>6022</v>
      </c>
      <c r="B395" s="1032" t="s">
        <v>333</v>
      </c>
      <c r="C395" s="1033"/>
      <c r="D395" s="1033"/>
      <c r="E395" s="1033"/>
      <c r="F395" s="1033"/>
      <c r="G395" s="1033"/>
      <c r="H395" s="1033"/>
      <c r="I395" s="1033"/>
      <c r="J395" s="1033"/>
      <c r="K395" s="1033"/>
      <c r="L395" s="90"/>
      <c r="M395" s="51"/>
      <c r="N395" s="113">
        <f t="shared" si="46"/>
        <v>6022</v>
      </c>
      <c r="O395" s="8">
        <v>0</v>
      </c>
      <c r="P395" s="9">
        <v>0</v>
      </c>
      <c r="Q395" s="122">
        <v>0</v>
      </c>
      <c r="R395" s="121">
        <v>0</v>
      </c>
      <c r="S395" s="27">
        <f t="shared" si="47"/>
        <v>0</v>
      </c>
      <c r="T395" s="28">
        <f t="shared" si="48"/>
        <v>0</v>
      </c>
      <c r="U395" s="51"/>
      <c r="V395" s="2119"/>
      <c r="W395" s="43"/>
      <c r="X395" s="43"/>
      <c r="Y395" s="43"/>
      <c r="Z395" s="43"/>
    </row>
    <row r="396" spans="1:26">
      <c r="A396" s="88">
        <v>6023</v>
      </c>
      <c r="B396" s="1032" t="s">
        <v>334</v>
      </c>
      <c r="C396" s="1033"/>
      <c r="D396" s="1033"/>
      <c r="E396" s="1033"/>
      <c r="F396" s="1033"/>
      <c r="G396" s="1033"/>
      <c r="H396" s="1033"/>
      <c r="I396" s="1033"/>
      <c r="J396" s="1033"/>
      <c r="K396" s="1033"/>
      <c r="L396" s="90"/>
      <c r="M396" s="51"/>
      <c r="N396" s="113">
        <f t="shared" si="46"/>
        <v>6023</v>
      </c>
      <c r="O396" s="8">
        <v>0</v>
      </c>
      <c r="P396" s="9">
        <v>0</v>
      </c>
      <c r="Q396" s="122">
        <v>0</v>
      </c>
      <c r="R396" s="121">
        <v>0</v>
      </c>
      <c r="S396" s="27">
        <f t="shared" si="47"/>
        <v>0</v>
      </c>
      <c r="T396" s="28">
        <f t="shared" si="48"/>
        <v>0</v>
      </c>
      <c r="U396" s="51"/>
      <c r="V396" s="2119"/>
      <c r="W396" s="43"/>
      <c r="X396" s="43"/>
      <c r="Y396" s="43"/>
      <c r="Z396" s="43"/>
    </row>
    <row r="397" spans="1:26">
      <c r="A397" s="88">
        <v>6025</v>
      </c>
      <c r="B397" s="1032" t="s">
        <v>335</v>
      </c>
      <c r="C397" s="1033"/>
      <c r="D397" s="1033"/>
      <c r="E397" s="1033"/>
      <c r="F397" s="1033"/>
      <c r="G397" s="1033"/>
      <c r="H397" s="1033"/>
      <c r="I397" s="1033"/>
      <c r="J397" s="1033"/>
      <c r="K397" s="1033"/>
      <c r="L397" s="90"/>
      <c r="M397" s="51"/>
      <c r="N397" s="113">
        <f t="shared" si="46"/>
        <v>6025</v>
      </c>
      <c r="O397" s="8">
        <v>0</v>
      </c>
      <c r="P397" s="9">
        <v>0</v>
      </c>
      <c r="Q397" s="122">
        <v>0</v>
      </c>
      <c r="R397" s="121">
        <v>0</v>
      </c>
      <c r="S397" s="27">
        <f t="shared" si="47"/>
        <v>0</v>
      </c>
      <c r="T397" s="28">
        <f t="shared" si="48"/>
        <v>0</v>
      </c>
      <c r="U397" s="51"/>
      <c r="V397" s="2119"/>
      <c r="W397" s="43"/>
      <c r="X397" s="43"/>
      <c r="Y397" s="43"/>
      <c r="Z397" s="43"/>
    </row>
    <row r="398" spans="1:26">
      <c r="A398" s="88">
        <v>6026</v>
      </c>
      <c r="B398" s="1032" t="s">
        <v>336</v>
      </c>
      <c r="C398" s="1033"/>
      <c r="D398" s="1033"/>
      <c r="E398" s="1033"/>
      <c r="F398" s="1033"/>
      <c r="G398" s="1033"/>
      <c r="H398" s="1033"/>
      <c r="I398" s="1033"/>
      <c r="J398" s="1033"/>
      <c r="K398" s="1033"/>
      <c r="L398" s="90"/>
      <c r="M398" s="51"/>
      <c r="N398" s="113">
        <f t="shared" si="46"/>
        <v>6026</v>
      </c>
      <c r="O398" s="8">
        <v>0</v>
      </c>
      <c r="P398" s="9">
        <v>0</v>
      </c>
      <c r="Q398" s="122">
        <v>0</v>
      </c>
      <c r="R398" s="121">
        <v>0</v>
      </c>
      <c r="S398" s="27">
        <f t="shared" si="47"/>
        <v>0</v>
      </c>
      <c r="T398" s="28">
        <f t="shared" si="48"/>
        <v>0</v>
      </c>
      <c r="U398" s="51"/>
      <c r="V398" s="2119"/>
      <c r="W398" s="43"/>
      <c r="X398" s="43"/>
      <c r="Y398" s="43"/>
      <c r="Z398" s="43"/>
    </row>
    <row r="399" spans="1:26">
      <c r="A399" s="88">
        <v>6027</v>
      </c>
      <c r="B399" s="1032" t="s">
        <v>337</v>
      </c>
      <c r="C399" s="1033"/>
      <c r="D399" s="1033"/>
      <c r="E399" s="1033"/>
      <c r="F399" s="1033"/>
      <c r="G399" s="1033"/>
      <c r="H399" s="1033"/>
      <c r="I399" s="1033"/>
      <c r="J399" s="1033"/>
      <c r="K399" s="1033"/>
      <c r="L399" s="90"/>
      <c r="M399" s="51"/>
      <c r="N399" s="113">
        <f t="shared" si="46"/>
        <v>6027</v>
      </c>
      <c r="O399" s="8">
        <v>0</v>
      </c>
      <c r="P399" s="9">
        <v>0</v>
      </c>
      <c r="Q399" s="122">
        <v>0</v>
      </c>
      <c r="R399" s="121">
        <v>0</v>
      </c>
      <c r="S399" s="27">
        <f t="shared" si="47"/>
        <v>0</v>
      </c>
      <c r="T399" s="28">
        <f t="shared" si="48"/>
        <v>0</v>
      </c>
      <c r="U399" s="51"/>
      <c r="V399" s="2119"/>
      <c r="W399" s="43"/>
      <c r="X399" s="43"/>
      <c r="Y399" s="43"/>
      <c r="Z399" s="43"/>
    </row>
    <row r="400" spans="1:26">
      <c r="A400" s="88">
        <v>6028</v>
      </c>
      <c r="B400" s="1032" t="s">
        <v>338</v>
      </c>
      <c r="C400" s="1033"/>
      <c r="D400" s="1033"/>
      <c r="E400" s="1033"/>
      <c r="F400" s="1033"/>
      <c r="G400" s="1033"/>
      <c r="H400" s="1033"/>
      <c r="I400" s="1033"/>
      <c r="J400" s="1033"/>
      <c r="K400" s="1033"/>
      <c r="L400" s="90"/>
      <c r="M400" s="51"/>
      <c r="N400" s="113">
        <f t="shared" si="46"/>
        <v>6028</v>
      </c>
      <c r="O400" s="8">
        <v>0</v>
      </c>
      <c r="P400" s="9">
        <v>0</v>
      </c>
      <c r="Q400" s="122">
        <v>0</v>
      </c>
      <c r="R400" s="121">
        <v>0</v>
      </c>
      <c r="S400" s="27">
        <f t="shared" si="47"/>
        <v>0</v>
      </c>
      <c r="T400" s="28">
        <f t="shared" si="48"/>
        <v>0</v>
      </c>
      <c r="U400" s="51"/>
      <c r="V400" s="2119"/>
      <c r="W400" s="43"/>
      <c r="X400" s="43"/>
      <c r="Y400" s="43"/>
      <c r="Z400" s="43"/>
    </row>
    <row r="401" spans="1:26">
      <c r="A401" s="88">
        <v>6029</v>
      </c>
      <c r="B401" s="1032" t="s">
        <v>339</v>
      </c>
      <c r="C401" s="1033"/>
      <c r="D401" s="1033"/>
      <c r="E401" s="1033"/>
      <c r="F401" s="1033"/>
      <c r="G401" s="1033"/>
      <c r="H401" s="1033"/>
      <c r="I401" s="1033"/>
      <c r="J401" s="1033"/>
      <c r="K401" s="1033"/>
      <c r="L401" s="90"/>
      <c r="M401" s="51"/>
      <c r="N401" s="113">
        <f t="shared" si="46"/>
        <v>6029</v>
      </c>
      <c r="O401" s="8">
        <v>0</v>
      </c>
      <c r="P401" s="9">
        <v>0</v>
      </c>
      <c r="Q401" s="122">
        <v>0</v>
      </c>
      <c r="R401" s="121">
        <v>0</v>
      </c>
      <c r="S401" s="27">
        <f t="shared" si="47"/>
        <v>0</v>
      </c>
      <c r="T401" s="28">
        <f t="shared" si="48"/>
        <v>0</v>
      </c>
      <c r="U401" s="51"/>
      <c r="V401" s="2119"/>
      <c r="W401" s="43"/>
      <c r="X401" s="43"/>
      <c r="Y401" s="43"/>
      <c r="Z401" s="43"/>
    </row>
    <row r="402" spans="1:26">
      <c r="A402" s="591">
        <v>6030</v>
      </c>
      <c r="B402" s="1034" t="s">
        <v>340</v>
      </c>
      <c r="C402" s="1033"/>
      <c r="D402" s="1033"/>
      <c r="E402" s="1033"/>
      <c r="F402" s="1033"/>
      <c r="G402" s="1033"/>
      <c r="H402" s="1033"/>
      <c r="I402" s="1033"/>
      <c r="J402" s="1033"/>
      <c r="K402" s="1033"/>
      <c r="L402" s="574"/>
      <c r="M402" s="51"/>
      <c r="N402" s="1733">
        <f t="shared" si="46"/>
        <v>6030</v>
      </c>
      <c r="O402" s="575">
        <v>0</v>
      </c>
      <c r="P402" s="582">
        <v>0</v>
      </c>
      <c r="Q402" s="579">
        <v>0</v>
      </c>
      <c r="R402" s="582">
        <v>0</v>
      </c>
      <c r="S402" s="27">
        <f t="shared" si="47"/>
        <v>0</v>
      </c>
      <c r="T402" s="28">
        <f t="shared" si="48"/>
        <v>0</v>
      </c>
      <c r="U402" s="51"/>
      <c r="V402" s="2125">
        <f t="shared" ref="V402:V409" si="49">+IF(OR(O402&lt;&gt;0,P402&lt;&gt;0,Q402&lt;&gt;0,R402&lt;&gt;0,S402&lt;&gt;0,T402&lt;&gt;0),+IF(ABS(O402+Q402)-ABS(P402+R402)&lt;&gt;0,ABS(O402+Q402)-ABS(P402+R402),1),0)</f>
        <v>0</v>
      </c>
      <c r="W402" s="43"/>
      <c r="X402" s="43"/>
      <c r="Y402" s="43"/>
      <c r="Z402" s="43"/>
    </row>
    <row r="403" spans="1:26">
      <c r="A403" s="591">
        <v>6032</v>
      </c>
      <c r="B403" s="1034" t="s">
        <v>341</v>
      </c>
      <c r="C403" s="1033"/>
      <c r="D403" s="1033"/>
      <c r="E403" s="1033"/>
      <c r="F403" s="1033"/>
      <c r="G403" s="1033"/>
      <c r="H403" s="1033"/>
      <c r="I403" s="1033"/>
      <c r="J403" s="1033"/>
      <c r="K403" s="1033"/>
      <c r="L403" s="574"/>
      <c r="M403" s="51"/>
      <c r="N403" s="1733">
        <f t="shared" si="46"/>
        <v>6032</v>
      </c>
      <c r="O403" s="575">
        <v>0</v>
      </c>
      <c r="P403" s="582">
        <v>0</v>
      </c>
      <c r="Q403" s="579">
        <v>0</v>
      </c>
      <c r="R403" s="582">
        <v>0</v>
      </c>
      <c r="S403" s="27">
        <f t="shared" si="47"/>
        <v>0</v>
      </c>
      <c r="T403" s="28">
        <f t="shared" si="48"/>
        <v>0</v>
      </c>
      <c r="U403" s="51"/>
      <c r="V403" s="2125">
        <f t="shared" si="49"/>
        <v>0</v>
      </c>
      <c r="W403" s="43"/>
      <c r="X403" s="43"/>
      <c r="Y403" s="43"/>
      <c r="Z403" s="43"/>
    </row>
    <row r="404" spans="1:26">
      <c r="A404" s="591">
        <v>6033</v>
      </c>
      <c r="B404" s="1034" t="s">
        <v>342</v>
      </c>
      <c r="C404" s="1033"/>
      <c r="D404" s="1033"/>
      <c r="E404" s="1033"/>
      <c r="F404" s="1033"/>
      <c r="G404" s="1033"/>
      <c r="H404" s="1033"/>
      <c r="I404" s="1033"/>
      <c r="J404" s="1033"/>
      <c r="K404" s="1033"/>
      <c r="L404" s="574"/>
      <c r="M404" s="51"/>
      <c r="N404" s="1733">
        <f t="shared" si="46"/>
        <v>6033</v>
      </c>
      <c r="O404" s="575">
        <v>0</v>
      </c>
      <c r="P404" s="582">
        <v>0</v>
      </c>
      <c r="Q404" s="579">
        <v>0</v>
      </c>
      <c r="R404" s="582">
        <v>0</v>
      </c>
      <c r="S404" s="27">
        <f t="shared" si="47"/>
        <v>0</v>
      </c>
      <c r="T404" s="28">
        <f t="shared" si="48"/>
        <v>0</v>
      </c>
      <c r="U404" s="51"/>
      <c r="V404" s="2125">
        <f t="shared" si="49"/>
        <v>0</v>
      </c>
      <c r="W404" s="43"/>
      <c r="X404" s="43"/>
      <c r="Y404" s="43"/>
      <c r="Z404" s="43"/>
    </row>
    <row r="405" spans="1:26">
      <c r="A405" s="591">
        <v>6034</v>
      </c>
      <c r="B405" s="1034" t="s">
        <v>343</v>
      </c>
      <c r="C405" s="1033"/>
      <c r="D405" s="1033"/>
      <c r="E405" s="1033"/>
      <c r="F405" s="1033"/>
      <c r="G405" s="1033"/>
      <c r="H405" s="1033"/>
      <c r="I405" s="1033"/>
      <c r="J405" s="1033"/>
      <c r="K405" s="1033"/>
      <c r="L405" s="574"/>
      <c r="M405" s="51"/>
      <c r="N405" s="1733">
        <f t="shared" si="46"/>
        <v>6034</v>
      </c>
      <c r="O405" s="575">
        <v>0</v>
      </c>
      <c r="P405" s="582">
        <v>0</v>
      </c>
      <c r="Q405" s="579">
        <v>0</v>
      </c>
      <c r="R405" s="582">
        <v>0</v>
      </c>
      <c r="S405" s="27">
        <f t="shared" si="47"/>
        <v>0</v>
      </c>
      <c r="T405" s="28">
        <f t="shared" si="48"/>
        <v>0</v>
      </c>
      <c r="U405" s="51"/>
      <c r="V405" s="2125">
        <f t="shared" si="49"/>
        <v>0</v>
      </c>
      <c r="W405" s="43"/>
      <c r="X405" s="43"/>
      <c r="Y405" s="43"/>
      <c r="Z405" s="43"/>
    </row>
    <row r="406" spans="1:26">
      <c r="A406" s="591">
        <v>6035</v>
      </c>
      <c r="B406" s="1034" t="s">
        <v>344</v>
      </c>
      <c r="C406" s="1033"/>
      <c r="D406" s="1033"/>
      <c r="E406" s="1033"/>
      <c r="F406" s="1033"/>
      <c r="G406" s="1033"/>
      <c r="H406" s="1033"/>
      <c r="I406" s="1033"/>
      <c r="J406" s="1033"/>
      <c r="K406" s="1033"/>
      <c r="L406" s="574"/>
      <c r="M406" s="51"/>
      <c r="N406" s="1733">
        <f t="shared" si="46"/>
        <v>6035</v>
      </c>
      <c r="O406" s="575">
        <v>0</v>
      </c>
      <c r="P406" s="582">
        <v>0</v>
      </c>
      <c r="Q406" s="579">
        <v>0</v>
      </c>
      <c r="R406" s="582">
        <v>0</v>
      </c>
      <c r="S406" s="27">
        <f t="shared" si="47"/>
        <v>0</v>
      </c>
      <c r="T406" s="28">
        <f t="shared" si="48"/>
        <v>0</v>
      </c>
      <c r="U406" s="51"/>
      <c r="V406" s="2125">
        <f t="shared" si="49"/>
        <v>0</v>
      </c>
      <c r="W406" s="43"/>
      <c r="X406" s="43"/>
      <c r="Y406" s="43"/>
      <c r="Z406" s="43"/>
    </row>
    <row r="407" spans="1:26">
      <c r="A407" s="591">
        <v>6036</v>
      </c>
      <c r="B407" s="1034" t="s">
        <v>345</v>
      </c>
      <c r="C407" s="1033"/>
      <c r="D407" s="1033"/>
      <c r="E407" s="1033"/>
      <c r="F407" s="1033"/>
      <c r="G407" s="1033"/>
      <c r="H407" s="1033"/>
      <c r="I407" s="1033"/>
      <c r="J407" s="1033"/>
      <c r="K407" s="1033"/>
      <c r="L407" s="574"/>
      <c r="M407" s="51"/>
      <c r="N407" s="1733">
        <f t="shared" si="46"/>
        <v>6036</v>
      </c>
      <c r="O407" s="575">
        <v>0</v>
      </c>
      <c r="P407" s="582">
        <v>0</v>
      </c>
      <c r="Q407" s="579">
        <v>0</v>
      </c>
      <c r="R407" s="582">
        <v>0</v>
      </c>
      <c r="S407" s="27">
        <f t="shared" si="47"/>
        <v>0</v>
      </c>
      <c r="T407" s="28">
        <f t="shared" si="48"/>
        <v>0</v>
      </c>
      <c r="U407" s="51"/>
      <c r="V407" s="2125">
        <f t="shared" si="49"/>
        <v>0</v>
      </c>
      <c r="W407" s="43"/>
      <c r="X407" s="43"/>
      <c r="Y407" s="43"/>
      <c r="Z407" s="43"/>
    </row>
    <row r="408" spans="1:26">
      <c r="A408" s="591">
        <v>6037</v>
      </c>
      <c r="B408" s="1033" t="s">
        <v>347</v>
      </c>
      <c r="C408" s="1033"/>
      <c r="D408" s="1033"/>
      <c r="E408" s="1033"/>
      <c r="F408" s="1033"/>
      <c r="G408" s="1033"/>
      <c r="H408" s="1033"/>
      <c r="I408" s="1033"/>
      <c r="J408" s="1033"/>
      <c r="K408" s="1033"/>
      <c r="L408" s="574"/>
      <c r="M408" s="51"/>
      <c r="N408" s="1733">
        <f t="shared" si="46"/>
        <v>6037</v>
      </c>
      <c r="O408" s="575">
        <v>0</v>
      </c>
      <c r="P408" s="582">
        <v>0</v>
      </c>
      <c r="Q408" s="579">
        <v>0</v>
      </c>
      <c r="R408" s="582">
        <v>0</v>
      </c>
      <c r="S408" s="27">
        <f t="shared" si="47"/>
        <v>0</v>
      </c>
      <c r="T408" s="28">
        <f t="shared" si="48"/>
        <v>0</v>
      </c>
      <c r="U408" s="51"/>
      <c r="V408" s="2125">
        <f t="shared" si="49"/>
        <v>0</v>
      </c>
      <c r="W408" s="43"/>
      <c r="X408" s="43"/>
      <c r="Y408" s="43"/>
      <c r="Z408" s="43"/>
    </row>
    <row r="409" spans="1:26">
      <c r="A409" s="591">
        <v>6039</v>
      </c>
      <c r="B409" s="1034" t="s">
        <v>346</v>
      </c>
      <c r="C409" s="1033"/>
      <c r="D409" s="1033"/>
      <c r="E409" s="1033"/>
      <c r="F409" s="1033"/>
      <c r="G409" s="1033"/>
      <c r="H409" s="1033"/>
      <c r="I409" s="1033"/>
      <c r="J409" s="1033"/>
      <c r="K409" s="1033"/>
      <c r="L409" s="574"/>
      <c r="M409" s="51"/>
      <c r="N409" s="1733">
        <f t="shared" si="46"/>
        <v>6039</v>
      </c>
      <c r="O409" s="575">
        <v>0</v>
      </c>
      <c r="P409" s="582">
        <v>0</v>
      </c>
      <c r="Q409" s="579">
        <v>0</v>
      </c>
      <c r="R409" s="582">
        <v>0</v>
      </c>
      <c r="S409" s="27">
        <f t="shared" si="47"/>
        <v>0</v>
      </c>
      <c r="T409" s="28">
        <f t="shared" si="48"/>
        <v>0</v>
      </c>
      <c r="U409" s="51"/>
      <c r="V409" s="2125">
        <f t="shared" si="49"/>
        <v>0</v>
      </c>
      <c r="W409" s="43"/>
      <c r="X409" s="43"/>
      <c r="Y409" s="43"/>
      <c r="Z409" s="43"/>
    </row>
    <row r="410" spans="1:26">
      <c r="A410" s="88">
        <v>6041</v>
      </c>
      <c r="B410" s="1033" t="s">
        <v>348</v>
      </c>
      <c r="C410" s="1033"/>
      <c r="D410" s="1033"/>
      <c r="E410" s="1033"/>
      <c r="F410" s="1033"/>
      <c r="G410" s="1033"/>
      <c r="H410" s="1033"/>
      <c r="I410" s="1033"/>
      <c r="J410" s="1033"/>
      <c r="K410" s="1033"/>
      <c r="L410" s="90"/>
      <c r="M410" s="51"/>
      <c r="N410" s="113">
        <f t="shared" si="46"/>
        <v>6041</v>
      </c>
      <c r="O410" s="8">
        <v>0</v>
      </c>
      <c r="P410" s="9">
        <v>0</v>
      </c>
      <c r="Q410" s="122">
        <v>0</v>
      </c>
      <c r="R410" s="121">
        <v>0</v>
      </c>
      <c r="S410" s="27">
        <f t="shared" si="47"/>
        <v>0</v>
      </c>
      <c r="T410" s="28">
        <f>+IF(ABS(+O410+Q410)&lt;=ABS(P410+R410),-O410+P410-Q410+R410,0)</f>
        <v>0</v>
      </c>
      <c r="U410" s="51"/>
      <c r="V410" s="2119"/>
      <c r="W410" s="43"/>
      <c r="X410" s="43"/>
      <c r="Y410" s="43"/>
      <c r="Z410" s="43"/>
    </row>
    <row r="411" spans="1:26">
      <c r="A411" s="88">
        <v>6042</v>
      </c>
      <c r="B411" s="1033" t="s">
        <v>349</v>
      </c>
      <c r="C411" s="1033"/>
      <c r="D411" s="1033"/>
      <c r="E411" s="1033"/>
      <c r="F411" s="1033"/>
      <c r="G411" s="1033"/>
      <c r="H411" s="1033"/>
      <c r="I411" s="1033"/>
      <c r="J411" s="1033"/>
      <c r="K411" s="1033"/>
      <c r="L411" s="90"/>
      <c r="M411" s="51"/>
      <c r="N411" s="113">
        <f t="shared" si="46"/>
        <v>6042</v>
      </c>
      <c r="O411" s="8">
        <v>0</v>
      </c>
      <c r="P411" s="9">
        <v>0</v>
      </c>
      <c r="Q411" s="122">
        <v>0</v>
      </c>
      <c r="R411" s="121">
        <v>0</v>
      </c>
      <c r="S411" s="27">
        <f t="shared" si="47"/>
        <v>0</v>
      </c>
      <c r="T411" s="28">
        <f>+IF(ABS(+O411+Q411)&lt;=ABS(P411+R411),-O411+P411-Q411+R411,0)</f>
        <v>0</v>
      </c>
      <c r="U411" s="51"/>
      <c r="V411" s="2119"/>
      <c r="W411" s="43"/>
      <c r="X411" s="43"/>
      <c r="Y411" s="43"/>
      <c r="Z411" s="43"/>
    </row>
    <row r="412" spans="1:26">
      <c r="A412" s="88">
        <v>6043</v>
      </c>
      <c r="B412" s="1033" t="s">
        <v>350</v>
      </c>
      <c r="C412" s="1033"/>
      <c r="D412" s="1033"/>
      <c r="E412" s="1033"/>
      <c r="F412" s="1033"/>
      <c r="G412" s="1033"/>
      <c r="H412" s="1033"/>
      <c r="I412" s="1033"/>
      <c r="J412" s="1033"/>
      <c r="K412" s="1033"/>
      <c r="L412" s="90"/>
      <c r="M412" s="51"/>
      <c r="N412" s="113">
        <f t="shared" si="46"/>
        <v>6043</v>
      </c>
      <c r="O412" s="575">
        <v>0</v>
      </c>
      <c r="P412" s="582">
        <v>0</v>
      </c>
      <c r="Q412" s="122">
        <v>0</v>
      </c>
      <c r="R412" s="121">
        <v>0</v>
      </c>
      <c r="S412" s="583">
        <f t="shared" si="47"/>
        <v>0</v>
      </c>
      <c r="T412" s="580">
        <f>+IF(ABS(+O412+Q412)&lt;=ABS(P412+R412),-O412+P412-Q412+R412,0)</f>
        <v>0</v>
      </c>
      <c r="U412" s="51"/>
      <c r="V412" s="2119"/>
      <c r="W412" s="43"/>
      <c r="X412" s="43"/>
      <c r="Y412" s="43"/>
      <c r="Z412" s="43"/>
    </row>
    <row r="413" spans="1:26">
      <c r="A413" s="88">
        <v>6044</v>
      </c>
      <c r="B413" s="1033" t="s">
        <v>351</v>
      </c>
      <c r="C413" s="1033"/>
      <c r="D413" s="1033"/>
      <c r="E413" s="1033"/>
      <c r="F413" s="1033"/>
      <c r="G413" s="1033"/>
      <c r="H413" s="1033"/>
      <c r="I413" s="1033"/>
      <c r="J413" s="1033"/>
      <c r="K413" s="1033"/>
      <c r="L413" s="90"/>
      <c r="M413" s="51"/>
      <c r="N413" s="113">
        <f t="shared" si="46"/>
        <v>6044</v>
      </c>
      <c r="O413" s="575">
        <v>0</v>
      </c>
      <c r="P413" s="582">
        <v>0</v>
      </c>
      <c r="Q413" s="122">
        <v>0</v>
      </c>
      <c r="R413" s="121">
        <v>0</v>
      </c>
      <c r="S413" s="583">
        <f t="shared" si="47"/>
        <v>0</v>
      </c>
      <c r="T413" s="580">
        <f>+IF(ABS(+O413+Q413)&lt;=ABS(P413+R413),-O413+P413-Q413+R413,0)</f>
        <v>0</v>
      </c>
      <c r="U413" s="51"/>
      <c r="V413" s="2119"/>
      <c r="W413" s="43"/>
      <c r="X413" s="43"/>
      <c r="Y413" s="43"/>
      <c r="Z413" s="43"/>
    </row>
    <row r="414" spans="1:26">
      <c r="A414" s="88">
        <v>6046</v>
      </c>
      <c r="B414" s="1033" t="s">
        <v>352</v>
      </c>
      <c r="C414" s="1033"/>
      <c r="D414" s="1033"/>
      <c r="E414" s="1033"/>
      <c r="F414" s="1033"/>
      <c r="G414" s="1033"/>
      <c r="H414" s="1033"/>
      <c r="I414" s="1033"/>
      <c r="J414" s="1033"/>
      <c r="K414" s="1033"/>
      <c r="L414" s="90"/>
      <c r="M414" s="51"/>
      <c r="N414" s="113">
        <f t="shared" si="46"/>
        <v>6046</v>
      </c>
      <c r="O414" s="575">
        <v>0</v>
      </c>
      <c r="P414" s="582">
        <v>0</v>
      </c>
      <c r="Q414" s="122"/>
      <c r="R414" s="121"/>
      <c r="S414" s="583">
        <f t="shared" si="47"/>
        <v>0</v>
      </c>
      <c r="T414" s="580">
        <f>+IF(ABS(+O414+Q414)&lt;=ABS(P414+R414),-O414+P414-Q414+R414,0)</f>
        <v>0</v>
      </c>
      <c r="U414" s="51"/>
      <c r="V414" s="2119"/>
      <c r="W414" s="43"/>
      <c r="X414" s="43"/>
      <c r="Y414" s="43"/>
      <c r="Z414" s="43"/>
    </row>
    <row r="415" spans="1:26">
      <c r="A415" s="88">
        <v>6047</v>
      </c>
      <c r="B415" s="1032" t="s">
        <v>353</v>
      </c>
      <c r="C415" s="1033"/>
      <c r="D415" s="1033"/>
      <c r="E415" s="1033"/>
      <c r="F415" s="1033"/>
      <c r="G415" s="1033"/>
      <c r="H415" s="1033"/>
      <c r="I415" s="1033"/>
      <c r="J415" s="1033"/>
      <c r="K415" s="1033"/>
      <c r="L415" s="90"/>
      <c r="M415" s="51"/>
      <c r="N415" s="113">
        <f t="shared" si="46"/>
        <v>6047</v>
      </c>
      <c r="O415" s="575">
        <v>0</v>
      </c>
      <c r="P415" s="582">
        <v>0</v>
      </c>
      <c r="Q415" s="122">
        <v>0</v>
      </c>
      <c r="R415" s="576">
        <v>0</v>
      </c>
      <c r="S415" s="583">
        <f t="shared" si="47"/>
        <v>0</v>
      </c>
      <c r="T415" s="584">
        <v>0</v>
      </c>
      <c r="U415" s="51"/>
      <c r="V415" s="2120">
        <f>+IF(OR(ROUND(P415,2)+ROUND(R415,2)&gt;+ROUND(O415,2)+ROUND(Q415,2),+ABS(ROUND(P415,2)+ROUND(R415,2))&gt;+ABS(ROUND(O415,2)+ROUND(Q415,2))),+(ROUND(P415,2)+ROUND(R415,2))-(ROUND(O415,2)+ROUND(Q415,2)),0)</f>
        <v>0</v>
      </c>
      <c r="W415" s="43"/>
      <c r="X415" s="43"/>
      <c r="Y415" s="43"/>
      <c r="Z415" s="43"/>
    </row>
    <row r="416" spans="1:26">
      <c r="A416" s="88">
        <v>6048</v>
      </c>
      <c r="B416" s="1032" t="s">
        <v>354</v>
      </c>
      <c r="C416" s="1033"/>
      <c r="D416" s="1033"/>
      <c r="E416" s="1033"/>
      <c r="F416" s="1033"/>
      <c r="G416" s="1033"/>
      <c r="H416" s="1033"/>
      <c r="I416" s="1033"/>
      <c r="J416" s="1033"/>
      <c r="K416" s="1033"/>
      <c r="L416" s="90"/>
      <c r="M416" s="51"/>
      <c r="N416" s="113">
        <f t="shared" si="46"/>
        <v>6048</v>
      </c>
      <c r="O416" s="575">
        <v>0</v>
      </c>
      <c r="P416" s="582">
        <v>0</v>
      </c>
      <c r="Q416" s="589">
        <v>0</v>
      </c>
      <c r="R416" s="121">
        <v>0</v>
      </c>
      <c r="S416" s="579">
        <v>0</v>
      </c>
      <c r="T416" s="580">
        <f t="shared" ref="T416:T479" si="50">+IF(ABS(+O416+Q416)&lt;=ABS(P416+R416),-O416+P416-Q416+R416,0)</f>
        <v>0</v>
      </c>
      <c r="U416" s="51"/>
      <c r="V416" s="2119">
        <f>+IF(OR(+ROUND(O416,2)+ROUND(Q416,2)&gt;ROUND(P416,2)+ROUND(R416,2),+ABS(ROUND(O416,2)+ROUND(Q416,2))&gt;+ABS(ROUND(P416,2)+ROUND(R416,2))),+(ROUND(O416,2)+ROUND(Q416,2))-(ROUND(P416,2)+ROUND(R416,2)),0)</f>
        <v>0</v>
      </c>
      <c r="W416" s="43"/>
      <c r="X416" s="43"/>
      <c r="Y416" s="43"/>
      <c r="Z416" s="43"/>
    </row>
    <row r="417" spans="1:26">
      <c r="A417" s="88">
        <v>6049</v>
      </c>
      <c r="B417" s="1035" t="s">
        <v>433</v>
      </c>
      <c r="C417" s="1033"/>
      <c r="D417" s="1033"/>
      <c r="E417" s="1033"/>
      <c r="F417" s="1033"/>
      <c r="G417" s="1033"/>
      <c r="H417" s="1033"/>
      <c r="I417" s="1033"/>
      <c r="J417" s="1033"/>
      <c r="K417" s="1033"/>
      <c r="L417" s="90"/>
      <c r="M417" s="51"/>
      <c r="N417" s="113">
        <f t="shared" si="46"/>
        <v>6049</v>
      </c>
      <c r="O417" s="575">
        <v>0</v>
      </c>
      <c r="P417" s="582">
        <v>0</v>
      </c>
      <c r="Q417" s="589">
        <v>0</v>
      </c>
      <c r="R417" s="576">
        <v>0</v>
      </c>
      <c r="S417" s="583">
        <f t="shared" ref="S417:S480" si="51">+IF(ABS(+O417+Q417)&gt;=ABS(P417+R417),+O417-P417+Q417-R417,0)</f>
        <v>0</v>
      </c>
      <c r="T417" s="580">
        <f t="shared" si="50"/>
        <v>0</v>
      </c>
      <c r="U417" s="51"/>
      <c r="V417" s="2119"/>
      <c r="W417" s="43"/>
      <c r="X417" s="43"/>
      <c r="Y417" s="43"/>
      <c r="Z417" s="43"/>
    </row>
    <row r="418" spans="1:26">
      <c r="A418" s="88">
        <v>6051</v>
      </c>
      <c r="B418" s="1033" t="s">
        <v>434</v>
      </c>
      <c r="C418" s="1033"/>
      <c r="D418" s="1033"/>
      <c r="E418" s="1033"/>
      <c r="F418" s="1033"/>
      <c r="G418" s="1033"/>
      <c r="H418" s="1033"/>
      <c r="I418" s="1033"/>
      <c r="J418" s="1033"/>
      <c r="K418" s="1033"/>
      <c r="L418" s="90"/>
      <c r="M418" s="51"/>
      <c r="N418" s="113">
        <f t="shared" si="46"/>
        <v>6051</v>
      </c>
      <c r="O418" s="575">
        <v>0</v>
      </c>
      <c r="P418" s="582">
        <v>0</v>
      </c>
      <c r="Q418" s="589">
        <v>0</v>
      </c>
      <c r="R418" s="576">
        <v>0</v>
      </c>
      <c r="S418" s="583">
        <f t="shared" si="51"/>
        <v>0</v>
      </c>
      <c r="T418" s="580">
        <f t="shared" si="50"/>
        <v>0</v>
      </c>
      <c r="U418" s="51"/>
      <c r="V418" s="2119"/>
      <c r="W418" s="43"/>
      <c r="X418" s="43"/>
      <c r="Y418" s="43"/>
      <c r="Z418" s="43"/>
    </row>
    <row r="419" spans="1:26">
      <c r="A419" s="88">
        <v>6052</v>
      </c>
      <c r="B419" s="1033" t="s">
        <v>435</v>
      </c>
      <c r="C419" s="1033"/>
      <c r="D419" s="1033"/>
      <c r="E419" s="1033"/>
      <c r="F419" s="1033"/>
      <c r="G419" s="1033"/>
      <c r="H419" s="1033"/>
      <c r="I419" s="1033"/>
      <c r="J419" s="1033"/>
      <c r="K419" s="1033"/>
      <c r="L419" s="90"/>
      <c r="M419" s="51"/>
      <c r="N419" s="113">
        <f t="shared" si="46"/>
        <v>6052</v>
      </c>
      <c r="O419" s="575">
        <v>0</v>
      </c>
      <c r="P419" s="582">
        <v>0</v>
      </c>
      <c r="Q419" s="589">
        <v>0</v>
      </c>
      <c r="R419" s="576">
        <v>0</v>
      </c>
      <c r="S419" s="583">
        <f t="shared" si="51"/>
        <v>0</v>
      </c>
      <c r="T419" s="580">
        <f t="shared" si="50"/>
        <v>0</v>
      </c>
      <c r="U419" s="51"/>
      <c r="V419" s="2119"/>
      <c r="W419" s="43"/>
      <c r="X419" s="43"/>
      <c r="Y419" s="43"/>
      <c r="Z419" s="43"/>
    </row>
    <row r="420" spans="1:26" ht="15.75" customHeight="1">
      <c r="A420" s="88">
        <v>6054</v>
      </c>
      <c r="B420" s="1033" t="s">
        <v>436</v>
      </c>
      <c r="C420" s="1033"/>
      <c r="D420" s="1033"/>
      <c r="E420" s="1033"/>
      <c r="F420" s="1033"/>
      <c r="G420" s="1033"/>
      <c r="H420" s="1033"/>
      <c r="I420" s="1033"/>
      <c r="J420" s="1033"/>
      <c r="K420" s="1033"/>
      <c r="L420" s="90"/>
      <c r="M420" s="51"/>
      <c r="N420" s="113">
        <f t="shared" si="46"/>
        <v>6054</v>
      </c>
      <c r="O420" s="575">
        <v>0</v>
      </c>
      <c r="P420" s="582">
        <v>0</v>
      </c>
      <c r="Q420" s="589"/>
      <c r="R420" s="576"/>
      <c r="S420" s="583">
        <f t="shared" si="51"/>
        <v>0</v>
      </c>
      <c r="T420" s="580">
        <f t="shared" si="50"/>
        <v>0</v>
      </c>
      <c r="U420" s="51"/>
      <c r="V420" s="2119"/>
      <c r="W420" s="43"/>
      <c r="X420" s="43"/>
      <c r="Y420" s="43"/>
      <c r="Z420" s="43"/>
    </row>
    <row r="421" spans="1:26">
      <c r="A421" s="88">
        <v>6055</v>
      </c>
      <c r="B421" s="1033" t="s">
        <v>437</v>
      </c>
      <c r="C421" s="1033"/>
      <c r="D421" s="1033"/>
      <c r="E421" s="1033"/>
      <c r="F421" s="1033"/>
      <c r="G421" s="1033"/>
      <c r="H421" s="1033"/>
      <c r="I421" s="1033"/>
      <c r="J421" s="1033"/>
      <c r="K421" s="1033"/>
      <c r="L421" s="90"/>
      <c r="M421" s="51"/>
      <c r="N421" s="113">
        <f t="shared" si="46"/>
        <v>6055</v>
      </c>
      <c r="O421" s="575">
        <v>0</v>
      </c>
      <c r="P421" s="582">
        <v>0</v>
      </c>
      <c r="Q421" s="589">
        <v>0</v>
      </c>
      <c r="R421" s="576">
        <v>0</v>
      </c>
      <c r="S421" s="583">
        <f t="shared" si="51"/>
        <v>0</v>
      </c>
      <c r="T421" s="580">
        <f t="shared" si="50"/>
        <v>0</v>
      </c>
      <c r="U421" s="51"/>
      <c r="V421" s="2119"/>
      <c r="W421" s="43"/>
      <c r="X421" s="43"/>
      <c r="Y421" s="43"/>
      <c r="Z421" s="43"/>
    </row>
    <row r="422" spans="1:26">
      <c r="A422" s="88">
        <v>6056</v>
      </c>
      <c r="B422" s="1033" t="s">
        <v>438</v>
      </c>
      <c r="C422" s="1033"/>
      <c r="D422" s="1033"/>
      <c r="E422" s="1033"/>
      <c r="F422" s="1033"/>
      <c r="G422" s="1033"/>
      <c r="H422" s="1033"/>
      <c r="I422" s="1033"/>
      <c r="J422" s="1033"/>
      <c r="K422" s="1033"/>
      <c r="L422" s="90"/>
      <c r="M422" s="51"/>
      <c r="N422" s="113">
        <f t="shared" si="46"/>
        <v>6056</v>
      </c>
      <c r="O422" s="575">
        <v>0</v>
      </c>
      <c r="P422" s="582">
        <v>0</v>
      </c>
      <c r="Q422" s="589"/>
      <c r="R422" s="576"/>
      <c r="S422" s="583">
        <f t="shared" si="51"/>
        <v>0</v>
      </c>
      <c r="T422" s="580">
        <f t="shared" si="50"/>
        <v>0</v>
      </c>
      <c r="U422" s="51"/>
      <c r="V422" s="2119"/>
      <c r="W422" s="43"/>
      <c r="X422" s="43"/>
      <c r="Y422" s="43"/>
      <c r="Z422" s="43"/>
    </row>
    <row r="423" spans="1:26">
      <c r="A423" s="88">
        <v>6058</v>
      </c>
      <c r="B423" s="1033" t="s">
        <v>439</v>
      </c>
      <c r="C423" s="1033"/>
      <c r="D423" s="1033"/>
      <c r="E423" s="1033"/>
      <c r="F423" s="1033"/>
      <c r="G423" s="1033"/>
      <c r="H423" s="1033"/>
      <c r="I423" s="1033"/>
      <c r="J423" s="1033"/>
      <c r="K423" s="1033"/>
      <c r="L423" s="90"/>
      <c r="M423" s="51"/>
      <c r="N423" s="113">
        <f t="shared" si="46"/>
        <v>6058</v>
      </c>
      <c r="O423" s="575">
        <v>0</v>
      </c>
      <c r="P423" s="582">
        <v>0</v>
      </c>
      <c r="Q423" s="589"/>
      <c r="R423" s="576"/>
      <c r="S423" s="583">
        <f t="shared" si="51"/>
        <v>0</v>
      </c>
      <c r="T423" s="580">
        <f t="shared" si="50"/>
        <v>0</v>
      </c>
      <c r="U423" s="51"/>
      <c r="V423" s="2119"/>
      <c r="W423" s="43"/>
      <c r="X423" s="43"/>
      <c r="Y423" s="43"/>
      <c r="Z423" s="43"/>
    </row>
    <row r="424" spans="1:26">
      <c r="A424" s="88">
        <v>6059</v>
      </c>
      <c r="B424" s="1033" t="s">
        <v>440</v>
      </c>
      <c r="C424" s="1033"/>
      <c r="D424" s="1033"/>
      <c r="E424" s="1033"/>
      <c r="F424" s="1033"/>
      <c r="G424" s="1033"/>
      <c r="H424" s="1033"/>
      <c r="I424" s="1033"/>
      <c r="J424" s="1033"/>
      <c r="K424" s="1033"/>
      <c r="L424" s="90"/>
      <c r="M424" s="51"/>
      <c r="N424" s="113">
        <f t="shared" si="46"/>
        <v>6059</v>
      </c>
      <c r="O424" s="575">
        <v>0</v>
      </c>
      <c r="P424" s="582">
        <v>0</v>
      </c>
      <c r="Q424" s="589">
        <v>0</v>
      </c>
      <c r="R424" s="576">
        <v>0</v>
      </c>
      <c r="S424" s="583">
        <f t="shared" si="51"/>
        <v>0</v>
      </c>
      <c r="T424" s="580">
        <f t="shared" si="50"/>
        <v>0</v>
      </c>
      <c r="U424" s="51"/>
      <c r="V424" s="2119"/>
      <c r="W424" s="43"/>
      <c r="X424" s="43"/>
      <c r="Y424" s="43"/>
      <c r="Z424" s="43"/>
    </row>
    <row r="425" spans="1:26">
      <c r="A425" s="88">
        <v>6061</v>
      </c>
      <c r="B425" s="1032" t="s">
        <v>441</v>
      </c>
      <c r="C425" s="1033"/>
      <c r="D425" s="1033"/>
      <c r="E425" s="1033"/>
      <c r="F425" s="1033"/>
      <c r="G425" s="1033"/>
      <c r="H425" s="1033"/>
      <c r="I425" s="1033"/>
      <c r="J425" s="1033"/>
      <c r="K425" s="1033"/>
      <c r="L425" s="90"/>
      <c r="M425" s="51"/>
      <c r="N425" s="113">
        <f t="shared" si="46"/>
        <v>6061</v>
      </c>
      <c r="O425" s="575">
        <v>0</v>
      </c>
      <c r="P425" s="582">
        <v>0</v>
      </c>
      <c r="Q425" s="589">
        <v>0</v>
      </c>
      <c r="R425" s="576">
        <v>0</v>
      </c>
      <c r="S425" s="583">
        <f t="shared" si="51"/>
        <v>0</v>
      </c>
      <c r="T425" s="580">
        <f t="shared" si="50"/>
        <v>0</v>
      </c>
      <c r="U425" s="51"/>
      <c r="V425" s="2119"/>
      <c r="W425" s="43"/>
      <c r="X425" s="43"/>
      <c r="Y425" s="43"/>
      <c r="Z425" s="43"/>
    </row>
    <row r="426" spans="1:26">
      <c r="A426" s="88">
        <v>6062</v>
      </c>
      <c r="B426" s="1032" t="s">
        <v>442</v>
      </c>
      <c r="C426" s="1033"/>
      <c r="D426" s="1033"/>
      <c r="E426" s="1033"/>
      <c r="F426" s="1033"/>
      <c r="G426" s="1033"/>
      <c r="H426" s="1033"/>
      <c r="I426" s="1033"/>
      <c r="J426" s="1033"/>
      <c r="K426" s="1033"/>
      <c r="L426" s="90"/>
      <c r="M426" s="51"/>
      <c r="N426" s="113">
        <f t="shared" si="46"/>
        <v>6062</v>
      </c>
      <c r="O426" s="575">
        <v>0</v>
      </c>
      <c r="P426" s="582">
        <v>0</v>
      </c>
      <c r="Q426" s="589">
        <v>0</v>
      </c>
      <c r="R426" s="576">
        <v>0</v>
      </c>
      <c r="S426" s="583">
        <f t="shared" si="51"/>
        <v>0</v>
      </c>
      <c r="T426" s="580">
        <f t="shared" si="50"/>
        <v>0</v>
      </c>
      <c r="U426" s="51"/>
      <c r="V426" s="2119"/>
      <c r="W426" s="43"/>
      <c r="X426" s="43"/>
      <c r="Y426" s="43"/>
      <c r="Z426" s="43"/>
    </row>
    <row r="427" spans="1:26">
      <c r="A427" s="88">
        <v>6063</v>
      </c>
      <c r="B427" s="1032" t="s">
        <v>443</v>
      </c>
      <c r="C427" s="1033"/>
      <c r="D427" s="1033"/>
      <c r="E427" s="1033"/>
      <c r="F427" s="1033"/>
      <c r="G427" s="1033"/>
      <c r="H427" s="1033"/>
      <c r="I427" s="1033"/>
      <c r="J427" s="1033"/>
      <c r="K427" s="1033"/>
      <c r="L427" s="90"/>
      <c r="M427" s="51"/>
      <c r="N427" s="113">
        <f t="shared" si="46"/>
        <v>6063</v>
      </c>
      <c r="O427" s="575">
        <v>0</v>
      </c>
      <c r="P427" s="582">
        <v>0</v>
      </c>
      <c r="Q427" s="589">
        <v>0</v>
      </c>
      <c r="R427" s="576">
        <v>0</v>
      </c>
      <c r="S427" s="583">
        <f t="shared" si="51"/>
        <v>0</v>
      </c>
      <c r="T427" s="580">
        <f t="shared" si="50"/>
        <v>0</v>
      </c>
      <c r="U427" s="51"/>
      <c r="V427" s="2119"/>
      <c r="W427" s="43"/>
      <c r="X427" s="43"/>
      <c r="Y427" s="43"/>
      <c r="Z427" s="43"/>
    </row>
    <row r="428" spans="1:26">
      <c r="A428" s="88">
        <v>6064</v>
      </c>
      <c r="B428" s="1032" t="s">
        <v>444</v>
      </c>
      <c r="C428" s="1033"/>
      <c r="D428" s="1033"/>
      <c r="E428" s="1033"/>
      <c r="F428" s="1033"/>
      <c r="G428" s="1033"/>
      <c r="H428" s="1033"/>
      <c r="I428" s="1033"/>
      <c r="J428" s="1033"/>
      <c r="K428" s="1033"/>
      <c r="L428" s="90"/>
      <c r="M428" s="51"/>
      <c r="N428" s="113">
        <f t="shared" si="46"/>
        <v>6064</v>
      </c>
      <c r="O428" s="575">
        <v>0</v>
      </c>
      <c r="P428" s="582">
        <v>0</v>
      </c>
      <c r="Q428" s="589">
        <v>0</v>
      </c>
      <c r="R428" s="576">
        <v>0</v>
      </c>
      <c r="S428" s="583">
        <f t="shared" si="51"/>
        <v>0</v>
      </c>
      <c r="T428" s="580">
        <f t="shared" si="50"/>
        <v>0</v>
      </c>
      <c r="U428" s="51"/>
      <c r="V428" s="2119"/>
      <c r="W428" s="43"/>
      <c r="X428" s="43"/>
      <c r="Y428" s="43"/>
      <c r="Z428" s="43"/>
    </row>
    <row r="429" spans="1:26">
      <c r="A429" s="88">
        <v>6065</v>
      </c>
      <c r="B429" s="1032" t="s">
        <v>445</v>
      </c>
      <c r="C429" s="1033"/>
      <c r="D429" s="1033"/>
      <c r="E429" s="1033"/>
      <c r="F429" s="1033"/>
      <c r="G429" s="1033"/>
      <c r="H429" s="1033"/>
      <c r="I429" s="1033"/>
      <c r="J429" s="1033"/>
      <c r="K429" s="1033"/>
      <c r="L429" s="90"/>
      <c r="M429" s="51"/>
      <c r="N429" s="113">
        <f t="shared" si="46"/>
        <v>6065</v>
      </c>
      <c r="O429" s="575">
        <v>0</v>
      </c>
      <c r="P429" s="582">
        <v>0</v>
      </c>
      <c r="Q429" s="589">
        <v>0</v>
      </c>
      <c r="R429" s="576">
        <v>0</v>
      </c>
      <c r="S429" s="583">
        <f t="shared" si="51"/>
        <v>0</v>
      </c>
      <c r="T429" s="580">
        <f t="shared" si="50"/>
        <v>0</v>
      </c>
      <c r="U429" s="51"/>
      <c r="V429" s="2119"/>
      <c r="W429" s="43"/>
      <c r="X429" s="43"/>
      <c r="Y429" s="43"/>
      <c r="Z429" s="43"/>
    </row>
    <row r="430" spans="1:26">
      <c r="A430" s="88">
        <v>6067</v>
      </c>
      <c r="B430" s="1032" t="s">
        <v>446</v>
      </c>
      <c r="C430" s="1033"/>
      <c r="D430" s="1033"/>
      <c r="E430" s="1033"/>
      <c r="F430" s="1033"/>
      <c r="G430" s="1033"/>
      <c r="H430" s="1033"/>
      <c r="I430" s="1033"/>
      <c r="J430" s="1033"/>
      <c r="K430" s="1033"/>
      <c r="L430" s="90"/>
      <c r="M430" s="51"/>
      <c r="N430" s="113">
        <f t="shared" si="46"/>
        <v>6067</v>
      </c>
      <c r="O430" s="575">
        <v>0</v>
      </c>
      <c r="P430" s="582">
        <v>0</v>
      </c>
      <c r="Q430" s="589"/>
      <c r="R430" s="576"/>
      <c r="S430" s="583">
        <f t="shared" si="51"/>
        <v>0</v>
      </c>
      <c r="T430" s="580">
        <f t="shared" si="50"/>
        <v>0</v>
      </c>
      <c r="U430" s="51"/>
      <c r="V430" s="2119"/>
      <c r="W430" s="43"/>
      <c r="X430" s="43"/>
      <c r="Y430" s="43"/>
      <c r="Z430" s="43"/>
    </row>
    <row r="431" spans="1:26">
      <c r="A431" s="88">
        <v>6068</v>
      </c>
      <c r="B431" s="1032" t="s">
        <v>447</v>
      </c>
      <c r="C431" s="1033"/>
      <c r="D431" s="1033"/>
      <c r="E431" s="1033"/>
      <c r="F431" s="1033"/>
      <c r="G431" s="1033"/>
      <c r="H431" s="1033"/>
      <c r="I431" s="1033"/>
      <c r="J431" s="1033"/>
      <c r="K431" s="1033"/>
      <c r="L431" s="90"/>
      <c r="M431" s="51"/>
      <c r="N431" s="113">
        <f t="shared" si="46"/>
        <v>6068</v>
      </c>
      <c r="O431" s="575">
        <v>0</v>
      </c>
      <c r="P431" s="582">
        <v>0</v>
      </c>
      <c r="Q431" s="589"/>
      <c r="R431" s="576"/>
      <c r="S431" s="583">
        <f t="shared" si="51"/>
        <v>0</v>
      </c>
      <c r="T431" s="580">
        <f t="shared" si="50"/>
        <v>0</v>
      </c>
      <c r="U431" s="51"/>
      <c r="V431" s="2119"/>
      <c r="W431" s="43"/>
      <c r="X431" s="43"/>
      <c r="Y431" s="43"/>
      <c r="Z431" s="43"/>
    </row>
    <row r="432" spans="1:26">
      <c r="A432" s="88">
        <v>6069</v>
      </c>
      <c r="B432" s="1032" t="s">
        <v>448</v>
      </c>
      <c r="C432" s="1033"/>
      <c r="D432" s="1033"/>
      <c r="E432" s="1033"/>
      <c r="F432" s="1033"/>
      <c r="G432" s="1033"/>
      <c r="H432" s="1033"/>
      <c r="I432" s="1033"/>
      <c r="J432" s="1033"/>
      <c r="K432" s="1033"/>
      <c r="L432" s="90"/>
      <c r="M432" s="51"/>
      <c r="N432" s="113">
        <f t="shared" si="46"/>
        <v>6069</v>
      </c>
      <c r="O432" s="575">
        <v>0</v>
      </c>
      <c r="P432" s="582">
        <v>0</v>
      </c>
      <c r="Q432" s="589"/>
      <c r="R432" s="576"/>
      <c r="S432" s="583">
        <f t="shared" si="51"/>
        <v>0</v>
      </c>
      <c r="T432" s="580">
        <f t="shared" si="50"/>
        <v>0</v>
      </c>
      <c r="U432" s="51"/>
      <c r="V432" s="2119"/>
      <c r="W432" s="43"/>
      <c r="X432" s="43"/>
      <c r="Y432" s="43"/>
      <c r="Z432" s="43"/>
    </row>
    <row r="433" spans="1:26">
      <c r="A433" s="88">
        <v>6071</v>
      </c>
      <c r="B433" s="1032" t="s">
        <v>449</v>
      </c>
      <c r="C433" s="1033"/>
      <c r="D433" s="1033"/>
      <c r="E433" s="1033"/>
      <c r="F433" s="1033"/>
      <c r="G433" s="1033"/>
      <c r="H433" s="1033"/>
      <c r="I433" s="1033"/>
      <c r="J433" s="1033"/>
      <c r="K433" s="1033"/>
      <c r="L433" s="90"/>
      <c r="M433" s="51"/>
      <c r="N433" s="113">
        <f t="shared" si="46"/>
        <v>6071</v>
      </c>
      <c r="O433" s="575">
        <v>0</v>
      </c>
      <c r="P433" s="582">
        <v>0</v>
      </c>
      <c r="Q433" s="589">
        <v>0</v>
      </c>
      <c r="R433" s="576">
        <v>0</v>
      </c>
      <c r="S433" s="583">
        <f t="shared" si="51"/>
        <v>0</v>
      </c>
      <c r="T433" s="580">
        <f t="shared" si="50"/>
        <v>0</v>
      </c>
      <c r="U433" s="51"/>
      <c r="V433" s="2119"/>
      <c r="W433" s="43"/>
      <c r="X433" s="43"/>
      <c r="Y433" s="43"/>
      <c r="Z433" s="43"/>
    </row>
    <row r="434" spans="1:26">
      <c r="A434" s="88">
        <v>6072</v>
      </c>
      <c r="B434" s="1032" t="s">
        <v>450</v>
      </c>
      <c r="C434" s="1033"/>
      <c r="D434" s="1033"/>
      <c r="E434" s="1033"/>
      <c r="F434" s="1033"/>
      <c r="G434" s="1033"/>
      <c r="H434" s="1033"/>
      <c r="I434" s="1033"/>
      <c r="J434" s="1033"/>
      <c r="K434" s="1033"/>
      <c r="L434" s="90"/>
      <c r="M434" s="51"/>
      <c r="N434" s="113">
        <f t="shared" si="46"/>
        <v>6072</v>
      </c>
      <c r="O434" s="575">
        <v>0</v>
      </c>
      <c r="P434" s="582">
        <v>0</v>
      </c>
      <c r="Q434" s="589"/>
      <c r="R434" s="576"/>
      <c r="S434" s="583">
        <f t="shared" si="51"/>
        <v>0</v>
      </c>
      <c r="T434" s="580">
        <f t="shared" si="50"/>
        <v>0</v>
      </c>
      <c r="U434" s="51"/>
      <c r="V434" s="2119"/>
      <c r="W434" s="43"/>
      <c r="X434" s="43"/>
      <c r="Y434" s="43"/>
      <c r="Z434" s="43"/>
    </row>
    <row r="435" spans="1:26">
      <c r="A435" s="88">
        <v>6073</v>
      </c>
      <c r="B435" s="1032" t="s">
        <v>451</v>
      </c>
      <c r="C435" s="1033"/>
      <c r="D435" s="1033"/>
      <c r="E435" s="1033"/>
      <c r="F435" s="1033"/>
      <c r="G435" s="1033"/>
      <c r="H435" s="1033"/>
      <c r="I435" s="1033"/>
      <c r="J435" s="1033"/>
      <c r="K435" s="1033"/>
      <c r="L435" s="90"/>
      <c r="M435" s="51"/>
      <c r="N435" s="113">
        <f t="shared" si="46"/>
        <v>6073</v>
      </c>
      <c r="O435" s="575">
        <v>0</v>
      </c>
      <c r="P435" s="582">
        <v>0</v>
      </c>
      <c r="Q435" s="589">
        <v>0</v>
      </c>
      <c r="R435" s="576">
        <v>0</v>
      </c>
      <c r="S435" s="583">
        <f t="shared" si="51"/>
        <v>0</v>
      </c>
      <c r="T435" s="580">
        <f t="shared" si="50"/>
        <v>0</v>
      </c>
      <c r="U435" s="51"/>
      <c r="V435" s="2119"/>
      <c r="W435" s="43"/>
      <c r="X435" s="43"/>
      <c r="Y435" s="43"/>
      <c r="Z435" s="43"/>
    </row>
    <row r="436" spans="1:26">
      <c r="A436" s="88">
        <v>6074</v>
      </c>
      <c r="B436" s="1032" t="s">
        <v>452</v>
      </c>
      <c r="C436" s="1033"/>
      <c r="D436" s="1033"/>
      <c r="E436" s="1033"/>
      <c r="F436" s="1033"/>
      <c r="G436" s="1033"/>
      <c r="H436" s="1033"/>
      <c r="I436" s="1033"/>
      <c r="J436" s="1033"/>
      <c r="K436" s="1033"/>
      <c r="L436" s="90"/>
      <c r="M436" s="51"/>
      <c r="N436" s="113">
        <f t="shared" si="46"/>
        <v>6074</v>
      </c>
      <c r="O436" s="575">
        <v>0</v>
      </c>
      <c r="P436" s="582">
        <v>0</v>
      </c>
      <c r="Q436" s="589"/>
      <c r="R436" s="576"/>
      <c r="S436" s="583">
        <f t="shared" si="51"/>
        <v>0</v>
      </c>
      <c r="T436" s="580">
        <f t="shared" si="50"/>
        <v>0</v>
      </c>
      <c r="U436" s="51"/>
      <c r="V436" s="2119"/>
      <c r="W436" s="43"/>
      <c r="X436" s="43"/>
      <c r="Y436" s="43"/>
      <c r="Z436" s="43"/>
    </row>
    <row r="437" spans="1:26">
      <c r="A437" s="88">
        <v>6075</v>
      </c>
      <c r="B437" s="1032" t="s">
        <v>453</v>
      </c>
      <c r="C437" s="1033"/>
      <c r="D437" s="1033"/>
      <c r="E437" s="1033"/>
      <c r="F437" s="1033"/>
      <c r="G437" s="1033"/>
      <c r="H437" s="1033"/>
      <c r="I437" s="1033"/>
      <c r="J437" s="1033"/>
      <c r="K437" s="1033"/>
      <c r="L437" s="90"/>
      <c r="M437" s="51"/>
      <c r="N437" s="113">
        <f t="shared" si="46"/>
        <v>6075</v>
      </c>
      <c r="O437" s="575">
        <v>0</v>
      </c>
      <c r="P437" s="582">
        <v>0</v>
      </c>
      <c r="Q437" s="589">
        <v>0</v>
      </c>
      <c r="R437" s="576">
        <v>0</v>
      </c>
      <c r="S437" s="583">
        <f t="shared" si="51"/>
        <v>0</v>
      </c>
      <c r="T437" s="580">
        <f t="shared" si="50"/>
        <v>0</v>
      </c>
      <c r="U437" s="51"/>
      <c r="V437" s="2119"/>
      <c r="W437" s="43"/>
      <c r="X437" s="43"/>
      <c r="Y437" s="43"/>
      <c r="Z437" s="43"/>
    </row>
    <row r="438" spans="1:26">
      <c r="A438" s="88">
        <v>6076</v>
      </c>
      <c r="B438" s="1032" t="s">
        <v>454</v>
      </c>
      <c r="C438" s="1033"/>
      <c r="D438" s="1033"/>
      <c r="E438" s="1033"/>
      <c r="F438" s="1033"/>
      <c r="G438" s="1033"/>
      <c r="H438" s="1033"/>
      <c r="I438" s="1033"/>
      <c r="J438" s="1033"/>
      <c r="K438" s="1033"/>
      <c r="L438" s="90"/>
      <c r="M438" s="51"/>
      <c r="N438" s="113">
        <f t="shared" si="46"/>
        <v>6076</v>
      </c>
      <c r="O438" s="575">
        <v>0</v>
      </c>
      <c r="P438" s="582">
        <v>0</v>
      </c>
      <c r="Q438" s="589">
        <v>0</v>
      </c>
      <c r="R438" s="576">
        <v>0</v>
      </c>
      <c r="S438" s="583">
        <f t="shared" si="51"/>
        <v>0</v>
      </c>
      <c r="T438" s="580">
        <f t="shared" si="50"/>
        <v>0</v>
      </c>
      <c r="U438" s="51"/>
      <c r="V438" s="2119"/>
      <c r="W438" s="43"/>
      <c r="X438" s="43"/>
      <c r="Y438" s="43"/>
      <c r="Z438" s="43"/>
    </row>
    <row r="439" spans="1:26">
      <c r="A439" s="88">
        <v>6077</v>
      </c>
      <c r="B439" s="1032" t="s">
        <v>455</v>
      </c>
      <c r="C439" s="1033"/>
      <c r="D439" s="1033"/>
      <c r="E439" s="1033"/>
      <c r="F439" s="1033"/>
      <c r="G439" s="1033"/>
      <c r="H439" s="1033"/>
      <c r="I439" s="1033"/>
      <c r="J439" s="1033"/>
      <c r="K439" s="1033"/>
      <c r="L439" s="90"/>
      <c r="M439" s="51"/>
      <c r="N439" s="113">
        <f t="shared" si="46"/>
        <v>6077</v>
      </c>
      <c r="O439" s="575">
        <v>0</v>
      </c>
      <c r="P439" s="582">
        <v>0</v>
      </c>
      <c r="Q439" s="589">
        <v>0</v>
      </c>
      <c r="R439" s="576">
        <v>0</v>
      </c>
      <c r="S439" s="583">
        <f t="shared" si="51"/>
        <v>0</v>
      </c>
      <c r="T439" s="580">
        <f t="shared" si="50"/>
        <v>0</v>
      </c>
      <c r="U439" s="51"/>
      <c r="V439" s="2119"/>
      <c r="W439" s="43"/>
      <c r="X439" s="43"/>
      <c r="Y439" s="43"/>
      <c r="Z439" s="43"/>
    </row>
    <row r="440" spans="1:26">
      <c r="A440" s="88">
        <v>6078</v>
      </c>
      <c r="B440" s="1032" t="s">
        <v>456</v>
      </c>
      <c r="C440" s="1033"/>
      <c r="D440" s="1033"/>
      <c r="E440" s="1033"/>
      <c r="F440" s="1033"/>
      <c r="G440" s="1033"/>
      <c r="H440" s="1033"/>
      <c r="I440" s="1033"/>
      <c r="J440" s="1033"/>
      <c r="K440" s="1033"/>
      <c r="L440" s="90"/>
      <c r="M440" s="51"/>
      <c r="N440" s="113">
        <f t="shared" si="46"/>
        <v>6078</v>
      </c>
      <c r="O440" s="575">
        <v>0</v>
      </c>
      <c r="P440" s="582">
        <v>0</v>
      </c>
      <c r="Q440" s="589"/>
      <c r="R440" s="576"/>
      <c r="S440" s="583">
        <f t="shared" si="51"/>
        <v>0</v>
      </c>
      <c r="T440" s="580">
        <f t="shared" si="50"/>
        <v>0</v>
      </c>
      <c r="U440" s="51"/>
      <c r="V440" s="2119"/>
      <c r="W440" s="43"/>
      <c r="X440" s="43"/>
      <c r="Y440" s="43"/>
      <c r="Z440" s="43"/>
    </row>
    <row r="441" spans="1:26">
      <c r="A441" s="88">
        <v>6079</v>
      </c>
      <c r="B441" s="1032" t="s">
        <v>457</v>
      </c>
      <c r="C441" s="1033"/>
      <c r="D441" s="1033"/>
      <c r="E441" s="1033"/>
      <c r="F441" s="1033"/>
      <c r="G441" s="1033"/>
      <c r="H441" s="1033"/>
      <c r="I441" s="1033"/>
      <c r="J441" s="1033"/>
      <c r="K441" s="1033"/>
      <c r="L441" s="90"/>
      <c r="M441" s="51"/>
      <c r="N441" s="113">
        <f t="shared" si="46"/>
        <v>6079</v>
      </c>
      <c r="O441" s="575">
        <v>0</v>
      </c>
      <c r="P441" s="582">
        <v>0</v>
      </c>
      <c r="Q441" s="589">
        <v>0</v>
      </c>
      <c r="R441" s="576">
        <v>0</v>
      </c>
      <c r="S441" s="583">
        <f t="shared" si="51"/>
        <v>0</v>
      </c>
      <c r="T441" s="580">
        <f t="shared" si="50"/>
        <v>0</v>
      </c>
      <c r="U441" s="51"/>
      <c r="V441" s="2119"/>
      <c r="W441" s="43"/>
      <c r="X441" s="43"/>
      <c r="Y441" s="43"/>
      <c r="Z441" s="43"/>
    </row>
    <row r="442" spans="1:26" ht="15.75" customHeight="1">
      <c r="A442" s="88">
        <v>6080</v>
      </c>
      <c r="B442" s="1032" t="s">
        <v>458</v>
      </c>
      <c r="C442" s="1033"/>
      <c r="D442" s="1033"/>
      <c r="E442" s="1033"/>
      <c r="F442" s="1033"/>
      <c r="G442" s="1033"/>
      <c r="H442" s="1033"/>
      <c r="I442" s="1033"/>
      <c r="J442" s="1033"/>
      <c r="K442" s="1033"/>
      <c r="L442" s="90"/>
      <c r="M442" s="51"/>
      <c r="N442" s="113">
        <f t="shared" si="46"/>
        <v>6080</v>
      </c>
      <c r="O442" s="575">
        <v>0</v>
      </c>
      <c r="P442" s="582">
        <v>0</v>
      </c>
      <c r="Q442" s="589"/>
      <c r="R442" s="576"/>
      <c r="S442" s="583">
        <f t="shared" si="51"/>
        <v>0</v>
      </c>
      <c r="T442" s="580">
        <f t="shared" si="50"/>
        <v>0</v>
      </c>
      <c r="U442" s="51"/>
      <c r="V442" s="2119"/>
      <c r="W442" s="43"/>
      <c r="X442" s="43"/>
      <c r="Y442" s="43"/>
      <c r="Z442" s="43"/>
    </row>
    <row r="443" spans="1:26" ht="15.75" customHeight="1">
      <c r="A443" s="88">
        <v>6081</v>
      </c>
      <c r="B443" s="1032" t="s">
        <v>459</v>
      </c>
      <c r="C443" s="1033"/>
      <c r="D443" s="1033"/>
      <c r="E443" s="1033"/>
      <c r="F443" s="1033"/>
      <c r="G443" s="1033"/>
      <c r="H443" s="1033"/>
      <c r="I443" s="1033"/>
      <c r="J443" s="1033"/>
      <c r="K443" s="1033"/>
      <c r="L443" s="90"/>
      <c r="M443" s="51"/>
      <c r="N443" s="113">
        <f t="shared" si="46"/>
        <v>6081</v>
      </c>
      <c r="O443" s="575">
        <v>0</v>
      </c>
      <c r="P443" s="582">
        <v>0</v>
      </c>
      <c r="Q443" s="589"/>
      <c r="R443" s="576"/>
      <c r="S443" s="583">
        <f t="shared" si="51"/>
        <v>0</v>
      </c>
      <c r="T443" s="580">
        <f t="shared" si="50"/>
        <v>0</v>
      </c>
      <c r="U443" s="51"/>
      <c r="V443" s="2119"/>
      <c r="W443" s="43"/>
      <c r="X443" s="43"/>
      <c r="Y443" s="43"/>
      <c r="Z443" s="43"/>
    </row>
    <row r="444" spans="1:26">
      <c r="A444" s="88">
        <v>6082</v>
      </c>
      <c r="B444" s="1033" t="s">
        <v>460</v>
      </c>
      <c r="C444" s="1033"/>
      <c r="D444" s="1033"/>
      <c r="E444" s="1033"/>
      <c r="F444" s="1033"/>
      <c r="G444" s="1033"/>
      <c r="H444" s="1033"/>
      <c r="I444" s="1033"/>
      <c r="J444" s="1033"/>
      <c r="K444" s="1033"/>
      <c r="L444" s="90"/>
      <c r="M444" s="51"/>
      <c r="N444" s="113">
        <f t="shared" si="46"/>
        <v>6082</v>
      </c>
      <c r="O444" s="575">
        <v>0</v>
      </c>
      <c r="P444" s="582">
        <v>0</v>
      </c>
      <c r="Q444" s="589"/>
      <c r="R444" s="576"/>
      <c r="S444" s="583">
        <f t="shared" si="51"/>
        <v>0</v>
      </c>
      <c r="T444" s="580">
        <f t="shared" si="50"/>
        <v>0</v>
      </c>
      <c r="U444" s="51"/>
      <c r="V444" s="2119"/>
      <c r="W444" s="43"/>
      <c r="X444" s="43"/>
      <c r="Y444" s="43"/>
      <c r="Z444" s="43"/>
    </row>
    <row r="445" spans="1:26">
      <c r="A445" s="88">
        <v>6087</v>
      </c>
      <c r="B445" s="1033" t="s">
        <v>461</v>
      </c>
      <c r="C445" s="1033"/>
      <c r="D445" s="1033"/>
      <c r="E445" s="1033"/>
      <c r="F445" s="1033"/>
      <c r="G445" s="1033"/>
      <c r="H445" s="1033"/>
      <c r="I445" s="1033"/>
      <c r="J445" s="1033"/>
      <c r="K445" s="1033"/>
      <c r="L445" s="90"/>
      <c r="M445" s="51"/>
      <c r="N445" s="113">
        <f t="shared" si="46"/>
        <v>6087</v>
      </c>
      <c r="O445" s="575">
        <v>0</v>
      </c>
      <c r="P445" s="582">
        <v>0</v>
      </c>
      <c r="Q445" s="589"/>
      <c r="R445" s="576"/>
      <c r="S445" s="583">
        <f t="shared" si="51"/>
        <v>0</v>
      </c>
      <c r="T445" s="580">
        <f t="shared" si="50"/>
        <v>0</v>
      </c>
      <c r="U445" s="51"/>
      <c r="V445" s="2119"/>
      <c r="W445" s="43"/>
      <c r="X445" s="43"/>
      <c r="Y445" s="43"/>
      <c r="Z445" s="43"/>
    </row>
    <row r="446" spans="1:26">
      <c r="A446" s="88">
        <v>6089</v>
      </c>
      <c r="B446" s="1033" t="s">
        <v>462</v>
      </c>
      <c r="C446" s="1033"/>
      <c r="D446" s="1033"/>
      <c r="E446" s="1033"/>
      <c r="F446" s="1033"/>
      <c r="G446" s="1033"/>
      <c r="H446" s="1033"/>
      <c r="I446" s="1033"/>
      <c r="J446" s="1033"/>
      <c r="K446" s="1033"/>
      <c r="L446" s="90"/>
      <c r="M446" s="51"/>
      <c r="N446" s="113">
        <f t="shared" si="46"/>
        <v>6089</v>
      </c>
      <c r="O446" s="575">
        <v>0</v>
      </c>
      <c r="P446" s="582">
        <v>0</v>
      </c>
      <c r="Q446" s="589"/>
      <c r="R446" s="576"/>
      <c r="S446" s="583">
        <f t="shared" si="51"/>
        <v>0</v>
      </c>
      <c r="T446" s="580">
        <f t="shared" si="50"/>
        <v>0</v>
      </c>
      <c r="U446" s="51"/>
      <c r="V446" s="2119"/>
      <c r="W446" s="43"/>
      <c r="X446" s="43"/>
      <c r="Y446" s="43"/>
      <c r="Z446" s="43"/>
    </row>
    <row r="447" spans="1:26" ht="15.75" customHeight="1">
      <c r="A447" s="88">
        <v>6090</v>
      </c>
      <c r="B447" s="1032" t="s">
        <v>463</v>
      </c>
      <c r="C447" s="1033"/>
      <c r="D447" s="1033"/>
      <c r="E447" s="1033"/>
      <c r="F447" s="1033"/>
      <c r="G447" s="1033"/>
      <c r="H447" s="1033"/>
      <c r="I447" s="1033"/>
      <c r="J447" s="1033"/>
      <c r="K447" s="1033"/>
      <c r="L447" s="90"/>
      <c r="M447" s="51"/>
      <c r="N447" s="113">
        <f t="shared" si="46"/>
        <v>6090</v>
      </c>
      <c r="O447" s="575">
        <v>0</v>
      </c>
      <c r="P447" s="582">
        <v>0</v>
      </c>
      <c r="Q447" s="589"/>
      <c r="R447" s="576"/>
      <c r="S447" s="583">
        <f t="shared" si="51"/>
        <v>0</v>
      </c>
      <c r="T447" s="580">
        <f t="shared" si="50"/>
        <v>0</v>
      </c>
      <c r="U447" s="51"/>
      <c r="V447" s="2119"/>
      <c r="W447" s="43"/>
      <c r="X447" s="43"/>
      <c r="Y447" s="43"/>
      <c r="Z447" s="43"/>
    </row>
    <row r="448" spans="1:26">
      <c r="A448" s="88">
        <v>6091</v>
      </c>
      <c r="B448" s="1033" t="s">
        <v>464</v>
      </c>
      <c r="C448" s="1033"/>
      <c r="D448" s="1033"/>
      <c r="E448" s="1033"/>
      <c r="F448" s="1033"/>
      <c r="G448" s="1033"/>
      <c r="H448" s="1033"/>
      <c r="I448" s="1033"/>
      <c r="J448" s="1033"/>
      <c r="K448" s="1033"/>
      <c r="L448" s="90"/>
      <c r="M448" s="51"/>
      <c r="N448" s="113">
        <f t="shared" ref="N448:N511" si="52">+A448</f>
        <v>6091</v>
      </c>
      <c r="O448" s="575">
        <v>0</v>
      </c>
      <c r="P448" s="582">
        <v>0</v>
      </c>
      <c r="Q448" s="589">
        <v>0</v>
      </c>
      <c r="R448" s="576">
        <v>0</v>
      </c>
      <c r="S448" s="583">
        <f t="shared" si="51"/>
        <v>0</v>
      </c>
      <c r="T448" s="580">
        <f t="shared" si="50"/>
        <v>0</v>
      </c>
      <c r="U448" s="51"/>
      <c r="V448" s="2119"/>
      <c r="W448" s="43"/>
      <c r="X448" s="43"/>
      <c r="Y448" s="43"/>
      <c r="Z448" s="43"/>
    </row>
    <row r="449" spans="1:26" ht="15.75" customHeight="1">
      <c r="A449" s="88">
        <v>6092</v>
      </c>
      <c r="B449" s="1032" t="s">
        <v>465</v>
      </c>
      <c r="C449" s="1033"/>
      <c r="D449" s="1033"/>
      <c r="E449" s="1033"/>
      <c r="F449" s="1033"/>
      <c r="G449" s="1033"/>
      <c r="H449" s="1033"/>
      <c r="I449" s="1033"/>
      <c r="J449" s="1033"/>
      <c r="K449" s="1033"/>
      <c r="L449" s="90"/>
      <c r="M449" s="51"/>
      <c r="N449" s="113">
        <f t="shared" si="52"/>
        <v>6092</v>
      </c>
      <c r="O449" s="575">
        <v>0</v>
      </c>
      <c r="P449" s="582">
        <v>0</v>
      </c>
      <c r="Q449" s="589"/>
      <c r="R449" s="576"/>
      <c r="S449" s="583">
        <f t="shared" si="51"/>
        <v>0</v>
      </c>
      <c r="T449" s="580">
        <f t="shared" si="50"/>
        <v>0</v>
      </c>
      <c r="U449" s="51"/>
      <c r="V449" s="2119"/>
      <c r="W449" s="43"/>
      <c r="X449" s="43"/>
      <c r="Y449" s="43"/>
      <c r="Z449" s="43"/>
    </row>
    <row r="450" spans="1:26">
      <c r="A450" s="88">
        <v>6093</v>
      </c>
      <c r="B450" s="378" t="s">
        <v>466</v>
      </c>
      <c r="C450" s="1033"/>
      <c r="D450" s="1033"/>
      <c r="E450" s="1033"/>
      <c r="F450" s="1033"/>
      <c r="G450" s="1033"/>
      <c r="H450" s="1033"/>
      <c r="I450" s="1033"/>
      <c r="J450" s="1033"/>
      <c r="K450" s="1033"/>
      <c r="L450" s="90"/>
      <c r="M450" s="51"/>
      <c r="N450" s="113">
        <f t="shared" si="52"/>
        <v>6093</v>
      </c>
      <c r="O450" s="575">
        <v>0</v>
      </c>
      <c r="P450" s="582">
        <v>0</v>
      </c>
      <c r="Q450" s="589">
        <v>0</v>
      </c>
      <c r="R450" s="576">
        <v>0</v>
      </c>
      <c r="S450" s="583">
        <f t="shared" si="51"/>
        <v>0</v>
      </c>
      <c r="T450" s="580">
        <f t="shared" si="50"/>
        <v>0</v>
      </c>
      <c r="U450" s="51"/>
      <c r="V450" s="2119"/>
      <c r="W450" s="43"/>
      <c r="X450" s="43"/>
      <c r="Y450" s="43"/>
      <c r="Z450" s="43"/>
    </row>
    <row r="451" spans="1:26">
      <c r="A451" s="88">
        <v>6094</v>
      </c>
      <c r="B451" s="378" t="s">
        <v>467</v>
      </c>
      <c r="C451" s="1033"/>
      <c r="D451" s="1033"/>
      <c r="E451" s="1033"/>
      <c r="F451" s="1033"/>
      <c r="G451" s="1033"/>
      <c r="H451" s="1033"/>
      <c r="I451" s="1033"/>
      <c r="J451" s="1033"/>
      <c r="K451" s="1033"/>
      <c r="L451" s="90"/>
      <c r="M451" s="51"/>
      <c r="N451" s="113">
        <f t="shared" si="52"/>
        <v>6094</v>
      </c>
      <c r="O451" s="575">
        <v>0</v>
      </c>
      <c r="P451" s="582">
        <v>0</v>
      </c>
      <c r="Q451" s="589">
        <v>0</v>
      </c>
      <c r="R451" s="576">
        <v>0</v>
      </c>
      <c r="S451" s="583">
        <f t="shared" si="51"/>
        <v>0</v>
      </c>
      <c r="T451" s="580">
        <f t="shared" si="50"/>
        <v>0</v>
      </c>
      <c r="U451" s="51"/>
      <c r="V451" s="2119"/>
      <c r="W451" s="43"/>
      <c r="X451" s="43"/>
      <c r="Y451" s="43"/>
      <c r="Z451" s="43"/>
    </row>
    <row r="452" spans="1:26">
      <c r="A452" s="88">
        <v>6095</v>
      </c>
      <c r="B452" s="378" t="s">
        <v>468</v>
      </c>
      <c r="C452" s="1033"/>
      <c r="D452" s="1033"/>
      <c r="E452" s="1033"/>
      <c r="F452" s="1033"/>
      <c r="G452" s="1033"/>
      <c r="H452" s="1033"/>
      <c r="I452" s="1033"/>
      <c r="J452" s="1033"/>
      <c r="K452" s="1033"/>
      <c r="L452" s="90"/>
      <c r="M452" s="51"/>
      <c r="N452" s="113">
        <f t="shared" si="52"/>
        <v>6095</v>
      </c>
      <c r="O452" s="575">
        <v>0</v>
      </c>
      <c r="P452" s="582">
        <v>0</v>
      </c>
      <c r="Q452" s="589">
        <v>0</v>
      </c>
      <c r="R452" s="576">
        <v>0</v>
      </c>
      <c r="S452" s="583">
        <f t="shared" si="51"/>
        <v>0</v>
      </c>
      <c r="T452" s="580">
        <f t="shared" si="50"/>
        <v>0</v>
      </c>
      <c r="U452" s="51"/>
      <c r="V452" s="2119"/>
      <c r="W452" s="43"/>
      <c r="X452" s="43"/>
      <c r="Y452" s="43"/>
      <c r="Z452" s="43"/>
    </row>
    <row r="453" spans="1:26">
      <c r="A453" s="88">
        <v>6096</v>
      </c>
      <c r="B453" s="378" t="s">
        <v>469</v>
      </c>
      <c r="C453" s="1033"/>
      <c r="D453" s="1033"/>
      <c r="E453" s="1033"/>
      <c r="F453" s="1033"/>
      <c r="G453" s="1033"/>
      <c r="H453" s="1033"/>
      <c r="I453" s="1033"/>
      <c r="J453" s="1033"/>
      <c r="K453" s="1033"/>
      <c r="L453" s="90"/>
      <c r="M453" s="51"/>
      <c r="N453" s="113">
        <f t="shared" si="52"/>
        <v>6096</v>
      </c>
      <c r="O453" s="575">
        <v>0</v>
      </c>
      <c r="P453" s="582">
        <v>0</v>
      </c>
      <c r="Q453" s="589"/>
      <c r="R453" s="576"/>
      <c r="S453" s="583">
        <f t="shared" si="51"/>
        <v>0</v>
      </c>
      <c r="T453" s="580">
        <f t="shared" si="50"/>
        <v>0</v>
      </c>
      <c r="U453" s="51"/>
      <c r="V453" s="2119"/>
      <c r="W453" s="43"/>
      <c r="X453" s="43"/>
      <c r="Y453" s="43"/>
      <c r="Z453" s="43"/>
    </row>
    <row r="454" spans="1:26">
      <c r="A454" s="88">
        <v>6098</v>
      </c>
      <c r="B454" s="378" t="s">
        <v>470</v>
      </c>
      <c r="C454" s="1033"/>
      <c r="D454" s="1033"/>
      <c r="E454" s="1033"/>
      <c r="F454" s="1033"/>
      <c r="G454" s="1033"/>
      <c r="H454" s="1033"/>
      <c r="I454" s="1033"/>
      <c r="J454" s="1033"/>
      <c r="K454" s="1033"/>
      <c r="L454" s="90"/>
      <c r="M454" s="51"/>
      <c r="N454" s="113">
        <f t="shared" si="52"/>
        <v>6098</v>
      </c>
      <c r="O454" s="575">
        <v>0</v>
      </c>
      <c r="P454" s="582">
        <v>0</v>
      </c>
      <c r="Q454" s="589">
        <v>0</v>
      </c>
      <c r="R454" s="576">
        <v>0</v>
      </c>
      <c r="S454" s="583">
        <f t="shared" si="51"/>
        <v>0</v>
      </c>
      <c r="T454" s="580">
        <f t="shared" si="50"/>
        <v>0</v>
      </c>
      <c r="U454" s="51"/>
      <c r="V454" s="2119"/>
      <c r="W454" s="43"/>
      <c r="X454" s="43"/>
      <c r="Y454" s="43"/>
      <c r="Z454" s="43"/>
    </row>
    <row r="455" spans="1:26">
      <c r="A455" s="88">
        <v>6099</v>
      </c>
      <c r="B455" s="378" t="s">
        <v>471</v>
      </c>
      <c r="C455" s="1033"/>
      <c r="D455" s="1033"/>
      <c r="E455" s="1033"/>
      <c r="F455" s="1033"/>
      <c r="G455" s="1033"/>
      <c r="H455" s="1033"/>
      <c r="I455" s="1033"/>
      <c r="J455" s="1033"/>
      <c r="K455" s="1033"/>
      <c r="L455" s="90"/>
      <c r="M455" s="51"/>
      <c r="N455" s="113">
        <f t="shared" si="52"/>
        <v>6099</v>
      </c>
      <c r="O455" s="575">
        <v>0</v>
      </c>
      <c r="P455" s="582">
        <v>0</v>
      </c>
      <c r="Q455" s="589">
        <v>0</v>
      </c>
      <c r="R455" s="576">
        <v>0</v>
      </c>
      <c r="S455" s="583">
        <f t="shared" si="51"/>
        <v>0</v>
      </c>
      <c r="T455" s="580">
        <f t="shared" si="50"/>
        <v>0</v>
      </c>
      <c r="U455" s="51"/>
      <c r="V455" s="2119"/>
      <c r="W455" s="43"/>
      <c r="X455" s="43"/>
      <c r="Y455" s="43"/>
      <c r="Z455" s="43"/>
    </row>
    <row r="456" spans="1:26">
      <c r="A456" s="88">
        <v>6111</v>
      </c>
      <c r="B456" s="2296" t="s">
        <v>2148</v>
      </c>
      <c r="C456" s="1033"/>
      <c r="D456" s="1033"/>
      <c r="E456" s="1033"/>
      <c r="F456" s="1033"/>
      <c r="G456" s="1033"/>
      <c r="H456" s="1033"/>
      <c r="I456" s="1033"/>
      <c r="J456" s="1033"/>
      <c r="K456" s="1033"/>
      <c r="L456" s="90"/>
      <c r="M456" s="51"/>
      <c r="N456" s="113">
        <f t="shared" si="52"/>
        <v>6111</v>
      </c>
      <c r="O456" s="575">
        <v>0</v>
      </c>
      <c r="P456" s="582">
        <v>0</v>
      </c>
      <c r="Q456" s="589"/>
      <c r="R456" s="576"/>
      <c r="S456" s="583">
        <f t="shared" si="51"/>
        <v>0</v>
      </c>
      <c r="T456" s="580">
        <f t="shared" si="50"/>
        <v>0</v>
      </c>
      <c r="U456" s="51"/>
      <c r="V456" s="2119"/>
      <c r="W456" s="43"/>
      <c r="X456" s="43"/>
      <c r="Y456" s="43"/>
      <c r="Z456" s="43"/>
    </row>
    <row r="457" spans="1:26">
      <c r="A457" s="88">
        <v>6112</v>
      </c>
      <c r="B457" s="1045" t="s">
        <v>2149</v>
      </c>
      <c r="C457" s="1033"/>
      <c r="D457" s="1033"/>
      <c r="E457" s="1033"/>
      <c r="F457" s="1033"/>
      <c r="G457" s="1033"/>
      <c r="H457" s="1033"/>
      <c r="I457" s="1033"/>
      <c r="J457" s="1033"/>
      <c r="K457" s="1033"/>
      <c r="L457" s="90"/>
      <c r="M457" s="51"/>
      <c r="N457" s="113">
        <f t="shared" si="52"/>
        <v>6112</v>
      </c>
      <c r="O457" s="575">
        <v>0</v>
      </c>
      <c r="P457" s="582">
        <v>0</v>
      </c>
      <c r="Q457" s="589">
        <v>0</v>
      </c>
      <c r="R457" s="576">
        <v>0</v>
      </c>
      <c r="S457" s="583">
        <f t="shared" si="51"/>
        <v>0</v>
      </c>
      <c r="T457" s="580">
        <f t="shared" si="50"/>
        <v>0</v>
      </c>
      <c r="U457" s="51"/>
      <c r="V457" s="2119"/>
      <c r="W457" s="43"/>
      <c r="X457" s="43"/>
      <c r="Y457" s="43"/>
      <c r="Z457" s="43"/>
    </row>
    <row r="458" spans="1:26">
      <c r="A458" s="88">
        <v>6113</v>
      </c>
      <c r="B458" s="1045" t="s">
        <v>2150</v>
      </c>
      <c r="C458" s="1033"/>
      <c r="D458" s="1033"/>
      <c r="E458" s="1033"/>
      <c r="F458" s="1033"/>
      <c r="G458" s="1033"/>
      <c r="H458" s="1033"/>
      <c r="I458" s="1033"/>
      <c r="J458" s="1033"/>
      <c r="K458" s="1033"/>
      <c r="L458" s="90"/>
      <c r="M458" s="51"/>
      <c r="N458" s="113">
        <f t="shared" si="52"/>
        <v>6113</v>
      </c>
      <c r="O458" s="575">
        <v>0</v>
      </c>
      <c r="P458" s="582">
        <v>0</v>
      </c>
      <c r="Q458" s="589">
        <v>0</v>
      </c>
      <c r="R458" s="576">
        <v>0</v>
      </c>
      <c r="S458" s="583">
        <f t="shared" si="51"/>
        <v>0</v>
      </c>
      <c r="T458" s="580">
        <f t="shared" si="50"/>
        <v>0</v>
      </c>
      <c r="U458" s="51"/>
      <c r="V458" s="2119"/>
      <c r="W458" s="43"/>
      <c r="X458" s="43"/>
      <c r="Y458" s="43"/>
      <c r="Z458" s="43"/>
    </row>
    <row r="459" spans="1:26">
      <c r="A459" s="88">
        <v>6114</v>
      </c>
      <c r="B459" s="1045" t="s">
        <v>2151</v>
      </c>
      <c r="C459" s="1033"/>
      <c r="D459" s="1033"/>
      <c r="E459" s="1033"/>
      <c r="F459" s="1033"/>
      <c r="G459" s="1033"/>
      <c r="H459" s="1033"/>
      <c r="I459" s="1033"/>
      <c r="J459" s="1033"/>
      <c r="K459" s="1033"/>
      <c r="L459" s="90"/>
      <c r="M459" s="51"/>
      <c r="N459" s="113">
        <f t="shared" si="52"/>
        <v>6114</v>
      </c>
      <c r="O459" s="575">
        <v>0</v>
      </c>
      <c r="P459" s="582">
        <v>0</v>
      </c>
      <c r="Q459" s="589">
        <v>0</v>
      </c>
      <c r="R459" s="576">
        <v>0</v>
      </c>
      <c r="S459" s="583">
        <f t="shared" si="51"/>
        <v>0</v>
      </c>
      <c r="T459" s="580">
        <f t="shared" si="50"/>
        <v>0</v>
      </c>
      <c r="U459" s="51"/>
      <c r="V459" s="2119"/>
      <c r="W459" s="43"/>
      <c r="X459" s="43"/>
      <c r="Y459" s="43"/>
      <c r="Z459" s="43"/>
    </row>
    <row r="460" spans="1:26">
      <c r="A460" s="88">
        <v>6115</v>
      </c>
      <c r="B460" s="1045" t="s">
        <v>2152</v>
      </c>
      <c r="C460" s="1033"/>
      <c r="D460" s="1033"/>
      <c r="E460" s="1033"/>
      <c r="F460" s="1033"/>
      <c r="G460" s="1033"/>
      <c r="H460" s="1033"/>
      <c r="I460" s="1033"/>
      <c r="J460" s="1033"/>
      <c r="K460" s="1033"/>
      <c r="L460" s="90"/>
      <c r="M460" s="51"/>
      <c r="N460" s="113">
        <f t="shared" si="52"/>
        <v>6115</v>
      </c>
      <c r="O460" s="575">
        <v>0</v>
      </c>
      <c r="P460" s="582">
        <v>0</v>
      </c>
      <c r="Q460" s="589"/>
      <c r="R460" s="576"/>
      <c r="S460" s="583">
        <f t="shared" si="51"/>
        <v>0</v>
      </c>
      <c r="T460" s="580">
        <f t="shared" si="50"/>
        <v>0</v>
      </c>
      <c r="U460" s="51"/>
      <c r="V460" s="2119"/>
      <c r="W460" s="43"/>
      <c r="X460" s="43"/>
      <c r="Y460" s="43"/>
      <c r="Z460" s="43"/>
    </row>
    <row r="461" spans="1:26" ht="15.75" customHeight="1">
      <c r="A461" s="88">
        <v>6131</v>
      </c>
      <c r="B461" s="1045" t="s">
        <v>2153</v>
      </c>
      <c r="C461" s="1033"/>
      <c r="D461" s="1033"/>
      <c r="E461" s="1033"/>
      <c r="F461" s="1033"/>
      <c r="G461" s="1033"/>
      <c r="H461" s="1033"/>
      <c r="I461" s="1033"/>
      <c r="J461" s="1033"/>
      <c r="K461" s="1033"/>
      <c r="L461" s="90"/>
      <c r="M461" s="51"/>
      <c r="N461" s="113">
        <f t="shared" si="52"/>
        <v>6131</v>
      </c>
      <c r="O461" s="575">
        <v>0</v>
      </c>
      <c r="P461" s="582">
        <v>0</v>
      </c>
      <c r="Q461" s="589"/>
      <c r="R461" s="576"/>
      <c r="S461" s="583">
        <f t="shared" si="51"/>
        <v>0</v>
      </c>
      <c r="T461" s="580">
        <f t="shared" si="50"/>
        <v>0</v>
      </c>
      <c r="U461" s="51"/>
      <c r="V461" s="2119"/>
      <c r="W461" s="43"/>
      <c r="X461" s="43"/>
      <c r="Y461" s="43"/>
      <c r="Z461" s="43"/>
    </row>
    <row r="462" spans="1:26" ht="15.75" customHeight="1">
      <c r="A462" s="88">
        <v>6132</v>
      </c>
      <c r="B462" s="1045" t="s">
        <v>2154</v>
      </c>
      <c r="C462" s="1033"/>
      <c r="D462" s="1033"/>
      <c r="E462" s="1033"/>
      <c r="F462" s="1033"/>
      <c r="G462" s="1033"/>
      <c r="H462" s="1033"/>
      <c r="I462" s="1033"/>
      <c r="J462" s="1033"/>
      <c r="K462" s="1033"/>
      <c r="L462" s="90"/>
      <c r="M462" s="51"/>
      <c r="N462" s="113">
        <f t="shared" si="52"/>
        <v>6132</v>
      </c>
      <c r="O462" s="575">
        <v>0</v>
      </c>
      <c r="P462" s="582">
        <v>0</v>
      </c>
      <c r="Q462" s="589"/>
      <c r="R462" s="576"/>
      <c r="S462" s="583">
        <f t="shared" si="51"/>
        <v>0</v>
      </c>
      <c r="T462" s="580">
        <f t="shared" si="50"/>
        <v>0</v>
      </c>
      <c r="U462" s="51"/>
      <c r="V462" s="2119"/>
      <c r="W462" s="43"/>
      <c r="X462" s="43"/>
      <c r="Y462" s="43"/>
      <c r="Z462" s="43"/>
    </row>
    <row r="463" spans="1:26" ht="15.75" customHeight="1">
      <c r="A463" s="88">
        <v>6133</v>
      </c>
      <c r="B463" s="2300" t="s">
        <v>2155</v>
      </c>
      <c r="C463" s="1033"/>
      <c r="D463" s="1033"/>
      <c r="E463" s="1033"/>
      <c r="F463" s="1033"/>
      <c r="G463" s="1033"/>
      <c r="H463" s="1033"/>
      <c r="I463" s="1033"/>
      <c r="J463" s="1033"/>
      <c r="K463" s="1033"/>
      <c r="L463" s="90"/>
      <c r="M463" s="51"/>
      <c r="N463" s="113">
        <f t="shared" si="52"/>
        <v>6133</v>
      </c>
      <c r="O463" s="575">
        <v>0</v>
      </c>
      <c r="P463" s="582">
        <v>0</v>
      </c>
      <c r="Q463" s="589"/>
      <c r="R463" s="576"/>
      <c r="S463" s="583">
        <f t="shared" si="51"/>
        <v>0</v>
      </c>
      <c r="T463" s="580">
        <f t="shared" si="50"/>
        <v>0</v>
      </c>
      <c r="U463" s="51"/>
      <c r="V463" s="2119"/>
      <c r="W463" s="43"/>
      <c r="X463" s="43"/>
      <c r="Y463" s="43"/>
      <c r="Z463" s="43"/>
    </row>
    <row r="464" spans="1:26">
      <c r="A464" s="88">
        <v>6140</v>
      </c>
      <c r="B464" s="1045" t="s">
        <v>2156</v>
      </c>
      <c r="C464" s="1033"/>
      <c r="D464" s="1033"/>
      <c r="E464" s="1033"/>
      <c r="F464" s="1033"/>
      <c r="G464" s="1033"/>
      <c r="H464" s="1033"/>
      <c r="I464" s="1033"/>
      <c r="J464" s="1033"/>
      <c r="K464" s="1033"/>
      <c r="L464" s="90"/>
      <c r="M464" s="51"/>
      <c r="N464" s="113">
        <f t="shared" si="52"/>
        <v>6140</v>
      </c>
      <c r="O464" s="575">
        <v>0</v>
      </c>
      <c r="P464" s="582">
        <v>0</v>
      </c>
      <c r="Q464" s="589"/>
      <c r="R464" s="576"/>
      <c r="S464" s="583">
        <f t="shared" si="51"/>
        <v>0</v>
      </c>
      <c r="T464" s="580">
        <f t="shared" si="50"/>
        <v>0</v>
      </c>
      <c r="U464" s="51"/>
      <c r="V464" s="2119"/>
      <c r="W464" s="43"/>
      <c r="X464" s="43"/>
      <c r="Y464" s="43"/>
      <c r="Z464" s="43"/>
    </row>
    <row r="465" spans="1:26" ht="15.75" customHeight="1">
      <c r="A465" s="88">
        <v>6141</v>
      </c>
      <c r="B465" s="1045" t="s">
        <v>2157</v>
      </c>
      <c r="C465" s="1033"/>
      <c r="D465" s="1033"/>
      <c r="E465" s="1033"/>
      <c r="F465" s="1033"/>
      <c r="G465" s="1033"/>
      <c r="H465" s="1033"/>
      <c r="I465" s="1033"/>
      <c r="J465" s="1033"/>
      <c r="K465" s="1033"/>
      <c r="L465" s="90"/>
      <c r="M465" s="51"/>
      <c r="N465" s="113">
        <f t="shared" si="52"/>
        <v>6141</v>
      </c>
      <c r="O465" s="575">
        <v>0</v>
      </c>
      <c r="P465" s="582">
        <v>0</v>
      </c>
      <c r="Q465" s="589"/>
      <c r="R465" s="576"/>
      <c r="S465" s="583">
        <f t="shared" si="51"/>
        <v>0</v>
      </c>
      <c r="T465" s="580">
        <f t="shared" si="50"/>
        <v>0</v>
      </c>
      <c r="U465" s="51"/>
      <c r="V465" s="2119"/>
      <c r="W465" s="43"/>
      <c r="X465" s="43"/>
      <c r="Y465" s="43"/>
      <c r="Z465" s="43"/>
    </row>
    <row r="466" spans="1:26">
      <c r="A466" s="88">
        <v>6142</v>
      </c>
      <c r="B466" s="1045" t="s">
        <v>2158</v>
      </c>
      <c r="C466" s="1033"/>
      <c r="D466" s="1033"/>
      <c r="E466" s="1033"/>
      <c r="F466" s="1033"/>
      <c r="G466" s="1033"/>
      <c r="H466" s="1033"/>
      <c r="I466" s="1033"/>
      <c r="J466" s="1033"/>
      <c r="K466" s="1033"/>
      <c r="L466" s="90"/>
      <c r="M466" s="51"/>
      <c r="N466" s="113">
        <f t="shared" si="52"/>
        <v>6142</v>
      </c>
      <c r="O466" s="575">
        <v>0</v>
      </c>
      <c r="P466" s="582">
        <v>0</v>
      </c>
      <c r="Q466" s="589"/>
      <c r="R466" s="576"/>
      <c r="S466" s="583">
        <f t="shared" si="51"/>
        <v>0</v>
      </c>
      <c r="T466" s="580">
        <f t="shared" si="50"/>
        <v>0</v>
      </c>
      <c r="U466" s="51"/>
      <c r="V466" s="2119"/>
      <c r="W466" s="43"/>
      <c r="X466" s="43"/>
      <c r="Y466" s="43"/>
      <c r="Z466" s="43"/>
    </row>
    <row r="467" spans="1:26">
      <c r="A467" s="88">
        <v>6143</v>
      </c>
      <c r="B467" s="1045" t="s">
        <v>2159</v>
      </c>
      <c r="C467" s="1033"/>
      <c r="D467" s="1033"/>
      <c r="E467" s="1033"/>
      <c r="F467" s="1033"/>
      <c r="G467" s="1033"/>
      <c r="H467" s="1033"/>
      <c r="I467" s="1033"/>
      <c r="J467" s="1033"/>
      <c r="K467" s="1033"/>
      <c r="L467" s="90"/>
      <c r="M467" s="51"/>
      <c r="N467" s="113">
        <f t="shared" si="52"/>
        <v>6143</v>
      </c>
      <c r="O467" s="575">
        <v>0</v>
      </c>
      <c r="P467" s="582">
        <v>0</v>
      </c>
      <c r="Q467" s="589">
        <v>0</v>
      </c>
      <c r="R467" s="576">
        <v>0</v>
      </c>
      <c r="S467" s="583">
        <f t="shared" si="51"/>
        <v>0</v>
      </c>
      <c r="T467" s="580">
        <f t="shared" si="50"/>
        <v>0</v>
      </c>
      <c r="U467" s="51"/>
      <c r="V467" s="2119"/>
      <c r="W467" s="43"/>
      <c r="X467" s="43"/>
      <c r="Y467" s="43"/>
      <c r="Z467" s="43"/>
    </row>
    <row r="468" spans="1:26">
      <c r="A468" s="88">
        <v>6144</v>
      </c>
      <c r="B468" s="1045" t="s">
        <v>2160</v>
      </c>
      <c r="C468" s="1033"/>
      <c r="D468" s="1033"/>
      <c r="E468" s="1033"/>
      <c r="F468" s="1033"/>
      <c r="G468" s="1033"/>
      <c r="H468" s="1033"/>
      <c r="I468" s="1033"/>
      <c r="J468" s="1033"/>
      <c r="K468" s="1033"/>
      <c r="L468" s="90"/>
      <c r="M468" s="51"/>
      <c r="N468" s="113">
        <f t="shared" si="52"/>
        <v>6144</v>
      </c>
      <c r="O468" s="575">
        <v>0</v>
      </c>
      <c r="P468" s="582">
        <v>0</v>
      </c>
      <c r="Q468" s="589">
        <v>0</v>
      </c>
      <c r="R468" s="576">
        <v>0</v>
      </c>
      <c r="S468" s="583">
        <f t="shared" si="51"/>
        <v>0</v>
      </c>
      <c r="T468" s="580">
        <f t="shared" si="50"/>
        <v>0</v>
      </c>
      <c r="U468" s="51"/>
      <c r="V468" s="2119"/>
      <c r="W468" s="43"/>
      <c r="X468" s="43"/>
      <c r="Y468" s="43"/>
      <c r="Z468" s="43"/>
    </row>
    <row r="469" spans="1:26">
      <c r="A469" s="88">
        <v>6145</v>
      </c>
      <c r="B469" s="1045" t="s">
        <v>2161</v>
      </c>
      <c r="C469" s="1033"/>
      <c r="D469" s="1033"/>
      <c r="E469" s="1033"/>
      <c r="F469" s="1033"/>
      <c r="G469" s="1033"/>
      <c r="H469" s="1033"/>
      <c r="I469" s="1033"/>
      <c r="J469" s="1033"/>
      <c r="K469" s="1033"/>
      <c r="L469" s="90"/>
      <c r="M469" s="51"/>
      <c r="N469" s="113">
        <f t="shared" si="52"/>
        <v>6145</v>
      </c>
      <c r="O469" s="575">
        <v>0</v>
      </c>
      <c r="P469" s="582">
        <v>0</v>
      </c>
      <c r="Q469" s="589">
        <v>0</v>
      </c>
      <c r="R469" s="576">
        <v>0</v>
      </c>
      <c r="S469" s="583">
        <f t="shared" si="51"/>
        <v>0</v>
      </c>
      <c r="T469" s="580">
        <f t="shared" si="50"/>
        <v>0</v>
      </c>
      <c r="U469" s="51"/>
      <c r="V469" s="2119"/>
      <c r="W469" s="43"/>
      <c r="X469" s="43"/>
      <c r="Y469" s="43"/>
      <c r="Z469" s="43"/>
    </row>
    <row r="470" spans="1:26">
      <c r="A470" s="88">
        <v>6146</v>
      </c>
      <c r="B470" s="1045" t="s">
        <v>2162</v>
      </c>
      <c r="C470" s="1033"/>
      <c r="D470" s="1033"/>
      <c r="E470" s="1033"/>
      <c r="F470" s="1033"/>
      <c r="G470" s="1033"/>
      <c r="H470" s="1033"/>
      <c r="I470" s="1033"/>
      <c r="J470" s="1033"/>
      <c r="K470" s="1033"/>
      <c r="L470" s="90"/>
      <c r="M470" s="51"/>
      <c r="N470" s="113">
        <f t="shared" si="52"/>
        <v>6146</v>
      </c>
      <c r="O470" s="575">
        <v>0</v>
      </c>
      <c r="P470" s="582">
        <v>0</v>
      </c>
      <c r="Q470" s="589">
        <v>0</v>
      </c>
      <c r="R470" s="576">
        <v>0</v>
      </c>
      <c r="S470" s="583">
        <f t="shared" si="51"/>
        <v>0</v>
      </c>
      <c r="T470" s="580">
        <f t="shared" si="50"/>
        <v>0</v>
      </c>
      <c r="U470" s="51"/>
      <c r="V470" s="2119"/>
      <c r="W470" s="43"/>
      <c r="X470" s="43"/>
      <c r="Y470" s="43"/>
      <c r="Z470" s="43"/>
    </row>
    <row r="471" spans="1:26">
      <c r="A471" s="88">
        <v>6147</v>
      </c>
      <c r="B471" s="1045" t="s">
        <v>2163</v>
      </c>
      <c r="C471" s="1033"/>
      <c r="D471" s="1033"/>
      <c r="E471" s="1033"/>
      <c r="F471" s="1033"/>
      <c r="G471" s="1033"/>
      <c r="H471" s="1033"/>
      <c r="I471" s="1033"/>
      <c r="J471" s="1033"/>
      <c r="K471" s="1033"/>
      <c r="L471" s="90"/>
      <c r="M471" s="51"/>
      <c r="N471" s="113">
        <f t="shared" si="52"/>
        <v>6147</v>
      </c>
      <c r="O471" s="575">
        <v>0</v>
      </c>
      <c r="P471" s="582">
        <v>0</v>
      </c>
      <c r="Q471" s="589"/>
      <c r="R471" s="576"/>
      <c r="S471" s="583">
        <f t="shared" si="51"/>
        <v>0</v>
      </c>
      <c r="T471" s="580">
        <f t="shared" si="50"/>
        <v>0</v>
      </c>
      <c r="U471" s="51"/>
      <c r="V471" s="2119"/>
      <c r="W471" s="43"/>
      <c r="X471" s="43"/>
      <c r="Y471" s="43"/>
      <c r="Z471" s="43"/>
    </row>
    <row r="472" spans="1:26">
      <c r="A472" s="88">
        <v>6149</v>
      </c>
      <c r="B472" s="1045" t="s">
        <v>2164</v>
      </c>
      <c r="C472" s="1033"/>
      <c r="D472" s="1033"/>
      <c r="E472" s="1033"/>
      <c r="F472" s="1033"/>
      <c r="G472" s="1033"/>
      <c r="H472" s="1033"/>
      <c r="I472" s="1033"/>
      <c r="J472" s="1033"/>
      <c r="K472" s="1033"/>
      <c r="L472" s="90"/>
      <c r="M472" s="51"/>
      <c r="N472" s="113">
        <f t="shared" si="52"/>
        <v>6149</v>
      </c>
      <c r="O472" s="575">
        <v>0</v>
      </c>
      <c r="P472" s="582">
        <v>0</v>
      </c>
      <c r="Q472" s="589">
        <v>0</v>
      </c>
      <c r="R472" s="576">
        <v>0</v>
      </c>
      <c r="S472" s="583">
        <f t="shared" si="51"/>
        <v>0</v>
      </c>
      <c r="T472" s="580">
        <f t="shared" si="50"/>
        <v>0</v>
      </c>
      <c r="U472" s="51"/>
      <c r="V472" s="2119"/>
      <c r="W472" s="43"/>
      <c r="X472" s="43"/>
      <c r="Y472" s="43"/>
      <c r="Z472" s="43"/>
    </row>
    <row r="473" spans="1:26">
      <c r="A473" s="88">
        <v>6151</v>
      </c>
      <c r="B473" s="1045" t="s">
        <v>2165</v>
      </c>
      <c r="C473" s="1033"/>
      <c r="D473" s="1033"/>
      <c r="E473" s="1033"/>
      <c r="F473" s="1033"/>
      <c r="G473" s="1033"/>
      <c r="H473" s="1033"/>
      <c r="I473" s="1033"/>
      <c r="J473" s="1033"/>
      <c r="K473" s="1033"/>
      <c r="L473" s="90"/>
      <c r="M473" s="51"/>
      <c r="N473" s="113">
        <f t="shared" si="52"/>
        <v>6151</v>
      </c>
      <c r="O473" s="575">
        <v>0</v>
      </c>
      <c r="P473" s="582">
        <v>0</v>
      </c>
      <c r="Q473" s="589"/>
      <c r="R473" s="576"/>
      <c r="S473" s="583">
        <f t="shared" si="51"/>
        <v>0</v>
      </c>
      <c r="T473" s="580">
        <f t="shared" si="50"/>
        <v>0</v>
      </c>
      <c r="U473" s="51"/>
      <c r="V473" s="2119"/>
      <c r="W473" s="43"/>
      <c r="X473" s="43"/>
      <c r="Y473" s="43"/>
      <c r="Z473" s="43"/>
    </row>
    <row r="474" spans="1:26">
      <c r="A474" s="88">
        <v>6159</v>
      </c>
      <c r="B474" s="1045" t="s">
        <v>2166</v>
      </c>
      <c r="C474" s="1033"/>
      <c r="D474" s="1033"/>
      <c r="E474" s="1033"/>
      <c r="F474" s="1033"/>
      <c r="G474" s="1033"/>
      <c r="H474" s="1033"/>
      <c r="I474" s="1033"/>
      <c r="J474" s="1033"/>
      <c r="K474" s="1033"/>
      <c r="L474" s="90"/>
      <c r="M474" s="51"/>
      <c r="N474" s="113">
        <f t="shared" si="52"/>
        <v>6159</v>
      </c>
      <c r="O474" s="575">
        <v>0</v>
      </c>
      <c r="P474" s="582">
        <v>0</v>
      </c>
      <c r="Q474" s="589"/>
      <c r="R474" s="576"/>
      <c r="S474" s="583">
        <f t="shared" si="51"/>
        <v>0</v>
      </c>
      <c r="T474" s="580">
        <f t="shared" si="50"/>
        <v>0</v>
      </c>
      <c r="U474" s="51"/>
      <c r="V474" s="2119"/>
      <c r="W474" s="43"/>
      <c r="X474" s="43"/>
      <c r="Y474" s="43"/>
      <c r="Z474" s="43"/>
    </row>
    <row r="475" spans="1:26">
      <c r="A475" s="88">
        <v>6161</v>
      </c>
      <c r="B475" s="1045" t="s">
        <v>2167</v>
      </c>
      <c r="C475" s="1033"/>
      <c r="D475" s="1033"/>
      <c r="E475" s="1033"/>
      <c r="F475" s="1033"/>
      <c r="G475" s="1033"/>
      <c r="H475" s="1033"/>
      <c r="I475" s="1033"/>
      <c r="J475" s="1033"/>
      <c r="K475" s="1033"/>
      <c r="L475" s="90"/>
      <c r="M475" s="51"/>
      <c r="N475" s="113">
        <f t="shared" si="52"/>
        <v>6161</v>
      </c>
      <c r="O475" s="575">
        <v>0</v>
      </c>
      <c r="P475" s="582">
        <v>0</v>
      </c>
      <c r="Q475" s="589"/>
      <c r="R475" s="576"/>
      <c r="S475" s="583">
        <f t="shared" si="51"/>
        <v>0</v>
      </c>
      <c r="T475" s="580">
        <f t="shared" si="50"/>
        <v>0</v>
      </c>
      <c r="U475" s="51"/>
      <c r="V475" s="2119"/>
      <c r="W475" s="43"/>
      <c r="X475" s="43"/>
      <c r="Y475" s="43"/>
      <c r="Z475" s="43"/>
    </row>
    <row r="476" spans="1:26">
      <c r="A476" s="88">
        <v>6162</v>
      </c>
      <c r="B476" s="1045" t="s">
        <v>2168</v>
      </c>
      <c r="C476" s="1033"/>
      <c r="D476" s="1033"/>
      <c r="E476" s="1033"/>
      <c r="F476" s="1033"/>
      <c r="G476" s="1033"/>
      <c r="H476" s="1033"/>
      <c r="I476" s="1033"/>
      <c r="J476" s="1033"/>
      <c r="K476" s="1033"/>
      <c r="L476" s="90"/>
      <c r="M476" s="51"/>
      <c r="N476" s="113">
        <f t="shared" si="52"/>
        <v>6162</v>
      </c>
      <c r="O476" s="575">
        <v>0</v>
      </c>
      <c r="P476" s="582">
        <v>0</v>
      </c>
      <c r="Q476" s="589"/>
      <c r="R476" s="576"/>
      <c r="S476" s="583">
        <f t="shared" si="51"/>
        <v>0</v>
      </c>
      <c r="T476" s="580">
        <f t="shared" si="50"/>
        <v>0</v>
      </c>
      <c r="U476" s="51"/>
      <c r="V476" s="2119"/>
      <c r="W476" s="43"/>
      <c r="X476" s="43"/>
      <c r="Y476" s="43"/>
      <c r="Z476" s="43"/>
    </row>
    <row r="477" spans="1:26">
      <c r="A477" s="88">
        <v>6163</v>
      </c>
      <c r="B477" s="1045" t="s">
        <v>2169</v>
      </c>
      <c r="C477" s="1033"/>
      <c r="D477" s="1033"/>
      <c r="E477" s="1033"/>
      <c r="F477" s="1033"/>
      <c r="G477" s="1033"/>
      <c r="H477" s="1033"/>
      <c r="I477" s="1033"/>
      <c r="J477" s="1033"/>
      <c r="K477" s="1033"/>
      <c r="L477" s="90"/>
      <c r="M477" s="51"/>
      <c r="N477" s="113">
        <f t="shared" si="52"/>
        <v>6163</v>
      </c>
      <c r="O477" s="575">
        <v>0</v>
      </c>
      <c r="P477" s="582">
        <v>0</v>
      </c>
      <c r="Q477" s="589"/>
      <c r="R477" s="576"/>
      <c r="S477" s="583">
        <f t="shared" si="51"/>
        <v>0</v>
      </c>
      <c r="T477" s="580">
        <f t="shared" si="50"/>
        <v>0</v>
      </c>
      <c r="U477" s="51"/>
      <c r="V477" s="2119"/>
      <c r="W477" s="43"/>
      <c r="X477" s="43"/>
      <c r="Y477" s="43"/>
      <c r="Z477" s="43"/>
    </row>
    <row r="478" spans="1:26">
      <c r="A478" s="88">
        <v>6201</v>
      </c>
      <c r="B478" s="1033" t="s">
        <v>432</v>
      </c>
      <c r="C478" s="1033"/>
      <c r="D478" s="1033"/>
      <c r="E478" s="1033"/>
      <c r="F478" s="1033"/>
      <c r="G478" s="1033"/>
      <c r="H478" s="1033"/>
      <c r="I478" s="1033"/>
      <c r="J478" s="1033"/>
      <c r="K478" s="1033"/>
      <c r="L478" s="90"/>
      <c r="M478" s="51"/>
      <c r="N478" s="113">
        <f t="shared" si="52"/>
        <v>6201</v>
      </c>
      <c r="O478" s="575">
        <v>0</v>
      </c>
      <c r="P478" s="582">
        <v>0</v>
      </c>
      <c r="Q478" s="589"/>
      <c r="R478" s="576"/>
      <c r="S478" s="583">
        <f t="shared" si="51"/>
        <v>0</v>
      </c>
      <c r="T478" s="580">
        <f t="shared" si="50"/>
        <v>0</v>
      </c>
      <c r="U478" s="51"/>
      <c r="V478" s="2119"/>
      <c r="W478" s="43"/>
      <c r="X478" s="43"/>
      <c r="Y478" s="43"/>
      <c r="Z478" s="43"/>
    </row>
    <row r="479" spans="1:26">
      <c r="A479" s="88">
        <v>6202</v>
      </c>
      <c r="B479" s="1033" t="s">
        <v>499</v>
      </c>
      <c r="C479" s="1033"/>
      <c r="D479" s="1033"/>
      <c r="E479" s="1033"/>
      <c r="F479" s="1033"/>
      <c r="G479" s="1033"/>
      <c r="H479" s="1033"/>
      <c r="I479" s="1033"/>
      <c r="J479" s="1033"/>
      <c r="K479" s="1033"/>
      <c r="L479" s="90"/>
      <c r="M479" s="51"/>
      <c r="N479" s="113">
        <f t="shared" si="52"/>
        <v>6202</v>
      </c>
      <c r="O479" s="575">
        <v>0</v>
      </c>
      <c r="P479" s="582">
        <v>0</v>
      </c>
      <c r="Q479" s="589"/>
      <c r="R479" s="576"/>
      <c r="S479" s="583">
        <f t="shared" si="51"/>
        <v>0</v>
      </c>
      <c r="T479" s="580">
        <f t="shared" si="50"/>
        <v>0</v>
      </c>
      <c r="U479" s="51"/>
      <c r="V479" s="2119"/>
      <c r="W479" s="43"/>
      <c r="X479" s="43"/>
      <c r="Y479" s="43"/>
      <c r="Z479" s="43"/>
    </row>
    <row r="480" spans="1:26">
      <c r="A480" s="88">
        <v>6203</v>
      </c>
      <c r="B480" s="1033" t="s">
        <v>500</v>
      </c>
      <c r="C480" s="1033"/>
      <c r="D480" s="1033"/>
      <c r="E480" s="1033"/>
      <c r="F480" s="1033"/>
      <c r="G480" s="1033"/>
      <c r="H480" s="1033"/>
      <c r="I480" s="1033"/>
      <c r="J480" s="1033"/>
      <c r="K480" s="1033"/>
      <c r="L480" s="90"/>
      <c r="M480" s="51"/>
      <c r="N480" s="113">
        <f t="shared" si="52"/>
        <v>6203</v>
      </c>
      <c r="O480" s="575">
        <v>0</v>
      </c>
      <c r="P480" s="582">
        <v>0</v>
      </c>
      <c r="Q480" s="589">
        <v>0</v>
      </c>
      <c r="R480" s="576">
        <v>0</v>
      </c>
      <c r="S480" s="583">
        <f t="shared" si="51"/>
        <v>0</v>
      </c>
      <c r="T480" s="580">
        <f t="shared" ref="T480:T543" si="53">+IF(ABS(+O480+Q480)&lt;=ABS(P480+R480),-O480+P480-Q480+R480,0)</f>
        <v>0</v>
      </c>
      <c r="U480" s="51"/>
      <c r="V480" s="2119"/>
      <c r="W480" s="43"/>
      <c r="X480" s="43"/>
      <c r="Y480" s="43"/>
      <c r="Z480" s="43"/>
    </row>
    <row r="481" spans="1:26">
      <c r="A481" s="88">
        <v>6209</v>
      </c>
      <c r="B481" s="1033" t="s">
        <v>501</v>
      </c>
      <c r="C481" s="1033"/>
      <c r="D481" s="1033"/>
      <c r="E481" s="1033"/>
      <c r="F481" s="1033"/>
      <c r="G481" s="1033"/>
      <c r="H481" s="1033"/>
      <c r="I481" s="1033"/>
      <c r="J481" s="1033"/>
      <c r="K481" s="1033"/>
      <c r="L481" s="90"/>
      <c r="M481" s="51"/>
      <c r="N481" s="113">
        <f t="shared" si="52"/>
        <v>6209</v>
      </c>
      <c r="O481" s="575">
        <v>0</v>
      </c>
      <c r="P481" s="582">
        <v>0</v>
      </c>
      <c r="Q481" s="589">
        <v>0</v>
      </c>
      <c r="R481" s="576">
        <v>0</v>
      </c>
      <c r="S481" s="583">
        <f t="shared" ref="S481:S544" si="54">+IF(ABS(+O481+Q481)&gt;=ABS(P481+R481),+O481-P481+Q481-R481,0)</f>
        <v>0</v>
      </c>
      <c r="T481" s="580">
        <f t="shared" si="53"/>
        <v>0</v>
      </c>
      <c r="U481" s="51"/>
      <c r="V481" s="2119"/>
      <c r="W481" s="43"/>
      <c r="X481" s="43"/>
      <c r="Y481" s="43"/>
      <c r="Z481" s="43"/>
    </row>
    <row r="482" spans="1:26">
      <c r="A482" s="88">
        <v>6211</v>
      </c>
      <c r="B482" s="1033" t="s">
        <v>502</v>
      </c>
      <c r="C482" s="1033"/>
      <c r="D482" s="1033"/>
      <c r="E482" s="1033"/>
      <c r="F482" s="1033"/>
      <c r="G482" s="1033"/>
      <c r="H482" s="1033"/>
      <c r="I482" s="1033"/>
      <c r="J482" s="1033"/>
      <c r="K482" s="1033"/>
      <c r="L482" s="90"/>
      <c r="M482" s="51"/>
      <c r="N482" s="113">
        <f t="shared" si="52"/>
        <v>6211</v>
      </c>
      <c r="O482" s="575">
        <v>0</v>
      </c>
      <c r="P482" s="582">
        <v>0</v>
      </c>
      <c r="Q482" s="589"/>
      <c r="R482" s="576"/>
      <c r="S482" s="583">
        <f t="shared" si="54"/>
        <v>0</v>
      </c>
      <c r="T482" s="580">
        <f t="shared" si="53"/>
        <v>0</v>
      </c>
      <c r="U482" s="51"/>
      <c r="V482" s="2119"/>
      <c r="W482" s="43"/>
      <c r="X482" s="43"/>
      <c r="Y482" s="43"/>
      <c r="Z482" s="43"/>
    </row>
    <row r="483" spans="1:26" ht="15.75" customHeight="1">
      <c r="A483" s="88">
        <v>6218</v>
      </c>
      <c r="B483" s="1033" t="s">
        <v>503</v>
      </c>
      <c r="C483" s="1033"/>
      <c r="D483" s="1033"/>
      <c r="E483" s="1033"/>
      <c r="F483" s="1033"/>
      <c r="G483" s="1033"/>
      <c r="H483" s="1033"/>
      <c r="I483" s="1033"/>
      <c r="J483" s="1033"/>
      <c r="K483" s="1033"/>
      <c r="L483" s="90"/>
      <c r="M483" s="51"/>
      <c r="N483" s="113">
        <f t="shared" si="52"/>
        <v>6218</v>
      </c>
      <c r="O483" s="575">
        <v>0</v>
      </c>
      <c r="P483" s="582">
        <v>0</v>
      </c>
      <c r="Q483" s="589"/>
      <c r="R483" s="576"/>
      <c r="S483" s="583">
        <f t="shared" si="54"/>
        <v>0</v>
      </c>
      <c r="T483" s="580">
        <f t="shared" si="53"/>
        <v>0</v>
      </c>
      <c r="U483" s="51"/>
      <c r="V483" s="2119"/>
      <c r="W483" s="43"/>
      <c r="X483" s="43"/>
      <c r="Y483" s="43"/>
      <c r="Z483" s="43"/>
    </row>
    <row r="484" spans="1:26">
      <c r="A484" s="88">
        <v>6221</v>
      </c>
      <c r="B484" s="1033" t="s">
        <v>504</v>
      </c>
      <c r="C484" s="1033"/>
      <c r="D484" s="1033"/>
      <c r="E484" s="1033"/>
      <c r="F484" s="1033"/>
      <c r="G484" s="1033"/>
      <c r="H484" s="1033"/>
      <c r="I484" s="1033"/>
      <c r="J484" s="1033"/>
      <c r="K484" s="1033"/>
      <c r="L484" s="90"/>
      <c r="M484" s="51"/>
      <c r="N484" s="113">
        <f t="shared" si="52"/>
        <v>6221</v>
      </c>
      <c r="O484" s="575">
        <v>0</v>
      </c>
      <c r="P484" s="582">
        <v>0</v>
      </c>
      <c r="Q484" s="589"/>
      <c r="R484" s="576"/>
      <c r="S484" s="583">
        <f t="shared" si="54"/>
        <v>0</v>
      </c>
      <c r="T484" s="580">
        <f t="shared" si="53"/>
        <v>0</v>
      </c>
      <c r="U484" s="51"/>
      <c r="V484" s="2119"/>
      <c r="W484" s="43"/>
      <c r="X484" s="43"/>
      <c r="Y484" s="43"/>
      <c r="Z484" s="43"/>
    </row>
    <row r="485" spans="1:26">
      <c r="A485" s="88">
        <v>6224</v>
      </c>
      <c r="B485" s="1033" t="s">
        <v>505</v>
      </c>
      <c r="C485" s="1033"/>
      <c r="D485" s="1033"/>
      <c r="E485" s="1033"/>
      <c r="F485" s="1033"/>
      <c r="G485" s="1033"/>
      <c r="H485" s="1033"/>
      <c r="I485" s="1033"/>
      <c r="J485" s="1033"/>
      <c r="K485" s="1033"/>
      <c r="L485" s="90"/>
      <c r="M485" s="51"/>
      <c r="N485" s="113">
        <f t="shared" si="52"/>
        <v>6224</v>
      </c>
      <c r="O485" s="575">
        <v>0</v>
      </c>
      <c r="P485" s="582">
        <v>0</v>
      </c>
      <c r="Q485" s="589"/>
      <c r="R485" s="576"/>
      <c r="S485" s="583">
        <f t="shared" si="54"/>
        <v>0</v>
      </c>
      <c r="T485" s="580">
        <f t="shared" si="53"/>
        <v>0</v>
      </c>
      <c r="U485" s="51"/>
      <c r="V485" s="2119"/>
      <c r="W485" s="43"/>
      <c r="X485" s="43"/>
      <c r="Y485" s="43"/>
      <c r="Z485" s="43"/>
    </row>
    <row r="486" spans="1:26">
      <c r="A486" s="88">
        <v>6225</v>
      </c>
      <c r="B486" s="1033" t="s">
        <v>506</v>
      </c>
      <c r="C486" s="1033"/>
      <c r="D486" s="1033"/>
      <c r="E486" s="1033"/>
      <c r="F486" s="1033"/>
      <c r="G486" s="1033"/>
      <c r="H486" s="1033"/>
      <c r="I486" s="1033"/>
      <c r="J486" s="1033"/>
      <c r="K486" s="1033"/>
      <c r="L486" s="90"/>
      <c r="M486" s="51"/>
      <c r="N486" s="113">
        <f t="shared" si="52"/>
        <v>6225</v>
      </c>
      <c r="O486" s="575">
        <v>0</v>
      </c>
      <c r="P486" s="582">
        <v>0</v>
      </c>
      <c r="Q486" s="589"/>
      <c r="R486" s="576"/>
      <c r="S486" s="583">
        <f t="shared" si="54"/>
        <v>0</v>
      </c>
      <c r="T486" s="580">
        <f t="shared" si="53"/>
        <v>0</v>
      </c>
      <c r="U486" s="51"/>
      <c r="V486" s="2119"/>
      <c r="W486" s="43"/>
      <c r="X486" s="43"/>
      <c r="Y486" s="43"/>
      <c r="Z486" s="43"/>
    </row>
    <row r="487" spans="1:26">
      <c r="A487" s="88">
        <v>6226</v>
      </c>
      <c r="B487" s="1033" t="s">
        <v>507</v>
      </c>
      <c r="C487" s="1033"/>
      <c r="D487" s="1033"/>
      <c r="E487" s="1033"/>
      <c r="F487" s="1033"/>
      <c r="G487" s="1033"/>
      <c r="H487" s="1033"/>
      <c r="I487" s="1033"/>
      <c r="J487" s="1033"/>
      <c r="K487" s="1033"/>
      <c r="L487" s="90"/>
      <c r="M487" s="51"/>
      <c r="N487" s="113">
        <f t="shared" si="52"/>
        <v>6226</v>
      </c>
      <c r="O487" s="575">
        <v>0</v>
      </c>
      <c r="P487" s="582">
        <v>0</v>
      </c>
      <c r="Q487" s="589"/>
      <c r="R487" s="576"/>
      <c r="S487" s="583">
        <f t="shared" si="54"/>
        <v>0</v>
      </c>
      <c r="T487" s="580">
        <f t="shared" si="53"/>
        <v>0</v>
      </c>
      <c r="U487" s="51"/>
      <c r="V487" s="2119"/>
      <c r="W487" s="43"/>
      <c r="X487" s="43"/>
      <c r="Y487" s="43"/>
      <c r="Z487" s="43"/>
    </row>
    <row r="488" spans="1:26">
      <c r="A488" s="88">
        <v>6227</v>
      </c>
      <c r="B488" s="1033" t="s">
        <v>508</v>
      </c>
      <c r="C488" s="1033"/>
      <c r="D488" s="1033"/>
      <c r="E488" s="1033"/>
      <c r="F488" s="1033"/>
      <c r="G488" s="1033"/>
      <c r="H488" s="1033"/>
      <c r="I488" s="1033"/>
      <c r="J488" s="1033"/>
      <c r="K488" s="1033"/>
      <c r="L488" s="90"/>
      <c r="M488" s="51"/>
      <c r="N488" s="113">
        <f t="shared" si="52"/>
        <v>6227</v>
      </c>
      <c r="O488" s="575">
        <v>0</v>
      </c>
      <c r="P488" s="582">
        <v>0</v>
      </c>
      <c r="Q488" s="589"/>
      <c r="R488" s="576"/>
      <c r="S488" s="583">
        <f t="shared" si="54"/>
        <v>0</v>
      </c>
      <c r="T488" s="580">
        <f t="shared" si="53"/>
        <v>0</v>
      </c>
      <c r="U488" s="51"/>
      <c r="V488" s="2119"/>
      <c r="W488" s="43"/>
      <c r="X488" s="43"/>
      <c r="Y488" s="43"/>
      <c r="Z488" s="43"/>
    </row>
    <row r="489" spans="1:26">
      <c r="A489" s="88">
        <v>6229</v>
      </c>
      <c r="B489" s="1033" t="s">
        <v>509</v>
      </c>
      <c r="C489" s="1033"/>
      <c r="D489" s="1033"/>
      <c r="E489" s="1033"/>
      <c r="F489" s="1033"/>
      <c r="G489" s="1033"/>
      <c r="H489" s="1033"/>
      <c r="I489" s="1033"/>
      <c r="J489" s="1033"/>
      <c r="K489" s="1033"/>
      <c r="L489" s="90"/>
      <c r="M489" s="51"/>
      <c r="N489" s="113">
        <f t="shared" si="52"/>
        <v>6229</v>
      </c>
      <c r="O489" s="575">
        <v>0</v>
      </c>
      <c r="P489" s="582">
        <v>0</v>
      </c>
      <c r="Q489" s="589"/>
      <c r="R489" s="576"/>
      <c r="S489" s="583">
        <f t="shared" si="54"/>
        <v>0</v>
      </c>
      <c r="T489" s="580">
        <f t="shared" si="53"/>
        <v>0</v>
      </c>
      <c r="U489" s="51"/>
      <c r="V489" s="2119"/>
      <c r="W489" s="43"/>
      <c r="X489" s="43"/>
      <c r="Y489" s="43"/>
      <c r="Z489" s="43"/>
    </row>
    <row r="490" spans="1:26">
      <c r="A490" s="88">
        <v>6231</v>
      </c>
      <c r="B490" s="1033" t="s">
        <v>510</v>
      </c>
      <c r="C490" s="1033"/>
      <c r="D490" s="1033"/>
      <c r="E490" s="1033"/>
      <c r="F490" s="1033"/>
      <c r="G490" s="1033"/>
      <c r="H490" s="1033"/>
      <c r="I490" s="1033"/>
      <c r="J490" s="1033"/>
      <c r="K490" s="1033"/>
      <c r="L490" s="90"/>
      <c r="M490" s="51"/>
      <c r="N490" s="113">
        <f t="shared" si="52"/>
        <v>6231</v>
      </c>
      <c r="O490" s="575">
        <v>0</v>
      </c>
      <c r="P490" s="582">
        <v>0</v>
      </c>
      <c r="Q490" s="589"/>
      <c r="R490" s="576"/>
      <c r="S490" s="583">
        <f t="shared" si="54"/>
        <v>0</v>
      </c>
      <c r="T490" s="580">
        <f t="shared" si="53"/>
        <v>0</v>
      </c>
      <c r="U490" s="51"/>
      <c r="V490" s="2119"/>
      <c r="W490" s="43"/>
      <c r="X490" s="43"/>
      <c r="Y490" s="43"/>
      <c r="Z490" s="43"/>
    </row>
    <row r="491" spans="1:26">
      <c r="A491" s="88">
        <v>6232</v>
      </c>
      <c r="B491" s="1033" t="s">
        <v>511</v>
      </c>
      <c r="C491" s="1033"/>
      <c r="D491" s="1033"/>
      <c r="E491" s="1033"/>
      <c r="F491" s="1033"/>
      <c r="G491" s="1033"/>
      <c r="H491" s="1033"/>
      <c r="I491" s="1033"/>
      <c r="J491" s="1033"/>
      <c r="K491" s="1033"/>
      <c r="L491" s="90"/>
      <c r="M491" s="51"/>
      <c r="N491" s="113">
        <f t="shared" si="52"/>
        <v>6232</v>
      </c>
      <c r="O491" s="575">
        <v>0</v>
      </c>
      <c r="P491" s="582">
        <v>0</v>
      </c>
      <c r="Q491" s="589"/>
      <c r="R491" s="576"/>
      <c r="S491" s="583">
        <f t="shared" si="54"/>
        <v>0</v>
      </c>
      <c r="T491" s="580">
        <f t="shared" si="53"/>
        <v>0</v>
      </c>
      <c r="U491" s="51"/>
      <c r="V491" s="2119"/>
      <c r="W491" s="43"/>
      <c r="X491" s="43"/>
      <c r="Y491" s="43"/>
      <c r="Z491" s="43"/>
    </row>
    <row r="492" spans="1:26">
      <c r="A492" s="88">
        <v>6241</v>
      </c>
      <c r="B492" s="1033" t="s">
        <v>512</v>
      </c>
      <c r="C492" s="1033"/>
      <c r="D492" s="1033"/>
      <c r="E492" s="1033"/>
      <c r="F492" s="1033"/>
      <c r="G492" s="1033"/>
      <c r="H492" s="1033"/>
      <c r="I492" s="1033"/>
      <c r="J492" s="1033"/>
      <c r="K492" s="1033"/>
      <c r="L492" s="90"/>
      <c r="M492" s="51"/>
      <c r="N492" s="113">
        <f t="shared" si="52"/>
        <v>6241</v>
      </c>
      <c r="O492" s="575">
        <v>0</v>
      </c>
      <c r="P492" s="582">
        <v>0</v>
      </c>
      <c r="Q492" s="589">
        <v>0</v>
      </c>
      <c r="R492" s="576">
        <v>0</v>
      </c>
      <c r="S492" s="583">
        <f t="shared" si="54"/>
        <v>0</v>
      </c>
      <c r="T492" s="580">
        <f t="shared" si="53"/>
        <v>0</v>
      </c>
      <c r="U492" s="51"/>
      <c r="V492" s="2119"/>
      <c r="W492" s="43"/>
      <c r="X492" s="43"/>
      <c r="Y492" s="43"/>
      <c r="Z492" s="43"/>
    </row>
    <row r="493" spans="1:26">
      <c r="A493" s="88">
        <v>6242</v>
      </c>
      <c r="B493" s="1033" t="s">
        <v>513</v>
      </c>
      <c r="C493" s="1033"/>
      <c r="D493" s="1033"/>
      <c r="E493" s="1033"/>
      <c r="F493" s="1033"/>
      <c r="G493" s="1033"/>
      <c r="H493" s="1033"/>
      <c r="I493" s="1033"/>
      <c r="J493" s="1033"/>
      <c r="K493" s="1033"/>
      <c r="L493" s="90"/>
      <c r="M493" s="51"/>
      <c r="N493" s="113">
        <f t="shared" si="52"/>
        <v>6242</v>
      </c>
      <c r="O493" s="575">
        <v>0</v>
      </c>
      <c r="P493" s="582">
        <v>0</v>
      </c>
      <c r="Q493" s="589"/>
      <c r="R493" s="576"/>
      <c r="S493" s="583">
        <f t="shared" si="54"/>
        <v>0</v>
      </c>
      <c r="T493" s="580">
        <f t="shared" si="53"/>
        <v>0</v>
      </c>
      <c r="U493" s="51"/>
      <c r="V493" s="2119"/>
      <c r="W493" s="43"/>
      <c r="X493" s="43"/>
      <c r="Y493" s="43"/>
      <c r="Z493" s="43"/>
    </row>
    <row r="494" spans="1:26" ht="15.75" customHeight="1">
      <c r="A494" s="88">
        <v>6270</v>
      </c>
      <c r="B494" s="1033" t="s">
        <v>514</v>
      </c>
      <c r="C494" s="1033"/>
      <c r="D494" s="1033"/>
      <c r="E494" s="1033"/>
      <c r="F494" s="1033"/>
      <c r="G494" s="1033"/>
      <c r="H494" s="1033"/>
      <c r="I494" s="1033"/>
      <c r="J494" s="1033"/>
      <c r="K494" s="1033"/>
      <c r="L494" s="90"/>
      <c r="M494" s="51"/>
      <c r="N494" s="113">
        <f t="shared" si="52"/>
        <v>6270</v>
      </c>
      <c r="O494" s="575">
        <v>0</v>
      </c>
      <c r="P494" s="582">
        <v>0</v>
      </c>
      <c r="Q494" s="589"/>
      <c r="R494" s="576"/>
      <c r="S494" s="583">
        <f t="shared" si="54"/>
        <v>0</v>
      </c>
      <c r="T494" s="580">
        <f t="shared" si="53"/>
        <v>0</v>
      </c>
      <c r="U494" s="51"/>
      <c r="V494" s="2119"/>
      <c r="W494" s="43"/>
      <c r="X494" s="43"/>
      <c r="Y494" s="43"/>
      <c r="Z494" s="43"/>
    </row>
    <row r="495" spans="1:26">
      <c r="A495" s="88">
        <v>6271</v>
      </c>
      <c r="B495" s="1033" t="s">
        <v>515</v>
      </c>
      <c r="C495" s="1033"/>
      <c r="D495" s="1033"/>
      <c r="E495" s="1033"/>
      <c r="F495" s="1033"/>
      <c r="G495" s="1033"/>
      <c r="H495" s="1033"/>
      <c r="I495" s="1033"/>
      <c r="J495" s="1033"/>
      <c r="K495" s="1033"/>
      <c r="L495" s="90"/>
      <c r="M495" s="51"/>
      <c r="N495" s="113">
        <f t="shared" si="52"/>
        <v>6271</v>
      </c>
      <c r="O495" s="575">
        <v>0</v>
      </c>
      <c r="P495" s="582">
        <v>0</v>
      </c>
      <c r="Q495" s="589"/>
      <c r="R495" s="576"/>
      <c r="S495" s="583">
        <f t="shared" si="54"/>
        <v>0</v>
      </c>
      <c r="T495" s="580">
        <f t="shared" si="53"/>
        <v>0</v>
      </c>
      <c r="U495" s="51"/>
      <c r="V495" s="2119"/>
      <c r="W495" s="43"/>
      <c r="X495" s="43"/>
      <c r="Y495" s="43"/>
      <c r="Z495" s="43"/>
    </row>
    <row r="496" spans="1:26">
      <c r="A496" s="88">
        <v>6272</v>
      </c>
      <c r="B496" s="1033" t="s">
        <v>516</v>
      </c>
      <c r="C496" s="1033"/>
      <c r="D496" s="1033"/>
      <c r="E496" s="1033"/>
      <c r="F496" s="1033"/>
      <c r="G496" s="1033"/>
      <c r="H496" s="1033"/>
      <c r="I496" s="1033"/>
      <c r="J496" s="1033"/>
      <c r="K496" s="1033"/>
      <c r="L496" s="90"/>
      <c r="M496" s="51"/>
      <c r="N496" s="113">
        <f t="shared" si="52"/>
        <v>6272</v>
      </c>
      <c r="O496" s="575">
        <v>0</v>
      </c>
      <c r="P496" s="582">
        <v>0</v>
      </c>
      <c r="Q496" s="589"/>
      <c r="R496" s="576"/>
      <c r="S496" s="583">
        <f t="shared" si="54"/>
        <v>0</v>
      </c>
      <c r="T496" s="580">
        <f t="shared" si="53"/>
        <v>0</v>
      </c>
      <c r="U496" s="51"/>
      <c r="V496" s="2119"/>
      <c r="W496" s="43"/>
      <c r="X496" s="43"/>
      <c r="Y496" s="43"/>
      <c r="Z496" s="43"/>
    </row>
    <row r="497" spans="1:26" ht="15.75" customHeight="1">
      <c r="A497" s="88">
        <v>6273</v>
      </c>
      <c r="B497" s="1033" t="s">
        <v>520</v>
      </c>
      <c r="C497" s="1033"/>
      <c r="D497" s="1033"/>
      <c r="E497" s="1033"/>
      <c r="F497" s="1033"/>
      <c r="G497" s="1033"/>
      <c r="H497" s="1033"/>
      <c r="I497" s="1033"/>
      <c r="J497" s="1033"/>
      <c r="K497" s="1033"/>
      <c r="L497" s="90"/>
      <c r="M497" s="51"/>
      <c r="N497" s="113">
        <f t="shared" si="52"/>
        <v>6273</v>
      </c>
      <c r="O497" s="575">
        <v>0</v>
      </c>
      <c r="P497" s="582">
        <v>0</v>
      </c>
      <c r="Q497" s="589"/>
      <c r="R497" s="576"/>
      <c r="S497" s="583">
        <f t="shared" si="54"/>
        <v>0</v>
      </c>
      <c r="T497" s="580">
        <f t="shared" si="53"/>
        <v>0</v>
      </c>
      <c r="U497" s="51"/>
      <c r="V497" s="2119"/>
      <c r="W497" s="43"/>
      <c r="X497" s="43"/>
      <c r="Y497" s="43"/>
      <c r="Z497" s="43"/>
    </row>
    <row r="498" spans="1:26" ht="15.75" customHeight="1">
      <c r="A498" s="88">
        <v>6274</v>
      </c>
      <c r="B498" s="1033" t="s">
        <v>521</v>
      </c>
      <c r="C498" s="1033"/>
      <c r="D498" s="1033"/>
      <c r="E498" s="1033"/>
      <c r="F498" s="1033"/>
      <c r="G498" s="1033"/>
      <c r="H498" s="1033"/>
      <c r="I498" s="1033"/>
      <c r="J498" s="1033"/>
      <c r="K498" s="1033"/>
      <c r="L498" s="90"/>
      <c r="M498" s="51"/>
      <c r="N498" s="113">
        <f t="shared" si="52"/>
        <v>6274</v>
      </c>
      <c r="O498" s="575">
        <v>0</v>
      </c>
      <c r="P498" s="582">
        <v>0</v>
      </c>
      <c r="Q498" s="589"/>
      <c r="R498" s="576"/>
      <c r="S498" s="583">
        <f t="shared" si="54"/>
        <v>0</v>
      </c>
      <c r="T498" s="580">
        <f t="shared" si="53"/>
        <v>0</v>
      </c>
      <c r="U498" s="51"/>
      <c r="V498" s="2119"/>
      <c r="W498" s="43"/>
      <c r="X498" s="43"/>
      <c r="Y498" s="43"/>
      <c r="Z498" s="43"/>
    </row>
    <row r="499" spans="1:26" ht="15.75" customHeight="1">
      <c r="A499" s="88">
        <v>6275</v>
      </c>
      <c r="B499" s="1033" t="s">
        <v>522</v>
      </c>
      <c r="C499" s="1033"/>
      <c r="D499" s="1033"/>
      <c r="E499" s="1033"/>
      <c r="F499" s="1033"/>
      <c r="G499" s="1033"/>
      <c r="H499" s="1033"/>
      <c r="I499" s="1033"/>
      <c r="J499" s="1033"/>
      <c r="K499" s="1033"/>
      <c r="L499" s="90"/>
      <c r="M499" s="51"/>
      <c r="N499" s="113">
        <f t="shared" si="52"/>
        <v>6275</v>
      </c>
      <c r="O499" s="575">
        <v>0</v>
      </c>
      <c r="P499" s="582">
        <v>0</v>
      </c>
      <c r="Q499" s="589"/>
      <c r="R499" s="576"/>
      <c r="S499" s="583">
        <f t="shared" si="54"/>
        <v>0</v>
      </c>
      <c r="T499" s="580">
        <f t="shared" si="53"/>
        <v>0</v>
      </c>
      <c r="U499" s="51"/>
      <c r="V499" s="2119"/>
      <c r="W499" s="43"/>
      <c r="X499" s="43"/>
      <c r="Y499" s="43"/>
      <c r="Z499" s="43"/>
    </row>
    <row r="500" spans="1:26" ht="15.75" customHeight="1">
      <c r="A500" s="88">
        <v>6276</v>
      </c>
      <c r="B500" s="1033" t="s">
        <v>523</v>
      </c>
      <c r="C500" s="1033"/>
      <c r="D500" s="1033"/>
      <c r="E500" s="1033"/>
      <c r="F500" s="1033"/>
      <c r="G500" s="1033"/>
      <c r="H500" s="1033"/>
      <c r="I500" s="1033"/>
      <c r="J500" s="1033"/>
      <c r="K500" s="1033"/>
      <c r="L500" s="90"/>
      <c r="M500" s="51"/>
      <c r="N500" s="113">
        <f t="shared" si="52"/>
        <v>6276</v>
      </c>
      <c r="O500" s="575">
        <v>0</v>
      </c>
      <c r="P500" s="582">
        <v>0</v>
      </c>
      <c r="Q500" s="589"/>
      <c r="R500" s="576"/>
      <c r="S500" s="583">
        <f t="shared" si="54"/>
        <v>0</v>
      </c>
      <c r="T500" s="580">
        <f t="shared" si="53"/>
        <v>0</v>
      </c>
      <c r="U500" s="51"/>
      <c r="V500" s="2119"/>
      <c r="W500" s="43"/>
      <c r="X500" s="43"/>
      <c r="Y500" s="43"/>
      <c r="Z500" s="43"/>
    </row>
    <row r="501" spans="1:26" ht="15.75" customHeight="1">
      <c r="A501" s="88">
        <v>6277</v>
      </c>
      <c r="B501" s="1033" t="s">
        <v>524</v>
      </c>
      <c r="C501" s="1033"/>
      <c r="D501" s="1033"/>
      <c r="E501" s="1033"/>
      <c r="F501" s="1033"/>
      <c r="G501" s="1033"/>
      <c r="H501" s="1033"/>
      <c r="I501" s="1033"/>
      <c r="J501" s="1033"/>
      <c r="K501" s="1033"/>
      <c r="L501" s="90"/>
      <c r="M501" s="51"/>
      <c r="N501" s="113">
        <f t="shared" si="52"/>
        <v>6277</v>
      </c>
      <c r="O501" s="575">
        <v>0</v>
      </c>
      <c r="P501" s="582">
        <v>0</v>
      </c>
      <c r="Q501" s="589"/>
      <c r="R501" s="576"/>
      <c r="S501" s="583">
        <f t="shared" si="54"/>
        <v>0</v>
      </c>
      <c r="T501" s="580">
        <f t="shared" si="53"/>
        <v>0</v>
      </c>
      <c r="U501" s="51"/>
      <c r="V501" s="2119"/>
      <c r="W501" s="43"/>
      <c r="X501" s="43"/>
      <c r="Y501" s="43"/>
      <c r="Z501" s="43"/>
    </row>
    <row r="502" spans="1:26" ht="15.75" customHeight="1">
      <c r="A502" s="88">
        <v>6278</v>
      </c>
      <c r="B502" s="1033" t="s">
        <v>578</v>
      </c>
      <c r="C502" s="1033"/>
      <c r="D502" s="1033"/>
      <c r="E502" s="1033"/>
      <c r="F502" s="1033"/>
      <c r="G502" s="1033"/>
      <c r="H502" s="1033"/>
      <c r="I502" s="1033"/>
      <c r="J502" s="1033"/>
      <c r="K502" s="1033"/>
      <c r="L502" s="90"/>
      <c r="M502" s="51"/>
      <c r="N502" s="113">
        <f t="shared" si="52"/>
        <v>6278</v>
      </c>
      <c r="O502" s="575">
        <v>0</v>
      </c>
      <c r="P502" s="582">
        <v>0</v>
      </c>
      <c r="Q502" s="589"/>
      <c r="R502" s="576"/>
      <c r="S502" s="583">
        <f t="shared" si="54"/>
        <v>0</v>
      </c>
      <c r="T502" s="580">
        <f t="shared" si="53"/>
        <v>0</v>
      </c>
      <c r="U502" s="51"/>
      <c r="V502" s="2119"/>
      <c r="W502" s="43"/>
      <c r="X502" s="43"/>
      <c r="Y502" s="43"/>
      <c r="Z502" s="43"/>
    </row>
    <row r="503" spans="1:26">
      <c r="A503" s="88">
        <v>6279</v>
      </c>
      <c r="B503" s="1033" t="s">
        <v>517</v>
      </c>
      <c r="C503" s="1033"/>
      <c r="D503" s="1033"/>
      <c r="E503" s="1033"/>
      <c r="F503" s="1033"/>
      <c r="G503" s="1033"/>
      <c r="H503" s="1033"/>
      <c r="I503" s="1033"/>
      <c r="J503" s="1033"/>
      <c r="K503" s="1033"/>
      <c r="L503" s="90"/>
      <c r="M503" s="51"/>
      <c r="N503" s="113">
        <f t="shared" si="52"/>
        <v>6279</v>
      </c>
      <c r="O503" s="575">
        <v>0</v>
      </c>
      <c r="P503" s="582">
        <v>0</v>
      </c>
      <c r="Q503" s="589"/>
      <c r="R503" s="576"/>
      <c r="S503" s="583">
        <f t="shared" si="54"/>
        <v>0</v>
      </c>
      <c r="T503" s="580">
        <f t="shared" si="53"/>
        <v>0</v>
      </c>
      <c r="U503" s="51"/>
      <c r="V503" s="2119"/>
      <c r="W503" s="43"/>
      <c r="X503" s="43"/>
      <c r="Y503" s="43"/>
      <c r="Z503" s="43"/>
    </row>
    <row r="504" spans="1:26">
      <c r="A504" s="88">
        <v>6281</v>
      </c>
      <c r="B504" s="1033" t="s">
        <v>560</v>
      </c>
      <c r="C504" s="1033"/>
      <c r="D504" s="1033"/>
      <c r="E504" s="1033"/>
      <c r="F504" s="1033"/>
      <c r="G504" s="1033"/>
      <c r="H504" s="1033"/>
      <c r="I504" s="1033"/>
      <c r="J504" s="1033"/>
      <c r="K504" s="1033"/>
      <c r="L504" s="90"/>
      <c r="M504" s="51"/>
      <c r="N504" s="113">
        <f t="shared" si="52"/>
        <v>6281</v>
      </c>
      <c r="O504" s="575">
        <v>0</v>
      </c>
      <c r="P504" s="582">
        <v>0</v>
      </c>
      <c r="Q504" s="589"/>
      <c r="R504" s="576"/>
      <c r="S504" s="583">
        <f t="shared" si="54"/>
        <v>0</v>
      </c>
      <c r="T504" s="580">
        <f t="shared" si="53"/>
        <v>0</v>
      </c>
      <c r="U504" s="51"/>
      <c r="V504" s="2119"/>
      <c r="W504" s="43"/>
      <c r="X504" s="43"/>
      <c r="Y504" s="43"/>
      <c r="Z504" s="43"/>
    </row>
    <row r="505" spans="1:26">
      <c r="A505" s="88">
        <v>6282</v>
      </c>
      <c r="B505" s="1033" t="s">
        <v>561</v>
      </c>
      <c r="C505" s="1033"/>
      <c r="D505" s="1033"/>
      <c r="E505" s="1033"/>
      <c r="F505" s="1033"/>
      <c r="G505" s="1033"/>
      <c r="H505" s="1033"/>
      <c r="I505" s="1033"/>
      <c r="J505" s="1033"/>
      <c r="K505" s="1033"/>
      <c r="L505" s="90"/>
      <c r="M505" s="51"/>
      <c r="N505" s="113">
        <f t="shared" si="52"/>
        <v>6282</v>
      </c>
      <c r="O505" s="575">
        <v>0</v>
      </c>
      <c r="P505" s="582">
        <v>0</v>
      </c>
      <c r="Q505" s="589"/>
      <c r="R505" s="576"/>
      <c r="S505" s="583">
        <f t="shared" si="54"/>
        <v>0</v>
      </c>
      <c r="T505" s="580">
        <f t="shared" si="53"/>
        <v>0</v>
      </c>
      <c r="U505" s="51"/>
      <c r="V505" s="2119"/>
      <c r="W505" s="43"/>
      <c r="X505" s="43"/>
      <c r="Y505" s="43"/>
      <c r="Z505" s="43"/>
    </row>
    <row r="506" spans="1:26">
      <c r="A506" s="88">
        <v>6291</v>
      </c>
      <c r="B506" s="1033" t="s">
        <v>562</v>
      </c>
      <c r="C506" s="1033"/>
      <c r="D506" s="1033"/>
      <c r="E506" s="1033"/>
      <c r="F506" s="1033"/>
      <c r="G506" s="1033"/>
      <c r="H506" s="1033"/>
      <c r="I506" s="1033"/>
      <c r="J506" s="1033"/>
      <c r="K506" s="1033"/>
      <c r="L506" s="90"/>
      <c r="M506" s="51"/>
      <c r="N506" s="113">
        <f t="shared" si="52"/>
        <v>6291</v>
      </c>
      <c r="O506" s="575">
        <v>0</v>
      </c>
      <c r="P506" s="582">
        <v>0</v>
      </c>
      <c r="Q506" s="589"/>
      <c r="R506" s="576"/>
      <c r="S506" s="583">
        <f t="shared" si="54"/>
        <v>0</v>
      </c>
      <c r="T506" s="580">
        <f t="shared" si="53"/>
        <v>0</v>
      </c>
      <c r="U506" s="51"/>
      <c r="V506" s="2119"/>
      <c r="W506" s="43"/>
      <c r="X506" s="43"/>
      <c r="Y506" s="43"/>
      <c r="Z506" s="43"/>
    </row>
    <row r="507" spans="1:26">
      <c r="A507" s="88">
        <v>6292</v>
      </c>
      <c r="B507" s="1033" t="s">
        <v>563</v>
      </c>
      <c r="C507" s="1033"/>
      <c r="D507" s="1033"/>
      <c r="E507" s="1033"/>
      <c r="F507" s="1033"/>
      <c r="G507" s="1033"/>
      <c r="H507" s="1033"/>
      <c r="I507" s="1033"/>
      <c r="J507" s="1033"/>
      <c r="K507" s="1033"/>
      <c r="L507" s="90"/>
      <c r="M507" s="51"/>
      <c r="N507" s="113">
        <f t="shared" si="52"/>
        <v>6292</v>
      </c>
      <c r="O507" s="575">
        <v>0</v>
      </c>
      <c r="P507" s="582">
        <v>0</v>
      </c>
      <c r="Q507" s="589"/>
      <c r="R507" s="576"/>
      <c r="S507" s="583">
        <f t="shared" si="54"/>
        <v>0</v>
      </c>
      <c r="T507" s="580">
        <f t="shared" si="53"/>
        <v>0</v>
      </c>
      <c r="U507" s="51"/>
      <c r="V507" s="2119"/>
      <c r="W507" s="43"/>
      <c r="X507" s="43"/>
      <c r="Y507" s="43"/>
      <c r="Z507" s="43"/>
    </row>
    <row r="508" spans="1:26" ht="15.75" customHeight="1">
      <c r="A508" s="88">
        <v>6298</v>
      </c>
      <c r="B508" s="1033" t="s">
        <v>579</v>
      </c>
      <c r="C508" s="1033"/>
      <c r="D508" s="1033"/>
      <c r="E508" s="1033"/>
      <c r="F508" s="1033"/>
      <c r="G508" s="1033"/>
      <c r="H508" s="1033"/>
      <c r="I508" s="1033"/>
      <c r="J508" s="1033"/>
      <c r="K508" s="1033"/>
      <c r="L508" s="90"/>
      <c r="M508" s="51"/>
      <c r="N508" s="113">
        <f t="shared" si="52"/>
        <v>6298</v>
      </c>
      <c r="O508" s="575">
        <v>0</v>
      </c>
      <c r="P508" s="582">
        <v>0</v>
      </c>
      <c r="Q508" s="589"/>
      <c r="R508" s="576"/>
      <c r="S508" s="583">
        <f t="shared" si="54"/>
        <v>0</v>
      </c>
      <c r="T508" s="580">
        <f t="shared" si="53"/>
        <v>0</v>
      </c>
      <c r="U508" s="51"/>
      <c r="V508" s="2119"/>
      <c r="W508" s="43"/>
      <c r="X508" s="43"/>
      <c r="Y508" s="43"/>
      <c r="Z508" s="43"/>
    </row>
    <row r="509" spans="1:26">
      <c r="A509" s="88">
        <v>6401</v>
      </c>
      <c r="B509" s="1033" t="s">
        <v>580</v>
      </c>
      <c r="C509" s="1033"/>
      <c r="D509" s="1033"/>
      <c r="E509" s="1033"/>
      <c r="F509" s="1033"/>
      <c r="G509" s="1033"/>
      <c r="H509" s="1033"/>
      <c r="I509" s="1033"/>
      <c r="J509" s="1033"/>
      <c r="K509" s="1033"/>
      <c r="L509" s="90"/>
      <c r="M509" s="51"/>
      <c r="N509" s="113">
        <f t="shared" si="52"/>
        <v>6401</v>
      </c>
      <c r="O509" s="575">
        <v>0</v>
      </c>
      <c r="P509" s="582">
        <v>0</v>
      </c>
      <c r="Q509" s="589"/>
      <c r="R509" s="576"/>
      <c r="S509" s="583">
        <f t="shared" si="54"/>
        <v>0</v>
      </c>
      <c r="T509" s="580">
        <f t="shared" si="53"/>
        <v>0</v>
      </c>
      <c r="U509" s="51"/>
      <c r="V509" s="2119"/>
      <c r="W509" s="43"/>
      <c r="X509" s="43"/>
      <c r="Y509" s="43"/>
      <c r="Z509" s="43"/>
    </row>
    <row r="510" spans="1:26">
      <c r="A510" s="88">
        <v>6402</v>
      </c>
      <c r="B510" s="1033" t="s">
        <v>581</v>
      </c>
      <c r="C510" s="1033"/>
      <c r="D510" s="1033"/>
      <c r="E510" s="1033"/>
      <c r="F510" s="1033"/>
      <c r="G510" s="1033"/>
      <c r="H510" s="1033"/>
      <c r="I510" s="1033"/>
      <c r="J510" s="1033"/>
      <c r="K510" s="1033"/>
      <c r="L510" s="90"/>
      <c r="M510" s="51"/>
      <c r="N510" s="113">
        <f t="shared" si="52"/>
        <v>6402</v>
      </c>
      <c r="O510" s="575">
        <v>0</v>
      </c>
      <c r="P510" s="582">
        <v>0</v>
      </c>
      <c r="Q510" s="589"/>
      <c r="R510" s="576"/>
      <c r="S510" s="583">
        <f t="shared" si="54"/>
        <v>0</v>
      </c>
      <c r="T510" s="580">
        <f t="shared" si="53"/>
        <v>0</v>
      </c>
      <c r="U510" s="51"/>
      <c r="V510" s="2119"/>
      <c r="W510" s="43"/>
      <c r="X510" s="43"/>
      <c r="Y510" s="43"/>
      <c r="Z510" s="43"/>
    </row>
    <row r="511" spans="1:26">
      <c r="A511" s="88">
        <v>6411</v>
      </c>
      <c r="B511" s="1033" t="s">
        <v>582</v>
      </c>
      <c r="C511" s="1033"/>
      <c r="D511" s="1033"/>
      <c r="E511" s="1033"/>
      <c r="F511" s="1033"/>
      <c r="G511" s="1033"/>
      <c r="H511" s="1033"/>
      <c r="I511" s="1033"/>
      <c r="J511" s="1033"/>
      <c r="K511" s="1033"/>
      <c r="L511" s="90"/>
      <c r="M511" s="51"/>
      <c r="N511" s="113">
        <f t="shared" si="52"/>
        <v>6411</v>
      </c>
      <c r="O511" s="575">
        <v>0</v>
      </c>
      <c r="P511" s="582">
        <v>0</v>
      </c>
      <c r="Q511" s="589">
        <v>0</v>
      </c>
      <c r="R511" s="576">
        <v>0</v>
      </c>
      <c r="S511" s="583">
        <f t="shared" si="54"/>
        <v>0</v>
      </c>
      <c r="T511" s="580">
        <f t="shared" si="53"/>
        <v>0</v>
      </c>
      <c r="U511" s="51"/>
      <c r="V511" s="2119"/>
      <c r="W511" s="43"/>
      <c r="X511" s="43"/>
      <c r="Y511" s="43"/>
      <c r="Z511" s="43"/>
    </row>
    <row r="512" spans="1:26">
      <c r="A512" s="88">
        <v>6412</v>
      </c>
      <c r="B512" s="1033" t="s">
        <v>583</v>
      </c>
      <c r="C512" s="1033"/>
      <c r="D512" s="1033"/>
      <c r="E512" s="1033"/>
      <c r="F512" s="1033"/>
      <c r="G512" s="1033"/>
      <c r="H512" s="1033"/>
      <c r="I512" s="1033"/>
      <c r="J512" s="1033"/>
      <c r="K512" s="1033"/>
      <c r="L512" s="90"/>
      <c r="M512" s="51"/>
      <c r="N512" s="113">
        <f t="shared" ref="N512:N575" si="55">+A512</f>
        <v>6412</v>
      </c>
      <c r="O512" s="575">
        <v>0</v>
      </c>
      <c r="P512" s="582">
        <v>0</v>
      </c>
      <c r="Q512" s="589"/>
      <c r="R512" s="576"/>
      <c r="S512" s="583">
        <f t="shared" si="54"/>
        <v>0</v>
      </c>
      <c r="T512" s="580">
        <f t="shared" si="53"/>
        <v>0</v>
      </c>
      <c r="U512" s="51"/>
      <c r="V512" s="2119"/>
      <c r="W512" s="43"/>
      <c r="X512" s="43"/>
      <c r="Y512" s="43"/>
      <c r="Z512" s="43"/>
    </row>
    <row r="513" spans="1:26">
      <c r="A513" s="88">
        <v>6421</v>
      </c>
      <c r="B513" s="378" t="s">
        <v>584</v>
      </c>
      <c r="C513" s="1033"/>
      <c r="D513" s="1033"/>
      <c r="E513" s="1033"/>
      <c r="F513" s="1033"/>
      <c r="G513" s="1033"/>
      <c r="H513" s="1033"/>
      <c r="I513" s="1033"/>
      <c r="J513" s="1033"/>
      <c r="K513" s="1033"/>
      <c r="L513" s="90"/>
      <c r="M513" s="51"/>
      <c r="N513" s="113">
        <f t="shared" si="55"/>
        <v>6421</v>
      </c>
      <c r="O513" s="575">
        <v>0</v>
      </c>
      <c r="P513" s="582">
        <v>0</v>
      </c>
      <c r="Q513" s="589"/>
      <c r="R513" s="576"/>
      <c r="S513" s="583">
        <f t="shared" si="54"/>
        <v>0</v>
      </c>
      <c r="T513" s="580">
        <f t="shared" si="53"/>
        <v>0</v>
      </c>
      <c r="U513" s="51"/>
      <c r="V513" s="2119"/>
      <c r="W513" s="43"/>
      <c r="X513" s="43"/>
      <c r="Y513" s="43"/>
      <c r="Z513" s="43"/>
    </row>
    <row r="514" spans="1:26">
      <c r="A514" s="88">
        <v>6422</v>
      </c>
      <c r="B514" s="378" t="s">
        <v>585</v>
      </c>
      <c r="C514" s="1033"/>
      <c r="D514" s="1033"/>
      <c r="E514" s="1033"/>
      <c r="F514" s="1033"/>
      <c r="G514" s="1033"/>
      <c r="H514" s="1033"/>
      <c r="I514" s="1033"/>
      <c r="J514" s="1033"/>
      <c r="K514" s="1033"/>
      <c r="L514" s="90"/>
      <c r="M514" s="51"/>
      <c r="N514" s="113">
        <f t="shared" si="55"/>
        <v>6422</v>
      </c>
      <c r="O514" s="575">
        <v>0</v>
      </c>
      <c r="P514" s="582">
        <v>0</v>
      </c>
      <c r="Q514" s="589"/>
      <c r="R514" s="576"/>
      <c r="S514" s="583">
        <f t="shared" si="54"/>
        <v>0</v>
      </c>
      <c r="T514" s="580">
        <f t="shared" si="53"/>
        <v>0</v>
      </c>
      <c r="U514" s="51"/>
      <c r="V514" s="2119"/>
      <c r="W514" s="43"/>
      <c r="X514" s="43"/>
      <c r="Y514" s="43"/>
      <c r="Z514" s="43"/>
    </row>
    <row r="515" spans="1:26">
      <c r="A515" s="88">
        <v>6423</v>
      </c>
      <c r="B515" s="378" t="s">
        <v>586</v>
      </c>
      <c r="C515" s="1033"/>
      <c r="D515" s="1033"/>
      <c r="E515" s="1033"/>
      <c r="F515" s="1033"/>
      <c r="G515" s="1033"/>
      <c r="H515" s="1033"/>
      <c r="I515" s="1033"/>
      <c r="J515" s="1033"/>
      <c r="K515" s="1033"/>
      <c r="L515" s="90"/>
      <c r="M515" s="51"/>
      <c r="N515" s="113">
        <f t="shared" si="55"/>
        <v>6423</v>
      </c>
      <c r="O515" s="575">
        <v>0</v>
      </c>
      <c r="P515" s="582">
        <v>0</v>
      </c>
      <c r="Q515" s="589"/>
      <c r="R515" s="576"/>
      <c r="S515" s="583">
        <f t="shared" si="54"/>
        <v>0</v>
      </c>
      <c r="T515" s="580">
        <f t="shared" si="53"/>
        <v>0</v>
      </c>
      <c r="U515" s="51"/>
      <c r="V515" s="2119"/>
      <c r="W515" s="43"/>
      <c r="X515" s="43"/>
      <c r="Y515" s="43"/>
      <c r="Z515" s="43"/>
    </row>
    <row r="516" spans="1:26">
      <c r="A516" s="88">
        <v>6424</v>
      </c>
      <c r="B516" s="378" t="s">
        <v>587</v>
      </c>
      <c r="C516" s="1033"/>
      <c r="D516" s="1033"/>
      <c r="E516" s="1033"/>
      <c r="F516" s="1033"/>
      <c r="G516" s="1033"/>
      <c r="H516" s="1033"/>
      <c r="I516" s="1033"/>
      <c r="J516" s="1033"/>
      <c r="K516" s="1033"/>
      <c r="L516" s="90"/>
      <c r="M516" s="51"/>
      <c r="N516" s="113">
        <f t="shared" si="55"/>
        <v>6424</v>
      </c>
      <c r="O516" s="575">
        <v>0</v>
      </c>
      <c r="P516" s="582">
        <v>0</v>
      </c>
      <c r="Q516" s="589"/>
      <c r="R516" s="576"/>
      <c r="S516" s="583">
        <f t="shared" si="54"/>
        <v>0</v>
      </c>
      <c r="T516" s="580">
        <f t="shared" si="53"/>
        <v>0</v>
      </c>
      <c r="U516" s="51"/>
      <c r="V516" s="2119"/>
      <c r="W516" s="43"/>
      <c r="X516" s="43"/>
      <c r="Y516" s="43"/>
      <c r="Z516" s="43"/>
    </row>
    <row r="517" spans="1:26">
      <c r="A517" s="88">
        <v>6425</v>
      </c>
      <c r="B517" s="378" t="s">
        <v>588</v>
      </c>
      <c r="C517" s="1033"/>
      <c r="D517" s="1033"/>
      <c r="E517" s="1033"/>
      <c r="F517" s="1033"/>
      <c r="G517" s="1033"/>
      <c r="H517" s="1033"/>
      <c r="I517" s="1033"/>
      <c r="J517" s="1033"/>
      <c r="K517" s="1033"/>
      <c r="L517" s="90"/>
      <c r="M517" s="51"/>
      <c r="N517" s="113">
        <f t="shared" si="55"/>
        <v>6425</v>
      </c>
      <c r="O517" s="575">
        <v>0</v>
      </c>
      <c r="P517" s="582">
        <v>0</v>
      </c>
      <c r="Q517" s="589"/>
      <c r="R517" s="576"/>
      <c r="S517" s="583">
        <f t="shared" si="54"/>
        <v>0</v>
      </c>
      <c r="T517" s="580">
        <f t="shared" si="53"/>
        <v>0</v>
      </c>
      <c r="U517" s="51"/>
      <c r="V517" s="2119"/>
      <c r="W517" s="43"/>
      <c r="X517" s="43"/>
      <c r="Y517" s="43"/>
      <c r="Z517" s="43"/>
    </row>
    <row r="518" spans="1:26">
      <c r="A518" s="88">
        <v>6426</v>
      </c>
      <c r="B518" s="378" t="s">
        <v>589</v>
      </c>
      <c r="C518" s="1033"/>
      <c r="D518" s="1033"/>
      <c r="E518" s="1033"/>
      <c r="F518" s="1033"/>
      <c r="G518" s="1033"/>
      <c r="H518" s="1033"/>
      <c r="I518" s="1033"/>
      <c r="J518" s="1033"/>
      <c r="K518" s="1033"/>
      <c r="L518" s="90"/>
      <c r="M518" s="51"/>
      <c r="N518" s="113">
        <f t="shared" si="55"/>
        <v>6426</v>
      </c>
      <c r="O518" s="575">
        <v>0</v>
      </c>
      <c r="P518" s="582">
        <v>0</v>
      </c>
      <c r="Q518" s="589"/>
      <c r="R518" s="576"/>
      <c r="S518" s="583">
        <f t="shared" si="54"/>
        <v>0</v>
      </c>
      <c r="T518" s="580">
        <f t="shared" si="53"/>
        <v>0</v>
      </c>
      <c r="U518" s="51"/>
      <c r="V518" s="2119"/>
      <c r="W518" s="43"/>
      <c r="X518" s="43"/>
      <c r="Y518" s="43"/>
      <c r="Z518" s="43"/>
    </row>
    <row r="519" spans="1:26">
      <c r="A519" s="88">
        <v>6427</v>
      </c>
      <c r="B519" s="378" t="s">
        <v>598</v>
      </c>
      <c r="C519" s="1033"/>
      <c r="D519" s="1033"/>
      <c r="E519" s="1033"/>
      <c r="F519" s="1033"/>
      <c r="G519" s="1033"/>
      <c r="H519" s="1033"/>
      <c r="I519" s="1033"/>
      <c r="J519" s="1033"/>
      <c r="K519" s="1033"/>
      <c r="L519" s="90"/>
      <c r="M519" s="51"/>
      <c r="N519" s="113">
        <f t="shared" si="55"/>
        <v>6427</v>
      </c>
      <c r="O519" s="575">
        <v>0</v>
      </c>
      <c r="P519" s="582">
        <v>0</v>
      </c>
      <c r="Q519" s="589"/>
      <c r="R519" s="576"/>
      <c r="S519" s="583">
        <f t="shared" si="54"/>
        <v>0</v>
      </c>
      <c r="T519" s="580">
        <f t="shared" si="53"/>
        <v>0</v>
      </c>
      <c r="U519" s="51"/>
      <c r="V519" s="2119"/>
      <c r="W519" s="43"/>
      <c r="X519" s="43"/>
      <c r="Y519" s="43"/>
      <c r="Z519" s="43"/>
    </row>
    <row r="520" spans="1:26">
      <c r="A520" s="88">
        <v>6428</v>
      </c>
      <c r="B520" s="378" t="s">
        <v>599</v>
      </c>
      <c r="C520" s="1033"/>
      <c r="D520" s="1033"/>
      <c r="E520" s="1033"/>
      <c r="F520" s="1033"/>
      <c r="G520" s="1033"/>
      <c r="H520" s="1033"/>
      <c r="I520" s="1033"/>
      <c r="J520" s="1033"/>
      <c r="K520" s="1033"/>
      <c r="L520" s="90"/>
      <c r="M520" s="51"/>
      <c r="N520" s="113">
        <f t="shared" si="55"/>
        <v>6428</v>
      </c>
      <c r="O520" s="575">
        <v>0</v>
      </c>
      <c r="P520" s="582">
        <v>0</v>
      </c>
      <c r="Q520" s="589"/>
      <c r="R520" s="576"/>
      <c r="S520" s="583">
        <f t="shared" si="54"/>
        <v>0</v>
      </c>
      <c r="T520" s="580">
        <f t="shared" si="53"/>
        <v>0</v>
      </c>
      <c r="U520" s="51"/>
      <c r="V520" s="2119"/>
      <c r="W520" s="43"/>
      <c r="X520" s="43"/>
      <c r="Y520" s="43"/>
      <c r="Z520" s="43"/>
    </row>
    <row r="521" spans="1:26">
      <c r="A521" s="88">
        <v>6430</v>
      </c>
      <c r="B521" s="1033" t="s">
        <v>899</v>
      </c>
      <c r="C521" s="1033"/>
      <c r="D521" s="1033"/>
      <c r="E521" s="1033"/>
      <c r="F521" s="1033"/>
      <c r="G521" s="1033"/>
      <c r="H521" s="1033"/>
      <c r="I521" s="1033"/>
      <c r="J521" s="1033"/>
      <c r="K521" s="1033"/>
      <c r="L521" s="90"/>
      <c r="M521" s="51"/>
      <c r="N521" s="113">
        <f t="shared" si="55"/>
        <v>6430</v>
      </c>
      <c r="O521" s="575">
        <v>0</v>
      </c>
      <c r="P521" s="582">
        <v>0</v>
      </c>
      <c r="Q521" s="589"/>
      <c r="R521" s="576"/>
      <c r="S521" s="583">
        <f t="shared" si="54"/>
        <v>0</v>
      </c>
      <c r="T521" s="580">
        <f t="shared" si="53"/>
        <v>0</v>
      </c>
      <c r="U521" s="51"/>
      <c r="V521" s="2119"/>
      <c r="W521" s="43"/>
      <c r="X521" s="43"/>
      <c r="Y521" s="43"/>
      <c r="Z521" s="43"/>
    </row>
    <row r="522" spans="1:26" ht="15.75" customHeight="1">
      <c r="A522" s="88">
        <v>6437</v>
      </c>
      <c r="B522" s="1033" t="s">
        <v>600</v>
      </c>
      <c r="C522" s="1033"/>
      <c r="D522" s="1033"/>
      <c r="E522" s="1033"/>
      <c r="F522" s="1033"/>
      <c r="G522" s="1033"/>
      <c r="H522" s="1033"/>
      <c r="I522" s="1033"/>
      <c r="J522" s="1033"/>
      <c r="K522" s="1033"/>
      <c r="L522" s="90"/>
      <c r="M522" s="51"/>
      <c r="N522" s="113">
        <f t="shared" si="55"/>
        <v>6437</v>
      </c>
      <c r="O522" s="575">
        <v>0</v>
      </c>
      <c r="P522" s="582">
        <v>0</v>
      </c>
      <c r="Q522" s="589"/>
      <c r="R522" s="576"/>
      <c r="S522" s="583">
        <f t="shared" si="54"/>
        <v>0</v>
      </c>
      <c r="T522" s="580">
        <f t="shared" si="53"/>
        <v>0</v>
      </c>
      <c r="U522" s="51"/>
      <c r="V522" s="2119"/>
      <c r="W522" s="43"/>
      <c r="X522" s="43"/>
      <c r="Y522" s="43"/>
      <c r="Z522" s="43"/>
    </row>
    <row r="523" spans="1:26" ht="15.75" customHeight="1">
      <c r="A523" s="88">
        <v>6438</v>
      </c>
      <c r="B523" s="1033" t="s">
        <v>601</v>
      </c>
      <c r="C523" s="1033"/>
      <c r="D523" s="1033"/>
      <c r="E523" s="1033"/>
      <c r="F523" s="1033"/>
      <c r="G523" s="1033"/>
      <c r="H523" s="1033"/>
      <c r="I523" s="1033"/>
      <c r="J523" s="1033"/>
      <c r="K523" s="1033"/>
      <c r="L523" s="90"/>
      <c r="M523" s="51"/>
      <c r="N523" s="113">
        <f t="shared" si="55"/>
        <v>6438</v>
      </c>
      <c r="O523" s="575">
        <v>0</v>
      </c>
      <c r="P523" s="582">
        <v>0</v>
      </c>
      <c r="Q523" s="589"/>
      <c r="R523" s="576"/>
      <c r="S523" s="583">
        <f t="shared" si="54"/>
        <v>0</v>
      </c>
      <c r="T523" s="580">
        <f t="shared" si="53"/>
        <v>0</v>
      </c>
      <c r="U523" s="51"/>
      <c r="V523" s="2119"/>
      <c r="W523" s="43"/>
      <c r="X523" s="43"/>
      <c r="Y523" s="43"/>
      <c r="Z523" s="43"/>
    </row>
    <row r="524" spans="1:26" ht="15.75" customHeight="1">
      <c r="A524" s="88">
        <v>6440</v>
      </c>
      <c r="B524" s="1033" t="s">
        <v>602</v>
      </c>
      <c r="C524" s="1033"/>
      <c r="D524" s="1033"/>
      <c r="E524" s="1033"/>
      <c r="F524" s="1033"/>
      <c r="G524" s="1033"/>
      <c r="H524" s="1033"/>
      <c r="I524" s="1033"/>
      <c r="J524" s="1033"/>
      <c r="K524" s="1033"/>
      <c r="L524" s="90"/>
      <c r="M524" s="51"/>
      <c r="N524" s="113">
        <f t="shared" si="55"/>
        <v>6440</v>
      </c>
      <c r="O524" s="575">
        <v>0</v>
      </c>
      <c r="P524" s="582">
        <v>0</v>
      </c>
      <c r="Q524" s="589"/>
      <c r="R524" s="576"/>
      <c r="S524" s="583">
        <f t="shared" si="54"/>
        <v>0</v>
      </c>
      <c r="T524" s="580">
        <f t="shared" si="53"/>
        <v>0</v>
      </c>
      <c r="U524" s="51"/>
      <c r="V524" s="2119"/>
      <c r="W524" s="43"/>
      <c r="X524" s="43"/>
      <c r="Y524" s="43"/>
      <c r="Z524" s="43"/>
    </row>
    <row r="525" spans="1:26">
      <c r="A525" s="606">
        <v>6441</v>
      </c>
      <c r="B525" s="378" t="s">
        <v>603</v>
      </c>
      <c r="C525" s="1033"/>
      <c r="D525" s="1033"/>
      <c r="E525" s="1033"/>
      <c r="F525" s="1033"/>
      <c r="G525" s="1033"/>
      <c r="H525" s="1033"/>
      <c r="I525" s="1033"/>
      <c r="J525" s="1033"/>
      <c r="K525" s="1033"/>
      <c r="L525" s="90"/>
      <c r="M525" s="51"/>
      <c r="N525" s="113">
        <f t="shared" si="55"/>
        <v>6441</v>
      </c>
      <c r="O525" s="575">
        <v>0</v>
      </c>
      <c r="P525" s="582">
        <v>0</v>
      </c>
      <c r="Q525" s="589">
        <v>0</v>
      </c>
      <c r="R525" s="576">
        <v>0</v>
      </c>
      <c r="S525" s="583">
        <f t="shared" si="54"/>
        <v>0</v>
      </c>
      <c r="T525" s="580">
        <f t="shared" si="53"/>
        <v>0</v>
      </c>
      <c r="U525" s="51"/>
      <c r="V525" s="2119"/>
      <c r="W525" s="43"/>
      <c r="X525" s="43"/>
      <c r="Y525" s="43"/>
      <c r="Z525" s="43"/>
    </row>
    <row r="526" spans="1:26">
      <c r="A526" s="606">
        <v>6442</v>
      </c>
      <c r="B526" s="378" t="s">
        <v>604</v>
      </c>
      <c r="C526" s="1033"/>
      <c r="D526" s="1033"/>
      <c r="E526" s="1033"/>
      <c r="F526" s="1033"/>
      <c r="G526" s="1033"/>
      <c r="H526" s="1033"/>
      <c r="I526" s="1033"/>
      <c r="J526" s="1033"/>
      <c r="K526" s="1033"/>
      <c r="L526" s="90"/>
      <c r="M526" s="51"/>
      <c r="N526" s="113">
        <f t="shared" si="55"/>
        <v>6442</v>
      </c>
      <c r="O526" s="575">
        <v>0</v>
      </c>
      <c r="P526" s="582">
        <v>0</v>
      </c>
      <c r="Q526" s="589"/>
      <c r="R526" s="576"/>
      <c r="S526" s="583">
        <f t="shared" si="54"/>
        <v>0</v>
      </c>
      <c r="T526" s="580">
        <f t="shared" si="53"/>
        <v>0</v>
      </c>
      <c r="U526" s="51"/>
      <c r="V526" s="2119"/>
      <c r="W526" s="43"/>
      <c r="X526" s="43"/>
      <c r="Y526" s="43"/>
      <c r="Z526" s="43"/>
    </row>
    <row r="527" spans="1:26">
      <c r="A527" s="606">
        <v>6443</v>
      </c>
      <c r="B527" s="378" t="s">
        <v>605</v>
      </c>
      <c r="C527" s="1033"/>
      <c r="D527" s="1033"/>
      <c r="E527" s="1033"/>
      <c r="F527" s="1033"/>
      <c r="G527" s="1033"/>
      <c r="H527" s="1033"/>
      <c r="I527" s="1033"/>
      <c r="J527" s="1033"/>
      <c r="K527" s="1033"/>
      <c r="L527" s="90"/>
      <c r="M527" s="51"/>
      <c r="N527" s="113">
        <f t="shared" si="55"/>
        <v>6443</v>
      </c>
      <c r="O527" s="575">
        <v>0</v>
      </c>
      <c r="P527" s="582">
        <v>0</v>
      </c>
      <c r="Q527" s="589"/>
      <c r="R527" s="576"/>
      <c r="S527" s="583">
        <f t="shared" si="54"/>
        <v>0</v>
      </c>
      <c r="T527" s="580">
        <f t="shared" si="53"/>
        <v>0</v>
      </c>
      <c r="U527" s="51"/>
      <c r="V527" s="2119"/>
      <c r="W527" s="43"/>
      <c r="X527" s="43"/>
      <c r="Y527" s="43"/>
      <c r="Z527" s="43"/>
    </row>
    <row r="528" spans="1:26">
      <c r="A528" s="606">
        <v>6444</v>
      </c>
      <c r="B528" s="378" t="s">
        <v>606</v>
      </c>
      <c r="C528" s="1033"/>
      <c r="D528" s="1033"/>
      <c r="E528" s="1033"/>
      <c r="F528" s="1033"/>
      <c r="G528" s="1033"/>
      <c r="H528" s="1033"/>
      <c r="I528" s="1033"/>
      <c r="J528" s="1033"/>
      <c r="K528" s="1033"/>
      <c r="L528" s="90"/>
      <c r="M528" s="51"/>
      <c r="N528" s="113">
        <f t="shared" si="55"/>
        <v>6444</v>
      </c>
      <c r="O528" s="575">
        <v>0</v>
      </c>
      <c r="P528" s="582">
        <v>0</v>
      </c>
      <c r="Q528" s="589"/>
      <c r="R528" s="576"/>
      <c r="S528" s="583">
        <f t="shared" si="54"/>
        <v>0</v>
      </c>
      <c r="T528" s="580">
        <f t="shared" si="53"/>
        <v>0</v>
      </c>
      <c r="U528" s="51"/>
      <c r="V528" s="2119"/>
      <c r="W528" s="43"/>
      <c r="X528" s="43"/>
      <c r="Y528" s="43"/>
      <c r="Z528" s="43"/>
    </row>
    <row r="529" spans="1:26">
      <c r="A529" s="606">
        <v>6445</v>
      </c>
      <c r="B529" s="378" t="s">
        <v>607</v>
      </c>
      <c r="C529" s="1033"/>
      <c r="D529" s="1033"/>
      <c r="E529" s="1033"/>
      <c r="F529" s="1033"/>
      <c r="G529" s="1033"/>
      <c r="H529" s="1033"/>
      <c r="I529" s="1033"/>
      <c r="J529" s="1033"/>
      <c r="K529" s="1033"/>
      <c r="L529" s="90"/>
      <c r="M529" s="51"/>
      <c r="N529" s="113">
        <f t="shared" si="55"/>
        <v>6445</v>
      </c>
      <c r="O529" s="575">
        <v>0</v>
      </c>
      <c r="P529" s="582">
        <v>0</v>
      </c>
      <c r="Q529" s="589"/>
      <c r="R529" s="576"/>
      <c r="S529" s="583">
        <f t="shared" si="54"/>
        <v>0</v>
      </c>
      <c r="T529" s="580">
        <f t="shared" si="53"/>
        <v>0</v>
      </c>
      <c r="U529" s="51"/>
      <c r="V529" s="2119"/>
      <c r="W529" s="43"/>
      <c r="X529" s="43"/>
      <c r="Y529" s="43"/>
      <c r="Z529" s="43"/>
    </row>
    <row r="530" spans="1:26">
      <c r="A530" s="606">
        <v>6446</v>
      </c>
      <c r="B530" s="378" t="s">
        <v>608</v>
      </c>
      <c r="C530" s="1033"/>
      <c r="D530" s="1033"/>
      <c r="E530" s="1033"/>
      <c r="F530" s="1033"/>
      <c r="G530" s="1033"/>
      <c r="H530" s="1033"/>
      <c r="I530" s="1033"/>
      <c r="J530" s="1033"/>
      <c r="K530" s="1033"/>
      <c r="L530" s="90"/>
      <c r="M530" s="51"/>
      <c r="N530" s="113">
        <f t="shared" si="55"/>
        <v>6446</v>
      </c>
      <c r="O530" s="575">
        <v>0</v>
      </c>
      <c r="P530" s="582">
        <v>0</v>
      </c>
      <c r="Q530" s="589"/>
      <c r="R530" s="576"/>
      <c r="S530" s="583">
        <f t="shared" si="54"/>
        <v>0</v>
      </c>
      <c r="T530" s="580">
        <f t="shared" si="53"/>
        <v>0</v>
      </c>
      <c r="U530" s="51"/>
      <c r="V530" s="2119"/>
      <c r="W530" s="43"/>
      <c r="X530" s="43"/>
      <c r="Y530" s="43"/>
      <c r="Z530" s="43"/>
    </row>
    <row r="531" spans="1:26">
      <c r="A531" s="606">
        <v>6447</v>
      </c>
      <c r="B531" s="378" t="s">
        <v>609</v>
      </c>
      <c r="C531" s="1033"/>
      <c r="D531" s="1033"/>
      <c r="E531" s="1033"/>
      <c r="F531" s="1033"/>
      <c r="G531" s="1033"/>
      <c r="H531" s="1033"/>
      <c r="I531" s="1033"/>
      <c r="J531" s="1033"/>
      <c r="K531" s="1033"/>
      <c r="L531" s="90"/>
      <c r="M531" s="51"/>
      <c r="N531" s="113">
        <f t="shared" si="55"/>
        <v>6447</v>
      </c>
      <c r="O531" s="575">
        <v>0</v>
      </c>
      <c r="P531" s="582">
        <v>0</v>
      </c>
      <c r="Q531" s="589"/>
      <c r="R531" s="576"/>
      <c r="S531" s="583">
        <f t="shared" si="54"/>
        <v>0</v>
      </c>
      <c r="T531" s="580">
        <f t="shared" si="53"/>
        <v>0</v>
      </c>
      <c r="U531" s="51"/>
      <c r="V531" s="2119"/>
      <c r="W531" s="43"/>
      <c r="X531" s="43"/>
      <c r="Y531" s="43"/>
      <c r="Z531" s="43"/>
    </row>
    <row r="532" spans="1:26">
      <c r="A532" s="606">
        <v>6448</v>
      </c>
      <c r="B532" s="378" t="s">
        <v>610</v>
      </c>
      <c r="C532" s="1033"/>
      <c r="D532" s="1033"/>
      <c r="E532" s="1033"/>
      <c r="F532" s="1033"/>
      <c r="G532" s="1033"/>
      <c r="H532" s="1033"/>
      <c r="I532" s="1033"/>
      <c r="J532" s="1033"/>
      <c r="K532" s="1033"/>
      <c r="L532" s="90"/>
      <c r="M532" s="51"/>
      <c r="N532" s="113">
        <f t="shared" si="55"/>
        <v>6448</v>
      </c>
      <c r="O532" s="575">
        <v>0</v>
      </c>
      <c r="P532" s="582">
        <v>0</v>
      </c>
      <c r="Q532" s="589"/>
      <c r="R532" s="576"/>
      <c r="S532" s="583">
        <f t="shared" si="54"/>
        <v>0</v>
      </c>
      <c r="T532" s="580">
        <f t="shared" si="53"/>
        <v>0</v>
      </c>
      <c r="U532" s="51"/>
      <c r="V532" s="2119"/>
      <c r="W532" s="43"/>
      <c r="X532" s="43"/>
      <c r="Y532" s="43"/>
      <c r="Z532" s="43"/>
    </row>
    <row r="533" spans="1:26" ht="15.75" customHeight="1">
      <c r="A533" s="606">
        <v>6449</v>
      </c>
      <c r="B533" s="378" t="s">
        <v>525</v>
      </c>
      <c r="C533" s="1033"/>
      <c r="D533" s="1033"/>
      <c r="E533" s="1033"/>
      <c r="F533" s="1033"/>
      <c r="G533" s="1033"/>
      <c r="H533" s="1033"/>
      <c r="I533" s="1033"/>
      <c r="J533" s="1033"/>
      <c r="K533" s="1033"/>
      <c r="L533" s="90"/>
      <c r="M533" s="51"/>
      <c r="N533" s="113">
        <f t="shared" si="55"/>
        <v>6449</v>
      </c>
      <c r="O533" s="575">
        <v>0</v>
      </c>
      <c r="P533" s="582">
        <v>0</v>
      </c>
      <c r="Q533" s="589"/>
      <c r="R533" s="576"/>
      <c r="S533" s="583">
        <f t="shared" si="54"/>
        <v>0</v>
      </c>
      <c r="T533" s="580">
        <f t="shared" si="53"/>
        <v>0</v>
      </c>
      <c r="U533" s="51"/>
      <c r="V533" s="2119"/>
      <c r="W533" s="43"/>
      <c r="X533" s="43"/>
      <c r="Y533" s="43"/>
      <c r="Z533" s="43"/>
    </row>
    <row r="534" spans="1:26">
      <c r="A534" s="88">
        <v>6451</v>
      </c>
      <c r="B534" s="378" t="s">
        <v>526</v>
      </c>
      <c r="C534" s="1033"/>
      <c r="D534" s="1033"/>
      <c r="E534" s="1033"/>
      <c r="F534" s="1033"/>
      <c r="G534" s="1033"/>
      <c r="H534" s="1033"/>
      <c r="I534" s="1033"/>
      <c r="J534" s="1033"/>
      <c r="K534" s="1033"/>
      <c r="L534" s="90"/>
      <c r="M534" s="51"/>
      <c r="N534" s="113">
        <f t="shared" si="55"/>
        <v>6451</v>
      </c>
      <c r="O534" s="575">
        <v>0</v>
      </c>
      <c r="P534" s="582">
        <v>0</v>
      </c>
      <c r="Q534" s="589">
        <v>0</v>
      </c>
      <c r="R534" s="576">
        <v>0</v>
      </c>
      <c r="S534" s="583">
        <f t="shared" si="54"/>
        <v>0</v>
      </c>
      <c r="T534" s="580">
        <f t="shared" si="53"/>
        <v>0</v>
      </c>
      <c r="U534" s="51"/>
      <c r="V534" s="2119"/>
      <c r="W534" s="43"/>
      <c r="X534" s="43"/>
      <c r="Y534" s="43"/>
      <c r="Z534" s="43"/>
    </row>
    <row r="535" spans="1:26">
      <c r="A535" s="88">
        <v>6453</v>
      </c>
      <c r="B535" s="1032" t="s">
        <v>527</v>
      </c>
      <c r="C535" s="1033"/>
      <c r="D535" s="1033"/>
      <c r="E535" s="1033"/>
      <c r="F535" s="1033"/>
      <c r="G535" s="1033"/>
      <c r="H535" s="1033"/>
      <c r="I535" s="1033"/>
      <c r="J535" s="1033"/>
      <c r="K535" s="1033"/>
      <c r="L535" s="90"/>
      <c r="M535" s="51"/>
      <c r="N535" s="113">
        <f t="shared" si="55"/>
        <v>6453</v>
      </c>
      <c r="O535" s="575">
        <v>0</v>
      </c>
      <c r="P535" s="582">
        <v>0</v>
      </c>
      <c r="Q535" s="589"/>
      <c r="R535" s="576"/>
      <c r="S535" s="583">
        <f t="shared" si="54"/>
        <v>0</v>
      </c>
      <c r="T535" s="580">
        <f t="shared" si="53"/>
        <v>0</v>
      </c>
      <c r="U535" s="51"/>
      <c r="V535" s="2119"/>
      <c r="W535" s="43"/>
      <c r="X535" s="43"/>
      <c r="Y535" s="43"/>
      <c r="Z535" s="43"/>
    </row>
    <row r="536" spans="1:26">
      <c r="A536" s="88">
        <v>6454</v>
      </c>
      <c r="B536" s="1032" t="s">
        <v>528</v>
      </c>
      <c r="C536" s="1033"/>
      <c r="D536" s="1033"/>
      <c r="E536" s="1033"/>
      <c r="F536" s="1033"/>
      <c r="G536" s="1033"/>
      <c r="H536" s="1033"/>
      <c r="I536" s="1033"/>
      <c r="J536" s="1033"/>
      <c r="K536" s="1033"/>
      <c r="L536" s="90"/>
      <c r="M536" s="51"/>
      <c r="N536" s="113">
        <f t="shared" si="55"/>
        <v>6454</v>
      </c>
      <c r="O536" s="575">
        <v>0</v>
      </c>
      <c r="P536" s="582">
        <v>0</v>
      </c>
      <c r="Q536" s="589"/>
      <c r="R536" s="576"/>
      <c r="S536" s="583">
        <f t="shared" si="54"/>
        <v>0</v>
      </c>
      <c r="T536" s="580">
        <f t="shared" si="53"/>
        <v>0</v>
      </c>
      <c r="U536" s="51"/>
      <c r="V536" s="2119"/>
      <c r="W536" s="43"/>
      <c r="X536" s="43"/>
      <c r="Y536" s="43"/>
      <c r="Z536" s="43"/>
    </row>
    <row r="537" spans="1:26">
      <c r="A537" s="88">
        <v>6455</v>
      </c>
      <c r="B537" s="1032" t="s">
        <v>529</v>
      </c>
      <c r="C537" s="1033"/>
      <c r="D537" s="1033"/>
      <c r="E537" s="1033"/>
      <c r="F537" s="1033"/>
      <c r="G537" s="1033"/>
      <c r="H537" s="1033"/>
      <c r="I537" s="1033"/>
      <c r="J537" s="1033"/>
      <c r="K537" s="1033"/>
      <c r="L537" s="90"/>
      <c r="M537" s="51"/>
      <c r="N537" s="113">
        <f t="shared" si="55"/>
        <v>6455</v>
      </c>
      <c r="O537" s="575">
        <v>0</v>
      </c>
      <c r="P537" s="582">
        <v>0</v>
      </c>
      <c r="Q537" s="589">
        <v>0</v>
      </c>
      <c r="R537" s="576">
        <v>0</v>
      </c>
      <c r="S537" s="583">
        <f t="shared" si="54"/>
        <v>0</v>
      </c>
      <c r="T537" s="580">
        <f t="shared" si="53"/>
        <v>0</v>
      </c>
      <c r="U537" s="51"/>
      <c r="V537" s="2119"/>
      <c r="W537" s="43"/>
      <c r="X537" s="43"/>
      <c r="Y537" s="43"/>
      <c r="Z537" s="43"/>
    </row>
    <row r="538" spans="1:26">
      <c r="A538" s="88">
        <v>6457</v>
      </c>
      <c r="B538" s="1032" t="s">
        <v>530</v>
      </c>
      <c r="C538" s="1033"/>
      <c r="D538" s="1033"/>
      <c r="E538" s="1033"/>
      <c r="F538" s="1033"/>
      <c r="G538" s="1033"/>
      <c r="H538" s="1033"/>
      <c r="I538" s="1033"/>
      <c r="J538" s="1033"/>
      <c r="K538" s="1033"/>
      <c r="L538" s="90"/>
      <c r="M538" s="51"/>
      <c r="N538" s="113">
        <f t="shared" si="55"/>
        <v>6457</v>
      </c>
      <c r="O538" s="575">
        <v>0</v>
      </c>
      <c r="P538" s="582">
        <v>0</v>
      </c>
      <c r="Q538" s="589">
        <v>0</v>
      </c>
      <c r="R538" s="576">
        <v>0</v>
      </c>
      <c r="S538" s="583">
        <f t="shared" si="54"/>
        <v>0</v>
      </c>
      <c r="T538" s="580">
        <f t="shared" si="53"/>
        <v>0</v>
      </c>
      <c r="U538" s="51"/>
      <c r="V538" s="2119"/>
      <c r="W538" s="43"/>
      <c r="X538" s="43"/>
      <c r="Y538" s="43"/>
      <c r="Z538" s="43"/>
    </row>
    <row r="539" spans="1:26">
      <c r="A539" s="88">
        <v>6458</v>
      </c>
      <c r="B539" s="1032" t="s">
        <v>531</v>
      </c>
      <c r="C539" s="1033"/>
      <c r="D539" s="1033"/>
      <c r="E539" s="1033"/>
      <c r="F539" s="1033"/>
      <c r="G539" s="1033"/>
      <c r="H539" s="1033"/>
      <c r="I539" s="1033"/>
      <c r="J539" s="1033"/>
      <c r="K539" s="1033"/>
      <c r="L539" s="90"/>
      <c r="M539" s="51"/>
      <c r="N539" s="113">
        <f t="shared" si="55"/>
        <v>6458</v>
      </c>
      <c r="O539" s="575">
        <v>0</v>
      </c>
      <c r="P539" s="582">
        <v>0</v>
      </c>
      <c r="Q539" s="589"/>
      <c r="R539" s="576"/>
      <c r="S539" s="583">
        <f t="shared" si="54"/>
        <v>0</v>
      </c>
      <c r="T539" s="580">
        <f t="shared" si="53"/>
        <v>0</v>
      </c>
      <c r="U539" s="51"/>
      <c r="V539" s="2119"/>
      <c r="W539" s="43"/>
      <c r="X539" s="43"/>
      <c r="Y539" s="43"/>
      <c r="Z539" s="43"/>
    </row>
    <row r="540" spans="1:26" ht="15.75" customHeight="1">
      <c r="A540" s="88">
        <v>6460</v>
      </c>
      <c r="B540" s="1032" t="s">
        <v>532</v>
      </c>
      <c r="C540" s="1033"/>
      <c r="D540" s="1033"/>
      <c r="E540" s="1033"/>
      <c r="F540" s="1033"/>
      <c r="G540" s="1033"/>
      <c r="H540" s="1033"/>
      <c r="I540" s="1033"/>
      <c r="J540" s="1033"/>
      <c r="K540" s="1033"/>
      <c r="L540" s="90"/>
      <c r="M540" s="51"/>
      <c r="N540" s="113">
        <f t="shared" si="55"/>
        <v>6460</v>
      </c>
      <c r="O540" s="575">
        <v>0</v>
      </c>
      <c r="P540" s="582">
        <v>0</v>
      </c>
      <c r="Q540" s="589"/>
      <c r="R540" s="576"/>
      <c r="S540" s="583">
        <f t="shared" si="54"/>
        <v>0</v>
      </c>
      <c r="T540" s="580">
        <f t="shared" si="53"/>
        <v>0</v>
      </c>
      <c r="U540" s="51"/>
      <c r="V540" s="2119"/>
      <c r="W540" s="43"/>
      <c r="X540" s="43"/>
      <c r="Y540" s="43"/>
      <c r="Z540" s="43"/>
    </row>
    <row r="541" spans="1:26" ht="15.75" customHeight="1">
      <c r="A541" s="88">
        <v>6461</v>
      </c>
      <c r="B541" s="1032" t="s">
        <v>533</v>
      </c>
      <c r="C541" s="1033"/>
      <c r="D541" s="1033"/>
      <c r="E541" s="1033"/>
      <c r="F541" s="1033"/>
      <c r="G541" s="1033"/>
      <c r="H541" s="1033"/>
      <c r="I541" s="1033"/>
      <c r="J541" s="1033"/>
      <c r="K541" s="1033"/>
      <c r="L541" s="90"/>
      <c r="M541" s="51"/>
      <c r="N541" s="113">
        <f t="shared" si="55"/>
        <v>6461</v>
      </c>
      <c r="O541" s="575">
        <v>0</v>
      </c>
      <c r="P541" s="582">
        <v>0</v>
      </c>
      <c r="Q541" s="589"/>
      <c r="R541" s="576"/>
      <c r="S541" s="583">
        <f t="shared" si="54"/>
        <v>0</v>
      </c>
      <c r="T541" s="580">
        <f t="shared" si="53"/>
        <v>0</v>
      </c>
      <c r="U541" s="51"/>
      <c r="V541" s="2119"/>
      <c r="W541" s="43"/>
      <c r="X541" s="43"/>
      <c r="Y541" s="43"/>
      <c r="Z541" s="43"/>
    </row>
    <row r="542" spans="1:26" ht="15.75" customHeight="1">
      <c r="A542" s="88">
        <v>6462</v>
      </c>
      <c r="B542" s="1032" t="s">
        <v>535</v>
      </c>
      <c r="C542" s="1033"/>
      <c r="D542" s="1033"/>
      <c r="E542" s="1033"/>
      <c r="F542" s="1033"/>
      <c r="G542" s="1033"/>
      <c r="H542" s="1033"/>
      <c r="I542" s="1033"/>
      <c r="J542" s="1033"/>
      <c r="K542" s="1033"/>
      <c r="L542" s="90"/>
      <c r="M542" s="51"/>
      <c r="N542" s="113">
        <f t="shared" si="55"/>
        <v>6462</v>
      </c>
      <c r="O542" s="575">
        <v>0</v>
      </c>
      <c r="P542" s="582">
        <v>0</v>
      </c>
      <c r="Q542" s="589"/>
      <c r="R542" s="576"/>
      <c r="S542" s="583">
        <f t="shared" si="54"/>
        <v>0</v>
      </c>
      <c r="T542" s="580">
        <f t="shared" si="53"/>
        <v>0</v>
      </c>
      <c r="U542" s="51"/>
      <c r="V542" s="2119"/>
      <c r="W542" s="43"/>
      <c r="X542" s="43"/>
      <c r="Y542" s="43"/>
      <c r="Z542" s="43"/>
    </row>
    <row r="543" spans="1:26" ht="15.75" customHeight="1">
      <c r="A543" s="88">
        <v>6463</v>
      </c>
      <c r="B543" s="1032" t="s">
        <v>536</v>
      </c>
      <c r="C543" s="1033"/>
      <c r="D543" s="1033"/>
      <c r="E543" s="1033"/>
      <c r="F543" s="1033"/>
      <c r="G543" s="1033"/>
      <c r="H543" s="1033"/>
      <c r="I543" s="1033"/>
      <c r="J543" s="1033"/>
      <c r="K543" s="1033"/>
      <c r="L543" s="90"/>
      <c r="M543" s="51"/>
      <c r="N543" s="113">
        <f t="shared" si="55"/>
        <v>6463</v>
      </c>
      <c r="O543" s="575">
        <v>0</v>
      </c>
      <c r="P543" s="582">
        <v>0</v>
      </c>
      <c r="Q543" s="589"/>
      <c r="R543" s="576"/>
      <c r="S543" s="583">
        <f t="shared" si="54"/>
        <v>0</v>
      </c>
      <c r="T543" s="580">
        <f t="shared" si="53"/>
        <v>0</v>
      </c>
      <c r="U543" s="51"/>
      <c r="V543" s="2119"/>
      <c r="W543" s="43"/>
      <c r="X543" s="43"/>
      <c r="Y543" s="43"/>
      <c r="Z543" s="43"/>
    </row>
    <row r="544" spans="1:26" ht="15.75" customHeight="1">
      <c r="A544" s="88">
        <v>6464</v>
      </c>
      <c r="B544" s="1032" t="s">
        <v>537</v>
      </c>
      <c r="C544" s="1033"/>
      <c r="D544" s="1033"/>
      <c r="E544" s="1033"/>
      <c r="F544" s="1033"/>
      <c r="G544" s="1033"/>
      <c r="H544" s="1033"/>
      <c r="I544" s="1033"/>
      <c r="J544" s="1033"/>
      <c r="K544" s="1033"/>
      <c r="L544" s="90"/>
      <c r="M544" s="51"/>
      <c r="N544" s="113">
        <f t="shared" si="55"/>
        <v>6464</v>
      </c>
      <c r="O544" s="575">
        <v>0</v>
      </c>
      <c r="P544" s="582">
        <v>0</v>
      </c>
      <c r="Q544" s="589"/>
      <c r="R544" s="576"/>
      <c r="S544" s="583">
        <f t="shared" si="54"/>
        <v>0</v>
      </c>
      <c r="T544" s="580">
        <f t="shared" ref="T544:T569" si="56">+IF(ABS(+O544+Q544)&lt;=ABS(P544+R544),-O544+P544-Q544+R544,0)</f>
        <v>0</v>
      </c>
      <c r="U544" s="51"/>
      <c r="V544" s="2119"/>
      <c r="W544" s="43"/>
      <c r="X544" s="43"/>
      <c r="Y544" s="43"/>
      <c r="Z544" s="43"/>
    </row>
    <row r="545" spans="1:26" ht="15.75" customHeight="1">
      <c r="A545" s="88">
        <v>6465</v>
      </c>
      <c r="B545" s="1032" t="s">
        <v>538</v>
      </c>
      <c r="C545" s="1033"/>
      <c r="D545" s="1033"/>
      <c r="E545" s="1033"/>
      <c r="F545" s="1033"/>
      <c r="G545" s="1033"/>
      <c r="H545" s="1033"/>
      <c r="I545" s="1033"/>
      <c r="J545" s="1033"/>
      <c r="K545" s="1033"/>
      <c r="L545" s="90"/>
      <c r="M545" s="51"/>
      <c r="N545" s="113">
        <f t="shared" si="55"/>
        <v>6465</v>
      </c>
      <c r="O545" s="575">
        <v>0</v>
      </c>
      <c r="P545" s="582">
        <v>0</v>
      </c>
      <c r="Q545" s="589"/>
      <c r="R545" s="576"/>
      <c r="S545" s="583">
        <f t="shared" ref="S545:S565" si="57">+IF(ABS(+O545+Q545)&gt;=ABS(P545+R545),+O545-P545+Q545-R545,0)</f>
        <v>0</v>
      </c>
      <c r="T545" s="580">
        <f t="shared" si="56"/>
        <v>0</v>
      </c>
      <c r="U545" s="51"/>
      <c r="V545" s="2119"/>
      <c r="W545" s="43"/>
      <c r="X545" s="43"/>
      <c r="Y545" s="43"/>
      <c r="Z545" s="43"/>
    </row>
    <row r="546" spans="1:26" ht="15.75" customHeight="1">
      <c r="A546" s="88">
        <v>6466</v>
      </c>
      <c r="B546" s="1032" t="s">
        <v>539</v>
      </c>
      <c r="C546" s="1033"/>
      <c r="D546" s="1033"/>
      <c r="E546" s="1033"/>
      <c r="F546" s="1033"/>
      <c r="G546" s="1033"/>
      <c r="H546" s="1033"/>
      <c r="I546" s="1033"/>
      <c r="J546" s="1033"/>
      <c r="K546" s="1033"/>
      <c r="L546" s="90"/>
      <c r="M546" s="51"/>
      <c r="N546" s="113">
        <f t="shared" si="55"/>
        <v>6466</v>
      </c>
      <c r="O546" s="575">
        <v>0</v>
      </c>
      <c r="P546" s="582">
        <v>0</v>
      </c>
      <c r="Q546" s="589"/>
      <c r="R546" s="576"/>
      <c r="S546" s="583">
        <f t="shared" si="57"/>
        <v>0</v>
      </c>
      <c r="T546" s="580">
        <f t="shared" si="56"/>
        <v>0</v>
      </c>
      <c r="U546" s="51"/>
      <c r="V546" s="2119"/>
      <c r="W546" s="43"/>
      <c r="X546" s="43"/>
      <c r="Y546" s="43"/>
      <c r="Z546" s="43"/>
    </row>
    <row r="547" spans="1:26" ht="15.75" customHeight="1">
      <c r="A547" s="88">
        <v>6467</v>
      </c>
      <c r="B547" s="1032" t="s">
        <v>540</v>
      </c>
      <c r="C547" s="1033"/>
      <c r="D547" s="1033"/>
      <c r="E547" s="1033"/>
      <c r="F547" s="1033"/>
      <c r="G547" s="1033"/>
      <c r="H547" s="1033"/>
      <c r="I547" s="1033"/>
      <c r="J547" s="1033"/>
      <c r="K547" s="1033"/>
      <c r="L547" s="90"/>
      <c r="M547" s="51"/>
      <c r="N547" s="113">
        <f t="shared" si="55"/>
        <v>6467</v>
      </c>
      <c r="O547" s="575">
        <v>0</v>
      </c>
      <c r="P547" s="582">
        <v>0</v>
      </c>
      <c r="Q547" s="589"/>
      <c r="R547" s="576"/>
      <c r="S547" s="583">
        <f t="shared" si="57"/>
        <v>0</v>
      </c>
      <c r="T547" s="580">
        <f t="shared" si="56"/>
        <v>0</v>
      </c>
      <c r="U547" s="51"/>
      <c r="V547" s="2119"/>
      <c r="W547" s="43"/>
      <c r="X547" s="43"/>
      <c r="Y547" s="43"/>
      <c r="Z547" s="43"/>
    </row>
    <row r="548" spans="1:26" ht="15.75" customHeight="1">
      <c r="A548" s="88">
        <v>6468</v>
      </c>
      <c r="B548" s="1032" t="s">
        <v>541</v>
      </c>
      <c r="C548" s="1033"/>
      <c r="D548" s="1033"/>
      <c r="E548" s="1033"/>
      <c r="F548" s="1033"/>
      <c r="G548" s="1033"/>
      <c r="H548" s="1033"/>
      <c r="I548" s="1033"/>
      <c r="J548" s="1033"/>
      <c r="K548" s="1033"/>
      <c r="L548" s="90"/>
      <c r="M548" s="51"/>
      <c r="N548" s="113">
        <f t="shared" si="55"/>
        <v>6468</v>
      </c>
      <c r="O548" s="575">
        <v>0</v>
      </c>
      <c r="P548" s="582">
        <v>0</v>
      </c>
      <c r="Q548" s="589"/>
      <c r="R548" s="576"/>
      <c r="S548" s="583">
        <f t="shared" si="57"/>
        <v>0</v>
      </c>
      <c r="T548" s="580">
        <f t="shared" si="56"/>
        <v>0</v>
      </c>
      <c r="U548" s="51"/>
      <c r="V548" s="2119"/>
      <c r="W548" s="43"/>
      <c r="X548" s="43"/>
      <c r="Y548" s="43"/>
      <c r="Z548" s="43"/>
    </row>
    <row r="549" spans="1:26" ht="15.75" customHeight="1">
      <c r="A549" s="88">
        <v>6469</v>
      </c>
      <c r="B549" s="1032" t="s">
        <v>542</v>
      </c>
      <c r="C549" s="1033"/>
      <c r="D549" s="1033"/>
      <c r="E549" s="1033"/>
      <c r="F549" s="1033"/>
      <c r="G549" s="1033"/>
      <c r="H549" s="1033"/>
      <c r="I549" s="1033"/>
      <c r="J549" s="1033"/>
      <c r="K549" s="1033"/>
      <c r="L549" s="90"/>
      <c r="M549" s="51"/>
      <c r="N549" s="113">
        <f t="shared" si="55"/>
        <v>6469</v>
      </c>
      <c r="O549" s="575">
        <v>0</v>
      </c>
      <c r="P549" s="582">
        <v>0</v>
      </c>
      <c r="Q549" s="589"/>
      <c r="R549" s="576"/>
      <c r="S549" s="583">
        <f t="shared" si="57"/>
        <v>0</v>
      </c>
      <c r="T549" s="580">
        <f t="shared" si="56"/>
        <v>0</v>
      </c>
      <c r="U549" s="51"/>
      <c r="V549" s="2119"/>
      <c r="W549" s="43"/>
      <c r="X549" s="43"/>
      <c r="Y549" s="43"/>
      <c r="Z549" s="43"/>
    </row>
    <row r="550" spans="1:26">
      <c r="A550" s="88">
        <v>6471</v>
      </c>
      <c r="B550" s="1033" t="s">
        <v>543</v>
      </c>
      <c r="C550" s="1033"/>
      <c r="D550" s="1033"/>
      <c r="E550" s="1033"/>
      <c r="F550" s="1033"/>
      <c r="G550" s="1033"/>
      <c r="H550" s="1033"/>
      <c r="I550" s="1033"/>
      <c r="J550" s="1033"/>
      <c r="K550" s="1033"/>
      <c r="L550" s="90"/>
      <c r="M550" s="51"/>
      <c r="N550" s="113">
        <f t="shared" si="55"/>
        <v>6471</v>
      </c>
      <c r="O550" s="575">
        <v>0</v>
      </c>
      <c r="P550" s="582">
        <v>0</v>
      </c>
      <c r="Q550" s="589"/>
      <c r="R550" s="576"/>
      <c r="S550" s="583">
        <f t="shared" si="57"/>
        <v>0</v>
      </c>
      <c r="T550" s="580">
        <f t="shared" si="56"/>
        <v>0</v>
      </c>
      <c r="U550" s="51"/>
      <c r="V550" s="2119"/>
      <c r="W550" s="43"/>
      <c r="X550" s="43"/>
      <c r="Y550" s="43"/>
      <c r="Z550" s="43"/>
    </row>
    <row r="551" spans="1:26">
      <c r="A551" s="88">
        <f>2+A550</f>
        <v>6473</v>
      </c>
      <c r="B551" s="1033" t="s">
        <v>544</v>
      </c>
      <c r="C551" s="1033"/>
      <c r="D551" s="1033"/>
      <c r="E551" s="1033"/>
      <c r="F551" s="1033"/>
      <c r="G551" s="1033"/>
      <c r="H551" s="1033"/>
      <c r="I551" s="1033"/>
      <c r="J551" s="1033"/>
      <c r="K551" s="1033"/>
      <c r="L551" s="90"/>
      <c r="M551" s="51"/>
      <c r="N551" s="113">
        <f t="shared" si="55"/>
        <v>6473</v>
      </c>
      <c r="O551" s="575">
        <v>0</v>
      </c>
      <c r="P551" s="582">
        <v>0</v>
      </c>
      <c r="Q551" s="589"/>
      <c r="R551" s="576"/>
      <c r="S551" s="583">
        <f t="shared" si="57"/>
        <v>0</v>
      </c>
      <c r="T551" s="580">
        <f t="shared" si="56"/>
        <v>0</v>
      </c>
      <c r="U551" s="51"/>
      <c r="V551" s="2119"/>
      <c r="W551" s="43"/>
      <c r="X551" s="43"/>
      <c r="Y551" s="43"/>
      <c r="Z551" s="43"/>
    </row>
    <row r="552" spans="1:26">
      <c r="A552" s="88">
        <f>2+A551</f>
        <v>6475</v>
      </c>
      <c r="B552" s="1033" t="s">
        <v>545</v>
      </c>
      <c r="C552" s="1033"/>
      <c r="D552" s="1033"/>
      <c r="E552" s="1033"/>
      <c r="F552" s="1033"/>
      <c r="G552" s="1033"/>
      <c r="H552" s="1033"/>
      <c r="I552" s="1033"/>
      <c r="J552" s="1033"/>
      <c r="K552" s="1033"/>
      <c r="L552" s="90"/>
      <c r="M552" s="51"/>
      <c r="N552" s="113">
        <f t="shared" si="55"/>
        <v>6475</v>
      </c>
      <c r="O552" s="575">
        <v>0</v>
      </c>
      <c r="P552" s="582">
        <v>0</v>
      </c>
      <c r="Q552" s="589"/>
      <c r="R552" s="576"/>
      <c r="S552" s="583">
        <f t="shared" si="57"/>
        <v>0</v>
      </c>
      <c r="T552" s="580">
        <f t="shared" si="56"/>
        <v>0</v>
      </c>
      <c r="U552" s="51"/>
      <c r="V552" s="2119"/>
      <c r="W552" s="43"/>
      <c r="X552" s="43"/>
      <c r="Y552" s="43"/>
      <c r="Z552" s="43"/>
    </row>
    <row r="553" spans="1:26">
      <c r="A553" s="88">
        <f>2+A552</f>
        <v>6477</v>
      </c>
      <c r="B553" s="1033" t="s">
        <v>546</v>
      </c>
      <c r="C553" s="1033"/>
      <c r="D553" s="1033"/>
      <c r="E553" s="1033"/>
      <c r="F553" s="1033"/>
      <c r="G553" s="1033"/>
      <c r="H553" s="1033"/>
      <c r="I553" s="1033"/>
      <c r="J553" s="1033"/>
      <c r="K553" s="1033"/>
      <c r="L553" s="90"/>
      <c r="M553" s="51"/>
      <c r="N553" s="113">
        <f t="shared" si="55"/>
        <v>6477</v>
      </c>
      <c r="O553" s="575">
        <v>0</v>
      </c>
      <c r="P553" s="582">
        <v>0</v>
      </c>
      <c r="Q553" s="589"/>
      <c r="R553" s="576"/>
      <c r="S553" s="583">
        <f t="shared" si="57"/>
        <v>0</v>
      </c>
      <c r="T553" s="580">
        <f t="shared" si="56"/>
        <v>0</v>
      </c>
      <c r="U553" s="51"/>
      <c r="V553" s="2119"/>
      <c r="W553" s="43"/>
      <c r="X553" s="43"/>
      <c r="Y553" s="43"/>
      <c r="Z553" s="43"/>
    </row>
    <row r="554" spans="1:26" ht="15.75" customHeight="1">
      <c r="A554" s="88">
        <v>6479</v>
      </c>
      <c r="B554" s="1033" t="s">
        <v>547</v>
      </c>
      <c r="C554" s="1033"/>
      <c r="D554" s="1033"/>
      <c r="E554" s="1033"/>
      <c r="F554" s="1033"/>
      <c r="G554" s="1033"/>
      <c r="H554" s="1033"/>
      <c r="I554" s="1033"/>
      <c r="J554" s="1033"/>
      <c r="K554" s="1033"/>
      <c r="L554" s="90"/>
      <c r="M554" s="51"/>
      <c r="N554" s="113">
        <f t="shared" si="55"/>
        <v>6479</v>
      </c>
      <c r="O554" s="575">
        <v>0</v>
      </c>
      <c r="P554" s="582">
        <v>0</v>
      </c>
      <c r="Q554" s="589"/>
      <c r="R554" s="576"/>
      <c r="S554" s="583">
        <f t="shared" si="57"/>
        <v>0</v>
      </c>
      <c r="T554" s="580">
        <f t="shared" si="56"/>
        <v>0</v>
      </c>
      <c r="U554" s="51"/>
      <c r="V554" s="2119"/>
      <c r="W554" s="43"/>
      <c r="X554" s="43"/>
      <c r="Y554" s="43"/>
      <c r="Z554" s="43"/>
    </row>
    <row r="555" spans="1:26" ht="15.75" customHeight="1">
      <c r="A555" s="88">
        <v>6480</v>
      </c>
      <c r="B555" s="1033" t="s">
        <v>567</v>
      </c>
      <c r="C555" s="1033"/>
      <c r="D555" s="1033"/>
      <c r="E555" s="1033"/>
      <c r="F555" s="1033"/>
      <c r="G555" s="1033"/>
      <c r="H555" s="1033"/>
      <c r="I555" s="1033"/>
      <c r="J555" s="1033"/>
      <c r="K555" s="1033"/>
      <c r="L555" s="90"/>
      <c r="M555" s="51"/>
      <c r="N555" s="113">
        <f t="shared" si="55"/>
        <v>6480</v>
      </c>
      <c r="O555" s="575">
        <v>0</v>
      </c>
      <c r="P555" s="582">
        <v>0</v>
      </c>
      <c r="Q555" s="589"/>
      <c r="R555" s="576"/>
      <c r="S555" s="583">
        <f t="shared" si="57"/>
        <v>0</v>
      </c>
      <c r="T555" s="580">
        <f t="shared" si="56"/>
        <v>0</v>
      </c>
      <c r="U555" s="51"/>
      <c r="V555" s="2119"/>
      <c r="W555" s="43"/>
      <c r="X555" s="43"/>
      <c r="Y555" s="43"/>
      <c r="Z555" s="43"/>
    </row>
    <row r="556" spans="1:26">
      <c r="A556" s="88">
        <v>6481</v>
      </c>
      <c r="B556" s="1033" t="s">
        <v>568</v>
      </c>
      <c r="C556" s="1033"/>
      <c r="D556" s="1033"/>
      <c r="E556" s="1033"/>
      <c r="F556" s="1033"/>
      <c r="G556" s="1033"/>
      <c r="H556" s="1033"/>
      <c r="I556" s="1033"/>
      <c r="J556" s="1033"/>
      <c r="K556" s="1033"/>
      <c r="L556" s="90"/>
      <c r="M556" s="51"/>
      <c r="N556" s="113">
        <f t="shared" si="55"/>
        <v>6481</v>
      </c>
      <c r="O556" s="575">
        <v>0</v>
      </c>
      <c r="P556" s="582">
        <v>0</v>
      </c>
      <c r="Q556" s="589"/>
      <c r="R556" s="576"/>
      <c r="S556" s="583">
        <f t="shared" si="57"/>
        <v>0</v>
      </c>
      <c r="T556" s="580">
        <f t="shared" si="56"/>
        <v>0</v>
      </c>
      <c r="U556" s="51"/>
      <c r="V556" s="2119"/>
      <c r="W556" s="43"/>
      <c r="X556" s="43"/>
      <c r="Y556" s="43"/>
      <c r="Z556" s="43"/>
    </row>
    <row r="557" spans="1:26">
      <c r="A557" s="88">
        <f>2+A556</f>
        <v>6483</v>
      </c>
      <c r="B557" s="1033" t="s">
        <v>569</v>
      </c>
      <c r="C557" s="1033"/>
      <c r="D557" s="1033"/>
      <c r="E557" s="1033"/>
      <c r="F557" s="1033"/>
      <c r="G557" s="1033"/>
      <c r="H557" s="1033"/>
      <c r="I557" s="1033"/>
      <c r="J557" s="1033"/>
      <c r="K557" s="1033"/>
      <c r="L557" s="90"/>
      <c r="M557" s="51"/>
      <c r="N557" s="113">
        <f t="shared" si="55"/>
        <v>6483</v>
      </c>
      <c r="O557" s="575">
        <v>0</v>
      </c>
      <c r="P557" s="582">
        <v>0</v>
      </c>
      <c r="Q557" s="589"/>
      <c r="R557" s="576"/>
      <c r="S557" s="583">
        <f t="shared" si="57"/>
        <v>0</v>
      </c>
      <c r="T557" s="580">
        <f t="shared" si="56"/>
        <v>0</v>
      </c>
      <c r="U557" s="51"/>
      <c r="V557" s="2119"/>
      <c r="W557" s="43"/>
      <c r="X557" s="43"/>
      <c r="Y557" s="43"/>
      <c r="Z557" s="43"/>
    </row>
    <row r="558" spans="1:26">
      <c r="A558" s="88">
        <f>2+A557</f>
        <v>6485</v>
      </c>
      <c r="B558" s="1033" t="s">
        <v>570</v>
      </c>
      <c r="C558" s="1033"/>
      <c r="D558" s="1033"/>
      <c r="E558" s="1033"/>
      <c r="F558" s="1033"/>
      <c r="G558" s="1033"/>
      <c r="H558" s="1033"/>
      <c r="I558" s="1033"/>
      <c r="J558" s="1033"/>
      <c r="K558" s="1033"/>
      <c r="L558" s="90"/>
      <c r="M558" s="51"/>
      <c r="N558" s="113">
        <f t="shared" si="55"/>
        <v>6485</v>
      </c>
      <c r="O558" s="575">
        <v>0</v>
      </c>
      <c r="P558" s="582">
        <v>0</v>
      </c>
      <c r="Q558" s="589"/>
      <c r="R558" s="576"/>
      <c r="S558" s="583">
        <f t="shared" si="57"/>
        <v>0</v>
      </c>
      <c r="T558" s="580">
        <f t="shared" si="56"/>
        <v>0</v>
      </c>
      <c r="U558" s="51"/>
      <c r="V558" s="2119"/>
      <c r="W558" s="43"/>
      <c r="X558" s="43"/>
      <c r="Y558" s="43"/>
      <c r="Z558" s="43"/>
    </row>
    <row r="559" spans="1:26">
      <c r="A559" s="88">
        <f>2+A558</f>
        <v>6487</v>
      </c>
      <c r="B559" s="1033" t="s">
        <v>571</v>
      </c>
      <c r="C559" s="1033"/>
      <c r="D559" s="1033"/>
      <c r="E559" s="1033"/>
      <c r="F559" s="1033"/>
      <c r="G559" s="1033"/>
      <c r="H559" s="1033"/>
      <c r="I559" s="1033"/>
      <c r="J559" s="1033"/>
      <c r="K559" s="1033"/>
      <c r="L559" s="90"/>
      <c r="M559" s="51"/>
      <c r="N559" s="113">
        <f t="shared" si="55"/>
        <v>6487</v>
      </c>
      <c r="O559" s="575">
        <v>0</v>
      </c>
      <c r="P559" s="582">
        <v>0</v>
      </c>
      <c r="Q559" s="589"/>
      <c r="R559" s="576"/>
      <c r="S559" s="583">
        <f t="shared" si="57"/>
        <v>0</v>
      </c>
      <c r="T559" s="580">
        <f t="shared" si="56"/>
        <v>0</v>
      </c>
      <c r="U559" s="51"/>
      <c r="V559" s="2119"/>
      <c r="W559" s="43"/>
      <c r="X559" s="43"/>
      <c r="Y559" s="43"/>
      <c r="Z559" s="43"/>
    </row>
    <row r="560" spans="1:26" ht="15.75" customHeight="1">
      <c r="A560" s="88">
        <v>6489</v>
      </c>
      <c r="B560" s="1033" t="s">
        <v>572</v>
      </c>
      <c r="C560" s="1033"/>
      <c r="D560" s="1033"/>
      <c r="E560" s="1033"/>
      <c r="F560" s="1033"/>
      <c r="G560" s="1033"/>
      <c r="H560" s="1033"/>
      <c r="I560" s="1033"/>
      <c r="J560" s="1033"/>
      <c r="K560" s="1033"/>
      <c r="L560" s="90"/>
      <c r="M560" s="51"/>
      <c r="N560" s="113">
        <f t="shared" si="55"/>
        <v>6489</v>
      </c>
      <c r="O560" s="575">
        <v>0</v>
      </c>
      <c r="P560" s="582">
        <v>0</v>
      </c>
      <c r="Q560" s="589"/>
      <c r="R560" s="576"/>
      <c r="S560" s="583">
        <f t="shared" si="57"/>
        <v>0</v>
      </c>
      <c r="T560" s="580">
        <f t="shared" si="56"/>
        <v>0</v>
      </c>
      <c r="U560" s="51"/>
      <c r="V560" s="2119"/>
      <c r="W560" s="43"/>
      <c r="X560" s="43"/>
      <c r="Y560" s="43"/>
      <c r="Z560" s="43"/>
    </row>
    <row r="561" spans="1:26">
      <c r="A561" s="88">
        <v>6491</v>
      </c>
      <c r="B561" s="1033" t="s">
        <v>573</v>
      </c>
      <c r="C561" s="1033"/>
      <c r="D561" s="1033"/>
      <c r="E561" s="1033"/>
      <c r="F561" s="1033"/>
      <c r="G561" s="1033"/>
      <c r="H561" s="1033"/>
      <c r="I561" s="1033"/>
      <c r="J561" s="1033"/>
      <c r="K561" s="1033"/>
      <c r="L561" s="90"/>
      <c r="M561" s="51"/>
      <c r="N561" s="113">
        <f t="shared" si="55"/>
        <v>6491</v>
      </c>
      <c r="O561" s="575">
        <v>0</v>
      </c>
      <c r="P561" s="582">
        <v>0</v>
      </c>
      <c r="Q561" s="589"/>
      <c r="R561" s="576"/>
      <c r="S561" s="583">
        <f t="shared" si="57"/>
        <v>0</v>
      </c>
      <c r="T561" s="580">
        <f t="shared" si="56"/>
        <v>0</v>
      </c>
      <c r="U561" s="51"/>
      <c r="V561" s="2119"/>
      <c r="W561" s="43"/>
      <c r="X561" s="43"/>
      <c r="Y561" s="43"/>
      <c r="Z561" s="43"/>
    </row>
    <row r="562" spans="1:26">
      <c r="A562" s="88">
        <f>2+A561</f>
        <v>6493</v>
      </c>
      <c r="B562" s="1033" t="s">
        <v>574</v>
      </c>
      <c r="C562" s="1033"/>
      <c r="D562" s="1033"/>
      <c r="E562" s="1033"/>
      <c r="F562" s="1033"/>
      <c r="G562" s="1033"/>
      <c r="H562" s="1033"/>
      <c r="I562" s="1033"/>
      <c r="J562" s="1033"/>
      <c r="K562" s="1033"/>
      <c r="L562" s="90"/>
      <c r="M562" s="51"/>
      <c r="N562" s="113">
        <f t="shared" si="55"/>
        <v>6493</v>
      </c>
      <c r="O562" s="575">
        <v>0</v>
      </c>
      <c r="P562" s="582">
        <v>0</v>
      </c>
      <c r="Q562" s="589"/>
      <c r="R562" s="576"/>
      <c r="S562" s="583">
        <f t="shared" si="57"/>
        <v>0</v>
      </c>
      <c r="T562" s="580">
        <f t="shared" si="56"/>
        <v>0</v>
      </c>
      <c r="U562" s="51"/>
      <c r="V562" s="2119"/>
      <c r="W562" s="43"/>
      <c r="X562" s="43"/>
      <c r="Y562" s="43"/>
      <c r="Z562" s="43"/>
    </row>
    <row r="563" spans="1:26">
      <c r="A563" s="88">
        <f>2+A562</f>
        <v>6495</v>
      </c>
      <c r="B563" s="1033" t="s">
        <v>575</v>
      </c>
      <c r="C563" s="1033"/>
      <c r="D563" s="1033"/>
      <c r="E563" s="1033"/>
      <c r="F563" s="1033"/>
      <c r="G563" s="1033"/>
      <c r="H563" s="1033"/>
      <c r="I563" s="1033"/>
      <c r="J563" s="1033"/>
      <c r="K563" s="1033"/>
      <c r="L563" s="90"/>
      <c r="M563" s="51"/>
      <c r="N563" s="113">
        <f t="shared" si="55"/>
        <v>6495</v>
      </c>
      <c r="O563" s="575">
        <v>0</v>
      </c>
      <c r="P563" s="582">
        <v>0</v>
      </c>
      <c r="Q563" s="589"/>
      <c r="R563" s="576"/>
      <c r="S563" s="583">
        <f t="shared" si="57"/>
        <v>0</v>
      </c>
      <c r="T563" s="580">
        <f t="shared" si="56"/>
        <v>0</v>
      </c>
      <c r="U563" s="51"/>
      <c r="V563" s="2119"/>
      <c r="W563" s="43"/>
      <c r="X563" s="43"/>
      <c r="Y563" s="43"/>
      <c r="Z563" s="43"/>
    </row>
    <row r="564" spans="1:26">
      <c r="A564" s="88">
        <f>2+A563</f>
        <v>6497</v>
      </c>
      <c r="B564" s="1033" t="s">
        <v>576</v>
      </c>
      <c r="C564" s="1033"/>
      <c r="D564" s="1033"/>
      <c r="E564" s="1033"/>
      <c r="F564" s="1033"/>
      <c r="G564" s="1033"/>
      <c r="H564" s="1033"/>
      <c r="I564" s="1033"/>
      <c r="J564" s="1033"/>
      <c r="K564" s="1033"/>
      <c r="L564" s="90"/>
      <c r="M564" s="51"/>
      <c r="N564" s="113">
        <f t="shared" si="55"/>
        <v>6497</v>
      </c>
      <c r="O564" s="575">
        <v>0</v>
      </c>
      <c r="P564" s="582">
        <v>0</v>
      </c>
      <c r="Q564" s="589"/>
      <c r="R564" s="576"/>
      <c r="S564" s="583">
        <f t="shared" si="57"/>
        <v>0</v>
      </c>
      <c r="T564" s="580">
        <f t="shared" si="56"/>
        <v>0</v>
      </c>
      <c r="U564" s="51"/>
      <c r="V564" s="2119"/>
      <c r="W564" s="43"/>
      <c r="X564" s="43"/>
      <c r="Y564" s="43"/>
      <c r="Z564" s="43"/>
    </row>
    <row r="565" spans="1:26" ht="15.75" customHeight="1">
      <c r="A565" s="88">
        <v>6499</v>
      </c>
      <c r="B565" s="1033" t="s">
        <v>577</v>
      </c>
      <c r="C565" s="1033"/>
      <c r="D565" s="1033"/>
      <c r="E565" s="1033"/>
      <c r="F565" s="1033"/>
      <c r="G565" s="1033"/>
      <c r="H565" s="1033"/>
      <c r="I565" s="1033"/>
      <c r="J565" s="1033"/>
      <c r="K565" s="1033"/>
      <c r="L565" s="90"/>
      <c r="M565" s="51"/>
      <c r="N565" s="113">
        <f t="shared" si="55"/>
        <v>6499</v>
      </c>
      <c r="O565" s="575">
        <v>0</v>
      </c>
      <c r="P565" s="582">
        <v>0</v>
      </c>
      <c r="Q565" s="589"/>
      <c r="R565" s="576"/>
      <c r="S565" s="583">
        <f t="shared" si="57"/>
        <v>0</v>
      </c>
      <c r="T565" s="580">
        <f t="shared" si="56"/>
        <v>0</v>
      </c>
      <c r="U565" s="51"/>
      <c r="V565" s="2119"/>
      <c r="W565" s="43"/>
      <c r="X565" s="43"/>
      <c r="Y565" s="43"/>
      <c r="Z565" s="43"/>
    </row>
    <row r="566" spans="1:26">
      <c r="A566" s="88">
        <v>6501</v>
      </c>
      <c r="B566" s="1032" t="s">
        <v>655</v>
      </c>
      <c r="C566" s="1033"/>
      <c r="D566" s="1033"/>
      <c r="E566" s="1033"/>
      <c r="F566" s="1033"/>
      <c r="G566" s="1033"/>
      <c r="H566" s="1033"/>
      <c r="I566" s="1033"/>
      <c r="J566" s="1033"/>
      <c r="K566" s="1033"/>
      <c r="L566" s="90"/>
      <c r="M566" s="51"/>
      <c r="N566" s="113">
        <f t="shared" si="55"/>
        <v>6501</v>
      </c>
      <c r="O566" s="575">
        <v>0</v>
      </c>
      <c r="P566" s="582">
        <v>0</v>
      </c>
      <c r="Q566" s="589">
        <v>0</v>
      </c>
      <c r="R566" s="121">
        <v>0</v>
      </c>
      <c r="S566" s="579">
        <v>0</v>
      </c>
      <c r="T566" s="588">
        <f t="shared" si="56"/>
        <v>0</v>
      </c>
      <c r="U566" s="51"/>
      <c r="V566" s="2119">
        <f>+IF(OR(+ROUND(O566,2)+ROUND(Q566,2)&gt;ROUND(P566,2)+ROUND(R566,2),+ABS(ROUND(O566,2)+ROUND(Q566,2))&gt;+ABS(ROUND(P566,2)+ROUND(R566,2))),+(ROUND(O566,2)+ROUND(Q566,2))-(ROUND(P566,2)+ROUND(R566,2)),0)</f>
        <v>0</v>
      </c>
      <c r="W566" s="43"/>
      <c r="X566" s="43"/>
      <c r="Y566" s="43"/>
      <c r="Z566" s="43"/>
    </row>
    <row r="567" spans="1:26">
      <c r="A567" s="88">
        <v>6502</v>
      </c>
      <c r="B567" s="1032" t="s">
        <v>656</v>
      </c>
      <c r="C567" s="1033"/>
      <c r="D567" s="1033"/>
      <c r="E567" s="1033"/>
      <c r="F567" s="1033"/>
      <c r="G567" s="1033"/>
      <c r="H567" s="1033"/>
      <c r="I567" s="1033"/>
      <c r="J567" s="1033"/>
      <c r="K567" s="1033"/>
      <c r="L567" s="90"/>
      <c r="M567" s="51"/>
      <c r="N567" s="113">
        <f t="shared" si="55"/>
        <v>6502</v>
      </c>
      <c r="O567" s="575">
        <v>0</v>
      </c>
      <c r="P567" s="582">
        <v>0</v>
      </c>
      <c r="Q567" s="589"/>
      <c r="R567" s="121"/>
      <c r="S567" s="579">
        <v>0</v>
      </c>
      <c r="T567" s="588">
        <f t="shared" si="56"/>
        <v>0</v>
      </c>
      <c r="U567" s="51"/>
      <c r="V567" s="2119">
        <f>+IF(OR(+ROUND(O567,2)+ROUND(Q567,2)&gt;ROUND(P567,2)+ROUND(R567,2),+ABS(ROUND(O567,2)+ROUND(Q567,2))&gt;+ABS(ROUND(P567,2)+ROUND(R567,2))),+(ROUND(O567,2)+ROUND(Q567,2))-(ROUND(P567,2)+ROUND(R567,2)),0)</f>
        <v>0</v>
      </c>
      <c r="W567" s="43"/>
      <c r="X567" s="43"/>
      <c r="Y567" s="43"/>
      <c r="Z567" s="43"/>
    </row>
    <row r="568" spans="1:26">
      <c r="A568" s="88">
        <v>6503</v>
      </c>
      <c r="B568" s="1032" t="s">
        <v>657</v>
      </c>
      <c r="C568" s="1033"/>
      <c r="D568" s="1033"/>
      <c r="E568" s="1033"/>
      <c r="F568" s="1033"/>
      <c r="G568" s="1033"/>
      <c r="H568" s="1033"/>
      <c r="I568" s="1033"/>
      <c r="J568" s="1033"/>
      <c r="K568" s="1033"/>
      <c r="L568" s="90"/>
      <c r="M568" s="51"/>
      <c r="N568" s="113">
        <f t="shared" si="55"/>
        <v>6503</v>
      </c>
      <c r="O568" s="575">
        <v>0</v>
      </c>
      <c r="P568" s="582">
        <v>0</v>
      </c>
      <c r="Q568" s="589">
        <v>0</v>
      </c>
      <c r="R568" s="121">
        <v>0</v>
      </c>
      <c r="S568" s="579">
        <v>0</v>
      </c>
      <c r="T568" s="588">
        <f t="shared" si="56"/>
        <v>0</v>
      </c>
      <c r="U568" s="51"/>
      <c r="V568" s="2119">
        <f>+IF(OR(+ROUND(O568,2)+ROUND(Q568,2)&gt;ROUND(P568,2)+ROUND(R568,2),+ABS(ROUND(O568,2)+ROUND(Q568,2))&gt;+ABS(ROUND(P568,2)+ROUND(R568,2))),+(ROUND(O568,2)+ROUND(Q568,2))-(ROUND(P568,2)+ROUND(R568,2)),0)</f>
        <v>0</v>
      </c>
      <c r="W568" s="43"/>
      <c r="X568" s="43"/>
      <c r="Y568" s="43"/>
      <c r="Z568" s="43"/>
    </row>
    <row r="569" spans="1:26">
      <c r="A569" s="88">
        <v>6504</v>
      </c>
      <c r="B569" s="1032" t="s">
        <v>658</v>
      </c>
      <c r="C569" s="1033"/>
      <c r="D569" s="1033"/>
      <c r="E569" s="1033"/>
      <c r="F569" s="1033"/>
      <c r="G569" s="1033"/>
      <c r="H569" s="1033"/>
      <c r="I569" s="1033"/>
      <c r="J569" s="1033"/>
      <c r="K569" s="1033"/>
      <c r="L569" s="90"/>
      <c r="M569" s="51"/>
      <c r="N569" s="113">
        <f t="shared" si="55"/>
        <v>6504</v>
      </c>
      <c r="O569" s="575">
        <v>0</v>
      </c>
      <c r="P569" s="582">
        <v>0</v>
      </c>
      <c r="Q569" s="589"/>
      <c r="R569" s="121"/>
      <c r="S569" s="579">
        <v>0</v>
      </c>
      <c r="T569" s="588">
        <f t="shared" si="56"/>
        <v>0</v>
      </c>
      <c r="U569" s="51"/>
      <c r="V569" s="2119">
        <f>+IF(OR(+ROUND(O569,2)+ROUND(Q569,2)&gt;ROUND(P569,2)+ROUND(R569,2),+ABS(ROUND(O569,2)+ROUND(Q569,2))&gt;+ABS(ROUND(P569,2)+ROUND(R569,2))),+(ROUND(O569,2)+ROUND(Q569,2))-(ROUND(P569,2)+ROUND(R569,2)),0)</f>
        <v>0</v>
      </c>
      <c r="W569" s="43"/>
      <c r="X569" s="43"/>
      <c r="Y569" s="43"/>
      <c r="Z569" s="43"/>
    </row>
    <row r="570" spans="1:26">
      <c r="A570" s="88">
        <v>6506</v>
      </c>
      <c r="B570" s="1032" t="s">
        <v>659</v>
      </c>
      <c r="C570" s="1033"/>
      <c r="D570" s="1033"/>
      <c r="E570" s="1033"/>
      <c r="F570" s="1033"/>
      <c r="G570" s="1033"/>
      <c r="H570" s="1033"/>
      <c r="I570" s="1033"/>
      <c r="J570" s="1033"/>
      <c r="K570" s="1033"/>
      <c r="L570" s="90"/>
      <c r="M570" s="51"/>
      <c r="N570" s="113">
        <f t="shared" si="55"/>
        <v>6506</v>
      </c>
      <c r="O570" s="575">
        <v>0</v>
      </c>
      <c r="P570" s="582">
        <v>0</v>
      </c>
      <c r="Q570" s="589">
        <v>0</v>
      </c>
      <c r="R570" s="576">
        <v>0</v>
      </c>
      <c r="S570" s="2114">
        <v>0</v>
      </c>
      <c r="T570" s="2115">
        <v>0</v>
      </c>
      <c r="U570" s="51"/>
      <c r="V570" s="2125">
        <f>+IF(Q570=R570,0,+Q570-R570)</f>
        <v>0</v>
      </c>
      <c r="W570" s="43"/>
      <c r="X570" s="43"/>
      <c r="Y570" s="43"/>
      <c r="Z570" s="43"/>
    </row>
    <row r="571" spans="1:26">
      <c r="A571" s="88">
        <v>6507</v>
      </c>
      <c r="B571" s="1032" t="s">
        <v>660</v>
      </c>
      <c r="C571" s="1033"/>
      <c r="D571" s="1033"/>
      <c r="E571" s="1033"/>
      <c r="F571" s="1033"/>
      <c r="G571" s="1033"/>
      <c r="H571" s="1033"/>
      <c r="I571" s="1033"/>
      <c r="J571" s="1033"/>
      <c r="K571" s="1033"/>
      <c r="L571" s="90"/>
      <c r="M571" s="51"/>
      <c r="N571" s="113">
        <f t="shared" si="55"/>
        <v>6507</v>
      </c>
      <c r="O571" s="575">
        <v>0</v>
      </c>
      <c r="P571" s="582">
        <v>0</v>
      </c>
      <c r="Q571" s="589">
        <v>0</v>
      </c>
      <c r="R571" s="121">
        <v>0</v>
      </c>
      <c r="S571" s="579">
        <v>0</v>
      </c>
      <c r="T571" s="588">
        <f>+IF(ABS(+O571+Q571)&lt;=ABS(P571+R571),-O571+P571-Q571+R571,0)</f>
        <v>0</v>
      </c>
      <c r="U571" s="51"/>
      <c r="V571" s="2119">
        <f>+IF(OR(+ROUND(O571,2)+ROUND(Q571,2)&gt;ROUND(P571,2)+ROUND(R571,2),+ABS(ROUND(O571,2)+ROUND(Q571,2))&gt;+ABS(ROUND(P571,2)+ROUND(R571,2))),+(ROUND(O571,2)+ROUND(Q571,2))-(ROUND(P571,2)+ROUND(R571,2)),0)</f>
        <v>0</v>
      </c>
      <c r="W571" s="43"/>
      <c r="X571" s="43"/>
      <c r="Y571" s="43"/>
      <c r="Z571" s="43"/>
    </row>
    <row r="572" spans="1:26">
      <c r="A572" s="88">
        <v>6508</v>
      </c>
      <c r="B572" s="1032" t="s">
        <v>661</v>
      </c>
      <c r="C572" s="1033"/>
      <c r="D572" s="1033"/>
      <c r="E572" s="1033"/>
      <c r="F572" s="1033"/>
      <c r="G572" s="1033"/>
      <c r="H572" s="1033"/>
      <c r="I572" s="1033"/>
      <c r="J572" s="1033"/>
      <c r="K572" s="1033"/>
      <c r="L572" s="90"/>
      <c r="M572" s="51"/>
      <c r="N572" s="113">
        <f t="shared" si="55"/>
        <v>6508</v>
      </c>
      <c r="O572" s="575">
        <v>0</v>
      </c>
      <c r="P572" s="582">
        <v>0</v>
      </c>
      <c r="Q572" s="589"/>
      <c r="R572" s="121"/>
      <c r="S572" s="579">
        <v>0</v>
      </c>
      <c r="T572" s="588">
        <f>+IF(ABS(+O572+Q572)&lt;=ABS(P572+R572),-O572+P572-Q572+R572,0)</f>
        <v>0</v>
      </c>
      <c r="U572" s="51"/>
      <c r="V572" s="2119">
        <f>+IF(OR(+ROUND(O572,2)+ROUND(Q572,2)&gt;ROUND(P572,2)+ROUND(R572,2),+ABS(ROUND(O572,2)+ROUND(Q572,2))&gt;+ABS(ROUND(P572,2)+ROUND(R572,2))),+(ROUND(O572,2)+ROUND(Q572,2))-(ROUND(P572,2)+ROUND(R572,2)),0)</f>
        <v>0</v>
      </c>
      <c r="W572" s="43"/>
      <c r="X572" s="43"/>
      <c r="Y572" s="43"/>
      <c r="Z572" s="43"/>
    </row>
    <row r="573" spans="1:26">
      <c r="A573" s="88">
        <v>6711</v>
      </c>
      <c r="B573" s="1033" t="s">
        <v>662</v>
      </c>
      <c r="C573" s="1033"/>
      <c r="D573" s="1033"/>
      <c r="E573" s="1033"/>
      <c r="F573" s="1033"/>
      <c r="G573" s="1033"/>
      <c r="H573" s="1033"/>
      <c r="I573" s="1033"/>
      <c r="J573" s="1033"/>
      <c r="K573" s="1033"/>
      <c r="L573" s="90"/>
      <c r="M573" s="51"/>
      <c r="N573" s="113">
        <f t="shared" si="55"/>
        <v>6711</v>
      </c>
      <c r="O573" s="575">
        <v>0</v>
      </c>
      <c r="P573" s="582">
        <v>0</v>
      </c>
      <c r="Q573" s="589"/>
      <c r="R573" s="576"/>
      <c r="S573" s="583">
        <f>+IF(ABS(+O573+Q573)&gt;=ABS(P573+R573),+O573-P573+Q573-R573,0)</f>
        <v>0</v>
      </c>
      <c r="T573" s="584">
        <v>0</v>
      </c>
      <c r="U573" s="51"/>
      <c r="V573" s="2120">
        <f>+IF(OR(ROUND(P573,2)+ROUND(R573,2)&gt;+ROUND(O573,2)+ROUND(Q573,2),+ABS(ROUND(P573,2)+ROUND(R573,2))&gt;+ABS(ROUND(O573,2)+ROUND(Q573,2))),+(ROUND(P573,2)+ROUND(R573,2))-(ROUND(O573,2)+ROUND(Q573,2)),0)</f>
        <v>0</v>
      </c>
      <c r="W573" s="43"/>
      <c r="X573" s="43"/>
      <c r="Y573" s="43"/>
      <c r="Z573" s="43"/>
    </row>
    <row r="574" spans="1:26">
      <c r="A574" s="88">
        <v>6713</v>
      </c>
      <c r="B574" s="1033" t="s">
        <v>663</v>
      </c>
      <c r="C574" s="1033"/>
      <c r="D574" s="1033"/>
      <c r="E574" s="1033"/>
      <c r="F574" s="1033"/>
      <c r="G574" s="1033"/>
      <c r="H574" s="1033"/>
      <c r="I574" s="1033"/>
      <c r="J574" s="1033"/>
      <c r="K574" s="1033"/>
      <c r="L574" s="90"/>
      <c r="M574" s="51"/>
      <c r="N574" s="113">
        <f t="shared" si="55"/>
        <v>6713</v>
      </c>
      <c r="O574" s="575">
        <v>0</v>
      </c>
      <c r="P574" s="582">
        <v>0</v>
      </c>
      <c r="Q574" s="589"/>
      <c r="R574" s="576"/>
      <c r="S574" s="583">
        <f>+IF(ABS(+O574+Q574)&gt;=ABS(P574+R574),+O574-P574+Q574-R574,0)</f>
        <v>0</v>
      </c>
      <c r="T574" s="584">
        <v>0</v>
      </c>
      <c r="U574" s="51"/>
      <c r="V574" s="2120">
        <f>+IF(OR(ROUND(P574,2)+ROUND(R574,2)&gt;+ROUND(O574,2)+ROUND(Q574,2),+ABS(ROUND(P574,2)+ROUND(R574,2))&gt;+ABS(ROUND(O574,2)+ROUND(Q574,2))),+(ROUND(P574,2)+ROUND(R574,2))-(ROUND(O574,2)+ROUND(Q574,2)),0)</f>
        <v>0</v>
      </c>
      <c r="W574" s="43"/>
      <c r="X574" s="43"/>
      <c r="Y574" s="43"/>
      <c r="Z574" s="43"/>
    </row>
    <row r="575" spans="1:26">
      <c r="A575" s="88">
        <v>6717</v>
      </c>
      <c r="B575" s="1033" t="s">
        <v>9</v>
      </c>
      <c r="C575" s="1033"/>
      <c r="D575" s="1033"/>
      <c r="E575" s="1033"/>
      <c r="F575" s="1033"/>
      <c r="G575" s="1033"/>
      <c r="H575" s="1033"/>
      <c r="I575" s="1033"/>
      <c r="J575" s="1033"/>
      <c r="K575" s="1033"/>
      <c r="L575" s="90"/>
      <c r="M575" s="51"/>
      <c r="N575" s="113">
        <f t="shared" si="55"/>
        <v>6717</v>
      </c>
      <c r="O575" s="575">
        <v>0</v>
      </c>
      <c r="P575" s="582">
        <v>0</v>
      </c>
      <c r="Q575" s="589">
        <v>0</v>
      </c>
      <c r="R575" s="576">
        <v>0</v>
      </c>
      <c r="S575" s="583">
        <f>+IF(ABS(+O575+Q575)&gt;=ABS(P575+R575),+O575-P575+Q575-R575,0)</f>
        <v>0</v>
      </c>
      <c r="T575" s="584">
        <v>0</v>
      </c>
      <c r="U575" s="51"/>
      <c r="V575" s="2120">
        <f>+IF(OR(ROUND(P575,2)+ROUND(R575,2)&gt;+ROUND(O575,2)+ROUND(Q575,2),+ABS(ROUND(P575,2)+ROUND(R575,2))&gt;+ABS(ROUND(O575,2)+ROUND(Q575,2))),+(ROUND(P575,2)+ROUND(R575,2))-(ROUND(O575,2)+ROUND(Q575,2)),0)</f>
        <v>0</v>
      </c>
      <c r="W575" s="43"/>
      <c r="X575" s="43"/>
      <c r="Y575" s="43"/>
      <c r="Z575" s="43"/>
    </row>
    <row r="576" spans="1:26">
      <c r="A576" s="88">
        <v>6721</v>
      </c>
      <c r="B576" s="1033" t="s">
        <v>10</v>
      </c>
      <c r="C576" s="1033"/>
      <c r="D576" s="1033"/>
      <c r="E576" s="1033"/>
      <c r="F576" s="1033"/>
      <c r="G576" s="1033"/>
      <c r="H576" s="1033"/>
      <c r="I576" s="1033"/>
      <c r="J576" s="1033"/>
      <c r="K576" s="1033"/>
      <c r="L576" s="90"/>
      <c r="M576" s="51"/>
      <c r="N576" s="113">
        <f t="shared" ref="N576:N600" si="58">+A576</f>
        <v>6721</v>
      </c>
      <c r="O576" s="575">
        <v>0</v>
      </c>
      <c r="P576" s="582">
        <v>0</v>
      </c>
      <c r="Q576" s="589"/>
      <c r="R576" s="121"/>
      <c r="S576" s="579">
        <v>0</v>
      </c>
      <c r="T576" s="580">
        <f>+IF(ABS(+O576+Q576)&lt;=ABS(P576+R576),-O576+P576-Q576+R576,0)</f>
        <v>0</v>
      </c>
      <c r="U576" s="51"/>
      <c r="V576" s="2119">
        <f>+IF(OR(+ROUND(O576,2)+ROUND(Q576,2)&gt;ROUND(P576,2)+ROUND(R576,2),+ABS(ROUND(O576,2)+ROUND(Q576,2))&gt;+ABS(ROUND(P576,2)+ROUND(R576,2))),+(ROUND(O576,2)+ROUND(Q576,2))-(ROUND(P576,2)+ROUND(R576,2)),0)</f>
        <v>0</v>
      </c>
      <c r="W576" s="43"/>
      <c r="X576" s="43"/>
      <c r="Y576" s="43"/>
      <c r="Z576" s="43"/>
    </row>
    <row r="577" spans="1:26">
      <c r="A577" s="88">
        <v>6723</v>
      </c>
      <c r="B577" s="1033" t="s">
        <v>11</v>
      </c>
      <c r="C577" s="1033"/>
      <c r="D577" s="1033"/>
      <c r="E577" s="1033"/>
      <c r="F577" s="1033"/>
      <c r="G577" s="1033"/>
      <c r="H577" s="1033"/>
      <c r="I577" s="1033"/>
      <c r="J577" s="1033"/>
      <c r="K577" s="1033"/>
      <c r="L577" s="90"/>
      <c r="M577" s="51"/>
      <c r="N577" s="113">
        <f t="shared" si="58"/>
        <v>6723</v>
      </c>
      <c r="O577" s="575">
        <v>0</v>
      </c>
      <c r="P577" s="582">
        <v>0</v>
      </c>
      <c r="Q577" s="589"/>
      <c r="R577" s="121"/>
      <c r="S577" s="579">
        <v>0</v>
      </c>
      <c r="T577" s="580">
        <f>+IF(ABS(+O577+Q577)&lt;=ABS(P577+R577),-O577+P577-Q577+R577,0)</f>
        <v>0</v>
      </c>
      <c r="U577" s="51"/>
      <c r="V577" s="2119">
        <f>+IF(OR(+ROUND(O577,2)+ROUND(Q577,2)&gt;ROUND(P577,2)+ROUND(R577,2),+ABS(ROUND(O577,2)+ROUND(Q577,2))&gt;+ABS(ROUND(P577,2)+ROUND(R577,2))),+(ROUND(O577,2)+ROUND(Q577,2))-(ROUND(P577,2)+ROUND(R577,2)),0)</f>
        <v>0</v>
      </c>
      <c r="W577" s="43"/>
      <c r="X577" s="43"/>
      <c r="Y577" s="43"/>
      <c r="Z577" s="43"/>
    </row>
    <row r="578" spans="1:26">
      <c r="A578" s="88">
        <v>6727</v>
      </c>
      <c r="B578" s="1033" t="s">
        <v>12</v>
      </c>
      <c r="C578" s="1033"/>
      <c r="D578" s="1033"/>
      <c r="E578" s="1033"/>
      <c r="F578" s="1033"/>
      <c r="G578" s="1033"/>
      <c r="H578" s="1033"/>
      <c r="I578" s="1033"/>
      <c r="J578" s="1033"/>
      <c r="K578" s="1033"/>
      <c r="L578" s="90"/>
      <c r="M578" s="51"/>
      <c r="N578" s="113">
        <f t="shared" si="58"/>
        <v>6727</v>
      </c>
      <c r="O578" s="575">
        <v>0</v>
      </c>
      <c r="P578" s="582">
        <v>0</v>
      </c>
      <c r="Q578" s="589">
        <v>0</v>
      </c>
      <c r="R578" s="121">
        <v>0</v>
      </c>
      <c r="S578" s="579">
        <v>0</v>
      </c>
      <c r="T578" s="580">
        <f>+IF(ABS(+O578+Q578)&lt;=ABS(P578+R578),-O578+P578-Q578+R578,0)</f>
        <v>0</v>
      </c>
      <c r="U578" s="51"/>
      <c r="V578" s="2119">
        <f>+IF(OR(+ROUND(O578,2)+ROUND(Q578,2)&gt;ROUND(P578,2)+ROUND(R578,2),+ABS(ROUND(O578,2)+ROUND(Q578,2))&gt;+ABS(ROUND(P578,2)+ROUND(R578,2))),+(ROUND(O578,2)+ROUND(Q578,2))-(ROUND(P578,2)+ROUND(R578,2)),0)</f>
        <v>0</v>
      </c>
      <c r="W578" s="43"/>
      <c r="X578" s="43"/>
      <c r="Y578" s="43"/>
      <c r="Z578" s="43"/>
    </row>
    <row r="579" spans="1:26">
      <c r="A579" s="88">
        <v>6791</v>
      </c>
      <c r="B579" s="378" t="s">
        <v>13</v>
      </c>
      <c r="C579" s="1033"/>
      <c r="D579" s="1033"/>
      <c r="E579" s="1033"/>
      <c r="F579" s="1033"/>
      <c r="G579" s="1033"/>
      <c r="H579" s="1033"/>
      <c r="I579" s="1033"/>
      <c r="J579" s="1033"/>
      <c r="K579" s="1033"/>
      <c r="L579" s="90"/>
      <c r="M579" s="51"/>
      <c r="N579" s="113">
        <f t="shared" si="58"/>
        <v>6791</v>
      </c>
      <c r="O579" s="575">
        <v>0</v>
      </c>
      <c r="P579" s="582">
        <v>0</v>
      </c>
      <c r="Q579" s="589"/>
      <c r="R579" s="576"/>
      <c r="S579" s="583">
        <f>+IF(ABS(+O579+Q579)&gt;=ABS(P579+R579),+O579-P579+Q579-R579,0)</f>
        <v>0</v>
      </c>
      <c r="T579" s="584">
        <v>0</v>
      </c>
      <c r="U579" s="51"/>
      <c r="V579" s="2120">
        <f>+IF(OR(ROUND(P579,2)+ROUND(R579,2)&gt;+ROUND(O579,2)+ROUND(Q579,2),+ABS(ROUND(P579,2)+ROUND(R579,2))&gt;+ABS(ROUND(O579,2)+ROUND(Q579,2))),+(ROUND(P579,2)+ROUND(R579,2))-(ROUND(O579,2)+ROUND(Q579,2)),0)</f>
        <v>0</v>
      </c>
      <c r="W579" s="43"/>
      <c r="X579" s="43"/>
      <c r="Y579" s="43"/>
      <c r="Z579" s="43"/>
    </row>
    <row r="580" spans="1:26">
      <c r="A580" s="88">
        <v>6799</v>
      </c>
      <c r="B580" s="378" t="s">
        <v>14</v>
      </c>
      <c r="C580" s="1033"/>
      <c r="D580" s="1033"/>
      <c r="E580" s="1033"/>
      <c r="F580" s="1033"/>
      <c r="G580" s="1033"/>
      <c r="H580" s="1033"/>
      <c r="I580" s="1033"/>
      <c r="J580" s="1033"/>
      <c r="K580" s="1033"/>
      <c r="L580" s="90"/>
      <c r="M580" s="51"/>
      <c r="N580" s="113">
        <f t="shared" si="58"/>
        <v>6799</v>
      </c>
      <c r="O580" s="575">
        <v>0</v>
      </c>
      <c r="P580" s="582">
        <v>0</v>
      </c>
      <c r="Q580" s="589"/>
      <c r="R580" s="121"/>
      <c r="S580" s="579">
        <v>0</v>
      </c>
      <c r="T580" s="580">
        <f t="shared" ref="T580:T600" si="59">+IF(ABS(+O580+Q580)&lt;=ABS(P580+R580),-O580+P580-Q580+R580,0)</f>
        <v>0</v>
      </c>
      <c r="U580" s="51"/>
      <c r="V580" s="2119">
        <f>+IF(OR(+ROUND(O580,2)+ROUND(Q580,2)&gt;ROUND(P580,2)+ROUND(R580,2),+ABS(ROUND(O580,2)+ROUND(Q580,2))&gt;+ABS(ROUND(P580,2)+ROUND(R580,2))),+(ROUND(O580,2)+ROUND(Q580,2))-(ROUND(P580,2)+ROUND(R580,2)),0)</f>
        <v>0</v>
      </c>
      <c r="W580" s="43"/>
      <c r="X580" s="43"/>
      <c r="Y580" s="43"/>
      <c r="Z580" s="43"/>
    </row>
    <row r="581" spans="1:26" ht="15.75" customHeight="1">
      <c r="A581" s="88">
        <v>6901</v>
      </c>
      <c r="B581" s="378" t="s">
        <v>15</v>
      </c>
      <c r="C581" s="1033"/>
      <c r="D581" s="1033"/>
      <c r="E581" s="1033"/>
      <c r="F581" s="1033"/>
      <c r="G581" s="1033"/>
      <c r="H581" s="1033"/>
      <c r="I581" s="1033"/>
      <c r="J581" s="1033"/>
      <c r="K581" s="1033"/>
      <c r="L581" s="90"/>
      <c r="M581" s="51"/>
      <c r="N581" s="113">
        <f t="shared" si="58"/>
        <v>6901</v>
      </c>
      <c r="O581" s="575">
        <v>0</v>
      </c>
      <c r="P581" s="582">
        <v>0</v>
      </c>
      <c r="Q581" s="589"/>
      <c r="R581" s="576"/>
      <c r="S581" s="583">
        <f t="shared" ref="S581:S600" si="60">+IF(ABS(+O581+Q581)&gt;=ABS(P581+R581),+O581-P581+Q581-R581,0)</f>
        <v>0</v>
      </c>
      <c r="T581" s="580">
        <f t="shared" si="59"/>
        <v>0</v>
      </c>
      <c r="U581" s="51"/>
      <c r="V581" s="2119"/>
      <c r="W581" s="43"/>
      <c r="X581" s="43"/>
      <c r="Y581" s="43"/>
      <c r="Z581" s="43"/>
    </row>
    <row r="582" spans="1:26" ht="15.75" customHeight="1">
      <c r="A582" s="88">
        <v>6902</v>
      </c>
      <c r="B582" s="378" t="s">
        <v>16</v>
      </c>
      <c r="C582" s="1033"/>
      <c r="D582" s="1033"/>
      <c r="E582" s="1033"/>
      <c r="F582" s="1033"/>
      <c r="G582" s="1033"/>
      <c r="H582" s="1033"/>
      <c r="I582" s="1033"/>
      <c r="J582" s="1033"/>
      <c r="K582" s="1033"/>
      <c r="L582" s="90"/>
      <c r="M582" s="51"/>
      <c r="N582" s="113">
        <f t="shared" si="58"/>
        <v>6902</v>
      </c>
      <c r="O582" s="575">
        <v>0</v>
      </c>
      <c r="P582" s="582">
        <v>0</v>
      </c>
      <c r="Q582" s="589"/>
      <c r="R582" s="576"/>
      <c r="S582" s="583">
        <f t="shared" si="60"/>
        <v>0</v>
      </c>
      <c r="T582" s="580">
        <f t="shared" si="59"/>
        <v>0</v>
      </c>
      <c r="U582" s="51"/>
      <c r="V582" s="2119"/>
      <c r="W582" s="43"/>
      <c r="X582" s="43"/>
      <c r="Y582" s="43"/>
      <c r="Z582" s="43"/>
    </row>
    <row r="583" spans="1:26" ht="15.75" customHeight="1">
      <c r="A583" s="88">
        <v>6903</v>
      </c>
      <c r="B583" s="378" t="s">
        <v>17</v>
      </c>
      <c r="C583" s="1033"/>
      <c r="D583" s="1033"/>
      <c r="E583" s="1033"/>
      <c r="F583" s="1033"/>
      <c r="G583" s="1033"/>
      <c r="H583" s="1033"/>
      <c r="I583" s="1033"/>
      <c r="J583" s="1033"/>
      <c r="K583" s="1033"/>
      <c r="L583" s="90"/>
      <c r="M583" s="51"/>
      <c r="N583" s="113">
        <f t="shared" si="58"/>
        <v>6903</v>
      </c>
      <c r="O583" s="575">
        <v>0</v>
      </c>
      <c r="P583" s="582">
        <v>0</v>
      </c>
      <c r="Q583" s="589"/>
      <c r="R583" s="576"/>
      <c r="S583" s="583">
        <f t="shared" si="60"/>
        <v>0</v>
      </c>
      <c r="T583" s="580">
        <f t="shared" si="59"/>
        <v>0</v>
      </c>
      <c r="U583" s="51"/>
      <c r="V583" s="2119"/>
      <c r="W583" s="43"/>
      <c r="X583" s="43"/>
      <c r="Y583" s="43"/>
      <c r="Z583" s="43"/>
    </row>
    <row r="584" spans="1:26" ht="15.75" customHeight="1">
      <c r="A584" s="88">
        <v>6904</v>
      </c>
      <c r="B584" s="378" t="s">
        <v>18</v>
      </c>
      <c r="C584" s="1033"/>
      <c r="D584" s="1033"/>
      <c r="E584" s="1033"/>
      <c r="F584" s="1033"/>
      <c r="G584" s="1033"/>
      <c r="H584" s="1033"/>
      <c r="I584" s="1033"/>
      <c r="J584" s="1033"/>
      <c r="K584" s="1033"/>
      <c r="L584" s="90"/>
      <c r="M584" s="51"/>
      <c r="N584" s="113">
        <f t="shared" si="58"/>
        <v>6904</v>
      </c>
      <c r="O584" s="575">
        <v>0</v>
      </c>
      <c r="P584" s="582">
        <v>0</v>
      </c>
      <c r="Q584" s="589"/>
      <c r="R584" s="576"/>
      <c r="S584" s="583">
        <f t="shared" si="60"/>
        <v>0</v>
      </c>
      <c r="T584" s="580">
        <f t="shared" si="59"/>
        <v>0</v>
      </c>
      <c r="U584" s="51"/>
      <c r="V584" s="2119"/>
      <c r="W584" s="43"/>
      <c r="X584" s="43"/>
      <c r="Y584" s="43"/>
      <c r="Z584" s="43"/>
    </row>
    <row r="585" spans="1:26" ht="15.75" customHeight="1">
      <c r="A585" s="88">
        <v>6905</v>
      </c>
      <c r="B585" s="378" t="s">
        <v>19</v>
      </c>
      <c r="C585" s="1033"/>
      <c r="D585" s="1033"/>
      <c r="E585" s="1033"/>
      <c r="F585" s="1033"/>
      <c r="G585" s="1033"/>
      <c r="H585" s="1033"/>
      <c r="I585" s="1033"/>
      <c r="J585" s="1033"/>
      <c r="K585" s="1033"/>
      <c r="L585" s="90"/>
      <c r="M585" s="51"/>
      <c r="N585" s="113">
        <f t="shared" si="58"/>
        <v>6905</v>
      </c>
      <c r="O585" s="575">
        <v>0</v>
      </c>
      <c r="P585" s="582">
        <v>0</v>
      </c>
      <c r="Q585" s="589"/>
      <c r="R585" s="576"/>
      <c r="S585" s="583">
        <f t="shared" si="60"/>
        <v>0</v>
      </c>
      <c r="T585" s="580">
        <f t="shared" si="59"/>
        <v>0</v>
      </c>
      <c r="U585" s="51"/>
      <c r="V585" s="2119"/>
      <c r="W585" s="43"/>
      <c r="X585" s="43"/>
      <c r="Y585" s="43"/>
      <c r="Z585" s="43"/>
    </row>
    <row r="586" spans="1:26" ht="15.75" customHeight="1">
      <c r="A586" s="88">
        <v>6906</v>
      </c>
      <c r="B586" s="378" t="s">
        <v>20</v>
      </c>
      <c r="C586" s="1033"/>
      <c r="D586" s="1033"/>
      <c r="E586" s="1033"/>
      <c r="F586" s="1033"/>
      <c r="G586" s="1033"/>
      <c r="H586" s="1033"/>
      <c r="I586" s="1033"/>
      <c r="J586" s="1033"/>
      <c r="K586" s="1033"/>
      <c r="L586" s="90"/>
      <c r="M586" s="51"/>
      <c r="N586" s="113">
        <f t="shared" si="58"/>
        <v>6906</v>
      </c>
      <c r="O586" s="575">
        <v>0</v>
      </c>
      <c r="P586" s="582">
        <v>0</v>
      </c>
      <c r="Q586" s="589"/>
      <c r="R586" s="576"/>
      <c r="S586" s="583">
        <f t="shared" si="60"/>
        <v>0</v>
      </c>
      <c r="T586" s="580">
        <f t="shared" si="59"/>
        <v>0</v>
      </c>
      <c r="U586" s="51"/>
      <c r="V586" s="2119"/>
      <c r="W586" s="43"/>
      <c r="X586" s="43"/>
      <c r="Y586" s="43"/>
      <c r="Z586" s="43"/>
    </row>
    <row r="587" spans="1:26" ht="15.75" customHeight="1">
      <c r="A587" s="88">
        <v>6910</v>
      </c>
      <c r="B587" s="378" t="s">
        <v>21</v>
      </c>
      <c r="C587" s="1033"/>
      <c r="D587" s="1033"/>
      <c r="E587" s="1033"/>
      <c r="F587" s="1033"/>
      <c r="G587" s="1033"/>
      <c r="H587" s="1033"/>
      <c r="I587" s="1033"/>
      <c r="J587" s="1033"/>
      <c r="K587" s="1033"/>
      <c r="L587" s="90"/>
      <c r="M587" s="51"/>
      <c r="N587" s="113">
        <f t="shared" si="58"/>
        <v>6910</v>
      </c>
      <c r="O587" s="575">
        <v>0</v>
      </c>
      <c r="P587" s="582">
        <v>0</v>
      </c>
      <c r="Q587" s="589"/>
      <c r="R587" s="576"/>
      <c r="S587" s="583">
        <f t="shared" si="60"/>
        <v>0</v>
      </c>
      <c r="T587" s="580">
        <f t="shared" si="59"/>
        <v>0</v>
      </c>
      <c r="U587" s="51"/>
      <c r="V587" s="2119"/>
      <c r="W587" s="43"/>
      <c r="X587" s="43"/>
      <c r="Y587" s="43"/>
      <c r="Z587" s="43"/>
    </row>
    <row r="588" spans="1:26">
      <c r="A588" s="88">
        <v>6911</v>
      </c>
      <c r="B588" s="1033" t="s">
        <v>22</v>
      </c>
      <c r="C588" s="1033"/>
      <c r="D588" s="1033"/>
      <c r="E588" s="1033"/>
      <c r="F588" s="1033"/>
      <c r="G588" s="1033"/>
      <c r="H588" s="1033"/>
      <c r="I588" s="1033"/>
      <c r="J588" s="1033"/>
      <c r="K588" s="1033"/>
      <c r="L588" s="90"/>
      <c r="M588" s="51"/>
      <c r="N588" s="113">
        <f t="shared" si="58"/>
        <v>6911</v>
      </c>
      <c r="O588" s="575">
        <v>0</v>
      </c>
      <c r="P588" s="582">
        <v>0</v>
      </c>
      <c r="Q588" s="589"/>
      <c r="R588" s="576"/>
      <c r="S588" s="583">
        <f t="shared" si="60"/>
        <v>0</v>
      </c>
      <c r="T588" s="580">
        <f t="shared" si="59"/>
        <v>0</v>
      </c>
      <c r="U588" s="51"/>
      <c r="V588" s="2119"/>
      <c r="W588" s="43"/>
      <c r="X588" s="43"/>
      <c r="Y588" s="43"/>
      <c r="Z588" s="43"/>
    </row>
    <row r="589" spans="1:26">
      <c r="A589" s="88">
        <v>6912</v>
      </c>
      <c r="B589" s="1033" t="s">
        <v>23</v>
      </c>
      <c r="C589" s="1033"/>
      <c r="D589" s="1033"/>
      <c r="E589" s="1033"/>
      <c r="F589" s="1033"/>
      <c r="G589" s="1033"/>
      <c r="H589" s="1033"/>
      <c r="I589" s="1033"/>
      <c r="J589" s="1033"/>
      <c r="K589" s="1033"/>
      <c r="L589" s="90"/>
      <c r="M589" s="51"/>
      <c r="N589" s="113">
        <f t="shared" si="58"/>
        <v>6912</v>
      </c>
      <c r="O589" s="575">
        <v>0</v>
      </c>
      <c r="P589" s="582">
        <v>0</v>
      </c>
      <c r="Q589" s="589"/>
      <c r="R589" s="576"/>
      <c r="S589" s="583">
        <f t="shared" si="60"/>
        <v>0</v>
      </c>
      <c r="T589" s="580">
        <f t="shared" si="59"/>
        <v>0</v>
      </c>
      <c r="U589" s="51"/>
      <c r="V589" s="2119"/>
      <c r="W589" s="43"/>
      <c r="X589" s="43"/>
      <c r="Y589" s="43"/>
      <c r="Z589" s="43"/>
    </row>
    <row r="590" spans="1:26" ht="15.75" customHeight="1">
      <c r="A590" s="88">
        <v>6915</v>
      </c>
      <c r="B590" s="1033" t="s">
        <v>24</v>
      </c>
      <c r="C590" s="1033"/>
      <c r="D590" s="1033"/>
      <c r="E590" s="1033"/>
      <c r="F590" s="1033"/>
      <c r="G590" s="1033"/>
      <c r="H590" s="1033"/>
      <c r="I590" s="1033"/>
      <c r="J590" s="1033"/>
      <c r="K590" s="1033"/>
      <c r="L590" s="90"/>
      <c r="M590" s="51"/>
      <c r="N590" s="113">
        <f t="shared" si="58"/>
        <v>6915</v>
      </c>
      <c r="O590" s="575">
        <v>0</v>
      </c>
      <c r="P590" s="582">
        <v>0</v>
      </c>
      <c r="Q590" s="589">
        <v>0</v>
      </c>
      <c r="R590" s="576">
        <v>0</v>
      </c>
      <c r="S590" s="583">
        <f t="shared" si="60"/>
        <v>0</v>
      </c>
      <c r="T590" s="580">
        <f t="shared" si="59"/>
        <v>0</v>
      </c>
      <c r="U590" s="51"/>
      <c r="V590" s="2119"/>
      <c r="W590" s="43"/>
      <c r="X590" s="43"/>
      <c r="Y590" s="43"/>
      <c r="Z590" s="43"/>
    </row>
    <row r="591" spans="1:26" ht="15.75" customHeight="1">
      <c r="A591" s="88">
        <v>6916</v>
      </c>
      <c r="B591" s="1033" t="s">
        <v>25</v>
      </c>
      <c r="C591" s="1033"/>
      <c r="D591" s="1033"/>
      <c r="E591" s="1033"/>
      <c r="F591" s="1033"/>
      <c r="G591" s="1033"/>
      <c r="H591" s="1033"/>
      <c r="I591" s="1033"/>
      <c r="J591" s="1033"/>
      <c r="K591" s="1033"/>
      <c r="L591" s="90"/>
      <c r="M591" s="51"/>
      <c r="N591" s="113">
        <f t="shared" si="58"/>
        <v>6916</v>
      </c>
      <c r="O591" s="575">
        <v>0</v>
      </c>
      <c r="P591" s="582">
        <v>0</v>
      </c>
      <c r="Q591" s="589"/>
      <c r="R591" s="576"/>
      <c r="S591" s="583">
        <f t="shared" si="60"/>
        <v>0</v>
      </c>
      <c r="T591" s="580">
        <f t="shared" si="59"/>
        <v>0</v>
      </c>
      <c r="U591" s="51"/>
      <c r="V591" s="2119"/>
      <c r="W591" s="43"/>
      <c r="X591" s="43"/>
      <c r="Y591" s="43"/>
      <c r="Z591" s="43"/>
    </row>
    <row r="592" spans="1:26">
      <c r="A592" s="88">
        <v>6917</v>
      </c>
      <c r="B592" s="1033" t="s">
        <v>26</v>
      </c>
      <c r="C592" s="1033"/>
      <c r="D592" s="1033"/>
      <c r="E592" s="1033"/>
      <c r="F592" s="1033"/>
      <c r="G592" s="1033"/>
      <c r="H592" s="1033"/>
      <c r="I592" s="1033"/>
      <c r="J592" s="1033"/>
      <c r="K592" s="1033"/>
      <c r="L592" s="90"/>
      <c r="M592" s="51"/>
      <c r="N592" s="113">
        <f t="shared" si="58"/>
        <v>6917</v>
      </c>
      <c r="O592" s="575">
        <v>0</v>
      </c>
      <c r="P592" s="582">
        <v>0</v>
      </c>
      <c r="Q592" s="589">
        <v>0</v>
      </c>
      <c r="R592" s="576">
        <v>0</v>
      </c>
      <c r="S592" s="583">
        <f t="shared" si="60"/>
        <v>0</v>
      </c>
      <c r="T592" s="580">
        <f t="shared" si="59"/>
        <v>0</v>
      </c>
      <c r="U592" s="51"/>
      <c r="V592" s="2119"/>
      <c r="W592" s="43"/>
      <c r="X592" s="43"/>
      <c r="Y592" s="43"/>
      <c r="Z592" s="43"/>
    </row>
    <row r="593" spans="1:26">
      <c r="A593" s="88">
        <v>6918</v>
      </c>
      <c r="B593" s="1033" t="s">
        <v>27</v>
      </c>
      <c r="C593" s="1033"/>
      <c r="D593" s="1033"/>
      <c r="E593" s="1033"/>
      <c r="F593" s="1033"/>
      <c r="G593" s="1033"/>
      <c r="H593" s="1033"/>
      <c r="I593" s="1033"/>
      <c r="J593" s="1033"/>
      <c r="K593" s="1033"/>
      <c r="L593" s="90"/>
      <c r="M593" s="51"/>
      <c r="N593" s="113">
        <f t="shared" si="58"/>
        <v>6918</v>
      </c>
      <c r="O593" s="575">
        <v>0</v>
      </c>
      <c r="P593" s="582">
        <v>0</v>
      </c>
      <c r="Q593" s="589">
        <v>0</v>
      </c>
      <c r="R593" s="576">
        <v>0</v>
      </c>
      <c r="S593" s="583">
        <f t="shared" si="60"/>
        <v>0</v>
      </c>
      <c r="T593" s="580">
        <f t="shared" si="59"/>
        <v>0</v>
      </c>
      <c r="U593" s="51"/>
      <c r="V593" s="2119"/>
      <c r="W593" s="43"/>
      <c r="X593" s="43"/>
      <c r="Y593" s="43"/>
      <c r="Z593" s="43"/>
    </row>
    <row r="594" spans="1:26" ht="15.75" customHeight="1">
      <c r="A594" s="88">
        <v>6992</v>
      </c>
      <c r="B594" s="1033" t="s">
        <v>28</v>
      </c>
      <c r="C594" s="1033"/>
      <c r="D594" s="1033"/>
      <c r="E594" s="1033"/>
      <c r="F594" s="1033"/>
      <c r="G594" s="1033"/>
      <c r="H594" s="1033"/>
      <c r="I594" s="1033"/>
      <c r="J594" s="1033"/>
      <c r="K594" s="1033"/>
      <c r="L594" s="90"/>
      <c r="M594" s="51"/>
      <c r="N594" s="113">
        <f t="shared" si="58"/>
        <v>6992</v>
      </c>
      <c r="O594" s="575">
        <v>0</v>
      </c>
      <c r="P594" s="582">
        <v>0</v>
      </c>
      <c r="Q594" s="589">
        <v>0</v>
      </c>
      <c r="R594" s="576">
        <v>0</v>
      </c>
      <c r="S594" s="583">
        <f t="shared" si="60"/>
        <v>0</v>
      </c>
      <c r="T594" s="580">
        <f t="shared" si="59"/>
        <v>0</v>
      </c>
      <c r="U594" s="51"/>
      <c r="V594" s="2119"/>
      <c r="W594" s="43"/>
      <c r="X594" s="43"/>
      <c r="Y594" s="43"/>
      <c r="Z594" s="43"/>
    </row>
    <row r="595" spans="1:26" ht="15.75" customHeight="1">
      <c r="A595" s="88">
        <v>6993</v>
      </c>
      <c r="B595" s="1033" t="s">
        <v>29</v>
      </c>
      <c r="C595" s="1033"/>
      <c r="D595" s="1033"/>
      <c r="E595" s="1033"/>
      <c r="F595" s="1033"/>
      <c r="G595" s="1033"/>
      <c r="H595" s="1033"/>
      <c r="I595" s="1033"/>
      <c r="J595" s="1033"/>
      <c r="K595" s="1033"/>
      <c r="L595" s="90"/>
      <c r="M595" s="51"/>
      <c r="N595" s="113">
        <f t="shared" si="58"/>
        <v>6993</v>
      </c>
      <c r="O595" s="575">
        <v>0</v>
      </c>
      <c r="P595" s="582">
        <v>0</v>
      </c>
      <c r="Q595" s="589"/>
      <c r="R595" s="576"/>
      <c r="S595" s="583">
        <f t="shared" si="60"/>
        <v>0</v>
      </c>
      <c r="T595" s="580">
        <f t="shared" si="59"/>
        <v>0</v>
      </c>
      <c r="U595" s="51"/>
      <c r="V595" s="2119"/>
      <c r="W595" s="43"/>
      <c r="X595" s="43"/>
      <c r="Y595" s="43"/>
      <c r="Z595" s="43"/>
    </row>
    <row r="596" spans="1:26" ht="15.75" customHeight="1">
      <c r="A596" s="88">
        <v>6994</v>
      </c>
      <c r="B596" s="1033" t="s">
        <v>30</v>
      </c>
      <c r="C596" s="1033"/>
      <c r="D596" s="1033"/>
      <c r="E596" s="1033"/>
      <c r="F596" s="1033"/>
      <c r="G596" s="1033"/>
      <c r="H596" s="1033"/>
      <c r="I596" s="1033"/>
      <c r="J596" s="1033"/>
      <c r="K596" s="1033"/>
      <c r="L596" s="90"/>
      <c r="M596" s="51"/>
      <c r="N596" s="113">
        <f t="shared" si="58"/>
        <v>6994</v>
      </c>
      <c r="O596" s="575">
        <v>0</v>
      </c>
      <c r="P596" s="582">
        <v>0</v>
      </c>
      <c r="Q596" s="589"/>
      <c r="R596" s="576"/>
      <c r="S596" s="583">
        <f t="shared" si="60"/>
        <v>0</v>
      </c>
      <c r="T596" s="580">
        <f t="shared" si="59"/>
        <v>0</v>
      </c>
      <c r="U596" s="51"/>
      <c r="V596" s="2119"/>
      <c r="W596" s="43"/>
      <c r="X596" s="43"/>
      <c r="Y596" s="43"/>
      <c r="Z596" s="43"/>
    </row>
    <row r="597" spans="1:26" ht="15.75" customHeight="1">
      <c r="A597" s="88">
        <v>6995</v>
      </c>
      <c r="B597" s="1033" t="s">
        <v>31</v>
      </c>
      <c r="C597" s="1033"/>
      <c r="D597" s="1033"/>
      <c r="E597" s="1033"/>
      <c r="F597" s="1033"/>
      <c r="G597" s="1033"/>
      <c r="H597" s="1033"/>
      <c r="I597" s="1033"/>
      <c r="J597" s="1033"/>
      <c r="K597" s="1033"/>
      <c r="L597" s="90"/>
      <c r="M597" s="51"/>
      <c r="N597" s="113">
        <f t="shared" si="58"/>
        <v>6995</v>
      </c>
      <c r="O597" s="575">
        <v>0</v>
      </c>
      <c r="P597" s="582">
        <v>0</v>
      </c>
      <c r="Q597" s="589"/>
      <c r="R597" s="576"/>
      <c r="S597" s="583">
        <f t="shared" si="60"/>
        <v>0</v>
      </c>
      <c r="T597" s="580">
        <f t="shared" si="59"/>
        <v>0</v>
      </c>
      <c r="U597" s="51"/>
      <c r="V597" s="2119"/>
      <c r="W597" s="43"/>
      <c r="X597" s="43"/>
      <c r="Y597" s="43"/>
      <c r="Z597" s="43"/>
    </row>
    <row r="598" spans="1:26" ht="15.75" customHeight="1">
      <c r="A598" s="88">
        <v>6996</v>
      </c>
      <c r="B598" s="1033" t="s">
        <v>32</v>
      </c>
      <c r="C598" s="1033"/>
      <c r="D598" s="1033"/>
      <c r="E598" s="1033"/>
      <c r="F598" s="1033"/>
      <c r="G598" s="1033"/>
      <c r="H598" s="1033"/>
      <c r="I598" s="1033"/>
      <c r="J598" s="1033"/>
      <c r="K598" s="1033"/>
      <c r="L598" s="90"/>
      <c r="M598" s="51"/>
      <c r="N598" s="113">
        <f t="shared" si="58"/>
        <v>6996</v>
      </c>
      <c r="O598" s="575">
        <v>0</v>
      </c>
      <c r="P598" s="582">
        <v>0</v>
      </c>
      <c r="Q598" s="589"/>
      <c r="R598" s="576"/>
      <c r="S598" s="583">
        <f t="shared" si="60"/>
        <v>0</v>
      </c>
      <c r="T598" s="580">
        <f t="shared" si="59"/>
        <v>0</v>
      </c>
      <c r="U598" s="51"/>
      <c r="V598" s="2119"/>
      <c r="W598" s="43"/>
      <c r="X598" s="43"/>
      <c r="Y598" s="43"/>
      <c r="Z598" s="43"/>
    </row>
    <row r="599" spans="1:26" ht="15.75" customHeight="1">
      <c r="A599" s="88">
        <v>6997</v>
      </c>
      <c r="B599" s="1033" t="s">
        <v>33</v>
      </c>
      <c r="C599" s="1033"/>
      <c r="D599" s="1033"/>
      <c r="E599" s="1033"/>
      <c r="F599" s="1033"/>
      <c r="G599" s="1033"/>
      <c r="H599" s="1033"/>
      <c r="I599" s="1033"/>
      <c r="J599" s="1033"/>
      <c r="K599" s="1033"/>
      <c r="L599" s="90"/>
      <c r="M599" s="51"/>
      <c r="N599" s="113">
        <f t="shared" si="58"/>
        <v>6997</v>
      </c>
      <c r="O599" s="575">
        <v>0</v>
      </c>
      <c r="P599" s="582">
        <v>0</v>
      </c>
      <c r="Q599" s="589"/>
      <c r="R599" s="576"/>
      <c r="S599" s="583">
        <f t="shared" si="60"/>
        <v>0</v>
      </c>
      <c r="T599" s="580">
        <f t="shared" si="59"/>
        <v>0</v>
      </c>
      <c r="U599" s="51"/>
      <c r="V599" s="2119"/>
      <c r="W599" s="43"/>
      <c r="X599" s="43"/>
      <c r="Y599" s="43"/>
      <c r="Z599" s="43"/>
    </row>
    <row r="600" spans="1:26" ht="15.75" customHeight="1">
      <c r="A600" s="88">
        <v>6998</v>
      </c>
      <c r="B600" s="1033" t="s">
        <v>34</v>
      </c>
      <c r="C600" s="1033"/>
      <c r="D600" s="1033"/>
      <c r="E600" s="1033"/>
      <c r="F600" s="1033"/>
      <c r="G600" s="1033"/>
      <c r="H600" s="1033"/>
      <c r="I600" s="1033"/>
      <c r="J600" s="1033"/>
      <c r="K600" s="1033"/>
      <c r="L600" s="90"/>
      <c r="M600" s="51"/>
      <c r="N600" s="113">
        <f t="shared" si="58"/>
        <v>6998</v>
      </c>
      <c r="O600" s="575">
        <v>0</v>
      </c>
      <c r="P600" s="582">
        <v>0</v>
      </c>
      <c r="Q600" s="589"/>
      <c r="R600" s="576"/>
      <c r="S600" s="583">
        <f t="shared" si="60"/>
        <v>0</v>
      </c>
      <c r="T600" s="580">
        <f t="shared" si="59"/>
        <v>0</v>
      </c>
      <c r="U600" s="51"/>
      <c r="V600" s="2119"/>
      <c r="W600" s="43"/>
      <c r="X600" s="43"/>
      <c r="Y600" s="43"/>
      <c r="Z600" s="43"/>
    </row>
    <row r="601" spans="1:26">
      <c r="A601" s="1030" t="s">
        <v>1160</v>
      </c>
      <c r="B601" s="399"/>
      <c r="C601" s="399"/>
      <c r="D601" s="399"/>
      <c r="E601" s="399"/>
      <c r="F601" s="399"/>
      <c r="G601" s="399"/>
      <c r="H601" s="399"/>
      <c r="I601" s="399"/>
      <c r="J601" s="399"/>
      <c r="K601" s="399"/>
      <c r="L601" s="381"/>
      <c r="M601" s="51"/>
      <c r="N601" s="383">
        <v>7</v>
      </c>
      <c r="O601" s="384"/>
      <c r="P601" s="385"/>
      <c r="Q601" s="386"/>
      <c r="R601" s="385"/>
      <c r="S601" s="386"/>
      <c r="T601" s="387"/>
      <c r="U601" s="51"/>
      <c r="V601" s="2119"/>
      <c r="W601" s="43"/>
      <c r="X601" s="43"/>
      <c r="Y601" s="43"/>
      <c r="Z601" s="43"/>
    </row>
    <row r="602" spans="1:26">
      <c r="A602" s="85">
        <v>7011</v>
      </c>
      <c r="B602" s="419" t="s">
        <v>667</v>
      </c>
      <c r="C602" s="86"/>
      <c r="D602" s="86"/>
      <c r="E602" s="86"/>
      <c r="F602" s="86"/>
      <c r="G602" s="86"/>
      <c r="H602" s="86"/>
      <c r="I602" s="86"/>
      <c r="J602" s="86"/>
      <c r="K602" s="86"/>
      <c r="L602" s="87"/>
      <c r="M602" s="51"/>
      <c r="N602" s="112">
        <f t="shared" ref="N602:N665" si="61">+A602</f>
        <v>7011</v>
      </c>
      <c r="O602" s="328">
        <v>0</v>
      </c>
      <c r="P602" s="329">
        <v>0</v>
      </c>
      <c r="Q602" s="325">
        <v>0</v>
      </c>
      <c r="R602" s="324">
        <v>0</v>
      </c>
      <c r="S602" s="326">
        <f t="shared" ref="S602:S665" si="62">+IF(ABS(+O602+Q602)&gt;=ABS(P602+R602),+O602-P602+Q602-R602,0)</f>
        <v>0</v>
      </c>
      <c r="T602" s="327">
        <f>+IF(ABS(+O602+Q602)&lt;=ABS(P602+R602),-O602+P602-Q602+R602,0)</f>
        <v>0</v>
      </c>
      <c r="U602" s="51"/>
      <c r="V602" s="2119"/>
      <c r="W602" s="43"/>
      <c r="X602" s="43"/>
      <c r="Y602" s="43"/>
      <c r="Z602" s="43"/>
    </row>
    <row r="603" spans="1:26">
      <c r="A603" s="88">
        <v>7012</v>
      </c>
      <c r="B603" s="1032" t="s">
        <v>668</v>
      </c>
      <c r="C603" s="1033"/>
      <c r="D603" s="1033"/>
      <c r="E603" s="1033"/>
      <c r="F603" s="1033"/>
      <c r="G603" s="1033"/>
      <c r="H603" s="1033"/>
      <c r="I603" s="1033"/>
      <c r="J603" s="1033"/>
      <c r="K603" s="1033"/>
      <c r="L603" s="90"/>
      <c r="M603" s="51"/>
      <c r="N603" s="113">
        <f t="shared" si="61"/>
        <v>7012</v>
      </c>
      <c r="O603" s="8">
        <v>0</v>
      </c>
      <c r="P603" s="9">
        <v>0</v>
      </c>
      <c r="Q603" s="122"/>
      <c r="R603" s="121"/>
      <c r="S603" s="583">
        <f t="shared" si="62"/>
        <v>0</v>
      </c>
      <c r="T603" s="580">
        <f>+IF(ABS(+O603+Q603)&lt;=ABS(P603+R603),-O603+P603-Q603+R603,0)</f>
        <v>0</v>
      </c>
      <c r="U603" s="51"/>
      <c r="V603" s="2119"/>
      <c r="W603" s="43"/>
      <c r="X603" s="43"/>
      <c r="Y603" s="43"/>
      <c r="Z603" s="43"/>
    </row>
    <row r="604" spans="1:26">
      <c r="A604" s="88">
        <v>7013</v>
      </c>
      <c r="B604" s="1032" t="s">
        <v>669</v>
      </c>
      <c r="C604" s="1033"/>
      <c r="D604" s="1033"/>
      <c r="E604" s="1033"/>
      <c r="F604" s="1033"/>
      <c r="G604" s="1033"/>
      <c r="H604" s="1033"/>
      <c r="I604" s="1033"/>
      <c r="J604" s="1033"/>
      <c r="K604" s="1033"/>
      <c r="L604" s="90"/>
      <c r="M604" s="51"/>
      <c r="N604" s="113">
        <f t="shared" si="61"/>
        <v>7013</v>
      </c>
      <c r="O604" s="8">
        <v>0</v>
      </c>
      <c r="P604" s="9">
        <v>0</v>
      </c>
      <c r="Q604" s="122"/>
      <c r="R604" s="576"/>
      <c r="S604" s="583">
        <f t="shared" si="62"/>
        <v>0</v>
      </c>
      <c r="T604" s="584">
        <v>0</v>
      </c>
      <c r="U604" s="51"/>
      <c r="V604" s="2120">
        <f>+IF(OR(ROUND(P604,2)+ROUND(R604,2)&gt;+ROUND(O604,2)+ROUND(Q604,2),+ABS(ROUND(P604,2)+ROUND(R604,2))&gt;+ABS(ROUND(O604,2)+ROUND(Q604,2))),+(ROUND(P604,2)+ROUND(R604,2))-(ROUND(O604,2)+ROUND(Q604,2)),0)</f>
        <v>0</v>
      </c>
      <c r="W604" s="43"/>
      <c r="X604" s="43"/>
      <c r="Y604" s="43"/>
      <c r="Z604" s="43"/>
    </row>
    <row r="605" spans="1:26">
      <c r="A605" s="88">
        <v>7014</v>
      </c>
      <c r="B605" s="1032" t="s">
        <v>670</v>
      </c>
      <c r="C605" s="1033"/>
      <c r="D605" s="1033"/>
      <c r="E605" s="1033"/>
      <c r="F605" s="1033"/>
      <c r="G605" s="1033"/>
      <c r="H605" s="1033"/>
      <c r="I605" s="1033"/>
      <c r="J605" s="1033"/>
      <c r="K605" s="1033"/>
      <c r="L605" s="90"/>
      <c r="M605" s="51"/>
      <c r="N605" s="113">
        <f t="shared" si="61"/>
        <v>7014</v>
      </c>
      <c r="O605" s="8">
        <v>0</v>
      </c>
      <c r="P605" s="9">
        <v>0</v>
      </c>
      <c r="Q605" s="122">
        <v>0</v>
      </c>
      <c r="R605" s="121">
        <v>0</v>
      </c>
      <c r="S605" s="583">
        <f t="shared" si="62"/>
        <v>0</v>
      </c>
      <c r="T605" s="580">
        <f>+IF(ABS(+O605+Q605)&lt;=ABS(P605+R605),-O605+P605-Q605+R605,0)</f>
        <v>0</v>
      </c>
      <c r="U605" s="51"/>
      <c r="V605" s="2119"/>
      <c r="W605" s="43"/>
      <c r="X605" s="43"/>
      <c r="Y605" s="43"/>
      <c r="Z605" s="43"/>
    </row>
    <row r="606" spans="1:26">
      <c r="A606" s="88">
        <v>7041</v>
      </c>
      <c r="B606" s="1032" t="s">
        <v>1936</v>
      </c>
      <c r="C606" s="1033"/>
      <c r="D606" s="1033"/>
      <c r="E606" s="1033"/>
      <c r="F606" s="1033"/>
      <c r="G606" s="1033"/>
      <c r="H606" s="1033"/>
      <c r="I606" s="1033"/>
      <c r="J606" s="1033"/>
      <c r="K606" s="1033"/>
      <c r="L606" s="90"/>
      <c r="M606" s="51"/>
      <c r="N606" s="113">
        <f t="shared" si="61"/>
        <v>7041</v>
      </c>
      <c r="O606" s="8">
        <v>0</v>
      </c>
      <c r="P606" s="9">
        <v>0</v>
      </c>
      <c r="Q606" s="122">
        <v>0</v>
      </c>
      <c r="R606" s="121">
        <v>0</v>
      </c>
      <c r="S606" s="583">
        <f t="shared" si="62"/>
        <v>0</v>
      </c>
      <c r="T606" s="580">
        <f>+IF(ABS(+O606+Q606)&lt;=ABS(P606+R606),-O606+P606-Q606+R606,0)</f>
        <v>0</v>
      </c>
      <c r="U606" s="51"/>
      <c r="V606" s="2119"/>
      <c r="W606" s="43"/>
      <c r="X606" s="43"/>
      <c r="Y606" s="43"/>
      <c r="Z606" s="43"/>
    </row>
    <row r="607" spans="1:26">
      <c r="A607" s="88">
        <v>7042</v>
      </c>
      <c r="B607" s="1032" t="s">
        <v>1937</v>
      </c>
      <c r="C607" s="1033"/>
      <c r="D607" s="1033"/>
      <c r="E607" s="1033"/>
      <c r="F607" s="1033"/>
      <c r="G607" s="1033"/>
      <c r="H607" s="1033"/>
      <c r="I607" s="1033"/>
      <c r="J607" s="1033"/>
      <c r="K607" s="1033"/>
      <c r="L607" s="90"/>
      <c r="M607" s="51"/>
      <c r="N607" s="113">
        <f t="shared" si="61"/>
        <v>7042</v>
      </c>
      <c r="O607" s="8">
        <v>0</v>
      </c>
      <c r="P607" s="9">
        <v>0</v>
      </c>
      <c r="Q607" s="122"/>
      <c r="R607" s="121"/>
      <c r="S607" s="583">
        <f t="shared" si="62"/>
        <v>0</v>
      </c>
      <c r="T607" s="580">
        <f>+IF(ABS(+O607+Q607)&lt;=ABS(P607+R607),-O607+P607-Q607+R607,0)</f>
        <v>0</v>
      </c>
      <c r="U607" s="51"/>
      <c r="V607" s="2119"/>
      <c r="W607" s="43"/>
      <c r="X607" s="43"/>
      <c r="Y607" s="43"/>
      <c r="Z607" s="43"/>
    </row>
    <row r="608" spans="1:26">
      <c r="A608" s="88">
        <v>7043</v>
      </c>
      <c r="B608" s="1032" t="s">
        <v>1938</v>
      </c>
      <c r="C608" s="1033"/>
      <c r="D608" s="1033"/>
      <c r="E608" s="1033"/>
      <c r="F608" s="1033"/>
      <c r="G608" s="1033"/>
      <c r="H608" s="1033"/>
      <c r="I608" s="1033"/>
      <c r="J608" s="1033"/>
      <c r="K608" s="1033"/>
      <c r="L608" s="90"/>
      <c r="M608" s="51"/>
      <c r="N608" s="113">
        <f t="shared" si="61"/>
        <v>7043</v>
      </c>
      <c r="O608" s="8">
        <v>0</v>
      </c>
      <c r="P608" s="9">
        <v>0</v>
      </c>
      <c r="Q608" s="122"/>
      <c r="R608" s="576"/>
      <c r="S608" s="583">
        <f t="shared" si="62"/>
        <v>0</v>
      </c>
      <c r="T608" s="584">
        <v>0</v>
      </c>
      <c r="U608" s="51"/>
      <c r="V608" s="2120">
        <f>+IF(OR(ROUND(P608,2)+ROUND(R608,2)&gt;+ROUND(O608,2)+ROUND(Q608,2),+ABS(ROUND(P608,2)+ROUND(R608,2))&gt;+ABS(ROUND(O608,2)+ROUND(Q608,2))),+(ROUND(P608,2)+ROUND(R608,2))-(ROUND(O608,2)+ROUND(Q608,2)),0)</f>
        <v>0</v>
      </c>
      <c r="W608" s="43"/>
      <c r="X608" s="43"/>
      <c r="Y608" s="43"/>
      <c r="Z608" s="43"/>
    </row>
    <row r="609" spans="1:26">
      <c r="A609" s="88">
        <v>7044</v>
      </c>
      <c r="B609" s="1032" t="s">
        <v>1939</v>
      </c>
      <c r="C609" s="1033"/>
      <c r="D609" s="1033"/>
      <c r="E609" s="1033"/>
      <c r="F609" s="1033"/>
      <c r="G609" s="1033"/>
      <c r="H609" s="1033"/>
      <c r="I609" s="1033"/>
      <c r="J609" s="1033"/>
      <c r="K609" s="1033"/>
      <c r="L609" s="90"/>
      <c r="M609" s="51"/>
      <c r="N609" s="113">
        <f t="shared" si="61"/>
        <v>7044</v>
      </c>
      <c r="O609" s="8">
        <v>0</v>
      </c>
      <c r="P609" s="9">
        <v>0</v>
      </c>
      <c r="Q609" s="122"/>
      <c r="R609" s="121"/>
      <c r="S609" s="583">
        <f t="shared" si="62"/>
        <v>0</v>
      </c>
      <c r="T609" s="580">
        <f t="shared" ref="T609:T672" si="63">+IF(ABS(+O609+Q609)&lt;=ABS(P609+R609),-O609+P609-Q609+R609,0)</f>
        <v>0</v>
      </c>
      <c r="U609" s="51"/>
      <c r="V609" s="2119"/>
      <c r="W609" s="43"/>
      <c r="X609" s="43"/>
      <c r="Y609" s="43"/>
      <c r="Z609" s="43"/>
    </row>
    <row r="610" spans="1:26">
      <c r="A610" s="88">
        <v>7051</v>
      </c>
      <c r="B610" s="1032" t="s">
        <v>671</v>
      </c>
      <c r="C610" s="1033"/>
      <c r="D610" s="1033"/>
      <c r="E610" s="1033"/>
      <c r="F610" s="1033"/>
      <c r="G610" s="1033"/>
      <c r="H610" s="1033"/>
      <c r="I610" s="1033"/>
      <c r="J610" s="1033"/>
      <c r="K610" s="1033"/>
      <c r="L610" s="90"/>
      <c r="M610" s="51"/>
      <c r="N610" s="113">
        <f t="shared" si="61"/>
        <v>7051</v>
      </c>
      <c r="O610" s="8">
        <v>0</v>
      </c>
      <c r="P610" s="9">
        <v>0</v>
      </c>
      <c r="Q610" s="122">
        <v>0</v>
      </c>
      <c r="R610" s="121">
        <v>0</v>
      </c>
      <c r="S610" s="583">
        <f t="shared" si="62"/>
        <v>0</v>
      </c>
      <c r="T610" s="580">
        <f t="shared" si="63"/>
        <v>0</v>
      </c>
      <c r="U610" s="51"/>
      <c r="V610" s="2119"/>
      <c r="W610" s="43"/>
      <c r="X610" s="43"/>
      <c r="Y610" s="43"/>
      <c r="Z610" s="43"/>
    </row>
    <row r="611" spans="1:26">
      <c r="A611" s="88">
        <v>7052</v>
      </c>
      <c r="B611" s="1032" t="s">
        <v>672</v>
      </c>
      <c r="C611" s="1033"/>
      <c r="D611" s="1033"/>
      <c r="E611" s="1033"/>
      <c r="F611" s="1033"/>
      <c r="G611" s="1033"/>
      <c r="H611" s="1033"/>
      <c r="I611" s="1033"/>
      <c r="J611" s="1033"/>
      <c r="K611" s="1033"/>
      <c r="L611" s="90"/>
      <c r="M611" s="51"/>
      <c r="N611" s="113">
        <f t="shared" si="61"/>
        <v>7052</v>
      </c>
      <c r="O611" s="8">
        <v>0</v>
      </c>
      <c r="P611" s="9">
        <v>0</v>
      </c>
      <c r="Q611" s="589"/>
      <c r="R611" s="576"/>
      <c r="S611" s="583">
        <f t="shared" si="62"/>
        <v>0</v>
      </c>
      <c r="T611" s="580">
        <f t="shared" si="63"/>
        <v>0</v>
      </c>
      <c r="U611" s="51"/>
      <c r="V611" s="2119"/>
      <c r="W611" s="43"/>
      <c r="X611" s="43"/>
      <c r="Y611" s="43"/>
      <c r="Z611" s="43"/>
    </row>
    <row r="612" spans="1:26">
      <c r="A612" s="88">
        <v>7090</v>
      </c>
      <c r="B612" s="1035" t="s">
        <v>673</v>
      </c>
      <c r="C612" s="1033"/>
      <c r="D612" s="1033"/>
      <c r="E612" s="1033"/>
      <c r="F612" s="1033"/>
      <c r="G612" s="1033"/>
      <c r="H612" s="1033"/>
      <c r="I612" s="1033"/>
      <c r="J612" s="1033"/>
      <c r="K612" s="1033"/>
      <c r="L612" s="90"/>
      <c r="M612" s="51"/>
      <c r="N612" s="113">
        <f t="shared" si="61"/>
        <v>7090</v>
      </c>
      <c r="O612" s="8">
        <v>0</v>
      </c>
      <c r="P612" s="9">
        <v>0</v>
      </c>
      <c r="Q612" s="589">
        <v>0</v>
      </c>
      <c r="R612" s="576">
        <v>0</v>
      </c>
      <c r="S612" s="583">
        <f t="shared" si="62"/>
        <v>0</v>
      </c>
      <c r="T612" s="580">
        <f t="shared" si="63"/>
        <v>0</v>
      </c>
      <c r="U612" s="51"/>
      <c r="V612" s="2119"/>
      <c r="W612" s="43"/>
      <c r="X612" s="43"/>
      <c r="Y612" s="43"/>
      <c r="Z612" s="43"/>
    </row>
    <row r="613" spans="1:26">
      <c r="A613" s="88">
        <v>7110</v>
      </c>
      <c r="B613" s="1033" t="s">
        <v>674</v>
      </c>
      <c r="C613" s="1033"/>
      <c r="D613" s="1033"/>
      <c r="E613" s="1033"/>
      <c r="F613" s="1033"/>
      <c r="G613" s="1033"/>
      <c r="H613" s="1033"/>
      <c r="I613" s="1033"/>
      <c r="J613" s="1033"/>
      <c r="K613" s="1033"/>
      <c r="L613" s="90"/>
      <c r="M613" s="51"/>
      <c r="N613" s="113">
        <f t="shared" si="61"/>
        <v>7110</v>
      </c>
      <c r="O613" s="8">
        <v>0</v>
      </c>
      <c r="P613" s="9">
        <v>0</v>
      </c>
      <c r="Q613" s="589">
        <v>0</v>
      </c>
      <c r="R613" s="576">
        <v>0</v>
      </c>
      <c r="S613" s="583">
        <f t="shared" si="62"/>
        <v>0</v>
      </c>
      <c r="T613" s="580">
        <f t="shared" si="63"/>
        <v>0</v>
      </c>
      <c r="U613" s="51"/>
      <c r="V613" s="2119"/>
      <c r="W613" s="43"/>
      <c r="X613" s="43"/>
      <c r="Y613" s="43"/>
      <c r="Z613" s="43"/>
    </row>
    <row r="614" spans="1:26">
      <c r="A614" s="88">
        <v>7111</v>
      </c>
      <c r="B614" s="1033" t="s">
        <v>675</v>
      </c>
      <c r="C614" s="1033"/>
      <c r="D614" s="1033"/>
      <c r="E614" s="1033"/>
      <c r="F614" s="1033"/>
      <c r="G614" s="1033"/>
      <c r="H614" s="1033"/>
      <c r="I614" s="1033"/>
      <c r="J614" s="1033"/>
      <c r="K614" s="1033"/>
      <c r="L614" s="90"/>
      <c r="M614" s="51"/>
      <c r="N614" s="113">
        <f t="shared" si="61"/>
        <v>7111</v>
      </c>
      <c r="O614" s="8">
        <v>0</v>
      </c>
      <c r="P614" s="9">
        <v>0</v>
      </c>
      <c r="Q614" s="589"/>
      <c r="R614" s="576"/>
      <c r="S614" s="583">
        <f t="shared" si="62"/>
        <v>0</v>
      </c>
      <c r="T614" s="580">
        <f t="shared" si="63"/>
        <v>0</v>
      </c>
      <c r="U614" s="51"/>
      <c r="V614" s="2119"/>
      <c r="W614" s="43"/>
      <c r="X614" s="43"/>
      <c r="Y614" s="43"/>
      <c r="Z614" s="43"/>
    </row>
    <row r="615" spans="1:26">
      <c r="A615" s="88">
        <v>7112</v>
      </c>
      <c r="B615" s="1033" t="s">
        <v>676</v>
      </c>
      <c r="C615" s="1033"/>
      <c r="D615" s="1033"/>
      <c r="E615" s="1033"/>
      <c r="F615" s="1033"/>
      <c r="G615" s="1033"/>
      <c r="H615" s="1033"/>
      <c r="I615" s="1033"/>
      <c r="J615" s="1033"/>
      <c r="K615" s="1033"/>
      <c r="L615" s="90"/>
      <c r="M615" s="51"/>
      <c r="N615" s="113">
        <f t="shared" si="61"/>
        <v>7112</v>
      </c>
      <c r="O615" s="8">
        <v>0</v>
      </c>
      <c r="P615" s="9">
        <v>0</v>
      </c>
      <c r="Q615" s="589">
        <v>0</v>
      </c>
      <c r="R615" s="576">
        <v>0</v>
      </c>
      <c r="S615" s="583">
        <f t="shared" si="62"/>
        <v>0</v>
      </c>
      <c r="T615" s="580">
        <f t="shared" si="63"/>
        <v>0</v>
      </c>
      <c r="U615" s="51"/>
      <c r="V615" s="2119"/>
      <c r="W615" s="43"/>
      <c r="X615" s="43"/>
      <c r="Y615" s="43"/>
      <c r="Z615" s="43"/>
    </row>
    <row r="616" spans="1:26">
      <c r="A616" s="88">
        <v>7113</v>
      </c>
      <c r="B616" s="1033" t="s">
        <v>677</v>
      </c>
      <c r="C616" s="1033"/>
      <c r="D616" s="1033"/>
      <c r="E616" s="1033"/>
      <c r="F616" s="1033"/>
      <c r="G616" s="1033"/>
      <c r="H616" s="1033"/>
      <c r="I616" s="1033"/>
      <c r="J616" s="1033"/>
      <c r="K616" s="1033"/>
      <c r="L616" s="90"/>
      <c r="M616" s="51"/>
      <c r="N616" s="113">
        <f t="shared" si="61"/>
        <v>7113</v>
      </c>
      <c r="O616" s="8">
        <v>0</v>
      </c>
      <c r="P616" s="9">
        <v>0</v>
      </c>
      <c r="Q616" s="589">
        <v>0</v>
      </c>
      <c r="R616" s="576">
        <v>0</v>
      </c>
      <c r="S616" s="583">
        <f t="shared" si="62"/>
        <v>0</v>
      </c>
      <c r="T616" s="580">
        <f t="shared" si="63"/>
        <v>0</v>
      </c>
      <c r="U616" s="51"/>
      <c r="V616" s="2119"/>
      <c r="W616" s="43"/>
      <c r="X616" s="43"/>
      <c r="Y616" s="43"/>
      <c r="Z616" s="43"/>
    </row>
    <row r="617" spans="1:26">
      <c r="A617" s="88">
        <v>7114</v>
      </c>
      <c r="B617" s="1033" t="s">
        <v>678</v>
      </c>
      <c r="C617" s="1033"/>
      <c r="D617" s="1033"/>
      <c r="E617" s="1033"/>
      <c r="F617" s="1033"/>
      <c r="G617" s="1033"/>
      <c r="H617" s="1033"/>
      <c r="I617" s="1033"/>
      <c r="J617" s="1033"/>
      <c r="K617" s="1033"/>
      <c r="L617" s="90"/>
      <c r="M617" s="51"/>
      <c r="N617" s="113">
        <f t="shared" si="61"/>
        <v>7114</v>
      </c>
      <c r="O617" s="8">
        <v>0</v>
      </c>
      <c r="P617" s="9">
        <v>0</v>
      </c>
      <c r="Q617" s="589">
        <v>0</v>
      </c>
      <c r="R617" s="576">
        <v>0</v>
      </c>
      <c r="S617" s="583">
        <f t="shared" si="62"/>
        <v>0</v>
      </c>
      <c r="T617" s="580">
        <f t="shared" si="63"/>
        <v>0</v>
      </c>
      <c r="U617" s="51"/>
      <c r="V617" s="2119"/>
      <c r="W617" s="43"/>
      <c r="X617" s="43"/>
      <c r="Y617" s="43"/>
      <c r="Z617" s="43"/>
    </row>
    <row r="618" spans="1:26">
      <c r="A618" s="88">
        <v>7115</v>
      </c>
      <c r="B618" s="1033" t="s">
        <v>679</v>
      </c>
      <c r="C618" s="1033"/>
      <c r="D618" s="1033"/>
      <c r="E618" s="1033"/>
      <c r="F618" s="1033"/>
      <c r="G618" s="1033"/>
      <c r="H618" s="1033"/>
      <c r="I618" s="1033"/>
      <c r="J618" s="1033"/>
      <c r="K618" s="1033"/>
      <c r="L618" s="90"/>
      <c r="M618" s="51"/>
      <c r="N618" s="113">
        <f t="shared" si="61"/>
        <v>7115</v>
      </c>
      <c r="O618" s="8">
        <v>0</v>
      </c>
      <c r="P618" s="9">
        <v>0</v>
      </c>
      <c r="Q618" s="589"/>
      <c r="R618" s="576"/>
      <c r="S618" s="583">
        <f t="shared" si="62"/>
        <v>0</v>
      </c>
      <c r="T618" s="580">
        <f t="shared" si="63"/>
        <v>0</v>
      </c>
      <c r="U618" s="51"/>
      <c r="V618" s="2119"/>
      <c r="W618" s="43"/>
      <c r="X618" s="43"/>
      <c r="Y618" s="43"/>
      <c r="Z618" s="43"/>
    </row>
    <row r="619" spans="1:26">
      <c r="A619" s="88">
        <v>7121</v>
      </c>
      <c r="B619" s="1033" t="s">
        <v>680</v>
      </c>
      <c r="C619" s="1033"/>
      <c r="D619" s="1033"/>
      <c r="E619" s="1033"/>
      <c r="F619" s="1033"/>
      <c r="G619" s="1033"/>
      <c r="H619" s="1033"/>
      <c r="I619" s="1033"/>
      <c r="J619" s="1033"/>
      <c r="K619" s="1033"/>
      <c r="L619" s="90"/>
      <c r="M619" s="51"/>
      <c r="N619" s="113">
        <f t="shared" si="61"/>
        <v>7121</v>
      </c>
      <c r="O619" s="8">
        <v>0</v>
      </c>
      <c r="P619" s="9">
        <v>0</v>
      </c>
      <c r="Q619" s="589">
        <v>0</v>
      </c>
      <c r="R619" s="576">
        <v>0</v>
      </c>
      <c r="S619" s="583">
        <f t="shared" si="62"/>
        <v>0</v>
      </c>
      <c r="T619" s="580">
        <f t="shared" si="63"/>
        <v>0</v>
      </c>
      <c r="U619" s="51"/>
      <c r="V619" s="2119"/>
      <c r="W619" s="43"/>
      <c r="X619" s="43"/>
      <c r="Y619" s="43"/>
      <c r="Z619" s="43"/>
    </row>
    <row r="620" spans="1:26">
      <c r="A620" s="88">
        <v>7122</v>
      </c>
      <c r="B620" s="1033" t="s">
        <v>681</v>
      </c>
      <c r="C620" s="1033"/>
      <c r="D620" s="1033"/>
      <c r="E620" s="1033"/>
      <c r="F620" s="1033"/>
      <c r="G620" s="1033"/>
      <c r="H620" s="1033"/>
      <c r="I620" s="1033"/>
      <c r="J620" s="1033"/>
      <c r="K620" s="1033"/>
      <c r="L620" s="90"/>
      <c r="M620" s="51"/>
      <c r="N620" s="113">
        <f t="shared" si="61"/>
        <v>7122</v>
      </c>
      <c r="O620" s="8">
        <v>0</v>
      </c>
      <c r="P620" s="9">
        <v>0</v>
      </c>
      <c r="Q620" s="589"/>
      <c r="R620" s="576"/>
      <c r="S620" s="583">
        <f t="shared" si="62"/>
        <v>0</v>
      </c>
      <c r="T620" s="580">
        <f t="shared" si="63"/>
        <v>0</v>
      </c>
      <c r="U620" s="51"/>
      <c r="V620" s="2119"/>
      <c r="W620" s="43"/>
      <c r="X620" s="43"/>
      <c r="Y620" s="43"/>
      <c r="Z620" s="43"/>
    </row>
    <row r="621" spans="1:26">
      <c r="A621" s="88">
        <v>7123</v>
      </c>
      <c r="B621" s="1033" t="s">
        <v>682</v>
      </c>
      <c r="C621" s="1033"/>
      <c r="D621" s="1033"/>
      <c r="E621" s="1033"/>
      <c r="F621" s="1033"/>
      <c r="G621" s="1033"/>
      <c r="H621" s="1033"/>
      <c r="I621" s="1033"/>
      <c r="J621" s="1033"/>
      <c r="K621" s="1033"/>
      <c r="L621" s="90"/>
      <c r="M621" s="51"/>
      <c r="N621" s="113">
        <f t="shared" si="61"/>
        <v>7123</v>
      </c>
      <c r="O621" s="575">
        <v>0</v>
      </c>
      <c r="P621" s="582">
        <v>0</v>
      </c>
      <c r="Q621" s="589">
        <v>0</v>
      </c>
      <c r="R621" s="576">
        <v>0</v>
      </c>
      <c r="S621" s="583">
        <f t="shared" si="62"/>
        <v>0</v>
      </c>
      <c r="T621" s="580">
        <f t="shared" si="63"/>
        <v>0</v>
      </c>
      <c r="U621" s="51"/>
      <c r="V621" s="2119"/>
      <c r="W621" s="43"/>
      <c r="X621" s="43"/>
      <c r="Y621" s="43"/>
      <c r="Z621" s="43"/>
    </row>
    <row r="622" spans="1:26">
      <c r="A622" s="88">
        <v>7124</v>
      </c>
      <c r="B622" s="1033" t="s">
        <v>683</v>
      </c>
      <c r="C622" s="1033"/>
      <c r="D622" s="1033"/>
      <c r="E622" s="1033"/>
      <c r="F622" s="1033"/>
      <c r="G622" s="1033"/>
      <c r="H622" s="1033"/>
      <c r="I622" s="1033"/>
      <c r="J622" s="1033"/>
      <c r="K622" s="1033"/>
      <c r="L622" s="90"/>
      <c r="M622" s="51"/>
      <c r="N622" s="113">
        <f t="shared" si="61"/>
        <v>7124</v>
      </c>
      <c r="O622" s="575">
        <v>0</v>
      </c>
      <c r="P622" s="582">
        <v>0</v>
      </c>
      <c r="Q622" s="589"/>
      <c r="R622" s="576"/>
      <c r="S622" s="583">
        <f t="shared" si="62"/>
        <v>0</v>
      </c>
      <c r="T622" s="580">
        <f t="shared" si="63"/>
        <v>0</v>
      </c>
      <c r="U622" s="51"/>
      <c r="V622" s="2119"/>
      <c r="W622" s="43"/>
      <c r="X622" s="43"/>
      <c r="Y622" s="43"/>
      <c r="Z622" s="43"/>
    </row>
    <row r="623" spans="1:26">
      <c r="A623" s="88">
        <v>7131</v>
      </c>
      <c r="B623" s="1033" t="s">
        <v>684</v>
      </c>
      <c r="C623" s="1033"/>
      <c r="D623" s="1033"/>
      <c r="E623" s="1033"/>
      <c r="F623" s="1033"/>
      <c r="G623" s="1033"/>
      <c r="H623" s="1033"/>
      <c r="I623" s="1033"/>
      <c r="J623" s="1033"/>
      <c r="K623" s="1033"/>
      <c r="L623" s="90"/>
      <c r="M623" s="51"/>
      <c r="N623" s="113">
        <f t="shared" si="61"/>
        <v>7131</v>
      </c>
      <c r="O623" s="575">
        <v>0</v>
      </c>
      <c r="P623" s="582">
        <v>0</v>
      </c>
      <c r="Q623" s="589">
        <v>0</v>
      </c>
      <c r="R623" s="576">
        <v>0</v>
      </c>
      <c r="S623" s="583">
        <f t="shared" si="62"/>
        <v>0</v>
      </c>
      <c r="T623" s="580">
        <f t="shared" si="63"/>
        <v>0</v>
      </c>
      <c r="U623" s="51"/>
      <c r="V623" s="2119"/>
      <c r="W623" s="43"/>
      <c r="X623" s="43"/>
      <c r="Y623" s="43"/>
      <c r="Z623" s="43"/>
    </row>
    <row r="624" spans="1:26">
      <c r="A624" s="88">
        <f>1+A623</f>
        <v>7132</v>
      </c>
      <c r="B624" s="1033" t="s">
        <v>685</v>
      </c>
      <c r="C624" s="1033"/>
      <c r="D624" s="1033"/>
      <c r="E624" s="1033"/>
      <c r="F624" s="1033"/>
      <c r="G624" s="1033"/>
      <c r="H624" s="1033"/>
      <c r="I624" s="1033"/>
      <c r="J624" s="1033"/>
      <c r="K624" s="1033"/>
      <c r="L624" s="90"/>
      <c r="M624" s="51"/>
      <c r="N624" s="113">
        <f t="shared" si="61"/>
        <v>7132</v>
      </c>
      <c r="O624" s="575">
        <v>0</v>
      </c>
      <c r="P624" s="582">
        <v>0</v>
      </c>
      <c r="Q624" s="589"/>
      <c r="R624" s="576"/>
      <c r="S624" s="583">
        <f t="shared" si="62"/>
        <v>0</v>
      </c>
      <c r="T624" s="580">
        <f t="shared" si="63"/>
        <v>0</v>
      </c>
      <c r="U624" s="51"/>
      <c r="V624" s="2119"/>
      <c r="W624" s="43"/>
      <c r="X624" s="43"/>
      <c r="Y624" s="43"/>
      <c r="Z624" s="43"/>
    </row>
    <row r="625" spans="1:26">
      <c r="A625" s="88">
        <v>7133</v>
      </c>
      <c r="B625" s="1033" t="s">
        <v>686</v>
      </c>
      <c r="C625" s="1033"/>
      <c r="D625" s="1033"/>
      <c r="E625" s="1033"/>
      <c r="F625" s="1033"/>
      <c r="G625" s="1033"/>
      <c r="H625" s="1033"/>
      <c r="I625" s="1033"/>
      <c r="J625" s="1033"/>
      <c r="K625" s="1033"/>
      <c r="L625" s="90"/>
      <c r="M625" s="51"/>
      <c r="N625" s="113">
        <f t="shared" si="61"/>
        <v>7133</v>
      </c>
      <c r="O625" s="575">
        <v>0</v>
      </c>
      <c r="P625" s="582">
        <v>0</v>
      </c>
      <c r="Q625" s="589"/>
      <c r="R625" s="576"/>
      <c r="S625" s="583">
        <f t="shared" si="62"/>
        <v>0</v>
      </c>
      <c r="T625" s="580">
        <f t="shared" si="63"/>
        <v>0</v>
      </c>
      <c r="U625" s="51"/>
      <c r="V625" s="2119"/>
      <c r="W625" s="43"/>
      <c r="X625" s="43"/>
      <c r="Y625" s="43"/>
      <c r="Z625" s="43"/>
    </row>
    <row r="626" spans="1:26">
      <c r="A626" s="88">
        <v>7140</v>
      </c>
      <c r="B626" s="1033" t="s">
        <v>687</v>
      </c>
      <c r="C626" s="1033"/>
      <c r="D626" s="1033"/>
      <c r="E626" s="1033"/>
      <c r="F626" s="1033"/>
      <c r="G626" s="1033"/>
      <c r="H626" s="1033"/>
      <c r="I626" s="1033"/>
      <c r="J626" s="1033"/>
      <c r="K626" s="1033"/>
      <c r="L626" s="90"/>
      <c r="M626" s="51"/>
      <c r="N626" s="113">
        <f t="shared" si="61"/>
        <v>7140</v>
      </c>
      <c r="O626" s="575">
        <v>0</v>
      </c>
      <c r="P626" s="582">
        <v>0</v>
      </c>
      <c r="Q626" s="589"/>
      <c r="R626" s="576"/>
      <c r="S626" s="583">
        <f t="shared" si="62"/>
        <v>0</v>
      </c>
      <c r="T626" s="580">
        <f t="shared" si="63"/>
        <v>0</v>
      </c>
      <c r="U626" s="51"/>
      <c r="V626" s="2119"/>
      <c r="W626" s="43"/>
      <c r="X626" s="43"/>
      <c r="Y626" s="43"/>
      <c r="Z626" s="43"/>
    </row>
    <row r="627" spans="1:26" ht="15.75" customHeight="1">
      <c r="A627" s="88">
        <v>7141</v>
      </c>
      <c r="B627" s="1033" t="s">
        <v>688</v>
      </c>
      <c r="C627" s="1033"/>
      <c r="D627" s="1033"/>
      <c r="E627" s="1033"/>
      <c r="F627" s="1033"/>
      <c r="G627" s="1033"/>
      <c r="H627" s="1033"/>
      <c r="I627" s="1033"/>
      <c r="J627" s="1033"/>
      <c r="K627" s="1033"/>
      <c r="L627" s="90"/>
      <c r="M627" s="51"/>
      <c r="N627" s="113">
        <f t="shared" si="61"/>
        <v>7141</v>
      </c>
      <c r="O627" s="575">
        <v>0</v>
      </c>
      <c r="P627" s="582">
        <v>0</v>
      </c>
      <c r="Q627" s="589"/>
      <c r="R627" s="576"/>
      <c r="S627" s="583">
        <f t="shared" si="62"/>
        <v>0</v>
      </c>
      <c r="T627" s="580">
        <f t="shared" si="63"/>
        <v>0</v>
      </c>
      <c r="U627" s="51"/>
      <c r="V627" s="2119"/>
      <c r="W627" s="43"/>
      <c r="X627" s="43"/>
      <c r="Y627" s="43"/>
      <c r="Z627" s="43"/>
    </row>
    <row r="628" spans="1:26">
      <c r="A628" s="88">
        <v>7142</v>
      </c>
      <c r="B628" s="1033" t="s">
        <v>689</v>
      </c>
      <c r="C628" s="1033"/>
      <c r="D628" s="1033"/>
      <c r="E628" s="1033"/>
      <c r="F628" s="1033"/>
      <c r="G628" s="1033"/>
      <c r="H628" s="1033"/>
      <c r="I628" s="1033"/>
      <c r="J628" s="1033"/>
      <c r="K628" s="1033"/>
      <c r="L628" s="90"/>
      <c r="M628" s="51"/>
      <c r="N628" s="113">
        <f t="shared" si="61"/>
        <v>7142</v>
      </c>
      <c r="O628" s="575">
        <v>0</v>
      </c>
      <c r="P628" s="582">
        <v>0</v>
      </c>
      <c r="Q628" s="589"/>
      <c r="R628" s="576"/>
      <c r="S628" s="583">
        <f t="shared" si="62"/>
        <v>0</v>
      </c>
      <c r="T628" s="580">
        <f t="shared" si="63"/>
        <v>0</v>
      </c>
      <c r="U628" s="51"/>
      <c r="V628" s="2119"/>
      <c r="W628" s="43"/>
      <c r="X628" s="43"/>
      <c r="Y628" s="43"/>
      <c r="Z628" s="43"/>
    </row>
    <row r="629" spans="1:26">
      <c r="A629" s="88">
        <v>7143</v>
      </c>
      <c r="B629" s="1033" t="s">
        <v>690</v>
      </c>
      <c r="C629" s="1033"/>
      <c r="D629" s="1033"/>
      <c r="E629" s="1033"/>
      <c r="F629" s="1033"/>
      <c r="G629" s="1033"/>
      <c r="H629" s="1033"/>
      <c r="I629" s="1033"/>
      <c r="J629" s="1033"/>
      <c r="K629" s="1033"/>
      <c r="L629" s="90"/>
      <c r="M629" s="51"/>
      <c r="N629" s="113">
        <f t="shared" si="61"/>
        <v>7143</v>
      </c>
      <c r="O629" s="575">
        <v>0</v>
      </c>
      <c r="P629" s="582">
        <v>0</v>
      </c>
      <c r="Q629" s="589">
        <v>0</v>
      </c>
      <c r="R629" s="576">
        <v>0</v>
      </c>
      <c r="S629" s="583">
        <f t="shared" si="62"/>
        <v>0</v>
      </c>
      <c r="T629" s="580">
        <f t="shared" si="63"/>
        <v>0</v>
      </c>
      <c r="U629" s="51"/>
      <c r="V629" s="2119"/>
      <c r="W629" s="43"/>
      <c r="X629" s="43"/>
      <c r="Y629" s="43"/>
      <c r="Z629" s="43"/>
    </row>
    <row r="630" spans="1:26">
      <c r="A630" s="88">
        <v>7144</v>
      </c>
      <c r="B630" s="1033" t="s">
        <v>615</v>
      </c>
      <c r="C630" s="1033"/>
      <c r="D630" s="1033"/>
      <c r="E630" s="1033"/>
      <c r="F630" s="1033"/>
      <c r="G630" s="1033"/>
      <c r="H630" s="1033"/>
      <c r="I630" s="1033"/>
      <c r="J630" s="1033"/>
      <c r="K630" s="1033"/>
      <c r="L630" s="90"/>
      <c r="M630" s="51"/>
      <c r="N630" s="113">
        <f t="shared" si="61"/>
        <v>7144</v>
      </c>
      <c r="O630" s="575">
        <v>0</v>
      </c>
      <c r="P630" s="582">
        <v>0</v>
      </c>
      <c r="Q630" s="589">
        <v>0</v>
      </c>
      <c r="R630" s="576">
        <v>0</v>
      </c>
      <c r="S630" s="583">
        <f t="shared" si="62"/>
        <v>0</v>
      </c>
      <c r="T630" s="580">
        <f t="shared" si="63"/>
        <v>0</v>
      </c>
      <c r="U630" s="51"/>
      <c r="V630" s="2119"/>
      <c r="W630" s="43"/>
      <c r="X630" s="43"/>
      <c r="Y630" s="43"/>
      <c r="Z630" s="43"/>
    </row>
    <row r="631" spans="1:26">
      <c r="A631" s="88">
        <v>7145</v>
      </c>
      <c r="B631" s="1033" t="s">
        <v>616</v>
      </c>
      <c r="C631" s="1033"/>
      <c r="D631" s="1033"/>
      <c r="E631" s="1033"/>
      <c r="F631" s="1033"/>
      <c r="G631" s="1033"/>
      <c r="H631" s="1033"/>
      <c r="I631" s="1033"/>
      <c r="J631" s="1033"/>
      <c r="K631" s="1033"/>
      <c r="L631" s="90"/>
      <c r="M631" s="51"/>
      <c r="N631" s="113">
        <f t="shared" si="61"/>
        <v>7145</v>
      </c>
      <c r="O631" s="575">
        <v>0</v>
      </c>
      <c r="P631" s="582">
        <v>0</v>
      </c>
      <c r="Q631" s="589">
        <v>0</v>
      </c>
      <c r="R631" s="576">
        <v>0</v>
      </c>
      <c r="S631" s="583">
        <f t="shared" si="62"/>
        <v>0</v>
      </c>
      <c r="T631" s="580">
        <f t="shared" si="63"/>
        <v>0</v>
      </c>
      <c r="U631" s="51"/>
      <c r="V631" s="2119"/>
      <c r="W631" s="43"/>
      <c r="X631" s="43"/>
      <c r="Y631" s="43"/>
      <c r="Z631" s="43"/>
    </row>
    <row r="632" spans="1:26">
      <c r="A632" s="88">
        <v>7146</v>
      </c>
      <c r="B632" s="1033" t="s">
        <v>617</v>
      </c>
      <c r="C632" s="1033"/>
      <c r="D632" s="1033"/>
      <c r="E632" s="1033"/>
      <c r="F632" s="1033"/>
      <c r="G632" s="1033"/>
      <c r="H632" s="1033"/>
      <c r="I632" s="1033"/>
      <c r="J632" s="1033"/>
      <c r="K632" s="1033"/>
      <c r="L632" s="90"/>
      <c r="M632" s="51"/>
      <c r="N632" s="113">
        <f t="shared" si="61"/>
        <v>7146</v>
      </c>
      <c r="O632" s="575">
        <v>0</v>
      </c>
      <c r="P632" s="582">
        <v>0</v>
      </c>
      <c r="Q632" s="589">
        <v>0</v>
      </c>
      <c r="R632" s="576">
        <v>0</v>
      </c>
      <c r="S632" s="583">
        <f t="shared" si="62"/>
        <v>0</v>
      </c>
      <c r="T632" s="580">
        <f t="shared" si="63"/>
        <v>0</v>
      </c>
      <c r="U632" s="51"/>
      <c r="V632" s="2119"/>
      <c r="W632" s="43"/>
      <c r="X632" s="43"/>
      <c r="Y632" s="43"/>
      <c r="Z632" s="43"/>
    </row>
    <row r="633" spans="1:26">
      <c r="A633" s="88">
        <v>7147</v>
      </c>
      <c r="B633" s="1033" t="s">
        <v>618</v>
      </c>
      <c r="C633" s="1033"/>
      <c r="D633" s="1033"/>
      <c r="E633" s="1033"/>
      <c r="F633" s="1033"/>
      <c r="G633" s="1033"/>
      <c r="H633" s="1033"/>
      <c r="I633" s="1033"/>
      <c r="J633" s="1033"/>
      <c r="K633" s="1033"/>
      <c r="L633" s="90"/>
      <c r="M633" s="51"/>
      <c r="N633" s="113">
        <f t="shared" si="61"/>
        <v>7147</v>
      </c>
      <c r="O633" s="575">
        <v>0</v>
      </c>
      <c r="P633" s="582">
        <v>0</v>
      </c>
      <c r="Q633" s="589"/>
      <c r="R633" s="576"/>
      <c r="S633" s="583">
        <f t="shared" si="62"/>
        <v>0</v>
      </c>
      <c r="T633" s="580">
        <f t="shared" si="63"/>
        <v>0</v>
      </c>
      <c r="U633" s="51"/>
      <c r="V633" s="2119"/>
      <c r="W633" s="43"/>
      <c r="X633" s="43"/>
      <c r="Y633" s="43"/>
      <c r="Z633" s="43"/>
    </row>
    <row r="634" spans="1:26">
      <c r="A634" s="88">
        <v>7149</v>
      </c>
      <c r="B634" s="1033" t="s">
        <v>619</v>
      </c>
      <c r="C634" s="1033"/>
      <c r="D634" s="1033"/>
      <c r="E634" s="1033"/>
      <c r="F634" s="1033"/>
      <c r="G634" s="1033"/>
      <c r="H634" s="1033"/>
      <c r="I634" s="1033"/>
      <c r="J634" s="1033"/>
      <c r="K634" s="1033"/>
      <c r="L634" s="90"/>
      <c r="M634" s="51"/>
      <c r="N634" s="113">
        <f t="shared" si="61"/>
        <v>7149</v>
      </c>
      <c r="O634" s="575">
        <v>0</v>
      </c>
      <c r="P634" s="582">
        <v>0</v>
      </c>
      <c r="Q634" s="589">
        <v>0</v>
      </c>
      <c r="R634" s="576">
        <v>0</v>
      </c>
      <c r="S634" s="583">
        <f t="shared" si="62"/>
        <v>0</v>
      </c>
      <c r="T634" s="580">
        <f t="shared" si="63"/>
        <v>0</v>
      </c>
      <c r="U634" s="51"/>
      <c r="V634" s="2119"/>
      <c r="W634" s="43"/>
      <c r="X634" s="43"/>
      <c r="Y634" s="43"/>
      <c r="Z634" s="43"/>
    </row>
    <row r="635" spans="1:26">
      <c r="A635" s="88">
        <v>7151</v>
      </c>
      <c r="B635" s="1033" t="s">
        <v>620</v>
      </c>
      <c r="C635" s="1033"/>
      <c r="D635" s="1033"/>
      <c r="E635" s="1033"/>
      <c r="F635" s="1033"/>
      <c r="G635" s="1033"/>
      <c r="H635" s="1033"/>
      <c r="I635" s="1033"/>
      <c r="J635" s="1033"/>
      <c r="K635" s="1033"/>
      <c r="L635" s="90"/>
      <c r="M635" s="51"/>
      <c r="N635" s="113">
        <f t="shared" si="61"/>
        <v>7151</v>
      </c>
      <c r="O635" s="575">
        <v>0</v>
      </c>
      <c r="P635" s="582">
        <v>0</v>
      </c>
      <c r="Q635" s="589"/>
      <c r="R635" s="576"/>
      <c r="S635" s="583">
        <f t="shared" si="62"/>
        <v>0</v>
      </c>
      <c r="T635" s="580">
        <f t="shared" si="63"/>
        <v>0</v>
      </c>
      <c r="U635" s="51"/>
      <c r="V635" s="2119"/>
      <c r="W635" s="43"/>
      <c r="X635" s="43"/>
      <c r="Y635" s="43"/>
      <c r="Z635" s="43"/>
    </row>
    <row r="636" spans="1:26">
      <c r="A636" s="88">
        <v>7159</v>
      </c>
      <c r="B636" s="1033" t="s">
        <v>621</v>
      </c>
      <c r="C636" s="1033"/>
      <c r="D636" s="1033"/>
      <c r="E636" s="1033"/>
      <c r="F636" s="1033"/>
      <c r="G636" s="1033"/>
      <c r="H636" s="1033"/>
      <c r="I636" s="1033"/>
      <c r="J636" s="1033"/>
      <c r="K636" s="1033"/>
      <c r="L636" s="90"/>
      <c r="M636" s="51"/>
      <c r="N636" s="113">
        <f t="shared" si="61"/>
        <v>7159</v>
      </c>
      <c r="O636" s="575">
        <v>0</v>
      </c>
      <c r="P636" s="582">
        <v>0</v>
      </c>
      <c r="Q636" s="589"/>
      <c r="R636" s="576"/>
      <c r="S636" s="583">
        <f t="shared" si="62"/>
        <v>0</v>
      </c>
      <c r="T636" s="580">
        <f t="shared" si="63"/>
        <v>0</v>
      </c>
      <c r="U636" s="51"/>
      <c r="V636" s="2119"/>
      <c r="W636" s="43"/>
      <c r="X636" s="43"/>
      <c r="Y636" s="43"/>
      <c r="Z636" s="43"/>
    </row>
    <row r="637" spans="1:26">
      <c r="A637" s="88">
        <v>7161</v>
      </c>
      <c r="B637" s="1033" t="s">
        <v>622</v>
      </c>
      <c r="C637" s="1033"/>
      <c r="D637" s="1033"/>
      <c r="E637" s="1033"/>
      <c r="F637" s="1033"/>
      <c r="G637" s="1033"/>
      <c r="H637" s="1033"/>
      <c r="I637" s="1033"/>
      <c r="J637" s="1033"/>
      <c r="K637" s="1033"/>
      <c r="L637" s="90"/>
      <c r="M637" s="51"/>
      <c r="N637" s="113">
        <f t="shared" si="61"/>
        <v>7161</v>
      </c>
      <c r="O637" s="575">
        <v>0</v>
      </c>
      <c r="P637" s="582">
        <v>0</v>
      </c>
      <c r="Q637" s="589"/>
      <c r="R637" s="576"/>
      <c r="S637" s="583">
        <f t="shared" si="62"/>
        <v>0</v>
      </c>
      <c r="T637" s="580">
        <f t="shared" si="63"/>
        <v>0</v>
      </c>
      <c r="U637" s="51"/>
      <c r="V637" s="2119"/>
      <c r="W637" s="43"/>
      <c r="X637" s="43"/>
      <c r="Y637" s="43"/>
      <c r="Z637" s="43"/>
    </row>
    <row r="638" spans="1:26">
      <c r="A638" s="88">
        <v>7162</v>
      </c>
      <c r="B638" s="1033" t="s">
        <v>623</v>
      </c>
      <c r="C638" s="1033"/>
      <c r="D638" s="1033"/>
      <c r="E638" s="1033"/>
      <c r="F638" s="1033"/>
      <c r="G638" s="1033"/>
      <c r="H638" s="1033"/>
      <c r="I638" s="1033"/>
      <c r="J638" s="1033"/>
      <c r="K638" s="1033"/>
      <c r="L638" s="90"/>
      <c r="M638" s="51"/>
      <c r="N638" s="113">
        <f t="shared" si="61"/>
        <v>7162</v>
      </c>
      <c r="O638" s="8">
        <v>0</v>
      </c>
      <c r="P638" s="9">
        <v>0</v>
      </c>
      <c r="Q638" s="122"/>
      <c r="R638" s="121"/>
      <c r="S638" s="583">
        <f t="shared" si="62"/>
        <v>0</v>
      </c>
      <c r="T638" s="580">
        <f t="shared" si="63"/>
        <v>0</v>
      </c>
      <c r="U638" s="51"/>
      <c r="V638" s="2119"/>
      <c r="W638" s="43"/>
      <c r="X638" s="43"/>
      <c r="Y638" s="43"/>
      <c r="Z638" s="43"/>
    </row>
    <row r="639" spans="1:26">
      <c r="A639" s="88">
        <v>7163</v>
      </c>
      <c r="B639" s="1033" t="s">
        <v>624</v>
      </c>
      <c r="C639" s="1033"/>
      <c r="D639" s="1033"/>
      <c r="E639" s="1033"/>
      <c r="F639" s="1033"/>
      <c r="G639" s="1033"/>
      <c r="H639" s="1033"/>
      <c r="I639" s="1033"/>
      <c r="J639" s="1033"/>
      <c r="K639" s="1033"/>
      <c r="L639" s="90"/>
      <c r="M639" s="51"/>
      <c r="N639" s="113">
        <f t="shared" si="61"/>
        <v>7163</v>
      </c>
      <c r="O639" s="8">
        <v>0</v>
      </c>
      <c r="P639" s="9">
        <v>0</v>
      </c>
      <c r="Q639" s="122"/>
      <c r="R639" s="121"/>
      <c r="S639" s="583">
        <f t="shared" si="62"/>
        <v>0</v>
      </c>
      <c r="T639" s="580">
        <f t="shared" si="63"/>
        <v>0</v>
      </c>
      <c r="U639" s="51"/>
      <c r="V639" s="2119"/>
      <c r="W639" s="43"/>
      <c r="X639" s="43"/>
      <c r="Y639" s="43"/>
      <c r="Z639" s="43"/>
    </row>
    <row r="640" spans="1:26">
      <c r="A640" s="91">
        <v>7170</v>
      </c>
      <c r="B640" s="1036" t="s">
        <v>625</v>
      </c>
      <c r="C640" s="92"/>
      <c r="D640" s="92"/>
      <c r="E640" s="92"/>
      <c r="F640" s="92"/>
      <c r="G640" s="92"/>
      <c r="H640" s="92"/>
      <c r="I640" s="92"/>
      <c r="J640" s="92"/>
      <c r="K640" s="92"/>
      <c r="L640" s="93"/>
      <c r="M640" s="51"/>
      <c r="N640" s="114">
        <f t="shared" si="61"/>
        <v>7170</v>
      </c>
      <c r="O640" s="10">
        <v>0</v>
      </c>
      <c r="P640" s="11">
        <v>0</v>
      </c>
      <c r="Q640" s="31">
        <v>0</v>
      </c>
      <c r="R640" s="11">
        <v>0</v>
      </c>
      <c r="S640" s="829">
        <f t="shared" si="62"/>
        <v>0</v>
      </c>
      <c r="T640" s="828">
        <f t="shared" si="63"/>
        <v>0</v>
      </c>
      <c r="U640" s="51"/>
      <c r="V640" s="2125">
        <f>+IF(OR(O640&lt;&gt;0,P640&lt;&gt;0,Q640&lt;&gt;0,R640&lt;&gt;0,S640&lt;&gt;0,T640&lt;&gt;0),+IF(ABS(O640+Q640)-ABS(P640+R640)&lt;&gt;0,ABS(O640+Q640)-ABS(P640+R640),1),0)</f>
        <v>0</v>
      </c>
      <c r="W640" s="43"/>
      <c r="X640" s="43"/>
      <c r="Y640" s="43"/>
      <c r="Z640" s="43"/>
    </row>
    <row r="641" spans="1:26">
      <c r="A641" s="88">
        <v>7171</v>
      </c>
      <c r="B641" s="1033" t="s">
        <v>626</v>
      </c>
      <c r="C641" s="1033"/>
      <c r="D641" s="1033"/>
      <c r="E641" s="1033"/>
      <c r="F641" s="1033"/>
      <c r="G641" s="1033"/>
      <c r="H641" s="1033"/>
      <c r="I641" s="1033"/>
      <c r="J641" s="1033"/>
      <c r="K641" s="1033"/>
      <c r="L641" s="90"/>
      <c r="M641" s="51"/>
      <c r="N641" s="113">
        <f t="shared" si="61"/>
        <v>7171</v>
      </c>
      <c r="O641" s="8">
        <v>0</v>
      </c>
      <c r="P641" s="9">
        <v>0</v>
      </c>
      <c r="Q641" s="122"/>
      <c r="R641" s="121"/>
      <c r="S641" s="27">
        <f t="shared" si="62"/>
        <v>0</v>
      </c>
      <c r="T641" s="28">
        <f t="shared" si="63"/>
        <v>0</v>
      </c>
      <c r="U641" s="51"/>
      <c r="V641" s="2119"/>
      <c r="W641" s="43"/>
      <c r="X641" s="43"/>
      <c r="Y641" s="43"/>
      <c r="Z641" s="43"/>
    </row>
    <row r="642" spans="1:26">
      <c r="A642" s="88">
        <v>7172</v>
      </c>
      <c r="B642" s="1033" t="s">
        <v>627</v>
      </c>
      <c r="C642" s="1033"/>
      <c r="D642" s="1033"/>
      <c r="E642" s="1033"/>
      <c r="F642" s="1033"/>
      <c r="G642" s="1033"/>
      <c r="H642" s="1033"/>
      <c r="I642" s="1033"/>
      <c r="J642" s="1033"/>
      <c r="K642" s="1033"/>
      <c r="L642" s="90"/>
      <c r="M642" s="51"/>
      <c r="N642" s="113">
        <f t="shared" si="61"/>
        <v>7172</v>
      </c>
      <c r="O642" s="8">
        <v>0</v>
      </c>
      <c r="P642" s="9">
        <v>0</v>
      </c>
      <c r="Q642" s="122"/>
      <c r="R642" s="121"/>
      <c r="S642" s="27">
        <f t="shared" si="62"/>
        <v>0</v>
      </c>
      <c r="T642" s="28">
        <f t="shared" si="63"/>
        <v>0</v>
      </c>
      <c r="U642" s="51"/>
      <c r="V642" s="2119"/>
      <c r="W642" s="43"/>
      <c r="X642" s="43"/>
      <c r="Y642" s="43"/>
      <c r="Z642" s="43"/>
    </row>
    <row r="643" spans="1:26">
      <c r="A643" s="88">
        <v>7173</v>
      </c>
      <c r="B643" s="1035" t="s">
        <v>1169</v>
      </c>
      <c r="C643" s="1033"/>
      <c r="D643" s="1033"/>
      <c r="E643" s="1033"/>
      <c r="F643" s="1033"/>
      <c r="G643" s="1033"/>
      <c r="H643" s="1033"/>
      <c r="I643" s="1033"/>
      <c r="J643" s="1033"/>
      <c r="K643" s="1033"/>
      <c r="L643" s="90"/>
      <c r="M643" s="51"/>
      <c r="N643" s="113">
        <f t="shared" si="61"/>
        <v>7173</v>
      </c>
      <c r="O643" s="575">
        <v>0</v>
      </c>
      <c r="P643" s="582">
        <v>0</v>
      </c>
      <c r="Q643" s="122"/>
      <c r="R643" s="121"/>
      <c r="S643" s="583">
        <f t="shared" si="62"/>
        <v>0</v>
      </c>
      <c r="T643" s="580">
        <f t="shared" si="63"/>
        <v>0</v>
      </c>
      <c r="U643" s="51"/>
      <c r="V643" s="2119"/>
      <c r="W643" s="43"/>
      <c r="X643" s="43"/>
      <c r="Y643" s="43"/>
      <c r="Z643" s="43"/>
    </row>
    <row r="644" spans="1:26">
      <c r="A644" s="88">
        <v>7174</v>
      </c>
      <c r="B644" s="1035" t="s">
        <v>1170</v>
      </c>
      <c r="C644" s="1033"/>
      <c r="D644" s="1033"/>
      <c r="E644" s="1033"/>
      <c r="F644" s="1033"/>
      <c r="G644" s="1033"/>
      <c r="H644" s="1033"/>
      <c r="I644" s="1033"/>
      <c r="J644" s="1033"/>
      <c r="K644" s="1033"/>
      <c r="L644" s="90"/>
      <c r="M644" s="51"/>
      <c r="N644" s="113">
        <f t="shared" si="61"/>
        <v>7174</v>
      </c>
      <c r="O644" s="575">
        <v>0</v>
      </c>
      <c r="P644" s="582">
        <v>0</v>
      </c>
      <c r="Q644" s="589"/>
      <c r="R644" s="576"/>
      <c r="S644" s="583">
        <f t="shared" si="62"/>
        <v>0</v>
      </c>
      <c r="T644" s="580">
        <f t="shared" si="63"/>
        <v>0</v>
      </c>
      <c r="U644" s="51"/>
      <c r="V644" s="2119"/>
      <c r="W644" s="43"/>
      <c r="X644" s="43"/>
      <c r="Y644" s="43"/>
      <c r="Z644" s="43"/>
    </row>
    <row r="645" spans="1:26">
      <c r="A645" s="88">
        <v>7175</v>
      </c>
      <c r="B645" s="1035" t="s">
        <v>628</v>
      </c>
      <c r="C645" s="1033"/>
      <c r="D645" s="1033"/>
      <c r="E645" s="1033"/>
      <c r="F645" s="1033"/>
      <c r="G645" s="1033"/>
      <c r="H645" s="1033"/>
      <c r="I645" s="1033"/>
      <c r="J645" s="1033"/>
      <c r="K645" s="1033"/>
      <c r="L645" s="90"/>
      <c r="M645" s="51"/>
      <c r="N645" s="113">
        <f t="shared" si="61"/>
        <v>7175</v>
      </c>
      <c r="O645" s="575">
        <v>0</v>
      </c>
      <c r="P645" s="582">
        <v>0</v>
      </c>
      <c r="Q645" s="589"/>
      <c r="R645" s="576"/>
      <c r="S645" s="583">
        <f t="shared" si="62"/>
        <v>0</v>
      </c>
      <c r="T645" s="580">
        <f t="shared" si="63"/>
        <v>0</v>
      </c>
      <c r="U645" s="51"/>
      <c r="V645" s="2119"/>
      <c r="W645" s="43"/>
      <c r="X645" s="43"/>
      <c r="Y645" s="43"/>
      <c r="Z645" s="43"/>
    </row>
    <row r="646" spans="1:26">
      <c r="A646" s="88">
        <v>7176</v>
      </c>
      <c r="B646" s="1035" t="s">
        <v>629</v>
      </c>
      <c r="C646" s="1033"/>
      <c r="D646" s="1033"/>
      <c r="E646" s="1033"/>
      <c r="F646" s="1033"/>
      <c r="G646" s="1033"/>
      <c r="H646" s="1033"/>
      <c r="I646" s="1033"/>
      <c r="J646" s="1033"/>
      <c r="K646" s="1033"/>
      <c r="L646" s="90"/>
      <c r="M646" s="51"/>
      <c r="N646" s="113">
        <f t="shared" si="61"/>
        <v>7176</v>
      </c>
      <c r="O646" s="575">
        <v>0</v>
      </c>
      <c r="P646" s="582">
        <v>0</v>
      </c>
      <c r="Q646" s="589"/>
      <c r="R646" s="576"/>
      <c r="S646" s="583">
        <f t="shared" si="62"/>
        <v>0</v>
      </c>
      <c r="T646" s="580">
        <f t="shared" si="63"/>
        <v>0</v>
      </c>
      <c r="U646" s="51"/>
      <c r="V646" s="2119"/>
      <c r="W646" s="43"/>
      <c r="X646" s="43"/>
      <c r="Y646" s="43"/>
      <c r="Z646" s="43"/>
    </row>
    <row r="647" spans="1:26">
      <c r="A647" s="88">
        <v>7177</v>
      </c>
      <c r="B647" s="1035" t="s">
        <v>1171</v>
      </c>
      <c r="C647" s="1033"/>
      <c r="D647" s="1033"/>
      <c r="E647" s="1033"/>
      <c r="F647" s="1033"/>
      <c r="G647" s="1033"/>
      <c r="H647" s="1033"/>
      <c r="I647" s="1033"/>
      <c r="J647" s="1033"/>
      <c r="K647" s="1033"/>
      <c r="L647" s="90"/>
      <c r="M647" s="51"/>
      <c r="N647" s="113">
        <f t="shared" si="61"/>
        <v>7177</v>
      </c>
      <c r="O647" s="575">
        <v>0</v>
      </c>
      <c r="P647" s="582">
        <v>0</v>
      </c>
      <c r="Q647" s="589">
        <v>0</v>
      </c>
      <c r="R647" s="576">
        <v>0</v>
      </c>
      <c r="S647" s="583">
        <f t="shared" si="62"/>
        <v>0</v>
      </c>
      <c r="T647" s="580">
        <f t="shared" si="63"/>
        <v>0</v>
      </c>
      <c r="U647" s="51"/>
      <c r="V647" s="2119"/>
      <c r="W647" s="43"/>
      <c r="X647" s="43"/>
      <c r="Y647" s="43"/>
      <c r="Z647" s="43"/>
    </row>
    <row r="648" spans="1:26">
      <c r="A648" s="88">
        <v>7178</v>
      </c>
      <c r="B648" s="1035" t="s">
        <v>1172</v>
      </c>
      <c r="C648" s="1033"/>
      <c r="D648" s="1033"/>
      <c r="E648" s="1033"/>
      <c r="F648" s="1033"/>
      <c r="G648" s="1033"/>
      <c r="H648" s="1033"/>
      <c r="I648" s="1033"/>
      <c r="J648" s="1033"/>
      <c r="K648" s="1033"/>
      <c r="L648" s="90"/>
      <c r="M648" s="51"/>
      <c r="N648" s="113">
        <f t="shared" si="61"/>
        <v>7178</v>
      </c>
      <c r="O648" s="575">
        <v>0</v>
      </c>
      <c r="P648" s="582">
        <v>0</v>
      </c>
      <c r="Q648" s="589"/>
      <c r="R648" s="576"/>
      <c r="S648" s="583">
        <f t="shared" si="62"/>
        <v>0</v>
      </c>
      <c r="T648" s="580">
        <f t="shared" si="63"/>
        <v>0</v>
      </c>
      <c r="U648" s="51"/>
      <c r="V648" s="2119"/>
      <c r="W648" s="43"/>
      <c r="X648" s="43"/>
      <c r="Y648" s="43"/>
      <c r="Z648" s="43"/>
    </row>
    <row r="649" spans="1:26">
      <c r="A649" s="88">
        <v>7179</v>
      </c>
      <c r="B649" s="378" t="s">
        <v>630</v>
      </c>
      <c r="C649" s="1033"/>
      <c r="D649" s="1033"/>
      <c r="E649" s="1033"/>
      <c r="F649" s="1033"/>
      <c r="G649" s="1033"/>
      <c r="H649" s="1033"/>
      <c r="I649" s="1033"/>
      <c r="J649" s="1033"/>
      <c r="K649" s="1033"/>
      <c r="L649" s="90"/>
      <c r="M649" s="51"/>
      <c r="N649" s="113">
        <f t="shared" si="61"/>
        <v>7179</v>
      </c>
      <c r="O649" s="575">
        <v>0</v>
      </c>
      <c r="P649" s="582">
        <v>0</v>
      </c>
      <c r="Q649" s="589"/>
      <c r="R649" s="576"/>
      <c r="S649" s="583">
        <f t="shared" si="62"/>
        <v>0</v>
      </c>
      <c r="T649" s="580">
        <f t="shared" si="63"/>
        <v>0</v>
      </c>
      <c r="U649" s="51"/>
      <c r="V649" s="2119"/>
      <c r="W649" s="43"/>
      <c r="X649" s="43"/>
      <c r="Y649" s="43"/>
      <c r="Z649" s="43"/>
    </row>
    <row r="650" spans="1:26" ht="15.75" customHeight="1">
      <c r="A650" s="88">
        <v>7180</v>
      </c>
      <c r="B650" s="378" t="s">
        <v>631</v>
      </c>
      <c r="C650" s="1033"/>
      <c r="D650" s="1033"/>
      <c r="E650" s="1033"/>
      <c r="F650" s="1033"/>
      <c r="G650" s="1033"/>
      <c r="H650" s="1033"/>
      <c r="I650" s="1033"/>
      <c r="J650" s="1033"/>
      <c r="K650" s="1033"/>
      <c r="L650" s="90"/>
      <c r="M650" s="51"/>
      <c r="N650" s="113">
        <f t="shared" si="61"/>
        <v>7180</v>
      </c>
      <c r="O650" s="575">
        <v>0</v>
      </c>
      <c r="P650" s="582">
        <v>0</v>
      </c>
      <c r="Q650" s="589"/>
      <c r="R650" s="576"/>
      <c r="S650" s="583">
        <f t="shared" si="62"/>
        <v>0</v>
      </c>
      <c r="T650" s="580">
        <f t="shared" si="63"/>
        <v>0</v>
      </c>
      <c r="U650" s="51"/>
      <c r="V650" s="2119"/>
      <c r="W650" s="43"/>
      <c r="X650" s="43"/>
      <c r="Y650" s="43"/>
      <c r="Z650" s="43"/>
    </row>
    <row r="651" spans="1:26">
      <c r="A651" s="88">
        <v>7181</v>
      </c>
      <c r="B651" s="1033" t="s">
        <v>632</v>
      </c>
      <c r="C651" s="1033"/>
      <c r="D651" s="1033"/>
      <c r="E651" s="1033"/>
      <c r="F651" s="1033"/>
      <c r="G651" s="1033"/>
      <c r="H651" s="1033"/>
      <c r="I651" s="1033"/>
      <c r="J651" s="1033"/>
      <c r="K651" s="1033"/>
      <c r="L651" s="90"/>
      <c r="M651" s="51"/>
      <c r="N651" s="113">
        <f t="shared" si="61"/>
        <v>7181</v>
      </c>
      <c r="O651" s="575">
        <v>0</v>
      </c>
      <c r="P651" s="582">
        <v>0</v>
      </c>
      <c r="Q651" s="589">
        <v>0</v>
      </c>
      <c r="R651" s="576">
        <v>0</v>
      </c>
      <c r="S651" s="583">
        <f t="shared" si="62"/>
        <v>0</v>
      </c>
      <c r="T651" s="580">
        <f t="shared" si="63"/>
        <v>0</v>
      </c>
      <c r="U651" s="51"/>
      <c r="V651" s="2119"/>
      <c r="W651" s="43"/>
      <c r="X651" s="43"/>
      <c r="Y651" s="43"/>
      <c r="Z651" s="43"/>
    </row>
    <row r="652" spans="1:26" ht="15.75" customHeight="1">
      <c r="A652" s="88">
        <v>7182</v>
      </c>
      <c r="B652" s="378" t="s">
        <v>633</v>
      </c>
      <c r="C652" s="1033"/>
      <c r="D652" s="1033"/>
      <c r="E652" s="1033"/>
      <c r="F652" s="1033"/>
      <c r="G652" s="1033"/>
      <c r="H652" s="1033"/>
      <c r="I652" s="1033"/>
      <c r="J652" s="1033"/>
      <c r="K652" s="1033"/>
      <c r="L652" s="90"/>
      <c r="M652" s="51"/>
      <c r="N652" s="113">
        <f t="shared" si="61"/>
        <v>7182</v>
      </c>
      <c r="O652" s="575">
        <v>0</v>
      </c>
      <c r="P652" s="582">
        <v>0</v>
      </c>
      <c r="Q652" s="589"/>
      <c r="R652" s="576"/>
      <c r="S652" s="583">
        <f t="shared" si="62"/>
        <v>0</v>
      </c>
      <c r="T652" s="580">
        <f t="shared" si="63"/>
        <v>0</v>
      </c>
      <c r="U652" s="51"/>
      <c r="V652" s="2119"/>
      <c r="W652" s="43"/>
      <c r="X652" s="43"/>
      <c r="Y652" s="43"/>
      <c r="Z652" s="43"/>
    </row>
    <row r="653" spans="1:26">
      <c r="A653" s="88">
        <v>7189</v>
      </c>
      <c r="B653" s="1033" t="s">
        <v>634</v>
      </c>
      <c r="C653" s="1033"/>
      <c r="D653" s="1033"/>
      <c r="E653" s="1033"/>
      <c r="F653" s="1033"/>
      <c r="G653" s="1033"/>
      <c r="H653" s="1033"/>
      <c r="I653" s="1033"/>
      <c r="J653" s="1033"/>
      <c r="K653" s="1033"/>
      <c r="L653" s="90"/>
      <c r="M653" s="51"/>
      <c r="N653" s="113">
        <f t="shared" si="61"/>
        <v>7189</v>
      </c>
      <c r="O653" s="575">
        <v>0</v>
      </c>
      <c r="P653" s="582">
        <v>0</v>
      </c>
      <c r="Q653" s="589"/>
      <c r="R653" s="576"/>
      <c r="S653" s="583">
        <f t="shared" si="62"/>
        <v>0</v>
      </c>
      <c r="T653" s="580">
        <f t="shared" si="63"/>
        <v>0</v>
      </c>
      <c r="U653" s="51"/>
      <c r="V653" s="2119"/>
      <c r="W653" s="43"/>
      <c r="X653" s="43"/>
      <c r="Y653" s="43"/>
      <c r="Z653" s="43"/>
    </row>
    <row r="654" spans="1:26">
      <c r="A654" s="88">
        <v>7190</v>
      </c>
      <c r="B654" s="1032" t="s">
        <v>635</v>
      </c>
      <c r="C654" s="1033"/>
      <c r="D654" s="1033"/>
      <c r="E654" s="1033"/>
      <c r="F654" s="1033"/>
      <c r="G654" s="1033"/>
      <c r="H654" s="1033"/>
      <c r="I654" s="1033"/>
      <c r="J654" s="1033"/>
      <c r="K654" s="1033"/>
      <c r="L654" s="90"/>
      <c r="M654" s="51"/>
      <c r="N654" s="113">
        <f t="shared" si="61"/>
        <v>7190</v>
      </c>
      <c r="O654" s="575">
        <v>0</v>
      </c>
      <c r="P654" s="582">
        <v>0</v>
      </c>
      <c r="Q654" s="589">
        <v>0</v>
      </c>
      <c r="R654" s="576">
        <v>0</v>
      </c>
      <c r="S654" s="583">
        <f t="shared" si="62"/>
        <v>0</v>
      </c>
      <c r="T654" s="580">
        <f t="shared" si="63"/>
        <v>0</v>
      </c>
      <c r="U654" s="51"/>
      <c r="V654" s="2119"/>
      <c r="W654" s="43"/>
      <c r="X654" s="43"/>
      <c r="Y654" s="43"/>
      <c r="Z654" s="43"/>
    </row>
    <row r="655" spans="1:26">
      <c r="A655" s="88">
        <v>7191</v>
      </c>
      <c r="B655" s="1032" t="s">
        <v>636</v>
      </c>
      <c r="C655" s="1033"/>
      <c r="D655" s="1033"/>
      <c r="E655" s="1033"/>
      <c r="F655" s="1033"/>
      <c r="G655" s="1033"/>
      <c r="H655" s="1033"/>
      <c r="I655" s="1033"/>
      <c r="J655" s="1033"/>
      <c r="K655" s="1033"/>
      <c r="L655" s="90"/>
      <c r="M655" s="51"/>
      <c r="N655" s="113">
        <f t="shared" si="61"/>
        <v>7191</v>
      </c>
      <c r="O655" s="575">
        <v>0</v>
      </c>
      <c r="P655" s="582">
        <v>0</v>
      </c>
      <c r="Q655" s="589"/>
      <c r="R655" s="576"/>
      <c r="S655" s="583">
        <f t="shared" si="62"/>
        <v>0</v>
      </c>
      <c r="T655" s="580">
        <f t="shared" si="63"/>
        <v>0</v>
      </c>
      <c r="U655" s="51"/>
      <c r="V655" s="2119"/>
      <c r="W655" s="43"/>
      <c r="X655" s="43"/>
      <c r="Y655" s="43"/>
      <c r="Z655" s="43"/>
    </row>
    <row r="656" spans="1:26">
      <c r="A656" s="88">
        <v>7192</v>
      </c>
      <c r="B656" s="1032" t="s">
        <v>637</v>
      </c>
      <c r="C656" s="1033"/>
      <c r="D656" s="1033"/>
      <c r="E656" s="1033"/>
      <c r="F656" s="1033"/>
      <c r="G656" s="1033"/>
      <c r="H656" s="1033"/>
      <c r="I656" s="1033"/>
      <c r="J656" s="1033"/>
      <c r="K656" s="1033"/>
      <c r="L656" s="90"/>
      <c r="M656" s="51"/>
      <c r="N656" s="113">
        <f t="shared" si="61"/>
        <v>7192</v>
      </c>
      <c r="O656" s="575">
        <v>0</v>
      </c>
      <c r="P656" s="582">
        <v>0</v>
      </c>
      <c r="Q656" s="589"/>
      <c r="R656" s="576"/>
      <c r="S656" s="583">
        <f t="shared" si="62"/>
        <v>0</v>
      </c>
      <c r="T656" s="580">
        <f t="shared" si="63"/>
        <v>0</v>
      </c>
      <c r="U656" s="51"/>
      <c r="V656" s="2119"/>
      <c r="W656" s="43"/>
      <c r="X656" s="43"/>
      <c r="Y656" s="43"/>
      <c r="Z656" s="43"/>
    </row>
    <row r="657" spans="1:26">
      <c r="A657" s="88">
        <v>7198</v>
      </c>
      <c r="B657" s="1032" t="s">
        <v>638</v>
      </c>
      <c r="C657" s="1033"/>
      <c r="D657" s="1033"/>
      <c r="E657" s="1033"/>
      <c r="F657" s="1033"/>
      <c r="G657" s="1033"/>
      <c r="H657" s="1033"/>
      <c r="I657" s="1033"/>
      <c r="J657" s="1033"/>
      <c r="K657" s="1033"/>
      <c r="L657" s="90"/>
      <c r="M657" s="51"/>
      <c r="N657" s="113">
        <f t="shared" si="61"/>
        <v>7198</v>
      </c>
      <c r="O657" s="575">
        <v>0</v>
      </c>
      <c r="P657" s="582">
        <v>0</v>
      </c>
      <c r="Q657" s="589"/>
      <c r="R657" s="576"/>
      <c r="S657" s="583">
        <f t="shared" si="62"/>
        <v>0</v>
      </c>
      <c r="T657" s="580">
        <f t="shared" si="63"/>
        <v>0</v>
      </c>
      <c r="U657" s="51"/>
      <c r="V657" s="2119"/>
      <c r="W657" s="43"/>
      <c r="X657" s="43"/>
      <c r="Y657" s="43"/>
      <c r="Z657" s="43"/>
    </row>
    <row r="658" spans="1:26">
      <c r="A658" s="88">
        <v>7199</v>
      </c>
      <c r="B658" s="1032" t="s">
        <v>639</v>
      </c>
      <c r="C658" s="1033"/>
      <c r="D658" s="1033"/>
      <c r="E658" s="1033"/>
      <c r="F658" s="1033"/>
      <c r="G658" s="1033"/>
      <c r="H658" s="1033"/>
      <c r="I658" s="1033"/>
      <c r="J658" s="1033"/>
      <c r="K658" s="1033"/>
      <c r="L658" s="90"/>
      <c r="M658" s="51"/>
      <c r="N658" s="113">
        <f t="shared" si="61"/>
        <v>7199</v>
      </c>
      <c r="O658" s="575">
        <v>0</v>
      </c>
      <c r="P658" s="582">
        <v>0</v>
      </c>
      <c r="Q658" s="589">
        <v>0</v>
      </c>
      <c r="R658" s="576">
        <v>0</v>
      </c>
      <c r="S658" s="583">
        <f t="shared" si="62"/>
        <v>0</v>
      </c>
      <c r="T658" s="580">
        <f t="shared" si="63"/>
        <v>0</v>
      </c>
      <c r="U658" s="51"/>
      <c r="V658" s="2119"/>
      <c r="W658" s="43"/>
      <c r="X658" s="43"/>
      <c r="Y658" s="43"/>
      <c r="Z658" s="43"/>
    </row>
    <row r="659" spans="1:26">
      <c r="A659" s="88">
        <v>7200</v>
      </c>
      <c r="B659" s="1033" t="s">
        <v>692</v>
      </c>
      <c r="C659" s="1033"/>
      <c r="D659" s="1033"/>
      <c r="E659" s="1033"/>
      <c r="F659" s="1033"/>
      <c r="G659" s="1033"/>
      <c r="H659" s="1033"/>
      <c r="I659" s="1033"/>
      <c r="J659" s="1033"/>
      <c r="K659" s="1033"/>
      <c r="L659" s="90"/>
      <c r="M659" s="51"/>
      <c r="N659" s="113">
        <f t="shared" si="61"/>
        <v>7200</v>
      </c>
      <c r="O659" s="575">
        <v>0</v>
      </c>
      <c r="P659" s="582">
        <v>0</v>
      </c>
      <c r="Q659" s="589"/>
      <c r="R659" s="576"/>
      <c r="S659" s="583">
        <f t="shared" si="62"/>
        <v>0</v>
      </c>
      <c r="T659" s="580">
        <f t="shared" si="63"/>
        <v>0</v>
      </c>
      <c r="U659" s="51"/>
      <c r="V659" s="2119"/>
      <c r="W659" s="43"/>
      <c r="X659" s="43"/>
      <c r="Y659" s="43"/>
      <c r="Z659" s="43"/>
    </row>
    <row r="660" spans="1:26">
      <c r="A660" s="88">
        <v>7211</v>
      </c>
      <c r="B660" s="1032" t="s">
        <v>640</v>
      </c>
      <c r="C660" s="1033"/>
      <c r="D660" s="1033"/>
      <c r="E660" s="1033"/>
      <c r="F660" s="1033"/>
      <c r="G660" s="1033"/>
      <c r="H660" s="1033"/>
      <c r="I660" s="1033"/>
      <c r="J660" s="1033"/>
      <c r="K660" s="1033"/>
      <c r="L660" s="90"/>
      <c r="M660" s="51"/>
      <c r="N660" s="113">
        <f t="shared" si="61"/>
        <v>7211</v>
      </c>
      <c r="O660" s="575">
        <v>0</v>
      </c>
      <c r="P660" s="582">
        <v>0</v>
      </c>
      <c r="Q660" s="589"/>
      <c r="R660" s="576"/>
      <c r="S660" s="583">
        <f t="shared" si="62"/>
        <v>0</v>
      </c>
      <c r="T660" s="580">
        <f t="shared" si="63"/>
        <v>0</v>
      </c>
      <c r="U660" s="51"/>
      <c r="V660" s="2119"/>
      <c r="W660" s="43"/>
      <c r="X660" s="43"/>
      <c r="Y660" s="43"/>
      <c r="Z660" s="43"/>
    </row>
    <row r="661" spans="1:26">
      <c r="A661" s="88">
        <v>7212</v>
      </c>
      <c r="B661" s="1032" t="s">
        <v>641</v>
      </c>
      <c r="C661" s="1033"/>
      <c r="D661" s="1033"/>
      <c r="E661" s="1033"/>
      <c r="F661" s="1033"/>
      <c r="G661" s="1033"/>
      <c r="H661" s="1033"/>
      <c r="I661" s="1033"/>
      <c r="J661" s="1033"/>
      <c r="K661" s="1033"/>
      <c r="L661" s="90"/>
      <c r="M661" s="51"/>
      <c r="N661" s="113">
        <f t="shared" si="61"/>
        <v>7212</v>
      </c>
      <c r="O661" s="575">
        <v>0</v>
      </c>
      <c r="P661" s="582">
        <v>0</v>
      </c>
      <c r="Q661" s="589"/>
      <c r="R661" s="576"/>
      <c r="S661" s="583">
        <f t="shared" si="62"/>
        <v>0</v>
      </c>
      <c r="T661" s="580">
        <f t="shared" si="63"/>
        <v>0</v>
      </c>
      <c r="U661" s="51"/>
      <c r="V661" s="2119"/>
      <c r="W661" s="43"/>
      <c r="X661" s="43"/>
      <c r="Y661" s="43"/>
      <c r="Z661" s="43"/>
    </row>
    <row r="662" spans="1:26">
      <c r="A662" s="88">
        <v>7215</v>
      </c>
      <c r="B662" s="1032" t="s">
        <v>642</v>
      </c>
      <c r="C662" s="1033"/>
      <c r="D662" s="1033"/>
      <c r="E662" s="1033"/>
      <c r="F662" s="1033"/>
      <c r="G662" s="1033"/>
      <c r="H662" s="1033"/>
      <c r="I662" s="1033"/>
      <c r="J662" s="1033"/>
      <c r="K662" s="1033"/>
      <c r="L662" s="90"/>
      <c r="M662" s="51"/>
      <c r="N662" s="113">
        <f t="shared" si="61"/>
        <v>7215</v>
      </c>
      <c r="O662" s="575">
        <v>0</v>
      </c>
      <c r="P662" s="582">
        <v>0</v>
      </c>
      <c r="Q662" s="589"/>
      <c r="R662" s="576"/>
      <c r="S662" s="583">
        <f t="shared" si="62"/>
        <v>0</v>
      </c>
      <c r="T662" s="580">
        <f t="shared" si="63"/>
        <v>0</v>
      </c>
      <c r="U662" s="51"/>
      <c r="V662" s="2119"/>
      <c r="W662" s="43"/>
      <c r="X662" s="43"/>
      <c r="Y662" s="43"/>
      <c r="Z662" s="43"/>
    </row>
    <row r="663" spans="1:26">
      <c r="A663" s="88">
        <v>7216</v>
      </c>
      <c r="B663" s="1032" t="s">
        <v>643</v>
      </c>
      <c r="C663" s="1033"/>
      <c r="D663" s="1033"/>
      <c r="E663" s="1033"/>
      <c r="F663" s="1033"/>
      <c r="G663" s="1033"/>
      <c r="H663" s="1033"/>
      <c r="I663" s="1033"/>
      <c r="J663" s="1033"/>
      <c r="K663" s="1033"/>
      <c r="L663" s="90"/>
      <c r="M663" s="51"/>
      <c r="N663" s="113">
        <f t="shared" si="61"/>
        <v>7216</v>
      </c>
      <c r="O663" s="575">
        <v>0</v>
      </c>
      <c r="P663" s="582">
        <v>0</v>
      </c>
      <c r="Q663" s="589"/>
      <c r="R663" s="576"/>
      <c r="S663" s="583">
        <f t="shared" si="62"/>
        <v>0</v>
      </c>
      <c r="T663" s="580">
        <f t="shared" si="63"/>
        <v>0</v>
      </c>
      <c r="U663" s="51"/>
      <c r="V663" s="2119"/>
      <c r="W663" s="43"/>
      <c r="X663" s="43"/>
      <c r="Y663" s="43"/>
      <c r="Z663" s="43"/>
    </row>
    <row r="664" spans="1:26">
      <c r="A664" s="88">
        <v>7217</v>
      </c>
      <c r="B664" s="1032" t="s">
        <v>644</v>
      </c>
      <c r="C664" s="1033"/>
      <c r="D664" s="1033"/>
      <c r="E664" s="1033"/>
      <c r="F664" s="1033"/>
      <c r="G664" s="1033"/>
      <c r="H664" s="1033"/>
      <c r="I664" s="1033"/>
      <c r="J664" s="1033"/>
      <c r="K664" s="1033"/>
      <c r="L664" s="90"/>
      <c r="M664" s="51"/>
      <c r="N664" s="113">
        <f t="shared" si="61"/>
        <v>7217</v>
      </c>
      <c r="O664" s="575">
        <v>0</v>
      </c>
      <c r="P664" s="582">
        <v>0</v>
      </c>
      <c r="Q664" s="589"/>
      <c r="R664" s="576"/>
      <c r="S664" s="583">
        <f t="shared" si="62"/>
        <v>0</v>
      </c>
      <c r="T664" s="580">
        <f t="shared" si="63"/>
        <v>0</v>
      </c>
      <c r="U664" s="51"/>
      <c r="V664" s="2119"/>
      <c r="W664" s="43"/>
      <c r="X664" s="43"/>
      <c r="Y664" s="43"/>
      <c r="Z664" s="43"/>
    </row>
    <row r="665" spans="1:26">
      <c r="A665" s="88">
        <v>7218</v>
      </c>
      <c r="B665" s="1032" t="s">
        <v>645</v>
      </c>
      <c r="C665" s="1033"/>
      <c r="D665" s="1033"/>
      <c r="E665" s="1033"/>
      <c r="F665" s="1033"/>
      <c r="G665" s="1033"/>
      <c r="H665" s="1033"/>
      <c r="I665" s="1033"/>
      <c r="J665" s="1033"/>
      <c r="K665" s="1033"/>
      <c r="L665" s="90"/>
      <c r="M665" s="51"/>
      <c r="N665" s="113">
        <f t="shared" si="61"/>
        <v>7218</v>
      </c>
      <c r="O665" s="575">
        <v>0</v>
      </c>
      <c r="P665" s="582">
        <v>0</v>
      </c>
      <c r="Q665" s="589"/>
      <c r="R665" s="576"/>
      <c r="S665" s="583">
        <f t="shared" si="62"/>
        <v>0</v>
      </c>
      <c r="T665" s="580">
        <f t="shared" si="63"/>
        <v>0</v>
      </c>
      <c r="U665" s="51"/>
      <c r="V665" s="2119"/>
      <c r="W665" s="43"/>
      <c r="X665" s="43"/>
      <c r="Y665" s="43"/>
      <c r="Z665" s="43"/>
    </row>
    <row r="666" spans="1:26">
      <c r="A666" s="88">
        <v>7219</v>
      </c>
      <c r="B666" s="1032" t="s">
        <v>646</v>
      </c>
      <c r="C666" s="1033"/>
      <c r="D666" s="1033"/>
      <c r="E666" s="1033"/>
      <c r="F666" s="1033"/>
      <c r="G666" s="1033"/>
      <c r="H666" s="1033"/>
      <c r="I666" s="1033"/>
      <c r="J666" s="1033"/>
      <c r="K666" s="1033"/>
      <c r="L666" s="90"/>
      <c r="M666" s="51"/>
      <c r="N666" s="113">
        <f t="shared" ref="N666:N729" si="64">+A666</f>
        <v>7219</v>
      </c>
      <c r="O666" s="8">
        <v>0</v>
      </c>
      <c r="P666" s="9">
        <v>0</v>
      </c>
      <c r="Q666" s="122"/>
      <c r="R666" s="121"/>
      <c r="S666" s="583">
        <f t="shared" ref="S666:S729" si="65">+IF(ABS(+O666+Q666)&gt;=ABS(P666+R666),+O666-P666+Q666-R666,0)</f>
        <v>0</v>
      </c>
      <c r="T666" s="580">
        <f t="shared" si="63"/>
        <v>0</v>
      </c>
      <c r="U666" s="51"/>
      <c r="V666" s="2119"/>
      <c r="W666" s="43"/>
      <c r="X666" s="43"/>
      <c r="Y666" s="43"/>
      <c r="Z666" s="43"/>
    </row>
    <row r="667" spans="1:26">
      <c r="A667" s="91">
        <v>7220</v>
      </c>
      <c r="B667" s="92" t="s">
        <v>647</v>
      </c>
      <c r="C667" s="92"/>
      <c r="D667" s="92"/>
      <c r="E667" s="92"/>
      <c r="F667" s="92"/>
      <c r="G667" s="92"/>
      <c r="H667" s="92"/>
      <c r="I667" s="92"/>
      <c r="J667" s="92"/>
      <c r="K667" s="92"/>
      <c r="L667" s="93"/>
      <c r="M667" s="51"/>
      <c r="N667" s="114">
        <f t="shared" si="64"/>
        <v>7220</v>
      </c>
      <c r="O667" s="10">
        <v>0</v>
      </c>
      <c r="P667" s="11">
        <v>0</v>
      </c>
      <c r="Q667" s="31">
        <v>0</v>
      </c>
      <c r="R667" s="11">
        <v>0</v>
      </c>
      <c r="S667" s="829">
        <f t="shared" si="65"/>
        <v>0</v>
      </c>
      <c r="T667" s="828">
        <f t="shared" si="63"/>
        <v>0</v>
      </c>
      <c r="U667" s="51"/>
      <c r="V667" s="2125">
        <f>+IF(OR(O667&lt;&gt;0,P667&lt;&gt;0,Q667&lt;&gt;0,R667&lt;&gt;0,S667&lt;&gt;0,T667&lt;&gt;0),+IF(ABS(O667+Q667)-ABS(P667+R667)&lt;&gt;0,ABS(O667+Q667)-ABS(P667+R667),1),0)</f>
        <v>0</v>
      </c>
      <c r="W667" s="43"/>
      <c r="X667" s="43"/>
      <c r="Y667" s="43"/>
      <c r="Z667" s="43"/>
    </row>
    <row r="668" spans="1:26">
      <c r="A668" s="88">
        <v>7221</v>
      </c>
      <c r="B668" s="1033" t="s">
        <v>648</v>
      </c>
      <c r="C668" s="1033"/>
      <c r="D668" s="1033"/>
      <c r="E668" s="1033"/>
      <c r="F668" s="1033"/>
      <c r="G668" s="1033"/>
      <c r="H668" s="1033"/>
      <c r="I668" s="1033"/>
      <c r="J668" s="1033"/>
      <c r="K668" s="1033"/>
      <c r="L668" s="90"/>
      <c r="M668" s="51"/>
      <c r="N668" s="113">
        <f t="shared" si="64"/>
        <v>7221</v>
      </c>
      <c r="O668" s="8">
        <v>0</v>
      </c>
      <c r="P668" s="9">
        <v>0</v>
      </c>
      <c r="Q668" s="122"/>
      <c r="R668" s="121"/>
      <c r="S668" s="27">
        <f t="shared" si="65"/>
        <v>0</v>
      </c>
      <c r="T668" s="28">
        <f t="shared" si="63"/>
        <v>0</v>
      </c>
      <c r="U668" s="51"/>
      <c r="V668" s="2119"/>
      <c r="W668" s="43"/>
      <c r="X668" s="43"/>
      <c r="Y668" s="43"/>
      <c r="Z668" s="43"/>
    </row>
    <row r="669" spans="1:26">
      <c r="A669" s="88">
        <v>7222</v>
      </c>
      <c r="B669" s="1033" t="s">
        <v>649</v>
      </c>
      <c r="C669" s="1033"/>
      <c r="D669" s="1033"/>
      <c r="E669" s="1033"/>
      <c r="F669" s="1033"/>
      <c r="G669" s="1033"/>
      <c r="H669" s="1033"/>
      <c r="I669" s="1033"/>
      <c r="J669" s="1033"/>
      <c r="K669" s="1033"/>
      <c r="L669" s="90"/>
      <c r="M669" s="51"/>
      <c r="N669" s="113">
        <f t="shared" si="64"/>
        <v>7222</v>
      </c>
      <c r="O669" s="8">
        <v>0</v>
      </c>
      <c r="P669" s="9">
        <v>0</v>
      </c>
      <c r="Q669" s="589"/>
      <c r="R669" s="576"/>
      <c r="S669" s="27">
        <f t="shared" si="65"/>
        <v>0</v>
      </c>
      <c r="T669" s="28">
        <f t="shared" si="63"/>
        <v>0</v>
      </c>
      <c r="U669" s="51"/>
      <c r="V669" s="2119"/>
      <c r="W669" s="43"/>
      <c r="X669" s="43"/>
      <c r="Y669" s="43"/>
      <c r="Z669" s="43"/>
    </row>
    <row r="670" spans="1:26">
      <c r="A670" s="88">
        <v>7223</v>
      </c>
      <c r="B670" s="1033" t="s">
        <v>650</v>
      </c>
      <c r="C670" s="1033"/>
      <c r="D670" s="1033"/>
      <c r="E670" s="1033"/>
      <c r="F670" s="1033"/>
      <c r="G670" s="1033"/>
      <c r="H670" s="1033"/>
      <c r="I670" s="1033"/>
      <c r="J670" s="1033"/>
      <c r="K670" s="1033"/>
      <c r="L670" s="90"/>
      <c r="M670" s="51"/>
      <c r="N670" s="113">
        <f t="shared" si="64"/>
        <v>7223</v>
      </c>
      <c r="O670" s="575">
        <v>0</v>
      </c>
      <c r="P670" s="582">
        <v>0</v>
      </c>
      <c r="Q670" s="589"/>
      <c r="R670" s="576"/>
      <c r="S670" s="583">
        <f t="shared" si="65"/>
        <v>0</v>
      </c>
      <c r="T670" s="580">
        <f t="shared" si="63"/>
        <v>0</v>
      </c>
      <c r="U670" s="51"/>
      <c r="V670" s="2119"/>
      <c r="W670" s="43"/>
      <c r="X670" s="43"/>
      <c r="Y670" s="43"/>
      <c r="Z670" s="43"/>
    </row>
    <row r="671" spans="1:26">
      <c r="A671" s="88">
        <v>7224</v>
      </c>
      <c r="B671" s="1033" t="s">
        <v>651</v>
      </c>
      <c r="C671" s="1033"/>
      <c r="D671" s="1033"/>
      <c r="E671" s="1033"/>
      <c r="F671" s="1033"/>
      <c r="G671" s="1033"/>
      <c r="H671" s="1033"/>
      <c r="I671" s="1033"/>
      <c r="J671" s="1033"/>
      <c r="K671" s="1033"/>
      <c r="L671" s="90"/>
      <c r="M671" s="51"/>
      <c r="N671" s="113">
        <f t="shared" si="64"/>
        <v>7224</v>
      </c>
      <c r="O671" s="575">
        <v>0</v>
      </c>
      <c r="P671" s="582">
        <v>0</v>
      </c>
      <c r="Q671" s="589"/>
      <c r="R671" s="576"/>
      <c r="S671" s="583">
        <f t="shared" si="65"/>
        <v>0</v>
      </c>
      <c r="T671" s="580">
        <f t="shared" si="63"/>
        <v>0</v>
      </c>
      <c r="U671" s="51"/>
      <c r="V671" s="2119"/>
      <c r="W671" s="43"/>
      <c r="X671" s="43"/>
      <c r="Y671" s="43"/>
      <c r="Z671" s="43"/>
    </row>
    <row r="672" spans="1:26">
      <c r="A672" s="88">
        <v>7226</v>
      </c>
      <c r="B672" s="1033" t="s">
        <v>652</v>
      </c>
      <c r="C672" s="1033"/>
      <c r="D672" s="1033"/>
      <c r="E672" s="1033"/>
      <c r="F672" s="1033"/>
      <c r="G672" s="1033"/>
      <c r="H672" s="1033"/>
      <c r="I672" s="1033"/>
      <c r="J672" s="1033"/>
      <c r="K672" s="1033"/>
      <c r="L672" s="90"/>
      <c r="M672" s="51"/>
      <c r="N672" s="113">
        <f t="shared" si="64"/>
        <v>7226</v>
      </c>
      <c r="O672" s="575">
        <v>0</v>
      </c>
      <c r="P672" s="582">
        <v>0</v>
      </c>
      <c r="Q672" s="589"/>
      <c r="R672" s="576"/>
      <c r="S672" s="583">
        <f t="shared" si="65"/>
        <v>0</v>
      </c>
      <c r="T672" s="580">
        <f t="shared" si="63"/>
        <v>0</v>
      </c>
      <c r="U672" s="51"/>
      <c r="V672" s="2119"/>
      <c r="W672" s="43"/>
      <c r="X672" s="43"/>
      <c r="Y672" s="43"/>
      <c r="Z672" s="43"/>
    </row>
    <row r="673" spans="1:26">
      <c r="A673" s="88">
        <v>7229</v>
      </c>
      <c r="B673" s="1033" t="s">
        <v>653</v>
      </c>
      <c r="C673" s="1033"/>
      <c r="D673" s="1033"/>
      <c r="E673" s="1033"/>
      <c r="F673" s="1033"/>
      <c r="G673" s="1033"/>
      <c r="H673" s="1033"/>
      <c r="I673" s="1033"/>
      <c r="J673" s="1033"/>
      <c r="K673" s="1033"/>
      <c r="L673" s="90"/>
      <c r="M673" s="51"/>
      <c r="N673" s="113">
        <f t="shared" si="64"/>
        <v>7229</v>
      </c>
      <c r="O673" s="575">
        <v>0</v>
      </c>
      <c r="P673" s="582">
        <v>0</v>
      </c>
      <c r="Q673" s="589"/>
      <c r="R673" s="576"/>
      <c r="S673" s="583">
        <f t="shared" si="65"/>
        <v>0</v>
      </c>
      <c r="T673" s="580">
        <f t="shared" ref="T673:T736" si="66">+IF(ABS(+O673+Q673)&lt;=ABS(P673+R673),-O673+P673-Q673+R673,0)</f>
        <v>0</v>
      </c>
      <c r="U673" s="51"/>
      <c r="V673" s="2119"/>
      <c r="W673" s="43"/>
      <c r="X673" s="43"/>
      <c r="Y673" s="43"/>
      <c r="Z673" s="43"/>
    </row>
    <row r="674" spans="1:26">
      <c r="A674" s="88">
        <v>7231</v>
      </c>
      <c r="B674" s="1033" t="s">
        <v>654</v>
      </c>
      <c r="C674" s="1033"/>
      <c r="D674" s="1033"/>
      <c r="E674" s="1033"/>
      <c r="F674" s="1033"/>
      <c r="G674" s="1033"/>
      <c r="H674" s="1033"/>
      <c r="I674" s="1033"/>
      <c r="J674" s="1033"/>
      <c r="K674" s="1033"/>
      <c r="L674" s="90"/>
      <c r="M674" s="51"/>
      <c r="N674" s="113">
        <f t="shared" si="64"/>
        <v>7231</v>
      </c>
      <c r="O674" s="575">
        <v>0</v>
      </c>
      <c r="P674" s="582">
        <v>0</v>
      </c>
      <c r="Q674" s="589"/>
      <c r="R674" s="576"/>
      <c r="S674" s="583">
        <f t="shared" si="65"/>
        <v>0</v>
      </c>
      <c r="T674" s="580">
        <f t="shared" si="66"/>
        <v>0</v>
      </c>
      <c r="U674" s="51"/>
      <c r="V674" s="2119"/>
      <c r="W674" s="43"/>
      <c r="X674" s="43"/>
      <c r="Y674" s="43"/>
      <c r="Z674" s="43"/>
    </row>
    <row r="675" spans="1:26">
      <c r="A675" s="88">
        <v>7232</v>
      </c>
      <c r="B675" s="1033" t="s">
        <v>0</v>
      </c>
      <c r="C675" s="1033"/>
      <c r="D675" s="1033"/>
      <c r="E675" s="1033"/>
      <c r="F675" s="1033"/>
      <c r="G675" s="1033"/>
      <c r="H675" s="1033"/>
      <c r="I675" s="1033"/>
      <c r="J675" s="1033"/>
      <c r="K675" s="1033"/>
      <c r="L675" s="90"/>
      <c r="M675" s="51"/>
      <c r="N675" s="113">
        <f t="shared" si="64"/>
        <v>7232</v>
      </c>
      <c r="O675" s="575">
        <v>0</v>
      </c>
      <c r="P675" s="582">
        <v>0</v>
      </c>
      <c r="Q675" s="589"/>
      <c r="R675" s="576"/>
      <c r="S675" s="583">
        <f t="shared" si="65"/>
        <v>0</v>
      </c>
      <c r="T675" s="580">
        <f t="shared" si="66"/>
        <v>0</v>
      </c>
      <c r="U675" s="51"/>
      <c r="V675" s="2119"/>
      <c r="W675" s="43"/>
      <c r="X675" s="43"/>
      <c r="Y675" s="43"/>
      <c r="Z675" s="43"/>
    </row>
    <row r="676" spans="1:26">
      <c r="A676" s="88">
        <v>7241</v>
      </c>
      <c r="B676" s="1033" t="s">
        <v>1</v>
      </c>
      <c r="C676" s="1033"/>
      <c r="D676" s="1033"/>
      <c r="E676" s="1033"/>
      <c r="F676" s="1033"/>
      <c r="G676" s="1033"/>
      <c r="H676" s="1033"/>
      <c r="I676" s="1033"/>
      <c r="J676" s="1033"/>
      <c r="K676" s="1033"/>
      <c r="L676" s="90"/>
      <c r="M676" s="51"/>
      <c r="N676" s="113">
        <f t="shared" si="64"/>
        <v>7241</v>
      </c>
      <c r="O676" s="575">
        <v>0</v>
      </c>
      <c r="P676" s="582">
        <v>0</v>
      </c>
      <c r="Q676" s="589"/>
      <c r="R676" s="576"/>
      <c r="S676" s="583">
        <f t="shared" si="65"/>
        <v>0</v>
      </c>
      <c r="T676" s="580">
        <f t="shared" si="66"/>
        <v>0</v>
      </c>
      <c r="U676" s="51"/>
      <c r="V676" s="2119"/>
      <c r="W676" s="43"/>
      <c r="X676" s="43"/>
      <c r="Y676" s="43"/>
      <c r="Z676" s="43"/>
    </row>
    <row r="677" spans="1:26">
      <c r="A677" s="88">
        <v>7242</v>
      </c>
      <c r="B677" s="1033" t="s">
        <v>2</v>
      </c>
      <c r="C677" s="1033"/>
      <c r="D677" s="1033"/>
      <c r="E677" s="1033"/>
      <c r="F677" s="1033"/>
      <c r="G677" s="1033"/>
      <c r="H677" s="1033"/>
      <c r="I677" s="1033"/>
      <c r="J677" s="1033"/>
      <c r="K677" s="1033"/>
      <c r="L677" s="90"/>
      <c r="M677" s="51"/>
      <c r="N677" s="113">
        <f t="shared" si="64"/>
        <v>7242</v>
      </c>
      <c r="O677" s="575">
        <v>0</v>
      </c>
      <c r="P677" s="582">
        <v>0</v>
      </c>
      <c r="Q677" s="589"/>
      <c r="R677" s="576"/>
      <c r="S677" s="583">
        <f t="shared" si="65"/>
        <v>0</v>
      </c>
      <c r="T677" s="580">
        <f t="shared" si="66"/>
        <v>0</v>
      </c>
      <c r="U677" s="51"/>
      <c r="V677" s="2119"/>
      <c r="W677" s="43"/>
      <c r="X677" s="43"/>
      <c r="Y677" s="43"/>
      <c r="Z677" s="43"/>
    </row>
    <row r="678" spans="1:26" ht="15.75" customHeight="1">
      <c r="A678" s="88">
        <v>7250</v>
      </c>
      <c r="B678" s="378" t="s">
        <v>3</v>
      </c>
      <c r="C678" s="1033"/>
      <c r="D678" s="1033"/>
      <c r="E678" s="1033"/>
      <c r="F678" s="1033"/>
      <c r="G678" s="1033"/>
      <c r="H678" s="1033"/>
      <c r="I678" s="1033"/>
      <c r="J678" s="1033"/>
      <c r="K678" s="1033"/>
      <c r="L678" s="90"/>
      <c r="M678" s="51"/>
      <c r="N678" s="113">
        <f t="shared" si="64"/>
        <v>7250</v>
      </c>
      <c r="O678" s="575">
        <v>0</v>
      </c>
      <c r="P678" s="582">
        <v>0</v>
      </c>
      <c r="Q678" s="589"/>
      <c r="R678" s="576"/>
      <c r="S678" s="583">
        <f t="shared" si="65"/>
        <v>0</v>
      </c>
      <c r="T678" s="580">
        <f t="shared" si="66"/>
        <v>0</v>
      </c>
      <c r="U678" s="51"/>
      <c r="V678" s="2119"/>
      <c r="W678" s="43"/>
      <c r="X678" s="43"/>
      <c r="Y678" s="43"/>
      <c r="Z678" s="43"/>
    </row>
    <row r="679" spans="1:26">
      <c r="A679" s="88">
        <v>7251</v>
      </c>
      <c r="B679" s="1033" t="s">
        <v>4</v>
      </c>
      <c r="C679" s="1033"/>
      <c r="D679" s="1033"/>
      <c r="E679" s="1033"/>
      <c r="F679" s="1033"/>
      <c r="G679" s="1033"/>
      <c r="H679" s="1033"/>
      <c r="I679" s="1033"/>
      <c r="J679" s="1033"/>
      <c r="K679" s="1033"/>
      <c r="L679" s="90"/>
      <c r="M679" s="51"/>
      <c r="N679" s="113">
        <f t="shared" si="64"/>
        <v>7251</v>
      </c>
      <c r="O679" s="575">
        <v>0</v>
      </c>
      <c r="P679" s="582">
        <v>0</v>
      </c>
      <c r="Q679" s="589">
        <v>0</v>
      </c>
      <c r="R679" s="576">
        <v>0</v>
      </c>
      <c r="S679" s="583">
        <f t="shared" si="65"/>
        <v>0</v>
      </c>
      <c r="T679" s="580">
        <f t="shared" si="66"/>
        <v>0</v>
      </c>
      <c r="U679" s="51"/>
      <c r="V679" s="2119"/>
      <c r="W679" s="43"/>
      <c r="X679" s="43"/>
      <c r="Y679" s="43"/>
      <c r="Z679" s="43"/>
    </row>
    <row r="680" spans="1:26">
      <c r="A680" s="88">
        <v>7252</v>
      </c>
      <c r="B680" s="1033" t="s">
        <v>5</v>
      </c>
      <c r="C680" s="1033"/>
      <c r="D680" s="1033"/>
      <c r="E680" s="1033"/>
      <c r="F680" s="1033"/>
      <c r="G680" s="1033"/>
      <c r="H680" s="1033"/>
      <c r="I680" s="1033"/>
      <c r="J680" s="1033"/>
      <c r="K680" s="1033"/>
      <c r="L680" s="90"/>
      <c r="M680" s="51"/>
      <c r="N680" s="113">
        <f t="shared" si="64"/>
        <v>7252</v>
      </c>
      <c r="O680" s="575">
        <v>0</v>
      </c>
      <c r="P680" s="582">
        <v>0</v>
      </c>
      <c r="Q680" s="589">
        <v>0</v>
      </c>
      <c r="R680" s="576">
        <v>0</v>
      </c>
      <c r="S680" s="583">
        <f t="shared" si="65"/>
        <v>0</v>
      </c>
      <c r="T680" s="580">
        <f t="shared" si="66"/>
        <v>0</v>
      </c>
      <c r="U680" s="51"/>
      <c r="V680" s="2119"/>
      <c r="W680" s="43"/>
      <c r="X680" s="43"/>
      <c r="Y680" s="43"/>
      <c r="Z680" s="43"/>
    </row>
    <row r="681" spans="1:26">
      <c r="A681" s="88">
        <v>7258</v>
      </c>
      <c r="B681" s="1033" t="s">
        <v>6</v>
      </c>
      <c r="C681" s="1033"/>
      <c r="D681" s="1033"/>
      <c r="E681" s="1033"/>
      <c r="F681" s="1033"/>
      <c r="G681" s="1033"/>
      <c r="H681" s="1033"/>
      <c r="I681" s="1033"/>
      <c r="J681" s="1033"/>
      <c r="K681" s="1033"/>
      <c r="L681" s="90"/>
      <c r="M681" s="51"/>
      <c r="N681" s="113">
        <f t="shared" si="64"/>
        <v>7258</v>
      </c>
      <c r="O681" s="575">
        <v>0</v>
      </c>
      <c r="P681" s="582">
        <v>0</v>
      </c>
      <c r="Q681" s="589"/>
      <c r="R681" s="576"/>
      <c r="S681" s="583">
        <f t="shared" si="65"/>
        <v>0</v>
      </c>
      <c r="T681" s="580">
        <f t="shared" si="66"/>
        <v>0</v>
      </c>
      <c r="U681" s="51"/>
      <c r="V681" s="2119"/>
      <c r="W681" s="43"/>
      <c r="X681" s="43"/>
      <c r="Y681" s="43"/>
      <c r="Z681" s="43"/>
    </row>
    <row r="682" spans="1:26" ht="15.75" customHeight="1">
      <c r="A682" s="88">
        <v>7270</v>
      </c>
      <c r="B682" s="378" t="s">
        <v>7</v>
      </c>
      <c r="C682" s="1033"/>
      <c r="D682" s="1033"/>
      <c r="E682" s="1033"/>
      <c r="F682" s="1033"/>
      <c r="G682" s="1033"/>
      <c r="H682" s="1033"/>
      <c r="I682" s="1033"/>
      <c r="J682" s="1033"/>
      <c r="K682" s="1033"/>
      <c r="L682" s="90"/>
      <c r="M682" s="51"/>
      <c r="N682" s="113">
        <f t="shared" si="64"/>
        <v>7270</v>
      </c>
      <c r="O682" s="575">
        <v>0</v>
      </c>
      <c r="P682" s="582">
        <v>0</v>
      </c>
      <c r="Q682" s="589"/>
      <c r="R682" s="576"/>
      <c r="S682" s="583">
        <f t="shared" si="65"/>
        <v>0</v>
      </c>
      <c r="T682" s="580">
        <f t="shared" si="66"/>
        <v>0</v>
      </c>
      <c r="U682" s="51"/>
      <c r="V682" s="2119"/>
      <c r="W682" s="43"/>
      <c r="X682" s="43"/>
      <c r="Y682" s="43"/>
      <c r="Z682" s="43"/>
    </row>
    <row r="683" spans="1:26">
      <c r="A683" s="88">
        <v>7271</v>
      </c>
      <c r="B683" s="1033" t="s">
        <v>8</v>
      </c>
      <c r="C683" s="1033"/>
      <c r="D683" s="1033"/>
      <c r="E683" s="1033"/>
      <c r="F683" s="1033"/>
      <c r="G683" s="1033"/>
      <c r="H683" s="1033"/>
      <c r="I683" s="1033"/>
      <c r="J683" s="1033"/>
      <c r="K683" s="1033"/>
      <c r="L683" s="90"/>
      <c r="M683" s="51"/>
      <c r="N683" s="113">
        <f t="shared" si="64"/>
        <v>7271</v>
      </c>
      <c r="O683" s="575">
        <v>0</v>
      </c>
      <c r="P683" s="582">
        <v>0</v>
      </c>
      <c r="Q683" s="589"/>
      <c r="R683" s="576"/>
      <c r="S683" s="583">
        <f t="shared" si="65"/>
        <v>0</v>
      </c>
      <c r="T683" s="580">
        <f t="shared" si="66"/>
        <v>0</v>
      </c>
      <c r="U683" s="51"/>
      <c r="V683" s="2119"/>
      <c r="W683" s="43"/>
      <c r="X683" s="43"/>
      <c r="Y683" s="43"/>
      <c r="Z683" s="43"/>
    </row>
    <row r="684" spans="1:26" ht="15.75" customHeight="1">
      <c r="A684" s="88">
        <v>7274</v>
      </c>
      <c r="B684" s="378" t="s">
        <v>725</v>
      </c>
      <c r="C684" s="1033"/>
      <c r="D684" s="1033"/>
      <c r="E684" s="1033"/>
      <c r="F684" s="1033"/>
      <c r="G684" s="1033"/>
      <c r="H684" s="1033"/>
      <c r="I684" s="1033"/>
      <c r="J684" s="1033"/>
      <c r="K684" s="1033"/>
      <c r="L684" s="90"/>
      <c r="M684" s="51"/>
      <c r="N684" s="113">
        <f t="shared" si="64"/>
        <v>7274</v>
      </c>
      <c r="O684" s="575">
        <v>0</v>
      </c>
      <c r="P684" s="582">
        <v>0</v>
      </c>
      <c r="Q684" s="589"/>
      <c r="R684" s="576"/>
      <c r="S684" s="583">
        <f t="shared" si="65"/>
        <v>0</v>
      </c>
      <c r="T684" s="580">
        <f t="shared" si="66"/>
        <v>0</v>
      </c>
      <c r="U684" s="51"/>
      <c r="V684" s="2119"/>
      <c r="W684" s="43"/>
      <c r="X684" s="43"/>
      <c r="Y684" s="43"/>
      <c r="Z684" s="43"/>
    </row>
    <row r="685" spans="1:26" ht="15.75" customHeight="1">
      <c r="A685" s="88">
        <v>7275</v>
      </c>
      <c r="B685" s="378" t="s">
        <v>726</v>
      </c>
      <c r="C685" s="1033"/>
      <c r="D685" s="1033"/>
      <c r="E685" s="1033"/>
      <c r="F685" s="1033"/>
      <c r="G685" s="1033"/>
      <c r="H685" s="1033"/>
      <c r="I685" s="1033"/>
      <c r="J685" s="1033"/>
      <c r="K685" s="1033"/>
      <c r="L685" s="90"/>
      <c r="M685" s="51"/>
      <c r="N685" s="113">
        <f t="shared" si="64"/>
        <v>7275</v>
      </c>
      <c r="O685" s="575">
        <v>0</v>
      </c>
      <c r="P685" s="582">
        <v>0</v>
      </c>
      <c r="Q685" s="589"/>
      <c r="R685" s="576"/>
      <c r="S685" s="583">
        <f t="shared" si="65"/>
        <v>0</v>
      </c>
      <c r="T685" s="580">
        <f t="shared" si="66"/>
        <v>0</v>
      </c>
      <c r="U685" s="51"/>
      <c r="V685" s="2119"/>
      <c r="W685" s="43"/>
      <c r="X685" s="43"/>
      <c r="Y685" s="43"/>
      <c r="Z685" s="43"/>
    </row>
    <row r="686" spans="1:26">
      <c r="A686" s="88">
        <v>7277</v>
      </c>
      <c r="B686" s="1033" t="s">
        <v>727</v>
      </c>
      <c r="C686" s="1033"/>
      <c r="D686" s="1033"/>
      <c r="E686" s="1033"/>
      <c r="F686" s="1033"/>
      <c r="G686" s="1033"/>
      <c r="H686" s="1033"/>
      <c r="I686" s="1033"/>
      <c r="J686" s="1033"/>
      <c r="K686" s="1033"/>
      <c r="L686" s="90"/>
      <c r="M686" s="51"/>
      <c r="N686" s="113">
        <f t="shared" si="64"/>
        <v>7277</v>
      </c>
      <c r="O686" s="575">
        <v>0</v>
      </c>
      <c r="P686" s="582">
        <v>0</v>
      </c>
      <c r="Q686" s="589"/>
      <c r="R686" s="576"/>
      <c r="S686" s="583">
        <f t="shared" si="65"/>
        <v>0</v>
      </c>
      <c r="T686" s="580">
        <f t="shared" si="66"/>
        <v>0</v>
      </c>
      <c r="U686" s="51"/>
      <c r="V686" s="2119"/>
      <c r="W686" s="43"/>
      <c r="X686" s="43"/>
      <c r="Y686" s="43"/>
      <c r="Z686" s="43"/>
    </row>
    <row r="687" spans="1:26">
      <c r="A687" s="88">
        <v>7278</v>
      </c>
      <c r="B687" s="1033" t="s">
        <v>728</v>
      </c>
      <c r="C687" s="1033"/>
      <c r="D687" s="1033"/>
      <c r="E687" s="1033"/>
      <c r="F687" s="1033"/>
      <c r="G687" s="1033"/>
      <c r="H687" s="1033"/>
      <c r="I687" s="1033"/>
      <c r="J687" s="1033"/>
      <c r="K687" s="1033"/>
      <c r="L687" s="90"/>
      <c r="M687" s="51"/>
      <c r="N687" s="113">
        <f t="shared" si="64"/>
        <v>7278</v>
      </c>
      <c r="O687" s="575">
        <v>0</v>
      </c>
      <c r="P687" s="582">
        <v>0</v>
      </c>
      <c r="Q687" s="589"/>
      <c r="R687" s="576"/>
      <c r="S687" s="583">
        <f t="shared" si="65"/>
        <v>0</v>
      </c>
      <c r="T687" s="580">
        <f t="shared" si="66"/>
        <v>0</v>
      </c>
      <c r="U687" s="51"/>
      <c r="V687" s="2119"/>
      <c r="W687" s="43"/>
      <c r="X687" s="43"/>
      <c r="Y687" s="43"/>
      <c r="Z687" s="43"/>
    </row>
    <row r="688" spans="1:26">
      <c r="A688" s="88">
        <v>7282</v>
      </c>
      <c r="B688" s="1033" t="s">
        <v>729</v>
      </c>
      <c r="C688" s="1033"/>
      <c r="D688" s="1033"/>
      <c r="E688" s="1033"/>
      <c r="F688" s="1033"/>
      <c r="G688" s="1033"/>
      <c r="H688" s="1033"/>
      <c r="I688" s="1033"/>
      <c r="J688" s="1033"/>
      <c r="K688" s="1033"/>
      <c r="L688" s="90"/>
      <c r="M688" s="51"/>
      <c r="N688" s="113">
        <f t="shared" si="64"/>
        <v>7282</v>
      </c>
      <c r="O688" s="575">
        <v>0</v>
      </c>
      <c r="P688" s="582">
        <v>0</v>
      </c>
      <c r="Q688" s="589"/>
      <c r="R688" s="576"/>
      <c r="S688" s="583">
        <f t="shared" si="65"/>
        <v>0</v>
      </c>
      <c r="T688" s="580">
        <f t="shared" si="66"/>
        <v>0</v>
      </c>
      <c r="U688" s="51"/>
      <c r="V688" s="2119"/>
      <c r="W688" s="43"/>
      <c r="X688" s="43"/>
      <c r="Y688" s="43"/>
      <c r="Z688" s="43"/>
    </row>
    <row r="689" spans="1:26">
      <c r="A689" s="88">
        <v>7289</v>
      </c>
      <c r="B689" s="1033" t="s">
        <v>730</v>
      </c>
      <c r="C689" s="1033"/>
      <c r="D689" s="1033"/>
      <c r="E689" s="1033"/>
      <c r="F689" s="1033"/>
      <c r="G689" s="1033"/>
      <c r="H689" s="1033"/>
      <c r="I689" s="1033"/>
      <c r="J689" s="1033"/>
      <c r="K689" s="1033"/>
      <c r="L689" s="90"/>
      <c r="M689" s="51"/>
      <c r="N689" s="113">
        <f t="shared" si="64"/>
        <v>7289</v>
      </c>
      <c r="O689" s="575">
        <v>0</v>
      </c>
      <c r="P689" s="582">
        <v>0</v>
      </c>
      <c r="Q689" s="589"/>
      <c r="R689" s="576"/>
      <c r="S689" s="583">
        <f t="shared" si="65"/>
        <v>0</v>
      </c>
      <c r="T689" s="580">
        <f t="shared" si="66"/>
        <v>0</v>
      </c>
      <c r="U689" s="51"/>
      <c r="V689" s="2119"/>
      <c r="W689" s="43"/>
      <c r="X689" s="43"/>
      <c r="Y689" s="43"/>
      <c r="Z689" s="43"/>
    </row>
    <row r="690" spans="1:26">
      <c r="A690" s="88">
        <v>7291</v>
      </c>
      <c r="B690" s="1033" t="s">
        <v>731</v>
      </c>
      <c r="C690" s="1033"/>
      <c r="D690" s="1033"/>
      <c r="E690" s="1033"/>
      <c r="F690" s="1033"/>
      <c r="G690" s="1033"/>
      <c r="H690" s="1033"/>
      <c r="I690" s="1033"/>
      <c r="J690" s="1033"/>
      <c r="K690" s="1033"/>
      <c r="L690" s="90"/>
      <c r="M690" s="51"/>
      <c r="N690" s="113">
        <f t="shared" si="64"/>
        <v>7291</v>
      </c>
      <c r="O690" s="575">
        <v>0</v>
      </c>
      <c r="P690" s="582">
        <v>0</v>
      </c>
      <c r="Q690" s="589"/>
      <c r="R690" s="576"/>
      <c r="S690" s="583">
        <f t="shared" si="65"/>
        <v>0</v>
      </c>
      <c r="T690" s="580">
        <f t="shared" si="66"/>
        <v>0</v>
      </c>
      <c r="U690" s="51"/>
      <c r="V690" s="2119"/>
      <c r="W690" s="43"/>
      <c r="X690" s="43"/>
      <c r="Y690" s="43"/>
      <c r="Z690" s="43"/>
    </row>
    <row r="691" spans="1:26">
      <c r="A691" s="88">
        <v>7292</v>
      </c>
      <c r="B691" s="1033" t="s">
        <v>732</v>
      </c>
      <c r="C691" s="1033"/>
      <c r="D691" s="1033"/>
      <c r="E691" s="1033"/>
      <c r="F691" s="1033"/>
      <c r="G691" s="1033"/>
      <c r="H691" s="1033"/>
      <c r="I691" s="1033"/>
      <c r="J691" s="1033"/>
      <c r="K691" s="1033"/>
      <c r="L691" s="90"/>
      <c r="M691" s="51"/>
      <c r="N691" s="113">
        <f t="shared" si="64"/>
        <v>7292</v>
      </c>
      <c r="O691" s="575">
        <v>0</v>
      </c>
      <c r="P691" s="582">
        <v>0</v>
      </c>
      <c r="Q691" s="589"/>
      <c r="R691" s="576"/>
      <c r="S691" s="583">
        <f t="shared" si="65"/>
        <v>0</v>
      </c>
      <c r="T691" s="580">
        <f t="shared" si="66"/>
        <v>0</v>
      </c>
      <c r="U691" s="51"/>
      <c r="V691" s="2119"/>
      <c r="W691" s="43"/>
      <c r="X691" s="43"/>
      <c r="Y691" s="43"/>
      <c r="Z691" s="43"/>
    </row>
    <row r="692" spans="1:26" ht="15.75" customHeight="1">
      <c r="A692" s="88">
        <v>7298</v>
      </c>
      <c r="B692" s="1033" t="s">
        <v>733</v>
      </c>
      <c r="C692" s="1033"/>
      <c r="D692" s="1033"/>
      <c r="E692" s="1033"/>
      <c r="F692" s="1033"/>
      <c r="G692" s="1033"/>
      <c r="H692" s="1033"/>
      <c r="I692" s="1033"/>
      <c r="J692" s="1033"/>
      <c r="K692" s="1033"/>
      <c r="L692" s="90"/>
      <c r="M692" s="51"/>
      <c r="N692" s="113">
        <f t="shared" si="64"/>
        <v>7298</v>
      </c>
      <c r="O692" s="575">
        <v>0</v>
      </c>
      <c r="P692" s="582">
        <v>0</v>
      </c>
      <c r="Q692" s="589"/>
      <c r="R692" s="576"/>
      <c r="S692" s="583">
        <f t="shared" si="65"/>
        <v>0</v>
      </c>
      <c r="T692" s="580">
        <f t="shared" si="66"/>
        <v>0</v>
      </c>
      <c r="U692" s="51"/>
      <c r="V692" s="2119"/>
      <c r="W692" s="43"/>
      <c r="X692" s="43"/>
      <c r="Y692" s="43"/>
      <c r="Z692" s="43"/>
    </row>
    <row r="693" spans="1:26">
      <c r="A693" s="88">
        <v>7311</v>
      </c>
      <c r="B693" s="1035" t="s">
        <v>1173</v>
      </c>
      <c r="C693" s="1033"/>
      <c r="D693" s="1033"/>
      <c r="E693" s="1033"/>
      <c r="F693" s="1033"/>
      <c r="G693" s="1033"/>
      <c r="H693" s="1033"/>
      <c r="I693" s="1033"/>
      <c r="J693" s="1033"/>
      <c r="K693" s="1033"/>
      <c r="L693" s="90"/>
      <c r="M693" s="51"/>
      <c r="N693" s="113">
        <f t="shared" si="64"/>
        <v>7311</v>
      </c>
      <c r="O693" s="575">
        <v>0</v>
      </c>
      <c r="P693" s="582">
        <v>0</v>
      </c>
      <c r="Q693" s="589">
        <v>0</v>
      </c>
      <c r="R693" s="576">
        <v>0</v>
      </c>
      <c r="S693" s="583">
        <f t="shared" si="65"/>
        <v>0</v>
      </c>
      <c r="T693" s="580">
        <f t="shared" si="66"/>
        <v>0</v>
      </c>
      <c r="U693" s="51"/>
      <c r="V693" s="2119"/>
      <c r="W693" s="43"/>
      <c r="X693" s="43"/>
      <c r="Y693" s="43"/>
      <c r="Z693" s="43"/>
    </row>
    <row r="694" spans="1:26" ht="15.75" customHeight="1">
      <c r="A694" s="88">
        <v>7313</v>
      </c>
      <c r="B694" s="1035" t="s">
        <v>1174</v>
      </c>
      <c r="C694" s="1033"/>
      <c r="D694" s="1033"/>
      <c r="E694" s="1033"/>
      <c r="F694" s="1033"/>
      <c r="G694" s="1033"/>
      <c r="H694" s="1033"/>
      <c r="I694" s="1033"/>
      <c r="J694" s="1033"/>
      <c r="K694" s="1033"/>
      <c r="L694" s="90"/>
      <c r="M694" s="51"/>
      <c r="N694" s="113">
        <f t="shared" si="64"/>
        <v>7313</v>
      </c>
      <c r="O694" s="575">
        <v>0</v>
      </c>
      <c r="P694" s="582">
        <v>0</v>
      </c>
      <c r="Q694" s="589"/>
      <c r="R694" s="576"/>
      <c r="S694" s="583">
        <f t="shared" si="65"/>
        <v>0</v>
      </c>
      <c r="T694" s="580">
        <f t="shared" si="66"/>
        <v>0</v>
      </c>
      <c r="U694" s="51"/>
      <c r="V694" s="2119"/>
      <c r="W694" s="43"/>
      <c r="X694" s="43"/>
      <c r="Y694" s="43"/>
      <c r="Z694" s="43"/>
    </row>
    <row r="695" spans="1:26">
      <c r="A695" s="88">
        <v>7319</v>
      </c>
      <c r="B695" s="1035" t="s">
        <v>1175</v>
      </c>
      <c r="C695" s="1033"/>
      <c r="D695" s="1033"/>
      <c r="E695" s="1033"/>
      <c r="F695" s="1033"/>
      <c r="G695" s="1033"/>
      <c r="H695" s="1033"/>
      <c r="I695" s="1033"/>
      <c r="J695" s="1033"/>
      <c r="K695" s="1033"/>
      <c r="L695" s="90"/>
      <c r="M695" s="51"/>
      <c r="N695" s="113">
        <f t="shared" si="64"/>
        <v>7319</v>
      </c>
      <c r="O695" s="575">
        <v>0</v>
      </c>
      <c r="P695" s="582">
        <v>0</v>
      </c>
      <c r="Q695" s="589">
        <v>0</v>
      </c>
      <c r="R695" s="576">
        <v>0</v>
      </c>
      <c r="S695" s="583">
        <f t="shared" si="65"/>
        <v>0</v>
      </c>
      <c r="T695" s="580">
        <f t="shared" si="66"/>
        <v>0</v>
      </c>
      <c r="U695" s="51"/>
      <c r="V695" s="2119"/>
      <c r="W695" s="43"/>
      <c r="X695" s="43"/>
      <c r="Y695" s="43"/>
      <c r="Z695" s="43"/>
    </row>
    <row r="696" spans="1:26">
      <c r="A696" s="88">
        <v>7381</v>
      </c>
      <c r="B696" s="1033" t="s">
        <v>734</v>
      </c>
      <c r="C696" s="1033"/>
      <c r="D696" s="1033"/>
      <c r="E696" s="1033"/>
      <c r="F696" s="1033"/>
      <c r="G696" s="1033"/>
      <c r="H696" s="1033"/>
      <c r="I696" s="1033"/>
      <c r="J696" s="1033"/>
      <c r="K696" s="1033"/>
      <c r="L696" s="90"/>
      <c r="M696" s="51"/>
      <c r="N696" s="113">
        <f t="shared" si="64"/>
        <v>7381</v>
      </c>
      <c r="O696" s="575">
        <v>0</v>
      </c>
      <c r="P696" s="582">
        <v>0</v>
      </c>
      <c r="Q696" s="589"/>
      <c r="R696" s="576"/>
      <c r="S696" s="583">
        <f t="shared" si="65"/>
        <v>0</v>
      </c>
      <c r="T696" s="580">
        <f t="shared" si="66"/>
        <v>0</v>
      </c>
      <c r="U696" s="51"/>
      <c r="V696" s="2119"/>
      <c r="W696" s="43"/>
      <c r="X696" s="43"/>
      <c r="Y696" s="43"/>
      <c r="Z696" s="43"/>
    </row>
    <row r="697" spans="1:26">
      <c r="A697" s="88">
        <v>7382</v>
      </c>
      <c r="B697" s="1033" t="s">
        <v>735</v>
      </c>
      <c r="C697" s="1033"/>
      <c r="D697" s="1033"/>
      <c r="E697" s="1033"/>
      <c r="F697" s="1033"/>
      <c r="G697" s="1033"/>
      <c r="H697" s="1033"/>
      <c r="I697" s="1033"/>
      <c r="J697" s="1033"/>
      <c r="K697" s="1033"/>
      <c r="L697" s="90"/>
      <c r="M697" s="51"/>
      <c r="N697" s="113">
        <f t="shared" si="64"/>
        <v>7382</v>
      </c>
      <c r="O697" s="575">
        <v>0</v>
      </c>
      <c r="P697" s="582">
        <v>0</v>
      </c>
      <c r="Q697" s="589"/>
      <c r="R697" s="576"/>
      <c r="S697" s="583">
        <f t="shared" si="65"/>
        <v>0</v>
      </c>
      <c r="T697" s="580">
        <f t="shared" si="66"/>
        <v>0</v>
      </c>
      <c r="U697" s="51"/>
      <c r="V697" s="2119"/>
      <c r="W697" s="43"/>
      <c r="X697" s="43"/>
      <c r="Y697" s="43"/>
      <c r="Z697" s="43"/>
    </row>
    <row r="698" spans="1:26" ht="15.75" customHeight="1">
      <c r="A698" s="88">
        <v>7383</v>
      </c>
      <c r="B698" s="1033" t="s">
        <v>736</v>
      </c>
      <c r="C698" s="1033"/>
      <c r="D698" s="1033"/>
      <c r="E698" s="1033"/>
      <c r="F698" s="1033"/>
      <c r="G698" s="1033"/>
      <c r="H698" s="1033"/>
      <c r="I698" s="1033"/>
      <c r="J698" s="1033"/>
      <c r="K698" s="1033"/>
      <c r="L698" s="90"/>
      <c r="M698" s="51"/>
      <c r="N698" s="113">
        <f t="shared" si="64"/>
        <v>7383</v>
      </c>
      <c r="O698" s="575">
        <v>0</v>
      </c>
      <c r="P698" s="582">
        <v>0</v>
      </c>
      <c r="Q698" s="589"/>
      <c r="R698" s="576"/>
      <c r="S698" s="583">
        <f t="shared" si="65"/>
        <v>0</v>
      </c>
      <c r="T698" s="580">
        <f t="shared" si="66"/>
        <v>0</v>
      </c>
      <c r="U698" s="51"/>
      <c r="V698" s="2119"/>
      <c r="W698" s="43"/>
      <c r="X698" s="43"/>
      <c r="Y698" s="43"/>
      <c r="Z698" s="43"/>
    </row>
    <row r="699" spans="1:26" ht="15.75" customHeight="1">
      <c r="A699" s="88">
        <v>7384</v>
      </c>
      <c r="B699" s="1033" t="s">
        <v>737</v>
      </c>
      <c r="C699" s="1033"/>
      <c r="D699" s="1033"/>
      <c r="E699" s="1033"/>
      <c r="F699" s="1033"/>
      <c r="G699" s="1033"/>
      <c r="H699" s="1033"/>
      <c r="I699" s="1033"/>
      <c r="J699" s="1033"/>
      <c r="K699" s="1033"/>
      <c r="L699" s="90"/>
      <c r="M699" s="51"/>
      <c r="N699" s="113">
        <f t="shared" si="64"/>
        <v>7384</v>
      </c>
      <c r="O699" s="575">
        <v>0</v>
      </c>
      <c r="P699" s="582">
        <v>0</v>
      </c>
      <c r="Q699" s="589"/>
      <c r="R699" s="576"/>
      <c r="S699" s="583">
        <f t="shared" si="65"/>
        <v>0</v>
      </c>
      <c r="T699" s="580">
        <f t="shared" si="66"/>
        <v>0</v>
      </c>
      <c r="U699" s="51"/>
      <c r="V699" s="2119"/>
      <c r="W699" s="43"/>
      <c r="X699" s="43"/>
      <c r="Y699" s="43"/>
      <c r="Z699" s="43"/>
    </row>
    <row r="700" spans="1:26" ht="15.75" customHeight="1">
      <c r="A700" s="88">
        <v>7385</v>
      </c>
      <c r="B700" s="1033" t="s">
        <v>738</v>
      </c>
      <c r="C700" s="1033"/>
      <c r="D700" s="1033"/>
      <c r="E700" s="1033"/>
      <c r="F700" s="1033"/>
      <c r="G700" s="1033"/>
      <c r="H700" s="1033"/>
      <c r="I700" s="1033"/>
      <c r="J700" s="1033"/>
      <c r="K700" s="1033"/>
      <c r="L700" s="90"/>
      <c r="M700" s="51"/>
      <c r="N700" s="113">
        <f t="shared" si="64"/>
        <v>7385</v>
      </c>
      <c r="O700" s="575">
        <v>0</v>
      </c>
      <c r="P700" s="582">
        <v>0</v>
      </c>
      <c r="Q700" s="589"/>
      <c r="R700" s="576"/>
      <c r="S700" s="583">
        <f t="shared" si="65"/>
        <v>0</v>
      </c>
      <c r="T700" s="580">
        <f t="shared" si="66"/>
        <v>0</v>
      </c>
      <c r="U700" s="51"/>
      <c r="V700" s="2119"/>
      <c r="W700" s="43"/>
      <c r="X700" s="43"/>
      <c r="Y700" s="43"/>
      <c r="Z700" s="43"/>
    </row>
    <row r="701" spans="1:26" ht="15.75" customHeight="1">
      <c r="A701" s="88">
        <v>7386</v>
      </c>
      <c r="B701" s="1033" t="s">
        <v>739</v>
      </c>
      <c r="C701" s="1033"/>
      <c r="D701" s="1033"/>
      <c r="E701" s="1033"/>
      <c r="F701" s="1033"/>
      <c r="G701" s="1033"/>
      <c r="H701" s="1033"/>
      <c r="I701" s="1033"/>
      <c r="J701" s="1033"/>
      <c r="K701" s="1033"/>
      <c r="L701" s="90"/>
      <c r="M701" s="51"/>
      <c r="N701" s="113">
        <f t="shared" si="64"/>
        <v>7386</v>
      </c>
      <c r="O701" s="575">
        <v>0</v>
      </c>
      <c r="P701" s="582">
        <v>0</v>
      </c>
      <c r="Q701" s="589"/>
      <c r="R701" s="576"/>
      <c r="S701" s="583">
        <f t="shared" si="65"/>
        <v>0</v>
      </c>
      <c r="T701" s="580">
        <f t="shared" si="66"/>
        <v>0</v>
      </c>
      <c r="U701" s="51"/>
      <c r="V701" s="2119"/>
      <c r="W701" s="43"/>
      <c r="X701" s="43"/>
      <c r="Y701" s="43"/>
      <c r="Z701" s="43"/>
    </row>
    <row r="702" spans="1:26" ht="15.75" customHeight="1">
      <c r="A702" s="88">
        <v>7387</v>
      </c>
      <c r="B702" s="1033" t="s">
        <v>740</v>
      </c>
      <c r="C702" s="1033"/>
      <c r="D702" s="1033"/>
      <c r="E702" s="1033"/>
      <c r="F702" s="1033"/>
      <c r="G702" s="1033"/>
      <c r="H702" s="1033"/>
      <c r="I702" s="1033"/>
      <c r="J702" s="1033"/>
      <c r="K702" s="1033"/>
      <c r="L702" s="90"/>
      <c r="M702" s="51"/>
      <c r="N702" s="113">
        <f t="shared" si="64"/>
        <v>7387</v>
      </c>
      <c r="O702" s="575">
        <v>0</v>
      </c>
      <c r="P702" s="582">
        <v>0</v>
      </c>
      <c r="Q702" s="589"/>
      <c r="R702" s="576"/>
      <c r="S702" s="583">
        <f t="shared" si="65"/>
        <v>0</v>
      </c>
      <c r="T702" s="580">
        <f t="shared" si="66"/>
        <v>0</v>
      </c>
      <c r="U702" s="51"/>
      <c r="V702" s="2119"/>
      <c r="W702" s="43"/>
      <c r="X702" s="43"/>
      <c r="Y702" s="43"/>
      <c r="Z702" s="43"/>
    </row>
    <row r="703" spans="1:26" ht="15.75" customHeight="1">
      <c r="A703" s="88">
        <v>7388</v>
      </c>
      <c r="B703" s="1033" t="s">
        <v>741</v>
      </c>
      <c r="C703" s="1033"/>
      <c r="D703" s="1033"/>
      <c r="E703" s="1033"/>
      <c r="F703" s="1033"/>
      <c r="G703" s="1033"/>
      <c r="H703" s="1033"/>
      <c r="I703" s="1033"/>
      <c r="J703" s="1033"/>
      <c r="K703" s="1033"/>
      <c r="L703" s="90"/>
      <c r="M703" s="51"/>
      <c r="N703" s="113">
        <f t="shared" si="64"/>
        <v>7388</v>
      </c>
      <c r="O703" s="575">
        <v>0</v>
      </c>
      <c r="P703" s="582">
        <v>0</v>
      </c>
      <c r="Q703" s="589"/>
      <c r="R703" s="576"/>
      <c r="S703" s="583">
        <f t="shared" si="65"/>
        <v>0</v>
      </c>
      <c r="T703" s="580">
        <f t="shared" si="66"/>
        <v>0</v>
      </c>
      <c r="U703" s="51"/>
      <c r="V703" s="2119"/>
      <c r="W703" s="43"/>
      <c r="X703" s="43"/>
      <c r="Y703" s="43"/>
      <c r="Z703" s="43"/>
    </row>
    <row r="704" spans="1:26">
      <c r="A704" s="88">
        <v>7391</v>
      </c>
      <c r="B704" s="1035" t="s">
        <v>1176</v>
      </c>
      <c r="C704" s="1033"/>
      <c r="D704" s="1033"/>
      <c r="E704" s="1033"/>
      <c r="F704" s="1033"/>
      <c r="G704" s="1033"/>
      <c r="H704" s="1033"/>
      <c r="I704" s="1033"/>
      <c r="J704" s="1033"/>
      <c r="K704" s="1033"/>
      <c r="L704" s="90"/>
      <c r="M704" s="51"/>
      <c r="N704" s="113">
        <f t="shared" si="64"/>
        <v>7391</v>
      </c>
      <c r="O704" s="575">
        <v>0</v>
      </c>
      <c r="P704" s="582">
        <v>0</v>
      </c>
      <c r="Q704" s="589">
        <v>0</v>
      </c>
      <c r="R704" s="576">
        <v>0</v>
      </c>
      <c r="S704" s="583">
        <f t="shared" si="65"/>
        <v>0</v>
      </c>
      <c r="T704" s="580">
        <f t="shared" si="66"/>
        <v>0</v>
      </c>
      <c r="U704" s="51"/>
      <c r="V704" s="2119"/>
      <c r="W704" s="43"/>
      <c r="X704" s="43"/>
      <c r="Y704" s="43"/>
      <c r="Z704" s="43"/>
    </row>
    <row r="705" spans="1:26">
      <c r="A705" s="88">
        <v>7392</v>
      </c>
      <c r="B705" s="1035" t="s">
        <v>1177</v>
      </c>
      <c r="C705" s="1033"/>
      <c r="D705" s="1033"/>
      <c r="E705" s="1033"/>
      <c r="F705" s="1033"/>
      <c r="G705" s="1033"/>
      <c r="H705" s="1033"/>
      <c r="I705" s="1033"/>
      <c r="J705" s="1033"/>
      <c r="K705" s="1033"/>
      <c r="L705" s="90"/>
      <c r="M705" s="51"/>
      <c r="N705" s="113">
        <f t="shared" si="64"/>
        <v>7392</v>
      </c>
      <c r="O705" s="575">
        <v>0</v>
      </c>
      <c r="P705" s="582">
        <v>0</v>
      </c>
      <c r="Q705" s="589">
        <v>0</v>
      </c>
      <c r="R705" s="576">
        <v>0</v>
      </c>
      <c r="S705" s="583">
        <f t="shared" si="65"/>
        <v>0</v>
      </c>
      <c r="T705" s="580">
        <f t="shared" si="66"/>
        <v>0</v>
      </c>
      <c r="U705" s="51"/>
      <c r="V705" s="2119"/>
      <c r="W705" s="43"/>
      <c r="X705" s="43"/>
      <c r="Y705" s="43"/>
      <c r="Z705" s="43"/>
    </row>
    <row r="706" spans="1:26" ht="15.75" customHeight="1">
      <c r="A706" s="88">
        <v>7400</v>
      </c>
      <c r="B706" s="1033" t="s">
        <v>742</v>
      </c>
      <c r="C706" s="1033"/>
      <c r="D706" s="1033"/>
      <c r="E706" s="1033"/>
      <c r="F706" s="1033"/>
      <c r="G706" s="1033"/>
      <c r="H706" s="1033"/>
      <c r="I706" s="1033"/>
      <c r="J706" s="1033"/>
      <c r="K706" s="1033"/>
      <c r="L706" s="90"/>
      <c r="M706" s="51"/>
      <c r="N706" s="113">
        <f t="shared" si="64"/>
        <v>7400</v>
      </c>
      <c r="O706" s="575">
        <v>0</v>
      </c>
      <c r="P706" s="582">
        <v>0</v>
      </c>
      <c r="Q706" s="589"/>
      <c r="R706" s="576"/>
      <c r="S706" s="583">
        <f t="shared" si="65"/>
        <v>0</v>
      </c>
      <c r="T706" s="580">
        <f t="shared" si="66"/>
        <v>0</v>
      </c>
      <c r="U706" s="51"/>
      <c r="V706" s="2119"/>
      <c r="W706" s="43"/>
      <c r="X706" s="43"/>
      <c r="Y706" s="43"/>
      <c r="Z706" s="43"/>
    </row>
    <row r="707" spans="1:26" ht="15.75" customHeight="1">
      <c r="A707" s="88">
        <v>7401</v>
      </c>
      <c r="B707" s="1033" t="s">
        <v>743</v>
      </c>
      <c r="C707" s="1033"/>
      <c r="D707" s="1033"/>
      <c r="E707" s="1033"/>
      <c r="F707" s="1033"/>
      <c r="G707" s="1033"/>
      <c r="H707" s="1033"/>
      <c r="I707" s="1033"/>
      <c r="J707" s="1033"/>
      <c r="K707" s="1033"/>
      <c r="L707" s="90"/>
      <c r="M707" s="51"/>
      <c r="N707" s="113">
        <f t="shared" si="64"/>
        <v>7401</v>
      </c>
      <c r="O707" s="575">
        <v>0</v>
      </c>
      <c r="P707" s="582">
        <v>0</v>
      </c>
      <c r="Q707" s="589"/>
      <c r="R707" s="576"/>
      <c r="S707" s="583">
        <f t="shared" si="65"/>
        <v>0</v>
      </c>
      <c r="T707" s="580">
        <f t="shared" si="66"/>
        <v>0</v>
      </c>
      <c r="U707" s="51"/>
      <c r="V707" s="2119"/>
      <c r="W707" s="43"/>
      <c r="X707" s="43"/>
      <c r="Y707" s="43"/>
      <c r="Z707" s="43"/>
    </row>
    <row r="708" spans="1:26" ht="15.75" customHeight="1">
      <c r="A708" s="88">
        <v>7402</v>
      </c>
      <c r="B708" s="1033" t="s">
        <v>744</v>
      </c>
      <c r="C708" s="1033"/>
      <c r="D708" s="1033"/>
      <c r="E708" s="1033"/>
      <c r="F708" s="1033"/>
      <c r="G708" s="1033"/>
      <c r="H708" s="1033"/>
      <c r="I708" s="1033"/>
      <c r="J708" s="1033"/>
      <c r="K708" s="1033"/>
      <c r="L708" s="90"/>
      <c r="M708" s="51"/>
      <c r="N708" s="113">
        <f t="shared" si="64"/>
        <v>7402</v>
      </c>
      <c r="O708" s="575">
        <v>0</v>
      </c>
      <c r="P708" s="582">
        <v>0</v>
      </c>
      <c r="Q708" s="589"/>
      <c r="R708" s="576"/>
      <c r="S708" s="583">
        <f t="shared" si="65"/>
        <v>0</v>
      </c>
      <c r="T708" s="580">
        <f t="shared" si="66"/>
        <v>0</v>
      </c>
      <c r="U708" s="51"/>
      <c r="V708" s="2119"/>
      <c r="W708" s="43"/>
      <c r="X708" s="43"/>
      <c r="Y708" s="43"/>
      <c r="Z708" s="43"/>
    </row>
    <row r="709" spans="1:26" ht="15.75" customHeight="1">
      <c r="A709" s="88">
        <v>7403</v>
      </c>
      <c r="B709" s="1033" t="s">
        <v>745</v>
      </c>
      <c r="C709" s="1033"/>
      <c r="D709" s="1033"/>
      <c r="E709" s="1033"/>
      <c r="F709" s="1033"/>
      <c r="G709" s="1033"/>
      <c r="H709" s="1033"/>
      <c r="I709" s="1033"/>
      <c r="J709" s="1033"/>
      <c r="K709" s="1033"/>
      <c r="L709" s="90"/>
      <c r="M709" s="51"/>
      <c r="N709" s="113">
        <f t="shared" si="64"/>
        <v>7403</v>
      </c>
      <c r="O709" s="575">
        <v>0</v>
      </c>
      <c r="P709" s="582">
        <v>0</v>
      </c>
      <c r="Q709" s="589"/>
      <c r="R709" s="576"/>
      <c r="S709" s="583">
        <f t="shared" si="65"/>
        <v>0</v>
      </c>
      <c r="T709" s="580">
        <f t="shared" si="66"/>
        <v>0</v>
      </c>
      <c r="U709" s="51"/>
      <c r="V709" s="2119"/>
      <c r="W709" s="43"/>
      <c r="X709" s="43"/>
      <c r="Y709" s="43"/>
      <c r="Z709" s="43"/>
    </row>
    <row r="710" spans="1:26" ht="15.75" customHeight="1">
      <c r="A710" s="88">
        <v>7404</v>
      </c>
      <c r="B710" s="1033" t="s">
        <v>746</v>
      </c>
      <c r="C710" s="1033"/>
      <c r="D710" s="1033"/>
      <c r="E710" s="1033"/>
      <c r="F710" s="1033"/>
      <c r="G710" s="1033"/>
      <c r="H710" s="1033"/>
      <c r="I710" s="1033"/>
      <c r="J710" s="1033"/>
      <c r="K710" s="1033"/>
      <c r="L710" s="90"/>
      <c r="M710" s="51"/>
      <c r="N710" s="113">
        <f t="shared" si="64"/>
        <v>7404</v>
      </c>
      <c r="O710" s="575">
        <v>0</v>
      </c>
      <c r="P710" s="582">
        <v>0</v>
      </c>
      <c r="Q710" s="589"/>
      <c r="R710" s="576"/>
      <c r="S710" s="583">
        <f t="shared" si="65"/>
        <v>0</v>
      </c>
      <c r="T710" s="580">
        <f t="shared" si="66"/>
        <v>0</v>
      </c>
      <c r="U710" s="51"/>
      <c r="V710" s="2119"/>
      <c r="W710" s="43"/>
      <c r="X710" s="43"/>
      <c r="Y710" s="43"/>
      <c r="Z710" s="43"/>
    </row>
    <row r="711" spans="1:26" ht="15.75" customHeight="1">
      <c r="A711" s="88">
        <v>7405</v>
      </c>
      <c r="B711" s="1033" t="s">
        <v>747</v>
      </c>
      <c r="C711" s="1033"/>
      <c r="D711" s="1033"/>
      <c r="E711" s="1033"/>
      <c r="F711" s="1033"/>
      <c r="G711" s="1033"/>
      <c r="H711" s="1033"/>
      <c r="I711" s="1033"/>
      <c r="J711" s="1033"/>
      <c r="K711" s="1033"/>
      <c r="L711" s="90"/>
      <c r="M711" s="51"/>
      <c r="N711" s="113">
        <f t="shared" si="64"/>
        <v>7405</v>
      </c>
      <c r="O711" s="575">
        <v>0</v>
      </c>
      <c r="P711" s="582">
        <v>0</v>
      </c>
      <c r="Q711" s="589"/>
      <c r="R711" s="576"/>
      <c r="S711" s="583">
        <f t="shared" si="65"/>
        <v>0</v>
      </c>
      <c r="T711" s="580">
        <f t="shared" si="66"/>
        <v>0</v>
      </c>
      <c r="U711" s="51"/>
      <c r="V711" s="2119"/>
      <c r="W711" s="43"/>
      <c r="X711" s="43"/>
      <c r="Y711" s="43"/>
      <c r="Z711" s="43"/>
    </row>
    <row r="712" spans="1:26" ht="15.75" customHeight="1">
      <c r="A712" s="88">
        <v>7406</v>
      </c>
      <c r="B712" s="1033" t="s">
        <v>748</v>
      </c>
      <c r="C712" s="1033"/>
      <c r="D712" s="1033"/>
      <c r="E712" s="1033"/>
      <c r="F712" s="1033"/>
      <c r="G712" s="1033"/>
      <c r="H712" s="1033"/>
      <c r="I712" s="1033"/>
      <c r="J712" s="1033"/>
      <c r="K712" s="1033"/>
      <c r="L712" s="90"/>
      <c r="M712" s="51"/>
      <c r="N712" s="113">
        <f t="shared" si="64"/>
        <v>7406</v>
      </c>
      <c r="O712" s="575">
        <v>0</v>
      </c>
      <c r="P712" s="582">
        <v>0</v>
      </c>
      <c r="Q712" s="589"/>
      <c r="R712" s="576"/>
      <c r="S712" s="583">
        <f t="shared" si="65"/>
        <v>0</v>
      </c>
      <c r="T712" s="580">
        <f t="shared" si="66"/>
        <v>0</v>
      </c>
      <c r="U712" s="51"/>
      <c r="V712" s="2119"/>
      <c r="W712" s="43"/>
      <c r="X712" s="43"/>
      <c r="Y712" s="43"/>
      <c r="Z712" s="43"/>
    </row>
    <row r="713" spans="1:26" ht="15.75" customHeight="1">
      <c r="A713" s="88">
        <v>7407</v>
      </c>
      <c r="B713" s="1033" t="s">
        <v>749</v>
      </c>
      <c r="C713" s="1033"/>
      <c r="D713" s="1033"/>
      <c r="E713" s="1033"/>
      <c r="F713" s="1033"/>
      <c r="G713" s="1033"/>
      <c r="H713" s="1033"/>
      <c r="I713" s="1033"/>
      <c r="J713" s="1033"/>
      <c r="K713" s="1033"/>
      <c r="L713" s="90"/>
      <c r="M713" s="51"/>
      <c r="N713" s="113">
        <f t="shared" si="64"/>
        <v>7407</v>
      </c>
      <c r="O713" s="575">
        <v>0</v>
      </c>
      <c r="P713" s="582">
        <v>0</v>
      </c>
      <c r="Q713" s="589"/>
      <c r="R713" s="576"/>
      <c r="S713" s="583">
        <f t="shared" si="65"/>
        <v>0</v>
      </c>
      <c r="T713" s="580">
        <f t="shared" si="66"/>
        <v>0</v>
      </c>
      <c r="U713" s="51"/>
      <c r="V713" s="2119"/>
      <c r="W713" s="43"/>
      <c r="X713" s="43"/>
      <c r="Y713" s="43"/>
      <c r="Z713" s="43"/>
    </row>
    <row r="714" spans="1:26" ht="15.75" customHeight="1">
      <c r="A714" s="88">
        <v>7408</v>
      </c>
      <c r="B714" s="1033" t="s">
        <v>750</v>
      </c>
      <c r="C714" s="1033"/>
      <c r="D714" s="1033"/>
      <c r="E714" s="1033"/>
      <c r="F714" s="1033"/>
      <c r="G714" s="1033"/>
      <c r="H714" s="1033"/>
      <c r="I714" s="1033"/>
      <c r="J714" s="1033"/>
      <c r="K714" s="1033"/>
      <c r="L714" s="90"/>
      <c r="M714" s="51"/>
      <c r="N714" s="113">
        <f t="shared" si="64"/>
        <v>7408</v>
      </c>
      <c r="O714" s="575">
        <v>0</v>
      </c>
      <c r="P714" s="582">
        <v>0</v>
      </c>
      <c r="Q714" s="589"/>
      <c r="R714" s="576"/>
      <c r="S714" s="583">
        <f t="shared" si="65"/>
        <v>0</v>
      </c>
      <c r="T714" s="580">
        <f t="shared" si="66"/>
        <v>0</v>
      </c>
      <c r="U714" s="51"/>
      <c r="V714" s="2119"/>
      <c r="W714" s="43"/>
      <c r="X714" s="43"/>
      <c r="Y714" s="43"/>
      <c r="Z714" s="43"/>
    </row>
    <row r="715" spans="1:26" ht="15.75" customHeight="1">
      <c r="A715" s="88">
        <v>7409</v>
      </c>
      <c r="B715" s="1033" t="s">
        <v>751</v>
      </c>
      <c r="C715" s="1033"/>
      <c r="D715" s="1033"/>
      <c r="E715" s="1033"/>
      <c r="F715" s="1033"/>
      <c r="G715" s="1033"/>
      <c r="H715" s="1033"/>
      <c r="I715" s="1033"/>
      <c r="J715" s="1033"/>
      <c r="K715" s="1033"/>
      <c r="L715" s="90"/>
      <c r="M715" s="51"/>
      <c r="N715" s="113">
        <f t="shared" si="64"/>
        <v>7409</v>
      </c>
      <c r="O715" s="575">
        <v>0</v>
      </c>
      <c r="P715" s="582">
        <v>0</v>
      </c>
      <c r="Q715" s="589"/>
      <c r="R715" s="576"/>
      <c r="S715" s="583">
        <f t="shared" si="65"/>
        <v>0</v>
      </c>
      <c r="T715" s="580">
        <f t="shared" si="66"/>
        <v>0</v>
      </c>
      <c r="U715" s="51"/>
      <c r="V715" s="2119"/>
      <c r="W715" s="43"/>
      <c r="X715" s="43"/>
      <c r="Y715" s="43"/>
      <c r="Z715" s="43"/>
    </row>
    <row r="716" spans="1:26">
      <c r="A716" s="88">
        <v>7411</v>
      </c>
      <c r="B716" s="1032" t="s">
        <v>752</v>
      </c>
      <c r="C716" s="1033"/>
      <c r="D716" s="1033"/>
      <c r="E716" s="1033"/>
      <c r="F716" s="1033"/>
      <c r="G716" s="1033"/>
      <c r="H716" s="1033"/>
      <c r="I716" s="1033"/>
      <c r="J716" s="1033"/>
      <c r="K716" s="1033"/>
      <c r="L716" s="90"/>
      <c r="M716" s="51"/>
      <c r="N716" s="113">
        <f t="shared" si="64"/>
        <v>7411</v>
      </c>
      <c r="O716" s="575">
        <v>0</v>
      </c>
      <c r="P716" s="582">
        <v>0</v>
      </c>
      <c r="Q716" s="589">
        <v>0</v>
      </c>
      <c r="R716" s="576">
        <v>0</v>
      </c>
      <c r="S716" s="583">
        <f t="shared" si="65"/>
        <v>0</v>
      </c>
      <c r="T716" s="580">
        <f t="shared" si="66"/>
        <v>0</v>
      </c>
      <c r="U716" s="51"/>
      <c r="V716" s="2119"/>
      <c r="W716" s="43"/>
      <c r="X716" s="43"/>
      <c r="Y716" s="43"/>
      <c r="Z716" s="43"/>
    </row>
    <row r="717" spans="1:26">
      <c r="A717" s="88">
        <v>7412</v>
      </c>
      <c r="B717" s="1032" t="s">
        <v>753</v>
      </c>
      <c r="C717" s="1033"/>
      <c r="D717" s="1033"/>
      <c r="E717" s="1033"/>
      <c r="F717" s="1033"/>
      <c r="G717" s="1033"/>
      <c r="H717" s="1033"/>
      <c r="I717" s="1033"/>
      <c r="J717" s="1033"/>
      <c r="K717" s="1033"/>
      <c r="L717" s="90"/>
      <c r="M717" s="51"/>
      <c r="N717" s="113">
        <f t="shared" si="64"/>
        <v>7412</v>
      </c>
      <c r="O717" s="575">
        <v>0</v>
      </c>
      <c r="P717" s="582">
        <v>0</v>
      </c>
      <c r="Q717" s="589">
        <v>0</v>
      </c>
      <c r="R717" s="576">
        <v>0</v>
      </c>
      <c r="S717" s="583">
        <f t="shared" si="65"/>
        <v>0</v>
      </c>
      <c r="T717" s="580">
        <f t="shared" si="66"/>
        <v>0</v>
      </c>
      <c r="U717" s="51"/>
      <c r="V717" s="2119"/>
      <c r="W717" s="43"/>
      <c r="X717" s="43"/>
      <c r="Y717" s="43"/>
      <c r="Z717" s="43"/>
    </row>
    <row r="718" spans="1:26">
      <c r="A718" s="88">
        <v>7413</v>
      </c>
      <c r="B718" s="1032" t="s">
        <v>754</v>
      </c>
      <c r="C718" s="1033"/>
      <c r="D718" s="1033"/>
      <c r="E718" s="1033"/>
      <c r="F718" s="1033"/>
      <c r="G718" s="1033"/>
      <c r="H718" s="1033"/>
      <c r="I718" s="1033"/>
      <c r="J718" s="1033"/>
      <c r="K718" s="1033"/>
      <c r="L718" s="90"/>
      <c r="M718" s="51"/>
      <c r="N718" s="113">
        <f t="shared" si="64"/>
        <v>7413</v>
      </c>
      <c r="O718" s="575">
        <v>0</v>
      </c>
      <c r="P718" s="582">
        <v>0</v>
      </c>
      <c r="Q718" s="589">
        <v>0</v>
      </c>
      <c r="R718" s="576">
        <v>0</v>
      </c>
      <c r="S718" s="583">
        <f t="shared" si="65"/>
        <v>0</v>
      </c>
      <c r="T718" s="580">
        <f t="shared" si="66"/>
        <v>0</v>
      </c>
      <c r="U718" s="51"/>
      <c r="V718" s="2119"/>
      <c r="W718" s="43"/>
      <c r="X718" s="43"/>
      <c r="Y718" s="43"/>
      <c r="Z718" s="43"/>
    </row>
    <row r="719" spans="1:26">
      <c r="A719" s="88">
        <v>7414</v>
      </c>
      <c r="B719" s="1032" t="s">
        <v>755</v>
      </c>
      <c r="C719" s="1033"/>
      <c r="D719" s="1033"/>
      <c r="E719" s="1033"/>
      <c r="F719" s="1033"/>
      <c r="G719" s="1033"/>
      <c r="H719" s="1033"/>
      <c r="I719" s="1033"/>
      <c r="J719" s="1033"/>
      <c r="K719" s="1033"/>
      <c r="L719" s="90"/>
      <c r="M719" s="51"/>
      <c r="N719" s="113">
        <f t="shared" si="64"/>
        <v>7414</v>
      </c>
      <c r="O719" s="575">
        <v>0</v>
      </c>
      <c r="P719" s="582">
        <v>0</v>
      </c>
      <c r="Q719" s="589">
        <v>0</v>
      </c>
      <c r="R719" s="576">
        <v>0</v>
      </c>
      <c r="S719" s="583">
        <f t="shared" si="65"/>
        <v>0</v>
      </c>
      <c r="T719" s="580">
        <f t="shared" si="66"/>
        <v>0</v>
      </c>
      <c r="U719" s="51"/>
      <c r="V719" s="2119"/>
      <c r="W719" s="43"/>
      <c r="X719" s="43"/>
      <c r="Y719" s="43"/>
      <c r="Z719" s="43"/>
    </row>
    <row r="720" spans="1:26" ht="15.75" customHeight="1">
      <c r="A720" s="88">
        <v>7419</v>
      </c>
      <c r="B720" s="1032" t="s">
        <v>756</v>
      </c>
      <c r="C720" s="1033"/>
      <c r="D720" s="1033"/>
      <c r="E720" s="1033"/>
      <c r="F720" s="1033"/>
      <c r="G720" s="1033"/>
      <c r="H720" s="1033"/>
      <c r="I720" s="1033"/>
      <c r="J720" s="1033"/>
      <c r="K720" s="1033"/>
      <c r="L720" s="90"/>
      <c r="M720" s="51"/>
      <c r="N720" s="113">
        <f t="shared" si="64"/>
        <v>7419</v>
      </c>
      <c r="O720" s="575">
        <v>0</v>
      </c>
      <c r="P720" s="582">
        <v>0</v>
      </c>
      <c r="Q720" s="589"/>
      <c r="R720" s="576"/>
      <c r="S720" s="583">
        <f t="shared" si="65"/>
        <v>0</v>
      </c>
      <c r="T720" s="580">
        <f t="shared" si="66"/>
        <v>0</v>
      </c>
      <c r="U720" s="51"/>
      <c r="V720" s="2119"/>
      <c r="W720" s="43"/>
      <c r="X720" s="43"/>
      <c r="Y720" s="43"/>
      <c r="Z720" s="43"/>
    </row>
    <row r="721" spans="1:26" ht="15.75" customHeight="1">
      <c r="A721" s="88">
        <v>7450</v>
      </c>
      <c r="B721" s="2181" t="s">
        <v>2088</v>
      </c>
      <c r="C721" s="1033"/>
      <c r="D721" s="1033"/>
      <c r="E721" s="1033"/>
      <c r="F721" s="1033"/>
      <c r="G721" s="1033"/>
      <c r="H721" s="1033"/>
      <c r="I721" s="1033"/>
      <c r="J721" s="1033"/>
      <c r="K721" s="1033"/>
      <c r="L721" s="90"/>
      <c r="M721" s="51"/>
      <c r="N721" s="113">
        <f t="shared" si="64"/>
        <v>7450</v>
      </c>
      <c r="O721" s="575">
        <v>0</v>
      </c>
      <c r="P721" s="582">
        <v>0</v>
      </c>
      <c r="Q721" s="589"/>
      <c r="R721" s="576"/>
      <c r="S721" s="583">
        <f t="shared" si="65"/>
        <v>0</v>
      </c>
      <c r="T721" s="580">
        <f t="shared" si="66"/>
        <v>0</v>
      </c>
      <c r="U721" s="51"/>
      <c r="V721" s="2119"/>
      <c r="W721" s="43"/>
      <c r="X721" s="43"/>
      <c r="Y721" s="43"/>
      <c r="Z721" s="43"/>
    </row>
    <row r="722" spans="1:26">
      <c r="A722" s="88">
        <v>7471</v>
      </c>
      <c r="B722" s="1033" t="s">
        <v>757</v>
      </c>
      <c r="C722" s="1033"/>
      <c r="D722" s="1033"/>
      <c r="E722" s="1033"/>
      <c r="F722" s="1033"/>
      <c r="G722" s="1033"/>
      <c r="H722" s="1033"/>
      <c r="I722" s="1033"/>
      <c r="J722" s="1033"/>
      <c r="K722" s="1033"/>
      <c r="L722" s="90"/>
      <c r="M722" s="51"/>
      <c r="N722" s="113">
        <f t="shared" si="64"/>
        <v>7471</v>
      </c>
      <c r="O722" s="575">
        <v>0</v>
      </c>
      <c r="P722" s="582">
        <v>0</v>
      </c>
      <c r="Q722" s="589"/>
      <c r="R722" s="576"/>
      <c r="S722" s="583">
        <f t="shared" si="65"/>
        <v>0</v>
      </c>
      <c r="T722" s="580">
        <f t="shared" si="66"/>
        <v>0</v>
      </c>
      <c r="U722" s="51"/>
      <c r="V722" s="2119"/>
      <c r="W722" s="43"/>
      <c r="X722" s="43"/>
      <c r="Y722" s="43"/>
      <c r="Z722" s="43"/>
    </row>
    <row r="723" spans="1:26">
      <c r="A723" s="88">
        <v>7472</v>
      </c>
      <c r="B723" s="1033" t="s">
        <v>758</v>
      </c>
      <c r="C723" s="1033"/>
      <c r="D723" s="1033"/>
      <c r="E723" s="1033"/>
      <c r="F723" s="1033"/>
      <c r="G723" s="1033"/>
      <c r="H723" s="1033"/>
      <c r="I723" s="1033"/>
      <c r="J723" s="1033"/>
      <c r="K723" s="1033"/>
      <c r="L723" s="90"/>
      <c r="M723" s="51"/>
      <c r="N723" s="113">
        <f t="shared" si="64"/>
        <v>7472</v>
      </c>
      <c r="O723" s="575">
        <v>0</v>
      </c>
      <c r="P723" s="582">
        <v>0</v>
      </c>
      <c r="Q723" s="589"/>
      <c r="R723" s="576"/>
      <c r="S723" s="583">
        <f t="shared" si="65"/>
        <v>0</v>
      </c>
      <c r="T723" s="580">
        <f t="shared" si="66"/>
        <v>0</v>
      </c>
      <c r="U723" s="51"/>
      <c r="V723" s="2119"/>
      <c r="W723" s="43"/>
      <c r="X723" s="43"/>
      <c r="Y723" s="43"/>
      <c r="Z723" s="43"/>
    </row>
    <row r="724" spans="1:26">
      <c r="A724" s="88">
        <v>7473</v>
      </c>
      <c r="B724" s="1033" t="s">
        <v>759</v>
      </c>
      <c r="C724" s="1033"/>
      <c r="D724" s="1033"/>
      <c r="E724" s="1033"/>
      <c r="F724" s="1033"/>
      <c r="G724" s="1033"/>
      <c r="H724" s="1033"/>
      <c r="I724" s="1033"/>
      <c r="J724" s="1033"/>
      <c r="K724" s="1033"/>
      <c r="L724" s="90"/>
      <c r="M724" s="51"/>
      <c r="N724" s="113">
        <f t="shared" si="64"/>
        <v>7473</v>
      </c>
      <c r="O724" s="575">
        <v>0</v>
      </c>
      <c r="P724" s="582">
        <v>0</v>
      </c>
      <c r="Q724" s="589"/>
      <c r="R724" s="576"/>
      <c r="S724" s="583">
        <f t="shared" si="65"/>
        <v>0</v>
      </c>
      <c r="T724" s="580">
        <f t="shared" si="66"/>
        <v>0</v>
      </c>
      <c r="U724" s="51"/>
      <c r="V724" s="2119"/>
      <c r="W724" s="43"/>
      <c r="X724" s="43"/>
      <c r="Y724" s="43"/>
      <c r="Z724" s="43"/>
    </row>
    <row r="725" spans="1:26">
      <c r="A725" s="88">
        <v>7474</v>
      </c>
      <c r="B725" s="1033" t="s">
        <v>760</v>
      </c>
      <c r="C725" s="1033"/>
      <c r="D725" s="1033"/>
      <c r="E725" s="1033"/>
      <c r="F725" s="1033"/>
      <c r="G725" s="1033"/>
      <c r="H725" s="1033"/>
      <c r="I725" s="1033"/>
      <c r="J725" s="1033"/>
      <c r="K725" s="1033"/>
      <c r="L725" s="90"/>
      <c r="M725" s="51"/>
      <c r="N725" s="113">
        <f t="shared" si="64"/>
        <v>7474</v>
      </c>
      <c r="O725" s="575">
        <v>0</v>
      </c>
      <c r="P725" s="582">
        <v>0</v>
      </c>
      <c r="Q725" s="589"/>
      <c r="R725" s="576"/>
      <c r="S725" s="583">
        <f t="shared" si="65"/>
        <v>0</v>
      </c>
      <c r="T725" s="580">
        <f t="shared" si="66"/>
        <v>0</v>
      </c>
      <c r="U725" s="51"/>
      <c r="V725" s="2119"/>
      <c r="W725" s="43"/>
      <c r="X725" s="43"/>
      <c r="Y725" s="43"/>
      <c r="Z725" s="43"/>
    </row>
    <row r="726" spans="1:26">
      <c r="A726" s="88">
        <v>7481</v>
      </c>
      <c r="B726" s="1033" t="s">
        <v>761</v>
      </c>
      <c r="C726" s="1033"/>
      <c r="D726" s="1033"/>
      <c r="E726" s="1033"/>
      <c r="F726" s="1033"/>
      <c r="G726" s="1033"/>
      <c r="H726" s="1033"/>
      <c r="I726" s="1033"/>
      <c r="J726" s="1033"/>
      <c r="K726" s="1033"/>
      <c r="L726" s="90"/>
      <c r="M726" s="51"/>
      <c r="N726" s="113">
        <f t="shared" si="64"/>
        <v>7481</v>
      </c>
      <c r="O726" s="575">
        <v>0</v>
      </c>
      <c r="P726" s="582">
        <v>0</v>
      </c>
      <c r="Q726" s="589"/>
      <c r="R726" s="576"/>
      <c r="S726" s="583">
        <f t="shared" si="65"/>
        <v>0</v>
      </c>
      <c r="T726" s="580">
        <f t="shared" si="66"/>
        <v>0</v>
      </c>
      <c r="U726" s="51"/>
      <c r="V726" s="2119"/>
      <c r="W726" s="43"/>
      <c r="X726" s="43"/>
      <c r="Y726" s="43"/>
      <c r="Z726" s="43"/>
    </row>
    <row r="727" spans="1:26">
      <c r="A727" s="88">
        <v>7482</v>
      </c>
      <c r="B727" s="1033" t="s">
        <v>762</v>
      </c>
      <c r="C727" s="1033"/>
      <c r="D727" s="1033"/>
      <c r="E727" s="1033"/>
      <c r="F727" s="1033"/>
      <c r="G727" s="1033"/>
      <c r="H727" s="1033"/>
      <c r="I727" s="1033"/>
      <c r="J727" s="1033"/>
      <c r="K727" s="1033"/>
      <c r="L727" s="90"/>
      <c r="M727" s="51"/>
      <c r="N727" s="113">
        <f t="shared" si="64"/>
        <v>7482</v>
      </c>
      <c r="O727" s="575">
        <v>0</v>
      </c>
      <c r="P727" s="582">
        <v>0</v>
      </c>
      <c r="Q727" s="589"/>
      <c r="R727" s="576"/>
      <c r="S727" s="583">
        <f t="shared" si="65"/>
        <v>0</v>
      </c>
      <c r="T727" s="580">
        <f t="shared" si="66"/>
        <v>0</v>
      </c>
      <c r="U727" s="51"/>
      <c r="V727" s="2119"/>
      <c r="W727" s="43"/>
      <c r="X727" s="43"/>
      <c r="Y727" s="43"/>
      <c r="Z727" s="43"/>
    </row>
    <row r="728" spans="1:26">
      <c r="A728" s="88">
        <v>7483</v>
      </c>
      <c r="B728" s="1033" t="s">
        <v>763</v>
      </c>
      <c r="C728" s="1033"/>
      <c r="D728" s="1033"/>
      <c r="E728" s="1033"/>
      <c r="F728" s="1033"/>
      <c r="G728" s="1033"/>
      <c r="H728" s="1033"/>
      <c r="I728" s="1033"/>
      <c r="J728" s="1033"/>
      <c r="K728" s="1033"/>
      <c r="L728" s="90"/>
      <c r="M728" s="51"/>
      <c r="N728" s="113">
        <f t="shared" si="64"/>
        <v>7483</v>
      </c>
      <c r="O728" s="575">
        <v>0</v>
      </c>
      <c r="P728" s="582">
        <v>0</v>
      </c>
      <c r="Q728" s="589"/>
      <c r="R728" s="576"/>
      <c r="S728" s="583">
        <f t="shared" si="65"/>
        <v>0</v>
      </c>
      <c r="T728" s="580">
        <f t="shared" si="66"/>
        <v>0</v>
      </c>
      <c r="U728" s="51"/>
      <c r="V728" s="2119"/>
      <c r="W728" s="43"/>
      <c r="X728" s="43"/>
      <c r="Y728" s="43"/>
      <c r="Z728" s="43"/>
    </row>
    <row r="729" spans="1:26">
      <c r="A729" s="88">
        <v>7484</v>
      </c>
      <c r="B729" s="1033" t="s">
        <v>764</v>
      </c>
      <c r="C729" s="1033"/>
      <c r="D729" s="1033"/>
      <c r="E729" s="1033"/>
      <c r="F729" s="1033"/>
      <c r="G729" s="1033"/>
      <c r="H729" s="1033"/>
      <c r="I729" s="1033"/>
      <c r="J729" s="1033"/>
      <c r="K729" s="1033"/>
      <c r="L729" s="90"/>
      <c r="M729" s="51"/>
      <c r="N729" s="113">
        <f t="shared" si="64"/>
        <v>7484</v>
      </c>
      <c r="O729" s="575">
        <v>0</v>
      </c>
      <c r="P729" s="582">
        <v>0</v>
      </c>
      <c r="Q729" s="589"/>
      <c r="R729" s="576"/>
      <c r="S729" s="583">
        <f t="shared" si="65"/>
        <v>0</v>
      </c>
      <c r="T729" s="580">
        <f t="shared" si="66"/>
        <v>0</v>
      </c>
      <c r="U729" s="51"/>
      <c r="V729" s="2119"/>
      <c r="W729" s="43"/>
      <c r="X729" s="43"/>
      <c r="Y729" s="43"/>
      <c r="Z729" s="43"/>
    </row>
    <row r="730" spans="1:26" ht="15.75" customHeight="1">
      <c r="A730" s="88">
        <v>7485</v>
      </c>
      <c r="B730" s="1032" t="s">
        <v>765</v>
      </c>
      <c r="C730" s="1033"/>
      <c r="D730" s="1033"/>
      <c r="E730" s="1033"/>
      <c r="F730" s="1033"/>
      <c r="G730" s="1033"/>
      <c r="H730" s="1033"/>
      <c r="I730" s="1033"/>
      <c r="J730" s="1033"/>
      <c r="K730" s="1033"/>
      <c r="L730" s="90"/>
      <c r="M730" s="51"/>
      <c r="N730" s="113">
        <f t="shared" ref="N730:N793" si="67">+A730</f>
        <v>7485</v>
      </c>
      <c r="O730" s="575">
        <v>0</v>
      </c>
      <c r="P730" s="582">
        <v>0</v>
      </c>
      <c r="Q730" s="589"/>
      <c r="R730" s="576"/>
      <c r="S730" s="583">
        <f t="shared" ref="S730:S764" si="68">+IF(ABS(+O730+Q730)&gt;=ABS(P730+R730),+O730-P730+Q730-R730,0)</f>
        <v>0</v>
      </c>
      <c r="T730" s="580">
        <f t="shared" si="66"/>
        <v>0</v>
      </c>
      <c r="U730" s="51"/>
      <c r="V730" s="2119"/>
      <c r="W730" s="43"/>
      <c r="X730" s="43"/>
      <c r="Y730" s="43"/>
      <c r="Z730" s="43"/>
    </row>
    <row r="731" spans="1:26" ht="15.75" customHeight="1">
      <c r="A731" s="88">
        <v>7486</v>
      </c>
      <c r="B731" s="1032" t="s">
        <v>766</v>
      </c>
      <c r="C731" s="1033"/>
      <c r="D731" s="1033"/>
      <c r="E731" s="1033"/>
      <c r="F731" s="1033"/>
      <c r="G731" s="1033"/>
      <c r="H731" s="1033"/>
      <c r="I731" s="1033"/>
      <c r="J731" s="1033"/>
      <c r="K731" s="1033"/>
      <c r="L731" s="90"/>
      <c r="M731" s="51"/>
      <c r="N731" s="113">
        <f t="shared" si="67"/>
        <v>7486</v>
      </c>
      <c r="O731" s="575">
        <v>0</v>
      </c>
      <c r="P731" s="582">
        <v>0</v>
      </c>
      <c r="Q731" s="589"/>
      <c r="R731" s="576"/>
      <c r="S731" s="583">
        <f t="shared" si="68"/>
        <v>0</v>
      </c>
      <c r="T731" s="580">
        <f t="shared" si="66"/>
        <v>0</v>
      </c>
      <c r="U731" s="51"/>
      <c r="V731" s="2119"/>
      <c r="W731" s="43"/>
      <c r="X731" s="43"/>
      <c r="Y731" s="43"/>
      <c r="Z731" s="43"/>
    </row>
    <row r="732" spans="1:26" ht="15.75" customHeight="1">
      <c r="A732" s="88">
        <v>7487</v>
      </c>
      <c r="B732" s="1032" t="s">
        <v>767</v>
      </c>
      <c r="C732" s="1033"/>
      <c r="D732" s="1033"/>
      <c r="E732" s="1033"/>
      <c r="F732" s="1033"/>
      <c r="G732" s="1033"/>
      <c r="H732" s="1033"/>
      <c r="I732" s="1033"/>
      <c r="J732" s="1033"/>
      <c r="K732" s="1033"/>
      <c r="L732" s="90"/>
      <c r="M732" s="51"/>
      <c r="N732" s="113">
        <f t="shared" si="67"/>
        <v>7487</v>
      </c>
      <c r="O732" s="575">
        <v>0</v>
      </c>
      <c r="P732" s="582">
        <v>0</v>
      </c>
      <c r="Q732" s="589"/>
      <c r="R732" s="576"/>
      <c r="S732" s="583">
        <f t="shared" si="68"/>
        <v>0</v>
      </c>
      <c r="T732" s="580">
        <f t="shared" si="66"/>
        <v>0</v>
      </c>
      <c r="U732" s="51"/>
      <c r="V732" s="2119"/>
      <c r="W732" s="43"/>
      <c r="X732" s="43"/>
      <c r="Y732" s="43"/>
      <c r="Z732" s="43"/>
    </row>
    <row r="733" spans="1:26" ht="15.75" customHeight="1">
      <c r="A733" s="88">
        <v>7488</v>
      </c>
      <c r="B733" s="1032" t="s">
        <v>768</v>
      </c>
      <c r="C733" s="1033"/>
      <c r="D733" s="1033"/>
      <c r="E733" s="1033"/>
      <c r="F733" s="1033"/>
      <c r="G733" s="1033"/>
      <c r="H733" s="1033"/>
      <c r="I733" s="1033"/>
      <c r="J733" s="1033"/>
      <c r="K733" s="1033"/>
      <c r="L733" s="90"/>
      <c r="M733" s="51"/>
      <c r="N733" s="113">
        <f t="shared" si="67"/>
        <v>7488</v>
      </c>
      <c r="O733" s="575">
        <v>0</v>
      </c>
      <c r="P733" s="582">
        <v>0</v>
      </c>
      <c r="Q733" s="589"/>
      <c r="R733" s="576"/>
      <c r="S733" s="583">
        <f t="shared" si="68"/>
        <v>0</v>
      </c>
      <c r="T733" s="580">
        <f t="shared" si="66"/>
        <v>0</v>
      </c>
      <c r="U733" s="51"/>
      <c r="V733" s="2119"/>
      <c r="W733" s="43"/>
      <c r="X733" s="43"/>
      <c r="Y733" s="43"/>
      <c r="Z733" s="43"/>
    </row>
    <row r="734" spans="1:26">
      <c r="A734" s="88">
        <v>7491</v>
      </c>
      <c r="B734" s="1033" t="s">
        <v>769</v>
      </c>
      <c r="C734" s="1033"/>
      <c r="D734" s="1033"/>
      <c r="E734" s="1033"/>
      <c r="F734" s="1033"/>
      <c r="G734" s="1033"/>
      <c r="H734" s="1033"/>
      <c r="I734" s="1033"/>
      <c r="J734" s="1033"/>
      <c r="K734" s="1033"/>
      <c r="L734" s="90"/>
      <c r="M734" s="51"/>
      <c r="N734" s="113">
        <f t="shared" si="67"/>
        <v>7491</v>
      </c>
      <c r="O734" s="575">
        <v>0</v>
      </c>
      <c r="P734" s="582">
        <v>0</v>
      </c>
      <c r="Q734" s="589"/>
      <c r="R734" s="576"/>
      <c r="S734" s="583">
        <f t="shared" si="68"/>
        <v>0</v>
      </c>
      <c r="T734" s="580">
        <f t="shared" si="66"/>
        <v>0</v>
      </c>
      <c r="U734" s="51"/>
      <c r="V734" s="2119"/>
      <c r="W734" s="43"/>
      <c r="X734" s="43"/>
      <c r="Y734" s="43"/>
      <c r="Z734" s="43"/>
    </row>
    <row r="735" spans="1:26">
      <c r="A735" s="88">
        <v>7492</v>
      </c>
      <c r="B735" s="1033" t="s">
        <v>770</v>
      </c>
      <c r="C735" s="1033"/>
      <c r="D735" s="1033"/>
      <c r="E735" s="1033"/>
      <c r="F735" s="1033"/>
      <c r="G735" s="1033"/>
      <c r="H735" s="1033"/>
      <c r="I735" s="1033"/>
      <c r="J735" s="1033"/>
      <c r="K735" s="1033"/>
      <c r="L735" s="90"/>
      <c r="M735" s="51"/>
      <c r="N735" s="113">
        <f t="shared" si="67"/>
        <v>7492</v>
      </c>
      <c r="O735" s="575">
        <v>0</v>
      </c>
      <c r="P735" s="582">
        <v>0</v>
      </c>
      <c r="Q735" s="589"/>
      <c r="R735" s="576"/>
      <c r="S735" s="583">
        <f t="shared" si="68"/>
        <v>0</v>
      </c>
      <c r="T735" s="580">
        <f t="shared" si="66"/>
        <v>0</v>
      </c>
      <c r="U735" s="51"/>
      <c r="V735" s="2119"/>
      <c r="W735" s="43"/>
      <c r="X735" s="43"/>
      <c r="Y735" s="43"/>
      <c r="Z735" s="43"/>
    </row>
    <row r="736" spans="1:26">
      <c r="A736" s="88">
        <v>7493</v>
      </c>
      <c r="B736" s="1033" t="s">
        <v>771</v>
      </c>
      <c r="C736" s="1033"/>
      <c r="D736" s="1033"/>
      <c r="E736" s="1033"/>
      <c r="F736" s="1033"/>
      <c r="G736" s="1033"/>
      <c r="H736" s="1033"/>
      <c r="I736" s="1033"/>
      <c r="J736" s="1033"/>
      <c r="K736" s="1033"/>
      <c r="L736" s="90"/>
      <c r="M736" s="51"/>
      <c r="N736" s="113">
        <f t="shared" si="67"/>
        <v>7493</v>
      </c>
      <c r="O736" s="575">
        <v>0</v>
      </c>
      <c r="P736" s="582">
        <v>0</v>
      </c>
      <c r="Q736" s="589"/>
      <c r="R736" s="576"/>
      <c r="S736" s="583">
        <f t="shared" si="68"/>
        <v>0</v>
      </c>
      <c r="T736" s="580">
        <f t="shared" si="66"/>
        <v>0</v>
      </c>
      <c r="U736" s="51"/>
      <c r="V736" s="2119"/>
      <c r="W736" s="43"/>
      <c r="X736" s="43"/>
      <c r="Y736" s="43"/>
      <c r="Z736" s="43"/>
    </row>
    <row r="737" spans="1:26">
      <c r="A737" s="88">
        <v>7494</v>
      </c>
      <c r="B737" s="1033" t="s">
        <v>772</v>
      </c>
      <c r="C737" s="1033"/>
      <c r="D737" s="1033"/>
      <c r="E737" s="1033"/>
      <c r="F737" s="1033"/>
      <c r="G737" s="1033"/>
      <c r="H737" s="1033"/>
      <c r="I737" s="1033"/>
      <c r="J737" s="1033"/>
      <c r="K737" s="1033"/>
      <c r="L737" s="90"/>
      <c r="M737" s="51"/>
      <c r="N737" s="113">
        <f t="shared" si="67"/>
        <v>7494</v>
      </c>
      <c r="O737" s="575">
        <v>0</v>
      </c>
      <c r="P737" s="582">
        <v>0</v>
      </c>
      <c r="Q737" s="589"/>
      <c r="R737" s="576"/>
      <c r="S737" s="583">
        <f t="shared" si="68"/>
        <v>0</v>
      </c>
      <c r="T737" s="580">
        <f t="shared" ref="T737:T800" si="69">+IF(ABS(+O737+Q737)&lt;=ABS(P737+R737),-O737+P737-Q737+R737,0)</f>
        <v>0</v>
      </c>
      <c r="U737" s="51"/>
      <c r="V737" s="2119"/>
      <c r="W737" s="43"/>
      <c r="X737" s="43"/>
      <c r="Y737" s="43"/>
      <c r="Z737" s="43"/>
    </row>
    <row r="738" spans="1:26" ht="15.75" customHeight="1">
      <c r="A738" s="88">
        <v>7499</v>
      </c>
      <c r="B738" s="1033" t="s">
        <v>47</v>
      </c>
      <c r="C738" s="1033"/>
      <c r="D738" s="1033"/>
      <c r="E738" s="1033"/>
      <c r="F738" s="1033"/>
      <c r="G738" s="1033"/>
      <c r="H738" s="1033"/>
      <c r="I738" s="1033"/>
      <c r="J738" s="1033"/>
      <c r="K738" s="1033"/>
      <c r="L738" s="90"/>
      <c r="M738" s="51"/>
      <c r="N738" s="113">
        <f t="shared" si="67"/>
        <v>7499</v>
      </c>
      <c r="O738" s="575">
        <v>0</v>
      </c>
      <c r="P738" s="582">
        <v>0</v>
      </c>
      <c r="Q738" s="589"/>
      <c r="R738" s="576"/>
      <c r="S738" s="583">
        <f t="shared" si="68"/>
        <v>0</v>
      </c>
      <c r="T738" s="580">
        <f t="shared" si="69"/>
        <v>0</v>
      </c>
      <c r="U738" s="51"/>
      <c r="V738" s="2119"/>
      <c r="W738" s="43"/>
      <c r="X738" s="43"/>
      <c r="Y738" s="43"/>
      <c r="Z738" s="43"/>
    </row>
    <row r="739" spans="1:26">
      <c r="A739" s="88">
        <v>7500</v>
      </c>
      <c r="B739" s="378" t="s">
        <v>48</v>
      </c>
      <c r="C739" s="1033"/>
      <c r="D739" s="1033"/>
      <c r="E739" s="1033"/>
      <c r="F739" s="1033"/>
      <c r="G739" s="1033"/>
      <c r="H739" s="1033"/>
      <c r="I739" s="1033"/>
      <c r="J739" s="1033"/>
      <c r="K739" s="1033"/>
      <c r="L739" s="90"/>
      <c r="M739" s="51"/>
      <c r="N739" s="113">
        <f t="shared" si="67"/>
        <v>7500</v>
      </c>
      <c r="O739" s="575">
        <v>0</v>
      </c>
      <c r="P739" s="582">
        <v>0</v>
      </c>
      <c r="Q739" s="589">
        <v>0</v>
      </c>
      <c r="R739" s="576">
        <v>0</v>
      </c>
      <c r="S739" s="583">
        <f t="shared" si="68"/>
        <v>0</v>
      </c>
      <c r="T739" s="580">
        <f t="shared" si="69"/>
        <v>0</v>
      </c>
      <c r="U739" s="51"/>
      <c r="V739" s="2119"/>
      <c r="W739" s="43"/>
      <c r="X739" s="43"/>
      <c r="Y739" s="43"/>
      <c r="Z739" s="43"/>
    </row>
    <row r="740" spans="1:26">
      <c r="A740" s="88">
        <v>7501</v>
      </c>
      <c r="B740" s="378" t="s">
        <v>49</v>
      </c>
      <c r="C740" s="1033"/>
      <c r="D740" s="1033"/>
      <c r="E740" s="1033"/>
      <c r="F740" s="1033"/>
      <c r="G740" s="1033"/>
      <c r="H740" s="1033"/>
      <c r="I740" s="1033"/>
      <c r="J740" s="1033"/>
      <c r="K740" s="1033"/>
      <c r="L740" s="90"/>
      <c r="M740" s="51"/>
      <c r="N740" s="113">
        <f t="shared" si="67"/>
        <v>7501</v>
      </c>
      <c r="O740" s="575">
        <v>0</v>
      </c>
      <c r="P740" s="582">
        <v>0</v>
      </c>
      <c r="Q740" s="589">
        <v>0</v>
      </c>
      <c r="R740" s="576">
        <v>0</v>
      </c>
      <c r="S740" s="583">
        <f t="shared" si="68"/>
        <v>0</v>
      </c>
      <c r="T740" s="580">
        <f t="shared" si="69"/>
        <v>0</v>
      </c>
      <c r="U740" s="51"/>
      <c r="V740" s="2119"/>
      <c r="W740" s="43"/>
      <c r="X740" s="43"/>
      <c r="Y740" s="43"/>
      <c r="Z740" s="43"/>
    </row>
    <row r="741" spans="1:26">
      <c r="A741" s="88">
        <v>7502</v>
      </c>
      <c r="B741" s="378" t="s">
        <v>50</v>
      </c>
      <c r="C741" s="1033"/>
      <c r="D741" s="1033"/>
      <c r="E741" s="1033"/>
      <c r="F741" s="1033"/>
      <c r="G741" s="1033"/>
      <c r="H741" s="1033"/>
      <c r="I741" s="1033"/>
      <c r="J741" s="1033"/>
      <c r="K741" s="1033"/>
      <c r="L741" s="90"/>
      <c r="M741" s="51"/>
      <c r="N741" s="113">
        <f t="shared" si="67"/>
        <v>7502</v>
      </c>
      <c r="O741" s="575">
        <v>0</v>
      </c>
      <c r="P741" s="582">
        <v>0</v>
      </c>
      <c r="Q741" s="589"/>
      <c r="R741" s="576"/>
      <c r="S741" s="583">
        <f t="shared" si="68"/>
        <v>0</v>
      </c>
      <c r="T741" s="580">
        <f t="shared" si="69"/>
        <v>0</v>
      </c>
      <c r="U741" s="51"/>
      <c r="V741" s="2119"/>
      <c r="W741" s="43"/>
      <c r="X741" s="43"/>
      <c r="Y741" s="43"/>
      <c r="Z741" s="43"/>
    </row>
    <row r="742" spans="1:26">
      <c r="A742" s="88">
        <v>7511</v>
      </c>
      <c r="B742" s="1033" t="s">
        <v>302</v>
      </c>
      <c r="C742" s="1033"/>
      <c r="D742" s="1033"/>
      <c r="E742" s="1033"/>
      <c r="F742" s="1033"/>
      <c r="G742" s="1033"/>
      <c r="H742" s="1033"/>
      <c r="I742" s="1033"/>
      <c r="J742" s="1033"/>
      <c r="K742" s="1033"/>
      <c r="L742" s="90"/>
      <c r="M742" s="51"/>
      <c r="N742" s="113">
        <f t="shared" si="67"/>
        <v>7511</v>
      </c>
      <c r="O742" s="575">
        <v>0</v>
      </c>
      <c r="P742" s="582">
        <v>0</v>
      </c>
      <c r="Q742" s="589">
        <v>0</v>
      </c>
      <c r="R742" s="576">
        <v>0</v>
      </c>
      <c r="S742" s="583">
        <f t="shared" si="68"/>
        <v>0</v>
      </c>
      <c r="T742" s="580">
        <f t="shared" si="69"/>
        <v>0</v>
      </c>
      <c r="U742" s="51"/>
      <c r="V742" s="2119"/>
      <c r="W742" s="43"/>
      <c r="X742" s="43"/>
      <c r="Y742" s="43"/>
      <c r="Z742" s="43"/>
    </row>
    <row r="743" spans="1:26">
      <c r="A743" s="88">
        <v>7519</v>
      </c>
      <c r="B743" s="1033" t="s">
        <v>51</v>
      </c>
      <c r="C743" s="1033"/>
      <c r="D743" s="1033"/>
      <c r="E743" s="1033"/>
      <c r="F743" s="1033"/>
      <c r="G743" s="1033"/>
      <c r="H743" s="1033"/>
      <c r="I743" s="1033"/>
      <c r="J743" s="1033"/>
      <c r="K743" s="1033"/>
      <c r="L743" s="90"/>
      <c r="M743" s="51"/>
      <c r="N743" s="113">
        <f t="shared" si="67"/>
        <v>7519</v>
      </c>
      <c r="O743" s="575">
        <v>0</v>
      </c>
      <c r="P743" s="582">
        <v>0</v>
      </c>
      <c r="Q743" s="589"/>
      <c r="R743" s="576"/>
      <c r="S743" s="583">
        <f t="shared" si="68"/>
        <v>0</v>
      </c>
      <c r="T743" s="580">
        <f t="shared" si="69"/>
        <v>0</v>
      </c>
      <c r="U743" s="51"/>
      <c r="V743" s="2119"/>
      <c r="W743" s="43"/>
      <c r="X743" s="43"/>
      <c r="Y743" s="43"/>
      <c r="Z743" s="43"/>
    </row>
    <row r="744" spans="1:26">
      <c r="A744" s="88">
        <v>7522</v>
      </c>
      <c r="B744" s="1033" t="s">
        <v>52</v>
      </c>
      <c r="C744" s="1033"/>
      <c r="D744" s="1033"/>
      <c r="E744" s="1033"/>
      <c r="F744" s="1033"/>
      <c r="G744" s="1033"/>
      <c r="H744" s="1033"/>
      <c r="I744" s="1033"/>
      <c r="J744" s="1033"/>
      <c r="K744" s="1033"/>
      <c r="L744" s="90"/>
      <c r="M744" s="51"/>
      <c r="N744" s="113">
        <f t="shared" si="67"/>
        <v>7522</v>
      </c>
      <c r="O744" s="575">
        <v>0</v>
      </c>
      <c r="P744" s="582">
        <v>0</v>
      </c>
      <c r="Q744" s="589">
        <v>0</v>
      </c>
      <c r="R744" s="576">
        <v>0</v>
      </c>
      <c r="S744" s="583">
        <f t="shared" si="68"/>
        <v>0</v>
      </c>
      <c r="T744" s="580">
        <f t="shared" si="69"/>
        <v>0</v>
      </c>
      <c r="U744" s="51"/>
      <c r="V744" s="2119"/>
      <c r="W744" s="43"/>
      <c r="X744" s="43"/>
      <c r="Y744" s="43"/>
      <c r="Z744" s="43"/>
    </row>
    <row r="745" spans="1:26" ht="15.75" customHeight="1">
      <c r="A745" s="88">
        <v>7524</v>
      </c>
      <c r="B745" s="1033" t="s">
        <v>53</v>
      </c>
      <c r="C745" s="1033"/>
      <c r="D745" s="1033"/>
      <c r="E745" s="1033"/>
      <c r="F745" s="1033"/>
      <c r="G745" s="1033"/>
      <c r="H745" s="1033"/>
      <c r="I745" s="1033"/>
      <c r="J745" s="1033"/>
      <c r="K745" s="1033"/>
      <c r="L745" s="90"/>
      <c r="M745" s="51"/>
      <c r="N745" s="113">
        <f t="shared" si="67"/>
        <v>7524</v>
      </c>
      <c r="O745" s="575">
        <v>0</v>
      </c>
      <c r="P745" s="582">
        <v>0</v>
      </c>
      <c r="Q745" s="589"/>
      <c r="R745" s="576"/>
      <c r="S745" s="583">
        <f t="shared" si="68"/>
        <v>0</v>
      </c>
      <c r="T745" s="580">
        <f t="shared" si="69"/>
        <v>0</v>
      </c>
      <c r="U745" s="51"/>
      <c r="V745" s="2119"/>
      <c r="W745" s="43"/>
      <c r="X745" s="43"/>
      <c r="Y745" s="43"/>
      <c r="Z745" s="43"/>
    </row>
    <row r="746" spans="1:26" ht="15.75" customHeight="1">
      <c r="A746" s="88">
        <v>7525</v>
      </c>
      <c r="B746" s="1033" t="s">
        <v>54</v>
      </c>
      <c r="C746" s="1033"/>
      <c r="D746" s="1033"/>
      <c r="E746" s="1033"/>
      <c r="F746" s="1033"/>
      <c r="G746" s="1033"/>
      <c r="H746" s="1033"/>
      <c r="I746" s="1033"/>
      <c r="J746" s="1033"/>
      <c r="K746" s="1033"/>
      <c r="L746" s="90"/>
      <c r="M746" s="51"/>
      <c r="N746" s="113">
        <f t="shared" si="67"/>
        <v>7525</v>
      </c>
      <c r="O746" s="575">
        <v>0</v>
      </c>
      <c r="P746" s="582">
        <v>0</v>
      </c>
      <c r="Q746" s="589"/>
      <c r="R746" s="576"/>
      <c r="S746" s="583">
        <f t="shared" si="68"/>
        <v>0</v>
      </c>
      <c r="T746" s="580">
        <f t="shared" si="69"/>
        <v>0</v>
      </c>
      <c r="U746" s="51"/>
      <c r="V746" s="2119"/>
      <c r="W746" s="43"/>
      <c r="X746" s="43"/>
      <c r="Y746" s="43"/>
      <c r="Z746" s="43"/>
    </row>
    <row r="747" spans="1:26" ht="15.75" customHeight="1">
      <c r="A747" s="88">
        <v>7532</v>
      </c>
      <c r="B747" s="1033" t="s">
        <v>55</v>
      </c>
      <c r="C747" s="1033"/>
      <c r="D747" s="1033"/>
      <c r="E747" s="1033"/>
      <c r="F747" s="1033"/>
      <c r="G747" s="1033"/>
      <c r="H747" s="1033"/>
      <c r="I747" s="1033"/>
      <c r="J747" s="1033"/>
      <c r="K747" s="1033"/>
      <c r="L747" s="90"/>
      <c r="M747" s="51"/>
      <c r="N747" s="113">
        <f t="shared" si="67"/>
        <v>7532</v>
      </c>
      <c r="O747" s="575">
        <v>0</v>
      </c>
      <c r="P747" s="582">
        <v>0</v>
      </c>
      <c r="Q747" s="589"/>
      <c r="R747" s="576"/>
      <c r="S747" s="583">
        <f t="shared" si="68"/>
        <v>0</v>
      </c>
      <c r="T747" s="580">
        <f t="shared" si="69"/>
        <v>0</v>
      </c>
      <c r="U747" s="51"/>
      <c r="V747" s="2119"/>
      <c r="W747" s="43"/>
      <c r="X747" s="43"/>
      <c r="Y747" s="43"/>
      <c r="Z747" s="43"/>
    </row>
    <row r="748" spans="1:26" ht="15.75" customHeight="1">
      <c r="A748" s="88">
        <v>7534</v>
      </c>
      <c r="B748" s="1033" t="s">
        <v>56</v>
      </c>
      <c r="C748" s="1033"/>
      <c r="D748" s="1033"/>
      <c r="E748" s="1033"/>
      <c r="F748" s="1033"/>
      <c r="G748" s="1033"/>
      <c r="H748" s="1033"/>
      <c r="I748" s="1033"/>
      <c r="J748" s="1033"/>
      <c r="K748" s="1033"/>
      <c r="L748" s="90"/>
      <c r="M748" s="51"/>
      <c r="N748" s="113">
        <f t="shared" si="67"/>
        <v>7534</v>
      </c>
      <c r="O748" s="575">
        <v>0</v>
      </c>
      <c r="P748" s="582">
        <v>0</v>
      </c>
      <c r="Q748" s="589">
        <v>0</v>
      </c>
      <c r="R748" s="576">
        <v>0</v>
      </c>
      <c r="S748" s="583">
        <f t="shared" si="68"/>
        <v>0</v>
      </c>
      <c r="T748" s="580">
        <f t="shared" si="69"/>
        <v>0</v>
      </c>
      <c r="U748" s="51"/>
      <c r="V748" s="2119"/>
      <c r="W748" s="43"/>
      <c r="X748" s="43"/>
      <c r="Y748" s="43"/>
      <c r="Z748" s="43"/>
    </row>
    <row r="749" spans="1:26" ht="15.75" customHeight="1">
      <c r="A749" s="88">
        <v>7535</v>
      </c>
      <c r="B749" s="1033" t="s">
        <v>57</v>
      </c>
      <c r="C749" s="1033"/>
      <c r="D749" s="1033"/>
      <c r="E749" s="1033"/>
      <c r="F749" s="1033"/>
      <c r="G749" s="1033"/>
      <c r="H749" s="1033"/>
      <c r="I749" s="1033"/>
      <c r="J749" s="1033"/>
      <c r="K749" s="1033"/>
      <c r="L749" s="90"/>
      <c r="M749" s="51"/>
      <c r="N749" s="113">
        <f t="shared" si="67"/>
        <v>7535</v>
      </c>
      <c r="O749" s="575">
        <v>0</v>
      </c>
      <c r="P749" s="582">
        <v>0</v>
      </c>
      <c r="Q749" s="589"/>
      <c r="R749" s="576"/>
      <c r="S749" s="583">
        <f t="shared" si="68"/>
        <v>0</v>
      </c>
      <c r="T749" s="580">
        <f t="shared" si="69"/>
        <v>0</v>
      </c>
      <c r="U749" s="51"/>
      <c r="V749" s="2119"/>
      <c r="W749" s="43"/>
      <c r="X749" s="43"/>
      <c r="Y749" s="43"/>
      <c r="Z749" s="43"/>
    </row>
    <row r="750" spans="1:26" ht="15.75" customHeight="1">
      <c r="A750" s="88">
        <v>7582</v>
      </c>
      <c r="B750" s="1033" t="s">
        <v>58</v>
      </c>
      <c r="C750" s="1033"/>
      <c r="D750" s="1033"/>
      <c r="E750" s="1033"/>
      <c r="F750" s="1033"/>
      <c r="G750" s="1033"/>
      <c r="H750" s="1033"/>
      <c r="I750" s="1033"/>
      <c r="J750" s="1033"/>
      <c r="K750" s="1033"/>
      <c r="L750" s="90"/>
      <c r="M750" s="51"/>
      <c r="N750" s="113">
        <f t="shared" si="67"/>
        <v>7582</v>
      </c>
      <c r="O750" s="575">
        <v>0</v>
      </c>
      <c r="P750" s="582">
        <v>0</v>
      </c>
      <c r="Q750" s="589"/>
      <c r="R750" s="576"/>
      <c r="S750" s="583">
        <f t="shared" si="68"/>
        <v>0</v>
      </c>
      <c r="T750" s="580">
        <f t="shared" si="69"/>
        <v>0</v>
      </c>
      <c r="U750" s="51"/>
      <c r="V750" s="2119"/>
      <c r="W750" s="43"/>
      <c r="X750" s="43"/>
      <c r="Y750" s="43"/>
      <c r="Z750" s="43"/>
    </row>
    <row r="751" spans="1:26" ht="15.75" customHeight="1">
      <c r="A751" s="88">
        <v>7584</v>
      </c>
      <c r="B751" s="1033" t="s">
        <v>59</v>
      </c>
      <c r="C751" s="1033"/>
      <c r="D751" s="1033"/>
      <c r="E751" s="1033"/>
      <c r="F751" s="1033"/>
      <c r="G751" s="1033"/>
      <c r="H751" s="1033"/>
      <c r="I751" s="1033"/>
      <c r="J751" s="1033"/>
      <c r="K751" s="1033"/>
      <c r="L751" s="90"/>
      <c r="M751" s="51"/>
      <c r="N751" s="113">
        <f t="shared" si="67"/>
        <v>7584</v>
      </c>
      <c r="O751" s="575">
        <v>0</v>
      </c>
      <c r="P751" s="582">
        <v>0</v>
      </c>
      <c r="Q751" s="589"/>
      <c r="R751" s="576"/>
      <c r="S751" s="583">
        <f t="shared" si="68"/>
        <v>0</v>
      </c>
      <c r="T751" s="580">
        <f t="shared" si="69"/>
        <v>0</v>
      </c>
      <c r="U751" s="51"/>
      <c r="V751" s="2119"/>
      <c r="W751" s="43"/>
      <c r="X751" s="43"/>
      <c r="Y751" s="43"/>
      <c r="Z751" s="43"/>
    </row>
    <row r="752" spans="1:26" ht="15.75" customHeight="1">
      <c r="A752" s="88">
        <v>7585</v>
      </c>
      <c r="B752" s="1033" t="s">
        <v>60</v>
      </c>
      <c r="C752" s="1033"/>
      <c r="D752" s="1033"/>
      <c r="E752" s="1033"/>
      <c r="F752" s="1033"/>
      <c r="G752" s="1033"/>
      <c r="H752" s="1033"/>
      <c r="I752" s="1033"/>
      <c r="J752" s="1033"/>
      <c r="K752" s="1033"/>
      <c r="L752" s="90"/>
      <c r="M752" s="51"/>
      <c r="N752" s="113">
        <f t="shared" si="67"/>
        <v>7585</v>
      </c>
      <c r="O752" s="575">
        <v>0</v>
      </c>
      <c r="P752" s="582">
        <v>0</v>
      </c>
      <c r="Q752" s="589"/>
      <c r="R752" s="576"/>
      <c r="S752" s="583">
        <f t="shared" si="68"/>
        <v>0</v>
      </c>
      <c r="T752" s="580">
        <f t="shared" si="69"/>
        <v>0</v>
      </c>
      <c r="U752" s="51"/>
      <c r="V752" s="2119"/>
      <c r="W752" s="43"/>
      <c r="X752" s="43"/>
      <c r="Y752" s="43"/>
      <c r="Z752" s="43"/>
    </row>
    <row r="753" spans="1:26">
      <c r="A753" s="88">
        <v>7591</v>
      </c>
      <c r="B753" s="1042" t="s">
        <v>61</v>
      </c>
      <c r="C753" s="1051"/>
      <c r="D753" s="1051"/>
      <c r="E753" s="1051"/>
      <c r="F753" s="1051"/>
      <c r="G753" s="1051"/>
      <c r="H753" s="1051"/>
      <c r="I753" s="1051"/>
      <c r="J753" s="1051"/>
      <c r="K753" s="1051"/>
      <c r="L753" s="90"/>
      <c r="M753" s="51"/>
      <c r="N753" s="113">
        <f t="shared" si="67"/>
        <v>7591</v>
      </c>
      <c r="O753" s="575">
        <v>0</v>
      </c>
      <c r="P753" s="582">
        <v>0</v>
      </c>
      <c r="Q753" s="589"/>
      <c r="R753" s="576"/>
      <c r="S753" s="583">
        <f t="shared" si="68"/>
        <v>0</v>
      </c>
      <c r="T753" s="580">
        <f t="shared" si="69"/>
        <v>0</v>
      </c>
      <c r="U753" s="51"/>
      <c r="V753" s="2119"/>
      <c r="W753" s="43"/>
      <c r="X753" s="43"/>
      <c r="Y753" s="43"/>
      <c r="Z753" s="43"/>
    </row>
    <row r="754" spans="1:26">
      <c r="A754" s="88">
        <v>7595</v>
      </c>
      <c r="B754" s="1042" t="s">
        <v>62</v>
      </c>
      <c r="C754" s="1051"/>
      <c r="D754" s="1051"/>
      <c r="E754" s="1051"/>
      <c r="F754" s="1051"/>
      <c r="G754" s="1051"/>
      <c r="H754" s="1051"/>
      <c r="I754" s="1051"/>
      <c r="J754" s="1051"/>
      <c r="K754" s="1051"/>
      <c r="L754" s="90"/>
      <c r="M754" s="51"/>
      <c r="N754" s="113">
        <f t="shared" si="67"/>
        <v>7595</v>
      </c>
      <c r="O754" s="575">
        <v>0</v>
      </c>
      <c r="P754" s="582">
        <v>0</v>
      </c>
      <c r="Q754" s="589"/>
      <c r="R754" s="576"/>
      <c r="S754" s="583">
        <f t="shared" si="68"/>
        <v>0</v>
      </c>
      <c r="T754" s="580">
        <f t="shared" si="69"/>
        <v>0</v>
      </c>
      <c r="U754" s="51"/>
      <c r="V754" s="2119"/>
      <c r="W754" s="43"/>
      <c r="X754" s="43"/>
      <c r="Y754" s="43"/>
      <c r="Z754" s="43"/>
    </row>
    <row r="755" spans="1:26">
      <c r="A755" s="88">
        <v>7596</v>
      </c>
      <c r="B755" s="1042" t="s">
        <v>63</v>
      </c>
      <c r="C755" s="1051"/>
      <c r="D755" s="1051"/>
      <c r="E755" s="1051"/>
      <c r="F755" s="1051"/>
      <c r="G755" s="1051"/>
      <c r="H755" s="1051"/>
      <c r="I755" s="1051"/>
      <c r="J755" s="1051"/>
      <c r="K755" s="1051"/>
      <c r="L755" s="90"/>
      <c r="M755" s="51"/>
      <c r="N755" s="113">
        <f t="shared" si="67"/>
        <v>7596</v>
      </c>
      <c r="O755" s="575">
        <v>0</v>
      </c>
      <c r="P755" s="582">
        <v>0</v>
      </c>
      <c r="Q755" s="589"/>
      <c r="R755" s="576"/>
      <c r="S755" s="583">
        <f t="shared" si="68"/>
        <v>0</v>
      </c>
      <c r="T755" s="580">
        <f t="shared" si="69"/>
        <v>0</v>
      </c>
      <c r="U755" s="51"/>
      <c r="V755" s="2119"/>
      <c r="W755" s="43"/>
      <c r="X755" s="43"/>
      <c r="Y755" s="43"/>
      <c r="Z755" s="43"/>
    </row>
    <row r="756" spans="1:26" ht="15.75" customHeight="1">
      <c r="A756" s="88">
        <v>7597</v>
      </c>
      <c r="B756" s="1042" t="s">
        <v>64</v>
      </c>
      <c r="C756" s="1042"/>
      <c r="D756" s="1042"/>
      <c r="E756" s="1042"/>
      <c r="F756" s="1042"/>
      <c r="G756" s="1042"/>
      <c r="H756" s="1042"/>
      <c r="I756" s="1042"/>
      <c r="J756" s="1042"/>
      <c r="K756" s="1042"/>
      <c r="L756" s="90"/>
      <c r="M756" s="51"/>
      <c r="N756" s="113">
        <f t="shared" si="67"/>
        <v>7597</v>
      </c>
      <c r="O756" s="575">
        <v>0</v>
      </c>
      <c r="P756" s="582">
        <v>0</v>
      </c>
      <c r="Q756" s="589"/>
      <c r="R756" s="576"/>
      <c r="S756" s="583">
        <f t="shared" si="68"/>
        <v>0</v>
      </c>
      <c r="T756" s="580">
        <f t="shared" si="69"/>
        <v>0</v>
      </c>
      <c r="U756" s="51"/>
      <c r="V756" s="2119"/>
      <c r="W756" s="43"/>
      <c r="X756" s="43"/>
      <c r="Y756" s="43"/>
      <c r="Z756" s="43"/>
    </row>
    <row r="757" spans="1:26">
      <c r="A757" s="88">
        <v>7598</v>
      </c>
      <c r="B757" s="1042" t="s">
        <v>65</v>
      </c>
      <c r="C757" s="1051"/>
      <c r="D757" s="1051"/>
      <c r="E757" s="1051"/>
      <c r="F757" s="1051"/>
      <c r="G757" s="1051"/>
      <c r="H757" s="1051"/>
      <c r="I757" s="1051"/>
      <c r="J757" s="1051"/>
      <c r="K757" s="1051"/>
      <c r="L757" s="90"/>
      <c r="M757" s="51"/>
      <c r="N757" s="113">
        <f t="shared" si="67"/>
        <v>7598</v>
      </c>
      <c r="O757" s="575">
        <v>0</v>
      </c>
      <c r="P757" s="582">
        <v>0</v>
      </c>
      <c r="Q757" s="589"/>
      <c r="R757" s="576"/>
      <c r="S757" s="583">
        <f t="shared" si="68"/>
        <v>0</v>
      </c>
      <c r="T757" s="580">
        <f t="shared" si="69"/>
        <v>0</v>
      </c>
      <c r="U757" s="51"/>
      <c r="V757" s="2119"/>
      <c r="W757" s="43"/>
      <c r="X757" s="43"/>
      <c r="Y757" s="43"/>
      <c r="Z757" s="43"/>
    </row>
    <row r="758" spans="1:26">
      <c r="A758" s="88">
        <v>7599</v>
      </c>
      <c r="B758" s="1042" t="s">
        <v>66</v>
      </c>
      <c r="C758" s="1051"/>
      <c r="D758" s="1051"/>
      <c r="E758" s="1051"/>
      <c r="F758" s="1051"/>
      <c r="G758" s="1051"/>
      <c r="H758" s="1051"/>
      <c r="I758" s="1051"/>
      <c r="J758" s="1051"/>
      <c r="K758" s="1051"/>
      <c r="L758" s="90"/>
      <c r="M758" s="51"/>
      <c r="N758" s="113">
        <f t="shared" si="67"/>
        <v>7599</v>
      </c>
      <c r="O758" s="575">
        <v>0</v>
      </c>
      <c r="P758" s="582">
        <v>0</v>
      </c>
      <c r="Q758" s="589"/>
      <c r="R758" s="576"/>
      <c r="S758" s="583">
        <f t="shared" si="68"/>
        <v>0</v>
      </c>
      <c r="T758" s="580">
        <f t="shared" si="69"/>
        <v>0</v>
      </c>
      <c r="U758" s="51"/>
      <c r="V758" s="2119"/>
      <c r="W758" s="43"/>
      <c r="X758" s="43"/>
      <c r="Y758" s="43"/>
      <c r="Z758" s="43"/>
    </row>
    <row r="759" spans="1:26" ht="15.75" customHeight="1">
      <c r="A759" s="88">
        <v>7600</v>
      </c>
      <c r="B759" s="1045" t="s">
        <v>2192</v>
      </c>
      <c r="C759" s="1035"/>
      <c r="D759" s="1035"/>
      <c r="E759" s="1035"/>
      <c r="F759" s="1035"/>
      <c r="G759" s="1035"/>
      <c r="H759" s="1035"/>
      <c r="I759" s="1035"/>
      <c r="J759" s="1035"/>
      <c r="K759" s="1035"/>
      <c r="L759" s="90"/>
      <c r="M759" s="51"/>
      <c r="N759" s="113">
        <f t="shared" si="67"/>
        <v>7600</v>
      </c>
      <c r="O759" s="575">
        <v>0</v>
      </c>
      <c r="P759" s="582">
        <v>0</v>
      </c>
      <c r="Q759" s="589"/>
      <c r="R759" s="576"/>
      <c r="S759" s="583">
        <f t="shared" si="68"/>
        <v>0</v>
      </c>
      <c r="T759" s="580">
        <f t="shared" si="69"/>
        <v>0</v>
      </c>
      <c r="U759" s="51"/>
      <c r="V759" s="2119"/>
      <c r="W759" s="43"/>
      <c r="X759" s="43"/>
      <c r="Y759" s="43"/>
      <c r="Z759" s="43"/>
    </row>
    <row r="760" spans="1:26" ht="15.75" customHeight="1">
      <c r="A760" s="88">
        <v>7601</v>
      </c>
      <c r="B760" s="2417" t="s">
        <v>2193</v>
      </c>
      <c r="C760" s="2418"/>
      <c r="D760" s="2418"/>
      <c r="E760" s="2418"/>
      <c r="F760" s="2418"/>
      <c r="G760" s="2418"/>
      <c r="H760" s="2418"/>
      <c r="I760" s="2418"/>
      <c r="J760" s="2418"/>
      <c r="K760" s="1035"/>
      <c r="L760" s="90"/>
      <c r="M760" s="51"/>
      <c r="N760" s="113">
        <f t="shared" si="67"/>
        <v>7601</v>
      </c>
      <c r="O760" s="575">
        <v>0</v>
      </c>
      <c r="P760" s="582">
        <v>0</v>
      </c>
      <c r="Q760" s="589">
        <v>0</v>
      </c>
      <c r="R760" s="576">
        <v>0</v>
      </c>
      <c r="S760" s="583">
        <f t="shared" si="68"/>
        <v>0</v>
      </c>
      <c r="T760" s="580">
        <f t="shared" si="69"/>
        <v>0</v>
      </c>
      <c r="U760" s="51"/>
      <c r="V760" s="2119"/>
      <c r="W760" s="43"/>
      <c r="X760" s="43"/>
      <c r="Y760" s="43"/>
      <c r="Z760" s="43"/>
    </row>
    <row r="761" spans="1:26" ht="15.75" customHeight="1">
      <c r="A761" s="88">
        <v>7602</v>
      </c>
      <c r="B761" s="1045" t="s">
        <v>2194</v>
      </c>
      <c r="C761" s="1035"/>
      <c r="D761" s="1035"/>
      <c r="E761" s="1035"/>
      <c r="F761" s="1035"/>
      <c r="G761" s="1035"/>
      <c r="H761" s="1035"/>
      <c r="I761" s="1035"/>
      <c r="J761" s="1035"/>
      <c r="K761" s="1035"/>
      <c r="L761" s="90"/>
      <c r="M761" s="51"/>
      <c r="N761" s="113">
        <f t="shared" si="67"/>
        <v>7602</v>
      </c>
      <c r="O761" s="575">
        <v>0</v>
      </c>
      <c r="P761" s="582">
        <v>0</v>
      </c>
      <c r="Q761" s="579">
        <v>0</v>
      </c>
      <c r="R761" s="582">
        <v>0</v>
      </c>
      <c r="S761" s="583">
        <f t="shared" si="68"/>
        <v>0</v>
      </c>
      <c r="T761" s="580">
        <f t="shared" si="69"/>
        <v>0</v>
      </c>
      <c r="U761" s="51"/>
      <c r="V761" s="2125">
        <f>+IF(OR(O761&lt;&gt;0,P761&lt;&gt;0,Q761&lt;&gt;0,R761&lt;&gt;0,S761&lt;&gt;0,T761&lt;&gt;0),+IF(ABS(O761+Q761)-ABS(P761+R761)&lt;&gt;0,ABS(O761+Q761)-ABS(P761+R761),1),0)</f>
        <v>0</v>
      </c>
      <c r="W761" s="43"/>
      <c r="X761" s="43"/>
      <c r="Y761" s="43"/>
      <c r="Z761" s="43"/>
    </row>
    <row r="762" spans="1:26" ht="15.75" customHeight="1">
      <c r="A762" s="88">
        <v>7603</v>
      </c>
      <c r="B762" s="2417" t="s">
        <v>2195</v>
      </c>
      <c r="C762" s="2419"/>
      <c r="D762" s="2419"/>
      <c r="E762" s="2419"/>
      <c r="F762" s="2419"/>
      <c r="G762" s="2419"/>
      <c r="H762" s="2419"/>
      <c r="I762" s="2419"/>
      <c r="J762" s="2419"/>
      <c r="K762" s="2419"/>
      <c r="L762" s="90"/>
      <c r="M762" s="51"/>
      <c r="N762" s="113">
        <f t="shared" si="67"/>
        <v>7603</v>
      </c>
      <c r="O762" s="575">
        <v>0</v>
      </c>
      <c r="P762" s="582">
        <v>0</v>
      </c>
      <c r="Q762" s="589"/>
      <c r="R762" s="576"/>
      <c r="S762" s="583">
        <f t="shared" si="68"/>
        <v>0</v>
      </c>
      <c r="T762" s="580">
        <f t="shared" si="69"/>
        <v>0</v>
      </c>
      <c r="U762" s="51"/>
      <c r="V762" s="2119"/>
      <c r="W762" s="43"/>
      <c r="X762" s="43"/>
      <c r="Y762" s="43"/>
      <c r="Z762" s="43"/>
    </row>
    <row r="763" spans="1:26" ht="15.75" customHeight="1">
      <c r="A763" s="88">
        <v>7609</v>
      </c>
      <c r="B763" s="1042" t="s">
        <v>67</v>
      </c>
      <c r="C763" s="1051"/>
      <c r="D763" s="1051"/>
      <c r="E763" s="1051"/>
      <c r="F763" s="1051"/>
      <c r="G763" s="1051"/>
      <c r="H763" s="1051"/>
      <c r="I763" s="1051"/>
      <c r="J763" s="1051"/>
      <c r="K763" s="1051"/>
      <c r="L763" s="90"/>
      <c r="M763" s="51"/>
      <c r="N763" s="113">
        <f t="shared" si="67"/>
        <v>7609</v>
      </c>
      <c r="O763" s="575">
        <v>0</v>
      </c>
      <c r="P763" s="582">
        <v>0</v>
      </c>
      <c r="Q763" s="579">
        <v>0</v>
      </c>
      <c r="R763" s="582">
        <v>0</v>
      </c>
      <c r="S763" s="583">
        <f t="shared" si="68"/>
        <v>0</v>
      </c>
      <c r="T763" s="580">
        <f t="shared" si="69"/>
        <v>0</v>
      </c>
      <c r="U763" s="51"/>
      <c r="V763" s="2125">
        <f>+IF(OR(O763&lt;&gt;0,P763&lt;&gt;0,Q763&lt;&gt;0,R763&lt;&gt;0,S763&lt;&gt;0,T763&lt;&gt;0),+IF(ABS(O763+Q763)-ABS(P763+R763)&lt;&gt;0,ABS(O763+Q763)-ABS(P763+R763),1),0)</f>
        <v>0</v>
      </c>
      <c r="W763" s="43"/>
      <c r="X763" s="43"/>
      <c r="Y763" s="43"/>
      <c r="Z763" s="43"/>
    </row>
    <row r="764" spans="1:26">
      <c r="A764" s="88">
        <v>7612</v>
      </c>
      <c r="B764" s="1033" t="s">
        <v>68</v>
      </c>
      <c r="C764" s="1033"/>
      <c r="D764" s="1033"/>
      <c r="E764" s="1033"/>
      <c r="F764" s="1033"/>
      <c r="G764" s="1033"/>
      <c r="H764" s="1033"/>
      <c r="I764" s="1033"/>
      <c r="J764" s="1033"/>
      <c r="K764" s="1033"/>
      <c r="L764" s="90"/>
      <c r="M764" s="51"/>
      <c r="N764" s="113">
        <f t="shared" si="67"/>
        <v>7612</v>
      </c>
      <c r="O764" s="575">
        <v>0</v>
      </c>
      <c r="P764" s="582">
        <v>0</v>
      </c>
      <c r="Q764" s="589">
        <v>0</v>
      </c>
      <c r="R764" s="576">
        <v>0</v>
      </c>
      <c r="S764" s="583">
        <f t="shared" si="68"/>
        <v>0</v>
      </c>
      <c r="T764" s="580">
        <f t="shared" si="69"/>
        <v>0</v>
      </c>
      <c r="U764" s="51"/>
      <c r="V764" s="2119"/>
      <c r="W764" s="43"/>
      <c r="X764" s="43"/>
      <c r="Y764" s="43"/>
      <c r="Z764" s="43"/>
    </row>
    <row r="765" spans="1:26" ht="15.75" customHeight="1">
      <c r="A765" s="88">
        <v>7613</v>
      </c>
      <c r="B765" s="1042" t="s">
        <v>69</v>
      </c>
      <c r="C765" s="1051"/>
      <c r="D765" s="1051"/>
      <c r="E765" s="1051"/>
      <c r="F765" s="1051"/>
      <c r="G765" s="1051"/>
      <c r="H765" s="1051"/>
      <c r="I765" s="1051"/>
      <c r="J765" s="1051"/>
      <c r="K765" s="1051"/>
      <c r="L765" s="90"/>
      <c r="M765" s="51"/>
      <c r="N765" s="113">
        <f t="shared" si="67"/>
        <v>7613</v>
      </c>
      <c r="O765" s="575">
        <v>0</v>
      </c>
      <c r="P765" s="582">
        <v>0</v>
      </c>
      <c r="Q765" s="589">
        <v>0</v>
      </c>
      <c r="R765" s="576">
        <v>0</v>
      </c>
      <c r="S765" s="583">
        <f>+IF(ABS(+O765+Q765)&gt;=ABS(P765+R765),+O765-P765+Q765-R765,0)</f>
        <v>0</v>
      </c>
      <c r="T765" s="580">
        <f t="shared" si="69"/>
        <v>0</v>
      </c>
      <c r="U765" s="51"/>
      <c r="V765" s="2119"/>
      <c r="W765" s="43"/>
      <c r="X765" s="43"/>
      <c r="Y765" s="43"/>
      <c r="Z765" s="43"/>
    </row>
    <row r="766" spans="1:26" ht="15.75" customHeight="1">
      <c r="A766" s="88">
        <v>7614</v>
      </c>
      <c r="B766" s="1042" t="s">
        <v>70</v>
      </c>
      <c r="C766" s="1051"/>
      <c r="D766" s="1051"/>
      <c r="E766" s="1051"/>
      <c r="F766" s="1051"/>
      <c r="G766" s="1051"/>
      <c r="H766" s="1051"/>
      <c r="I766" s="1051"/>
      <c r="J766" s="1051"/>
      <c r="K766" s="1051"/>
      <c r="L766" s="90"/>
      <c r="M766" s="51"/>
      <c r="N766" s="113">
        <f t="shared" si="67"/>
        <v>7614</v>
      </c>
      <c r="O766" s="575">
        <v>0</v>
      </c>
      <c r="P766" s="582">
        <v>0</v>
      </c>
      <c r="Q766" s="589"/>
      <c r="R766" s="576"/>
      <c r="S766" s="583">
        <f>+IF(ABS(+O766+Q766)&gt;=ABS(P766+R766),+O766-P766+Q766-R766,0)</f>
        <v>0</v>
      </c>
      <c r="T766" s="580">
        <f t="shared" si="69"/>
        <v>0</v>
      </c>
      <c r="U766" s="51"/>
      <c r="V766" s="2119"/>
      <c r="W766" s="43"/>
      <c r="X766" s="43"/>
      <c r="Y766" s="43"/>
      <c r="Z766" s="43"/>
    </row>
    <row r="767" spans="1:26" ht="15.75" customHeight="1">
      <c r="A767" s="88">
        <v>7615</v>
      </c>
      <c r="B767" s="1042" t="s">
        <v>71</v>
      </c>
      <c r="C767" s="1051"/>
      <c r="D767" s="1051"/>
      <c r="E767" s="1051"/>
      <c r="F767" s="1051"/>
      <c r="G767" s="1051"/>
      <c r="H767" s="1051"/>
      <c r="I767" s="1051"/>
      <c r="J767" s="1051"/>
      <c r="K767" s="1051"/>
      <c r="L767" s="90"/>
      <c r="M767" s="51"/>
      <c r="N767" s="113">
        <f t="shared" si="67"/>
        <v>7615</v>
      </c>
      <c r="O767" s="575">
        <v>0</v>
      </c>
      <c r="P767" s="582">
        <v>0</v>
      </c>
      <c r="Q767" s="589"/>
      <c r="R767" s="576"/>
      <c r="S767" s="583">
        <f>+IF(ABS(+O767+Q767)&gt;=ABS(P767+R767),+O767-P767+Q767-R767,0)</f>
        <v>0</v>
      </c>
      <c r="T767" s="580">
        <f t="shared" si="69"/>
        <v>0</v>
      </c>
      <c r="U767" s="51"/>
      <c r="V767" s="2119"/>
      <c r="W767" s="43"/>
      <c r="X767" s="43"/>
      <c r="Y767" s="43"/>
      <c r="Z767" s="43"/>
    </row>
    <row r="768" spans="1:26">
      <c r="A768" s="88">
        <v>7617</v>
      </c>
      <c r="B768" s="1033" t="s">
        <v>72</v>
      </c>
      <c r="C768" s="1033"/>
      <c r="D768" s="1033"/>
      <c r="E768" s="1033"/>
      <c r="F768" s="1033"/>
      <c r="G768" s="1033"/>
      <c r="H768" s="1033"/>
      <c r="I768" s="1033"/>
      <c r="J768" s="1033"/>
      <c r="K768" s="1033"/>
      <c r="L768" s="90"/>
      <c r="M768" s="51"/>
      <c r="N768" s="113">
        <f t="shared" si="67"/>
        <v>7617</v>
      </c>
      <c r="O768" s="575">
        <v>0</v>
      </c>
      <c r="P768" s="582">
        <v>0</v>
      </c>
      <c r="Q768" s="589">
        <v>0</v>
      </c>
      <c r="R768" s="576">
        <v>0</v>
      </c>
      <c r="S768" s="583">
        <f t="shared" ref="S768:S828" si="70">+IF(ABS(+O768+Q768)&gt;=ABS(P768+R768),+O768-P768+Q768-R768,0)</f>
        <v>0</v>
      </c>
      <c r="T768" s="580">
        <f t="shared" si="69"/>
        <v>0</v>
      </c>
      <c r="U768" s="51"/>
      <c r="V768" s="2119"/>
      <c r="W768" s="43"/>
      <c r="X768" s="43"/>
      <c r="Y768" s="43"/>
      <c r="Z768" s="43"/>
    </row>
    <row r="769" spans="1:26">
      <c r="A769" s="88">
        <v>7618</v>
      </c>
      <c r="B769" s="1033" t="s">
        <v>73</v>
      </c>
      <c r="C769" s="1033"/>
      <c r="D769" s="1033"/>
      <c r="E769" s="1033"/>
      <c r="F769" s="1033"/>
      <c r="G769" s="1033"/>
      <c r="H769" s="1033"/>
      <c r="I769" s="1033"/>
      <c r="J769" s="1033"/>
      <c r="K769" s="1033"/>
      <c r="L769" s="90"/>
      <c r="M769" s="51"/>
      <c r="N769" s="113">
        <f t="shared" si="67"/>
        <v>7618</v>
      </c>
      <c r="O769" s="575">
        <v>0</v>
      </c>
      <c r="P769" s="582">
        <v>0</v>
      </c>
      <c r="Q769" s="589"/>
      <c r="R769" s="576"/>
      <c r="S769" s="583">
        <f t="shared" si="70"/>
        <v>0</v>
      </c>
      <c r="T769" s="580">
        <f t="shared" si="69"/>
        <v>0</v>
      </c>
      <c r="U769" s="51"/>
      <c r="V769" s="2119"/>
      <c r="W769" s="43"/>
      <c r="X769" s="43"/>
      <c r="Y769" s="43"/>
      <c r="Z769" s="43"/>
    </row>
    <row r="770" spans="1:26">
      <c r="A770" s="88">
        <v>7642</v>
      </c>
      <c r="B770" s="1033" t="s">
        <v>74</v>
      </c>
      <c r="C770" s="1033"/>
      <c r="D770" s="1033"/>
      <c r="E770" s="1033"/>
      <c r="F770" s="1033"/>
      <c r="G770" s="1033"/>
      <c r="H770" s="1033"/>
      <c r="I770" s="1033"/>
      <c r="J770" s="1033"/>
      <c r="K770" s="1033"/>
      <c r="L770" s="90"/>
      <c r="M770" s="51"/>
      <c r="N770" s="113">
        <f t="shared" si="67"/>
        <v>7642</v>
      </c>
      <c r="O770" s="575">
        <v>0</v>
      </c>
      <c r="P770" s="582">
        <v>0</v>
      </c>
      <c r="Q770" s="589"/>
      <c r="R770" s="576"/>
      <c r="S770" s="583">
        <f t="shared" si="70"/>
        <v>0</v>
      </c>
      <c r="T770" s="580">
        <f t="shared" si="69"/>
        <v>0</v>
      </c>
      <c r="U770" s="51"/>
      <c r="V770" s="2119"/>
      <c r="W770" s="43"/>
      <c r="X770" s="43"/>
      <c r="Y770" s="43"/>
      <c r="Z770" s="43"/>
    </row>
    <row r="771" spans="1:26" ht="15.75" customHeight="1">
      <c r="A771" s="88">
        <v>7643</v>
      </c>
      <c r="B771" s="1033" t="s">
        <v>75</v>
      </c>
      <c r="C771" s="1033"/>
      <c r="D771" s="1033"/>
      <c r="E771" s="1033"/>
      <c r="F771" s="1033"/>
      <c r="G771" s="1033"/>
      <c r="H771" s="1033"/>
      <c r="I771" s="1033"/>
      <c r="J771" s="1033"/>
      <c r="K771" s="1033"/>
      <c r="L771" s="90"/>
      <c r="M771" s="51"/>
      <c r="N771" s="113">
        <f t="shared" si="67"/>
        <v>7643</v>
      </c>
      <c r="O771" s="575">
        <v>0</v>
      </c>
      <c r="P771" s="582">
        <v>0</v>
      </c>
      <c r="Q771" s="589">
        <v>0</v>
      </c>
      <c r="R771" s="576">
        <v>0</v>
      </c>
      <c r="S771" s="583">
        <f t="shared" si="70"/>
        <v>0</v>
      </c>
      <c r="T771" s="580">
        <f t="shared" si="69"/>
        <v>0</v>
      </c>
      <c r="U771" s="51"/>
      <c r="V771" s="2119"/>
      <c r="W771" s="43"/>
      <c r="X771" s="43"/>
      <c r="Y771" s="43"/>
      <c r="Z771" s="43"/>
    </row>
    <row r="772" spans="1:26" ht="15.75" customHeight="1">
      <c r="A772" s="88">
        <v>7644</v>
      </c>
      <c r="B772" s="1033" t="s">
        <v>76</v>
      </c>
      <c r="C772" s="1033"/>
      <c r="D772" s="1033"/>
      <c r="E772" s="1033"/>
      <c r="F772" s="1033"/>
      <c r="G772" s="1033"/>
      <c r="H772" s="1033"/>
      <c r="I772" s="1033"/>
      <c r="J772" s="1033"/>
      <c r="K772" s="1033"/>
      <c r="L772" s="90"/>
      <c r="M772" s="51"/>
      <c r="N772" s="113">
        <f t="shared" si="67"/>
        <v>7644</v>
      </c>
      <c r="O772" s="575">
        <v>0</v>
      </c>
      <c r="P772" s="582">
        <v>0</v>
      </c>
      <c r="Q772" s="589"/>
      <c r="R772" s="576"/>
      <c r="S772" s="583">
        <f t="shared" si="70"/>
        <v>0</v>
      </c>
      <c r="T772" s="580">
        <f t="shared" si="69"/>
        <v>0</v>
      </c>
      <c r="U772" s="51"/>
      <c r="V772" s="2119"/>
      <c r="W772" s="43"/>
      <c r="X772" s="43"/>
      <c r="Y772" s="43"/>
      <c r="Z772" s="43"/>
    </row>
    <row r="773" spans="1:26" ht="15.75" customHeight="1">
      <c r="A773" s="88">
        <v>7645</v>
      </c>
      <c r="B773" s="1033" t="s">
        <v>77</v>
      </c>
      <c r="C773" s="1033"/>
      <c r="D773" s="1033"/>
      <c r="E773" s="1033"/>
      <c r="F773" s="1033"/>
      <c r="G773" s="1033"/>
      <c r="H773" s="1033"/>
      <c r="I773" s="1033"/>
      <c r="J773" s="1033"/>
      <c r="K773" s="1033"/>
      <c r="L773" s="90"/>
      <c r="M773" s="51"/>
      <c r="N773" s="113">
        <f t="shared" si="67"/>
        <v>7645</v>
      </c>
      <c r="O773" s="575">
        <v>0</v>
      </c>
      <c r="P773" s="582">
        <v>0</v>
      </c>
      <c r="Q773" s="589"/>
      <c r="R773" s="576"/>
      <c r="S773" s="583">
        <f t="shared" si="70"/>
        <v>0</v>
      </c>
      <c r="T773" s="580">
        <f t="shared" si="69"/>
        <v>0</v>
      </c>
      <c r="U773" s="51"/>
      <c r="V773" s="2119"/>
      <c r="W773" s="43"/>
      <c r="X773" s="43"/>
      <c r="Y773" s="43"/>
      <c r="Z773" s="43"/>
    </row>
    <row r="774" spans="1:26" ht="15.75" customHeight="1">
      <c r="A774" s="88">
        <v>7647</v>
      </c>
      <c r="B774" s="1033" t="s">
        <v>78</v>
      </c>
      <c r="C774" s="1033"/>
      <c r="D774" s="1033"/>
      <c r="E774" s="1033"/>
      <c r="F774" s="1033"/>
      <c r="G774" s="1033"/>
      <c r="H774" s="1033"/>
      <c r="I774" s="1033"/>
      <c r="J774" s="1033"/>
      <c r="K774" s="1033"/>
      <c r="L774" s="90"/>
      <c r="M774" s="51"/>
      <c r="N774" s="113">
        <f t="shared" si="67"/>
        <v>7647</v>
      </c>
      <c r="O774" s="575">
        <v>0</v>
      </c>
      <c r="P774" s="582">
        <v>0</v>
      </c>
      <c r="Q774" s="589"/>
      <c r="R774" s="576"/>
      <c r="S774" s="583">
        <f t="shared" si="70"/>
        <v>0</v>
      </c>
      <c r="T774" s="580">
        <f t="shared" si="69"/>
        <v>0</v>
      </c>
      <c r="U774" s="51"/>
      <c r="V774" s="2119"/>
      <c r="W774" s="43"/>
      <c r="X774" s="43"/>
      <c r="Y774" s="43"/>
      <c r="Z774" s="43"/>
    </row>
    <row r="775" spans="1:26" ht="15.75" customHeight="1">
      <c r="A775" s="88">
        <v>7648</v>
      </c>
      <c r="B775" s="1033" t="s">
        <v>79</v>
      </c>
      <c r="C775" s="1033"/>
      <c r="D775" s="1033"/>
      <c r="E775" s="1033"/>
      <c r="F775" s="1033"/>
      <c r="G775" s="1033"/>
      <c r="H775" s="1033"/>
      <c r="I775" s="1033"/>
      <c r="J775" s="1033"/>
      <c r="K775" s="1033"/>
      <c r="L775" s="90"/>
      <c r="M775" s="51"/>
      <c r="N775" s="113">
        <f t="shared" si="67"/>
        <v>7648</v>
      </c>
      <c r="O775" s="575">
        <v>0</v>
      </c>
      <c r="P775" s="582">
        <v>0</v>
      </c>
      <c r="Q775" s="589"/>
      <c r="R775" s="576"/>
      <c r="S775" s="583">
        <f t="shared" si="70"/>
        <v>0</v>
      </c>
      <c r="T775" s="580">
        <f t="shared" si="69"/>
        <v>0</v>
      </c>
      <c r="U775" s="51"/>
      <c r="V775" s="2119"/>
      <c r="W775" s="43"/>
      <c r="X775" s="43"/>
      <c r="Y775" s="43"/>
      <c r="Z775" s="43"/>
    </row>
    <row r="776" spans="1:26" ht="15.75" customHeight="1">
      <c r="A776" s="88">
        <v>7652</v>
      </c>
      <c r="B776" s="1033" t="s">
        <v>80</v>
      </c>
      <c r="C776" s="1033"/>
      <c r="D776" s="1033"/>
      <c r="E776" s="1033"/>
      <c r="F776" s="1033"/>
      <c r="G776" s="1033"/>
      <c r="H776" s="1033"/>
      <c r="I776" s="1033"/>
      <c r="J776" s="1033"/>
      <c r="K776" s="1033"/>
      <c r="L776" s="90"/>
      <c r="M776" s="51"/>
      <c r="N776" s="113">
        <f t="shared" si="67"/>
        <v>7652</v>
      </c>
      <c r="O776" s="575">
        <v>0</v>
      </c>
      <c r="P776" s="582">
        <v>0</v>
      </c>
      <c r="Q776" s="589"/>
      <c r="R776" s="576"/>
      <c r="S776" s="583">
        <f t="shared" si="70"/>
        <v>0</v>
      </c>
      <c r="T776" s="580">
        <f t="shared" si="69"/>
        <v>0</v>
      </c>
      <c r="U776" s="51"/>
      <c r="V776" s="2119"/>
      <c r="W776" s="43"/>
      <c r="X776" s="43"/>
      <c r="Y776" s="43"/>
      <c r="Z776" s="43"/>
    </row>
    <row r="777" spans="1:26" ht="15.75" customHeight="1">
      <c r="A777" s="88">
        <v>7653</v>
      </c>
      <c r="B777" s="1033" t="s">
        <v>81</v>
      </c>
      <c r="C777" s="1033"/>
      <c r="D777" s="1033"/>
      <c r="E777" s="1033"/>
      <c r="F777" s="1033"/>
      <c r="G777" s="1033"/>
      <c r="H777" s="1033"/>
      <c r="I777" s="1033"/>
      <c r="J777" s="1033"/>
      <c r="K777" s="1033"/>
      <c r="L777" s="90"/>
      <c r="M777" s="51"/>
      <c r="N777" s="113">
        <f t="shared" si="67"/>
        <v>7653</v>
      </c>
      <c r="O777" s="575">
        <v>0</v>
      </c>
      <c r="P777" s="582">
        <v>0</v>
      </c>
      <c r="Q777" s="589"/>
      <c r="R777" s="576"/>
      <c r="S777" s="583">
        <f t="shared" si="70"/>
        <v>0</v>
      </c>
      <c r="T777" s="580">
        <f t="shared" si="69"/>
        <v>0</v>
      </c>
      <c r="U777" s="51"/>
      <c r="V777" s="2119"/>
      <c r="W777" s="43"/>
      <c r="X777" s="43"/>
      <c r="Y777" s="43"/>
      <c r="Z777" s="43"/>
    </row>
    <row r="778" spans="1:26" ht="15.75" customHeight="1">
      <c r="A778" s="88">
        <v>7654</v>
      </c>
      <c r="B778" s="1033" t="s">
        <v>82</v>
      </c>
      <c r="C778" s="1033"/>
      <c r="D778" s="1033"/>
      <c r="E778" s="1033"/>
      <c r="F778" s="1033"/>
      <c r="G778" s="1033"/>
      <c r="H778" s="1033"/>
      <c r="I778" s="1033"/>
      <c r="J778" s="1033"/>
      <c r="K778" s="1033"/>
      <c r="L778" s="90"/>
      <c r="M778" s="51"/>
      <c r="N778" s="113">
        <f t="shared" si="67"/>
        <v>7654</v>
      </c>
      <c r="O778" s="575">
        <v>0</v>
      </c>
      <c r="P778" s="582">
        <v>0</v>
      </c>
      <c r="Q778" s="589"/>
      <c r="R778" s="576"/>
      <c r="S778" s="583">
        <f t="shared" si="70"/>
        <v>0</v>
      </c>
      <c r="T778" s="580">
        <f t="shared" si="69"/>
        <v>0</v>
      </c>
      <c r="U778" s="51"/>
      <c r="V778" s="2119"/>
      <c r="W778" s="43"/>
      <c r="X778" s="43"/>
      <c r="Y778" s="43"/>
      <c r="Z778" s="43"/>
    </row>
    <row r="779" spans="1:26" ht="15.75" customHeight="1">
      <c r="A779" s="88">
        <v>7655</v>
      </c>
      <c r="B779" s="1033" t="s">
        <v>83</v>
      </c>
      <c r="C779" s="1033"/>
      <c r="D779" s="1033"/>
      <c r="E779" s="1033"/>
      <c r="F779" s="1033"/>
      <c r="G779" s="1033"/>
      <c r="H779" s="1033"/>
      <c r="I779" s="1033"/>
      <c r="J779" s="1033"/>
      <c r="K779" s="1033"/>
      <c r="L779" s="90"/>
      <c r="M779" s="51"/>
      <c r="N779" s="113">
        <f t="shared" si="67"/>
        <v>7655</v>
      </c>
      <c r="O779" s="575">
        <v>0</v>
      </c>
      <c r="P779" s="582">
        <v>0</v>
      </c>
      <c r="Q779" s="589"/>
      <c r="R779" s="576"/>
      <c r="S779" s="583">
        <f t="shared" si="70"/>
        <v>0</v>
      </c>
      <c r="T779" s="580">
        <f t="shared" si="69"/>
        <v>0</v>
      </c>
      <c r="U779" s="51"/>
      <c r="V779" s="2119"/>
      <c r="W779" s="43"/>
      <c r="X779" s="43"/>
      <c r="Y779" s="43"/>
      <c r="Z779" s="43"/>
    </row>
    <row r="780" spans="1:26" ht="15.75" customHeight="1">
      <c r="A780" s="88">
        <v>7657</v>
      </c>
      <c r="B780" s="1033" t="s">
        <v>84</v>
      </c>
      <c r="C780" s="1033"/>
      <c r="D780" s="1033"/>
      <c r="E780" s="1033"/>
      <c r="F780" s="1033"/>
      <c r="G780" s="1033"/>
      <c r="H780" s="1033"/>
      <c r="I780" s="1033"/>
      <c r="J780" s="1033"/>
      <c r="K780" s="1033"/>
      <c r="L780" s="90"/>
      <c r="M780" s="51"/>
      <c r="N780" s="113">
        <f t="shared" si="67"/>
        <v>7657</v>
      </c>
      <c r="O780" s="575">
        <v>0</v>
      </c>
      <c r="P780" s="582">
        <v>0</v>
      </c>
      <c r="Q780" s="589"/>
      <c r="R780" s="576"/>
      <c r="S780" s="583">
        <f t="shared" si="70"/>
        <v>0</v>
      </c>
      <c r="T780" s="580">
        <f t="shared" si="69"/>
        <v>0</v>
      </c>
      <c r="U780" s="51"/>
      <c r="V780" s="2119"/>
      <c r="W780" s="43"/>
      <c r="X780" s="43"/>
      <c r="Y780" s="43"/>
      <c r="Z780" s="43"/>
    </row>
    <row r="781" spans="1:26" ht="15.75" customHeight="1">
      <c r="A781" s="88">
        <v>7658</v>
      </c>
      <c r="B781" s="1033" t="s">
        <v>85</v>
      </c>
      <c r="C781" s="1033"/>
      <c r="D781" s="1033"/>
      <c r="E781" s="1033"/>
      <c r="F781" s="1033"/>
      <c r="G781" s="1033"/>
      <c r="H781" s="1033"/>
      <c r="I781" s="1033"/>
      <c r="J781" s="1033"/>
      <c r="K781" s="1033"/>
      <c r="L781" s="90"/>
      <c r="M781" s="51"/>
      <c r="N781" s="113">
        <f t="shared" si="67"/>
        <v>7658</v>
      </c>
      <c r="O781" s="575">
        <v>0</v>
      </c>
      <c r="P781" s="582">
        <v>0</v>
      </c>
      <c r="Q781" s="589"/>
      <c r="R781" s="576"/>
      <c r="S781" s="583">
        <f t="shared" si="70"/>
        <v>0</v>
      </c>
      <c r="T781" s="580">
        <f t="shared" si="69"/>
        <v>0</v>
      </c>
      <c r="U781" s="51"/>
      <c r="V781" s="2119"/>
      <c r="W781" s="43"/>
      <c r="X781" s="43"/>
      <c r="Y781" s="43"/>
      <c r="Z781" s="43"/>
    </row>
    <row r="782" spans="1:26" ht="15.75" customHeight="1">
      <c r="A782" s="88">
        <v>7672</v>
      </c>
      <c r="B782" s="1033" t="s">
        <v>86</v>
      </c>
      <c r="C782" s="1033"/>
      <c r="D782" s="1033"/>
      <c r="E782" s="1033"/>
      <c r="F782" s="1033"/>
      <c r="G782" s="1033"/>
      <c r="H782" s="1033"/>
      <c r="I782" s="1033"/>
      <c r="J782" s="1033"/>
      <c r="K782" s="1033"/>
      <c r="L782" s="90"/>
      <c r="M782" s="51"/>
      <c r="N782" s="113">
        <f t="shared" si="67"/>
        <v>7672</v>
      </c>
      <c r="O782" s="575">
        <v>0</v>
      </c>
      <c r="P782" s="582">
        <v>0</v>
      </c>
      <c r="Q782" s="589"/>
      <c r="R782" s="576"/>
      <c r="S782" s="583">
        <f t="shared" si="70"/>
        <v>0</v>
      </c>
      <c r="T782" s="580">
        <f t="shared" si="69"/>
        <v>0</v>
      </c>
      <c r="U782" s="51"/>
      <c r="V782" s="2119"/>
      <c r="W782" s="43"/>
      <c r="X782" s="43"/>
      <c r="Y782" s="43"/>
      <c r="Z782" s="43"/>
    </row>
    <row r="783" spans="1:26" ht="15.75" customHeight="1">
      <c r="A783" s="88">
        <v>7673</v>
      </c>
      <c r="B783" s="1033" t="s">
        <v>813</v>
      </c>
      <c r="C783" s="1033"/>
      <c r="D783" s="1033"/>
      <c r="E783" s="1033"/>
      <c r="F783" s="1033"/>
      <c r="G783" s="1033"/>
      <c r="H783" s="1033"/>
      <c r="I783" s="1033"/>
      <c r="J783" s="1033"/>
      <c r="K783" s="1033"/>
      <c r="L783" s="90"/>
      <c r="M783" s="51"/>
      <c r="N783" s="113">
        <f t="shared" si="67"/>
        <v>7673</v>
      </c>
      <c r="O783" s="575">
        <v>0</v>
      </c>
      <c r="P783" s="582">
        <v>0</v>
      </c>
      <c r="Q783" s="589"/>
      <c r="R783" s="576"/>
      <c r="S783" s="583">
        <f t="shared" si="70"/>
        <v>0</v>
      </c>
      <c r="T783" s="580">
        <f t="shared" si="69"/>
        <v>0</v>
      </c>
      <c r="U783" s="51"/>
      <c r="V783" s="2119"/>
      <c r="W783" s="43"/>
      <c r="X783" s="43"/>
      <c r="Y783" s="43"/>
      <c r="Z783" s="43"/>
    </row>
    <row r="784" spans="1:26" ht="15.75" customHeight="1">
      <c r="A784" s="88">
        <v>7674</v>
      </c>
      <c r="B784" s="1033" t="s">
        <v>814</v>
      </c>
      <c r="C784" s="1033"/>
      <c r="D784" s="1033"/>
      <c r="E784" s="1033"/>
      <c r="F784" s="1033"/>
      <c r="G784" s="1033"/>
      <c r="H784" s="1033"/>
      <c r="I784" s="1033"/>
      <c r="J784" s="1033"/>
      <c r="K784" s="1033"/>
      <c r="L784" s="90"/>
      <c r="M784" s="51"/>
      <c r="N784" s="113">
        <f t="shared" si="67"/>
        <v>7674</v>
      </c>
      <c r="O784" s="575">
        <v>0</v>
      </c>
      <c r="P784" s="582">
        <v>0</v>
      </c>
      <c r="Q784" s="589"/>
      <c r="R784" s="576"/>
      <c r="S784" s="583">
        <f t="shared" si="70"/>
        <v>0</v>
      </c>
      <c r="T784" s="580">
        <f t="shared" si="69"/>
        <v>0</v>
      </c>
      <c r="U784" s="51"/>
      <c r="V784" s="2119"/>
      <c r="W784" s="43"/>
      <c r="X784" s="43"/>
      <c r="Y784" s="43"/>
      <c r="Z784" s="43"/>
    </row>
    <row r="785" spans="1:26" ht="15.75" customHeight="1">
      <c r="A785" s="88">
        <v>7675</v>
      </c>
      <c r="B785" s="1033" t="s">
        <v>815</v>
      </c>
      <c r="C785" s="1033"/>
      <c r="D785" s="1033"/>
      <c r="E785" s="1033"/>
      <c r="F785" s="1033"/>
      <c r="G785" s="1033"/>
      <c r="H785" s="1033"/>
      <c r="I785" s="1033"/>
      <c r="J785" s="1033"/>
      <c r="K785" s="1033"/>
      <c r="L785" s="90"/>
      <c r="M785" s="51"/>
      <c r="N785" s="113">
        <f t="shared" si="67"/>
        <v>7675</v>
      </c>
      <c r="O785" s="575">
        <v>0</v>
      </c>
      <c r="P785" s="582">
        <v>0</v>
      </c>
      <c r="Q785" s="589"/>
      <c r="R785" s="576"/>
      <c r="S785" s="583">
        <f t="shared" si="70"/>
        <v>0</v>
      </c>
      <c r="T785" s="580">
        <f t="shared" si="69"/>
        <v>0</v>
      </c>
      <c r="U785" s="51"/>
      <c r="V785" s="2119"/>
      <c r="W785" s="43"/>
      <c r="X785" s="43"/>
      <c r="Y785" s="43"/>
      <c r="Z785" s="43"/>
    </row>
    <row r="786" spans="1:26" ht="15.75" customHeight="1">
      <c r="A786" s="88">
        <v>7677</v>
      </c>
      <c r="B786" s="1033" t="s">
        <v>816</v>
      </c>
      <c r="C786" s="1033"/>
      <c r="D786" s="1033"/>
      <c r="E786" s="1033"/>
      <c r="F786" s="1033"/>
      <c r="G786" s="1033"/>
      <c r="H786" s="1033"/>
      <c r="I786" s="1033"/>
      <c r="J786" s="1033"/>
      <c r="K786" s="1033"/>
      <c r="L786" s="90"/>
      <c r="M786" s="51"/>
      <c r="N786" s="113">
        <f t="shared" si="67"/>
        <v>7677</v>
      </c>
      <c r="O786" s="575">
        <v>0</v>
      </c>
      <c r="P786" s="582">
        <v>0</v>
      </c>
      <c r="Q786" s="589"/>
      <c r="R786" s="576"/>
      <c r="S786" s="583">
        <f t="shared" si="70"/>
        <v>0</v>
      </c>
      <c r="T786" s="580">
        <f t="shared" si="69"/>
        <v>0</v>
      </c>
      <c r="U786" s="51"/>
      <c r="V786" s="2119"/>
      <c r="W786" s="43"/>
      <c r="X786" s="43"/>
      <c r="Y786" s="43"/>
      <c r="Z786" s="43"/>
    </row>
    <row r="787" spans="1:26" ht="15.75" customHeight="1">
      <c r="A787" s="88">
        <v>7678</v>
      </c>
      <c r="B787" s="1033" t="s">
        <v>817</v>
      </c>
      <c r="C787" s="1033"/>
      <c r="D787" s="1033"/>
      <c r="E787" s="1033"/>
      <c r="F787" s="1033"/>
      <c r="G787" s="1033"/>
      <c r="H787" s="1033"/>
      <c r="I787" s="1033"/>
      <c r="J787" s="1033"/>
      <c r="K787" s="1033"/>
      <c r="L787" s="90"/>
      <c r="M787" s="51"/>
      <c r="N787" s="113">
        <f t="shared" si="67"/>
        <v>7678</v>
      </c>
      <c r="O787" s="575">
        <v>0</v>
      </c>
      <c r="P787" s="582">
        <v>0</v>
      </c>
      <c r="Q787" s="589"/>
      <c r="R787" s="576"/>
      <c r="S787" s="583">
        <f t="shared" si="70"/>
        <v>0</v>
      </c>
      <c r="T787" s="580">
        <f t="shared" si="69"/>
        <v>0</v>
      </c>
      <c r="U787" s="51"/>
      <c r="V787" s="2119"/>
      <c r="W787" s="43"/>
      <c r="X787" s="43"/>
      <c r="Y787" s="43"/>
      <c r="Z787" s="43"/>
    </row>
    <row r="788" spans="1:26">
      <c r="A788" s="88">
        <v>7682</v>
      </c>
      <c r="B788" s="1042" t="s">
        <v>818</v>
      </c>
      <c r="C788" s="1033"/>
      <c r="D788" s="1033"/>
      <c r="E788" s="1033"/>
      <c r="F788" s="1033"/>
      <c r="G788" s="1033"/>
      <c r="H788" s="1033"/>
      <c r="I788" s="1033"/>
      <c r="J788" s="1033"/>
      <c r="K788" s="1033"/>
      <c r="L788" s="90"/>
      <c r="M788" s="51"/>
      <c r="N788" s="113">
        <f t="shared" si="67"/>
        <v>7682</v>
      </c>
      <c r="O788" s="575">
        <v>0</v>
      </c>
      <c r="P788" s="582">
        <v>0</v>
      </c>
      <c r="Q788" s="589"/>
      <c r="R788" s="576"/>
      <c r="S788" s="583">
        <f t="shared" si="70"/>
        <v>0</v>
      </c>
      <c r="T788" s="580">
        <f t="shared" si="69"/>
        <v>0</v>
      </c>
      <c r="U788" s="51"/>
      <c r="V788" s="2119"/>
      <c r="W788" s="43"/>
      <c r="X788" s="43"/>
      <c r="Y788" s="43"/>
      <c r="Z788" s="43"/>
    </row>
    <row r="789" spans="1:26">
      <c r="A789" s="88">
        <v>7684</v>
      </c>
      <c r="B789" s="1042" t="s">
        <v>819</v>
      </c>
      <c r="C789" s="1033"/>
      <c r="D789" s="1033"/>
      <c r="E789" s="1033"/>
      <c r="F789" s="1033"/>
      <c r="G789" s="1033"/>
      <c r="H789" s="1033"/>
      <c r="I789" s="1033"/>
      <c r="J789" s="1033"/>
      <c r="K789" s="1033"/>
      <c r="L789" s="90"/>
      <c r="M789" s="51"/>
      <c r="N789" s="113">
        <f t="shared" si="67"/>
        <v>7684</v>
      </c>
      <c r="O789" s="575">
        <v>0</v>
      </c>
      <c r="P789" s="582">
        <v>0</v>
      </c>
      <c r="Q789" s="589">
        <v>0</v>
      </c>
      <c r="R789" s="576">
        <v>0</v>
      </c>
      <c r="S789" s="583">
        <f t="shared" si="70"/>
        <v>0</v>
      </c>
      <c r="T789" s="580">
        <f t="shared" si="69"/>
        <v>0</v>
      </c>
      <c r="U789" s="51"/>
      <c r="V789" s="2119"/>
      <c r="W789" s="43"/>
      <c r="X789" s="43"/>
      <c r="Y789" s="43"/>
      <c r="Z789" s="43"/>
    </row>
    <row r="790" spans="1:26" ht="15.75" customHeight="1">
      <c r="A790" s="88">
        <v>7685</v>
      </c>
      <c r="B790" s="1042" t="s">
        <v>820</v>
      </c>
      <c r="C790" s="1033"/>
      <c r="D790" s="1033"/>
      <c r="E790" s="1033"/>
      <c r="F790" s="1033"/>
      <c r="G790" s="1033"/>
      <c r="H790" s="1033"/>
      <c r="I790" s="1033"/>
      <c r="J790" s="1033"/>
      <c r="K790" s="1033"/>
      <c r="L790" s="90"/>
      <c r="M790" s="51"/>
      <c r="N790" s="113">
        <f t="shared" si="67"/>
        <v>7685</v>
      </c>
      <c r="O790" s="575">
        <v>0</v>
      </c>
      <c r="P790" s="582">
        <v>0</v>
      </c>
      <c r="Q790" s="589"/>
      <c r="R790" s="576"/>
      <c r="S790" s="583">
        <f t="shared" si="70"/>
        <v>0</v>
      </c>
      <c r="T790" s="580">
        <f t="shared" si="69"/>
        <v>0</v>
      </c>
      <c r="U790" s="51"/>
      <c r="V790" s="2119"/>
      <c r="W790" s="43"/>
      <c r="X790" s="43"/>
      <c r="Y790" s="43"/>
      <c r="Z790" s="43"/>
    </row>
    <row r="791" spans="1:26" ht="15.75" customHeight="1">
      <c r="A791" s="88">
        <v>7689</v>
      </c>
      <c r="B791" s="1042" t="s">
        <v>821</v>
      </c>
      <c r="C791" s="1033"/>
      <c r="D791" s="1033"/>
      <c r="E791" s="1033"/>
      <c r="F791" s="1033"/>
      <c r="G791" s="1033"/>
      <c r="H791" s="1033"/>
      <c r="I791" s="1033"/>
      <c r="J791" s="1033"/>
      <c r="K791" s="1033"/>
      <c r="L791" s="90"/>
      <c r="M791" s="51"/>
      <c r="N791" s="113">
        <f t="shared" si="67"/>
        <v>7689</v>
      </c>
      <c r="O791" s="575">
        <v>0</v>
      </c>
      <c r="P791" s="582">
        <v>0</v>
      </c>
      <c r="Q791" s="589"/>
      <c r="R791" s="576"/>
      <c r="S791" s="583">
        <f t="shared" si="70"/>
        <v>0</v>
      </c>
      <c r="T791" s="580">
        <f t="shared" si="69"/>
        <v>0</v>
      </c>
      <c r="U791" s="51"/>
      <c r="V791" s="2119"/>
      <c r="W791" s="43"/>
      <c r="X791" s="43"/>
      <c r="Y791" s="43"/>
      <c r="Z791" s="43"/>
    </row>
    <row r="792" spans="1:26">
      <c r="A792" s="88">
        <v>7692</v>
      </c>
      <c r="B792" s="378" t="s">
        <v>822</v>
      </c>
      <c r="C792" s="1033"/>
      <c r="D792" s="1033"/>
      <c r="E792" s="1033"/>
      <c r="F792" s="1033"/>
      <c r="G792" s="1033"/>
      <c r="H792" s="1033"/>
      <c r="I792" s="1033"/>
      <c r="J792" s="1033"/>
      <c r="K792" s="1033"/>
      <c r="L792" s="90"/>
      <c r="M792" s="51"/>
      <c r="N792" s="113">
        <f t="shared" si="67"/>
        <v>7692</v>
      </c>
      <c r="O792" s="575">
        <v>0</v>
      </c>
      <c r="P792" s="582">
        <v>0</v>
      </c>
      <c r="Q792" s="589"/>
      <c r="R792" s="576"/>
      <c r="S792" s="583">
        <f t="shared" si="70"/>
        <v>0</v>
      </c>
      <c r="T792" s="580">
        <f t="shared" si="69"/>
        <v>0</v>
      </c>
      <c r="U792" s="51"/>
      <c r="V792" s="2119"/>
      <c r="W792" s="43"/>
      <c r="X792" s="43"/>
      <c r="Y792" s="43"/>
      <c r="Z792" s="43"/>
    </row>
    <row r="793" spans="1:26" ht="15.75" customHeight="1">
      <c r="A793" s="88">
        <v>7693</v>
      </c>
      <c r="B793" s="1042" t="s">
        <v>823</v>
      </c>
      <c r="C793" s="1033"/>
      <c r="D793" s="1033"/>
      <c r="E793" s="1033"/>
      <c r="F793" s="1033"/>
      <c r="G793" s="1033"/>
      <c r="H793" s="1033"/>
      <c r="I793" s="1033"/>
      <c r="J793" s="1033"/>
      <c r="K793" s="1033"/>
      <c r="L793" s="90"/>
      <c r="M793" s="51"/>
      <c r="N793" s="113">
        <f t="shared" si="67"/>
        <v>7693</v>
      </c>
      <c r="O793" s="575">
        <v>0</v>
      </c>
      <c r="P793" s="582">
        <v>0</v>
      </c>
      <c r="Q793" s="589"/>
      <c r="R793" s="576"/>
      <c r="S793" s="583">
        <f t="shared" si="70"/>
        <v>0</v>
      </c>
      <c r="T793" s="580">
        <f t="shared" si="69"/>
        <v>0</v>
      </c>
      <c r="U793" s="51"/>
      <c r="V793" s="2119"/>
      <c r="W793" s="43"/>
      <c r="X793" s="43"/>
      <c r="Y793" s="43"/>
      <c r="Z793" s="43"/>
    </row>
    <row r="794" spans="1:26" ht="15.75" customHeight="1">
      <c r="A794" s="88">
        <v>7694</v>
      </c>
      <c r="B794" s="1042" t="s">
        <v>824</v>
      </c>
      <c r="C794" s="1033"/>
      <c r="D794" s="1033"/>
      <c r="E794" s="1033"/>
      <c r="F794" s="1033"/>
      <c r="G794" s="1033"/>
      <c r="H794" s="1033"/>
      <c r="I794" s="1033"/>
      <c r="J794" s="1033"/>
      <c r="K794" s="1033"/>
      <c r="L794" s="90"/>
      <c r="M794" s="51"/>
      <c r="N794" s="113">
        <f t="shared" ref="N794:N828" si="71">+A794</f>
        <v>7694</v>
      </c>
      <c r="O794" s="575">
        <v>0</v>
      </c>
      <c r="P794" s="582">
        <v>0</v>
      </c>
      <c r="Q794" s="589"/>
      <c r="R794" s="576"/>
      <c r="S794" s="583">
        <f t="shared" si="70"/>
        <v>0</v>
      </c>
      <c r="T794" s="580">
        <f t="shared" si="69"/>
        <v>0</v>
      </c>
      <c r="U794" s="51"/>
      <c r="V794" s="2119"/>
      <c r="W794" s="43"/>
      <c r="X794" s="43"/>
      <c r="Y794" s="43"/>
      <c r="Z794" s="43"/>
    </row>
    <row r="795" spans="1:26" ht="15.75" customHeight="1">
      <c r="A795" s="88">
        <v>7695</v>
      </c>
      <c r="B795" s="1042" t="s">
        <v>2108</v>
      </c>
      <c r="C795" s="1033"/>
      <c r="D795" s="1033"/>
      <c r="E795" s="1033"/>
      <c r="F795" s="1033"/>
      <c r="G795" s="1033"/>
      <c r="H795" s="1033"/>
      <c r="I795" s="1033"/>
      <c r="J795" s="1033"/>
      <c r="K795" s="1033"/>
      <c r="L795" s="90"/>
      <c r="M795" s="51"/>
      <c r="N795" s="113">
        <f t="shared" si="71"/>
        <v>7695</v>
      </c>
      <c r="O795" s="575">
        <v>0</v>
      </c>
      <c r="P795" s="582">
        <v>0</v>
      </c>
      <c r="Q795" s="589"/>
      <c r="R795" s="576"/>
      <c r="S795" s="583">
        <f t="shared" si="70"/>
        <v>0</v>
      </c>
      <c r="T795" s="580">
        <f t="shared" si="69"/>
        <v>0</v>
      </c>
      <c r="U795" s="51"/>
      <c r="V795" s="2119"/>
      <c r="W795" s="43"/>
      <c r="X795" s="43"/>
      <c r="Y795" s="43"/>
      <c r="Z795" s="43"/>
    </row>
    <row r="796" spans="1:26">
      <c r="A796" s="88">
        <v>7697</v>
      </c>
      <c r="B796" s="378" t="s">
        <v>825</v>
      </c>
      <c r="C796" s="1033"/>
      <c r="D796" s="1033"/>
      <c r="E796" s="1033"/>
      <c r="F796" s="1033"/>
      <c r="G796" s="1033"/>
      <c r="H796" s="1033"/>
      <c r="I796" s="1033"/>
      <c r="J796" s="1033"/>
      <c r="K796" s="1033"/>
      <c r="L796" s="90"/>
      <c r="M796" s="51"/>
      <c r="N796" s="113">
        <f t="shared" si="71"/>
        <v>7697</v>
      </c>
      <c r="O796" s="575">
        <v>0</v>
      </c>
      <c r="P796" s="582">
        <v>0</v>
      </c>
      <c r="Q796" s="589"/>
      <c r="R796" s="576"/>
      <c r="S796" s="583">
        <f t="shared" si="70"/>
        <v>0</v>
      </c>
      <c r="T796" s="580">
        <f t="shared" si="69"/>
        <v>0</v>
      </c>
      <c r="U796" s="51"/>
      <c r="V796" s="2119"/>
      <c r="W796" s="43"/>
      <c r="X796" s="43"/>
      <c r="Y796" s="43"/>
      <c r="Z796" s="43"/>
    </row>
    <row r="797" spans="1:26">
      <c r="A797" s="88">
        <v>7698</v>
      </c>
      <c r="B797" s="378" t="s">
        <v>826</v>
      </c>
      <c r="C797" s="1033"/>
      <c r="D797" s="1033"/>
      <c r="E797" s="1033"/>
      <c r="F797" s="1033"/>
      <c r="G797" s="1033"/>
      <c r="H797" s="1033"/>
      <c r="I797" s="1033"/>
      <c r="J797" s="1033"/>
      <c r="K797" s="1033"/>
      <c r="L797" s="90"/>
      <c r="M797" s="51"/>
      <c r="N797" s="113">
        <f t="shared" si="71"/>
        <v>7698</v>
      </c>
      <c r="O797" s="575">
        <v>0</v>
      </c>
      <c r="P797" s="582">
        <v>0</v>
      </c>
      <c r="Q797" s="589"/>
      <c r="R797" s="576"/>
      <c r="S797" s="583">
        <f t="shared" si="70"/>
        <v>0</v>
      </c>
      <c r="T797" s="580">
        <f t="shared" si="69"/>
        <v>0</v>
      </c>
      <c r="U797" s="51"/>
      <c r="V797" s="2119"/>
      <c r="W797" s="43"/>
      <c r="X797" s="43"/>
      <c r="Y797" s="43"/>
      <c r="Z797" s="43"/>
    </row>
    <row r="798" spans="1:26">
      <c r="A798" s="88">
        <v>7699</v>
      </c>
      <c r="B798" s="1032" t="s">
        <v>827</v>
      </c>
      <c r="C798" s="1033"/>
      <c r="D798" s="1033"/>
      <c r="E798" s="1033"/>
      <c r="F798" s="1033"/>
      <c r="G798" s="1033"/>
      <c r="H798" s="1033"/>
      <c r="I798" s="1033"/>
      <c r="J798" s="1033"/>
      <c r="K798" s="1033"/>
      <c r="L798" s="90"/>
      <c r="M798" s="51"/>
      <c r="N798" s="113">
        <f t="shared" si="71"/>
        <v>7699</v>
      </c>
      <c r="O798" s="575">
        <v>0</v>
      </c>
      <c r="P798" s="582">
        <v>0</v>
      </c>
      <c r="Q798" s="589"/>
      <c r="R798" s="576"/>
      <c r="S798" s="583">
        <f t="shared" si="70"/>
        <v>0</v>
      </c>
      <c r="T798" s="580">
        <f t="shared" si="69"/>
        <v>0</v>
      </c>
      <c r="U798" s="51"/>
      <c r="V798" s="2119"/>
      <c r="W798" s="43"/>
      <c r="X798" s="43"/>
      <c r="Y798" s="43"/>
      <c r="Z798" s="43"/>
    </row>
    <row r="799" spans="1:26">
      <c r="A799" s="88">
        <v>7801</v>
      </c>
      <c r="B799" s="378" t="s">
        <v>828</v>
      </c>
      <c r="C799" s="1033"/>
      <c r="D799" s="1033"/>
      <c r="E799" s="1033"/>
      <c r="F799" s="1033"/>
      <c r="G799" s="1033"/>
      <c r="H799" s="1033"/>
      <c r="I799" s="1033"/>
      <c r="J799" s="1033"/>
      <c r="K799" s="1033"/>
      <c r="L799" s="90"/>
      <c r="M799" s="51"/>
      <c r="N799" s="113">
        <f t="shared" si="71"/>
        <v>7801</v>
      </c>
      <c r="O799" s="575">
        <v>0</v>
      </c>
      <c r="P799" s="582">
        <v>0</v>
      </c>
      <c r="Q799" s="589">
        <v>0</v>
      </c>
      <c r="R799" s="576">
        <v>0</v>
      </c>
      <c r="S799" s="583">
        <f t="shared" si="70"/>
        <v>0</v>
      </c>
      <c r="T799" s="580">
        <f t="shared" si="69"/>
        <v>0</v>
      </c>
      <c r="U799" s="51"/>
      <c r="V799" s="2119"/>
      <c r="W799" s="43"/>
      <c r="X799" s="43"/>
      <c r="Y799" s="43"/>
      <c r="Z799" s="43"/>
    </row>
    <row r="800" spans="1:26">
      <c r="A800" s="88">
        <v>7802</v>
      </c>
      <c r="B800" s="378" t="s">
        <v>829</v>
      </c>
      <c r="C800" s="1033"/>
      <c r="D800" s="1033"/>
      <c r="E800" s="1033"/>
      <c r="F800" s="1033"/>
      <c r="G800" s="1033"/>
      <c r="H800" s="1033"/>
      <c r="I800" s="1033"/>
      <c r="J800" s="1033"/>
      <c r="K800" s="1033"/>
      <c r="L800" s="90"/>
      <c r="M800" s="51"/>
      <c r="N800" s="113">
        <f t="shared" si="71"/>
        <v>7802</v>
      </c>
      <c r="O800" s="575">
        <v>0</v>
      </c>
      <c r="P800" s="582">
        <v>0</v>
      </c>
      <c r="Q800" s="589">
        <v>0</v>
      </c>
      <c r="R800" s="576">
        <v>0</v>
      </c>
      <c r="S800" s="583">
        <f t="shared" si="70"/>
        <v>0</v>
      </c>
      <c r="T800" s="580">
        <f t="shared" si="69"/>
        <v>0</v>
      </c>
      <c r="U800" s="51"/>
      <c r="V800" s="2119"/>
      <c r="W800" s="43"/>
      <c r="X800" s="43"/>
      <c r="Y800" s="43"/>
      <c r="Z800" s="43"/>
    </row>
    <row r="801" spans="1:26" ht="15.75" customHeight="1">
      <c r="A801" s="88">
        <v>7803</v>
      </c>
      <c r="B801" s="1042" t="s">
        <v>830</v>
      </c>
      <c r="C801" s="1033"/>
      <c r="D801" s="1033"/>
      <c r="E801" s="1033"/>
      <c r="F801" s="1033"/>
      <c r="G801" s="1033"/>
      <c r="H801" s="1033"/>
      <c r="I801" s="1033"/>
      <c r="J801" s="1033"/>
      <c r="K801" s="1033"/>
      <c r="L801" s="90"/>
      <c r="M801" s="51"/>
      <c r="N801" s="113">
        <f t="shared" si="71"/>
        <v>7803</v>
      </c>
      <c r="O801" s="575">
        <v>0</v>
      </c>
      <c r="P801" s="582">
        <v>0</v>
      </c>
      <c r="Q801" s="589"/>
      <c r="R801" s="576"/>
      <c r="S801" s="583">
        <f t="shared" si="70"/>
        <v>0</v>
      </c>
      <c r="T801" s="580">
        <f t="shared" ref="T801:T828" si="72">+IF(ABS(+O801+Q801)&lt;=ABS(P801+R801),-O801+P801-Q801+R801,0)</f>
        <v>0</v>
      </c>
      <c r="U801" s="51"/>
      <c r="V801" s="2119"/>
      <c r="W801" s="43"/>
      <c r="X801" s="43"/>
      <c r="Y801" s="43"/>
      <c r="Z801" s="43"/>
    </row>
    <row r="802" spans="1:26" ht="15.75" customHeight="1">
      <c r="A802" s="88">
        <v>7804</v>
      </c>
      <c r="B802" s="1042" t="s">
        <v>831</v>
      </c>
      <c r="C802" s="1033"/>
      <c r="D802" s="1033"/>
      <c r="E802" s="1033"/>
      <c r="F802" s="1033"/>
      <c r="G802" s="1033"/>
      <c r="H802" s="1033"/>
      <c r="I802" s="1033"/>
      <c r="J802" s="1033"/>
      <c r="K802" s="1033"/>
      <c r="L802" s="90"/>
      <c r="M802" s="51"/>
      <c r="N802" s="113">
        <f t="shared" si="71"/>
        <v>7804</v>
      </c>
      <c r="O802" s="575">
        <v>0</v>
      </c>
      <c r="P802" s="582">
        <v>0</v>
      </c>
      <c r="Q802" s="589"/>
      <c r="R802" s="576"/>
      <c r="S802" s="583">
        <f t="shared" si="70"/>
        <v>0</v>
      </c>
      <c r="T802" s="580">
        <f t="shared" si="72"/>
        <v>0</v>
      </c>
      <c r="U802" s="51"/>
      <c r="V802" s="2119"/>
      <c r="W802" s="43"/>
      <c r="X802" s="43"/>
      <c r="Y802" s="43"/>
      <c r="Z802" s="43"/>
    </row>
    <row r="803" spans="1:26">
      <c r="A803" s="88">
        <v>7807</v>
      </c>
      <c r="B803" s="378" t="s">
        <v>832</v>
      </c>
      <c r="C803" s="1033"/>
      <c r="D803" s="1033"/>
      <c r="E803" s="1033"/>
      <c r="F803" s="1033"/>
      <c r="G803" s="1033"/>
      <c r="H803" s="1033"/>
      <c r="I803" s="1033"/>
      <c r="J803" s="1033"/>
      <c r="K803" s="1033"/>
      <c r="L803" s="90"/>
      <c r="M803" s="51"/>
      <c r="N803" s="113">
        <f t="shared" si="71"/>
        <v>7807</v>
      </c>
      <c r="O803" s="575">
        <v>0</v>
      </c>
      <c r="P803" s="582">
        <v>0</v>
      </c>
      <c r="Q803" s="589"/>
      <c r="R803" s="576"/>
      <c r="S803" s="583">
        <f t="shared" si="70"/>
        <v>0</v>
      </c>
      <c r="T803" s="580">
        <f t="shared" si="72"/>
        <v>0</v>
      </c>
      <c r="U803" s="51"/>
      <c r="V803" s="2119"/>
      <c r="W803" s="43"/>
      <c r="X803" s="43"/>
      <c r="Y803" s="43"/>
      <c r="Z803" s="43"/>
    </row>
    <row r="804" spans="1:26">
      <c r="A804" s="88">
        <v>7808</v>
      </c>
      <c r="B804" s="378" t="s">
        <v>833</v>
      </c>
      <c r="C804" s="1033"/>
      <c r="D804" s="1033"/>
      <c r="E804" s="1033"/>
      <c r="F804" s="1033"/>
      <c r="G804" s="1033"/>
      <c r="H804" s="1033"/>
      <c r="I804" s="1033"/>
      <c r="J804" s="1033"/>
      <c r="K804" s="1033"/>
      <c r="L804" s="90"/>
      <c r="M804" s="51"/>
      <c r="N804" s="113">
        <f t="shared" si="71"/>
        <v>7808</v>
      </c>
      <c r="O804" s="575">
        <v>0</v>
      </c>
      <c r="P804" s="582">
        <v>0</v>
      </c>
      <c r="Q804" s="589"/>
      <c r="R804" s="576"/>
      <c r="S804" s="583">
        <f t="shared" si="70"/>
        <v>0</v>
      </c>
      <c r="T804" s="580">
        <f t="shared" si="72"/>
        <v>0</v>
      </c>
      <c r="U804" s="51"/>
      <c r="V804" s="2119"/>
      <c r="W804" s="43"/>
      <c r="X804" s="43"/>
      <c r="Y804" s="43"/>
      <c r="Z804" s="43"/>
    </row>
    <row r="805" spans="1:26" ht="15.75" customHeight="1">
      <c r="A805" s="88">
        <v>7901</v>
      </c>
      <c r="B805" s="1042" t="s">
        <v>834</v>
      </c>
      <c r="C805" s="1033"/>
      <c r="D805" s="1033"/>
      <c r="E805" s="1033"/>
      <c r="F805" s="1033"/>
      <c r="G805" s="1033"/>
      <c r="H805" s="1033"/>
      <c r="I805" s="1033"/>
      <c r="J805" s="1033"/>
      <c r="K805" s="1033"/>
      <c r="L805" s="90"/>
      <c r="M805" s="51"/>
      <c r="N805" s="113">
        <f t="shared" si="71"/>
        <v>7901</v>
      </c>
      <c r="O805" s="575">
        <v>0</v>
      </c>
      <c r="P805" s="582">
        <v>0</v>
      </c>
      <c r="Q805" s="589"/>
      <c r="R805" s="576"/>
      <c r="S805" s="583">
        <f t="shared" si="70"/>
        <v>0</v>
      </c>
      <c r="T805" s="580">
        <f t="shared" si="72"/>
        <v>0</v>
      </c>
      <c r="U805" s="51"/>
      <c r="V805" s="2119"/>
      <c r="W805" s="43"/>
      <c r="X805" s="43"/>
      <c r="Y805" s="43"/>
      <c r="Z805" s="43"/>
    </row>
    <row r="806" spans="1:26" ht="15.75" customHeight="1">
      <c r="A806" s="88">
        <v>7902</v>
      </c>
      <c r="B806" s="1042" t="s">
        <v>835</v>
      </c>
      <c r="C806" s="1033"/>
      <c r="D806" s="1033"/>
      <c r="E806" s="1033"/>
      <c r="F806" s="1033"/>
      <c r="G806" s="1033"/>
      <c r="H806" s="1033"/>
      <c r="I806" s="1033"/>
      <c r="J806" s="1033"/>
      <c r="K806" s="1033"/>
      <c r="L806" s="90"/>
      <c r="M806" s="51"/>
      <c r="N806" s="113">
        <f t="shared" si="71"/>
        <v>7902</v>
      </c>
      <c r="O806" s="575">
        <v>0</v>
      </c>
      <c r="P806" s="582">
        <v>0</v>
      </c>
      <c r="Q806" s="589"/>
      <c r="R806" s="576"/>
      <c r="S806" s="583">
        <f t="shared" si="70"/>
        <v>0</v>
      </c>
      <c r="T806" s="580">
        <f t="shared" si="72"/>
        <v>0</v>
      </c>
      <c r="U806" s="51"/>
      <c r="V806" s="2119"/>
      <c r="W806" s="43"/>
      <c r="X806" s="43"/>
      <c r="Y806" s="43"/>
      <c r="Z806" s="43"/>
    </row>
    <row r="807" spans="1:26" ht="15.75" customHeight="1">
      <c r="A807" s="88">
        <v>7903</v>
      </c>
      <c r="B807" s="1042" t="s">
        <v>836</v>
      </c>
      <c r="C807" s="1033"/>
      <c r="D807" s="1033"/>
      <c r="E807" s="1033"/>
      <c r="F807" s="1033"/>
      <c r="G807" s="1033"/>
      <c r="H807" s="1033"/>
      <c r="I807" s="1033"/>
      <c r="J807" s="1033"/>
      <c r="K807" s="1033"/>
      <c r="L807" s="90"/>
      <c r="M807" s="51"/>
      <c r="N807" s="113">
        <f t="shared" si="71"/>
        <v>7903</v>
      </c>
      <c r="O807" s="575">
        <v>0</v>
      </c>
      <c r="P807" s="582">
        <v>0</v>
      </c>
      <c r="Q807" s="589"/>
      <c r="R807" s="576"/>
      <c r="S807" s="583">
        <f t="shared" si="70"/>
        <v>0</v>
      </c>
      <c r="T807" s="580">
        <f t="shared" si="72"/>
        <v>0</v>
      </c>
      <c r="U807" s="51"/>
      <c r="V807" s="2119"/>
      <c r="W807" s="43"/>
      <c r="X807" s="43"/>
      <c r="Y807" s="43"/>
      <c r="Z807" s="43"/>
    </row>
    <row r="808" spans="1:26" ht="15.75" customHeight="1">
      <c r="A808" s="88">
        <v>7904</v>
      </c>
      <c r="B808" s="1042" t="s">
        <v>837</v>
      </c>
      <c r="C808" s="1033"/>
      <c r="D808" s="1033"/>
      <c r="E808" s="1033"/>
      <c r="F808" s="1033"/>
      <c r="G808" s="1033"/>
      <c r="H808" s="1033"/>
      <c r="I808" s="1033"/>
      <c r="J808" s="1033"/>
      <c r="K808" s="1033"/>
      <c r="L808" s="90"/>
      <c r="M808" s="51"/>
      <c r="N808" s="113">
        <f t="shared" si="71"/>
        <v>7904</v>
      </c>
      <c r="O808" s="575">
        <v>0</v>
      </c>
      <c r="P808" s="582">
        <v>0</v>
      </c>
      <c r="Q808" s="589"/>
      <c r="R808" s="576"/>
      <c r="S808" s="583">
        <f t="shared" si="70"/>
        <v>0</v>
      </c>
      <c r="T808" s="580">
        <f t="shared" si="72"/>
        <v>0</v>
      </c>
      <c r="U808" s="51"/>
      <c r="V808" s="2119"/>
      <c r="W808" s="43"/>
      <c r="X808" s="43"/>
      <c r="Y808" s="43"/>
      <c r="Z808" s="43"/>
    </row>
    <row r="809" spans="1:26" ht="15.75" customHeight="1">
      <c r="A809" s="88">
        <v>7905</v>
      </c>
      <c r="B809" s="1042" t="s">
        <v>838</v>
      </c>
      <c r="C809" s="1033"/>
      <c r="D809" s="1033"/>
      <c r="E809" s="1033"/>
      <c r="F809" s="1033"/>
      <c r="G809" s="1033"/>
      <c r="H809" s="1033"/>
      <c r="I809" s="1033"/>
      <c r="J809" s="1033"/>
      <c r="K809" s="1033"/>
      <c r="L809" s="90"/>
      <c r="M809" s="51"/>
      <c r="N809" s="113">
        <f t="shared" si="71"/>
        <v>7905</v>
      </c>
      <c r="O809" s="575">
        <v>0</v>
      </c>
      <c r="P809" s="582">
        <v>0</v>
      </c>
      <c r="Q809" s="589"/>
      <c r="R809" s="576"/>
      <c r="S809" s="583">
        <f t="shared" si="70"/>
        <v>0</v>
      </c>
      <c r="T809" s="580">
        <f t="shared" si="72"/>
        <v>0</v>
      </c>
      <c r="U809" s="51"/>
      <c r="V809" s="2119"/>
      <c r="W809" s="43"/>
      <c r="X809" s="43"/>
      <c r="Y809" s="43"/>
      <c r="Z809" s="43"/>
    </row>
    <row r="810" spans="1:26" ht="15.75" customHeight="1">
      <c r="A810" s="88">
        <v>7906</v>
      </c>
      <c r="B810" s="1042" t="s">
        <v>839</v>
      </c>
      <c r="C810" s="1033"/>
      <c r="D810" s="1033"/>
      <c r="E810" s="1033"/>
      <c r="F810" s="1033"/>
      <c r="G810" s="1033"/>
      <c r="H810" s="1033"/>
      <c r="I810" s="1033"/>
      <c r="J810" s="1033"/>
      <c r="K810" s="1033"/>
      <c r="L810" s="90"/>
      <c r="M810" s="51"/>
      <c r="N810" s="113">
        <f t="shared" si="71"/>
        <v>7906</v>
      </c>
      <c r="O810" s="575">
        <v>0</v>
      </c>
      <c r="P810" s="582">
        <v>0</v>
      </c>
      <c r="Q810" s="589"/>
      <c r="R810" s="576"/>
      <c r="S810" s="583">
        <f t="shared" si="70"/>
        <v>0</v>
      </c>
      <c r="T810" s="580">
        <f t="shared" si="72"/>
        <v>0</v>
      </c>
      <c r="U810" s="51"/>
      <c r="V810" s="2119"/>
      <c r="W810" s="43"/>
      <c r="X810" s="43"/>
      <c r="Y810" s="43"/>
      <c r="Z810" s="43"/>
    </row>
    <row r="811" spans="1:26">
      <c r="A811" s="88">
        <v>7911</v>
      </c>
      <c r="B811" s="1042" t="s">
        <v>840</v>
      </c>
      <c r="C811" s="1033"/>
      <c r="D811" s="1033"/>
      <c r="E811" s="1033"/>
      <c r="F811" s="1033"/>
      <c r="G811" s="1033"/>
      <c r="H811" s="1033"/>
      <c r="I811" s="1033"/>
      <c r="J811" s="1033"/>
      <c r="K811" s="1033"/>
      <c r="L811" s="90"/>
      <c r="M811" s="51"/>
      <c r="N811" s="113">
        <f t="shared" si="71"/>
        <v>7911</v>
      </c>
      <c r="O811" s="575">
        <v>0</v>
      </c>
      <c r="P811" s="582">
        <v>0</v>
      </c>
      <c r="Q811" s="589"/>
      <c r="R811" s="576"/>
      <c r="S811" s="583">
        <f t="shared" si="70"/>
        <v>0</v>
      </c>
      <c r="T811" s="580">
        <f t="shared" si="72"/>
        <v>0</v>
      </c>
      <c r="U811" s="51"/>
      <c r="V811" s="2119"/>
      <c r="W811" s="43"/>
      <c r="X811" s="43"/>
      <c r="Y811" s="43"/>
      <c r="Z811" s="43"/>
    </row>
    <row r="812" spans="1:26">
      <c r="A812" s="88">
        <v>7912</v>
      </c>
      <c r="B812" s="1042" t="s">
        <v>841</v>
      </c>
      <c r="C812" s="1033"/>
      <c r="D812" s="1033"/>
      <c r="E812" s="1033"/>
      <c r="F812" s="1033"/>
      <c r="G812" s="1033"/>
      <c r="H812" s="1033"/>
      <c r="I812" s="1033"/>
      <c r="J812" s="1033"/>
      <c r="K812" s="1033"/>
      <c r="L812" s="90"/>
      <c r="M812" s="51"/>
      <c r="N812" s="113">
        <f t="shared" si="71"/>
        <v>7912</v>
      </c>
      <c r="O812" s="575">
        <v>0</v>
      </c>
      <c r="P812" s="582">
        <v>0</v>
      </c>
      <c r="Q812" s="589"/>
      <c r="R812" s="576"/>
      <c r="S812" s="583">
        <f t="shared" si="70"/>
        <v>0</v>
      </c>
      <c r="T812" s="580">
        <f t="shared" si="72"/>
        <v>0</v>
      </c>
      <c r="U812" s="51"/>
      <c r="V812" s="2119"/>
      <c r="W812" s="43"/>
      <c r="X812" s="43"/>
      <c r="Y812" s="43"/>
      <c r="Z812" s="43"/>
    </row>
    <row r="813" spans="1:26" ht="15.75" customHeight="1">
      <c r="A813" s="88">
        <v>7915</v>
      </c>
      <c r="B813" s="1042" t="s">
        <v>842</v>
      </c>
      <c r="C813" s="1033"/>
      <c r="D813" s="1033"/>
      <c r="E813" s="1033"/>
      <c r="F813" s="1033"/>
      <c r="G813" s="1033"/>
      <c r="H813" s="1033"/>
      <c r="I813" s="1033"/>
      <c r="J813" s="1033"/>
      <c r="K813" s="1033"/>
      <c r="L813" s="90"/>
      <c r="M813" s="51"/>
      <c r="N813" s="113">
        <f t="shared" si="71"/>
        <v>7915</v>
      </c>
      <c r="O813" s="575">
        <v>0</v>
      </c>
      <c r="P813" s="582">
        <v>0</v>
      </c>
      <c r="Q813" s="589"/>
      <c r="R813" s="576"/>
      <c r="S813" s="583">
        <f t="shared" si="70"/>
        <v>0</v>
      </c>
      <c r="T813" s="580">
        <f t="shared" si="72"/>
        <v>0</v>
      </c>
      <c r="U813" s="51"/>
      <c r="V813" s="2119"/>
      <c r="W813" s="43"/>
      <c r="X813" s="43"/>
      <c r="Y813" s="43"/>
      <c r="Z813" s="43"/>
    </row>
    <row r="814" spans="1:26" ht="15.75" customHeight="1">
      <c r="A814" s="88">
        <v>7916</v>
      </c>
      <c r="B814" s="1042" t="s">
        <v>843</v>
      </c>
      <c r="C814" s="1033"/>
      <c r="D814" s="1033"/>
      <c r="E814" s="1033"/>
      <c r="F814" s="1033"/>
      <c r="G814" s="1033"/>
      <c r="H814" s="1033"/>
      <c r="I814" s="1033"/>
      <c r="J814" s="1033"/>
      <c r="K814" s="1033"/>
      <c r="L814" s="90"/>
      <c r="M814" s="51"/>
      <c r="N814" s="113">
        <f t="shared" si="71"/>
        <v>7916</v>
      </c>
      <c r="O814" s="575">
        <v>0</v>
      </c>
      <c r="P814" s="582">
        <v>0</v>
      </c>
      <c r="Q814" s="589"/>
      <c r="R814" s="576"/>
      <c r="S814" s="583">
        <f t="shared" si="70"/>
        <v>0</v>
      </c>
      <c r="T814" s="580">
        <f t="shared" si="72"/>
        <v>0</v>
      </c>
      <c r="U814" s="51"/>
      <c r="V814" s="2119"/>
      <c r="W814" s="43"/>
      <c r="X814" s="43"/>
      <c r="Y814" s="43"/>
      <c r="Z814" s="43"/>
    </row>
    <row r="815" spans="1:26">
      <c r="A815" s="88">
        <v>7917</v>
      </c>
      <c r="B815" s="1033" t="s">
        <v>844</v>
      </c>
      <c r="C815" s="1033"/>
      <c r="D815" s="1033"/>
      <c r="E815" s="1033"/>
      <c r="F815" s="1033"/>
      <c r="G815" s="1033"/>
      <c r="H815" s="1033"/>
      <c r="I815" s="1033"/>
      <c r="J815" s="1033"/>
      <c r="K815" s="1033"/>
      <c r="L815" s="90"/>
      <c r="M815" s="51"/>
      <c r="N815" s="113">
        <f t="shared" si="71"/>
        <v>7917</v>
      </c>
      <c r="O815" s="575">
        <v>0</v>
      </c>
      <c r="P815" s="582">
        <v>0</v>
      </c>
      <c r="Q815" s="589"/>
      <c r="R815" s="576"/>
      <c r="S815" s="583">
        <f t="shared" si="70"/>
        <v>0</v>
      </c>
      <c r="T815" s="580">
        <f t="shared" si="72"/>
        <v>0</v>
      </c>
      <c r="U815" s="51"/>
      <c r="V815" s="2119"/>
      <c r="W815" s="43"/>
      <c r="X815" s="43"/>
      <c r="Y815" s="43"/>
      <c r="Z815" s="43"/>
    </row>
    <row r="816" spans="1:26">
      <c r="A816" s="88">
        <v>7918</v>
      </c>
      <c r="B816" s="1033" t="s">
        <v>845</v>
      </c>
      <c r="C816" s="1033"/>
      <c r="D816" s="1033"/>
      <c r="E816" s="1033"/>
      <c r="F816" s="1033"/>
      <c r="G816" s="1033"/>
      <c r="H816" s="1033"/>
      <c r="I816" s="1033"/>
      <c r="J816" s="1033"/>
      <c r="K816" s="1033"/>
      <c r="L816" s="90"/>
      <c r="M816" s="51"/>
      <c r="N816" s="113">
        <f t="shared" si="71"/>
        <v>7918</v>
      </c>
      <c r="O816" s="575">
        <v>0</v>
      </c>
      <c r="P816" s="582">
        <v>0</v>
      </c>
      <c r="Q816" s="589"/>
      <c r="R816" s="576"/>
      <c r="S816" s="583">
        <f t="shared" si="70"/>
        <v>0</v>
      </c>
      <c r="T816" s="580">
        <f t="shared" si="72"/>
        <v>0</v>
      </c>
      <c r="U816" s="51"/>
      <c r="V816" s="2119"/>
      <c r="W816" s="43"/>
      <c r="X816" s="43"/>
      <c r="Y816" s="43"/>
      <c r="Z816" s="43"/>
    </row>
    <row r="817" spans="1:26">
      <c r="A817" s="88">
        <v>7922</v>
      </c>
      <c r="B817" s="1033" t="s">
        <v>846</v>
      </c>
      <c r="C817" s="1033"/>
      <c r="D817" s="1033"/>
      <c r="E817" s="1033"/>
      <c r="F817" s="1033"/>
      <c r="G817" s="1033"/>
      <c r="H817" s="1033"/>
      <c r="I817" s="1033"/>
      <c r="J817" s="1033"/>
      <c r="K817" s="1033"/>
      <c r="L817" s="90"/>
      <c r="M817" s="51"/>
      <c r="N817" s="113">
        <f t="shared" si="71"/>
        <v>7922</v>
      </c>
      <c r="O817" s="575">
        <v>0</v>
      </c>
      <c r="P817" s="582">
        <v>0</v>
      </c>
      <c r="Q817" s="589"/>
      <c r="R817" s="576"/>
      <c r="S817" s="583">
        <f t="shared" si="70"/>
        <v>0</v>
      </c>
      <c r="T817" s="580">
        <f t="shared" si="72"/>
        <v>0</v>
      </c>
      <c r="U817" s="51"/>
      <c r="V817" s="2119"/>
      <c r="W817" s="43"/>
      <c r="X817" s="43"/>
      <c r="Y817" s="43"/>
      <c r="Z817" s="43"/>
    </row>
    <row r="818" spans="1:26">
      <c r="A818" s="88">
        <v>7923</v>
      </c>
      <c r="B818" s="1033" t="s">
        <v>847</v>
      </c>
      <c r="C818" s="1033"/>
      <c r="D818" s="1033"/>
      <c r="E818" s="1033"/>
      <c r="F818" s="1033"/>
      <c r="G818" s="1033"/>
      <c r="H818" s="1033"/>
      <c r="I818" s="1033"/>
      <c r="J818" s="1033"/>
      <c r="K818" s="1033"/>
      <c r="L818" s="90"/>
      <c r="M818" s="51"/>
      <c r="N818" s="113">
        <f t="shared" si="71"/>
        <v>7923</v>
      </c>
      <c r="O818" s="575">
        <v>0</v>
      </c>
      <c r="P818" s="582">
        <v>0</v>
      </c>
      <c r="Q818" s="589"/>
      <c r="R818" s="576"/>
      <c r="S818" s="583">
        <f t="shared" si="70"/>
        <v>0</v>
      </c>
      <c r="T818" s="580">
        <f t="shared" si="72"/>
        <v>0</v>
      </c>
      <c r="U818" s="51"/>
      <c r="V818" s="2119"/>
      <c r="W818" s="43"/>
      <c r="X818" s="43"/>
      <c r="Y818" s="43"/>
      <c r="Z818" s="43"/>
    </row>
    <row r="819" spans="1:26">
      <c r="A819" s="88">
        <v>7924</v>
      </c>
      <c r="B819" s="1033" t="s">
        <v>848</v>
      </c>
      <c r="C819" s="1033"/>
      <c r="D819" s="1033"/>
      <c r="E819" s="1033"/>
      <c r="F819" s="1033"/>
      <c r="G819" s="1033"/>
      <c r="H819" s="1033"/>
      <c r="I819" s="1033"/>
      <c r="J819" s="1033"/>
      <c r="K819" s="1033"/>
      <c r="L819" s="90"/>
      <c r="M819" s="51"/>
      <c r="N819" s="113">
        <f t="shared" si="71"/>
        <v>7924</v>
      </c>
      <c r="O819" s="575">
        <v>0</v>
      </c>
      <c r="P819" s="582">
        <v>0</v>
      </c>
      <c r="Q819" s="589"/>
      <c r="R819" s="576"/>
      <c r="S819" s="583">
        <f t="shared" si="70"/>
        <v>0</v>
      </c>
      <c r="T819" s="580">
        <f t="shared" si="72"/>
        <v>0</v>
      </c>
      <c r="U819" s="51"/>
      <c r="V819" s="2119"/>
      <c r="W819" s="43"/>
      <c r="X819" s="43"/>
      <c r="Y819" s="43"/>
      <c r="Z819" s="43"/>
    </row>
    <row r="820" spans="1:26">
      <c r="A820" s="88">
        <v>7925</v>
      </c>
      <c r="B820" s="1033" t="s">
        <v>849</v>
      </c>
      <c r="C820" s="1033"/>
      <c r="D820" s="1033"/>
      <c r="E820" s="1033"/>
      <c r="F820" s="1033"/>
      <c r="G820" s="1033"/>
      <c r="H820" s="1033"/>
      <c r="I820" s="1033"/>
      <c r="J820" s="1033"/>
      <c r="K820" s="1033"/>
      <c r="L820" s="90"/>
      <c r="M820" s="51"/>
      <c r="N820" s="113">
        <f t="shared" si="71"/>
        <v>7925</v>
      </c>
      <c r="O820" s="575">
        <v>0</v>
      </c>
      <c r="P820" s="582">
        <v>0</v>
      </c>
      <c r="Q820" s="589"/>
      <c r="R820" s="576"/>
      <c r="S820" s="583">
        <f t="shared" si="70"/>
        <v>0</v>
      </c>
      <c r="T820" s="580">
        <f t="shared" si="72"/>
        <v>0</v>
      </c>
      <c r="U820" s="51"/>
      <c r="V820" s="2119"/>
      <c r="W820" s="43"/>
      <c r="X820" s="43"/>
      <c r="Y820" s="43"/>
      <c r="Z820" s="43"/>
    </row>
    <row r="821" spans="1:26" ht="15.75" customHeight="1">
      <c r="A821" s="88">
        <v>7926</v>
      </c>
      <c r="B821" s="1033" t="s">
        <v>850</v>
      </c>
      <c r="C821" s="1033"/>
      <c r="D821" s="1033"/>
      <c r="E821" s="1033"/>
      <c r="F821" s="1033"/>
      <c r="G821" s="1033"/>
      <c r="H821" s="1033"/>
      <c r="I821" s="1033"/>
      <c r="J821" s="1033"/>
      <c r="K821" s="1033"/>
      <c r="L821" s="90"/>
      <c r="M821" s="51"/>
      <c r="N821" s="113">
        <f t="shared" si="71"/>
        <v>7926</v>
      </c>
      <c r="O821" s="575">
        <v>0</v>
      </c>
      <c r="P821" s="582">
        <v>0</v>
      </c>
      <c r="Q821" s="589"/>
      <c r="R821" s="576"/>
      <c r="S821" s="583">
        <f t="shared" si="70"/>
        <v>0</v>
      </c>
      <c r="T821" s="580">
        <f t="shared" si="72"/>
        <v>0</v>
      </c>
      <c r="U821" s="51"/>
      <c r="V821" s="2119"/>
      <c r="W821" s="43"/>
      <c r="X821" s="43"/>
      <c r="Y821" s="43"/>
      <c r="Z821" s="43"/>
    </row>
    <row r="822" spans="1:26" ht="15.75" customHeight="1">
      <c r="A822" s="88">
        <v>7992</v>
      </c>
      <c r="B822" s="1033" t="s">
        <v>851</v>
      </c>
      <c r="C822" s="1033"/>
      <c r="D822" s="1033"/>
      <c r="E822" s="1033"/>
      <c r="F822" s="1033"/>
      <c r="G822" s="1033"/>
      <c r="H822" s="1033"/>
      <c r="I822" s="1033"/>
      <c r="J822" s="1033"/>
      <c r="K822" s="1033"/>
      <c r="L822" s="90"/>
      <c r="M822" s="51"/>
      <c r="N822" s="113">
        <f t="shared" si="71"/>
        <v>7992</v>
      </c>
      <c r="O822" s="575">
        <v>0</v>
      </c>
      <c r="P822" s="582">
        <v>0</v>
      </c>
      <c r="Q822" s="589">
        <v>0</v>
      </c>
      <c r="R822" s="576">
        <v>0</v>
      </c>
      <c r="S822" s="583">
        <f t="shared" si="70"/>
        <v>0</v>
      </c>
      <c r="T822" s="580">
        <f t="shared" si="72"/>
        <v>0</v>
      </c>
      <c r="U822" s="51"/>
      <c r="V822" s="2119"/>
      <c r="W822" s="43"/>
      <c r="X822" s="43"/>
      <c r="Y822" s="43"/>
      <c r="Z822" s="43"/>
    </row>
    <row r="823" spans="1:26" ht="15.75" customHeight="1">
      <c r="A823" s="88">
        <v>7993</v>
      </c>
      <c r="B823" s="1033" t="s">
        <v>852</v>
      </c>
      <c r="C823" s="1033"/>
      <c r="D823" s="1033"/>
      <c r="E823" s="1033"/>
      <c r="F823" s="1033"/>
      <c r="G823" s="1033"/>
      <c r="H823" s="1033"/>
      <c r="I823" s="1033"/>
      <c r="J823" s="1033"/>
      <c r="K823" s="1033"/>
      <c r="L823" s="90"/>
      <c r="M823" s="51"/>
      <c r="N823" s="113">
        <f t="shared" si="71"/>
        <v>7993</v>
      </c>
      <c r="O823" s="575">
        <v>0</v>
      </c>
      <c r="P823" s="582">
        <v>0</v>
      </c>
      <c r="Q823" s="589"/>
      <c r="R823" s="576"/>
      <c r="S823" s="583">
        <f t="shared" si="70"/>
        <v>0</v>
      </c>
      <c r="T823" s="580">
        <f t="shared" si="72"/>
        <v>0</v>
      </c>
      <c r="U823" s="51"/>
      <c r="V823" s="2119"/>
      <c r="W823" s="43"/>
      <c r="X823" s="43"/>
      <c r="Y823" s="43"/>
      <c r="Z823" s="43"/>
    </row>
    <row r="824" spans="1:26" ht="15.75" customHeight="1">
      <c r="A824" s="88">
        <v>7994</v>
      </c>
      <c r="B824" s="1033" t="s">
        <v>853</v>
      </c>
      <c r="C824" s="1033"/>
      <c r="D824" s="1033"/>
      <c r="E824" s="1033"/>
      <c r="F824" s="1033"/>
      <c r="G824" s="1033"/>
      <c r="H824" s="1033"/>
      <c r="I824" s="1033"/>
      <c r="J824" s="1033"/>
      <c r="K824" s="1033"/>
      <c r="L824" s="90"/>
      <c r="M824" s="51"/>
      <c r="N824" s="113">
        <f t="shared" si="71"/>
        <v>7994</v>
      </c>
      <c r="O824" s="575">
        <v>0</v>
      </c>
      <c r="P824" s="582">
        <v>0</v>
      </c>
      <c r="Q824" s="589"/>
      <c r="R824" s="576"/>
      <c r="S824" s="583">
        <f t="shared" si="70"/>
        <v>0</v>
      </c>
      <c r="T824" s="580">
        <f t="shared" si="72"/>
        <v>0</v>
      </c>
      <c r="U824" s="51"/>
      <c r="V824" s="2119"/>
      <c r="W824" s="43"/>
      <c r="X824" s="43"/>
      <c r="Y824" s="43"/>
      <c r="Z824" s="43"/>
    </row>
    <row r="825" spans="1:26" ht="15.75" customHeight="1">
      <c r="A825" s="88">
        <v>7995</v>
      </c>
      <c r="B825" s="1033" t="s">
        <v>854</v>
      </c>
      <c r="C825" s="1033"/>
      <c r="D825" s="1033"/>
      <c r="E825" s="1033"/>
      <c r="F825" s="1033"/>
      <c r="G825" s="1033"/>
      <c r="H825" s="1033"/>
      <c r="I825" s="1033"/>
      <c r="J825" s="1033"/>
      <c r="K825" s="1033"/>
      <c r="L825" s="90"/>
      <c r="M825" s="51"/>
      <c r="N825" s="113">
        <f t="shared" si="71"/>
        <v>7995</v>
      </c>
      <c r="O825" s="575">
        <v>0</v>
      </c>
      <c r="P825" s="582">
        <v>0</v>
      </c>
      <c r="Q825" s="589"/>
      <c r="R825" s="576"/>
      <c r="S825" s="583">
        <f t="shared" si="70"/>
        <v>0</v>
      </c>
      <c r="T825" s="580">
        <f t="shared" si="72"/>
        <v>0</v>
      </c>
      <c r="U825" s="51"/>
      <c r="V825" s="2119"/>
      <c r="W825" s="43"/>
      <c r="X825" s="43"/>
      <c r="Y825" s="43"/>
      <c r="Z825" s="43"/>
    </row>
    <row r="826" spans="1:26" ht="15.75" customHeight="1">
      <c r="A826" s="88">
        <v>7996</v>
      </c>
      <c r="B826" s="1033" t="s">
        <v>142</v>
      </c>
      <c r="C826" s="1033"/>
      <c r="D826" s="1033"/>
      <c r="E826" s="1033"/>
      <c r="F826" s="1033"/>
      <c r="G826" s="1033"/>
      <c r="H826" s="1033"/>
      <c r="I826" s="1033"/>
      <c r="J826" s="1033"/>
      <c r="K826" s="1033"/>
      <c r="L826" s="90"/>
      <c r="M826" s="51"/>
      <c r="N826" s="113">
        <f t="shared" si="71"/>
        <v>7996</v>
      </c>
      <c r="O826" s="575">
        <v>0</v>
      </c>
      <c r="P826" s="582">
        <v>0</v>
      </c>
      <c r="Q826" s="589"/>
      <c r="R826" s="576"/>
      <c r="S826" s="583">
        <f t="shared" si="70"/>
        <v>0</v>
      </c>
      <c r="T826" s="580">
        <f t="shared" si="72"/>
        <v>0</v>
      </c>
      <c r="U826" s="51"/>
      <c r="V826" s="2119"/>
      <c r="W826" s="43"/>
      <c r="X826" s="43"/>
      <c r="Y826" s="43"/>
      <c r="Z826" s="43"/>
    </row>
    <row r="827" spans="1:26" ht="15.75" customHeight="1">
      <c r="A827" s="88">
        <v>7997</v>
      </c>
      <c r="B827" s="1033" t="s">
        <v>143</v>
      </c>
      <c r="C827" s="1033"/>
      <c r="D827" s="1033"/>
      <c r="E827" s="1033"/>
      <c r="F827" s="1033"/>
      <c r="G827" s="1033"/>
      <c r="H827" s="1033"/>
      <c r="I827" s="1033"/>
      <c r="J827" s="1033"/>
      <c r="K827" s="1033"/>
      <c r="L827" s="90"/>
      <c r="M827" s="51"/>
      <c r="N827" s="113">
        <f t="shared" si="71"/>
        <v>7997</v>
      </c>
      <c r="O827" s="575">
        <v>0</v>
      </c>
      <c r="P827" s="582">
        <v>0</v>
      </c>
      <c r="Q827" s="589"/>
      <c r="R827" s="576"/>
      <c r="S827" s="583">
        <f t="shared" si="70"/>
        <v>0</v>
      </c>
      <c r="T827" s="580">
        <f t="shared" si="72"/>
        <v>0</v>
      </c>
      <c r="U827" s="51"/>
      <c r="V827" s="2119"/>
      <c r="W827" s="43"/>
      <c r="X827" s="43"/>
      <c r="Y827" s="43"/>
      <c r="Z827" s="43"/>
    </row>
    <row r="828" spans="1:26" ht="15.75" customHeight="1" thickBot="1">
      <c r="A828" s="88">
        <v>7998</v>
      </c>
      <c r="B828" s="1033" t="s">
        <v>144</v>
      </c>
      <c r="C828" s="1033"/>
      <c r="D828" s="1033"/>
      <c r="E828" s="1033"/>
      <c r="F828" s="1033"/>
      <c r="G828" s="1033"/>
      <c r="H828" s="1033"/>
      <c r="I828" s="1033"/>
      <c r="J828" s="1033"/>
      <c r="K828" s="1033"/>
      <c r="L828" s="90"/>
      <c r="M828" s="51"/>
      <c r="N828" s="113">
        <f t="shared" si="71"/>
        <v>7998</v>
      </c>
      <c r="O828" s="575">
        <v>0</v>
      </c>
      <c r="P828" s="582">
        <v>0</v>
      </c>
      <c r="Q828" s="589"/>
      <c r="R828" s="576"/>
      <c r="S828" s="583">
        <f t="shared" si="70"/>
        <v>0</v>
      </c>
      <c r="T828" s="580">
        <f t="shared" si="72"/>
        <v>0</v>
      </c>
      <c r="U828" s="51"/>
      <c r="V828" s="2119"/>
      <c r="W828" s="43"/>
      <c r="X828" s="43"/>
      <c r="Y828" s="43"/>
      <c r="Z828" s="43"/>
    </row>
    <row r="829" spans="1:26" ht="16.5" thickBot="1">
      <c r="A829" s="94" t="s">
        <v>592</v>
      </c>
      <c r="B829" s="95"/>
      <c r="C829" s="95"/>
      <c r="D829" s="95"/>
      <c r="E829" s="95"/>
      <c r="F829" s="95"/>
      <c r="G829" s="95"/>
      <c r="H829" s="95"/>
      <c r="I829" s="2633" t="str">
        <f>+E12</f>
        <v>D E S</v>
      </c>
      <c r="J829" s="2633"/>
      <c r="K829" s="2633"/>
      <c r="L829" s="96"/>
      <c r="M829" s="51"/>
      <c r="N829" s="128" t="s">
        <v>666</v>
      </c>
      <c r="O829" s="858">
        <f t="shared" ref="O829:T829" si="73">+ROUND(+SUM(O14:O828),2)</f>
        <v>0</v>
      </c>
      <c r="P829" s="860">
        <f t="shared" si="73"/>
        <v>0</v>
      </c>
      <c r="Q829" s="859">
        <f t="shared" si="73"/>
        <v>0</v>
      </c>
      <c r="R829" s="860">
        <f t="shared" si="73"/>
        <v>0</v>
      </c>
      <c r="S829" s="861">
        <f t="shared" si="73"/>
        <v>0</v>
      </c>
      <c r="T829" s="862">
        <f t="shared" si="73"/>
        <v>0</v>
      </c>
      <c r="U829" s="51"/>
      <c r="V829" s="2119"/>
      <c r="W829" s="43"/>
      <c r="X829" s="43"/>
      <c r="Y829" s="43"/>
      <c r="Z829" s="43"/>
    </row>
    <row r="830" spans="1:26" ht="7.5" customHeight="1" thickBot="1">
      <c r="A830" s="100"/>
      <c r="B830" s="100"/>
      <c r="C830" s="100"/>
      <c r="D830" s="100"/>
      <c r="E830" s="100"/>
      <c r="F830" s="100"/>
      <c r="G830" s="100"/>
      <c r="H830" s="100"/>
      <c r="I830" s="100"/>
      <c r="J830" s="100"/>
      <c r="K830" s="100"/>
      <c r="L830" s="100"/>
      <c r="M830" s="51"/>
      <c r="N830" s="115"/>
      <c r="O830" s="16"/>
      <c r="P830" s="16"/>
      <c r="Q830" s="16"/>
      <c r="R830" s="16"/>
      <c r="S830" s="16"/>
      <c r="T830" s="16"/>
      <c r="U830" s="44"/>
      <c r="V830" s="2119"/>
      <c r="W830" s="43"/>
      <c r="X830" s="43"/>
      <c r="Y830" s="43"/>
      <c r="Z830" s="43"/>
    </row>
    <row r="831" spans="1:26">
      <c r="A831" s="405" t="s">
        <v>375</v>
      </c>
      <c r="B831" s="406"/>
      <c r="C831" s="406"/>
      <c r="D831" s="406"/>
      <c r="E831" s="406"/>
      <c r="F831" s="406"/>
      <c r="G831" s="406"/>
      <c r="H831" s="406"/>
      <c r="I831" s="2634" t="str">
        <f>+I829</f>
        <v>D E S</v>
      </c>
      <c r="J831" s="2634"/>
      <c r="K831" s="2634"/>
      <c r="L831" s="407"/>
      <c r="M831" s="51"/>
      <c r="N831" s="408">
        <v>9</v>
      </c>
      <c r="O831" s="409"/>
      <c r="P831" s="410"/>
      <c r="Q831" s="411"/>
      <c r="R831" s="410"/>
      <c r="S831" s="411"/>
      <c r="T831" s="412"/>
      <c r="U831" s="51"/>
      <c r="V831" s="2119"/>
      <c r="W831" s="43"/>
      <c r="X831" s="43"/>
      <c r="Y831" s="43"/>
      <c r="Z831" s="43"/>
    </row>
    <row r="832" spans="1:26">
      <c r="A832" s="85">
        <v>9110</v>
      </c>
      <c r="B832" s="404" t="s">
        <v>914</v>
      </c>
      <c r="C832" s="86"/>
      <c r="D832" s="86"/>
      <c r="E832" s="86"/>
      <c r="F832" s="86"/>
      <c r="G832" s="86"/>
      <c r="H832" s="86"/>
      <c r="I832" s="86"/>
      <c r="J832" s="86"/>
      <c r="K832" s="86"/>
      <c r="L832" s="87"/>
      <c r="M832" s="51"/>
      <c r="N832" s="112">
        <f t="shared" ref="N832:N857" si="74">+A832</f>
        <v>9110</v>
      </c>
      <c r="O832" s="323">
        <v>0</v>
      </c>
      <c r="P832" s="329">
        <v>0</v>
      </c>
      <c r="Q832" s="577">
        <v>0</v>
      </c>
      <c r="R832" s="578">
        <v>0</v>
      </c>
      <c r="S832" s="326">
        <f>+IF(ABS(+O832+Q832)&gt;=ABS(P832+R832),+O832-P832+Q832-R832,0)</f>
        <v>0</v>
      </c>
      <c r="T832" s="331">
        <v>0</v>
      </c>
      <c r="U832" s="51"/>
      <c r="V832" s="2120">
        <f>+IF(OR(ROUND(P832,2)+ROUND(R832,2)&gt;+ROUND(O832,2)+ROUND(Q832,2),+ABS(ROUND(P832,2)+ROUND(R832,2))&gt;+ABS(ROUND(O832,2)+ROUND(Q832,2))),+(ROUND(P832,2)+ROUND(R832,2))-(ROUND(O832,2)+ROUND(Q832,2)),0)</f>
        <v>0</v>
      </c>
      <c r="W832" s="43"/>
      <c r="X832" s="43"/>
      <c r="Y832" s="43"/>
      <c r="Z832" s="43"/>
    </row>
    <row r="833" spans="1:26">
      <c r="A833" s="88">
        <v>9120</v>
      </c>
      <c r="B833" s="1042" t="s">
        <v>709</v>
      </c>
      <c r="C833" s="1033"/>
      <c r="D833" s="1033"/>
      <c r="E833" s="1033"/>
      <c r="F833" s="1033"/>
      <c r="G833" s="1033"/>
      <c r="H833" s="1033"/>
      <c r="I833" s="1033"/>
      <c r="J833" s="1033"/>
      <c r="K833" s="1033"/>
      <c r="L833" s="90"/>
      <c r="M833" s="51"/>
      <c r="N833" s="113">
        <f t="shared" si="74"/>
        <v>9120</v>
      </c>
      <c r="O833" s="581">
        <v>0</v>
      </c>
      <c r="P833" s="582">
        <v>0</v>
      </c>
      <c r="Q833" s="589">
        <v>0</v>
      </c>
      <c r="R833" s="576">
        <v>0</v>
      </c>
      <c r="S833" s="27">
        <f>+IF(ABS(+O833+Q833)&gt;=ABS(P833+R833),+O833-P833+Q833-R833,0)</f>
        <v>0</v>
      </c>
      <c r="T833" s="30">
        <v>0</v>
      </c>
      <c r="U833" s="51"/>
      <c r="V833" s="2120">
        <f>+IF(OR(ROUND(P833,2)+ROUND(R833,2)&gt;+ROUND(O833,2)+ROUND(Q833,2),+ABS(ROUND(P833,2)+ROUND(R833,2))&gt;+ABS(ROUND(O833,2)+ROUND(Q833,2))),+(ROUND(P833,2)+ROUND(R833,2))-(ROUND(O833,2)+ROUND(Q833,2)),0)</f>
        <v>0</v>
      </c>
      <c r="W833" s="43"/>
      <c r="X833" s="43"/>
      <c r="Y833" s="43"/>
      <c r="Z833" s="43"/>
    </row>
    <row r="834" spans="1:26">
      <c r="A834" s="88">
        <v>9130</v>
      </c>
      <c r="B834" s="1033" t="s">
        <v>376</v>
      </c>
      <c r="C834" s="1033"/>
      <c r="D834" s="1033"/>
      <c r="E834" s="1033"/>
      <c r="F834" s="1033"/>
      <c r="G834" s="1033"/>
      <c r="H834" s="1033"/>
      <c r="I834" s="1033"/>
      <c r="J834" s="1033"/>
      <c r="K834" s="1033"/>
      <c r="L834" s="90"/>
      <c r="M834" s="51"/>
      <c r="N834" s="113">
        <f t="shared" si="74"/>
        <v>9130</v>
      </c>
      <c r="O834" s="581"/>
      <c r="P834" s="582">
        <v>0</v>
      </c>
      <c r="Q834" s="589"/>
      <c r="R834" s="576"/>
      <c r="S834" s="27">
        <f>+IF(ABS(+O834+Q834)&gt;=ABS(P834+R834),+O834-P834+Q834-R834,0)</f>
        <v>0</v>
      </c>
      <c r="T834" s="30">
        <v>0</v>
      </c>
      <c r="U834" s="51"/>
      <c r="V834" s="2120">
        <f>+IF(OR(ROUND(P834,2)+ROUND(R834,2)&gt;+ROUND(O834,2)+ROUND(Q834,2),+ABS(ROUND(P834,2)+ROUND(R834,2))&gt;+ABS(ROUND(O834,2)+ROUND(Q834,2))),+(ROUND(P834,2)+ROUND(R834,2))-(ROUND(O834,2)+ROUND(Q834,2)),0)</f>
        <v>0</v>
      </c>
      <c r="W834" s="43"/>
      <c r="X834" s="43"/>
      <c r="Y834" s="43"/>
      <c r="Z834" s="43"/>
    </row>
    <row r="835" spans="1:26">
      <c r="A835" s="88">
        <v>9200</v>
      </c>
      <c r="B835" s="1033" t="s">
        <v>710</v>
      </c>
      <c r="C835" s="1033"/>
      <c r="D835" s="1033"/>
      <c r="E835" s="1033"/>
      <c r="F835" s="1033"/>
      <c r="G835" s="1033"/>
      <c r="H835" s="1033"/>
      <c r="I835" s="1033"/>
      <c r="J835" s="1033"/>
      <c r="K835" s="1033"/>
      <c r="L835" s="90"/>
      <c r="M835" s="51"/>
      <c r="N835" s="113">
        <f t="shared" si="74"/>
        <v>9200</v>
      </c>
      <c r="O835" s="575">
        <v>0</v>
      </c>
      <c r="P835" s="576">
        <v>0</v>
      </c>
      <c r="Q835" s="589">
        <v>0</v>
      </c>
      <c r="R835" s="121">
        <v>0</v>
      </c>
      <c r="S835" s="29">
        <v>0</v>
      </c>
      <c r="T835" s="28">
        <f>+IF(ABS(+O835+Q835)&lt;=ABS(P835+R835),-O835+P835-Q835+R835,0)</f>
        <v>0</v>
      </c>
      <c r="U835" s="51"/>
      <c r="V835" s="2119">
        <f>+IF(OR(+ROUND(O835,2)+ROUND(Q835,2)&gt;ROUND(P835,2)+ROUND(R835,2),+ABS(ROUND(O835,2)+ROUND(Q835,2))&gt;+ABS(ROUND(P835,2)+ROUND(R835,2))),+(ROUND(O835,2)+ROUND(Q835,2))-(ROUND(P835,2)+ROUND(R835,2)),0)</f>
        <v>0</v>
      </c>
      <c r="W835" s="43"/>
      <c r="X835" s="43"/>
      <c r="Y835" s="43"/>
      <c r="Z835" s="43"/>
    </row>
    <row r="836" spans="1:26">
      <c r="A836" s="346">
        <v>9208</v>
      </c>
      <c r="B836" s="1042" t="s">
        <v>711</v>
      </c>
      <c r="C836" s="1033"/>
      <c r="D836" s="1033"/>
      <c r="E836" s="1033"/>
      <c r="F836" s="1033"/>
      <c r="G836" s="1033"/>
      <c r="H836" s="1033"/>
      <c r="I836" s="1033"/>
      <c r="J836" s="1033"/>
      <c r="K836" s="1033"/>
      <c r="L836" s="90"/>
      <c r="M836" s="51"/>
      <c r="N836" s="113">
        <f t="shared" si="74"/>
        <v>9208</v>
      </c>
      <c r="O836" s="575">
        <v>0</v>
      </c>
      <c r="P836" s="576"/>
      <c r="Q836" s="589"/>
      <c r="R836" s="121"/>
      <c r="S836" s="579">
        <v>0</v>
      </c>
      <c r="T836" s="580">
        <f>+IF(ABS(+O836+Q836)&lt;=ABS(P836+R836),-O836+P836-Q836+R836,0)</f>
        <v>0</v>
      </c>
      <c r="U836" s="51"/>
      <c r="V836" s="2119">
        <f>+IF(OR(+ROUND(O836,2)+ROUND(Q836,2)&gt;ROUND(P836,2)+ROUND(R836,2),+ABS(ROUND(O836,2)+ROUND(Q836,2))&gt;+ABS(ROUND(P836,2)+ROUND(R836,2))),+(ROUND(O836,2)+ROUND(Q836,2))-(ROUND(P836,2)+ROUND(R836,2)),0)</f>
        <v>0</v>
      </c>
      <c r="W836" s="43"/>
      <c r="X836" s="43"/>
      <c r="Y836" s="43"/>
      <c r="Z836" s="43"/>
    </row>
    <row r="837" spans="1:26">
      <c r="A837" s="88">
        <v>9211</v>
      </c>
      <c r="B837" s="378" t="s">
        <v>712</v>
      </c>
      <c r="C837" s="1033"/>
      <c r="D837" s="1033"/>
      <c r="E837" s="1033"/>
      <c r="F837" s="1033"/>
      <c r="G837" s="1033"/>
      <c r="H837" s="1033"/>
      <c r="I837" s="1033"/>
      <c r="J837" s="1033"/>
      <c r="K837" s="1033"/>
      <c r="L837" s="90"/>
      <c r="M837" s="51"/>
      <c r="N837" s="113">
        <f t="shared" si="74"/>
        <v>9211</v>
      </c>
      <c r="O837" s="581"/>
      <c r="P837" s="582">
        <v>0</v>
      </c>
      <c r="Q837" s="589"/>
      <c r="R837" s="576"/>
      <c r="S837" s="583">
        <f>+IF(ABS(+O837+Q837)&gt;=ABS(P837+R837),+O837-P837+Q837-R837,0)</f>
        <v>0</v>
      </c>
      <c r="T837" s="584">
        <v>0</v>
      </c>
      <c r="U837" s="51"/>
      <c r="V837" s="2120">
        <f>+IF(OR(ROUND(P837,2)+ROUND(R837,2)&gt;+ROUND(O837,2)+ROUND(Q837,2),+ABS(ROUND(P837,2)+ROUND(R837,2))&gt;+ABS(ROUND(O837,2)+ROUND(Q837,2))),+(ROUND(P837,2)+ROUND(R837,2))-(ROUND(O837,2)+ROUND(Q837,2)),0)</f>
        <v>0</v>
      </c>
      <c r="W837" s="43"/>
      <c r="X837" s="43"/>
      <c r="Y837" s="43"/>
      <c r="Z837" s="43"/>
    </row>
    <row r="838" spans="1:26">
      <c r="A838" s="88">
        <v>9212</v>
      </c>
      <c r="B838" s="378" t="s">
        <v>713</v>
      </c>
      <c r="C838" s="1033"/>
      <c r="D838" s="1033"/>
      <c r="E838" s="1033"/>
      <c r="F838" s="1033"/>
      <c r="G838" s="1033"/>
      <c r="H838" s="1033"/>
      <c r="I838" s="1033"/>
      <c r="J838" s="1033"/>
      <c r="K838" s="1033"/>
      <c r="L838" s="90"/>
      <c r="M838" s="51"/>
      <c r="N838" s="113">
        <f t="shared" si="74"/>
        <v>9212</v>
      </c>
      <c r="O838" s="581"/>
      <c r="P838" s="582">
        <v>0</v>
      </c>
      <c r="Q838" s="589"/>
      <c r="R838" s="576"/>
      <c r="S838" s="583">
        <f>+IF(ABS(+O838+Q838)&gt;=ABS(P838+R838),+O838-P838+Q838-R838,0)</f>
        <v>0</v>
      </c>
      <c r="T838" s="584">
        <v>0</v>
      </c>
      <c r="U838" s="51"/>
      <c r="V838" s="2120">
        <f>+IF(OR(ROUND(P838,2)+ROUND(R838,2)&gt;+ROUND(O838,2)+ROUND(Q838,2),+ABS(ROUND(P838,2)+ROUND(R838,2))&gt;+ABS(ROUND(O838,2)+ROUND(Q838,2))),+(ROUND(P838,2)+ROUND(R838,2))-(ROUND(O838,2)+ROUND(Q838,2)),0)</f>
        <v>0</v>
      </c>
      <c r="W838" s="43"/>
      <c r="X838" s="43"/>
      <c r="Y838" s="43"/>
      <c r="Z838" s="43"/>
    </row>
    <row r="839" spans="1:26">
      <c r="A839" s="88">
        <v>9214</v>
      </c>
      <c r="B839" s="1033" t="s">
        <v>714</v>
      </c>
      <c r="C839" s="1033"/>
      <c r="D839" s="1033"/>
      <c r="E839" s="1033"/>
      <c r="F839" s="1033"/>
      <c r="G839" s="1033"/>
      <c r="H839" s="1033"/>
      <c r="I839" s="1033"/>
      <c r="J839" s="1033"/>
      <c r="K839" s="1033"/>
      <c r="L839" s="90"/>
      <c r="M839" s="51"/>
      <c r="N839" s="113">
        <f t="shared" si="74"/>
        <v>9214</v>
      </c>
      <c r="O839" s="581"/>
      <c r="P839" s="582">
        <v>0</v>
      </c>
      <c r="Q839" s="589"/>
      <c r="R839" s="576"/>
      <c r="S839" s="583">
        <f>+IF(ABS(+O839+Q839)&gt;=ABS(P839+R839),+O839-P839+Q839-R839,0)</f>
        <v>0</v>
      </c>
      <c r="T839" s="584">
        <v>0</v>
      </c>
      <c r="U839" s="51"/>
      <c r="V839" s="2120">
        <f>+IF(OR(ROUND(P839,2)+ROUND(R839,2)&gt;+ROUND(O839,2)+ROUND(Q839,2),+ABS(ROUND(P839,2)+ROUND(R839,2))&gt;+ABS(ROUND(O839,2)+ROUND(Q839,2))),+(ROUND(P839,2)+ROUND(R839,2))-(ROUND(O839,2)+ROUND(Q839,2)),0)</f>
        <v>0</v>
      </c>
      <c r="W839" s="43"/>
      <c r="X839" s="43"/>
      <c r="Y839" s="43"/>
      <c r="Z839" s="43"/>
    </row>
    <row r="840" spans="1:26">
      <c r="A840" s="88">
        <v>9215</v>
      </c>
      <c r="B840" s="1033" t="s">
        <v>715</v>
      </c>
      <c r="C840" s="1033"/>
      <c r="D840" s="1033"/>
      <c r="E840" s="1033"/>
      <c r="F840" s="1033"/>
      <c r="G840" s="1033"/>
      <c r="H840" s="1033"/>
      <c r="I840" s="1033"/>
      <c r="J840" s="1033"/>
      <c r="K840" s="1033"/>
      <c r="L840" s="90"/>
      <c r="M840" s="51"/>
      <c r="N840" s="113">
        <f t="shared" si="74"/>
        <v>9215</v>
      </c>
      <c r="O840" s="581"/>
      <c r="P840" s="582">
        <v>0</v>
      </c>
      <c r="Q840" s="589"/>
      <c r="R840" s="576"/>
      <c r="S840" s="583">
        <f>+IF(ABS(+O840+Q840)&gt;=ABS(P840+R840),+O840-P840+Q840-R840,0)</f>
        <v>0</v>
      </c>
      <c r="T840" s="584">
        <v>0</v>
      </c>
      <c r="U840" s="51"/>
      <c r="V840" s="2120">
        <f>+IF(OR(ROUND(P840,2)+ROUND(R840,2)&gt;+ROUND(O840,2)+ROUND(Q840,2),+ABS(ROUND(P840,2)+ROUND(R840,2))&gt;+ABS(ROUND(O840,2)+ROUND(Q840,2))),+(ROUND(P840,2)+ROUND(R840,2))-(ROUND(O840,2)+ROUND(Q840,2)),0)</f>
        <v>0</v>
      </c>
      <c r="W840" s="43"/>
      <c r="X840" s="43"/>
      <c r="Y840" s="43"/>
      <c r="Z840" s="43"/>
    </row>
    <row r="841" spans="1:26">
      <c r="A841" s="88">
        <v>9216</v>
      </c>
      <c r="B841" s="1033" t="s">
        <v>716</v>
      </c>
      <c r="C841" s="1033"/>
      <c r="D841" s="1033"/>
      <c r="E841" s="1033"/>
      <c r="F841" s="1033"/>
      <c r="G841" s="1033"/>
      <c r="H841" s="1033"/>
      <c r="I841" s="1033"/>
      <c r="J841" s="1033"/>
      <c r="K841" s="1033"/>
      <c r="L841" s="90"/>
      <c r="M841" s="51"/>
      <c r="N841" s="113">
        <f t="shared" si="74"/>
        <v>9216</v>
      </c>
      <c r="O841" s="581"/>
      <c r="P841" s="582">
        <v>0</v>
      </c>
      <c r="Q841" s="589"/>
      <c r="R841" s="576"/>
      <c r="S841" s="583">
        <f>+IF(ABS(+O841+Q841)&gt;=ABS(P841+R841),+O841-P841+Q841-R841,0)</f>
        <v>0</v>
      </c>
      <c r="T841" s="584">
        <v>0</v>
      </c>
      <c r="U841" s="51"/>
      <c r="V841" s="2120">
        <f>+IF(OR(ROUND(P841,2)+ROUND(R841,2)&gt;+ROUND(O841,2)+ROUND(Q841,2),+ABS(ROUND(P841,2)+ROUND(R841,2))&gt;+ABS(ROUND(O841,2)+ROUND(Q841,2))),+(ROUND(P841,2)+ROUND(R841,2))-(ROUND(O841,2)+ROUND(Q841,2)),0)</f>
        <v>0</v>
      </c>
      <c r="W841" s="43"/>
      <c r="X841" s="43"/>
      <c r="Y841" s="43"/>
      <c r="Z841" s="43"/>
    </row>
    <row r="842" spans="1:26">
      <c r="A842" s="88">
        <v>9221</v>
      </c>
      <c r="B842" s="1033" t="s">
        <v>717</v>
      </c>
      <c r="C842" s="1033"/>
      <c r="D842" s="1033"/>
      <c r="E842" s="1033"/>
      <c r="F842" s="1033"/>
      <c r="G842" s="1033"/>
      <c r="H842" s="1033"/>
      <c r="I842" s="1033"/>
      <c r="J842" s="1033"/>
      <c r="K842" s="1033"/>
      <c r="L842" s="90"/>
      <c r="M842" s="51"/>
      <c r="N842" s="113">
        <f t="shared" si="74"/>
        <v>9221</v>
      </c>
      <c r="O842" s="575">
        <v>0</v>
      </c>
      <c r="P842" s="576"/>
      <c r="Q842" s="589"/>
      <c r="R842" s="121"/>
      <c r="S842" s="579">
        <v>0</v>
      </c>
      <c r="T842" s="580">
        <f>+IF(ABS(+O842+Q842)&lt;=ABS(P842+R842),-O842+P842-Q842+R842,0)</f>
        <v>0</v>
      </c>
      <c r="U842" s="51"/>
      <c r="V842" s="2119">
        <f>+IF(OR(+ROUND(O842,2)+ROUND(Q842,2)&gt;ROUND(P842,2)+ROUND(R842,2),+ABS(ROUND(O842,2)+ROUND(Q842,2))&gt;+ABS(ROUND(P842,2)+ROUND(R842,2))),+(ROUND(O842,2)+ROUND(Q842,2))-(ROUND(P842,2)+ROUND(R842,2)),0)</f>
        <v>0</v>
      </c>
      <c r="W842" s="43"/>
      <c r="X842" s="43"/>
      <c r="Y842" s="43"/>
      <c r="Z842" s="43"/>
    </row>
    <row r="843" spans="1:26">
      <c r="A843" s="88">
        <v>9222</v>
      </c>
      <c r="B843" s="1033" t="s">
        <v>718</v>
      </c>
      <c r="C843" s="1033"/>
      <c r="D843" s="1033"/>
      <c r="E843" s="1033"/>
      <c r="F843" s="1033"/>
      <c r="G843" s="1033"/>
      <c r="H843" s="1033"/>
      <c r="I843" s="1033"/>
      <c r="J843" s="1033"/>
      <c r="K843" s="1033"/>
      <c r="L843" s="90"/>
      <c r="M843" s="51"/>
      <c r="N843" s="113">
        <f t="shared" si="74"/>
        <v>9222</v>
      </c>
      <c r="O843" s="575">
        <v>0</v>
      </c>
      <c r="P843" s="576"/>
      <c r="Q843" s="589"/>
      <c r="R843" s="121"/>
      <c r="S843" s="579">
        <v>0</v>
      </c>
      <c r="T843" s="580">
        <f>+IF(ABS(+O843+Q843)&lt;=ABS(P843+R843),-O843+P843-Q843+R843,0)</f>
        <v>0</v>
      </c>
      <c r="U843" s="51"/>
      <c r="V843" s="2119">
        <f>+IF(OR(+ROUND(O843,2)+ROUND(Q843,2)&gt;ROUND(P843,2)+ROUND(R843,2),+ABS(ROUND(O843,2)+ROUND(Q843,2))&gt;+ABS(ROUND(P843,2)+ROUND(R843,2))),+(ROUND(O843,2)+ROUND(Q843,2))-(ROUND(P843,2)+ROUND(R843,2)),0)</f>
        <v>0</v>
      </c>
      <c r="W843" s="43"/>
      <c r="X843" s="43"/>
      <c r="Y843" s="43"/>
      <c r="Z843" s="43"/>
    </row>
    <row r="844" spans="1:26">
      <c r="A844" s="88">
        <v>9231</v>
      </c>
      <c r="B844" s="1033" t="s">
        <v>719</v>
      </c>
      <c r="C844" s="1033"/>
      <c r="D844" s="1033"/>
      <c r="E844" s="1033"/>
      <c r="F844" s="1033"/>
      <c r="G844" s="1033"/>
      <c r="H844" s="1033"/>
      <c r="I844" s="1033"/>
      <c r="J844" s="1033"/>
      <c r="K844" s="1033"/>
      <c r="L844" s="90"/>
      <c r="M844" s="51"/>
      <c r="N844" s="113">
        <f t="shared" si="74"/>
        <v>9231</v>
      </c>
      <c r="O844" s="575">
        <v>0</v>
      </c>
      <c r="P844" s="576"/>
      <c r="Q844" s="589"/>
      <c r="R844" s="121"/>
      <c r="S844" s="579">
        <v>0</v>
      </c>
      <c r="T844" s="580">
        <f>+IF(ABS(+O844+Q844)&lt;=ABS(P844+R844),-O844+P844-Q844+R844,0)</f>
        <v>0</v>
      </c>
      <c r="U844" s="51"/>
      <c r="V844" s="2119">
        <f>+IF(OR(+ROUND(O844,2)+ROUND(Q844,2)&gt;ROUND(P844,2)+ROUND(R844,2),+ABS(ROUND(O844,2)+ROUND(Q844,2))&gt;+ABS(ROUND(P844,2)+ROUND(R844,2))),+(ROUND(O844,2)+ROUND(Q844,2))-(ROUND(P844,2)+ROUND(R844,2)),0)</f>
        <v>0</v>
      </c>
      <c r="W844" s="43"/>
      <c r="X844" s="43"/>
      <c r="Y844" s="43"/>
      <c r="Z844" s="43"/>
    </row>
    <row r="845" spans="1:26">
      <c r="A845" s="88">
        <v>9233</v>
      </c>
      <c r="B845" s="1033" t="s">
        <v>720</v>
      </c>
      <c r="C845" s="1033"/>
      <c r="D845" s="1033"/>
      <c r="E845" s="1033"/>
      <c r="F845" s="1033"/>
      <c r="G845" s="1033"/>
      <c r="H845" s="1033"/>
      <c r="I845" s="1033"/>
      <c r="J845" s="1033"/>
      <c r="K845" s="1033"/>
      <c r="L845" s="90"/>
      <c r="M845" s="51"/>
      <c r="N845" s="113">
        <f t="shared" si="74"/>
        <v>9233</v>
      </c>
      <c r="O845" s="575">
        <v>0</v>
      </c>
      <c r="P845" s="576"/>
      <c r="Q845" s="589"/>
      <c r="R845" s="121"/>
      <c r="S845" s="579">
        <v>0</v>
      </c>
      <c r="T845" s="580">
        <f>+IF(ABS(+O845+Q845)&lt;=ABS(P845+R845),-O845+P845-Q845+R845,0)</f>
        <v>0</v>
      </c>
      <c r="U845" s="51"/>
      <c r="V845" s="2119">
        <f>+IF(OR(+ROUND(O845,2)+ROUND(Q845,2)&gt;ROUND(P845,2)+ROUND(R845,2),+ABS(ROUND(O845,2)+ROUND(Q845,2))&gt;+ABS(ROUND(P845,2)+ROUND(R845,2))),+(ROUND(O845,2)+ROUND(Q845,2))-(ROUND(P845,2)+ROUND(R845,2)),0)</f>
        <v>0</v>
      </c>
      <c r="W845" s="43"/>
      <c r="X845" s="43"/>
      <c r="Y845" s="43"/>
      <c r="Z845" s="43"/>
    </row>
    <row r="846" spans="1:26">
      <c r="A846" s="88">
        <v>9289</v>
      </c>
      <c r="B846" s="1033" t="s">
        <v>381</v>
      </c>
      <c r="C846" s="1033"/>
      <c r="D846" s="1033"/>
      <c r="E846" s="1033"/>
      <c r="F846" s="1033"/>
      <c r="G846" s="1033"/>
      <c r="H846" s="1033"/>
      <c r="I846" s="1033"/>
      <c r="J846" s="1033"/>
      <c r="K846" s="1033"/>
      <c r="L846" s="90"/>
      <c r="M846" s="51"/>
      <c r="N846" s="113">
        <f t="shared" si="74"/>
        <v>9289</v>
      </c>
      <c r="O846" s="581"/>
      <c r="P846" s="582">
        <v>0</v>
      </c>
      <c r="Q846" s="589"/>
      <c r="R846" s="576"/>
      <c r="S846" s="583">
        <f>+IF(ABS(+O846+Q846)&gt;=ABS(P846+R846),+O846-P846+Q846-R846,0)</f>
        <v>0</v>
      </c>
      <c r="T846" s="584">
        <v>0</v>
      </c>
      <c r="U846" s="51"/>
      <c r="V846" s="2120">
        <f>+IF(OR(ROUND(P846,2)+ROUND(R846,2)&gt;+ROUND(O846,2)+ROUND(Q846,2),+ABS(ROUND(P846,2)+ROUND(R846,2))&gt;+ABS(ROUND(O846,2)+ROUND(Q846,2))),+(ROUND(P846,2)+ROUND(R846,2))-(ROUND(O846,2)+ROUND(Q846,2)),0)</f>
        <v>0</v>
      </c>
      <c r="W846" s="43"/>
      <c r="X846" s="43"/>
      <c r="Y846" s="43"/>
      <c r="Z846" s="43"/>
    </row>
    <row r="847" spans="1:26">
      <c r="A847" s="88">
        <v>9295</v>
      </c>
      <c r="B847" s="1033" t="s">
        <v>721</v>
      </c>
      <c r="C847" s="1039"/>
      <c r="D847" s="1039"/>
      <c r="E847" s="1039"/>
      <c r="F847" s="1039"/>
      <c r="G847" s="1039"/>
      <c r="H847" s="1039"/>
      <c r="I847" s="1039"/>
      <c r="J847" s="1039"/>
      <c r="K847" s="1039"/>
      <c r="L847" s="574"/>
      <c r="M847" s="51"/>
      <c r="N847" s="113">
        <f t="shared" si="74"/>
        <v>9295</v>
      </c>
      <c r="O847" s="575">
        <v>0</v>
      </c>
      <c r="P847" s="582">
        <v>0</v>
      </c>
      <c r="Q847" s="579">
        <v>0</v>
      </c>
      <c r="R847" s="582">
        <v>0</v>
      </c>
      <c r="S847" s="579">
        <v>0</v>
      </c>
      <c r="T847" s="584">
        <v>0</v>
      </c>
      <c r="U847" s="51"/>
      <c r="V847" s="2125">
        <f>+IF(OR(O847&lt;&gt;0,P847&lt;&gt;0,Q847&lt;&gt;0,R847&lt;&gt;0,S847&lt;&gt;0,T847&lt;&gt;0),+IF(ABS(O847+Q847)-ABS(P847+R847)&lt;&gt;0,ABS(O847+Q847)-ABS(P847+R847),1),0)</f>
        <v>0</v>
      </c>
      <c r="W847" s="43"/>
      <c r="X847" s="43"/>
      <c r="Y847" s="43"/>
      <c r="Z847" s="43"/>
    </row>
    <row r="848" spans="1:26">
      <c r="A848" s="88">
        <v>9299</v>
      </c>
      <c r="B848" s="1033" t="s">
        <v>382</v>
      </c>
      <c r="C848" s="1033"/>
      <c r="D848" s="1033"/>
      <c r="E848" s="1033"/>
      <c r="F848" s="1033"/>
      <c r="G848" s="1033"/>
      <c r="H848" s="1033"/>
      <c r="I848" s="1033"/>
      <c r="J848" s="1033"/>
      <c r="K848" s="1033"/>
      <c r="L848" s="90"/>
      <c r="M848" s="51"/>
      <c r="N848" s="113">
        <f t="shared" si="74"/>
        <v>9299</v>
      </c>
      <c r="O848" s="575">
        <v>0</v>
      </c>
      <c r="P848" s="576"/>
      <c r="Q848" s="589"/>
      <c r="R848" s="121"/>
      <c r="S848" s="579">
        <v>0</v>
      </c>
      <c r="T848" s="580">
        <f t="shared" ref="T848:T857" si="75">+IF(ABS(+O848+Q848)&lt;=ABS(P848+R848),-O848+P848-Q848+R848,0)</f>
        <v>0</v>
      </c>
      <c r="U848" s="51"/>
      <c r="V848" s="2119">
        <f>+IF(OR(+ROUND(O848,2)+ROUND(Q848,2)&gt;ROUND(P848,2)+ROUND(R848,2),+ABS(ROUND(O848,2)+ROUND(Q848,2))&gt;+ABS(ROUND(P848,2)+ROUND(R848,2))),+(ROUND(O848,2)+ROUND(Q848,2))-(ROUND(P848,2)+ROUND(R848,2)),0)</f>
        <v>0</v>
      </c>
      <c r="W848" s="43"/>
      <c r="X848" s="43"/>
      <c r="Y848" s="43"/>
      <c r="Z848" s="43"/>
    </row>
    <row r="849" spans="1:26" ht="15.75" customHeight="1">
      <c r="A849" s="88">
        <v>9800</v>
      </c>
      <c r="B849" s="1033" t="s">
        <v>722</v>
      </c>
      <c r="C849" s="1038"/>
      <c r="D849" s="1038"/>
      <c r="E849" s="1038"/>
      <c r="F849" s="1038"/>
      <c r="G849" s="1038"/>
      <c r="H849" s="1038"/>
      <c r="I849" s="1038"/>
      <c r="J849" s="1038"/>
      <c r="K849" s="1038"/>
      <c r="L849" s="590"/>
      <c r="M849" s="51"/>
      <c r="N849" s="113">
        <f t="shared" si="74"/>
        <v>9800</v>
      </c>
      <c r="O849" s="575">
        <v>0</v>
      </c>
      <c r="P849" s="582">
        <v>0</v>
      </c>
      <c r="Q849" s="589">
        <v>0</v>
      </c>
      <c r="R849" s="576">
        <v>0</v>
      </c>
      <c r="S849" s="583">
        <f t="shared" ref="S849:S867" si="76">+IF(ABS(+O849+Q849)&gt;=ABS(P849+R849),+O849-P849+Q849-R849,0)</f>
        <v>0</v>
      </c>
      <c r="T849" s="580">
        <f t="shared" si="75"/>
        <v>0</v>
      </c>
      <c r="U849" s="51"/>
      <c r="V849" s="2119"/>
      <c r="W849" s="43"/>
      <c r="X849" s="43"/>
      <c r="Y849" s="43"/>
      <c r="Z849" s="43"/>
    </row>
    <row r="850" spans="1:26" ht="15.75" customHeight="1">
      <c r="A850" s="88">
        <v>9801</v>
      </c>
      <c r="B850" s="1033" t="s">
        <v>723</v>
      </c>
      <c r="C850" s="1038"/>
      <c r="D850" s="1038"/>
      <c r="E850" s="1038"/>
      <c r="F850" s="1038"/>
      <c r="G850" s="1038"/>
      <c r="H850" s="1038"/>
      <c r="I850" s="1038"/>
      <c r="J850" s="1038"/>
      <c r="K850" s="1038"/>
      <c r="L850" s="590"/>
      <c r="M850" s="51"/>
      <c r="N850" s="113">
        <f t="shared" si="74"/>
        <v>9801</v>
      </c>
      <c r="O850" s="575">
        <v>0</v>
      </c>
      <c r="P850" s="582">
        <v>0</v>
      </c>
      <c r="Q850" s="589">
        <v>0</v>
      </c>
      <c r="R850" s="576">
        <v>0</v>
      </c>
      <c r="S850" s="583">
        <f t="shared" si="76"/>
        <v>0</v>
      </c>
      <c r="T850" s="580">
        <f t="shared" si="75"/>
        <v>0</v>
      </c>
      <c r="U850" s="51"/>
      <c r="V850" s="2119"/>
      <c r="W850" s="43"/>
      <c r="X850" s="43"/>
      <c r="Y850" s="43"/>
      <c r="Z850" s="43"/>
    </row>
    <row r="851" spans="1:26" ht="15.75" customHeight="1">
      <c r="A851" s="88">
        <v>9803</v>
      </c>
      <c r="B851" s="1033" t="s">
        <v>724</v>
      </c>
      <c r="C851" s="1038"/>
      <c r="D851" s="1038"/>
      <c r="E851" s="1038"/>
      <c r="F851" s="1038"/>
      <c r="G851" s="1038"/>
      <c r="H851" s="1038"/>
      <c r="I851" s="1038"/>
      <c r="J851" s="1038"/>
      <c r="K851" s="1038"/>
      <c r="L851" s="590"/>
      <c r="M851" s="51"/>
      <c r="N851" s="113">
        <f t="shared" si="74"/>
        <v>9803</v>
      </c>
      <c r="O851" s="575">
        <v>0</v>
      </c>
      <c r="P851" s="582">
        <v>0</v>
      </c>
      <c r="Q851" s="589">
        <v>0</v>
      </c>
      <c r="R851" s="576">
        <v>0</v>
      </c>
      <c r="S851" s="583">
        <f t="shared" si="76"/>
        <v>0</v>
      </c>
      <c r="T851" s="580">
        <f t="shared" si="75"/>
        <v>0</v>
      </c>
      <c r="U851" s="51"/>
      <c r="V851" s="2119"/>
      <c r="W851" s="43"/>
      <c r="X851" s="43"/>
      <c r="Y851" s="43"/>
      <c r="Z851" s="43"/>
    </row>
    <row r="852" spans="1:26" ht="15.75" customHeight="1">
      <c r="A852" s="88">
        <v>9804</v>
      </c>
      <c r="B852" s="1033" t="s">
        <v>87</v>
      </c>
      <c r="C852" s="1038"/>
      <c r="D852" s="1038"/>
      <c r="E852" s="1038"/>
      <c r="F852" s="1038"/>
      <c r="G852" s="1038"/>
      <c r="H852" s="1038"/>
      <c r="I852" s="1038"/>
      <c r="J852" s="1038"/>
      <c r="K852" s="1038"/>
      <c r="L852" s="590"/>
      <c r="M852" s="51"/>
      <c r="N852" s="113">
        <f t="shared" si="74"/>
        <v>9804</v>
      </c>
      <c r="O852" s="575">
        <v>0</v>
      </c>
      <c r="P852" s="582">
        <v>0</v>
      </c>
      <c r="Q852" s="589"/>
      <c r="R852" s="576"/>
      <c r="S852" s="583">
        <f t="shared" si="76"/>
        <v>0</v>
      </c>
      <c r="T852" s="580">
        <f t="shared" si="75"/>
        <v>0</v>
      </c>
      <c r="U852" s="51"/>
      <c r="V852" s="2119"/>
      <c r="W852" s="43"/>
      <c r="X852" s="43"/>
      <c r="Y852" s="43"/>
      <c r="Z852" s="43"/>
    </row>
    <row r="853" spans="1:26" ht="15.75" customHeight="1">
      <c r="A853" s="88">
        <v>9805</v>
      </c>
      <c r="B853" s="1033" t="s">
        <v>88</v>
      </c>
      <c r="C853" s="1038"/>
      <c r="D853" s="1038"/>
      <c r="E853" s="1038"/>
      <c r="F853" s="1038"/>
      <c r="G853" s="1038"/>
      <c r="H853" s="1038"/>
      <c r="I853" s="1038"/>
      <c r="J853" s="1038"/>
      <c r="K853" s="1038"/>
      <c r="L853" s="590"/>
      <c r="M853" s="51"/>
      <c r="N853" s="113">
        <f t="shared" si="74"/>
        <v>9805</v>
      </c>
      <c r="O853" s="575">
        <v>0</v>
      </c>
      <c r="P853" s="582">
        <v>0</v>
      </c>
      <c r="Q853" s="589"/>
      <c r="R853" s="576"/>
      <c r="S853" s="583">
        <f t="shared" si="76"/>
        <v>0</v>
      </c>
      <c r="T853" s="580">
        <f t="shared" si="75"/>
        <v>0</v>
      </c>
      <c r="U853" s="51"/>
      <c r="V853" s="2119"/>
      <c r="W853" s="43"/>
      <c r="X853" s="43"/>
      <c r="Y853" s="43"/>
      <c r="Z853" s="43"/>
    </row>
    <row r="854" spans="1:26" ht="15.75" customHeight="1">
      <c r="A854" s="88">
        <v>9806</v>
      </c>
      <c r="B854" s="1033" t="s">
        <v>89</v>
      </c>
      <c r="C854" s="1038"/>
      <c r="D854" s="1038"/>
      <c r="E854" s="1038"/>
      <c r="F854" s="1038"/>
      <c r="G854" s="1038"/>
      <c r="H854" s="1038"/>
      <c r="I854" s="1038"/>
      <c r="J854" s="1038"/>
      <c r="K854" s="1038"/>
      <c r="L854" s="590"/>
      <c r="M854" s="51"/>
      <c r="N854" s="113">
        <f t="shared" si="74"/>
        <v>9806</v>
      </c>
      <c r="O854" s="575">
        <v>0</v>
      </c>
      <c r="P854" s="582">
        <v>0</v>
      </c>
      <c r="Q854" s="589"/>
      <c r="R854" s="576"/>
      <c r="S854" s="583">
        <f t="shared" si="76"/>
        <v>0</v>
      </c>
      <c r="T854" s="580">
        <f t="shared" si="75"/>
        <v>0</v>
      </c>
      <c r="U854" s="51"/>
      <c r="V854" s="2119"/>
      <c r="W854" s="43"/>
      <c r="X854" s="43"/>
      <c r="Y854" s="43"/>
      <c r="Z854" s="43"/>
    </row>
    <row r="855" spans="1:26" ht="15.75" customHeight="1">
      <c r="A855" s="88">
        <v>9808</v>
      </c>
      <c r="B855" s="1033" t="s">
        <v>90</v>
      </c>
      <c r="C855" s="1038"/>
      <c r="D855" s="1038"/>
      <c r="E855" s="1038"/>
      <c r="F855" s="1038"/>
      <c r="G855" s="1038"/>
      <c r="H855" s="1038"/>
      <c r="I855" s="1038"/>
      <c r="J855" s="1038"/>
      <c r="K855" s="1038"/>
      <c r="L855" s="590"/>
      <c r="M855" s="51"/>
      <c r="N855" s="113">
        <f t="shared" si="74"/>
        <v>9808</v>
      </c>
      <c r="O855" s="575">
        <v>0</v>
      </c>
      <c r="P855" s="582">
        <v>0</v>
      </c>
      <c r="Q855" s="589">
        <v>0</v>
      </c>
      <c r="R855" s="576">
        <v>0</v>
      </c>
      <c r="S855" s="583">
        <f t="shared" si="76"/>
        <v>0</v>
      </c>
      <c r="T855" s="580">
        <f t="shared" si="75"/>
        <v>0</v>
      </c>
      <c r="U855" s="51"/>
      <c r="V855" s="2119"/>
      <c r="W855" s="43"/>
      <c r="X855" s="43"/>
      <c r="Y855" s="43"/>
      <c r="Z855" s="43"/>
    </row>
    <row r="856" spans="1:26" ht="15.75" customHeight="1">
      <c r="A856" s="88">
        <v>9809</v>
      </c>
      <c r="B856" s="1033" t="s">
        <v>91</v>
      </c>
      <c r="C856" s="1038"/>
      <c r="D856" s="1038"/>
      <c r="E856" s="1038"/>
      <c r="F856" s="1038"/>
      <c r="G856" s="1038"/>
      <c r="H856" s="1038"/>
      <c r="I856" s="1038"/>
      <c r="J856" s="1038"/>
      <c r="K856" s="1038"/>
      <c r="L856" s="590"/>
      <c r="M856" s="51"/>
      <c r="N856" s="113">
        <f t="shared" si="74"/>
        <v>9809</v>
      </c>
      <c r="O856" s="575">
        <v>0</v>
      </c>
      <c r="P856" s="582">
        <v>0</v>
      </c>
      <c r="Q856" s="589"/>
      <c r="R856" s="576"/>
      <c r="S856" s="583">
        <f t="shared" si="76"/>
        <v>0</v>
      </c>
      <c r="T856" s="580">
        <f t="shared" si="75"/>
        <v>0</v>
      </c>
      <c r="U856" s="51"/>
      <c r="V856" s="2119"/>
      <c r="W856" s="43"/>
      <c r="X856" s="43"/>
      <c r="Y856" s="43"/>
      <c r="Z856" s="43"/>
    </row>
    <row r="857" spans="1:26" ht="15.75" customHeight="1">
      <c r="A857" s="88">
        <v>9860</v>
      </c>
      <c r="B857" s="1033" t="s">
        <v>92</v>
      </c>
      <c r="C857" s="1038"/>
      <c r="D857" s="1038"/>
      <c r="E857" s="1038"/>
      <c r="F857" s="1038"/>
      <c r="G857" s="1038"/>
      <c r="H857" s="1038"/>
      <c r="I857" s="1038"/>
      <c r="J857" s="1038"/>
      <c r="K857" s="1038"/>
      <c r="L857" s="590"/>
      <c r="M857" s="51"/>
      <c r="N857" s="113">
        <f t="shared" si="74"/>
        <v>9860</v>
      </c>
      <c r="O857" s="575">
        <v>0</v>
      </c>
      <c r="P857" s="582">
        <v>0</v>
      </c>
      <c r="Q857" s="589">
        <v>0</v>
      </c>
      <c r="R857" s="576">
        <v>0</v>
      </c>
      <c r="S857" s="583">
        <f t="shared" si="76"/>
        <v>0</v>
      </c>
      <c r="T857" s="580">
        <f t="shared" si="75"/>
        <v>0</v>
      </c>
      <c r="U857" s="51"/>
      <c r="V857" s="2119"/>
      <c r="W857" s="43"/>
      <c r="X857" s="43"/>
      <c r="Y857" s="43"/>
      <c r="Z857" s="43"/>
    </row>
    <row r="858" spans="1:26">
      <c r="A858" s="88">
        <v>9909</v>
      </c>
      <c r="B858" s="1033" t="s">
        <v>93</v>
      </c>
      <c r="C858" s="1033"/>
      <c r="D858" s="1033"/>
      <c r="E858" s="1033"/>
      <c r="F858" s="1033"/>
      <c r="G858" s="1033"/>
      <c r="H858" s="1033"/>
      <c r="I858" s="1033"/>
      <c r="J858" s="1033"/>
      <c r="K858" s="1033"/>
      <c r="L858" s="90"/>
      <c r="M858" s="51"/>
      <c r="N858" s="113">
        <f t="shared" ref="N858:N887" si="77">+A858</f>
        <v>9909</v>
      </c>
      <c r="O858" s="581">
        <v>0</v>
      </c>
      <c r="P858" s="582">
        <v>0</v>
      </c>
      <c r="Q858" s="589">
        <v>0</v>
      </c>
      <c r="R858" s="576">
        <v>0</v>
      </c>
      <c r="S858" s="583">
        <f t="shared" si="76"/>
        <v>0</v>
      </c>
      <c r="T858" s="584">
        <v>0</v>
      </c>
      <c r="U858" s="51"/>
      <c r="V858" s="2120">
        <f t="shared" ref="V858:V867" si="78">+IF(OR(ROUND(P858,2)+ROUND(R858,2)&gt;+ROUND(O858,2)+ROUND(Q858,2),+ABS(ROUND(P858,2)+ROUND(R858,2))&gt;+ABS(ROUND(O858,2)+ROUND(Q858,2))),+(ROUND(P858,2)+ROUND(R858,2))-(ROUND(O858,2)+ROUND(Q858,2)),0)</f>
        <v>0</v>
      </c>
      <c r="W858" s="43"/>
      <c r="X858" s="43"/>
      <c r="Y858" s="43"/>
      <c r="Z858" s="43"/>
    </row>
    <row r="859" spans="1:26">
      <c r="A859" s="88">
        <v>9911</v>
      </c>
      <c r="B859" s="1033" t="s">
        <v>94</v>
      </c>
      <c r="C859" s="1033"/>
      <c r="D859" s="1033"/>
      <c r="E859" s="1033"/>
      <c r="F859" s="1033"/>
      <c r="G859" s="1033"/>
      <c r="H859" s="1033"/>
      <c r="I859" s="1033"/>
      <c r="J859" s="1033"/>
      <c r="K859" s="1033"/>
      <c r="L859" s="90"/>
      <c r="M859" s="51"/>
      <c r="N859" s="113">
        <f t="shared" si="77"/>
        <v>9911</v>
      </c>
      <c r="O859" s="581"/>
      <c r="P859" s="582">
        <v>0</v>
      </c>
      <c r="Q859" s="589"/>
      <c r="R859" s="576"/>
      <c r="S859" s="583">
        <f t="shared" si="76"/>
        <v>0</v>
      </c>
      <c r="T859" s="584">
        <v>0</v>
      </c>
      <c r="U859" s="51"/>
      <c r="V859" s="2120">
        <f t="shared" si="78"/>
        <v>0</v>
      </c>
      <c r="W859" s="43"/>
      <c r="X859" s="43"/>
      <c r="Y859" s="43"/>
      <c r="Z859" s="43"/>
    </row>
    <row r="860" spans="1:26">
      <c r="A860" s="88">
        <v>9912</v>
      </c>
      <c r="B860" s="1033" t="s">
        <v>95</v>
      </c>
      <c r="C860" s="1033"/>
      <c r="D860" s="1033"/>
      <c r="E860" s="1033"/>
      <c r="F860" s="1033"/>
      <c r="G860" s="1033"/>
      <c r="H860" s="1033"/>
      <c r="I860" s="1033"/>
      <c r="J860" s="1033"/>
      <c r="K860" s="1033"/>
      <c r="L860" s="90"/>
      <c r="M860" s="51"/>
      <c r="N860" s="113">
        <f t="shared" si="77"/>
        <v>9912</v>
      </c>
      <c r="O860" s="581"/>
      <c r="P860" s="582">
        <v>0</v>
      </c>
      <c r="Q860" s="589"/>
      <c r="R860" s="576"/>
      <c r="S860" s="583">
        <f t="shared" si="76"/>
        <v>0</v>
      </c>
      <c r="T860" s="584">
        <v>0</v>
      </c>
      <c r="U860" s="51"/>
      <c r="V860" s="2120">
        <f t="shared" si="78"/>
        <v>0</v>
      </c>
      <c r="W860" s="43"/>
      <c r="X860" s="43"/>
      <c r="Y860" s="43"/>
      <c r="Z860" s="43"/>
    </row>
    <row r="861" spans="1:26">
      <c r="A861" s="88">
        <v>9913</v>
      </c>
      <c r="B861" s="1033" t="s">
        <v>96</v>
      </c>
      <c r="C861" s="1033"/>
      <c r="D861" s="1033"/>
      <c r="E861" s="1033"/>
      <c r="F861" s="1033"/>
      <c r="G861" s="1033"/>
      <c r="H861" s="1033"/>
      <c r="I861" s="1033"/>
      <c r="J861" s="1033"/>
      <c r="K861" s="1033"/>
      <c r="L861" s="90"/>
      <c r="M861" s="51"/>
      <c r="N861" s="113">
        <f t="shared" si="77"/>
        <v>9913</v>
      </c>
      <c r="O861" s="581">
        <v>0</v>
      </c>
      <c r="P861" s="582">
        <v>0</v>
      </c>
      <c r="Q861" s="589">
        <v>0</v>
      </c>
      <c r="R861" s="576">
        <v>0</v>
      </c>
      <c r="S861" s="583">
        <f t="shared" si="76"/>
        <v>0</v>
      </c>
      <c r="T861" s="584">
        <v>0</v>
      </c>
      <c r="U861" s="51"/>
      <c r="V861" s="2120">
        <f t="shared" si="78"/>
        <v>0</v>
      </c>
      <c r="W861" s="43"/>
      <c r="X861" s="43"/>
      <c r="Y861" s="43"/>
      <c r="Z861" s="43"/>
    </row>
    <row r="862" spans="1:26">
      <c r="A862" s="88">
        <v>9914</v>
      </c>
      <c r="B862" s="1033" t="s">
        <v>97</v>
      </c>
      <c r="C862" s="1033"/>
      <c r="D862" s="1033"/>
      <c r="E862" s="1033"/>
      <c r="F862" s="1033"/>
      <c r="G862" s="1033"/>
      <c r="H862" s="1033"/>
      <c r="I862" s="1033"/>
      <c r="J862" s="1033"/>
      <c r="K862" s="1033"/>
      <c r="L862" s="90"/>
      <c r="M862" s="51"/>
      <c r="N862" s="113">
        <f t="shared" si="77"/>
        <v>9914</v>
      </c>
      <c r="O862" s="581"/>
      <c r="P862" s="582">
        <v>0</v>
      </c>
      <c r="Q862" s="589"/>
      <c r="R862" s="576"/>
      <c r="S862" s="583">
        <f t="shared" si="76"/>
        <v>0</v>
      </c>
      <c r="T862" s="584">
        <v>0</v>
      </c>
      <c r="U862" s="51"/>
      <c r="V862" s="2120">
        <f t="shared" si="78"/>
        <v>0</v>
      </c>
      <c r="W862" s="43"/>
      <c r="X862" s="43"/>
      <c r="Y862" s="43"/>
      <c r="Z862" s="43"/>
    </row>
    <row r="863" spans="1:26">
      <c r="A863" s="88">
        <v>9915</v>
      </c>
      <c r="B863" s="1033" t="s">
        <v>98</v>
      </c>
      <c r="C863" s="1033"/>
      <c r="D863" s="1033"/>
      <c r="E863" s="1033"/>
      <c r="F863" s="1033"/>
      <c r="G863" s="1033"/>
      <c r="H863" s="1033"/>
      <c r="I863" s="1033"/>
      <c r="J863" s="1033"/>
      <c r="K863" s="1033"/>
      <c r="L863" s="90"/>
      <c r="M863" s="51"/>
      <c r="N863" s="113">
        <f t="shared" si="77"/>
        <v>9915</v>
      </c>
      <c r="O863" s="581"/>
      <c r="P863" s="582">
        <v>0</v>
      </c>
      <c r="Q863" s="589"/>
      <c r="R863" s="576"/>
      <c r="S863" s="583">
        <f t="shared" si="76"/>
        <v>0</v>
      </c>
      <c r="T863" s="584">
        <v>0</v>
      </c>
      <c r="U863" s="51"/>
      <c r="V863" s="2120">
        <f t="shared" si="78"/>
        <v>0</v>
      </c>
      <c r="W863" s="43"/>
      <c r="X863" s="43"/>
      <c r="Y863" s="43"/>
      <c r="Z863" s="43"/>
    </row>
    <row r="864" spans="1:26">
      <c r="A864" s="88">
        <v>9916</v>
      </c>
      <c r="B864" s="1033" t="s">
        <v>99</v>
      </c>
      <c r="C864" s="1033"/>
      <c r="D864" s="1033"/>
      <c r="E864" s="1033"/>
      <c r="F864" s="1033"/>
      <c r="G864" s="1033"/>
      <c r="H864" s="1033"/>
      <c r="I864" s="1033"/>
      <c r="J864" s="1033"/>
      <c r="K864" s="1033"/>
      <c r="L864" s="574"/>
      <c r="M864" s="51"/>
      <c r="N864" s="113">
        <f t="shared" si="77"/>
        <v>9916</v>
      </c>
      <c r="O864" s="581"/>
      <c r="P864" s="582">
        <v>0</v>
      </c>
      <c r="Q864" s="589"/>
      <c r="R864" s="576"/>
      <c r="S864" s="583">
        <f t="shared" si="76"/>
        <v>0</v>
      </c>
      <c r="T864" s="584">
        <v>0</v>
      </c>
      <c r="U864" s="51"/>
      <c r="V864" s="2120">
        <f t="shared" si="78"/>
        <v>0</v>
      </c>
      <c r="W864" s="43"/>
      <c r="X864" s="43"/>
      <c r="Y864" s="43"/>
      <c r="Z864" s="43"/>
    </row>
    <row r="865" spans="1:26">
      <c r="A865" s="88">
        <v>9917</v>
      </c>
      <c r="B865" s="1033" t="s">
        <v>100</v>
      </c>
      <c r="C865" s="1033"/>
      <c r="D865" s="1033"/>
      <c r="E865" s="1033"/>
      <c r="F865" s="1033"/>
      <c r="G865" s="1033"/>
      <c r="H865" s="1033"/>
      <c r="I865" s="1033"/>
      <c r="J865" s="1033"/>
      <c r="K865" s="1033"/>
      <c r="L865" s="574"/>
      <c r="M865" s="51"/>
      <c r="N865" s="113">
        <f t="shared" si="77"/>
        <v>9917</v>
      </c>
      <c r="O865" s="581"/>
      <c r="P865" s="582">
        <v>0</v>
      </c>
      <c r="Q865" s="589"/>
      <c r="R865" s="576"/>
      <c r="S865" s="583">
        <f t="shared" si="76"/>
        <v>0</v>
      </c>
      <c r="T865" s="584">
        <v>0</v>
      </c>
      <c r="U865" s="51"/>
      <c r="V865" s="2120">
        <f t="shared" si="78"/>
        <v>0</v>
      </c>
      <c r="W865" s="43"/>
      <c r="X865" s="43"/>
      <c r="Y865" s="43"/>
      <c r="Z865" s="43"/>
    </row>
    <row r="866" spans="1:26">
      <c r="A866" s="88">
        <v>9918</v>
      </c>
      <c r="B866" s="1032" t="s">
        <v>101</v>
      </c>
      <c r="C866" s="1033"/>
      <c r="D866" s="1033"/>
      <c r="E866" s="1033"/>
      <c r="F866" s="1033"/>
      <c r="G866" s="1033"/>
      <c r="H866" s="1033"/>
      <c r="I866" s="1033"/>
      <c r="J866" s="1033"/>
      <c r="K866" s="1033"/>
      <c r="L866" s="90"/>
      <c r="M866" s="51"/>
      <c r="N866" s="113">
        <f t="shared" si="77"/>
        <v>9918</v>
      </c>
      <c r="O866" s="581"/>
      <c r="P866" s="582">
        <v>0</v>
      </c>
      <c r="Q866" s="589"/>
      <c r="R866" s="576"/>
      <c r="S866" s="583">
        <f t="shared" si="76"/>
        <v>0</v>
      </c>
      <c r="T866" s="584">
        <v>0</v>
      </c>
      <c r="U866" s="51"/>
      <c r="V866" s="2120">
        <f t="shared" si="78"/>
        <v>0</v>
      </c>
      <c r="W866" s="43"/>
      <c r="X866" s="43"/>
      <c r="Y866" s="43"/>
      <c r="Z866" s="43"/>
    </row>
    <row r="867" spans="1:26">
      <c r="A867" s="88">
        <v>9919</v>
      </c>
      <c r="B867" s="1032" t="s">
        <v>102</v>
      </c>
      <c r="C867" s="1033"/>
      <c r="D867" s="1033"/>
      <c r="E867" s="1033"/>
      <c r="F867" s="1033"/>
      <c r="G867" s="1033"/>
      <c r="H867" s="1033"/>
      <c r="I867" s="1033"/>
      <c r="J867" s="1033"/>
      <c r="K867" s="1033"/>
      <c r="L867" s="90"/>
      <c r="M867" s="51"/>
      <c r="N867" s="113">
        <f t="shared" si="77"/>
        <v>9919</v>
      </c>
      <c r="O867" s="581"/>
      <c r="P867" s="582">
        <v>0</v>
      </c>
      <c r="Q867" s="589"/>
      <c r="R867" s="576"/>
      <c r="S867" s="583">
        <f t="shared" si="76"/>
        <v>0</v>
      </c>
      <c r="T867" s="584">
        <v>0</v>
      </c>
      <c r="U867" s="51"/>
      <c r="V867" s="2120">
        <f t="shared" si="78"/>
        <v>0</v>
      </c>
      <c r="W867" s="43"/>
      <c r="X867" s="43"/>
      <c r="Y867" s="43"/>
      <c r="Z867" s="43"/>
    </row>
    <row r="868" spans="1:26">
      <c r="A868" s="88">
        <v>9921</v>
      </c>
      <c r="B868" s="1033" t="s">
        <v>103</v>
      </c>
      <c r="C868" s="1033"/>
      <c r="D868" s="1033"/>
      <c r="E868" s="1033"/>
      <c r="F868" s="1033"/>
      <c r="G868" s="1033"/>
      <c r="H868" s="1033"/>
      <c r="I868" s="1033"/>
      <c r="J868" s="1033"/>
      <c r="K868" s="1033"/>
      <c r="L868" s="90"/>
      <c r="M868" s="51"/>
      <c r="N868" s="113">
        <f t="shared" si="77"/>
        <v>9921</v>
      </c>
      <c r="O868" s="575">
        <v>0</v>
      </c>
      <c r="P868" s="576"/>
      <c r="Q868" s="589"/>
      <c r="R868" s="121"/>
      <c r="S868" s="579">
        <v>0</v>
      </c>
      <c r="T868" s="580">
        <f t="shared" ref="T868:T883" si="79">+IF(ABS(+O868+Q868)&lt;=ABS(P868+R868),-O868+P868-Q868+R868,0)</f>
        <v>0</v>
      </c>
      <c r="U868" s="51"/>
      <c r="V868" s="2119">
        <f t="shared" ref="V868:V875" si="80">+IF(OR(+ROUND(O868,2)+ROUND(Q868,2)&gt;ROUND(P868,2)+ROUND(R868,2),+ABS(ROUND(O868,2)+ROUND(Q868,2))&gt;+ABS(ROUND(P868,2)+ROUND(R868,2))),+(ROUND(O868,2)+ROUND(Q868,2))-(ROUND(P868,2)+ROUND(R868,2)),0)</f>
        <v>0</v>
      </c>
      <c r="W868" s="43"/>
      <c r="X868" s="43"/>
      <c r="Y868" s="43"/>
      <c r="Z868" s="43"/>
    </row>
    <row r="869" spans="1:26">
      <c r="A869" s="88">
        <v>9922</v>
      </c>
      <c r="B869" s="1033" t="s">
        <v>104</v>
      </c>
      <c r="C869" s="1033"/>
      <c r="D869" s="1033"/>
      <c r="E869" s="1033"/>
      <c r="F869" s="1033"/>
      <c r="G869" s="1033"/>
      <c r="H869" s="1033"/>
      <c r="I869" s="1033"/>
      <c r="J869" s="1033"/>
      <c r="K869" s="1033"/>
      <c r="L869" s="90"/>
      <c r="M869" s="51"/>
      <c r="N869" s="113">
        <f t="shared" si="77"/>
        <v>9922</v>
      </c>
      <c r="O869" s="575">
        <v>0</v>
      </c>
      <c r="P869" s="576"/>
      <c r="Q869" s="589"/>
      <c r="R869" s="121"/>
      <c r="S869" s="579">
        <v>0</v>
      </c>
      <c r="T869" s="580">
        <f t="shared" si="79"/>
        <v>0</v>
      </c>
      <c r="U869" s="51"/>
      <c r="V869" s="2119">
        <f t="shared" si="80"/>
        <v>0</v>
      </c>
      <c r="W869" s="43"/>
      <c r="X869" s="43"/>
      <c r="Y869" s="43"/>
      <c r="Z869" s="43"/>
    </row>
    <row r="870" spans="1:26">
      <c r="A870" s="88">
        <v>9923</v>
      </c>
      <c r="B870" s="1033" t="s">
        <v>105</v>
      </c>
      <c r="C870" s="1033"/>
      <c r="D870" s="1033"/>
      <c r="E870" s="1033"/>
      <c r="F870" s="1033"/>
      <c r="G870" s="1033"/>
      <c r="H870" s="1033"/>
      <c r="I870" s="1033"/>
      <c r="J870" s="1033"/>
      <c r="K870" s="1033"/>
      <c r="L870" s="90"/>
      <c r="M870" s="51"/>
      <c r="N870" s="113">
        <f t="shared" si="77"/>
        <v>9923</v>
      </c>
      <c r="O870" s="575">
        <v>0</v>
      </c>
      <c r="P870" s="576">
        <v>0</v>
      </c>
      <c r="Q870" s="589">
        <v>0</v>
      </c>
      <c r="R870" s="121">
        <v>0</v>
      </c>
      <c r="S870" s="579">
        <v>0</v>
      </c>
      <c r="T870" s="580">
        <f t="shared" si="79"/>
        <v>0</v>
      </c>
      <c r="U870" s="51"/>
      <c r="V870" s="2119">
        <f t="shared" si="80"/>
        <v>0</v>
      </c>
      <c r="W870" s="43"/>
      <c r="X870" s="43"/>
      <c r="Y870" s="43"/>
      <c r="Z870" s="43"/>
    </row>
    <row r="871" spans="1:26">
      <c r="A871" s="88">
        <v>9924</v>
      </c>
      <c r="B871" s="1033" t="s">
        <v>106</v>
      </c>
      <c r="C871" s="1033"/>
      <c r="D871" s="1033"/>
      <c r="E871" s="1033"/>
      <c r="F871" s="1033"/>
      <c r="G871" s="1033"/>
      <c r="H871" s="1033"/>
      <c r="I871" s="1033"/>
      <c r="J871" s="1033"/>
      <c r="K871" s="1033"/>
      <c r="L871" s="90"/>
      <c r="M871" s="51"/>
      <c r="N871" s="113">
        <f t="shared" si="77"/>
        <v>9924</v>
      </c>
      <c r="O871" s="575">
        <v>0</v>
      </c>
      <c r="P871" s="576">
        <v>0</v>
      </c>
      <c r="Q871" s="589">
        <v>0</v>
      </c>
      <c r="R871" s="121">
        <v>0</v>
      </c>
      <c r="S871" s="579">
        <v>0</v>
      </c>
      <c r="T871" s="580">
        <f t="shared" si="79"/>
        <v>0</v>
      </c>
      <c r="U871" s="51"/>
      <c r="V871" s="2119">
        <f t="shared" si="80"/>
        <v>0</v>
      </c>
      <c r="W871" s="43"/>
      <c r="X871" s="43"/>
      <c r="Y871" s="43"/>
      <c r="Z871" s="43"/>
    </row>
    <row r="872" spans="1:26">
      <c r="A872" s="88">
        <v>9925</v>
      </c>
      <c r="B872" s="1033" t="s">
        <v>107</v>
      </c>
      <c r="C872" s="1033"/>
      <c r="D872" s="1033"/>
      <c r="E872" s="1033"/>
      <c r="F872" s="1033"/>
      <c r="G872" s="1033"/>
      <c r="H872" s="1033"/>
      <c r="I872" s="1033"/>
      <c r="J872" s="1033"/>
      <c r="K872" s="1033"/>
      <c r="L872" s="90"/>
      <c r="M872" s="51"/>
      <c r="N872" s="113">
        <f t="shared" si="77"/>
        <v>9925</v>
      </c>
      <c r="O872" s="575">
        <v>0</v>
      </c>
      <c r="P872" s="576"/>
      <c r="Q872" s="589"/>
      <c r="R872" s="121"/>
      <c r="S872" s="579">
        <v>0</v>
      </c>
      <c r="T872" s="580">
        <f t="shared" si="79"/>
        <v>0</v>
      </c>
      <c r="U872" s="51"/>
      <c r="V872" s="2119">
        <f t="shared" si="80"/>
        <v>0</v>
      </c>
      <c r="W872" s="43"/>
      <c r="X872" s="43"/>
      <c r="Y872" s="43"/>
      <c r="Z872" s="43"/>
    </row>
    <row r="873" spans="1:26">
      <c r="A873" s="88">
        <v>9926</v>
      </c>
      <c r="B873" s="1033" t="s">
        <v>108</v>
      </c>
      <c r="C873" s="1039"/>
      <c r="D873" s="1039"/>
      <c r="E873" s="1039"/>
      <c r="F873" s="1039"/>
      <c r="G873" s="1039"/>
      <c r="H873" s="1039"/>
      <c r="I873" s="1039"/>
      <c r="J873" s="1039"/>
      <c r="K873" s="1039"/>
      <c r="L873" s="574"/>
      <c r="M873" s="51"/>
      <c r="N873" s="113">
        <f t="shared" si="77"/>
        <v>9926</v>
      </c>
      <c r="O873" s="575">
        <v>0</v>
      </c>
      <c r="P873" s="576"/>
      <c r="Q873" s="589"/>
      <c r="R873" s="121"/>
      <c r="S873" s="579">
        <v>0</v>
      </c>
      <c r="T873" s="580">
        <f t="shared" si="79"/>
        <v>0</v>
      </c>
      <c r="U873" s="51"/>
      <c r="V873" s="2119">
        <f t="shared" si="80"/>
        <v>0</v>
      </c>
      <c r="W873" s="43"/>
      <c r="X873" s="43"/>
      <c r="Y873" s="43"/>
      <c r="Z873" s="43"/>
    </row>
    <row r="874" spans="1:26">
      <c r="A874" s="88">
        <v>9928</v>
      </c>
      <c r="B874" s="1033" t="s">
        <v>109</v>
      </c>
      <c r="C874" s="1033"/>
      <c r="D874" s="1033"/>
      <c r="E874" s="1033"/>
      <c r="F874" s="1033"/>
      <c r="G874" s="1033"/>
      <c r="H874" s="1033"/>
      <c r="I874" s="1033"/>
      <c r="J874" s="1033"/>
      <c r="K874" s="1033"/>
      <c r="L874" s="90"/>
      <c r="M874" s="51"/>
      <c r="N874" s="113">
        <f t="shared" si="77"/>
        <v>9928</v>
      </c>
      <c r="O874" s="575">
        <v>0</v>
      </c>
      <c r="P874" s="576"/>
      <c r="Q874" s="589"/>
      <c r="R874" s="121"/>
      <c r="S874" s="579">
        <v>0</v>
      </c>
      <c r="T874" s="580">
        <f t="shared" si="79"/>
        <v>0</v>
      </c>
      <c r="U874" s="51"/>
      <c r="V874" s="2119">
        <f t="shared" si="80"/>
        <v>0</v>
      </c>
      <c r="W874" s="43"/>
      <c r="X874" s="43"/>
      <c r="Y874" s="43"/>
      <c r="Z874" s="43"/>
    </row>
    <row r="875" spans="1:26">
      <c r="A875" s="88">
        <v>9929</v>
      </c>
      <c r="B875" s="1033" t="s">
        <v>110</v>
      </c>
      <c r="C875" s="1033"/>
      <c r="D875" s="1033"/>
      <c r="E875" s="1033"/>
      <c r="F875" s="1033"/>
      <c r="G875" s="1033"/>
      <c r="H875" s="1033"/>
      <c r="I875" s="1033"/>
      <c r="J875" s="1033"/>
      <c r="K875" s="1033"/>
      <c r="L875" s="90"/>
      <c r="M875" s="51"/>
      <c r="N875" s="113">
        <f t="shared" si="77"/>
        <v>9929</v>
      </c>
      <c r="O875" s="575">
        <v>0</v>
      </c>
      <c r="P875" s="576"/>
      <c r="Q875" s="589"/>
      <c r="R875" s="121"/>
      <c r="S875" s="579">
        <v>0</v>
      </c>
      <c r="T875" s="580">
        <f t="shared" si="79"/>
        <v>0</v>
      </c>
      <c r="U875" s="51"/>
      <c r="V875" s="2119">
        <f t="shared" si="80"/>
        <v>0</v>
      </c>
      <c r="W875" s="43"/>
      <c r="X875" s="43"/>
      <c r="Y875" s="43"/>
      <c r="Z875" s="43"/>
    </row>
    <row r="876" spans="1:26" ht="15.75" customHeight="1">
      <c r="A876" s="88">
        <v>9940</v>
      </c>
      <c r="B876" s="1033" t="s">
        <v>111</v>
      </c>
      <c r="C876" s="1038"/>
      <c r="D876" s="1038"/>
      <c r="E876" s="1038"/>
      <c r="F876" s="1038"/>
      <c r="G876" s="1038"/>
      <c r="H876" s="1038"/>
      <c r="I876" s="1038"/>
      <c r="J876" s="1038"/>
      <c r="K876" s="1038"/>
      <c r="L876" s="590"/>
      <c r="M876" s="51"/>
      <c r="N876" s="113">
        <f t="shared" si="77"/>
        <v>9940</v>
      </c>
      <c r="O876" s="575">
        <v>0</v>
      </c>
      <c r="P876" s="582">
        <v>0</v>
      </c>
      <c r="Q876" s="589"/>
      <c r="R876" s="576"/>
      <c r="S876" s="583">
        <f t="shared" ref="S876:S884" si="81">+IF(ABS(+O876+Q876)&gt;=ABS(P876+R876),+O876-P876+Q876-R876,0)</f>
        <v>0</v>
      </c>
      <c r="T876" s="580">
        <f t="shared" si="79"/>
        <v>0</v>
      </c>
      <c r="U876" s="51"/>
      <c r="V876" s="2119"/>
      <c r="W876" s="43"/>
      <c r="X876" s="43"/>
      <c r="Y876" s="43"/>
      <c r="Z876" s="43"/>
    </row>
    <row r="877" spans="1:26" ht="15.75" customHeight="1">
      <c r="A877" s="88">
        <v>9941</v>
      </c>
      <c r="B877" s="1033" t="s">
        <v>112</v>
      </c>
      <c r="C877" s="1038"/>
      <c r="D877" s="1038"/>
      <c r="E877" s="1038"/>
      <c r="F877" s="1038"/>
      <c r="G877" s="1038"/>
      <c r="H877" s="1038"/>
      <c r="I877" s="1038"/>
      <c r="J877" s="1038"/>
      <c r="K877" s="1038"/>
      <c r="L877" s="590"/>
      <c r="M877" s="51"/>
      <c r="N877" s="113">
        <f t="shared" si="77"/>
        <v>9941</v>
      </c>
      <c r="O877" s="575">
        <v>0</v>
      </c>
      <c r="P877" s="582">
        <v>0</v>
      </c>
      <c r="Q877" s="589"/>
      <c r="R877" s="576"/>
      <c r="S877" s="583">
        <f t="shared" si="81"/>
        <v>0</v>
      </c>
      <c r="T877" s="580">
        <f t="shared" si="79"/>
        <v>0</v>
      </c>
      <c r="U877" s="51"/>
      <c r="V877" s="2119"/>
      <c r="W877" s="43"/>
      <c r="X877" s="43"/>
      <c r="Y877" s="43"/>
      <c r="Z877" s="43"/>
    </row>
    <row r="878" spans="1:26" ht="15.75" customHeight="1">
      <c r="A878" s="88">
        <v>9944</v>
      </c>
      <c r="B878" s="1033" t="s">
        <v>113</v>
      </c>
      <c r="C878" s="1038"/>
      <c r="D878" s="1038"/>
      <c r="E878" s="1038"/>
      <c r="F878" s="1038"/>
      <c r="G878" s="1038"/>
      <c r="H878" s="1038"/>
      <c r="I878" s="1038"/>
      <c r="J878" s="1038"/>
      <c r="K878" s="1038"/>
      <c r="L878" s="590"/>
      <c r="M878" s="51"/>
      <c r="N878" s="113">
        <f t="shared" si="77"/>
        <v>9944</v>
      </c>
      <c r="O878" s="575">
        <v>0</v>
      </c>
      <c r="P878" s="582">
        <v>0</v>
      </c>
      <c r="Q878" s="589"/>
      <c r="R878" s="576"/>
      <c r="S878" s="583">
        <f t="shared" si="81"/>
        <v>0</v>
      </c>
      <c r="T878" s="580">
        <f t="shared" si="79"/>
        <v>0</v>
      </c>
      <c r="U878" s="51"/>
      <c r="V878" s="2119"/>
      <c r="W878" s="43"/>
      <c r="X878" s="43"/>
      <c r="Y878" s="43"/>
      <c r="Z878" s="43"/>
    </row>
    <row r="879" spans="1:26" ht="15.75" customHeight="1">
      <c r="A879" s="88">
        <v>9945</v>
      </c>
      <c r="B879" s="1033" t="s">
        <v>114</v>
      </c>
      <c r="C879" s="1038"/>
      <c r="D879" s="1038"/>
      <c r="E879" s="1038"/>
      <c r="F879" s="1038"/>
      <c r="G879" s="1038"/>
      <c r="H879" s="1038"/>
      <c r="I879" s="1038"/>
      <c r="J879" s="1038"/>
      <c r="K879" s="1038"/>
      <c r="L879" s="590"/>
      <c r="M879" s="51"/>
      <c r="N879" s="113">
        <f t="shared" si="77"/>
        <v>9945</v>
      </c>
      <c r="O879" s="575">
        <v>0</v>
      </c>
      <c r="P879" s="582">
        <v>0</v>
      </c>
      <c r="Q879" s="589"/>
      <c r="R879" s="576"/>
      <c r="S879" s="583">
        <f t="shared" si="81"/>
        <v>0</v>
      </c>
      <c r="T879" s="580">
        <f t="shared" si="79"/>
        <v>0</v>
      </c>
      <c r="U879" s="51"/>
      <c r="V879" s="2119"/>
      <c r="W879" s="43"/>
      <c r="X879" s="43"/>
      <c r="Y879" s="43"/>
      <c r="Z879" s="43"/>
    </row>
    <row r="880" spans="1:26" ht="15.75" customHeight="1">
      <c r="A880" s="88">
        <v>9946</v>
      </c>
      <c r="B880" s="1033" t="s">
        <v>115</v>
      </c>
      <c r="C880" s="1038"/>
      <c r="D880" s="1038"/>
      <c r="E880" s="1038"/>
      <c r="F880" s="1038"/>
      <c r="G880" s="1038"/>
      <c r="H880" s="1038"/>
      <c r="I880" s="1038"/>
      <c r="J880" s="1038"/>
      <c r="K880" s="1038"/>
      <c r="L880" s="590"/>
      <c r="M880" s="51"/>
      <c r="N880" s="113">
        <f t="shared" si="77"/>
        <v>9946</v>
      </c>
      <c r="O880" s="575">
        <v>0</v>
      </c>
      <c r="P880" s="582">
        <v>0</v>
      </c>
      <c r="Q880" s="589"/>
      <c r="R880" s="576"/>
      <c r="S880" s="583">
        <f t="shared" si="81"/>
        <v>0</v>
      </c>
      <c r="T880" s="580">
        <f t="shared" si="79"/>
        <v>0</v>
      </c>
      <c r="U880" s="51"/>
      <c r="V880" s="2119"/>
      <c r="W880" s="43"/>
      <c r="X880" s="43"/>
      <c r="Y880" s="43"/>
      <c r="Z880" s="43"/>
    </row>
    <row r="881" spans="1:26" ht="15.75" customHeight="1">
      <c r="A881" s="88">
        <v>9947</v>
      </c>
      <c r="B881" s="1033" t="s">
        <v>116</v>
      </c>
      <c r="C881" s="1038"/>
      <c r="D881" s="1038"/>
      <c r="E881" s="1038"/>
      <c r="F881" s="1038"/>
      <c r="G881" s="1038"/>
      <c r="H881" s="1038"/>
      <c r="I881" s="1038"/>
      <c r="J881" s="1038"/>
      <c r="K881" s="1038"/>
      <c r="L881" s="590"/>
      <c r="M881" s="51"/>
      <c r="N881" s="113">
        <f t="shared" si="77"/>
        <v>9947</v>
      </c>
      <c r="O881" s="575">
        <v>0</v>
      </c>
      <c r="P881" s="582">
        <v>0</v>
      </c>
      <c r="Q881" s="589"/>
      <c r="R881" s="576"/>
      <c r="S881" s="583">
        <f t="shared" si="81"/>
        <v>0</v>
      </c>
      <c r="T881" s="580">
        <f t="shared" si="79"/>
        <v>0</v>
      </c>
      <c r="U881" s="51"/>
      <c r="V881" s="2119"/>
      <c r="W881" s="43"/>
      <c r="X881" s="43"/>
      <c r="Y881" s="43"/>
      <c r="Z881" s="43"/>
    </row>
    <row r="882" spans="1:26" ht="15.75" customHeight="1">
      <c r="A882" s="88">
        <v>9948</v>
      </c>
      <c r="B882" s="1033" t="s">
        <v>117</v>
      </c>
      <c r="C882" s="1038"/>
      <c r="D882" s="1038"/>
      <c r="E882" s="1038"/>
      <c r="F882" s="1038"/>
      <c r="G882" s="1038"/>
      <c r="H882" s="1038"/>
      <c r="I882" s="1038"/>
      <c r="J882" s="1038"/>
      <c r="K882" s="1038"/>
      <c r="L882" s="590"/>
      <c r="M882" s="51"/>
      <c r="N882" s="113">
        <f t="shared" si="77"/>
        <v>9948</v>
      </c>
      <c r="O882" s="575">
        <v>0</v>
      </c>
      <c r="P882" s="582">
        <v>0</v>
      </c>
      <c r="Q882" s="589"/>
      <c r="R882" s="576"/>
      <c r="S882" s="583">
        <f t="shared" si="81"/>
        <v>0</v>
      </c>
      <c r="T882" s="580">
        <f t="shared" si="79"/>
        <v>0</v>
      </c>
      <c r="U882" s="51"/>
      <c r="V882" s="2119"/>
      <c r="W882" s="43"/>
      <c r="X882" s="43"/>
      <c r="Y882" s="43"/>
      <c r="Z882" s="43"/>
    </row>
    <row r="883" spans="1:26" ht="15.75" customHeight="1">
      <c r="A883" s="88">
        <v>9949</v>
      </c>
      <c r="B883" s="1033" t="s">
        <v>118</v>
      </c>
      <c r="C883" s="1038"/>
      <c r="D883" s="1038"/>
      <c r="E883" s="1038"/>
      <c r="F883" s="1038"/>
      <c r="G883" s="1038"/>
      <c r="H883" s="1038"/>
      <c r="I883" s="1038"/>
      <c r="J883" s="1038"/>
      <c r="K883" s="1038"/>
      <c r="L883" s="590"/>
      <c r="M883" s="51"/>
      <c r="N883" s="113">
        <f t="shared" si="77"/>
        <v>9949</v>
      </c>
      <c r="O883" s="575">
        <v>0</v>
      </c>
      <c r="P883" s="582">
        <v>0</v>
      </c>
      <c r="Q883" s="589"/>
      <c r="R883" s="576"/>
      <c r="S883" s="583">
        <f t="shared" si="81"/>
        <v>0</v>
      </c>
      <c r="T883" s="580">
        <f t="shared" si="79"/>
        <v>0</v>
      </c>
      <c r="U883" s="51"/>
      <c r="V883" s="2119"/>
      <c r="W883" s="43"/>
      <c r="X883" s="43"/>
      <c r="Y883" s="43"/>
      <c r="Z883" s="43"/>
    </row>
    <row r="884" spans="1:26">
      <c r="A884" s="88">
        <v>9978</v>
      </c>
      <c r="B884" s="1033" t="s">
        <v>119</v>
      </c>
      <c r="C884" s="1033"/>
      <c r="D884" s="1033"/>
      <c r="E884" s="1033"/>
      <c r="F884" s="1033"/>
      <c r="G884" s="1033"/>
      <c r="H884" s="1033"/>
      <c r="I884" s="1033"/>
      <c r="J884" s="1033"/>
      <c r="K884" s="1033"/>
      <c r="L884" s="90"/>
      <c r="M884" s="51"/>
      <c r="N884" s="113">
        <f t="shared" si="77"/>
        <v>9978</v>
      </c>
      <c r="O884" s="581">
        <v>0</v>
      </c>
      <c r="P884" s="582">
        <v>0</v>
      </c>
      <c r="Q884" s="589">
        <v>0</v>
      </c>
      <c r="R884" s="576">
        <v>0</v>
      </c>
      <c r="S884" s="583">
        <f t="shared" si="81"/>
        <v>0</v>
      </c>
      <c r="T884" s="584">
        <v>0</v>
      </c>
      <c r="U884" s="51"/>
      <c r="V884" s="2120">
        <f>+IF(OR(ROUND(P884,2)+ROUND(R884,2)&gt;+ROUND(O884,2)+ROUND(Q884,2),+ABS(ROUND(P884,2)+ROUND(R884,2))&gt;+ABS(ROUND(O884,2)+ROUND(Q884,2))),+(ROUND(P884,2)+ROUND(R884,2))-(ROUND(O884,2)+ROUND(Q884,2)),0)</f>
        <v>0</v>
      </c>
      <c r="W884" s="43"/>
      <c r="X884" s="43"/>
      <c r="Y884" s="43"/>
      <c r="Z884" s="43"/>
    </row>
    <row r="885" spans="1:26">
      <c r="A885" s="88">
        <v>9979</v>
      </c>
      <c r="B885" s="1033" t="s">
        <v>120</v>
      </c>
      <c r="C885" s="1033"/>
      <c r="D885" s="1033"/>
      <c r="E885" s="1033"/>
      <c r="F885" s="1033"/>
      <c r="G885" s="1033"/>
      <c r="H885" s="1033"/>
      <c r="I885" s="1033"/>
      <c r="J885" s="1033"/>
      <c r="K885" s="1033"/>
      <c r="L885" s="90"/>
      <c r="M885" s="51"/>
      <c r="N885" s="113">
        <f t="shared" si="77"/>
        <v>9979</v>
      </c>
      <c r="O885" s="575">
        <v>0</v>
      </c>
      <c r="P885" s="576">
        <v>0</v>
      </c>
      <c r="Q885" s="589">
        <v>0</v>
      </c>
      <c r="R885" s="121">
        <v>0</v>
      </c>
      <c r="S885" s="579">
        <v>0</v>
      </c>
      <c r="T885" s="580">
        <f>+IF(ABS(+O885+Q885)&lt;=ABS(P885+R885),-O885+P885-Q885+R885,0)</f>
        <v>0</v>
      </c>
      <c r="U885" s="51"/>
      <c r="V885" s="2119">
        <f>+IF(OR(+ROUND(O885,2)+ROUND(Q885,2)&gt;ROUND(P885,2)+ROUND(R885,2),+ABS(ROUND(O885,2)+ROUND(Q885,2))&gt;+ABS(ROUND(P885,2)+ROUND(R885,2))),+(ROUND(O885,2)+ROUND(Q885,2))-(ROUND(P885,2)+ROUND(R885,2)),0)</f>
        <v>0</v>
      </c>
      <c r="W885" s="43"/>
      <c r="X885" s="43"/>
      <c r="Y885" s="43"/>
      <c r="Z885" s="43"/>
    </row>
    <row r="886" spans="1:26">
      <c r="A886" s="88">
        <v>9981</v>
      </c>
      <c r="B886" s="1032" t="s">
        <v>121</v>
      </c>
      <c r="C886" s="1033"/>
      <c r="D886" s="1033"/>
      <c r="E886" s="1033"/>
      <c r="F886" s="1033"/>
      <c r="G886" s="1033"/>
      <c r="H886" s="1033"/>
      <c r="I886" s="1033"/>
      <c r="J886" s="1033"/>
      <c r="K886" s="1033"/>
      <c r="L886" s="90"/>
      <c r="M886" s="51"/>
      <c r="N886" s="113">
        <f t="shared" si="77"/>
        <v>9981</v>
      </c>
      <c r="O886" s="575">
        <v>0</v>
      </c>
      <c r="P886" s="576">
        <v>0</v>
      </c>
      <c r="Q886" s="589">
        <v>0</v>
      </c>
      <c r="R886" s="121">
        <v>0</v>
      </c>
      <c r="S886" s="579">
        <v>0</v>
      </c>
      <c r="T886" s="580">
        <f>+IF(ABS(+O886+Q886)&lt;=ABS(P886+R886),-O886+P886-Q886+R886,0)</f>
        <v>0</v>
      </c>
      <c r="U886" s="51"/>
      <c r="V886" s="2119">
        <f>+IF(OR(+ROUND(O886,2)+ROUND(Q886,2)&gt;ROUND(P886,2)+ROUND(R886,2),+ABS(ROUND(O886,2)+ROUND(Q886,2))&gt;+ABS(ROUND(P886,2)+ROUND(R886,2))),+(ROUND(O886,2)+ROUND(Q886,2))-(ROUND(P886,2)+ROUND(R886,2)),0)</f>
        <v>0</v>
      </c>
      <c r="W886" s="43"/>
      <c r="X886" s="43"/>
      <c r="Y886" s="43"/>
      <c r="Z886" s="43"/>
    </row>
    <row r="887" spans="1:26" ht="16.5" thickBot="1">
      <c r="A887" s="1052">
        <v>9989</v>
      </c>
      <c r="B887" s="1031" t="s">
        <v>122</v>
      </c>
      <c r="C887" s="101"/>
      <c r="D887" s="101"/>
      <c r="E887" s="101"/>
      <c r="F887" s="101"/>
      <c r="G887" s="101"/>
      <c r="H887" s="101"/>
      <c r="I887" s="101"/>
      <c r="J887" s="101"/>
      <c r="K887" s="101"/>
      <c r="L887" s="102"/>
      <c r="M887" s="51"/>
      <c r="N887" s="116">
        <f t="shared" si="77"/>
        <v>9989</v>
      </c>
      <c r="O887" s="838">
        <v>0</v>
      </c>
      <c r="P887" s="839">
        <v>0</v>
      </c>
      <c r="Q887" s="598">
        <v>0</v>
      </c>
      <c r="R887" s="597">
        <v>0</v>
      </c>
      <c r="S887" s="56">
        <f>+IF(ABS(+O887+Q887)&gt;=ABS(P887+R887),+O887-P887+Q887-R887,0)</f>
        <v>0</v>
      </c>
      <c r="T887" s="60">
        <v>0</v>
      </c>
      <c r="U887" s="51"/>
      <c r="V887" s="2119"/>
      <c r="W887" s="43"/>
      <c r="X887" s="43"/>
      <c r="Y887" s="43"/>
      <c r="Z887" s="43"/>
    </row>
    <row r="888" spans="1:26" ht="16.5" thickBot="1">
      <c r="A888" s="103" t="s">
        <v>593</v>
      </c>
      <c r="B888" s="104"/>
      <c r="C888" s="104"/>
      <c r="D888" s="104"/>
      <c r="E888" s="104"/>
      <c r="F888" s="104"/>
      <c r="G888" s="104"/>
      <c r="H888" s="104"/>
      <c r="I888" s="2635" t="str">
        <f>+I831</f>
        <v>D E S</v>
      </c>
      <c r="J888" s="2635"/>
      <c r="K888" s="2635"/>
      <c r="L888" s="105"/>
      <c r="M888" s="51"/>
      <c r="N888" s="117">
        <v>9</v>
      </c>
      <c r="O888" s="858">
        <f t="shared" ref="O888:T888" si="82">+ROUND(SUM(O831:O887),2)</f>
        <v>0</v>
      </c>
      <c r="P888" s="860">
        <f t="shared" si="82"/>
        <v>0</v>
      </c>
      <c r="Q888" s="859">
        <f t="shared" si="82"/>
        <v>0</v>
      </c>
      <c r="R888" s="860">
        <f t="shared" si="82"/>
        <v>0</v>
      </c>
      <c r="S888" s="861">
        <f t="shared" si="82"/>
        <v>0</v>
      </c>
      <c r="T888" s="862">
        <f t="shared" si="82"/>
        <v>0</v>
      </c>
      <c r="U888" s="51"/>
      <c r="V888" s="2119"/>
      <c r="W888" s="43"/>
      <c r="X888" s="43"/>
      <c r="Y888" s="43"/>
      <c r="Z888" s="43"/>
    </row>
    <row r="889" spans="1:26" ht="12" customHeight="1" thickBot="1">
      <c r="A889" s="106"/>
      <c r="B889" s="49"/>
      <c r="C889" s="49"/>
      <c r="D889" s="49"/>
      <c r="E889" s="49"/>
      <c r="F889" s="49"/>
      <c r="G889" s="49"/>
      <c r="H889" s="49"/>
      <c r="I889" s="49"/>
      <c r="J889" s="49"/>
      <c r="K889" s="49"/>
      <c r="L889" s="49"/>
      <c r="M889" s="51"/>
      <c r="N889" s="118"/>
      <c r="O889" s="38"/>
      <c r="P889" s="38"/>
      <c r="Q889" s="38"/>
      <c r="R889" s="38"/>
      <c r="S889" s="38"/>
      <c r="T889" s="38"/>
      <c r="U889" s="51"/>
      <c r="V889" s="2119"/>
      <c r="W889" s="43"/>
      <c r="X889" s="43"/>
      <c r="Y889" s="43"/>
      <c r="Z889" s="43"/>
    </row>
    <row r="890" spans="1:26" ht="16.5" thickBot="1">
      <c r="A890" s="285" t="s">
        <v>594</v>
      </c>
      <c r="B890" s="286"/>
      <c r="C890" s="286"/>
      <c r="D890" s="286"/>
      <c r="E890" s="286"/>
      <c r="F890" s="286"/>
      <c r="G890" s="286"/>
      <c r="H890" s="286"/>
      <c r="I890" s="2632" t="str">
        <f>+I888</f>
        <v>D E S</v>
      </c>
      <c r="J890" s="2632"/>
      <c r="K890" s="2632"/>
      <c r="L890" s="287"/>
      <c r="M890" s="51"/>
      <c r="N890" s="288" t="s">
        <v>665</v>
      </c>
      <c r="O890" s="863">
        <f t="shared" ref="O890:T890" si="83">+ROUND(+O829+O888,2)</f>
        <v>0</v>
      </c>
      <c r="P890" s="864">
        <f t="shared" si="83"/>
        <v>0</v>
      </c>
      <c r="Q890" s="865">
        <f t="shared" si="83"/>
        <v>0</v>
      </c>
      <c r="R890" s="864">
        <f t="shared" si="83"/>
        <v>0</v>
      </c>
      <c r="S890" s="865">
        <f t="shared" si="83"/>
        <v>0</v>
      </c>
      <c r="T890" s="866">
        <f t="shared" si="83"/>
        <v>0</v>
      </c>
      <c r="U890" s="51"/>
      <c r="V890" s="2119"/>
      <c r="W890" s="43"/>
      <c r="X890" s="43"/>
      <c r="Y890" s="43"/>
      <c r="Z890" s="43"/>
    </row>
    <row r="891" spans="1:26" ht="17.25" thickTop="1" thickBot="1">
      <c r="A891" s="43"/>
      <c r="B891" s="43"/>
      <c r="C891" s="43"/>
      <c r="D891" s="43"/>
      <c r="E891" s="43"/>
      <c r="F891" s="43"/>
      <c r="G891" s="43"/>
      <c r="H891" s="43"/>
      <c r="I891" s="43"/>
      <c r="J891" s="43"/>
      <c r="K891" s="43"/>
      <c r="L891" s="43"/>
      <c r="M891" s="44"/>
      <c r="N891" s="119"/>
      <c r="O891" s="38"/>
      <c r="P891" s="38"/>
      <c r="Q891" s="38"/>
      <c r="R891" s="38"/>
      <c r="S891" s="38"/>
      <c r="T891" s="38"/>
      <c r="U891" s="44"/>
      <c r="V891" s="2119"/>
      <c r="W891" s="43"/>
      <c r="X891" s="43"/>
      <c r="Y891" s="43"/>
      <c r="Z891" s="43"/>
    </row>
    <row r="892" spans="1:26" ht="16.5" thickBot="1">
      <c r="A892" s="97" t="s">
        <v>597</v>
      </c>
      <c r="B892" s="98"/>
      <c r="C892" s="98"/>
      <c r="D892" s="98"/>
      <c r="E892" s="98"/>
      <c r="F892" s="98"/>
      <c r="G892" s="98"/>
      <c r="H892" s="98"/>
      <c r="I892" s="98"/>
      <c r="J892" s="98"/>
      <c r="K892" s="98"/>
      <c r="L892" s="99"/>
      <c r="M892" s="51"/>
      <c r="N892" s="129" t="s">
        <v>666</v>
      </c>
      <c r="O892" s="58" t="s">
        <v>595</v>
      </c>
      <c r="P892" s="78">
        <f>+ROUND(+O829-P829,2)</f>
        <v>0</v>
      </c>
      <c r="Q892" s="62" t="s">
        <v>596</v>
      </c>
      <c r="R892" s="61">
        <f>+ROUND(+Q829-R829,2)</f>
        <v>0</v>
      </c>
      <c r="S892" s="63" t="s">
        <v>187</v>
      </c>
      <c r="T892" s="59">
        <f>+ROUND(+S829-T829,2)</f>
        <v>0</v>
      </c>
      <c r="U892" s="51"/>
      <c r="V892" s="2119"/>
      <c r="W892" s="43"/>
      <c r="X892" s="43"/>
      <c r="Y892" s="43"/>
      <c r="Z892" s="43"/>
    </row>
    <row r="893" spans="1:26" ht="7.5" customHeight="1" thickBot="1">
      <c r="A893" s="43"/>
      <c r="B893" s="43"/>
      <c r="C893" s="43"/>
      <c r="D893" s="43"/>
      <c r="E893" s="43"/>
      <c r="F893" s="43"/>
      <c r="G893" s="43"/>
      <c r="H893" s="43"/>
      <c r="I893" s="43"/>
      <c r="J893" s="43"/>
      <c r="K893" s="43"/>
      <c r="L893" s="43"/>
      <c r="M893" s="44"/>
      <c r="N893" s="119"/>
      <c r="O893" s="38"/>
      <c r="P893" s="38"/>
      <c r="Q893" s="38"/>
      <c r="R893" s="38"/>
      <c r="S893" s="38"/>
      <c r="T893" s="38"/>
      <c r="U893" s="44"/>
      <c r="V893" s="2119"/>
      <c r="W893" s="43"/>
      <c r="X893" s="43"/>
      <c r="Y893" s="43"/>
      <c r="Z893" s="43"/>
    </row>
    <row r="894" spans="1:26" ht="16.5" thickBot="1">
      <c r="A894" s="97" t="s">
        <v>186</v>
      </c>
      <c r="B894" s="98"/>
      <c r="C894" s="98"/>
      <c r="D894" s="98"/>
      <c r="E894" s="98"/>
      <c r="F894" s="98"/>
      <c r="G894" s="98"/>
      <c r="H894" s="98"/>
      <c r="I894" s="98"/>
      <c r="J894" s="98"/>
      <c r="K894" s="98"/>
      <c r="L894" s="99"/>
      <c r="M894" s="51"/>
      <c r="N894" s="130">
        <v>9</v>
      </c>
      <c r="O894" s="58" t="s">
        <v>595</v>
      </c>
      <c r="P894" s="61">
        <f>+ROUND(+O888-P888,2)</f>
        <v>0</v>
      </c>
      <c r="Q894" s="62" t="s">
        <v>596</v>
      </c>
      <c r="R894" s="61">
        <f>+ROUND(+Q888-R888,2)</f>
        <v>0</v>
      </c>
      <c r="S894" s="63" t="s">
        <v>187</v>
      </c>
      <c r="T894" s="59">
        <f>+ROUND(+S888-T888,2)</f>
        <v>0</v>
      </c>
      <c r="U894" s="51"/>
      <c r="V894" s="2119"/>
      <c r="W894" s="43"/>
      <c r="X894" s="43"/>
      <c r="Y894" s="43"/>
      <c r="Z894" s="43"/>
    </row>
    <row r="895" spans="1:26" ht="7.5" customHeight="1" thickBot="1">
      <c r="A895" s="43"/>
      <c r="B895" s="43"/>
      <c r="C895" s="43"/>
      <c r="D895" s="43"/>
      <c r="E895" s="43"/>
      <c r="F895" s="43"/>
      <c r="G895" s="43"/>
      <c r="H895" s="43"/>
      <c r="I895" s="43"/>
      <c r="J895" s="43"/>
      <c r="K895" s="43"/>
      <c r="L895" s="43"/>
      <c r="M895" s="44"/>
      <c r="N895" s="119"/>
      <c r="O895" s="38"/>
      <c r="P895" s="38"/>
      <c r="Q895" s="38"/>
      <c r="R895" s="38"/>
      <c r="S895" s="38"/>
      <c r="T895" s="38"/>
      <c r="U895" s="44"/>
      <c r="V895" s="2119"/>
      <c r="W895" s="43"/>
      <c r="X895" s="43"/>
      <c r="Y895" s="43"/>
      <c r="Z895" s="43"/>
    </row>
    <row r="896" spans="1:26" ht="16.5" thickBot="1">
      <c r="A896" s="107" t="s">
        <v>377</v>
      </c>
      <c r="B896" s="108"/>
      <c r="C896" s="108"/>
      <c r="D896" s="108"/>
      <c r="E896" s="108"/>
      <c r="F896" s="108"/>
      <c r="G896" s="108"/>
      <c r="H896" s="108"/>
      <c r="I896" s="108"/>
      <c r="J896" s="108"/>
      <c r="K896" s="108"/>
      <c r="L896" s="109"/>
      <c r="M896" s="51"/>
      <c r="N896" s="131" t="s">
        <v>665</v>
      </c>
      <c r="O896" s="67" t="s">
        <v>595</v>
      </c>
      <c r="P896" s="65">
        <f>+ROUND(+O890-P890,2)</f>
        <v>0</v>
      </c>
      <c r="Q896" s="64" t="s">
        <v>596</v>
      </c>
      <c r="R896" s="65">
        <f>+ROUND(+Q890-R890,2)</f>
        <v>0</v>
      </c>
      <c r="S896" s="64" t="s">
        <v>187</v>
      </c>
      <c r="T896" s="66">
        <f>+ROUND(+S890-T890,2)</f>
        <v>0</v>
      </c>
      <c r="U896" s="51"/>
      <c r="V896" s="2119"/>
      <c r="W896" s="43"/>
      <c r="X896" s="43"/>
      <c r="Y896" s="43"/>
      <c r="Z896" s="43"/>
    </row>
    <row r="897" spans="1:26" s="1399" customFormat="1" ht="17.25" thickTop="1" thickBot="1">
      <c r="A897" s="258"/>
      <c r="B897" s="258"/>
      <c r="C897" s="258"/>
      <c r="D897" s="258"/>
      <c r="E897" s="258"/>
      <c r="F897" s="258"/>
      <c r="G897" s="258"/>
      <c r="H897" s="258"/>
      <c r="I897" s="258"/>
      <c r="J897" s="258"/>
      <c r="K897" s="258"/>
      <c r="L897" s="258"/>
      <c r="M897" s="259"/>
      <c r="N897" s="260"/>
      <c r="O897" s="261"/>
      <c r="P897" s="261"/>
      <c r="Q897" s="261"/>
      <c r="R897" s="261"/>
      <c r="S897" s="261"/>
      <c r="T897" s="261"/>
      <c r="U897" s="259"/>
      <c r="V897" s="2119"/>
      <c r="W897" s="258"/>
      <c r="X897" s="258"/>
      <c r="Y897" s="258"/>
      <c r="Z897" s="258"/>
    </row>
    <row r="898" spans="1:26" s="1399" customFormat="1">
      <c r="A898" s="258"/>
      <c r="B898" s="262"/>
      <c r="C898" s="258"/>
      <c r="D898" s="267" t="s">
        <v>590</v>
      </c>
      <c r="E898" s="268"/>
      <c r="F898" s="268"/>
      <c r="G898" s="268"/>
      <c r="H898" s="268"/>
      <c r="I898" s="268"/>
      <c r="J898" s="268"/>
      <c r="K898" s="268"/>
      <c r="L898" s="269"/>
      <c r="M898" s="51"/>
      <c r="N898" s="260"/>
      <c r="O898" s="434" t="s">
        <v>696</v>
      </c>
      <c r="P898" s="274">
        <f>+IF((+SUM(O348:O350)+SUM(O354:O356)+O357+O359+SUM(O368:O369)+SUM(O372:O374)+O376+SUM(O351:O353)+SUM(O370:O371)+SUM(O375))&gt;0,+(+SUM(O348:O350)+SUM(O354:O356)+O357+O359+SUM(O368:O369)+SUM(O372:O374)+SUM(O376))/(+SUM(O348:O350)+SUM(O354:O356)+SUM(O357:O359)+SUM(O368:O369)+SUM(O372:O374)+SUM(O376)+SUM(O351:O353)+SUM(O370:O371)+O375),0)</f>
        <v>0</v>
      </c>
      <c r="Q898" s="263">
        <v>0</v>
      </c>
      <c r="R898" s="264">
        <v>0</v>
      </c>
      <c r="S898" s="436" t="s">
        <v>698</v>
      </c>
      <c r="T898" s="275">
        <f>+IF((+SUM(S348:S350)+SUM(S354:S356)+S357+S359+SUM(S368:S369)+SUM(S372:S374)+S376+SUM(S351:S353)+SUM(S370:S371)+SUM(S375))&gt;0,+(+SUM(S348:S350)+SUM(S354:S356)+S357+S359+SUM(S368:S369)+SUM(S372:S374)+SUM(S376))/(+SUM(S348:S350)+SUM(S354:S356)+SUM(S357:S359)+SUM(S368:S369)+SUM(S372:S374)+SUM(S376)+SUM(S351:S353)+SUM(S370:S371)+S375),0)</f>
        <v>0</v>
      </c>
      <c r="U898" s="51"/>
      <c r="V898" s="2119"/>
      <c r="W898" s="258"/>
      <c r="X898" s="258"/>
      <c r="Y898" s="258"/>
      <c r="Z898" s="258"/>
    </row>
    <row r="899" spans="1:26" s="1399" customFormat="1" ht="16.5" thickBot="1">
      <c r="A899" s="258"/>
      <c r="B899" s="262"/>
      <c r="C899" s="258"/>
      <c r="D899" s="270" t="s">
        <v>591</v>
      </c>
      <c r="E899" s="271"/>
      <c r="F899" s="271"/>
      <c r="G899" s="271"/>
      <c r="H899" s="271"/>
      <c r="I899" s="271"/>
      <c r="J899" s="271"/>
      <c r="K899" s="271"/>
      <c r="L899" s="272"/>
      <c r="M899" s="51"/>
      <c r="N899" s="260"/>
      <c r="O899" s="435" t="s">
        <v>697</v>
      </c>
      <c r="P899" s="273">
        <f>+IF((+SUM(O348:O350)+SUM(O354:O356)+O358+SUM(O368:O369)+SUM(O372:O374)+O376+SUM(O351:O353)+SUM(O370:O371)+SUM(O375))&gt;0,1-P898,0)</f>
        <v>0</v>
      </c>
      <c r="Q899" s="265">
        <v>0</v>
      </c>
      <c r="R899" s="266">
        <v>0</v>
      </c>
      <c r="S899" s="437" t="s">
        <v>699</v>
      </c>
      <c r="T899" s="276">
        <f>+IF((+SUM(S348:S350)+SUM(S354:S356)+S358+SUM(S368:S369)+SUM(S372:S374)+S376+SUM(S351:S353)+SUM(S370:S371)+SUM(S375))&gt;0,1-T898,0)</f>
        <v>0</v>
      </c>
      <c r="U899" s="51"/>
      <c r="V899" s="2119"/>
      <c r="W899" s="258"/>
      <c r="X899" s="258"/>
      <c r="Y899" s="258"/>
      <c r="Z899" s="258"/>
    </row>
    <row r="900" spans="1:26" s="1399" customFormat="1" ht="16.5" thickBot="1">
      <c r="A900" s="258"/>
      <c r="B900" s="258"/>
      <c r="C900" s="258"/>
      <c r="D900" s="258"/>
      <c r="E900" s="258"/>
      <c r="F900" s="258"/>
      <c r="G900" s="258"/>
      <c r="H900" s="258"/>
      <c r="I900" s="258"/>
      <c r="J900" s="258"/>
      <c r="K900" s="258"/>
      <c r="L900" s="258"/>
      <c r="M900" s="259"/>
      <c r="N900" s="260"/>
      <c r="O900" s="261"/>
      <c r="P900" s="261"/>
      <c r="Q900" s="261"/>
      <c r="R900" s="261"/>
      <c r="S900" s="261"/>
      <c r="T900" s="261"/>
      <c r="U900" s="259"/>
      <c r="V900" s="2119"/>
      <c r="W900" s="258"/>
      <c r="X900" s="258"/>
      <c r="Y900" s="258"/>
      <c r="Z900" s="258"/>
    </row>
    <row r="901" spans="1:26" s="1399" customFormat="1">
      <c r="A901" s="258"/>
      <c r="B901" s="262"/>
      <c r="C901" s="258"/>
      <c r="D901" s="267" t="s">
        <v>518</v>
      </c>
      <c r="E901" s="268"/>
      <c r="F901" s="268"/>
      <c r="G901" s="268"/>
      <c r="H901" s="268"/>
      <c r="I901" s="268"/>
      <c r="J901" s="268"/>
      <c r="K901" s="268"/>
      <c r="L901" s="269"/>
      <c r="M901" s="51"/>
      <c r="N901" s="260"/>
      <c r="O901" s="434" t="s">
        <v>701</v>
      </c>
      <c r="P901" s="274">
        <f>+IF((+P19+P20)&gt;0,(+P19)/(+P19+P20),0)</f>
        <v>0</v>
      </c>
      <c r="Q901" s="263">
        <v>0</v>
      </c>
      <c r="R901" s="264">
        <v>0</v>
      </c>
      <c r="S901" s="436" t="s">
        <v>703</v>
      </c>
      <c r="T901" s="275">
        <f>+IF((+T19+T20)&gt;0,(+T19)/(+T19+T20),0)</f>
        <v>0</v>
      </c>
      <c r="U901" s="51"/>
      <c r="V901" s="2119"/>
      <c r="W901" s="258"/>
      <c r="X901" s="258"/>
      <c r="Y901" s="258"/>
      <c r="Z901" s="258"/>
    </row>
    <row r="902" spans="1:26" s="1399" customFormat="1" ht="16.5" thickBot="1">
      <c r="A902" s="258"/>
      <c r="B902" s="262"/>
      <c r="C902" s="258"/>
      <c r="D902" s="270" t="s">
        <v>519</v>
      </c>
      <c r="E902" s="271"/>
      <c r="F902" s="271"/>
      <c r="G902" s="271"/>
      <c r="H902" s="271"/>
      <c r="I902" s="271"/>
      <c r="J902" s="271"/>
      <c r="K902" s="271"/>
      <c r="L902" s="272"/>
      <c r="M902" s="51"/>
      <c r="N902" s="260"/>
      <c r="O902" s="435" t="s">
        <v>700</v>
      </c>
      <c r="P902" s="273">
        <f>+IF((+P19+P20)&gt;0,1-P901,0)</f>
        <v>0</v>
      </c>
      <c r="Q902" s="265">
        <v>0</v>
      </c>
      <c r="R902" s="266">
        <v>0</v>
      </c>
      <c r="S902" s="437" t="s">
        <v>702</v>
      </c>
      <c r="T902" s="276">
        <f>+IF((+T19+T20)&gt;0,1-T901,0)</f>
        <v>0</v>
      </c>
      <c r="U902" s="51"/>
      <c r="V902" s="2119"/>
      <c r="W902" s="258"/>
      <c r="X902" s="258"/>
      <c r="Y902" s="258"/>
      <c r="Z902" s="258"/>
    </row>
    <row r="903" spans="1:26" s="1399" customFormat="1" ht="16.5" thickBot="1">
      <c r="A903" s="258"/>
      <c r="B903" s="258"/>
      <c r="C903" s="258"/>
      <c r="D903" s="258"/>
      <c r="E903" s="258"/>
      <c r="F903" s="258"/>
      <c r="G903" s="258"/>
      <c r="H903" s="258"/>
      <c r="I903" s="258"/>
      <c r="J903" s="258"/>
      <c r="K903" s="258"/>
      <c r="L903" s="258"/>
      <c r="M903" s="259"/>
      <c r="N903" s="260"/>
      <c r="O903" s="561"/>
      <c r="P903" s="261"/>
      <c r="Q903" s="261"/>
      <c r="R903" s="261"/>
      <c r="S903" s="261"/>
      <c r="T903" s="261"/>
      <c r="U903" s="259"/>
      <c r="V903" s="2119"/>
      <c r="W903" s="258"/>
      <c r="X903" s="258"/>
      <c r="Y903" s="258"/>
      <c r="Z903" s="258"/>
    </row>
    <row r="904" spans="1:26" s="1399" customFormat="1">
      <c r="A904" s="258"/>
      <c r="B904" s="262"/>
      <c r="C904" s="258"/>
      <c r="D904" s="267" t="s">
        <v>175</v>
      </c>
      <c r="E904" s="268"/>
      <c r="F904" s="268"/>
      <c r="G904" s="268"/>
      <c r="H904" s="268"/>
      <c r="I904" s="268"/>
      <c r="J904" s="268"/>
      <c r="K904" s="268"/>
      <c r="L904" s="269"/>
      <c r="M904" s="51"/>
      <c r="N904" s="260"/>
      <c r="O904" s="434" t="s">
        <v>705</v>
      </c>
      <c r="P904" s="274">
        <f>+IF((+P50+P51+P52+P53)&gt;0,(+P50+P51)/(+P50+P51+P52+P53),0)</f>
        <v>0</v>
      </c>
      <c r="Q904" s="263">
        <v>0</v>
      </c>
      <c r="R904" s="264">
        <v>0</v>
      </c>
      <c r="S904" s="436" t="s">
        <v>706</v>
      </c>
      <c r="T904" s="275">
        <f>+IF((+T50+T51+T52+T53)&gt;0,(+T50+T51)/(+T50+T51+T52+T53),0)</f>
        <v>0</v>
      </c>
      <c r="U904" s="51"/>
      <c r="V904" s="2119"/>
      <c r="W904" s="258"/>
      <c r="X904" s="258"/>
      <c r="Y904" s="258"/>
      <c r="Z904" s="258"/>
    </row>
    <row r="905" spans="1:26" s="1399" customFormat="1" ht="16.5" thickBot="1">
      <c r="A905" s="258"/>
      <c r="B905" s="262"/>
      <c r="C905" s="258"/>
      <c r="D905" s="270" t="s">
        <v>176</v>
      </c>
      <c r="E905" s="271"/>
      <c r="F905" s="271"/>
      <c r="G905" s="271"/>
      <c r="H905" s="271"/>
      <c r="I905" s="271"/>
      <c r="J905" s="271"/>
      <c r="K905" s="271"/>
      <c r="L905" s="272"/>
      <c r="M905" s="51"/>
      <c r="N905" s="260"/>
      <c r="O905" s="435" t="s">
        <v>704</v>
      </c>
      <c r="P905" s="273">
        <f>+IF((+P50+P51+P52+P53)&gt;0,1-P904,0)</f>
        <v>0</v>
      </c>
      <c r="Q905" s="265">
        <v>0</v>
      </c>
      <c r="R905" s="266">
        <v>0</v>
      </c>
      <c r="S905" s="437" t="s">
        <v>707</v>
      </c>
      <c r="T905" s="276">
        <f>+IF((+T50+T51+T52+T53)&gt;0,1-T904,0)</f>
        <v>0</v>
      </c>
      <c r="U905" s="51"/>
      <c r="V905" s="2119"/>
      <c r="W905" s="258"/>
      <c r="X905" s="258"/>
      <c r="Y905" s="258"/>
      <c r="Z905" s="258"/>
    </row>
    <row r="906" spans="1:26" s="1399" customFormat="1" ht="16.5" thickBot="1">
      <c r="A906" s="258"/>
      <c r="B906" s="258"/>
      <c r="C906" s="258"/>
      <c r="D906" s="258"/>
      <c r="E906" s="258"/>
      <c r="F906" s="258"/>
      <c r="G906" s="258"/>
      <c r="H906" s="258"/>
      <c r="I906" s="258"/>
      <c r="J906" s="258"/>
      <c r="K906" s="258"/>
      <c r="L906" s="258"/>
      <c r="M906" s="259"/>
      <c r="N906" s="260"/>
      <c r="O906" s="561"/>
      <c r="P906" s="261"/>
      <c r="Q906" s="261"/>
      <c r="R906" s="261"/>
      <c r="S906" s="261"/>
      <c r="T906" s="261"/>
      <c r="U906" s="259"/>
      <c r="V906" s="2119"/>
      <c r="W906" s="258"/>
      <c r="X906" s="258"/>
      <c r="Y906" s="258"/>
      <c r="Z906" s="258"/>
    </row>
    <row r="907" spans="1:26" s="1399" customFormat="1">
      <c r="A907" s="258"/>
      <c r="B907" s="262"/>
      <c r="C907" s="258"/>
      <c r="D907" s="267" t="s">
        <v>177</v>
      </c>
      <c r="E907" s="268"/>
      <c r="F907" s="268"/>
      <c r="G907" s="268"/>
      <c r="H907" s="268"/>
      <c r="I907" s="268"/>
      <c r="J907" s="268"/>
      <c r="K907" s="268"/>
      <c r="L907" s="269"/>
      <c r="M907" s="51"/>
      <c r="N907" s="260"/>
      <c r="O907" s="434" t="s">
        <v>179</v>
      </c>
      <c r="P907" s="274">
        <f>+IF((+P56+P57+P58+P59)&gt;0,(+P56+P57)/(+P56+P57+P58+P59),0)</f>
        <v>0</v>
      </c>
      <c r="Q907" s="263">
        <v>0</v>
      </c>
      <c r="R907" s="264">
        <v>0</v>
      </c>
      <c r="S907" s="434" t="s">
        <v>181</v>
      </c>
      <c r="T907" s="275">
        <f>+IF((+T56+T57+T58+T59)&gt;0,(+T56+T57)/(+T56+T57+T58+T59),0)</f>
        <v>0</v>
      </c>
      <c r="U907" s="51"/>
      <c r="V907" s="2119"/>
      <c r="W907" s="258"/>
      <c r="X907" s="258"/>
      <c r="Y907" s="258"/>
      <c r="Z907" s="258"/>
    </row>
    <row r="908" spans="1:26" s="1399" customFormat="1" ht="16.5" thickBot="1">
      <c r="A908" s="258"/>
      <c r="B908" s="262"/>
      <c r="C908" s="258"/>
      <c r="D908" s="270" t="s">
        <v>178</v>
      </c>
      <c r="E908" s="271"/>
      <c r="F908" s="271"/>
      <c r="G908" s="271"/>
      <c r="H908" s="271"/>
      <c r="I908" s="271"/>
      <c r="J908" s="271"/>
      <c r="K908" s="271"/>
      <c r="L908" s="272"/>
      <c r="M908" s="51"/>
      <c r="N908" s="260"/>
      <c r="O908" s="562" t="s">
        <v>180</v>
      </c>
      <c r="P908" s="273">
        <f>+IF((+P56+P57+P58+P59)&gt;0,1-P907,0)</f>
        <v>0</v>
      </c>
      <c r="Q908" s="265">
        <v>0</v>
      </c>
      <c r="R908" s="266">
        <v>0</v>
      </c>
      <c r="S908" s="562" t="s">
        <v>182</v>
      </c>
      <c r="T908" s="276">
        <f>+IF((+T56+T57+T58+T59)&gt;0,1-T907,0)</f>
        <v>0</v>
      </c>
      <c r="U908" s="51"/>
      <c r="V908" s="2119"/>
      <c r="W908" s="258"/>
      <c r="X908" s="258"/>
      <c r="Y908" s="258"/>
      <c r="Z908" s="258"/>
    </row>
    <row r="909" spans="1:26" s="1399" customFormat="1" ht="16.5" thickBot="1">
      <c r="A909" s="258"/>
      <c r="B909" s="258"/>
      <c r="C909" s="258"/>
      <c r="D909" s="258"/>
      <c r="E909" s="258"/>
      <c r="F909" s="258"/>
      <c r="G909" s="258"/>
      <c r="H909" s="258"/>
      <c r="I909" s="258"/>
      <c r="J909" s="258"/>
      <c r="K909" s="258"/>
      <c r="L909" s="258"/>
      <c r="M909" s="259"/>
      <c r="N909" s="260"/>
      <c r="O909" s="561"/>
      <c r="P909" s="261"/>
      <c r="Q909" s="261"/>
      <c r="R909" s="261"/>
      <c r="S909" s="261"/>
      <c r="T909" s="261"/>
      <c r="U909" s="259"/>
      <c r="V909" s="2119"/>
      <c r="W909" s="258"/>
      <c r="X909" s="258"/>
      <c r="Y909" s="258"/>
      <c r="Z909" s="258"/>
    </row>
    <row r="910" spans="1:26" s="1399" customFormat="1">
      <c r="A910" s="258"/>
      <c r="B910" s="262"/>
      <c r="C910" s="258"/>
      <c r="D910" s="267" t="s">
        <v>199</v>
      </c>
      <c r="E910" s="268"/>
      <c r="F910" s="268"/>
      <c r="G910" s="268"/>
      <c r="H910" s="268"/>
      <c r="I910" s="268"/>
      <c r="J910" s="268"/>
      <c r="K910" s="268"/>
      <c r="L910" s="269"/>
      <c r="M910" s="51"/>
      <c r="N910" s="260"/>
      <c r="O910" s="563" t="s">
        <v>146</v>
      </c>
      <c r="P910" s="463">
        <f>+'DES-TRIAL-BAL-2020'!O149+'DES-TRIAL-BAL-2020'!O154+'DES-TRIAL-BAL-2020'!O155+'DES-TRIAL-BAL-2020'!O229+'DES-TRIAL-BAL-2020'!O230+'DES-TRIAL-BAL-2020'!O231+'DES-TRIAL-BAL-2020'!O249+'DES-TRIAL-BAL-2020'!O250++'DES-TRIAL-BAL-2020'!O306+'DES-TRIAL-BAL-2020'!O307+'DES-TRIAL-BAL-2020'!O308+SUM('DES-TRIAL-BAL-2020'!O331:O335)+'DES-TRIAL-BAL-2020'!O346+'DES-TRIAL-BAL-2020'!O347+SUM('DES-TRIAL-BAL-2020'!O360:'DES-TRIAL-BAL-2020'!O363)+SUM('DES-TRIAL-BAL-2020'!O377:'DES-TRIAL-BAL-2020'!O379)</f>
        <v>0</v>
      </c>
      <c r="Q910" s="263">
        <v>0</v>
      </c>
      <c r="R910" s="264">
        <v>0</v>
      </c>
      <c r="S910" s="563" t="s">
        <v>148</v>
      </c>
      <c r="T910" s="465">
        <f>+'DES-TRIAL-BAL-2020'!S149+'DES-TRIAL-BAL-2020'!S154+'DES-TRIAL-BAL-2020'!S155+'DES-TRIAL-BAL-2020'!S229+'DES-TRIAL-BAL-2020'!S230+'DES-TRIAL-BAL-2020'!S231+'DES-TRIAL-BAL-2020'!S249+'DES-TRIAL-BAL-2020'!S250++'DES-TRIAL-BAL-2020'!S306+'DES-TRIAL-BAL-2020'!S307+'DES-TRIAL-BAL-2020'!S308+SUM('DES-TRIAL-BAL-2020'!S331:S335)+'DES-TRIAL-BAL-2020'!S346+'DES-TRIAL-BAL-2020'!S347+SUM('DES-TRIAL-BAL-2020'!S360:'DES-TRIAL-BAL-2020'!S363)+SUM('DES-TRIAL-BAL-2020'!S377:'DES-TRIAL-BAL-2020'!S379)</f>
        <v>0</v>
      </c>
      <c r="U910" s="51"/>
      <c r="V910" s="2119"/>
      <c r="W910" s="258"/>
      <c r="X910" s="258"/>
      <c r="Y910" s="258"/>
      <c r="Z910" s="258"/>
    </row>
    <row r="911" spans="1:26" s="1399" customFormat="1" ht="16.5" thickBot="1">
      <c r="A911" s="258"/>
      <c r="B911" s="262"/>
      <c r="C911" s="258"/>
      <c r="D911" s="270" t="s">
        <v>198</v>
      </c>
      <c r="E911" s="271"/>
      <c r="F911" s="271"/>
      <c r="G911" s="271"/>
      <c r="H911" s="271"/>
      <c r="I911" s="271"/>
      <c r="J911" s="271"/>
      <c r="K911" s="271"/>
      <c r="L911" s="272"/>
      <c r="M911" s="51"/>
      <c r="N911" s="260"/>
      <c r="O911" s="562" t="s">
        <v>147</v>
      </c>
      <c r="P911" s="464">
        <f>+P22-O23+SUM('DES-TRIAL-BAL-2020'!P41:P45)+SUM(P48:P49)+P65+P69+P151+P232+P233+P234+P251+P252</f>
        <v>0</v>
      </c>
      <c r="Q911" s="265">
        <v>0</v>
      </c>
      <c r="R911" s="266">
        <v>0</v>
      </c>
      <c r="S911" s="562" t="s">
        <v>149</v>
      </c>
      <c r="T911" s="466">
        <f>+T22-S23+SUM('DES-TRIAL-BAL-2020'!T41:T45)+SUM(T48:T49)+T65+T69+T151+T232+T233+T234+T251+T252</f>
        <v>0</v>
      </c>
      <c r="U911" s="51"/>
      <c r="V911" s="2119"/>
      <c r="W911" s="258"/>
      <c r="X911" s="258"/>
      <c r="Y911" s="258"/>
      <c r="Z911" s="258"/>
    </row>
    <row r="912" spans="1:26">
      <c r="A912" s="43"/>
      <c r="B912" s="43"/>
      <c r="C912" s="43"/>
      <c r="D912" s="43"/>
      <c r="E912" s="43"/>
      <c r="F912" s="43"/>
      <c r="G912" s="43"/>
      <c r="H912" s="43"/>
      <c r="I912" s="43"/>
      <c r="J912" s="43"/>
      <c r="K912" s="43"/>
      <c r="L912" s="43"/>
      <c r="M912" s="44"/>
      <c r="N912" s="119"/>
      <c r="O912" s="38"/>
      <c r="P912" s="38"/>
      <c r="Q912" s="38"/>
      <c r="R912" s="38"/>
      <c r="S912" s="38"/>
      <c r="T912" s="38"/>
      <c r="U912" s="44"/>
      <c r="V912" s="2119"/>
      <c r="W912" s="43"/>
      <c r="X912" s="43"/>
      <c r="Y912" s="43"/>
      <c r="Z912" s="43"/>
    </row>
    <row r="913" spans="1:26">
      <c r="A913" s="43"/>
      <c r="B913" s="43"/>
      <c r="C913" s="43"/>
      <c r="D913" s="43"/>
      <c r="E913" s="43"/>
      <c r="F913" s="43"/>
      <c r="G913" s="43"/>
      <c r="H913" s="43"/>
      <c r="I913" s="43"/>
      <c r="J913" s="43"/>
      <c r="K913" s="43"/>
      <c r="L913" s="43"/>
      <c r="M913" s="44"/>
      <c r="N913" s="119"/>
      <c r="O913" s="38"/>
      <c r="P913" s="38"/>
      <c r="Q913" s="38"/>
      <c r="R913" s="38"/>
      <c r="S913" s="38"/>
      <c r="T913" s="38"/>
      <c r="U913" s="44"/>
      <c r="V913" s="2119"/>
      <c r="W913" s="43"/>
      <c r="X913" s="43"/>
      <c r="Y913" s="43"/>
      <c r="Z913" s="43"/>
    </row>
    <row r="914" spans="1:26">
      <c r="A914" s="43"/>
      <c r="B914" s="43"/>
      <c r="C914" s="43"/>
      <c r="D914" s="43"/>
      <c r="E914" s="43"/>
      <c r="F914" s="43"/>
      <c r="G914" s="43"/>
      <c r="H914" s="43"/>
      <c r="I914" s="43"/>
      <c r="J914" s="43"/>
      <c r="K914" s="43"/>
      <c r="L914" s="43"/>
      <c r="M914" s="44"/>
      <c r="N914" s="119"/>
      <c r="O914" s="38"/>
      <c r="P914" s="38"/>
      <c r="Q914" s="38"/>
      <c r="R914" s="38"/>
      <c r="S914" s="38"/>
      <c r="T914" s="38"/>
      <c r="U914" s="44"/>
      <c r="V914" s="2119"/>
      <c r="W914" s="43"/>
      <c r="X914" s="43"/>
      <c r="Y914" s="43"/>
      <c r="Z914" s="43"/>
    </row>
    <row r="915" spans="1:26">
      <c r="A915" s="43"/>
      <c r="B915" s="43"/>
      <c r="C915" s="43"/>
      <c r="D915" s="43"/>
      <c r="E915" s="43"/>
      <c r="F915" s="43"/>
      <c r="G915" s="43"/>
      <c r="H915" s="43"/>
      <c r="I915" s="43"/>
      <c r="J915" s="43"/>
      <c r="K915" s="43"/>
      <c r="L915" s="43"/>
      <c r="M915" s="44"/>
      <c r="N915" s="119"/>
      <c r="O915" s="38"/>
      <c r="P915" s="38"/>
      <c r="Q915" s="38"/>
      <c r="R915" s="38"/>
      <c r="S915" s="38"/>
      <c r="T915" s="38"/>
      <c r="U915" s="44"/>
      <c r="V915" s="2119"/>
      <c r="W915" s="43"/>
      <c r="X915" s="43"/>
      <c r="Y915" s="43"/>
      <c r="Z915" s="43"/>
    </row>
    <row r="916" spans="1:26">
      <c r="A916" s="43"/>
      <c r="B916" s="43"/>
      <c r="C916" s="43"/>
      <c r="D916" s="43"/>
      <c r="E916" s="43"/>
      <c r="F916" s="43"/>
      <c r="G916" s="43"/>
      <c r="H916" s="43"/>
      <c r="I916" s="43"/>
      <c r="J916" s="43"/>
      <c r="K916" s="43"/>
      <c r="L916" s="43"/>
      <c r="M916" s="44"/>
      <c r="N916" s="119"/>
      <c r="O916" s="38"/>
      <c r="P916" s="38"/>
      <c r="Q916" s="38"/>
      <c r="R916" s="38"/>
      <c r="S916" s="38"/>
      <c r="T916" s="38"/>
      <c r="U916" s="44"/>
      <c r="V916" s="2119"/>
      <c r="W916" s="43"/>
      <c r="X916" s="43"/>
      <c r="Y916" s="43"/>
      <c r="Z916" s="43"/>
    </row>
    <row r="917" spans="1:26">
      <c r="A917" s="43"/>
      <c r="B917" s="43"/>
      <c r="C917" s="43"/>
      <c r="D917" s="43"/>
      <c r="E917" s="43"/>
      <c r="F917" s="43"/>
      <c r="G917" s="43"/>
      <c r="H917" s="43"/>
      <c r="I917" s="43"/>
      <c r="J917" s="43"/>
      <c r="K917" s="43"/>
      <c r="L917" s="43"/>
      <c r="M917" s="44"/>
      <c r="N917" s="119"/>
      <c r="O917" s="38"/>
      <c r="P917" s="38"/>
      <c r="Q917" s="38"/>
      <c r="R917" s="38"/>
      <c r="S917" s="38"/>
      <c r="T917" s="38"/>
      <c r="U917" s="44"/>
      <c r="V917" s="2119"/>
      <c r="W917" s="43"/>
      <c r="X917" s="43"/>
      <c r="Y917" s="43"/>
      <c r="Z917" s="43"/>
    </row>
    <row r="918" spans="1:26">
      <c r="A918" s="43"/>
      <c r="B918" s="43"/>
      <c r="C918" s="43"/>
      <c r="D918" s="43"/>
      <c r="E918" s="43"/>
      <c r="F918" s="43"/>
      <c r="G918" s="43"/>
      <c r="H918" s="43"/>
      <c r="I918" s="43"/>
      <c r="J918" s="43"/>
      <c r="K918" s="43"/>
      <c r="L918" s="43"/>
      <c r="M918" s="44"/>
      <c r="N918" s="119"/>
      <c r="O918" s="38"/>
      <c r="P918" s="38"/>
      <c r="Q918" s="38"/>
      <c r="R918" s="38"/>
      <c r="S918" s="38"/>
      <c r="T918" s="38"/>
      <c r="U918" s="44"/>
      <c r="V918" s="2119"/>
      <c r="W918" s="43"/>
      <c r="X918" s="43"/>
      <c r="Y918" s="43"/>
      <c r="Z918" s="43"/>
    </row>
    <row r="919" spans="1:26">
      <c r="A919" s="43"/>
      <c r="B919" s="43"/>
      <c r="C919" s="43"/>
      <c r="D919" s="43"/>
      <c r="E919" s="43"/>
      <c r="F919" s="43"/>
      <c r="G919" s="43"/>
      <c r="H919" s="43"/>
      <c r="I919" s="43"/>
      <c r="J919" s="43"/>
      <c r="K919" s="43"/>
      <c r="L919" s="43"/>
      <c r="M919" s="44"/>
      <c r="N919" s="119"/>
      <c r="O919" s="38"/>
      <c r="P919" s="38"/>
      <c r="Q919" s="38"/>
      <c r="R919" s="38"/>
      <c r="S919" s="38"/>
      <c r="T919" s="38"/>
      <c r="U919" s="44"/>
      <c r="V919" s="2119"/>
      <c r="W919" s="43"/>
      <c r="X919" s="43"/>
      <c r="Y919" s="43"/>
      <c r="Z919" s="43"/>
    </row>
    <row r="920" spans="1:26">
      <c r="A920" s="43"/>
      <c r="B920" s="43"/>
      <c r="C920" s="43"/>
      <c r="D920" s="43"/>
      <c r="E920" s="43"/>
      <c r="F920" s="43"/>
      <c r="G920" s="43"/>
      <c r="H920" s="43"/>
      <c r="I920" s="43"/>
      <c r="J920" s="43"/>
      <c r="K920" s="43"/>
      <c r="L920" s="43"/>
      <c r="M920" s="44"/>
      <c r="N920" s="119"/>
      <c r="O920" s="38"/>
      <c r="P920" s="38"/>
      <c r="Q920" s="38"/>
      <c r="R920" s="38"/>
      <c r="S920" s="38"/>
      <c r="T920" s="38"/>
      <c r="U920" s="44"/>
      <c r="V920" s="2119"/>
      <c r="W920" s="43"/>
      <c r="X920" s="43"/>
      <c r="Y920" s="43"/>
      <c r="Z920" s="43"/>
    </row>
    <row r="921" spans="1:26">
      <c r="A921" s="43"/>
      <c r="B921" s="43"/>
      <c r="C921" s="43"/>
      <c r="D921" s="43"/>
      <c r="E921" s="43"/>
      <c r="F921" s="43"/>
      <c r="G921" s="43"/>
      <c r="H921" s="43"/>
      <c r="I921" s="43"/>
      <c r="J921" s="43"/>
      <c r="K921" s="43"/>
      <c r="L921" s="43"/>
      <c r="M921" s="44"/>
      <c r="N921" s="119"/>
      <c r="O921" s="38"/>
      <c r="P921" s="38"/>
      <c r="Q921" s="38"/>
      <c r="R921" s="38"/>
      <c r="S921" s="38"/>
      <c r="T921" s="38"/>
      <c r="U921" s="44"/>
      <c r="V921" s="2119"/>
      <c r="W921" s="43"/>
      <c r="X921" s="43"/>
      <c r="Y921" s="43"/>
      <c r="Z921" s="43"/>
    </row>
    <row r="922" spans="1:26">
      <c r="A922" s="43"/>
      <c r="B922" s="43"/>
      <c r="C922" s="43"/>
      <c r="D922" s="43"/>
      <c r="E922" s="43"/>
      <c r="F922" s="43"/>
      <c r="G922" s="43"/>
      <c r="H922" s="43"/>
      <c r="I922" s="43"/>
      <c r="J922" s="43"/>
      <c r="K922" s="43"/>
      <c r="L922" s="43"/>
      <c r="M922" s="44"/>
      <c r="N922" s="119"/>
      <c r="O922" s="38"/>
      <c r="P922" s="38"/>
      <c r="Q922" s="38"/>
      <c r="R922" s="38"/>
      <c r="S922" s="38"/>
      <c r="T922" s="38"/>
      <c r="U922" s="44"/>
      <c r="V922" s="2119"/>
      <c r="W922" s="43"/>
      <c r="X922" s="43"/>
      <c r="Y922" s="43"/>
      <c r="Z922" s="43"/>
    </row>
    <row r="923" spans="1:26">
      <c r="A923" s="43"/>
      <c r="B923" s="43"/>
      <c r="C923" s="43"/>
      <c r="D923" s="43"/>
      <c r="E923" s="43"/>
      <c r="F923" s="43"/>
      <c r="G923" s="43"/>
      <c r="H923" s="43"/>
      <c r="I923" s="43"/>
      <c r="J923" s="43"/>
      <c r="K923" s="43"/>
      <c r="L923" s="43"/>
      <c r="M923" s="44"/>
      <c r="N923" s="119"/>
      <c r="O923" s="38"/>
      <c r="P923" s="38"/>
      <c r="Q923" s="38"/>
      <c r="R923" s="38"/>
      <c r="S923" s="38"/>
      <c r="T923" s="38"/>
      <c r="U923" s="44"/>
      <c r="V923" s="2119"/>
      <c r="W923" s="43"/>
      <c r="X923" s="43"/>
      <c r="Y923" s="43"/>
      <c r="Z923" s="43"/>
    </row>
    <row r="924" spans="1:26">
      <c r="A924" s="43"/>
      <c r="B924" s="43"/>
      <c r="C924" s="43"/>
      <c r="D924" s="43"/>
      <c r="E924" s="43"/>
      <c r="F924" s="43"/>
      <c r="G924" s="43"/>
      <c r="H924" s="43"/>
      <c r="I924" s="43"/>
      <c r="J924" s="43"/>
      <c r="K924" s="43"/>
      <c r="L924" s="43"/>
      <c r="M924" s="44"/>
      <c r="N924" s="119"/>
      <c r="O924" s="38"/>
      <c r="P924" s="38"/>
      <c r="Q924" s="38"/>
      <c r="R924" s="38"/>
      <c r="S924" s="38"/>
      <c r="T924" s="38"/>
      <c r="U924" s="44"/>
      <c r="V924" s="2119"/>
      <c r="W924" s="43"/>
      <c r="X924" s="43"/>
      <c r="Y924" s="43"/>
      <c r="Z924" s="43"/>
    </row>
    <row r="925" spans="1:26">
      <c r="A925" s="43"/>
      <c r="B925" s="43"/>
      <c r="C925" s="43"/>
      <c r="D925" s="43"/>
      <c r="E925" s="43"/>
      <c r="F925" s="43"/>
      <c r="G925" s="43"/>
      <c r="H925" s="43"/>
      <c r="I925" s="43"/>
      <c r="J925" s="43"/>
      <c r="K925" s="43"/>
      <c r="L925" s="43"/>
      <c r="M925" s="44"/>
      <c r="N925" s="119"/>
      <c r="O925" s="38"/>
      <c r="P925" s="38"/>
      <c r="Q925" s="38"/>
      <c r="R925" s="38"/>
      <c r="S925" s="38"/>
      <c r="T925" s="38"/>
      <c r="U925" s="44"/>
      <c r="V925" s="2119"/>
      <c r="W925" s="43"/>
      <c r="X925" s="43"/>
      <c r="Y925" s="43"/>
      <c r="Z925" s="43"/>
    </row>
    <row r="926" spans="1:26">
      <c r="A926" s="43"/>
      <c r="B926" s="43"/>
      <c r="C926" s="43"/>
      <c r="D926" s="43"/>
      <c r="E926" s="43"/>
      <c r="F926" s="43"/>
      <c r="G926" s="43"/>
      <c r="H926" s="43"/>
      <c r="I926" s="43"/>
      <c r="J926" s="43"/>
      <c r="K926" s="43"/>
      <c r="L926" s="43"/>
      <c r="M926" s="44"/>
      <c r="N926" s="119"/>
      <c r="O926" s="38"/>
      <c r="P926" s="38"/>
      <c r="Q926" s="38"/>
      <c r="R926" s="38"/>
      <c r="S926" s="38"/>
      <c r="T926" s="38"/>
      <c r="U926" s="44"/>
      <c r="V926" s="2119"/>
      <c r="W926" s="43"/>
      <c r="X926" s="43"/>
      <c r="Y926" s="43"/>
      <c r="Z926" s="43"/>
    </row>
    <row r="927" spans="1:26">
      <c r="A927" s="43"/>
      <c r="B927" s="43"/>
      <c r="C927" s="43"/>
      <c r="D927" s="43"/>
      <c r="E927" s="43"/>
      <c r="F927" s="43"/>
      <c r="G927" s="43"/>
      <c r="H927" s="43"/>
      <c r="I927" s="43"/>
      <c r="J927" s="43"/>
      <c r="K927" s="43"/>
      <c r="L927" s="43"/>
      <c r="M927" s="44"/>
      <c r="N927" s="119"/>
      <c r="O927" s="38"/>
      <c r="P927" s="38"/>
      <c r="Q927" s="38"/>
      <c r="R927" s="38"/>
      <c r="S927" s="38"/>
      <c r="T927" s="38"/>
      <c r="U927" s="44"/>
      <c r="V927" s="2119"/>
      <c r="W927" s="43"/>
      <c r="X927" s="43"/>
      <c r="Y927" s="43"/>
      <c r="Z927" s="43"/>
    </row>
    <row r="928" spans="1:26">
      <c r="A928" s="43"/>
      <c r="B928" s="43"/>
      <c r="C928" s="43"/>
      <c r="D928" s="43"/>
      <c r="E928" s="43"/>
      <c r="F928" s="43"/>
      <c r="G928" s="43"/>
      <c r="H928" s="43"/>
      <c r="I928" s="43"/>
      <c r="J928" s="43"/>
      <c r="K928" s="43"/>
      <c r="L928" s="43"/>
      <c r="M928" s="44"/>
      <c r="N928" s="119"/>
      <c r="O928" s="38"/>
      <c r="P928" s="38"/>
      <c r="Q928" s="38"/>
      <c r="R928" s="38"/>
      <c r="S928" s="38"/>
      <c r="T928" s="38"/>
      <c r="U928" s="44"/>
      <c r="V928" s="2119"/>
      <c r="W928" s="43"/>
      <c r="X928" s="43"/>
      <c r="Y928" s="43"/>
      <c r="Z928" s="43"/>
    </row>
    <row r="929" spans="1:26">
      <c r="A929" s="43"/>
      <c r="B929" s="43"/>
      <c r="C929" s="43"/>
      <c r="D929" s="43"/>
      <c r="E929" s="43"/>
      <c r="F929" s="43"/>
      <c r="G929" s="43"/>
      <c r="H929" s="43"/>
      <c r="I929" s="43"/>
      <c r="J929" s="43"/>
      <c r="K929" s="43"/>
      <c r="L929" s="43"/>
      <c r="M929" s="44"/>
      <c r="N929" s="119"/>
      <c r="O929" s="38"/>
      <c r="P929" s="38"/>
      <c r="Q929" s="38"/>
      <c r="R929" s="38"/>
      <c r="S929" s="38"/>
      <c r="T929" s="38"/>
      <c r="U929" s="44"/>
      <c r="V929" s="2119"/>
      <c r="W929" s="43"/>
      <c r="X929" s="43"/>
      <c r="Y929" s="43"/>
      <c r="Z929" s="43"/>
    </row>
    <row r="930" spans="1:26">
      <c r="A930" s="43"/>
      <c r="B930" s="43"/>
      <c r="C930" s="43"/>
      <c r="D930" s="43"/>
      <c r="E930" s="43"/>
      <c r="F930" s="43"/>
      <c r="G930" s="43"/>
      <c r="H930" s="43"/>
      <c r="I930" s="43"/>
      <c r="J930" s="43"/>
      <c r="K930" s="43"/>
      <c r="L930" s="43"/>
      <c r="M930" s="44"/>
      <c r="N930" s="119"/>
      <c r="O930" s="38"/>
      <c r="P930" s="38"/>
      <c r="Q930" s="38"/>
      <c r="R930" s="38"/>
      <c r="S930" s="38"/>
      <c r="T930" s="38"/>
      <c r="U930" s="44"/>
      <c r="V930" s="2119"/>
      <c r="W930" s="43"/>
      <c r="X930" s="43"/>
      <c r="Y930" s="43"/>
      <c r="Z930" s="43"/>
    </row>
    <row r="931" spans="1:26">
      <c r="A931" s="43"/>
      <c r="B931" s="43"/>
      <c r="C931" s="43"/>
      <c r="D931" s="43"/>
      <c r="E931" s="43"/>
      <c r="F931" s="43"/>
      <c r="G931" s="43"/>
      <c r="H931" s="43"/>
      <c r="I931" s="43"/>
      <c r="J931" s="43"/>
      <c r="K931" s="43"/>
      <c r="L931" s="43"/>
      <c r="M931" s="44"/>
      <c r="N931" s="119"/>
      <c r="O931" s="38"/>
      <c r="P931" s="38"/>
      <c r="Q931" s="38"/>
      <c r="R931" s="38"/>
      <c r="S931" s="38"/>
      <c r="T931" s="38"/>
      <c r="U931" s="44"/>
      <c r="V931" s="2119"/>
      <c r="W931" s="43"/>
      <c r="X931" s="43"/>
      <c r="Y931" s="43"/>
      <c r="Z931" s="43"/>
    </row>
    <row r="932" spans="1:26">
      <c r="A932" s="43"/>
      <c r="B932" s="43"/>
      <c r="C932" s="43"/>
      <c r="D932" s="43"/>
      <c r="E932" s="43"/>
      <c r="F932" s="43"/>
      <c r="G932" s="43"/>
      <c r="H932" s="43"/>
      <c r="I932" s="43"/>
      <c r="J932" s="43"/>
      <c r="K932" s="43"/>
      <c r="L932" s="43"/>
      <c r="M932" s="44"/>
      <c r="N932" s="119"/>
      <c r="O932" s="38"/>
      <c r="P932" s="38"/>
      <c r="Q932" s="38"/>
      <c r="R932" s="38"/>
      <c r="S932" s="38"/>
      <c r="T932" s="38"/>
      <c r="U932" s="44"/>
      <c r="V932" s="2119"/>
      <c r="W932" s="43"/>
      <c r="X932" s="43"/>
      <c r="Y932" s="43"/>
      <c r="Z932" s="43"/>
    </row>
    <row r="933" spans="1:26">
      <c r="A933" s="43"/>
      <c r="B933" s="43"/>
      <c r="C933" s="43"/>
      <c r="D933" s="43"/>
      <c r="E933" s="43"/>
      <c r="F933" s="43"/>
      <c r="G933" s="43"/>
      <c r="H933" s="43"/>
      <c r="I933" s="43"/>
      <c r="J933" s="43"/>
      <c r="K933" s="43"/>
      <c r="L933" s="43"/>
      <c r="M933" s="44"/>
      <c r="N933" s="119"/>
      <c r="O933" s="38"/>
      <c r="P933" s="38"/>
      <c r="Q933" s="38"/>
      <c r="R933" s="38"/>
      <c r="S933" s="38"/>
      <c r="T933" s="38"/>
      <c r="U933" s="44"/>
      <c r="V933" s="2119"/>
      <c r="W933" s="43"/>
      <c r="X933" s="43"/>
      <c r="Y933" s="43"/>
      <c r="Z933" s="43"/>
    </row>
    <row r="934" spans="1:26">
      <c r="A934" s="43"/>
      <c r="B934" s="43"/>
      <c r="C934" s="43"/>
      <c r="D934" s="43"/>
      <c r="E934" s="43"/>
      <c r="F934" s="43"/>
      <c r="G934" s="43"/>
      <c r="H934" s="43"/>
      <c r="I934" s="43"/>
      <c r="J934" s="43"/>
      <c r="K934" s="43"/>
      <c r="L934" s="43"/>
      <c r="M934" s="44"/>
      <c r="N934" s="119"/>
      <c r="O934" s="38"/>
      <c r="P934" s="38"/>
      <c r="Q934" s="38"/>
      <c r="R934" s="38"/>
      <c r="S934" s="38"/>
      <c r="T934" s="38"/>
      <c r="U934" s="44"/>
      <c r="V934" s="2119"/>
      <c r="W934" s="43"/>
      <c r="X934" s="43"/>
      <c r="Y934" s="43"/>
      <c r="Z934" s="43"/>
    </row>
    <row r="935" spans="1:26">
      <c r="A935" s="43"/>
      <c r="B935" s="43"/>
      <c r="C935" s="43"/>
      <c r="D935" s="43"/>
      <c r="E935" s="43"/>
      <c r="F935" s="43"/>
      <c r="G935" s="43"/>
      <c r="H935" s="43"/>
      <c r="I935" s="43"/>
      <c r="J935" s="43"/>
      <c r="K935" s="43"/>
      <c r="L935" s="43"/>
      <c r="M935" s="44"/>
      <c r="N935" s="119"/>
      <c r="O935" s="38"/>
      <c r="P935" s="38"/>
      <c r="Q935" s="38"/>
      <c r="R935" s="38"/>
      <c r="S935" s="38"/>
      <c r="T935" s="38"/>
      <c r="U935" s="44"/>
      <c r="V935" s="2119"/>
      <c r="W935" s="43"/>
      <c r="X935" s="43"/>
      <c r="Y935" s="43"/>
      <c r="Z935" s="43"/>
    </row>
    <row r="936" spans="1:26">
      <c r="A936" s="43"/>
      <c r="B936" s="43"/>
      <c r="C936" s="43"/>
      <c r="D936" s="43"/>
      <c r="E936" s="43"/>
      <c r="F936" s="43"/>
      <c r="G936" s="43"/>
      <c r="H936" s="43"/>
      <c r="I936" s="43"/>
      <c r="J936" s="43"/>
      <c r="K936" s="43"/>
      <c r="L936" s="43"/>
      <c r="M936" s="44"/>
      <c r="N936" s="119"/>
      <c r="O936" s="38"/>
      <c r="P936" s="38"/>
      <c r="Q936" s="38"/>
      <c r="R936" s="38"/>
      <c r="S936" s="38"/>
      <c r="T936" s="38"/>
      <c r="U936" s="44"/>
      <c r="V936" s="2119"/>
      <c r="W936" s="43"/>
      <c r="X936" s="43"/>
      <c r="Y936" s="43"/>
      <c r="Z936" s="43"/>
    </row>
    <row r="937" spans="1:26">
      <c r="A937" s="43"/>
      <c r="B937" s="43"/>
      <c r="C937" s="43"/>
      <c r="D937" s="43"/>
      <c r="E937" s="43"/>
      <c r="F937" s="43"/>
      <c r="G937" s="43"/>
      <c r="H937" s="43"/>
      <c r="I937" s="43"/>
      <c r="J937" s="43"/>
      <c r="K937" s="43"/>
      <c r="L937" s="43"/>
      <c r="M937" s="44"/>
      <c r="N937" s="119"/>
      <c r="O937" s="38"/>
      <c r="P937" s="38"/>
      <c r="Q937" s="38"/>
      <c r="R937" s="38"/>
      <c r="S937" s="38"/>
      <c r="T937" s="38"/>
      <c r="U937" s="44"/>
      <c r="V937" s="2119"/>
      <c r="W937" s="43"/>
      <c r="X937" s="43"/>
      <c r="Y937" s="43"/>
      <c r="Z937" s="43"/>
    </row>
    <row r="938" spans="1:26">
      <c r="A938" s="43"/>
      <c r="B938" s="43"/>
      <c r="C938" s="43"/>
      <c r="D938" s="43"/>
      <c r="E938" s="43"/>
      <c r="F938" s="43"/>
      <c r="G938" s="43"/>
      <c r="H938" s="43"/>
      <c r="I938" s="43"/>
      <c r="J938" s="43"/>
      <c r="K938" s="43"/>
      <c r="L938" s="43"/>
      <c r="M938" s="44"/>
      <c r="N938" s="119"/>
      <c r="O938" s="38"/>
      <c r="P938" s="38"/>
      <c r="Q938" s="38"/>
      <c r="R938" s="38"/>
      <c r="S938" s="38"/>
      <c r="T938" s="38"/>
      <c r="U938" s="44"/>
      <c r="V938" s="2119"/>
      <c r="W938" s="43"/>
      <c r="X938" s="43"/>
      <c r="Y938" s="43"/>
      <c r="Z938" s="43"/>
    </row>
    <row r="939" spans="1:26">
      <c r="A939" s="43"/>
      <c r="B939" s="43"/>
      <c r="C939" s="43"/>
      <c r="D939" s="43"/>
      <c r="E939" s="43"/>
      <c r="F939" s="43"/>
      <c r="G939" s="43"/>
      <c r="H939" s="43"/>
      <c r="I939" s="43"/>
      <c r="J939" s="43"/>
      <c r="K939" s="43"/>
      <c r="L939" s="43"/>
      <c r="M939" s="44"/>
      <c r="N939" s="119"/>
      <c r="O939" s="38"/>
      <c r="P939" s="38"/>
      <c r="Q939" s="38"/>
      <c r="R939" s="38"/>
      <c r="S939" s="38"/>
      <c r="T939" s="38"/>
      <c r="U939" s="44"/>
      <c r="V939" s="2119"/>
      <c r="W939" s="43"/>
      <c r="X939" s="43"/>
      <c r="Y939" s="43"/>
      <c r="Z939" s="43"/>
    </row>
    <row r="940" spans="1:26">
      <c r="A940" s="43"/>
      <c r="B940" s="43"/>
      <c r="C940" s="43"/>
      <c r="D940" s="43"/>
      <c r="E940" s="43"/>
      <c r="F940" s="43"/>
      <c r="G940" s="43"/>
      <c r="H940" s="43"/>
      <c r="I940" s="43"/>
      <c r="J940" s="43"/>
      <c r="K940" s="43"/>
      <c r="L940" s="43"/>
      <c r="M940" s="44"/>
      <c r="N940" s="119"/>
      <c r="O940" s="38"/>
      <c r="P940" s="38"/>
      <c r="Q940" s="38"/>
      <c r="R940" s="38"/>
      <c r="S940" s="38"/>
      <c r="T940" s="38"/>
      <c r="U940" s="44"/>
      <c r="V940" s="2119"/>
      <c r="W940" s="43"/>
      <c r="X940" s="43"/>
      <c r="Y940" s="43"/>
      <c r="Z940" s="43"/>
    </row>
    <row r="941" spans="1:26">
      <c r="A941" s="43"/>
      <c r="B941" s="43"/>
      <c r="C941" s="43"/>
      <c r="D941" s="43"/>
      <c r="E941" s="43"/>
      <c r="F941" s="43"/>
      <c r="G941" s="43"/>
      <c r="H941" s="43"/>
      <c r="I941" s="43"/>
      <c r="J941" s="43"/>
      <c r="K941" s="43"/>
      <c r="L941" s="43"/>
      <c r="M941" s="44"/>
      <c r="N941" s="119"/>
      <c r="O941" s="38"/>
      <c r="P941" s="38"/>
      <c r="Q941" s="38"/>
      <c r="R941" s="38"/>
      <c r="S941" s="38"/>
      <c r="T941" s="38"/>
      <c r="U941" s="44"/>
      <c r="V941" s="2116"/>
      <c r="W941" s="43"/>
      <c r="X941" s="43"/>
      <c r="Y941" s="43"/>
      <c r="Z941" s="43"/>
    </row>
    <row r="942" spans="1:26">
      <c r="A942" s="43"/>
      <c r="B942" s="43"/>
      <c r="C942" s="43"/>
      <c r="D942" s="43"/>
      <c r="E942" s="43"/>
      <c r="F942" s="43"/>
      <c r="G942" s="43"/>
      <c r="H942" s="43"/>
      <c r="I942" s="43"/>
      <c r="J942" s="43"/>
      <c r="K942" s="43"/>
      <c r="L942" s="43"/>
      <c r="M942" s="44"/>
      <c r="N942" s="119"/>
      <c r="O942" s="38"/>
      <c r="P942" s="38"/>
      <c r="Q942" s="38"/>
      <c r="R942" s="38"/>
      <c r="S942" s="38"/>
      <c r="T942" s="38"/>
      <c r="U942" s="44"/>
      <c r="V942" s="2116"/>
      <c r="W942" s="43"/>
      <c r="X942" s="43"/>
      <c r="Y942" s="43"/>
      <c r="Z942" s="43"/>
    </row>
    <row r="943" spans="1:26">
      <c r="A943" s="43"/>
      <c r="B943" s="43"/>
      <c r="C943" s="43"/>
      <c r="D943" s="43"/>
      <c r="E943" s="43"/>
      <c r="F943" s="43"/>
      <c r="G943" s="43"/>
      <c r="H943" s="43"/>
      <c r="I943" s="43"/>
      <c r="J943" s="43"/>
      <c r="K943" s="43"/>
      <c r="L943" s="43"/>
      <c r="M943" s="44"/>
      <c r="N943" s="119"/>
      <c r="O943" s="38"/>
      <c r="P943" s="38"/>
      <c r="Q943" s="38"/>
      <c r="R943" s="38"/>
      <c r="S943" s="38"/>
      <c r="T943" s="38"/>
      <c r="U943" s="44"/>
      <c r="V943" s="2116"/>
      <c r="W943" s="43"/>
      <c r="X943" s="43"/>
      <c r="Y943" s="43"/>
      <c r="Z943" s="43"/>
    </row>
    <row r="944" spans="1:26">
      <c r="A944" s="43"/>
      <c r="B944" s="43"/>
      <c r="C944" s="43"/>
      <c r="D944" s="43"/>
      <c r="E944" s="43"/>
      <c r="F944" s="43"/>
      <c r="G944" s="43"/>
      <c r="H944" s="43"/>
      <c r="I944" s="43"/>
      <c r="J944" s="43"/>
      <c r="K944" s="43"/>
      <c r="L944" s="43"/>
      <c r="M944" s="44"/>
      <c r="N944" s="119"/>
      <c r="O944" s="38"/>
      <c r="P944" s="38"/>
      <c r="Q944" s="38"/>
      <c r="R944" s="38"/>
      <c r="S944" s="38"/>
      <c r="T944" s="38"/>
      <c r="U944" s="44"/>
      <c r="V944" s="2116"/>
      <c r="W944" s="43"/>
      <c r="X944" s="43"/>
      <c r="Y944" s="43"/>
      <c r="Z944" s="43"/>
    </row>
    <row r="945" spans="1:26">
      <c r="A945" s="43"/>
      <c r="B945" s="43"/>
      <c r="C945" s="43"/>
      <c r="D945" s="43"/>
      <c r="E945" s="43"/>
      <c r="F945" s="43"/>
      <c r="G945" s="43"/>
      <c r="H945" s="43"/>
      <c r="I945" s="43"/>
      <c r="J945" s="43"/>
      <c r="K945" s="43"/>
      <c r="L945" s="43"/>
      <c r="M945" s="44"/>
      <c r="N945" s="119"/>
      <c r="O945" s="38"/>
      <c r="P945" s="38"/>
      <c r="Q945" s="38"/>
      <c r="R945" s="38"/>
      <c r="S945" s="38"/>
      <c r="T945" s="38"/>
      <c r="U945" s="44"/>
      <c r="V945" s="2116"/>
      <c r="W945" s="43"/>
      <c r="X945" s="43"/>
      <c r="Y945" s="43"/>
      <c r="Z945" s="43"/>
    </row>
    <row r="946" spans="1:26">
      <c r="A946" s="43"/>
      <c r="B946" s="43"/>
      <c r="C946" s="43"/>
      <c r="D946" s="43"/>
      <c r="E946" s="43"/>
      <c r="F946" s="43"/>
      <c r="G946" s="43"/>
      <c r="H946" s="43"/>
      <c r="I946" s="43"/>
      <c r="J946" s="43"/>
      <c r="K946" s="43"/>
      <c r="L946" s="43"/>
      <c r="M946" s="44"/>
      <c r="N946" s="119"/>
      <c r="O946" s="38"/>
      <c r="P946" s="38"/>
      <c r="Q946" s="38"/>
      <c r="R946" s="38"/>
      <c r="S946" s="38"/>
      <c r="T946" s="38"/>
      <c r="U946" s="44"/>
      <c r="V946" s="2116"/>
      <c r="W946" s="43"/>
      <c r="X946" s="43"/>
      <c r="Y946" s="43"/>
      <c r="Z946" s="43"/>
    </row>
    <row r="947" spans="1:26">
      <c r="A947" s="43"/>
      <c r="B947" s="43"/>
      <c r="C947" s="43"/>
      <c r="D947" s="43"/>
      <c r="E947" s="43"/>
      <c r="F947" s="43"/>
      <c r="G947" s="43"/>
      <c r="H947" s="43"/>
      <c r="I947" s="43"/>
      <c r="J947" s="43"/>
      <c r="K947" s="43"/>
      <c r="L947" s="43"/>
      <c r="M947" s="44"/>
      <c r="N947" s="119"/>
      <c r="O947" s="38"/>
      <c r="P947" s="38"/>
      <c r="Q947" s="38"/>
      <c r="R947" s="38"/>
      <c r="S947" s="38"/>
      <c r="T947" s="38"/>
      <c r="U947" s="44"/>
      <c r="V947" s="2116"/>
      <c r="W947" s="43"/>
      <c r="X947" s="43"/>
      <c r="Y947" s="43"/>
      <c r="Z947" s="43"/>
    </row>
    <row r="948" spans="1:26">
      <c r="A948" s="43"/>
      <c r="B948" s="43"/>
      <c r="C948" s="43"/>
      <c r="D948" s="43"/>
      <c r="E948" s="43"/>
      <c r="F948" s="43"/>
      <c r="G948" s="43"/>
      <c r="H948" s="43"/>
      <c r="I948" s="43"/>
      <c r="J948" s="43"/>
      <c r="K948" s="43"/>
      <c r="L948" s="43"/>
      <c r="M948" s="44"/>
      <c r="N948" s="119"/>
      <c r="O948" s="38"/>
      <c r="P948" s="38"/>
      <c r="Q948" s="38"/>
      <c r="R948" s="38"/>
      <c r="S948" s="38"/>
      <c r="T948" s="38"/>
      <c r="U948" s="44"/>
      <c r="V948" s="2116"/>
      <c r="W948" s="43"/>
      <c r="X948" s="43"/>
      <c r="Y948" s="43"/>
      <c r="Z948" s="43"/>
    </row>
    <row r="949" spans="1:26">
      <c r="A949" s="43"/>
      <c r="B949" s="43"/>
      <c r="C949" s="43"/>
      <c r="D949" s="43"/>
      <c r="E949" s="43"/>
      <c r="F949" s="43"/>
      <c r="G949" s="43"/>
      <c r="H949" s="43"/>
      <c r="I949" s="43"/>
      <c r="J949" s="43"/>
      <c r="K949" s="43"/>
      <c r="L949" s="43"/>
      <c r="M949" s="44"/>
      <c r="N949" s="119"/>
      <c r="O949" s="38"/>
      <c r="P949" s="38"/>
      <c r="Q949" s="38"/>
      <c r="R949" s="38"/>
      <c r="S949" s="38"/>
      <c r="T949" s="38"/>
      <c r="U949" s="44"/>
      <c r="V949" s="2116"/>
      <c r="W949" s="43"/>
      <c r="X949" s="43"/>
      <c r="Y949" s="43"/>
      <c r="Z949" s="43"/>
    </row>
  </sheetData>
  <sheetProtection password="889B" sheet="1" objects="1" scenarios="1"/>
  <mergeCells count="19">
    <mergeCell ref="I890:K890"/>
    <mergeCell ref="I829:K829"/>
    <mergeCell ref="I831:K831"/>
    <mergeCell ref="E2:L2"/>
    <mergeCell ref="C6:E6"/>
    <mergeCell ref="G6:L6"/>
    <mergeCell ref="I888:K888"/>
    <mergeCell ref="A3:C5"/>
    <mergeCell ref="D4:E4"/>
    <mergeCell ref="G4:L4"/>
    <mergeCell ref="B760:J760"/>
    <mergeCell ref="B762:K762"/>
    <mergeCell ref="H13:L13"/>
    <mergeCell ref="O6:T7"/>
    <mergeCell ref="E12:F12"/>
    <mergeCell ref="K10:L10"/>
    <mergeCell ref="H12:K12"/>
    <mergeCell ref="G8:H8"/>
    <mergeCell ref="J8:L8"/>
  </mergeCells>
  <phoneticPr fontId="0" type="noConversion"/>
  <conditionalFormatting sqref="Q898:S899 Q901:S902 Q910:S911 Q904:S905 O907:O908 Q907:S908 O898:O899 O910:O911 O901:O902 O904:O905 O831:P887 O13:T13 O338:P828 O14:P335">
    <cfRule type="cellIs" dxfId="573" priority="2043" stopIfTrue="1" operator="lessThan">
      <formula>0</formula>
    </cfRule>
  </conditionalFormatting>
  <conditionalFormatting sqref="P898:P899 T898:T899 P904:P905 T904:T905 P907:P908 T907:T908 T910:T911 P910:P911">
    <cfRule type="cellIs" dxfId="572" priority="2044" stopIfTrue="1" operator="equal">
      <formula>0</formula>
    </cfRule>
  </conditionalFormatting>
  <conditionalFormatting sqref="M890 O890:U890 M888:U888">
    <cfRule type="cellIs" dxfId="571" priority="2045" stopIfTrue="1" operator="lessThan">
      <formula>0</formula>
    </cfRule>
  </conditionalFormatting>
  <conditionalFormatting sqref="O2 Q2 S2">
    <cfRule type="cellIs" dxfId="570" priority="2046" stopIfTrue="1" operator="equal">
      <formula>"""O K"""</formula>
    </cfRule>
  </conditionalFormatting>
  <conditionalFormatting sqref="T2 T4 R2 R4 P2 P4">
    <cfRule type="cellIs" dxfId="569" priority="2047" stopIfTrue="1" operator="equal">
      <formula>"O K"</formula>
    </cfRule>
    <cfRule type="cellIs" dxfId="568" priority="2048" stopIfTrue="1" operator="notEqual">
      <formula>"O K"</formula>
    </cfRule>
  </conditionalFormatting>
  <conditionalFormatting sqref="E12:F12">
    <cfRule type="cellIs" dxfId="567" priority="2049" stopIfTrue="1" operator="equal">
      <formula>0</formula>
    </cfRule>
  </conditionalFormatting>
  <conditionalFormatting sqref="E2:L2 C6:E6 G6:L6 C8">
    <cfRule type="cellIs" dxfId="566" priority="2051" stopIfTrue="1" operator="equal">
      <formula>0</formula>
    </cfRule>
  </conditionalFormatting>
  <conditionalFormatting sqref="G8:H8">
    <cfRule type="cellIs" dxfId="565" priority="2032" stopIfTrue="1" operator="equal">
      <formula>0</formula>
    </cfRule>
  </conditionalFormatting>
  <conditionalFormatting sqref="J8:L8">
    <cfRule type="cellIs" dxfId="564" priority="2031" stopIfTrue="1" operator="equal">
      <formula>0</formula>
    </cfRule>
  </conditionalFormatting>
  <conditionalFormatting sqref="P901:P902">
    <cfRule type="cellIs" dxfId="563" priority="2030" stopIfTrue="1" operator="equal">
      <formula>0</formula>
    </cfRule>
  </conditionalFormatting>
  <conditionalFormatting sqref="T901:T902">
    <cfRule type="cellIs" dxfId="562" priority="2029" stopIfTrue="1" operator="equal">
      <formula>0</formula>
    </cfRule>
  </conditionalFormatting>
  <conditionalFormatting sqref="N10">
    <cfRule type="cellIs" dxfId="561" priority="2028" stopIfTrue="1" operator="equal">
      <formula>0</formula>
    </cfRule>
  </conditionalFormatting>
  <conditionalFormatting sqref="O336:P337">
    <cfRule type="cellIs" dxfId="560" priority="2027" stopIfTrue="1" operator="lessThan">
      <formula>0</formula>
    </cfRule>
  </conditionalFormatting>
  <conditionalFormatting sqref="E2:L2 C8">
    <cfRule type="cellIs" dxfId="559" priority="2025" stopIfTrue="1" operator="equal">
      <formula>0</formula>
    </cfRule>
  </conditionalFormatting>
  <conditionalFormatting sqref="K10:L10">
    <cfRule type="cellIs" dxfId="558" priority="2024" stopIfTrue="1" operator="equal">
      <formula>0</formula>
    </cfRule>
  </conditionalFormatting>
  <conditionalFormatting sqref="D4">
    <cfRule type="cellIs" dxfId="557" priority="2014" stopIfTrue="1" operator="between">
      <formula>1000000000000</formula>
      <formula>9999999999999990</formula>
    </cfRule>
    <cfRule type="cellIs" dxfId="556" priority="2015" stopIfTrue="1" operator="between">
      <formula>1000000000</formula>
      <formula>999999999999</formula>
    </cfRule>
    <cfRule type="cellIs" dxfId="555" priority="2016" stopIfTrue="1" operator="between">
      <formula>10000</formula>
      <formula>99999999</formula>
    </cfRule>
    <cfRule type="cellIs" dxfId="554" priority="2017" stopIfTrue="1" operator="between">
      <formula>10</formula>
      <formula>9999</formula>
    </cfRule>
  </conditionalFormatting>
  <conditionalFormatting sqref="D4">
    <cfRule type="cellIs" dxfId="553" priority="2013" operator="equal">
      <formula>0</formula>
    </cfRule>
  </conditionalFormatting>
  <conditionalFormatting sqref="A3:C5">
    <cfRule type="cellIs" dxfId="552" priority="2012" operator="equal">
      <formula>"Код на общински разпоредител с бюджет"</formula>
    </cfRule>
  </conditionalFormatting>
  <conditionalFormatting sqref="G4:L4">
    <cfRule type="cellIs" dxfId="551" priority="2006" operator="equal">
      <formula>0</formula>
    </cfRule>
  </conditionalFormatting>
  <conditionalFormatting sqref="Q831:T831 Q322:R322 Q570:R570 Q764:R828 Q344:R345 Q60:R61 Q54:R55 Q56:Q59 Q70:R70 Q62:Q69 Q26:Q53 Q90:R102 Q71:Q89 Q103:Q112 Q113:R113 Q119:R121 Q14:R25 Q160:R160 Q122:Q159 Q161:Q175 Q176:R183 Q191:R194 Q184:Q190 Q199:R218 Q195:Q198 Q271:R282 Q219:Q270 Q285:R286 Q283:Q284 Q287:Q321 Q327:R330 Q323:Q326 Q331:Q335 Q338:Q343 Q383:R414 Q346:Q382 Q417:R565 Q415:Q416 Q566:Q569 Q581:R603 Q571:Q580 Q605:R607 Q604 Q609:R760 Q608 Q847:R847 Q832:Q846 Q876:R883 Q884:Q887 Q849:R857 Q848 Q858:Q875 Q762:R762 Q114:Q118">
    <cfRule type="cellIs" dxfId="550" priority="2004" stopIfTrue="1" operator="lessThan">
      <formula>0</formula>
    </cfRule>
  </conditionalFormatting>
  <conditionalFormatting sqref="U829">
    <cfRule type="cellIs" dxfId="549" priority="2005" stopIfTrue="1" operator="lessThan">
      <formula>0</formula>
    </cfRule>
  </conditionalFormatting>
  <conditionalFormatting sqref="Q763:R763">
    <cfRule type="cellIs" dxfId="548" priority="1998" stopIfTrue="1" operator="lessThan">
      <formula>0</formula>
    </cfRule>
  </conditionalFormatting>
  <conditionalFormatting sqref="Q336:Q337">
    <cfRule type="cellIs" dxfId="547" priority="1997" stopIfTrue="1" operator="lessThan">
      <formula>0</formula>
    </cfRule>
  </conditionalFormatting>
  <conditionalFormatting sqref="R56:R59">
    <cfRule type="cellIs" dxfId="546" priority="1985" stopIfTrue="1" operator="lessThan">
      <formula>0</formula>
    </cfRule>
  </conditionalFormatting>
  <conditionalFormatting sqref="R62:R69">
    <cfRule type="cellIs" dxfId="545" priority="1984" stopIfTrue="1" operator="lessThan">
      <formula>0</formula>
    </cfRule>
  </conditionalFormatting>
  <conditionalFormatting sqref="R26:R52">
    <cfRule type="cellIs" dxfId="544" priority="1983" stopIfTrue="1" operator="lessThan">
      <formula>0</formula>
    </cfRule>
  </conditionalFormatting>
  <conditionalFormatting sqref="R71:R89">
    <cfRule type="cellIs" dxfId="543" priority="1982" stopIfTrue="1" operator="lessThan">
      <formula>0</formula>
    </cfRule>
  </conditionalFormatting>
  <conditionalFormatting sqref="R103:R112">
    <cfRule type="cellIs" dxfId="542" priority="1981" stopIfTrue="1" operator="lessThan">
      <formula>0</formula>
    </cfRule>
  </conditionalFormatting>
  <conditionalFormatting sqref="R118">
    <cfRule type="cellIs" dxfId="541" priority="1980" stopIfTrue="1" operator="lessThan">
      <formula>0</formula>
    </cfRule>
  </conditionalFormatting>
  <conditionalFormatting sqref="R122">
    <cfRule type="cellIs" dxfId="540" priority="1979" stopIfTrue="1" operator="lessThan">
      <formula>0</formula>
    </cfRule>
  </conditionalFormatting>
  <conditionalFormatting sqref="R125">
    <cfRule type="cellIs" dxfId="539" priority="1978" stopIfTrue="1" operator="lessThan">
      <formula>0</formula>
    </cfRule>
  </conditionalFormatting>
  <conditionalFormatting sqref="R127">
    <cfRule type="cellIs" dxfId="538" priority="1977" stopIfTrue="1" operator="lessThan">
      <formula>0</formula>
    </cfRule>
  </conditionalFormatting>
  <conditionalFormatting sqref="R128">
    <cfRule type="cellIs" dxfId="537" priority="1976" stopIfTrue="1" operator="lessThan">
      <formula>0</formula>
    </cfRule>
  </conditionalFormatting>
  <conditionalFormatting sqref="R130">
    <cfRule type="cellIs" dxfId="536" priority="1975" stopIfTrue="1" operator="lessThan">
      <formula>0</formula>
    </cfRule>
  </conditionalFormatting>
  <conditionalFormatting sqref="R132">
    <cfRule type="cellIs" dxfId="535" priority="1974" stopIfTrue="1" operator="lessThan">
      <formula>0</formula>
    </cfRule>
  </conditionalFormatting>
  <conditionalFormatting sqref="R133">
    <cfRule type="cellIs" dxfId="534" priority="1973" stopIfTrue="1" operator="lessThan">
      <formula>0</formula>
    </cfRule>
  </conditionalFormatting>
  <conditionalFormatting sqref="R135">
    <cfRule type="cellIs" dxfId="533" priority="1972" stopIfTrue="1" operator="lessThan">
      <formula>0</formula>
    </cfRule>
  </conditionalFormatting>
  <conditionalFormatting sqref="R123">
    <cfRule type="cellIs" dxfId="532" priority="1971" stopIfTrue="1" operator="lessThan">
      <formula>0</formula>
    </cfRule>
  </conditionalFormatting>
  <conditionalFormatting sqref="R124">
    <cfRule type="cellIs" dxfId="531" priority="1970" stopIfTrue="1" operator="lessThan">
      <formula>0</formula>
    </cfRule>
  </conditionalFormatting>
  <conditionalFormatting sqref="R126">
    <cfRule type="cellIs" dxfId="530" priority="1969" stopIfTrue="1" operator="lessThan">
      <formula>0</formula>
    </cfRule>
  </conditionalFormatting>
  <conditionalFormatting sqref="R129">
    <cfRule type="cellIs" dxfId="529" priority="1968" stopIfTrue="1" operator="lessThan">
      <formula>0</formula>
    </cfRule>
  </conditionalFormatting>
  <conditionalFormatting sqref="R131">
    <cfRule type="cellIs" dxfId="528" priority="1967" stopIfTrue="1" operator="lessThan">
      <formula>0</formula>
    </cfRule>
  </conditionalFormatting>
  <conditionalFormatting sqref="R134">
    <cfRule type="cellIs" dxfId="527" priority="1966" stopIfTrue="1" operator="lessThan">
      <formula>0</formula>
    </cfRule>
  </conditionalFormatting>
  <conditionalFormatting sqref="R136:R138">
    <cfRule type="cellIs" dxfId="526" priority="1965" stopIfTrue="1" operator="lessThan">
      <formula>0</formula>
    </cfRule>
  </conditionalFormatting>
  <conditionalFormatting sqref="R141">
    <cfRule type="cellIs" dxfId="525" priority="1964" stopIfTrue="1" operator="lessThan">
      <formula>0</formula>
    </cfRule>
  </conditionalFormatting>
  <conditionalFormatting sqref="R144:R145">
    <cfRule type="cellIs" dxfId="524" priority="1963" stopIfTrue="1" operator="lessThan">
      <formula>0</formula>
    </cfRule>
  </conditionalFormatting>
  <conditionalFormatting sqref="R147:R149">
    <cfRule type="cellIs" dxfId="523" priority="1962" stopIfTrue="1" operator="lessThan">
      <formula>0</formula>
    </cfRule>
  </conditionalFormatting>
  <conditionalFormatting sqref="R139">
    <cfRule type="cellIs" dxfId="522" priority="1960" stopIfTrue="1" operator="lessThan">
      <formula>0</formula>
    </cfRule>
  </conditionalFormatting>
  <conditionalFormatting sqref="R140">
    <cfRule type="cellIs" dxfId="521" priority="1958" stopIfTrue="1" operator="lessThan">
      <formula>0</formula>
    </cfRule>
  </conditionalFormatting>
  <conditionalFormatting sqref="R142">
    <cfRule type="cellIs" dxfId="520" priority="1956" stopIfTrue="1" operator="lessThan">
      <formula>0</formula>
    </cfRule>
  </conditionalFormatting>
  <conditionalFormatting sqref="R143">
    <cfRule type="cellIs" dxfId="519" priority="1954" stopIfTrue="1" operator="lessThan">
      <formula>0</formula>
    </cfRule>
  </conditionalFormatting>
  <conditionalFormatting sqref="R146">
    <cfRule type="cellIs" dxfId="518" priority="1952" stopIfTrue="1" operator="lessThan">
      <formula>0</formula>
    </cfRule>
  </conditionalFormatting>
  <conditionalFormatting sqref="R150">
    <cfRule type="cellIs" dxfId="517" priority="1950" stopIfTrue="1" operator="lessThan">
      <formula>0</formula>
    </cfRule>
  </conditionalFormatting>
  <conditionalFormatting sqref="R151">
    <cfRule type="cellIs" dxfId="516" priority="1948" stopIfTrue="1" operator="lessThan">
      <formula>0</formula>
    </cfRule>
  </conditionalFormatting>
  <conditionalFormatting sqref="R152">
    <cfRule type="cellIs" dxfId="515" priority="1947" stopIfTrue="1" operator="lessThan">
      <formula>0</formula>
    </cfRule>
  </conditionalFormatting>
  <conditionalFormatting sqref="R153">
    <cfRule type="cellIs" dxfId="514" priority="1946" stopIfTrue="1" operator="lessThan">
      <formula>0</formula>
    </cfRule>
  </conditionalFormatting>
  <conditionalFormatting sqref="R154:R159">
    <cfRule type="cellIs" dxfId="513" priority="1945" stopIfTrue="1" operator="lessThan">
      <formula>0</formula>
    </cfRule>
  </conditionalFormatting>
  <conditionalFormatting sqref="R161:R172">
    <cfRule type="cellIs" dxfId="512" priority="1944" stopIfTrue="1" operator="lessThan">
      <formula>0</formula>
    </cfRule>
  </conditionalFormatting>
  <conditionalFormatting sqref="R173:R175">
    <cfRule type="cellIs" dxfId="511" priority="1943" stopIfTrue="1" operator="lessThan">
      <formula>0</formula>
    </cfRule>
  </conditionalFormatting>
  <conditionalFormatting sqref="R184">
    <cfRule type="cellIs" dxfId="510" priority="1941" stopIfTrue="1" operator="lessThan">
      <formula>0</formula>
    </cfRule>
  </conditionalFormatting>
  <conditionalFormatting sqref="R186:R187">
    <cfRule type="cellIs" dxfId="509" priority="1939" stopIfTrue="1" operator="lessThan">
      <formula>0</formula>
    </cfRule>
  </conditionalFormatting>
  <conditionalFormatting sqref="R190">
    <cfRule type="cellIs" dxfId="508" priority="1937" stopIfTrue="1" operator="lessThan">
      <formula>0</formula>
    </cfRule>
  </conditionalFormatting>
  <conditionalFormatting sqref="R185">
    <cfRule type="cellIs" dxfId="507" priority="1936" stopIfTrue="1" operator="lessThan">
      <formula>0</formula>
    </cfRule>
  </conditionalFormatting>
  <conditionalFormatting sqref="R188:R189">
    <cfRule type="cellIs" dxfId="506" priority="1935" stopIfTrue="1" operator="lessThan">
      <formula>0</formula>
    </cfRule>
  </conditionalFormatting>
  <conditionalFormatting sqref="R196">
    <cfRule type="cellIs" dxfId="505" priority="1934" stopIfTrue="1" operator="lessThan">
      <formula>0</formula>
    </cfRule>
  </conditionalFormatting>
  <conditionalFormatting sqref="R195">
    <cfRule type="cellIs" dxfId="504" priority="1932" stopIfTrue="1" operator="lessThan">
      <formula>0</formula>
    </cfRule>
  </conditionalFormatting>
  <conditionalFormatting sqref="R197:R198">
    <cfRule type="cellIs" dxfId="503" priority="1930" stopIfTrue="1" operator="lessThan">
      <formula>0</formula>
    </cfRule>
  </conditionalFormatting>
  <conditionalFormatting sqref="R220">
    <cfRule type="cellIs" dxfId="502" priority="1928" stopIfTrue="1" operator="lessThan">
      <formula>0</formula>
    </cfRule>
  </conditionalFormatting>
  <conditionalFormatting sqref="R222">
    <cfRule type="cellIs" dxfId="501" priority="1926" stopIfTrue="1" operator="lessThan">
      <formula>0</formula>
    </cfRule>
  </conditionalFormatting>
  <conditionalFormatting sqref="R224:R228">
    <cfRule type="cellIs" dxfId="500" priority="1924" stopIfTrue="1" operator="lessThan">
      <formula>0</formula>
    </cfRule>
  </conditionalFormatting>
  <conditionalFormatting sqref="R219">
    <cfRule type="cellIs" dxfId="499" priority="1923" stopIfTrue="1" operator="lessThan">
      <formula>0</formula>
    </cfRule>
  </conditionalFormatting>
  <conditionalFormatting sqref="R221">
    <cfRule type="cellIs" dxfId="498" priority="1922" stopIfTrue="1" operator="lessThan">
      <formula>0</formula>
    </cfRule>
  </conditionalFormatting>
  <conditionalFormatting sqref="R223">
    <cfRule type="cellIs" dxfId="497" priority="1921" stopIfTrue="1" operator="lessThan">
      <formula>0</formula>
    </cfRule>
  </conditionalFormatting>
  <conditionalFormatting sqref="R229:R231">
    <cfRule type="cellIs" dxfId="496" priority="1920" stopIfTrue="1" operator="lessThan">
      <formula>0</formula>
    </cfRule>
  </conditionalFormatting>
  <conditionalFormatting sqref="R232:R235">
    <cfRule type="cellIs" dxfId="495" priority="1918" stopIfTrue="1" operator="lessThan">
      <formula>0</formula>
    </cfRule>
  </conditionalFormatting>
  <conditionalFormatting sqref="R237:R238">
    <cfRule type="cellIs" dxfId="494" priority="1916" stopIfTrue="1" operator="lessThan">
      <formula>0</formula>
    </cfRule>
  </conditionalFormatting>
  <conditionalFormatting sqref="R241:R244">
    <cfRule type="cellIs" dxfId="493" priority="1914" stopIfTrue="1" operator="lessThan">
      <formula>0</formula>
    </cfRule>
  </conditionalFormatting>
  <conditionalFormatting sqref="R251:R252">
    <cfRule type="cellIs" dxfId="492" priority="1912" stopIfTrue="1" operator="lessThan">
      <formula>0</formula>
    </cfRule>
  </conditionalFormatting>
  <conditionalFormatting sqref="R257:R270">
    <cfRule type="cellIs" dxfId="491" priority="1910" stopIfTrue="1" operator="lessThan">
      <formula>0</formula>
    </cfRule>
  </conditionalFormatting>
  <conditionalFormatting sqref="R284">
    <cfRule type="cellIs" dxfId="490" priority="1908" stopIfTrue="1" operator="lessThan">
      <formula>0</formula>
    </cfRule>
  </conditionalFormatting>
  <conditionalFormatting sqref="R236">
    <cfRule type="cellIs" dxfId="489" priority="1907" stopIfTrue="1" operator="lessThan">
      <formula>0</formula>
    </cfRule>
  </conditionalFormatting>
  <conditionalFormatting sqref="R239:R240">
    <cfRule type="cellIs" dxfId="488" priority="1906" stopIfTrue="1" operator="lessThan">
      <formula>0</formula>
    </cfRule>
  </conditionalFormatting>
  <conditionalFormatting sqref="R245:R250">
    <cfRule type="cellIs" dxfId="487" priority="1905" stopIfTrue="1" operator="lessThan">
      <formula>0</formula>
    </cfRule>
  </conditionalFormatting>
  <conditionalFormatting sqref="R253:R256">
    <cfRule type="cellIs" dxfId="486" priority="1904" stopIfTrue="1" operator="lessThan">
      <formula>0</formula>
    </cfRule>
  </conditionalFormatting>
  <conditionalFormatting sqref="R283">
    <cfRule type="cellIs" dxfId="485" priority="1903" stopIfTrue="1" operator="lessThan">
      <formula>0</formula>
    </cfRule>
  </conditionalFormatting>
  <conditionalFormatting sqref="R287:R288">
    <cfRule type="cellIs" dxfId="484" priority="1902" stopIfTrue="1" operator="lessThan">
      <formula>0</formula>
    </cfRule>
  </conditionalFormatting>
  <conditionalFormatting sqref="R291:R292">
    <cfRule type="cellIs" dxfId="483" priority="1901" stopIfTrue="1" operator="lessThan">
      <formula>0</formula>
    </cfRule>
  </conditionalFormatting>
  <conditionalFormatting sqref="R289:R290">
    <cfRule type="cellIs" dxfId="482" priority="1900" stopIfTrue="1" operator="lessThan">
      <formula>0</formula>
    </cfRule>
  </conditionalFormatting>
  <conditionalFormatting sqref="R293">
    <cfRule type="cellIs" dxfId="481" priority="1898" stopIfTrue="1" operator="lessThan">
      <formula>0</formula>
    </cfRule>
  </conditionalFormatting>
  <conditionalFormatting sqref="R294:R321">
    <cfRule type="cellIs" dxfId="480" priority="1896" stopIfTrue="1" operator="lessThan">
      <formula>0</formula>
    </cfRule>
  </conditionalFormatting>
  <conditionalFormatting sqref="R323:R326">
    <cfRule type="cellIs" dxfId="479" priority="1895" stopIfTrue="1" operator="lessThan">
      <formula>0</formula>
    </cfRule>
  </conditionalFormatting>
  <conditionalFormatting sqref="R331:R336">
    <cfRule type="cellIs" dxfId="478" priority="1894" stopIfTrue="1" operator="lessThan">
      <formula>0</formula>
    </cfRule>
  </conditionalFormatting>
  <conditionalFormatting sqref="R338:R343">
    <cfRule type="cellIs" dxfId="477" priority="1893" stopIfTrue="1" operator="lessThan">
      <formula>0</formula>
    </cfRule>
  </conditionalFormatting>
  <conditionalFormatting sqref="R346:R363">
    <cfRule type="cellIs" dxfId="476" priority="1892" stopIfTrue="1" operator="lessThan">
      <formula>0</formula>
    </cfRule>
  </conditionalFormatting>
  <conditionalFormatting sqref="R368:R379">
    <cfRule type="cellIs" dxfId="475" priority="1891" stopIfTrue="1" operator="lessThan">
      <formula>0</formula>
    </cfRule>
  </conditionalFormatting>
  <conditionalFormatting sqref="R337">
    <cfRule type="cellIs" dxfId="474" priority="1889" stopIfTrue="1" operator="lessThan">
      <formula>0</formula>
    </cfRule>
  </conditionalFormatting>
  <conditionalFormatting sqref="R364:R367">
    <cfRule type="cellIs" dxfId="473" priority="1887" stopIfTrue="1" operator="lessThan">
      <formula>0</formula>
    </cfRule>
  </conditionalFormatting>
  <conditionalFormatting sqref="R380:R382">
    <cfRule type="cellIs" dxfId="472" priority="1885" stopIfTrue="1" operator="lessThan">
      <formula>0</formula>
    </cfRule>
  </conditionalFormatting>
  <conditionalFormatting sqref="R415">
    <cfRule type="cellIs" dxfId="471" priority="1884" stopIfTrue="1" operator="lessThan">
      <formula>0</formula>
    </cfRule>
  </conditionalFormatting>
  <conditionalFormatting sqref="R416">
    <cfRule type="cellIs" dxfId="470" priority="1882" stopIfTrue="1" operator="lessThan">
      <formula>0</formula>
    </cfRule>
  </conditionalFormatting>
  <conditionalFormatting sqref="R566:R569">
    <cfRule type="cellIs" dxfId="469" priority="1876" stopIfTrue="1" operator="lessThan">
      <formula>0</formula>
    </cfRule>
  </conditionalFormatting>
  <conditionalFormatting sqref="R571:R572">
    <cfRule type="cellIs" dxfId="468" priority="1874" stopIfTrue="1" operator="lessThan">
      <formula>0</formula>
    </cfRule>
  </conditionalFormatting>
  <conditionalFormatting sqref="R576:R578">
    <cfRule type="cellIs" dxfId="467" priority="1872" stopIfTrue="1" operator="lessThan">
      <formula>0</formula>
    </cfRule>
  </conditionalFormatting>
  <conditionalFormatting sqref="R580">
    <cfRule type="cellIs" dxfId="466" priority="1870" stopIfTrue="1" operator="lessThan">
      <formula>0</formula>
    </cfRule>
  </conditionalFormatting>
  <conditionalFormatting sqref="R573:R575">
    <cfRule type="cellIs" dxfId="465" priority="1869" stopIfTrue="1" operator="lessThan">
      <formula>0</formula>
    </cfRule>
  </conditionalFormatting>
  <conditionalFormatting sqref="R579">
    <cfRule type="cellIs" dxfId="464" priority="1868" stopIfTrue="1" operator="lessThan">
      <formula>0</formula>
    </cfRule>
  </conditionalFormatting>
  <conditionalFormatting sqref="R604">
    <cfRule type="cellIs" dxfId="463" priority="1867" stopIfTrue="1" operator="lessThan">
      <formula>0</formula>
    </cfRule>
  </conditionalFormatting>
  <conditionalFormatting sqref="R608">
    <cfRule type="cellIs" dxfId="462" priority="1866" stopIfTrue="1" operator="lessThan">
      <formula>0</formula>
    </cfRule>
  </conditionalFormatting>
  <conditionalFormatting sqref="R832:R834">
    <cfRule type="cellIs" dxfId="461" priority="1865" stopIfTrue="1" operator="lessThan">
      <formula>0</formula>
    </cfRule>
  </conditionalFormatting>
  <conditionalFormatting sqref="R837:R841">
    <cfRule type="cellIs" dxfId="460" priority="1864" stopIfTrue="1" operator="lessThan">
      <formula>0</formula>
    </cfRule>
  </conditionalFormatting>
  <conditionalFormatting sqref="R846">
    <cfRule type="cellIs" dxfId="459" priority="1863" stopIfTrue="1" operator="lessThan">
      <formula>0</formula>
    </cfRule>
  </conditionalFormatting>
  <conditionalFormatting sqref="R858:R867">
    <cfRule type="cellIs" dxfId="458" priority="1862" stopIfTrue="1" operator="lessThan">
      <formula>0</formula>
    </cfRule>
  </conditionalFormatting>
  <conditionalFormatting sqref="R884">
    <cfRule type="cellIs" dxfId="457" priority="1861" stopIfTrue="1" operator="lessThan">
      <formula>0</formula>
    </cfRule>
  </conditionalFormatting>
  <conditionalFormatting sqref="R887">
    <cfRule type="cellIs" dxfId="456" priority="1860" stopIfTrue="1" operator="lessThan">
      <formula>0</formula>
    </cfRule>
  </conditionalFormatting>
  <conditionalFormatting sqref="R835:R836">
    <cfRule type="cellIs" dxfId="455" priority="1859" stopIfTrue="1" operator="lessThan">
      <formula>0</formula>
    </cfRule>
  </conditionalFormatting>
  <conditionalFormatting sqref="R842:R845">
    <cfRule type="cellIs" dxfId="454" priority="1858" stopIfTrue="1" operator="lessThan">
      <formula>0</formula>
    </cfRule>
  </conditionalFormatting>
  <conditionalFormatting sqref="R848">
    <cfRule type="cellIs" dxfId="453" priority="1857" stopIfTrue="1" operator="lessThan">
      <formula>0</formula>
    </cfRule>
  </conditionalFormatting>
  <conditionalFormatting sqref="R868:R875">
    <cfRule type="cellIs" dxfId="452" priority="1856" stopIfTrue="1" operator="lessThan">
      <formula>0</formula>
    </cfRule>
  </conditionalFormatting>
  <conditionalFormatting sqref="R885:R886">
    <cfRule type="cellIs" dxfId="451" priority="1855" stopIfTrue="1" operator="lessThan">
      <formula>0</formula>
    </cfRule>
  </conditionalFormatting>
  <conditionalFormatting sqref="R53">
    <cfRule type="cellIs" dxfId="450" priority="1854" stopIfTrue="1" operator="lessThan">
      <formula>0</formula>
    </cfRule>
  </conditionalFormatting>
  <conditionalFormatting sqref="O829:T829">
    <cfRule type="cellIs" dxfId="449" priority="1576" stopIfTrue="1" operator="lessThan">
      <formula>0</formula>
    </cfRule>
  </conditionalFormatting>
  <conditionalFormatting sqref="V53">
    <cfRule type="cellIs" dxfId="448" priority="148" operator="notEqual">
      <formula>0</formula>
    </cfRule>
  </conditionalFormatting>
  <conditionalFormatting sqref="V54">
    <cfRule type="cellIs" dxfId="447" priority="147" operator="notEqual">
      <formula>0</formula>
    </cfRule>
  </conditionalFormatting>
  <conditionalFormatting sqref="V13">
    <cfRule type="cellIs" dxfId="446" priority="146" operator="notEqual">
      <formula>0</formula>
    </cfRule>
  </conditionalFormatting>
  <conditionalFormatting sqref="V12">
    <cfRule type="cellIs" dxfId="445" priority="145" operator="notEqual">
      <formula>0</formula>
    </cfRule>
  </conditionalFormatting>
  <conditionalFormatting sqref="V10">
    <cfRule type="cellIs" dxfId="444" priority="144" operator="notEqual">
      <formula>0</formula>
    </cfRule>
  </conditionalFormatting>
  <conditionalFormatting sqref="V14:V15">
    <cfRule type="cellIs" dxfId="443" priority="143" operator="notEqual">
      <formula>0</formula>
    </cfRule>
  </conditionalFormatting>
  <conditionalFormatting sqref="V70 V102 V120:V121 V160 V176:V177 V191:V194 V199:V218 V271:V282 V285 V344:V345 V383:V401 V417:V565 V581:V603 V849:V857 V876:V883 V887:V940 V113 V322 V327:V330 V605:V607 V609:V639 V179:V183 V570 V410:V414 V641:V666 V668:V760 V764:V831 V762">
    <cfRule type="cellIs" dxfId="442" priority="142" operator="notEqual">
      <formula>0</formula>
    </cfRule>
  </conditionalFormatting>
  <conditionalFormatting sqref="V60:V61">
    <cfRule type="cellIs" dxfId="441" priority="141" operator="notEqual">
      <formula>0</formula>
    </cfRule>
  </conditionalFormatting>
  <conditionalFormatting sqref="V26">
    <cfRule type="cellIs" dxfId="440" priority="140" operator="notEqual">
      <formula>0</formula>
    </cfRule>
  </conditionalFormatting>
  <conditionalFormatting sqref="V27:V52">
    <cfRule type="cellIs" dxfId="439" priority="139" operator="notEqual">
      <formula>0</formula>
    </cfRule>
  </conditionalFormatting>
  <conditionalFormatting sqref="V56:V59">
    <cfRule type="cellIs" dxfId="438" priority="138" operator="notEqual">
      <formula>0</formula>
    </cfRule>
  </conditionalFormatting>
  <conditionalFormatting sqref="V62:V69">
    <cfRule type="cellIs" dxfId="437" priority="137" operator="notEqual">
      <formula>0</formula>
    </cfRule>
  </conditionalFormatting>
  <conditionalFormatting sqref="V94:V101">
    <cfRule type="cellIs" dxfId="436" priority="136" operator="notEqual">
      <formula>0</formula>
    </cfRule>
  </conditionalFormatting>
  <conditionalFormatting sqref="V114">
    <cfRule type="cellIs" dxfId="435" priority="135" operator="notEqual">
      <formula>0</formula>
    </cfRule>
  </conditionalFormatting>
  <conditionalFormatting sqref="V116">
    <cfRule type="cellIs" dxfId="434" priority="134" operator="notEqual">
      <formula>0</formula>
    </cfRule>
  </conditionalFormatting>
  <conditionalFormatting sqref="V118">
    <cfRule type="cellIs" dxfId="433" priority="133" operator="notEqual">
      <formula>0</formula>
    </cfRule>
  </conditionalFormatting>
  <conditionalFormatting sqref="V122">
    <cfRule type="cellIs" dxfId="432" priority="132" operator="notEqual">
      <formula>0</formula>
    </cfRule>
  </conditionalFormatting>
  <conditionalFormatting sqref="V125">
    <cfRule type="cellIs" dxfId="431" priority="131" operator="notEqual">
      <formula>0</formula>
    </cfRule>
  </conditionalFormatting>
  <conditionalFormatting sqref="V127:V128">
    <cfRule type="cellIs" dxfId="430" priority="130" operator="notEqual">
      <formula>0</formula>
    </cfRule>
  </conditionalFormatting>
  <conditionalFormatting sqref="V130">
    <cfRule type="cellIs" dxfId="429" priority="129" operator="notEqual">
      <formula>0</formula>
    </cfRule>
  </conditionalFormatting>
  <conditionalFormatting sqref="V132:V133">
    <cfRule type="cellIs" dxfId="428" priority="128" operator="notEqual">
      <formula>0</formula>
    </cfRule>
  </conditionalFormatting>
  <conditionalFormatting sqref="V135">
    <cfRule type="cellIs" dxfId="427" priority="127" operator="notEqual">
      <formula>0</formula>
    </cfRule>
  </conditionalFormatting>
  <conditionalFormatting sqref="V139:V140">
    <cfRule type="cellIs" dxfId="426" priority="126" operator="notEqual">
      <formula>0</formula>
    </cfRule>
  </conditionalFormatting>
  <conditionalFormatting sqref="V142:V143">
    <cfRule type="cellIs" dxfId="425" priority="125" operator="notEqual">
      <formula>0</formula>
    </cfRule>
  </conditionalFormatting>
  <conditionalFormatting sqref="V146">
    <cfRule type="cellIs" dxfId="424" priority="124" operator="notEqual">
      <formula>0</formula>
    </cfRule>
  </conditionalFormatting>
  <conditionalFormatting sqref="V150:V151">
    <cfRule type="cellIs" dxfId="423" priority="123" operator="notEqual">
      <formula>0</formula>
    </cfRule>
  </conditionalFormatting>
  <conditionalFormatting sqref="V173:V175">
    <cfRule type="cellIs" dxfId="422" priority="122" operator="notEqual">
      <formula>0</formula>
    </cfRule>
  </conditionalFormatting>
  <conditionalFormatting sqref="V184">
    <cfRule type="cellIs" dxfId="421" priority="121" operator="notEqual">
      <formula>0</formula>
    </cfRule>
  </conditionalFormatting>
  <conditionalFormatting sqref="V186:V187">
    <cfRule type="cellIs" dxfId="420" priority="120" operator="notEqual">
      <formula>0</formula>
    </cfRule>
  </conditionalFormatting>
  <conditionalFormatting sqref="V190">
    <cfRule type="cellIs" dxfId="419" priority="119" operator="notEqual">
      <formula>0</formula>
    </cfRule>
  </conditionalFormatting>
  <conditionalFormatting sqref="V195">
    <cfRule type="cellIs" dxfId="418" priority="118" operator="notEqual">
      <formula>0</formula>
    </cfRule>
  </conditionalFormatting>
  <conditionalFormatting sqref="V197:V198">
    <cfRule type="cellIs" dxfId="417" priority="117" operator="notEqual">
      <formula>0</formula>
    </cfRule>
  </conditionalFormatting>
  <conditionalFormatting sqref="V220">
    <cfRule type="cellIs" dxfId="416" priority="116" operator="notEqual">
      <formula>0</formula>
    </cfRule>
  </conditionalFormatting>
  <conditionalFormatting sqref="V222">
    <cfRule type="cellIs" dxfId="415" priority="115" operator="notEqual">
      <formula>0</formula>
    </cfRule>
  </conditionalFormatting>
  <conditionalFormatting sqref="V224:V228">
    <cfRule type="cellIs" dxfId="414" priority="114" operator="notEqual">
      <formula>0</formula>
    </cfRule>
  </conditionalFormatting>
  <conditionalFormatting sqref="V232:V235">
    <cfRule type="cellIs" dxfId="413" priority="113" operator="notEqual">
      <formula>0</formula>
    </cfRule>
  </conditionalFormatting>
  <conditionalFormatting sqref="V237:V238">
    <cfRule type="cellIs" dxfId="412" priority="112" operator="notEqual">
      <formula>0</formula>
    </cfRule>
  </conditionalFormatting>
  <conditionalFormatting sqref="V241:V244">
    <cfRule type="cellIs" dxfId="411" priority="111" operator="notEqual">
      <formula>0</formula>
    </cfRule>
  </conditionalFormatting>
  <conditionalFormatting sqref="V251:V252">
    <cfRule type="cellIs" dxfId="410" priority="110" operator="notEqual">
      <formula>0</formula>
    </cfRule>
  </conditionalFormatting>
  <conditionalFormatting sqref="V257:V270">
    <cfRule type="cellIs" dxfId="409" priority="109" operator="notEqual">
      <formula>0</formula>
    </cfRule>
  </conditionalFormatting>
  <conditionalFormatting sqref="V284">
    <cfRule type="cellIs" dxfId="408" priority="108" operator="notEqual">
      <formula>0</formula>
    </cfRule>
  </conditionalFormatting>
  <conditionalFormatting sqref="V337">
    <cfRule type="cellIs" dxfId="407" priority="107" operator="notEqual">
      <formula>0</formula>
    </cfRule>
  </conditionalFormatting>
  <conditionalFormatting sqref="V364:V367">
    <cfRule type="cellIs" dxfId="406" priority="106" operator="notEqual">
      <formula>0</formula>
    </cfRule>
  </conditionalFormatting>
  <conditionalFormatting sqref="V380:V382">
    <cfRule type="cellIs" dxfId="405" priority="105" operator="notEqual">
      <formula>0</formula>
    </cfRule>
  </conditionalFormatting>
  <conditionalFormatting sqref="V416">
    <cfRule type="cellIs" dxfId="404" priority="104" operator="notEqual">
      <formula>0</formula>
    </cfRule>
  </conditionalFormatting>
  <conditionalFormatting sqref="V566:V569">
    <cfRule type="cellIs" dxfId="403" priority="103" operator="notEqual">
      <formula>0</formula>
    </cfRule>
  </conditionalFormatting>
  <conditionalFormatting sqref="V571:V572">
    <cfRule type="cellIs" dxfId="402" priority="102" operator="notEqual">
      <formula>0</formula>
    </cfRule>
  </conditionalFormatting>
  <conditionalFormatting sqref="V576:V578">
    <cfRule type="cellIs" dxfId="401" priority="101" operator="notEqual">
      <formula>0</formula>
    </cfRule>
  </conditionalFormatting>
  <conditionalFormatting sqref="V580">
    <cfRule type="cellIs" dxfId="400" priority="100" operator="notEqual">
      <formula>0</formula>
    </cfRule>
  </conditionalFormatting>
  <conditionalFormatting sqref="V835:V836">
    <cfRule type="cellIs" dxfId="399" priority="99" operator="notEqual">
      <formula>0</formula>
    </cfRule>
  </conditionalFormatting>
  <conditionalFormatting sqref="V842:V845">
    <cfRule type="cellIs" dxfId="398" priority="98" operator="notEqual">
      <formula>0</formula>
    </cfRule>
  </conditionalFormatting>
  <conditionalFormatting sqref="V848">
    <cfRule type="cellIs" dxfId="397" priority="97" operator="notEqual">
      <formula>0</formula>
    </cfRule>
  </conditionalFormatting>
  <conditionalFormatting sqref="V868:V875">
    <cfRule type="cellIs" dxfId="396" priority="96" operator="notEqual">
      <formula>0</formula>
    </cfRule>
  </conditionalFormatting>
  <conditionalFormatting sqref="V885:V886">
    <cfRule type="cellIs" dxfId="395" priority="95" operator="notEqual">
      <formula>0</formula>
    </cfRule>
  </conditionalFormatting>
  <conditionalFormatting sqref="V55">
    <cfRule type="cellIs" dxfId="394" priority="94" operator="notEqual">
      <formula>0</formula>
    </cfRule>
  </conditionalFormatting>
  <conditionalFormatting sqref="V71:V89">
    <cfRule type="cellIs" dxfId="393" priority="93" operator="notEqual">
      <formula>0</formula>
    </cfRule>
  </conditionalFormatting>
  <conditionalFormatting sqref="V103:V112">
    <cfRule type="cellIs" dxfId="392" priority="92" operator="notEqual">
      <formula>0</formula>
    </cfRule>
  </conditionalFormatting>
  <conditionalFormatting sqref="V115">
    <cfRule type="cellIs" dxfId="391" priority="91" operator="notEqual">
      <formula>0</formula>
    </cfRule>
  </conditionalFormatting>
  <conditionalFormatting sqref="V119">
    <cfRule type="cellIs" dxfId="390" priority="90" operator="notEqual">
      <formula>0</formula>
    </cfRule>
  </conditionalFormatting>
  <conditionalFormatting sqref="V123:V124">
    <cfRule type="cellIs" dxfId="389" priority="89" operator="notEqual">
      <formula>0</formula>
    </cfRule>
  </conditionalFormatting>
  <conditionalFormatting sqref="V126">
    <cfRule type="cellIs" dxfId="388" priority="88" operator="notEqual">
      <formula>0</formula>
    </cfRule>
  </conditionalFormatting>
  <conditionalFormatting sqref="V129">
    <cfRule type="cellIs" dxfId="387" priority="87" operator="notEqual">
      <formula>0</formula>
    </cfRule>
  </conditionalFormatting>
  <conditionalFormatting sqref="V131">
    <cfRule type="cellIs" dxfId="386" priority="86" operator="notEqual">
      <formula>0</formula>
    </cfRule>
  </conditionalFormatting>
  <conditionalFormatting sqref="V134">
    <cfRule type="cellIs" dxfId="385" priority="85" operator="notEqual">
      <formula>0</formula>
    </cfRule>
  </conditionalFormatting>
  <conditionalFormatting sqref="V136:V138">
    <cfRule type="cellIs" dxfId="384" priority="84" operator="notEqual">
      <formula>0</formula>
    </cfRule>
  </conditionalFormatting>
  <conditionalFormatting sqref="V141">
    <cfRule type="cellIs" dxfId="383" priority="83" operator="notEqual">
      <formula>0</formula>
    </cfRule>
  </conditionalFormatting>
  <conditionalFormatting sqref="V144:V145">
    <cfRule type="cellIs" dxfId="382" priority="82" operator="notEqual">
      <formula>0</formula>
    </cfRule>
  </conditionalFormatting>
  <conditionalFormatting sqref="V147:V149">
    <cfRule type="cellIs" dxfId="381" priority="81" operator="notEqual">
      <formula>0</formula>
    </cfRule>
  </conditionalFormatting>
  <conditionalFormatting sqref="V152:V159">
    <cfRule type="cellIs" dxfId="380" priority="80" operator="notEqual">
      <formula>0</formula>
    </cfRule>
  </conditionalFormatting>
  <conditionalFormatting sqref="V161:V172">
    <cfRule type="cellIs" dxfId="379" priority="79" operator="notEqual">
      <formula>0</formula>
    </cfRule>
  </conditionalFormatting>
  <conditionalFormatting sqref="V185">
    <cfRule type="cellIs" dxfId="378" priority="78" operator="notEqual">
      <formula>0</formula>
    </cfRule>
  </conditionalFormatting>
  <conditionalFormatting sqref="V188:V189">
    <cfRule type="cellIs" dxfId="377" priority="77" operator="notEqual">
      <formula>0</formula>
    </cfRule>
  </conditionalFormatting>
  <conditionalFormatting sqref="V196">
    <cfRule type="cellIs" dxfId="376" priority="76" operator="notEqual">
      <formula>0</formula>
    </cfRule>
  </conditionalFormatting>
  <conditionalFormatting sqref="V219">
    <cfRule type="cellIs" dxfId="375" priority="75" operator="notEqual">
      <formula>0</formula>
    </cfRule>
  </conditionalFormatting>
  <conditionalFormatting sqref="V221">
    <cfRule type="cellIs" dxfId="374" priority="74" operator="notEqual">
      <formula>0</formula>
    </cfRule>
  </conditionalFormatting>
  <conditionalFormatting sqref="V223">
    <cfRule type="cellIs" dxfId="373" priority="73" operator="notEqual">
      <formula>0</formula>
    </cfRule>
  </conditionalFormatting>
  <conditionalFormatting sqref="V229:V231">
    <cfRule type="cellIs" dxfId="372" priority="72" operator="notEqual">
      <formula>0</formula>
    </cfRule>
  </conditionalFormatting>
  <conditionalFormatting sqref="V236">
    <cfRule type="cellIs" dxfId="371" priority="71" operator="notEqual">
      <formula>0</formula>
    </cfRule>
  </conditionalFormatting>
  <conditionalFormatting sqref="V239:V240">
    <cfRule type="cellIs" dxfId="370" priority="70" operator="notEqual">
      <formula>0</formula>
    </cfRule>
  </conditionalFormatting>
  <conditionalFormatting sqref="V245:V250">
    <cfRule type="cellIs" dxfId="369" priority="69" operator="notEqual">
      <formula>0</formula>
    </cfRule>
  </conditionalFormatting>
  <conditionalFormatting sqref="V253:V256">
    <cfRule type="cellIs" dxfId="368" priority="68" operator="notEqual">
      <formula>0</formula>
    </cfRule>
  </conditionalFormatting>
  <conditionalFormatting sqref="V283">
    <cfRule type="cellIs" dxfId="367" priority="67" operator="notEqual">
      <formula>0</formula>
    </cfRule>
  </conditionalFormatting>
  <conditionalFormatting sqref="V286:V288">
    <cfRule type="cellIs" dxfId="366" priority="66" operator="notEqual">
      <formula>0</formula>
    </cfRule>
  </conditionalFormatting>
  <conditionalFormatting sqref="V289:V321">
    <cfRule type="cellIs" dxfId="365" priority="65" operator="notEqual">
      <formula>0</formula>
    </cfRule>
  </conditionalFormatting>
  <conditionalFormatting sqref="V323:V326">
    <cfRule type="cellIs" dxfId="364" priority="64" operator="notEqual">
      <formula>0</formula>
    </cfRule>
  </conditionalFormatting>
  <conditionalFormatting sqref="V331:V336">
    <cfRule type="cellIs" dxfId="363" priority="63" operator="notEqual">
      <formula>0</formula>
    </cfRule>
  </conditionalFormatting>
  <conditionalFormatting sqref="V338:V343">
    <cfRule type="cellIs" dxfId="362" priority="62" operator="notEqual">
      <formula>0</formula>
    </cfRule>
  </conditionalFormatting>
  <conditionalFormatting sqref="V346:V363">
    <cfRule type="cellIs" dxfId="361" priority="61" operator="notEqual">
      <formula>0</formula>
    </cfRule>
  </conditionalFormatting>
  <conditionalFormatting sqref="V368:V379">
    <cfRule type="cellIs" dxfId="360" priority="60" operator="notEqual">
      <formula>0</formula>
    </cfRule>
  </conditionalFormatting>
  <conditionalFormatting sqref="V415">
    <cfRule type="cellIs" dxfId="359" priority="59" operator="notEqual">
      <formula>0</formula>
    </cfRule>
  </conditionalFormatting>
  <conditionalFormatting sqref="V573:V575">
    <cfRule type="cellIs" dxfId="358" priority="58" operator="notEqual">
      <formula>0</formula>
    </cfRule>
  </conditionalFormatting>
  <conditionalFormatting sqref="V579">
    <cfRule type="cellIs" dxfId="357" priority="57" operator="notEqual">
      <formula>0</formula>
    </cfRule>
  </conditionalFormatting>
  <conditionalFormatting sqref="V604">
    <cfRule type="cellIs" dxfId="356" priority="56" operator="notEqual">
      <formula>0</formula>
    </cfRule>
  </conditionalFormatting>
  <conditionalFormatting sqref="V608">
    <cfRule type="cellIs" dxfId="355" priority="55" operator="notEqual">
      <formula>0</formula>
    </cfRule>
  </conditionalFormatting>
  <conditionalFormatting sqref="V832:V834">
    <cfRule type="cellIs" dxfId="354" priority="54" operator="notEqual">
      <formula>0</formula>
    </cfRule>
  </conditionalFormatting>
  <conditionalFormatting sqref="V837:V841">
    <cfRule type="cellIs" dxfId="353" priority="53" operator="notEqual">
      <formula>0</formula>
    </cfRule>
  </conditionalFormatting>
  <conditionalFormatting sqref="V846">
    <cfRule type="cellIs" dxfId="352" priority="52" operator="notEqual">
      <formula>0</formula>
    </cfRule>
  </conditionalFormatting>
  <conditionalFormatting sqref="V858:V867">
    <cfRule type="cellIs" dxfId="351" priority="51" operator="notEqual">
      <formula>0</formula>
    </cfRule>
  </conditionalFormatting>
  <conditionalFormatting sqref="V884">
    <cfRule type="cellIs" dxfId="350" priority="50" operator="notEqual">
      <formula>0</formula>
    </cfRule>
  </conditionalFormatting>
  <conditionalFormatting sqref="V117">
    <cfRule type="cellIs" dxfId="349" priority="49" operator="notEqual">
      <formula>0</formula>
    </cfRule>
  </conditionalFormatting>
  <conditionalFormatting sqref="V847">
    <cfRule type="cellIs" dxfId="348" priority="47" operator="equal">
      <formula>1</formula>
    </cfRule>
    <cfRule type="cellIs" dxfId="347" priority="48" operator="notEqual">
      <formula>0</formula>
    </cfRule>
  </conditionalFormatting>
  <conditionalFormatting sqref="V178">
    <cfRule type="cellIs" dxfId="346" priority="45" operator="equal">
      <formula>1</formula>
    </cfRule>
    <cfRule type="cellIs" dxfId="345" priority="46" operator="notEqual">
      <formula>0</formula>
    </cfRule>
  </conditionalFormatting>
  <conditionalFormatting sqref="V90:V93">
    <cfRule type="cellIs" dxfId="344" priority="43" operator="equal">
      <formula>1</formula>
    </cfRule>
    <cfRule type="cellIs" dxfId="343" priority="44" operator="notEqual">
      <formula>0</formula>
    </cfRule>
  </conditionalFormatting>
  <conditionalFormatting sqref="V16:V25">
    <cfRule type="cellIs" dxfId="342" priority="41" operator="equal">
      <formula>1</formula>
    </cfRule>
    <cfRule type="cellIs" dxfId="341" priority="42" operator="notEqual">
      <formula>0</formula>
    </cfRule>
  </conditionalFormatting>
  <conditionalFormatting sqref="V402:V409">
    <cfRule type="cellIs" dxfId="340" priority="39" operator="equal">
      <formula>1</formula>
    </cfRule>
    <cfRule type="cellIs" dxfId="339" priority="40" operator="notEqual">
      <formula>0</formula>
    </cfRule>
  </conditionalFormatting>
  <conditionalFormatting sqref="V640">
    <cfRule type="cellIs" dxfId="338" priority="37" operator="equal">
      <formula>1</formula>
    </cfRule>
    <cfRule type="cellIs" dxfId="337" priority="38" operator="notEqual">
      <formula>0</formula>
    </cfRule>
  </conditionalFormatting>
  <conditionalFormatting sqref="V667">
    <cfRule type="cellIs" dxfId="336" priority="35" operator="equal">
      <formula>1</formula>
    </cfRule>
    <cfRule type="cellIs" dxfId="335" priority="36" operator="notEqual">
      <formula>0</formula>
    </cfRule>
  </conditionalFormatting>
  <conditionalFormatting sqref="V763">
    <cfRule type="cellIs" dxfId="334" priority="33" operator="equal">
      <formula>1</formula>
    </cfRule>
    <cfRule type="cellIs" dxfId="333" priority="34" operator="notEqual">
      <formula>0</formula>
    </cfRule>
  </conditionalFormatting>
  <conditionalFormatting sqref="S384:T565">
    <cfRule type="cellIs" dxfId="332" priority="9" stopIfTrue="1" operator="lessThan">
      <formula>0</formula>
    </cfRule>
  </conditionalFormatting>
  <conditionalFormatting sqref="Q761:R761">
    <cfRule type="cellIs" dxfId="331" priority="31" stopIfTrue="1" operator="lessThan">
      <formula>0</formula>
    </cfRule>
  </conditionalFormatting>
  <conditionalFormatting sqref="V761">
    <cfRule type="cellIs" dxfId="330" priority="29" operator="equal">
      <formula>1</formula>
    </cfRule>
    <cfRule type="cellIs" dxfId="329" priority="30" operator="notEqual">
      <formula>0</formula>
    </cfRule>
  </conditionalFormatting>
  <conditionalFormatting sqref="H13:L13">
    <cfRule type="cellIs" dxfId="328" priority="28" operator="notEqual">
      <formula>0</formula>
    </cfRule>
  </conditionalFormatting>
  <conditionalFormatting sqref="S115 S113:T113 S117 S383:T383">
    <cfRule type="cellIs" dxfId="327" priority="27" stopIfTrue="1" operator="lessThan">
      <formula>0</formula>
    </cfRule>
  </conditionalFormatting>
  <conditionalFormatting sqref="S570">
    <cfRule type="cellIs" dxfId="326" priority="26" stopIfTrue="1" operator="lessThan">
      <formula>0</formula>
    </cfRule>
  </conditionalFormatting>
  <conditionalFormatting sqref="S570">
    <cfRule type="expression" dxfId="325" priority="25">
      <formula>(#REF!+#REF!)&lt;&gt;(#REF!+#REF!)</formula>
    </cfRule>
  </conditionalFormatting>
  <conditionalFormatting sqref="T570">
    <cfRule type="cellIs" dxfId="324" priority="24" stopIfTrue="1" operator="lessThan">
      <formula>0</formula>
    </cfRule>
  </conditionalFormatting>
  <conditionalFormatting sqref="T570">
    <cfRule type="expression" dxfId="323" priority="23">
      <formula>(#REF!+#REF!)&lt;&gt;(#REF!+#REF!)</formula>
    </cfRule>
  </conditionalFormatting>
  <conditionalFormatting sqref="T115">
    <cfRule type="cellIs" dxfId="322" priority="22" stopIfTrue="1" operator="lessThan">
      <formula>0</formula>
    </cfRule>
  </conditionalFormatting>
  <conditionalFormatting sqref="T115">
    <cfRule type="expression" dxfId="321" priority="19">
      <formula>#REF!&lt;0</formula>
    </cfRule>
    <cfRule type="expression" dxfId="320" priority="20">
      <formula>AND($N$4="12",ABS(#REF!+#REF!)&gt;ABS(#REF!+#REF!),#REF!+#REF!&lt;0)</formula>
    </cfRule>
    <cfRule type="expression" dxfId="319" priority="21">
      <formula>AND(ABS(#REF!+#REF!)&gt;ABS(#REF!+#REF!),#REF!+#REF!&gt;0)</formula>
    </cfRule>
  </conditionalFormatting>
  <conditionalFormatting sqref="T117">
    <cfRule type="cellIs" dxfId="318" priority="18" stopIfTrue="1" operator="lessThan">
      <formula>0</formula>
    </cfRule>
  </conditionalFormatting>
  <conditionalFormatting sqref="T117">
    <cfRule type="expression" dxfId="317" priority="15">
      <formula>#REF!&lt;0</formula>
    </cfRule>
    <cfRule type="expression" dxfId="316" priority="16">
      <formula>AND($N$4="12",ABS(#REF!+#REF!)&gt;ABS(#REF!+#REF!),#REF!+#REF!&lt;0)</formula>
    </cfRule>
    <cfRule type="expression" dxfId="315" priority="17">
      <formula>AND(ABS(#REF!+#REF!)&gt;ABS(#REF!+#REF!),#REF!+#REF!&gt;0)</formula>
    </cfRule>
  </conditionalFormatting>
  <conditionalFormatting sqref="S14:T112">
    <cfRule type="cellIs" dxfId="314" priority="14" stopIfTrue="1" operator="lessThan">
      <formula>0</formula>
    </cfRule>
  </conditionalFormatting>
  <conditionalFormatting sqref="S114:T114">
    <cfRule type="cellIs" dxfId="313" priority="13" stopIfTrue="1" operator="lessThan">
      <formula>0</formula>
    </cfRule>
  </conditionalFormatting>
  <conditionalFormatting sqref="S116:T116">
    <cfRule type="cellIs" dxfId="312" priority="12" stopIfTrue="1" operator="lessThan">
      <formula>0</formula>
    </cfRule>
  </conditionalFormatting>
  <conditionalFormatting sqref="S118:T335 S338:T382">
    <cfRule type="cellIs" dxfId="311" priority="11" stopIfTrue="1" operator="lessThan">
      <formula>0</formula>
    </cfRule>
  </conditionalFormatting>
  <conditionalFormatting sqref="S336:T337">
    <cfRule type="cellIs" dxfId="310" priority="10" stopIfTrue="1" operator="lessThan">
      <formula>0</formula>
    </cfRule>
  </conditionalFormatting>
  <conditionalFormatting sqref="S566:T569">
    <cfRule type="cellIs" dxfId="309" priority="8" stopIfTrue="1" operator="lessThan">
      <formula>0</formula>
    </cfRule>
  </conditionalFormatting>
  <conditionalFormatting sqref="S573:T828">
    <cfRule type="cellIs" dxfId="308" priority="7" stopIfTrue="1" operator="lessThan">
      <formula>0</formula>
    </cfRule>
  </conditionalFormatting>
  <conditionalFormatting sqref="S571:T572">
    <cfRule type="cellIs" dxfId="307" priority="6" stopIfTrue="1" operator="lessThan">
      <formula>0</formula>
    </cfRule>
  </conditionalFormatting>
  <conditionalFormatting sqref="S832:T887">
    <cfRule type="cellIs" dxfId="306" priority="5" stopIfTrue="1" operator="lessThan">
      <formula>0</formula>
    </cfRule>
  </conditionalFormatting>
  <conditionalFormatting sqref="R115">
    <cfRule type="cellIs" dxfId="305" priority="4" stopIfTrue="1" operator="lessThan">
      <formula>0</formula>
    </cfRule>
  </conditionalFormatting>
  <conditionalFormatting sqref="R114">
    <cfRule type="cellIs" dxfId="304" priority="3" stopIfTrue="1" operator="lessThan">
      <formula>0</formula>
    </cfRule>
  </conditionalFormatting>
  <conditionalFormatting sqref="R117">
    <cfRule type="cellIs" dxfId="303" priority="2" stopIfTrue="1" operator="lessThan">
      <formula>0</formula>
    </cfRule>
  </conditionalFormatting>
  <conditionalFormatting sqref="R116">
    <cfRule type="cellIs" dxfId="302" priority="1" stopIfTrue="1" operator="lessThan">
      <formula>0</formula>
    </cfRule>
  </conditionalFormatting>
  <dataValidations disablePrompts="1" count="1">
    <dataValidation type="whole" allowBlank="1" showInputMessage="1" showErrorMessage="1" sqref="D4:E4">
      <formula1>0</formula1>
      <formula2>9999999999999990</formula2>
    </dataValidation>
  </dataValidations>
  <pageMargins left="0.24" right="0.24" top="0.43" bottom="0.35" header="0.23" footer="0.24"/>
  <pageSetup paperSize="9" scale="75" orientation="portrait" horizontalDpi="4294967292" r:id="rId1"/>
  <headerFooter alignWithMargins="0">
    <oddHeader>&amp;C&amp;"Times New Roman CYR,Bold"&amp;12- &amp;P / &amp;N -</oddHeader>
  </headerFooter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>
  <dimension ref="A1:Z949"/>
  <sheetViews>
    <sheetView zoomScaleNormal="100" workbookViewId="0">
      <pane xSplit="12" ySplit="13" topLeftCell="M14" activePane="bottomRight" state="frozen"/>
      <selection pane="topRight" activeCell="M1" sqref="M1"/>
      <selection pane="bottomLeft" activeCell="A14" sqref="A14"/>
      <selection pane="bottomRight" activeCell="M14" sqref="M14"/>
    </sheetView>
  </sheetViews>
  <sheetFormatPr defaultRowHeight="15.75"/>
  <cols>
    <col min="1" max="1" width="6.140625" style="1392" customWidth="1"/>
    <col min="2" max="2" width="8.7109375" style="1392" customWidth="1"/>
    <col min="3" max="3" width="9.7109375" style="1392" customWidth="1"/>
    <col min="4" max="4" width="9.42578125" style="1392" customWidth="1"/>
    <col min="5" max="5" width="9.140625" style="1392"/>
    <col min="6" max="6" width="9.85546875" style="1392" customWidth="1"/>
    <col min="7" max="7" width="9" style="1392" customWidth="1"/>
    <col min="8" max="8" width="8.140625" style="1392" customWidth="1"/>
    <col min="9" max="9" width="10.7109375" style="1392" customWidth="1"/>
    <col min="10" max="10" width="1.140625" style="1392" customWidth="1"/>
    <col min="11" max="11" width="11.140625" style="1392" customWidth="1"/>
    <col min="12" max="12" width="12" style="1392" customWidth="1"/>
    <col min="13" max="13" width="1" style="1395" customWidth="1"/>
    <col min="14" max="14" width="7.28515625" style="1396" customWidth="1"/>
    <col min="15" max="20" width="21" style="1393" customWidth="1"/>
    <col min="21" max="21" width="1" style="1395" customWidth="1"/>
    <col min="22" max="22" width="26.140625" style="2118" customWidth="1"/>
    <col min="23" max="23" width="9.140625" style="2118"/>
    <col min="24" max="16384" width="9.140625" style="1392"/>
  </cols>
  <sheetData>
    <row r="1" spans="1:26" ht="2.25" customHeight="1" thickBot="1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45"/>
      <c r="N1" s="110"/>
      <c r="O1" s="17"/>
      <c r="P1" s="17"/>
      <c r="Q1" s="17"/>
      <c r="R1" s="17"/>
      <c r="S1" s="17"/>
      <c r="T1" s="17"/>
      <c r="U1" s="45"/>
      <c r="V1" s="2116"/>
      <c r="W1" s="2116"/>
      <c r="X1" s="43"/>
      <c r="Y1" s="43"/>
      <c r="Z1" s="43"/>
    </row>
    <row r="2" spans="1:26" ht="18" customHeight="1" thickBot="1">
      <c r="A2" s="439" t="s">
        <v>257</v>
      </c>
      <c r="B2" s="3"/>
      <c r="C2" s="4"/>
      <c r="D2" s="3"/>
      <c r="E2" s="2517" t="str">
        <f>+'TRIAL-BALANCE'!E2:L2</f>
        <v>ОУ "ПРОФЕСОР МАРИН ДРИНОВ"</v>
      </c>
      <c r="F2" s="2518"/>
      <c r="G2" s="2518"/>
      <c r="H2" s="2518"/>
      <c r="I2" s="2518"/>
      <c r="J2" s="2518"/>
      <c r="K2" s="2518"/>
      <c r="L2" s="2519"/>
      <c r="M2" s="46"/>
      <c r="N2" s="1950" t="str">
        <f>+LEFT(H12,6)</f>
        <v>31 мар</v>
      </c>
      <c r="O2" s="422" t="s">
        <v>191</v>
      </c>
      <c r="P2" s="423" t="str">
        <f>+IF(+P892=0,"O K","НЕРАВНЕНИЕ !")</f>
        <v>O K</v>
      </c>
      <c r="Q2" s="424" t="s">
        <v>188</v>
      </c>
      <c r="R2" s="425" t="str">
        <f>+IF(+R892=0,"O K","НЕРАВНЕНИЕ !")</f>
        <v>O K</v>
      </c>
      <c r="S2" s="426" t="s">
        <v>192</v>
      </c>
      <c r="T2" s="427" t="str">
        <f>+IF(+T892=0,"O K","НЕРАВНЕНИЕ !")</f>
        <v>O K</v>
      </c>
      <c r="U2" s="521"/>
      <c r="V2" s="2117"/>
      <c r="W2" s="2117"/>
      <c r="X2" s="43"/>
      <c r="Y2" s="43"/>
      <c r="Z2" s="43"/>
    </row>
    <row r="3" spans="1:26" ht="3.75" customHeight="1" thickBot="1">
      <c r="A3" s="2459" t="str">
        <f>+IF('Local-&amp;-SSF'!E6&gt;0,"Код на общински разпоредител с бюджет","код от Регистъра на бюдж. организации в СЕБРА")</f>
        <v>код от Регистъра на бюдж. организации в СЕБРА</v>
      </c>
      <c r="B3" s="2459"/>
      <c r="C3" s="2459"/>
      <c r="D3" s="1918"/>
      <c r="E3" s="1918"/>
      <c r="F3" s="1918"/>
      <c r="G3" s="1918"/>
      <c r="H3" s="1918"/>
      <c r="I3" s="1918"/>
      <c r="J3" s="1918"/>
      <c r="K3" s="1918"/>
      <c r="L3" s="1918"/>
      <c r="M3" s="45"/>
      <c r="N3" s="110"/>
      <c r="O3" s="428"/>
      <c r="P3" s="428"/>
      <c r="Q3" s="428"/>
      <c r="R3" s="428"/>
      <c r="S3" s="428"/>
      <c r="T3" s="428"/>
      <c r="U3" s="523"/>
      <c r="V3" s="2117"/>
      <c r="W3" s="2117"/>
      <c r="X3" s="43"/>
      <c r="Y3" s="43"/>
      <c r="Z3" s="43"/>
    </row>
    <row r="4" spans="1:26" ht="16.5" customHeight="1" thickBot="1">
      <c r="A4" s="2459"/>
      <c r="B4" s="2459"/>
      <c r="C4" s="2459"/>
      <c r="D4" s="2460">
        <f>+'TRIAL-BALANCE'!D4:E4</f>
        <v>0</v>
      </c>
      <c r="E4" s="2461"/>
      <c r="F4" s="1919" t="s">
        <v>1949</v>
      </c>
      <c r="G4" s="2462">
        <f>+'TRIAL-BALANCE'!G4:L4</f>
        <v>0</v>
      </c>
      <c r="H4" s="2463"/>
      <c r="I4" s="2463"/>
      <c r="J4" s="2463"/>
      <c r="K4" s="2463"/>
      <c r="L4" s="2464"/>
      <c r="M4" s="47"/>
      <c r="N4" s="1950" t="str">
        <f>+IF($N$2="31 дек","12",+IF($N$2="30 сеп","09",+IF($N$2="30 юни","06",+IF($N$2="31 мар","03",0))))</f>
        <v>03</v>
      </c>
      <c r="O4" s="422" t="s">
        <v>189</v>
      </c>
      <c r="P4" s="423" t="str">
        <f>+IF(+P894=0,"O K","НЕРАВНЕНИЕ !")</f>
        <v>O K</v>
      </c>
      <c r="Q4" s="424" t="s">
        <v>190</v>
      </c>
      <c r="R4" s="425" t="str">
        <f>+IF(+R894=0,"O K","НЕРАВНЕНИЕ !")</f>
        <v>O K</v>
      </c>
      <c r="S4" s="426" t="s">
        <v>193</v>
      </c>
      <c r="T4" s="429" t="str">
        <f>+IF(+T894=0,"O K","НЕРАВНЕНИЕ !")</f>
        <v>O K</v>
      </c>
      <c r="U4" s="524"/>
      <c r="V4" s="2117"/>
      <c r="W4" s="2117"/>
      <c r="X4" s="43"/>
      <c r="Y4" s="43"/>
      <c r="Z4" s="43"/>
    </row>
    <row r="5" spans="1:26" ht="3.75" customHeight="1" thickBot="1">
      <c r="A5" s="2459"/>
      <c r="B5" s="2459"/>
      <c r="C5" s="2459"/>
      <c r="D5" s="1918"/>
      <c r="E5" s="1918"/>
      <c r="F5" s="1918"/>
      <c r="G5" s="1918"/>
      <c r="H5" s="1918"/>
      <c r="I5" s="1918"/>
      <c r="J5" s="1918"/>
      <c r="K5" s="1918"/>
      <c r="L5" s="1918"/>
      <c r="M5" s="45"/>
      <c r="N5" s="111"/>
      <c r="O5" s="428"/>
      <c r="P5" s="428"/>
      <c r="Q5" s="428"/>
      <c r="R5" s="428"/>
      <c r="S5" s="428"/>
      <c r="T5" s="428"/>
      <c r="U5" s="45"/>
      <c r="V5" s="2116"/>
      <c r="W5" s="2116"/>
      <c r="X5" s="43"/>
      <c r="Y5" s="43"/>
      <c r="Z5" s="43"/>
    </row>
    <row r="6" spans="1:26" ht="18" customHeight="1">
      <c r="A6" s="518" t="s">
        <v>792</v>
      </c>
      <c r="B6" s="3"/>
      <c r="C6" s="2451">
        <f>+'TRIAL-BALANCE'!C6:E6</f>
        <v>341731</v>
      </c>
      <c r="D6" s="2452"/>
      <c r="E6" s="2453"/>
      <c r="F6" s="205" t="s">
        <v>534</v>
      </c>
      <c r="G6" s="2454" t="str">
        <f>+'TRIAL-BALANCE'!G6:L6</f>
        <v xml:space="preserve">                              </v>
      </c>
      <c r="H6" s="2455"/>
      <c r="I6" s="2455"/>
      <c r="J6" s="2455"/>
      <c r="K6" s="2455"/>
      <c r="L6" s="2456"/>
      <c r="M6" s="48"/>
      <c r="N6" s="111"/>
      <c r="O6" s="2426" t="s">
        <v>185</v>
      </c>
      <c r="P6" s="2427"/>
      <c r="Q6" s="2427"/>
      <c r="R6" s="2427"/>
      <c r="S6" s="2427"/>
      <c r="T6" s="2428"/>
      <c r="U6" s="48"/>
      <c r="V6" s="2116"/>
      <c r="W6" s="2116"/>
      <c r="X6" s="43"/>
      <c r="Y6" s="43"/>
      <c r="Z6" s="43"/>
    </row>
    <row r="7" spans="1:26" ht="3.75" customHeight="1">
      <c r="A7" s="440"/>
      <c r="B7" s="2"/>
      <c r="C7" s="45"/>
      <c r="D7" s="45"/>
      <c r="E7" s="45"/>
      <c r="F7" s="45"/>
      <c r="G7" s="45"/>
      <c r="H7" s="45"/>
      <c r="I7" s="45"/>
      <c r="J7" s="45"/>
      <c r="K7" s="45"/>
      <c r="L7" s="45"/>
      <c r="M7" s="421"/>
      <c r="N7" s="1119"/>
      <c r="O7" s="2620"/>
      <c r="P7" s="2621"/>
      <c r="Q7" s="2621"/>
      <c r="R7" s="2621"/>
      <c r="S7" s="2621"/>
      <c r="T7" s="2622"/>
      <c r="U7" s="45"/>
      <c r="V7" s="2116"/>
      <c r="W7" s="2116"/>
      <c r="X7" s="43"/>
      <c r="Y7" s="43"/>
      <c r="Z7" s="43"/>
    </row>
    <row r="8" spans="1:26" ht="18" customHeight="1">
      <c r="A8" s="441" t="s">
        <v>258</v>
      </c>
      <c r="B8" s="6"/>
      <c r="C8" s="1056">
        <f>+'TRIAL-BALANCE'!C8</f>
        <v>0</v>
      </c>
      <c r="D8" s="199" t="s">
        <v>1137</v>
      </c>
      <c r="E8" s="964">
        <f>+'TRIAL-BALANCE'!E8</f>
        <v>2020</v>
      </c>
      <c r="F8" s="443" t="s">
        <v>1204</v>
      </c>
      <c r="G8" s="2457" t="str">
        <f>+'TRIAL-BALANCE'!G8:H8</f>
        <v xml:space="preserve">;                             </v>
      </c>
      <c r="H8" s="2458"/>
      <c r="I8" s="1269" t="s">
        <v>1206</v>
      </c>
      <c r="J8" s="2454">
        <f>+'TRIAL-BALANCE'!J8:L8</f>
        <v>0</v>
      </c>
      <c r="K8" s="2455"/>
      <c r="L8" s="2456"/>
      <c r="M8" s="48"/>
      <c r="N8" s="1579" t="s">
        <v>378</v>
      </c>
      <c r="O8" s="1161" t="s">
        <v>937</v>
      </c>
      <c r="P8" s="1162"/>
      <c r="Q8" s="1163" t="str">
        <f>+O8</f>
        <v xml:space="preserve">   "Сметки за средства от ЕС" - DMP</v>
      </c>
      <c r="R8" s="1162"/>
      <c r="S8" s="1164" t="str">
        <f>+O8</f>
        <v xml:space="preserve">   "Сметки за средства от ЕС" - DMP</v>
      </c>
      <c r="T8" s="1165"/>
      <c r="U8" s="48"/>
      <c r="V8" s="2116"/>
      <c r="W8" s="2116"/>
      <c r="X8" s="43"/>
      <c r="Y8" s="43"/>
      <c r="Z8" s="43"/>
    </row>
    <row r="9" spans="1:26" ht="3.75" customHeight="1">
      <c r="A9" s="440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45"/>
      <c r="N9" s="1566"/>
      <c r="O9" s="1156"/>
      <c r="P9" s="1157"/>
      <c r="Q9" s="1158"/>
      <c r="R9" s="1157"/>
      <c r="S9" s="1159"/>
      <c r="T9" s="1160"/>
      <c r="U9" s="45"/>
      <c r="V9" s="2116"/>
      <c r="W9" s="2116"/>
      <c r="X9" s="43"/>
      <c r="Y9" s="43"/>
      <c r="Z9" s="43"/>
    </row>
    <row r="10" spans="1:26" ht="18" customHeight="1">
      <c r="A10" s="199" t="s">
        <v>259</v>
      </c>
      <c r="B10" s="5"/>
      <c r="C10" s="965" t="str">
        <f>+'TRIAL-BALANCE'!C10</f>
        <v>/с б о р е н/</v>
      </c>
      <c r="D10" s="7" t="s">
        <v>261</v>
      </c>
      <c r="E10" s="5"/>
      <c r="F10" s="966" t="s">
        <v>493</v>
      </c>
      <c r="G10" s="199" t="s">
        <v>380</v>
      </c>
      <c r="H10" s="147"/>
      <c r="I10" s="5"/>
      <c r="J10" s="5"/>
      <c r="K10" s="2446">
        <f>+'TRIAL-BALANCE'!K10:L10</f>
        <v>0</v>
      </c>
      <c r="L10" s="2447"/>
      <c r="M10" s="49"/>
      <c r="N10" s="1577">
        <f>+C8</f>
        <v>0</v>
      </c>
      <c r="O10" s="142" t="s">
        <v>379</v>
      </c>
      <c r="P10" s="143"/>
      <c r="Q10" s="26" t="s">
        <v>262</v>
      </c>
      <c r="R10" s="144"/>
      <c r="S10" s="145" t="s">
        <v>263</v>
      </c>
      <c r="T10" s="146"/>
      <c r="U10" s="49"/>
      <c r="V10" s="2122">
        <f>+IF(V13&gt;0,"СЕС - DMP",0)</f>
        <v>0</v>
      </c>
      <c r="W10" s="2116"/>
      <c r="X10" s="43"/>
      <c r="Y10" s="43"/>
      <c r="Z10" s="43"/>
    </row>
    <row r="11" spans="1:26" ht="3.75" customHeight="1">
      <c r="A11" s="53"/>
      <c r="B11" s="45"/>
      <c r="C11" s="45"/>
      <c r="D11" s="45"/>
      <c r="E11" s="45"/>
      <c r="F11" s="45"/>
      <c r="G11" s="45"/>
      <c r="H11" s="45"/>
      <c r="I11" s="45"/>
      <c r="J11" s="45"/>
      <c r="K11" s="45"/>
      <c r="L11" s="45"/>
      <c r="M11" s="45"/>
      <c r="N11" s="1401"/>
      <c r="O11" s="132"/>
      <c r="P11" s="133"/>
      <c r="Q11" s="134"/>
      <c r="R11" s="135"/>
      <c r="S11" s="134"/>
      <c r="T11" s="136"/>
      <c r="U11" s="45"/>
      <c r="V11" s="2116"/>
      <c r="W11" s="2116"/>
      <c r="X11" s="43"/>
      <c r="Y11" s="43"/>
      <c r="Z11" s="43"/>
    </row>
    <row r="12" spans="1:26" ht="19.5" customHeight="1">
      <c r="A12" s="1126" t="s">
        <v>1002</v>
      </c>
      <c r="B12" s="1127"/>
      <c r="C12" s="1128"/>
      <c r="D12" s="1129"/>
      <c r="E12" s="2639" t="str">
        <f>+F10</f>
        <v>D M P</v>
      </c>
      <c r="F12" s="2639"/>
      <c r="G12" s="1130" t="s">
        <v>1003</v>
      </c>
      <c r="H12" s="2625" t="str">
        <f>+'TRIAL-BALANCE'!H12:K12</f>
        <v>31 март 2020 г.</v>
      </c>
      <c r="I12" s="2625"/>
      <c r="J12" s="2625"/>
      <c r="K12" s="2625"/>
      <c r="L12" s="1131" t="str">
        <f>+'TRIAL-BALANCE'!L12</f>
        <v xml:space="preserve"> (в левове)</v>
      </c>
      <c r="M12" s="50"/>
      <c r="N12" s="1402" t="s">
        <v>162</v>
      </c>
      <c r="O12" s="1140" t="s">
        <v>370</v>
      </c>
      <c r="P12" s="1141" t="s">
        <v>371</v>
      </c>
      <c r="Q12" s="1142" t="s">
        <v>46</v>
      </c>
      <c r="R12" s="1143" t="s">
        <v>386</v>
      </c>
      <c r="S12" s="1144" t="s">
        <v>370</v>
      </c>
      <c r="T12" s="1145" t="s">
        <v>371</v>
      </c>
      <c r="U12" s="50"/>
      <c r="V12" s="2121">
        <f>+IF(V13&gt;0,"брой грешни крайни с/да",0)</f>
        <v>0</v>
      </c>
      <c r="W12" s="2116"/>
      <c r="X12" s="43"/>
      <c r="Y12" s="43"/>
      <c r="Z12" s="43"/>
    </row>
    <row r="13" spans="1:26">
      <c r="A13" s="515" t="s">
        <v>202</v>
      </c>
      <c r="B13" s="516" t="s">
        <v>372</v>
      </c>
      <c r="C13" s="517"/>
      <c r="D13" s="517"/>
      <c r="E13" s="517"/>
      <c r="F13" s="517"/>
      <c r="G13" s="517"/>
      <c r="H13" s="2617">
        <f>+IF(V13=0,0,"ИМА грешни КРАЙНИ салда - виж колона V")</f>
        <v>0</v>
      </c>
      <c r="I13" s="2617"/>
      <c r="J13" s="2617"/>
      <c r="K13" s="2617"/>
      <c r="L13" s="2618"/>
      <c r="M13" s="344"/>
      <c r="N13" s="1166" t="s">
        <v>202</v>
      </c>
      <c r="O13" s="1167">
        <f t="shared" ref="O13:T13" si="0">+O890</f>
        <v>0</v>
      </c>
      <c r="P13" s="1168">
        <f t="shared" si="0"/>
        <v>0</v>
      </c>
      <c r="Q13" s="1169">
        <f t="shared" si="0"/>
        <v>0</v>
      </c>
      <c r="R13" s="1168">
        <f t="shared" si="0"/>
        <v>0</v>
      </c>
      <c r="S13" s="1169">
        <f t="shared" si="0"/>
        <v>0</v>
      </c>
      <c r="T13" s="1170">
        <f t="shared" si="0"/>
        <v>0</v>
      </c>
      <c r="U13" s="344"/>
      <c r="V13" s="2122">
        <f>COUNTIF(V14:V887,"&gt;0")+COUNTIF(V14:V887,"&lt;0")</f>
        <v>0</v>
      </c>
      <c r="W13" s="2116"/>
      <c r="X13" s="43"/>
      <c r="Y13" s="43"/>
      <c r="Z13" s="43"/>
    </row>
    <row r="14" spans="1:26">
      <c r="A14" s="85">
        <v>1001</v>
      </c>
      <c r="B14" s="377" t="s">
        <v>953</v>
      </c>
      <c r="C14" s="86"/>
      <c r="D14" s="86"/>
      <c r="E14" s="86"/>
      <c r="F14" s="86"/>
      <c r="G14" s="86"/>
      <c r="H14" s="86"/>
      <c r="I14" s="86"/>
      <c r="J14" s="86"/>
      <c r="K14" s="86"/>
      <c r="L14" s="87"/>
      <c r="M14" s="51"/>
      <c r="N14" s="112">
        <f t="shared" ref="N14:N26" si="1">+A14</f>
        <v>1001</v>
      </c>
      <c r="O14" s="323">
        <v>0</v>
      </c>
      <c r="P14" s="324">
        <v>0</v>
      </c>
      <c r="Q14" s="325">
        <v>0</v>
      </c>
      <c r="R14" s="324">
        <v>0</v>
      </c>
      <c r="S14" s="326">
        <f>+IF(ABS(+O14+Q14)&gt;=ABS(P14+R14),+O14-P14+Q14-R14,0)</f>
        <v>0</v>
      </c>
      <c r="T14" s="327">
        <f>+IF(ABS(+O14+Q14)&lt;=ABS(P14+R14),-O14+P14-Q14+R14,0)</f>
        <v>0</v>
      </c>
      <c r="U14" s="51"/>
      <c r="V14" s="2119"/>
      <c r="W14" s="2116"/>
      <c r="X14" s="376"/>
      <c r="Y14" s="43"/>
      <c r="Z14" s="43"/>
    </row>
    <row r="15" spans="1:26">
      <c r="A15" s="88">
        <v>1101</v>
      </c>
      <c r="B15" s="378" t="s">
        <v>954</v>
      </c>
      <c r="C15" s="1033"/>
      <c r="D15" s="1033"/>
      <c r="E15" s="1033"/>
      <c r="F15" s="1033"/>
      <c r="G15" s="1033"/>
      <c r="H15" s="1033"/>
      <c r="I15" s="1033"/>
      <c r="J15" s="1033"/>
      <c r="K15" s="1033"/>
      <c r="L15" s="90"/>
      <c r="M15" s="51"/>
      <c r="N15" s="113">
        <f t="shared" si="1"/>
        <v>1101</v>
      </c>
      <c r="O15" s="323">
        <v>0</v>
      </c>
      <c r="P15" s="324">
        <v>0</v>
      </c>
      <c r="Q15" s="325">
        <v>0</v>
      </c>
      <c r="R15" s="324">
        <v>0</v>
      </c>
      <c r="S15" s="326">
        <f>+IF(ABS(+O15+Q15)&gt;=ABS(P15+R15),+O15-P15+Q15-R15,0)</f>
        <v>0</v>
      </c>
      <c r="T15" s="327">
        <f>+IF(ABS(+O15+Q15)&lt;=ABS(P15+R15),-O15+P15-Q15+R15,0)</f>
        <v>0</v>
      </c>
      <c r="U15" s="51"/>
      <c r="V15" s="2119"/>
      <c r="W15" s="2116"/>
      <c r="X15" s="376"/>
      <c r="Y15" s="43"/>
      <c r="Z15" s="43"/>
    </row>
    <row r="16" spans="1:26">
      <c r="A16" s="88">
        <v>1201</v>
      </c>
      <c r="B16" s="378" t="s">
        <v>955</v>
      </c>
      <c r="C16" s="1033"/>
      <c r="D16" s="1033"/>
      <c r="E16" s="1033"/>
      <c r="F16" s="1033"/>
      <c r="G16" s="1033"/>
      <c r="H16" s="1033"/>
      <c r="I16" s="1033"/>
      <c r="J16" s="1033"/>
      <c r="K16" s="1033"/>
      <c r="L16" s="90"/>
      <c r="M16" s="51"/>
      <c r="N16" s="113">
        <f t="shared" si="1"/>
        <v>1201</v>
      </c>
      <c r="O16" s="8">
        <v>0</v>
      </c>
      <c r="P16" s="9">
        <v>0</v>
      </c>
      <c r="Q16" s="29">
        <v>0</v>
      </c>
      <c r="R16" s="9">
        <v>0</v>
      </c>
      <c r="S16" s="579">
        <v>0</v>
      </c>
      <c r="T16" s="584">
        <v>0</v>
      </c>
      <c r="U16" s="51"/>
      <c r="V16" s="2125">
        <f t="shared" ref="V16:V25" si="2">+IF(OR(O16&lt;&gt;0,P16&lt;&gt;0,Q16&lt;&gt;0,R16&lt;&gt;0,S16&lt;&gt;0,T16&lt;&gt;0),+IF(ABS(O16+Q16)-ABS(P16+R16)&lt;&gt;0,ABS(O16+Q16)-ABS(P16+R16),1),0)</f>
        <v>0</v>
      </c>
      <c r="W16" s="2116"/>
      <c r="X16" s="43"/>
      <c r="Y16" s="43"/>
      <c r="Z16" s="43"/>
    </row>
    <row r="17" spans="1:26">
      <c r="A17" s="88">
        <v>1511</v>
      </c>
      <c r="B17" s="378" t="s">
        <v>956</v>
      </c>
      <c r="C17" s="1033"/>
      <c r="D17" s="1033"/>
      <c r="E17" s="1033"/>
      <c r="F17" s="1033"/>
      <c r="G17" s="1033"/>
      <c r="H17" s="1033"/>
      <c r="I17" s="1033"/>
      <c r="J17" s="1033"/>
      <c r="K17" s="1033"/>
      <c r="L17" s="90"/>
      <c r="M17" s="51"/>
      <c r="N17" s="113">
        <f t="shared" si="1"/>
        <v>1511</v>
      </c>
      <c r="O17" s="8">
        <v>0</v>
      </c>
      <c r="P17" s="9">
        <v>0</v>
      </c>
      <c r="Q17" s="29">
        <v>0</v>
      </c>
      <c r="R17" s="9">
        <v>0</v>
      </c>
      <c r="S17" s="579">
        <v>0</v>
      </c>
      <c r="T17" s="584">
        <v>0</v>
      </c>
      <c r="U17" s="51"/>
      <c r="V17" s="2125">
        <f t="shared" si="2"/>
        <v>0</v>
      </c>
      <c r="W17" s="2116"/>
      <c r="X17" s="43"/>
      <c r="Y17" s="43"/>
      <c r="Z17" s="43"/>
    </row>
    <row r="18" spans="1:26">
      <c r="A18" s="88">
        <v>1517</v>
      </c>
      <c r="B18" s="378" t="s">
        <v>957</v>
      </c>
      <c r="C18" s="1033"/>
      <c r="D18" s="1033"/>
      <c r="E18" s="1033"/>
      <c r="F18" s="1033"/>
      <c r="G18" s="1033"/>
      <c r="H18" s="1033"/>
      <c r="I18" s="1033"/>
      <c r="J18" s="1033"/>
      <c r="K18" s="1033"/>
      <c r="L18" s="90"/>
      <c r="M18" s="51"/>
      <c r="N18" s="113">
        <f t="shared" si="1"/>
        <v>1517</v>
      </c>
      <c r="O18" s="8">
        <v>0</v>
      </c>
      <c r="P18" s="9">
        <v>0</v>
      </c>
      <c r="Q18" s="29">
        <v>0</v>
      </c>
      <c r="R18" s="9">
        <v>0</v>
      </c>
      <c r="S18" s="579">
        <v>0</v>
      </c>
      <c r="T18" s="584">
        <v>0</v>
      </c>
      <c r="U18" s="51"/>
      <c r="V18" s="2125">
        <f t="shared" si="2"/>
        <v>0</v>
      </c>
      <c r="W18" s="2116"/>
      <c r="X18" s="43"/>
      <c r="Y18" s="43"/>
      <c r="Z18" s="43"/>
    </row>
    <row r="19" spans="1:26">
      <c r="A19" s="88">
        <v>1521</v>
      </c>
      <c r="B19" s="378" t="s">
        <v>958</v>
      </c>
      <c r="C19" s="1033"/>
      <c r="D19" s="1033"/>
      <c r="E19" s="1033"/>
      <c r="F19" s="1033"/>
      <c r="G19" s="1033"/>
      <c r="H19" s="1033"/>
      <c r="I19" s="1033"/>
      <c r="J19" s="1033"/>
      <c r="K19" s="1033"/>
      <c r="L19" s="90"/>
      <c r="M19" s="51"/>
      <c r="N19" s="113">
        <f t="shared" si="1"/>
        <v>1521</v>
      </c>
      <c r="O19" s="8">
        <v>0</v>
      </c>
      <c r="P19" s="9">
        <v>0</v>
      </c>
      <c r="Q19" s="29">
        <v>0</v>
      </c>
      <c r="R19" s="9">
        <v>0</v>
      </c>
      <c r="S19" s="579">
        <v>0</v>
      </c>
      <c r="T19" s="584">
        <v>0</v>
      </c>
      <c r="U19" s="51"/>
      <c r="V19" s="2125">
        <f t="shared" si="2"/>
        <v>0</v>
      </c>
      <c r="W19" s="2116"/>
      <c r="X19" s="43"/>
      <c r="Y19" s="43"/>
      <c r="Z19" s="43"/>
    </row>
    <row r="20" spans="1:26">
      <c r="A20" s="88">
        <v>1523</v>
      </c>
      <c r="B20" s="378" t="s">
        <v>959</v>
      </c>
      <c r="C20" s="1033"/>
      <c r="D20" s="1033"/>
      <c r="E20" s="1033"/>
      <c r="F20" s="1033"/>
      <c r="G20" s="1033"/>
      <c r="H20" s="1033"/>
      <c r="I20" s="1033"/>
      <c r="J20" s="1033"/>
      <c r="K20" s="1033"/>
      <c r="L20" s="90"/>
      <c r="M20" s="51"/>
      <c r="N20" s="113">
        <f t="shared" si="1"/>
        <v>1523</v>
      </c>
      <c r="O20" s="8">
        <v>0</v>
      </c>
      <c r="P20" s="9">
        <v>0</v>
      </c>
      <c r="Q20" s="29">
        <v>0</v>
      </c>
      <c r="R20" s="9">
        <v>0</v>
      </c>
      <c r="S20" s="579">
        <v>0</v>
      </c>
      <c r="T20" s="584">
        <v>0</v>
      </c>
      <c r="U20" s="51"/>
      <c r="V20" s="2125">
        <f t="shared" si="2"/>
        <v>0</v>
      </c>
      <c r="W20" s="2116"/>
      <c r="X20" s="43"/>
      <c r="Y20" s="43"/>
      <c r="Z20" s="43"/>
    </row>
    <row r="21" spans="1:26">
      <c r="A21" s="88">
        <v>1527</v>
      </c>
      <c r="B21" s="378" t="s">
        <v>960</v>
      </c>
      <c r="C21" s="1033"/>
      <c r="D21" s="1033"/>
      <c r="E21" s="1033"/>
      <c r="F21" s="1033"/>
      <c r="G21" s="1033"/>
      <c r="H21" s="1033"/>
      <c r="I21" s="1033"/>
      <c r="J21" s="1033"/>
      <c r="K21" s="1033"/>
      <c r="L21" s="90"/>
      <c r="M21" s="51"/>
      <c r="N21" s="113">
        <f t="shared" si="1"/>
        <v>1527</v>
      </c>
      <c r="O21" s="575">
        <v>0</v>
      </c>
      <c r="P21" s="582">
        <v>0</v>
      </c>
      <c r="Q21" s="579">
        <v>0</v>
      </c>
      <c r="R21" s="582">
        <v>0</v>
      </c>
      <c r="S21" s="579">
        <v>0</v>
      </c>
      <c r="T21" s="584">
        <v>0</v>
      </c>
      <c r="U21" s="51"/>
      <c r="V21" s="2125">
        <f t="shared" si="2"/>
        <v>0</v>
      </c>
      <c r="W21" s="2116"/>
      <c r="X21" s="43"/>
      <c r="Y21" s="43"/>
      <c r="Z21" s="43"/>
    </row>
    <row r="22" spans="1:26">
      <c r="A22" s="88">
        <v>1581</v>
      </c>
      <c r="B22" s="378" t="s">
        <v>961</v>
      </c>
      <c r="C22" s="1033"/>
      <c r="D22" s="1033"/>
      <c r="E22" s="1033"/>
      <c r="F22" s="1033"/>
      <c r="G22" s="1033"/>
      <c r="H22" s="1033"/>
      <c r="I22" s="1033"/>
      <c r="J22" s="1033"/>
      <c r="K22" s="1033"/>
      <c r="L22" s="90"/>
      <c r="M22" s="51"/>
      <c r="N22" s="113">
        <f t="shared" si="1"/>
        <v>1581</v>
      </c>
      <c r="O22" s="575">
        <v>0</v>
      </c>
      <c r="P22" s="582">
        <v>0</v>
      </c>
      <c r="Q22" s="579">
        <v>0</v>
      </c>
      <c r="R22" s="582">
        <v>0</v>
      </c>
      <c r="S22" s="579">
        <v>0</v>
      </c>
      <c r="T22" s="584">
        <v>0</v>
      </c>
      <c r="U22" s="51"/>
      <c r="V22" s="2125">
        <f t="shared" si="2"/>
        <v>0</v>
      </c>
      <c r="W22" s="2116"/>
      <c r="X22" s="43"/>
      <c r="Y22" s="43"/>
      <c r="Z22" s="43"/>
    </row>
    <row r="23" spans="1:26">
      <c r="A23" s="88">
        <v>1587</v>
      </c>
      <c r="B23" s="378" t="s">
        <v>962</v>
      </c>
      <c r="C23" s="1033"/>
      <c r="D23" s="1033"/>
      <c r="E23" s="1033"/>
      <c r="F23" s="1033"/>
      <c r="G23" s="1033"/>
      <c r="H23" s="1033"/>
      <c r="I23" s="1033"/>
      <c r="J23" s="1033"/>
      <c r="K23" s="1033"/>
      <c r="L23" s="90"/>
      <c r="M23" s="51"/>
      <c r="N23" s="113">
        <f t="shared" si="1"/>
        <v>1587</v>
      </c>
      <c r="O23" s="575">
        <v>0</v>
      </c>
      <c r="P23" s="582">
        <v>0</v>
      </c>
      <c r="Q23" s="579">
        <v>0</v>
      </c>
      <c r="R23" s="582">
        <v>0</v>
      </c>
      <c r="S23" s="579">
        <v>0</v>
      </c>
      <c r="T23" s="584">
        <v>0</v>
      </c>
      <c r="U23" s="51"/>
      <c r="V23" s="2125">
        <f t="shared" si="2"/>
        <v>0</v>
      </c>
      <c r="W23" s="2116"/>
      <c r="X23" s="43"/>
      <c r="Y23" s="43"/>
      <c r="Z23" s="43"/>
    </row>
    <row r="24" spans="1:26">
      <c r="A24" s="88">
        <v>1591</v>
      </c>
      <c r="B24" s="378" t="s">
        <v>963</v>
      </c>
      <c r="C24" s="1033"/>
      <c r="D24" s="1033"/>
      <c r="E24" s="1033"/>
      <c r="F24" s="1033"/>
      <c r="G24" s="1033"/>
      <c r="H24" s="1033"/>
      <c r="I24" s="1033"/>
      <c r="J24" s="1033"/>
      <c r="K24" s="1033"/>
      <c r="L24" s="90"/>
      <c r="M24" s="51"/>
      <c r="N24" s="113">
        <f t="shared" si="1"/>
        <v>1591</v>
      </c>
      <c r="O24" s="8">
        <v>0</v>
      </c>
      <c r="P24" s="9">
        <v>0</v>
      </c>
      <c r="Q24" s="29">
        <v>0</v>
      </c>
      <c r="R24" s="9">
        <v>0</v>
      </c>
      <c r="S24" s="579">
        <v>0</v>
      </c>
      <c r="T24" s="584">
        <v>0</v>
      </c>
      <c r="U24" s="51"/>
      <c r="V24" s="2125">
        <f t="shared" si="2"/>
        <v>0</v>
      </c>
      <c r="W24" s="2116"/>
      <c r="X24" s="43"/>
      <c r="Y24" s="43"/>
      <c r="Z24" s="43"/>
    </row>
    <row r="25" spans="1:26">
      <c r="A25" s="88">
        <v>1593</v>
      </c>
      <c r="B25" s="378" t="s">
        <v>964</v>
      </c>
      <c r="C25" s="1033"/>
      <c r="D25" s="1033"/>
      <c r="E25" s="1033"/>
      <c r="F25" s="1033"/>
      <c r="G25" s="1033"/>
      <c r="H25" s="1033"/>
      <c r="I25" s="1033"/>
      <c r="J25" s="1033"/>
      <c r="K25" s="1033"/>
      <c r="L25" s="90"/>
      <c r="M25" s="51"/>
      <c r="N25" s="113">
        <f t="shared" si="1"/>
        <v>1593</v>
      </c>
      <c r="O25" s="8">
        <v>0</v>
      </c>
      <c r="P25" s="9">
        <v>0</v>
      </c>
      <c r="Q25" s="29">
        <v>0</v>
      </c>
      <c r="R25" s="9">
        <v>0</v>
      </c>
      <c r="S25" s="579">
        <v>0</v>
      </c>
      <c r="T25" s="584">
        <v>0</v>
      </c>
      <c r="U25" s="51"/>
      <c r="V25" s="2125">
        <f t="shared" si="2"/>
        <v>0</v>
      </c>
      <c r="W25" s="2116"/>
      <c r="X25" s="43"/>
      <c r="Y25" s="43"/>
      <c r="Z25" s="43"/>
    </row>
    <row r="26" spans="1:26">
      <c r="A26" s="88">
        <v>1621</v>
      </c>
      <c r="B26" s="378" t="s">
        <v>938</v>
      </c>
      <c r="C26" s="1033"/>
      <c r="D26" s="1033"/>
      <c r="E26" s="1033"/>
      <c r="F26" s="1033"/>
      <c r="G26" s="1033"/>
      <c r="H26" s="1033"/>
      <c r="I26" s="1033"/>
      <c r="J26" s="1033"/>
      <c r="K26" s="1033"/>
      <c r="L26" s="90"/>
      <c r="M26" s="51"/>
      <c r="N26" s="113">
        <f t="shared" si="1"/>
        <v>1621</v>
      </c>
      <c r="O26" s="8">
        <v>0</v>
      </c>
      <c r="P26" s="121"/>
      <c r="Q26" s="122"/>
      <c r="R26" s="121"/>
      <c r="S26" s="579">
        <v>0</v>
      </c>
      <c r="T26" s="580">
        <f t="shared" ref="T26:T45" si="3">+IF(ABS(+O26+Q26)&lt;=ABS(P26+R26),-O26+P26-Q26+R26,0)</f>
        <v>0</v>
      </c>
      <c r="U26" s="51"/>
      <c r="V26" s="2119">
        <f>+IF(OR(+ROUND(O26,2)+ROUND(Q26,2)&gt;ROUND(P26,2)+ROUND(R26,2),+ABS(ROUND(O26,2)+ROUND(Q26,2))&gt;+ABS(ROUND(P26,2)+ROUND(R26,2))),+(ROUND(O26,2)+ROUND(Q26,2))-(ROUND(P26,2)+ROUND(R26,2)),0)</f>
        <v>0</v>
      </c>
      <c r="W26" s="2116"/>
      <c r="X26" s="43"/>
      <c r="Y26" s="43"/>
      <c r="Z26" s="43"/>
    </row>
    <row r="27" spans="1:26">
      <c r="A27" s="88">
        <v>1623</v>
      </c>
      <c r="B27" s="378" t="s">
        <v>939</v>
      </c>
      <c r="C27" s="1033"/>
      <c r="D27" s="1033"/>
      <c r="E27" s="1033"/>
      <c r="F27" s="1033"/>
      <c r="G27" s="1033"/>
      <c r="H27" s="1033"/>
      <c r="I27" s="1033"/>
      <c r="J27" s="1033"/>
      <c r="K27" s="1033"/>
      <c r="L27" s="90"/>
      <c r="M27" s="51"/>
      <c r="N27" s="113">
        <f t="shared" ref="N27:N57" si="4">+A27</f>
        <v>1623</v>
      </c>
      <c r="O27" s="8">
        <v>0</v>
      </c>
      <c r="P27" s="121"/>
      <c r="Q27" s="122"/>
      <c r="R27" s="121"/>
      <c r="S27" s="579">
        <v>0</v>
      </c>
      <c r="T27" s="580">
        <f t="shared" si="3"/>
        <v>0</v>
      </c>
      <c r="U27" s="51"/>
      <c r="V27" s="2119">
        <f t="shared" ref="V27:V52" si="5">+IF(OR(+ROUND(O27,2)+ROUND(Q27,2)&gt;ROUND(P27,2)+ROUND(R27,2),+ABS(ROUND(O27,2)+ROUND(Q27,2))&gt;+ABS(ROUND(P27,2)+ROUND(R27,2))),+(ROUND(O27,2)+ROUND(Q27,2))-(ROUND(P27,2)+ROUND(R27,2)),0)</f>
        <v>0</v>
      </c>
      <c r="W27" s="2116"/>
      <c r="X27" s="43"/>
      <c r="Y27" s="43"/>
      <c r="Z27" s="43"/>
    </row>
    <row r="28" spans="1:26">
      <c r="A28" s="88">
        <v>1625</v>
      </c>
      <c r="B28" s="378" t="s">
        <v>940</v>
      </c>
      <c r="C28" s="1033"/>
      <c r="D28" s="1033"/>
      <c r="E28" s="1033"/>
      <c r="F28" s="1033"/>
      <c r="G28" s="1033"/>
      <c r="H28" s="1033"/>
      <c r="I28" s="1033"/>
      <c r="J28" s="1033"/>
      <c r="K28" s="1033"/>
      <c r="L28" s="90"/>
      <c r="M28" s="51"/>
      <c r="N28" s="113">
        <f t="shared" si="4"/>
        <v>1625</v>
      </c>
      <c r="O28" s="8">
        <v>0</v>
      </c>
      <c r="P28" s="121"/>
      <c r="Q28" s="122"/>
      <c r="R28" s="121"/>
      <c r="S28" s="579">
        <v>0</v>
      </c>
      <c r="T28" s="580">
        <f t="shared" si="3"/>
        <v>0</v>
      </c>
      <c r="U28" s="51"/>
      <c r="V28" s="2119">
        <f t="shared" si="5"/>
        <v>0</v>
      </c>
      <c r="W28" s="2116"/>
      <c r="X28" s="43"/>
      <c r="Y28" s="43"/>
      <c r="Z28" s="43"/>
    </row>
    <row r="29" spans="1:26">
      <c r="A29" s="88">
        <v>1651</v>
      </c>
      <c r="B29" s="378" t="s">
        <v>941</v>
      </c>
      <c r="C29" s="1033"/>
      <c r="D29" s="1033"/>
      <c r="E29" s="1033"/>
      <c r="F29" s="1033"/>
      <c r="G29" s="1033"/>
      <c r="H29" s="1033"/>
      <c r="I29" s="1033"/>
      <c r="J29" s="1033"/>
      <c r="K29" s="1033"/>
      <c r="L29" s="90"/>
      <c r="M29" s="51"/>
      <c r="N29" s="113">
        <f t="shared" si="4"/>
        <v>1651</v>
      </c>
      <c r="O29" s="8">
        <v>0</v>
      </c>
      <c r="P29" s="121"/>
      <c r="Q29" s="122"/>
      <c r="R29" s="121"/>
      <c r="S29" s="579">
        <v>0</v>
      </c>
      <c r="T29" s="580">
        <f t="shared" si="3"/>
        <v>0</v>
      </c>
      <c r="U29" s="51"/>
      <c r="V29" s="2119">
        <f t="shared" si="5"/>
        <v>0</v>
      </c>
      <c r="W29" s="2116"/>
      <c r="X29" s="43"/>
      <c r="Y29" s="43"/>
      <c r="Z29" s="43"/>
    </row>
    <row r="30" spans="1:26">
      <c r="A30" s="88">
        <v>1652</v>
      </c>
      <c r="B30" s="378" t="s">
        <v>942</v>
      </c>
      <c r="C30" s="1033"/>
      <c r="D30" s="1033"/>
      <c r="E30" s="1033"/>
      <c r="F30" s="1033"/>
      <c r="G30" s="1033"/>
      <c r="H30" s="1033"/>
      <c r="I30" s="1033"/>
      <c r="J30" s="1033"/>
      <c r="K30" s="1033"/>
      <c r="L30" s="90"/>
      <c r="M30" s="51"/>
      <c r="N30" s="113">
        <f t="shared" si="4"/>
        <v>1652</v>
      </c>
      <c r="O30" s="8">
        <v>0</v>
      </c>
      <c r="P30" s="121"/>
      <c r="Q30" s="122"/>
      <c r="R30" s="121"/>
      <c r="S30" s="579">
        <v>0</v>
      </c>
      <c r="T30" s="580">
        <f t="shared" si="3"/>
        <v>0</v>
      </c>
      <c r="U30" s="51"/>
      <c r="V30" s="2119">
        <f t="shared" si="5"/>
        <v>0</v>
      </c>
      <c r="W30" s="2116"/>
      <c r="X30" s="43"/>
      <c r="Y30" s="43"/>
      <c r="Z30" s="43"/>
    </row>
    <row r="31" spans="1:26">
      <c r="A31" s="88">
        <v>1654</v>
      </c>
      <c r="B31" s="378" t="s">
        <v>943</v>
      </c>
      <c r="C31" s="1033"/>
      <c r="D31" s="1033"/>
      <c r="E31" s="1033"/>
      <c r="F31" s="1033"/>
      <c r="G31" s="1033"/>
      <c r="H31" s="1033"/>
      <c r="I31" s="1033"/>
      <c r="J31" s="1033"/>
      <c r="K31" s="1033"/>
      <c r="L31" s="90"/>
      <c r="M31" s="51"/>
      <c r="N31" s="113">
        <f t="shared" si="4"/>
        <v>1654</v>
      </c>
      <c r="O31" s="8">
        <v>0</v>
      </c>
      <c r="P31" s="121"/>
      <c r="Q31" s="122"/>
      <c r="R31" s="121"/>
      <c r="S31" s="579">
        <v>0</v>
      </c>
      <c r="T31" s="580">
        <f t="shared" si="3"/>
        <v>0</v>
      </c>
      <c r="U31" s="51"/>
      <c r="V31" s="2119">
        <f t="shared" si="5"/>
        <v>0</v>
      </c>
      <c r="W31" s="2116"/>
      <c r="X31" s="43"/>
      <c r="Y31" s="43"/>
      <c r="Z31" s="43"/>
    </row>
    <row r="32" spans="1:26">
      <c r="A32" s="88">
        <v>1655</v>
      </c>
      <c r="B32" s="378" t="s">
        <v>944</v>
      </c>
      <c r="C32" s="1033"/>
      <c r="D32" s="1033"/>
      <c r="E32" s="1033"/>
      <c r="F32" s="1033"/>
      <c r="G32" s="1033"/>
      <c r="H32" s="1033"/>
      <c r="I32" s="1033"/>
      <c r="J32" s="1033"/>
      <c r="K32" s="1033"/>
      <c r="L32" s="90"/>
      <c r="M32" s="51"/>
      <c r="N32" s="113">
        <f t="shared" si="4"/>
        <v>1655</v>
      </c>
      <c r="O32" s="8">
        <v>0</v>
      </c>
      <c r="P32" s="121"/>
      <c r="Q32" s="122"/>
      <c r="R32" s="121"/>
      <c r="S32" s="579">
        <v>0</v>
      </c>
      <c r="T32" s="580">
        <f t="shared" si="3"/>
        <v>0</v>
      </c>
      <c r="U32" s="51"/>
      <c r="V32" s="2119">
        <f t="shared" si="5"/>
        <v>0</v>
      </c>
      <c r="W32" s="2116"/>
      <c r="X32" s="43"/>
      <c r="Y32" s="43"/>
      <c r="Z32" s="43"/>
    </row>
    <row r="33" spans="1:26">
      <c r="A33" s="88">
        <v>1657</v>
      </c>
      <c r="B33" s="378" t="s">
        <v>945</v>
      </c>
      <c r="C33" s="1033"/>
      <c r="D33" s="1033"/>
      <c r="E33" s="1033"/>
      <c r="F33" s="1033"/>
      <c r="G33" s="1033"/>
      <c r="H33" s="1033"/>
      <c r="I33" s="1033"/>
      <c r="J33" s="1033"/>
      <c r="K33" s="1033"/>
      <c r="L33" s="90"/>
      <c r="M33" s="51"/>
      <c r="N33" s="113">
        <f t="shared" si="4"/>
        <v>1657</v>
      </c>
      <c r="O33" s="8">
        <v>0</v>
      </c>
      <c r="P33" s="121"/>
      <c r="Q33" s="122"/>
      <c r="R33" s="121"/>
      <c r="S33" s="579">
        <v>0</v>
      </c>
      <c r="T33" s="580">
        <f t="shared" si="3"/>
        <v>0</v>
      </c>
      <c r="U33" s="51"/>
      <c r="V33" s="2119">
        <f t="shared" si="5"/>
        <v>0</v>
      </c>
      <c r="W33" s="2116"/>
      <c r="X33" s="43"/>
      <c r="Y33" s="43"/>
      <c r="Z33" s="43"/>
    </row>
    <row r="34" spans="1:26">
      <c r="A34" s="88">
        <v>1658</v>
      </c>
      <c r="B34" s="378" t="s">
        <v>946</v>
      </c>
      <c r="C34" s="1033"/>
      <c r="D34" s="1033"/>
      <c r="E34" s="1033"/>
      <c r="F34" s="1033"/>
      <c r="G34" s="1033"/>
      <c r="H34" s="1033"/>
      <c r="I34" s="1033"/>
      <c r="J34" s="1033"/>
      <c r="K34" s="1033"/>
      <c r="L34" s="90"/>
      <c r="M34" s="51"/>
      <c r="N34" s="113">
        <f t="shared" si="4"/>
        <v>1658</v>
      </c>
      <c r="O34" s="8">
        <v>0</v>
      </c>
      <c r="P34" s="121"/>
      <c r="Q34" s="122"/>
      <c r="R34" s="121"/>
      <c r="S34" s="579">
        <v>0</v>
      </c>
      <c r="T34" s="580">
        <f t="shared" si="3"/>
        <v>0</v>
      </c>
      <c r="U34" s="51"/>
      <c r="V34" s="2119">
        <f t="shared" si="5"/>
        <v>0</v>
      </c>
      <c r="W34" s="2116"/>
      <c r="X34" s="43"/>
      <c r="Y34" s="43"/>
      <c r="Z34" s="43"/>
    </row>
    <row r="35" spans="1:26">
      <c r="A35" s="88">
        <v>1661</v>
      </c>
      <c r="B35" s="378" t="s">
        <v>947</v>
      </c>
      <c r="C35" s="1033"/>
      <c r="D35" s="1033"/>
      <c r="E35" s="1033"/>
      <c r="F35" s="1033"/>
      <c r="G35" s="1033"/>
      <c r="H35" s="1033"/>
      <c r="I35" s="1033"/>
      <c r="J35" s="1033"/>
      <c r="K35" s="1033"/>
      <c r="L35" s="90"/>
      <c r="M35" s="51"/>
      <c r="N35" s="113">
        <f t="shared" si="4"/>
        <v>1661</v>
      </c>
      <c r="O35" s="8">
        <v>0</v>
      </c>
      <c r="P35" s="121"/>
      <c r="Q35" s="122"/>
      <c r="R35" s="121"/>
      <c r="S35" s="579">
        <v>0</v>
      </c>
      <c r="T35" s="580">
        <f t="shared" si="3"/>
        <v>0</v>
      </c>
      <c r="U35" s="51"/>
      <c r="V35" s="2119">
        <f t="shared" si="5"/>
        <v>0</v>
      </c>
      <c r="W35" s="2116"/>
      <c r="X35" s="43"/>
      <c r="Y35" s="43"/>
      <c r="Z35" s="43"/>
    </row>
    <row r="36" spans="1:26">
      <c r="A36" s="88">
        <v>1663</v>
      </c>
      <c r="B36" s="378" t="s">
        <v>948</v>
      </c>
      <c r="C36" s="1033"/>
      <c r="D36" s="1033"/>
      <c r="E36" s="1033"/>
      <c r="F36" s="1033"/>
      <c r="G36" s="1033"/>
      <c r="H36" s="1033"/>
      <c r="I36" s="1033"/>
      <c r="J36" s="1033"/>
      <c r="K36" s="1033"/>
      <c r="L36" s="90"/>
      <c r="M36" s="51"/>
      <c r="N36" s="113">
        <f t="shared" si="4"/>
        <v>1663</v>
      </c>
      <c r="O36" s="8">
        <v>0</v>
      </c>
      <c r="P36" s="121"/>
      <c r="Q36" s="122"/>
      <c r="R36" s="121"/>
      <c r="S36" s="579">
        <v>0</v>
      </c>
      <c r="T36" s="580">
        <f t="shared" si="3"/>
        <v>0</v>
      </c>
      <c r="U36" s="51"/>
      <c r="V36" s="2119">
        <f t="shared" si="5"/>
        <v>0</v>
      </c>
      <c r="W36" s="2116"/>
      <c r="X36" s="43"/>
      <c r="Y36" s="43"/>
      <c r="Z36" s="43"/>
    </row>
    <row r="37" spans="1:26">
      <c r="A37" s="88">
        <v>1664</v>
      </c>
      <c r="B37" s="378" t="s">
        <v>949</v>
      </c>
      <c r="C37" s="1033"/>
      <c r="D37" s="1033"/>
      <c r="E37" s="1033"/>
      <c r="F37" s="1033"/>
      <c r="G37" s="1033"/>
      <c r="H37" s="1033"/>
      <c r="I37" s="1033"/>
      <c r="J37" s="1033"/>
      <c r="K37" s="1033"/>
      <c r="L37" s="90"/>
      <c r="M37" s="51"/>
      <c r="N37" s="113">
        <f t="shared" si="4"/>
        <v>1664</v>
      </c>
      <c r="O37" s="8">
        <v>0</v>
      </c>
      <c r="P37" s="121"/>
      <c r="Q37" s="122"/>
      <c r="R37" s="121"/>
      <c r="S37" s="579">
        <v>0</v>
      </c>
      <c r="T37" s="580">
        <f t="shared" si="3"/>
        <v>0</v>
      </c>
      <c r="U37" s="51"/>
      <c r="V37" s="2119">
        <f t="shared" si="5"/>
        <v>0</v>
      </c>
      <c r="W37" s="2116"/>
      <c r="X37" s="43"/>
      <c r="Y37" s="43"/>
      <c r="Z37" s="43"/>
    </row>
    <row r="38" spans="1:26">
      <c r="A38" s="88">
        <v>1666</v>
      </c>
      <c r="B38" s="378" t="s">
        <v>950</v>
      </c>
      <c r="C38" s="1033"/>
      <c r="D38" s="1033"/>
      <c r="E38" s="1033"/>
      <c r="F38" s="1033"/>
      <c r="G38" s="1033"/>
      <c r="H38" s="1033"/>
      <c r="I38" s="1033"/>
      <c r="J38" s="1033"/>
      <c r="K38" s="1033"/>
      <c r="L38" s="90"/>
      <c r="M38" s="51"/>
      <c r="N38" s="113">
        <f t="shared" si="4"/>
        <v>1666</v>
      </c>
      <c r="O38" s="8">
        <v>0</v>
      </c>
      <c r="P38" s="121"/>
      <c r="Q38" s="122"/>
      <c r="R38" s="121"/>
      <c r="S38" s="579">
        <v>0</v>
      </c>
      <c r="T38" s="580">
        <f t="shared" si="3"/>
        <v>0</v>
      </c>
      <c r="U38" s="51"/>
      <c r="V38" s="2119">
        <f t="shared" si="5"/>
        <v>0</v>
      </c>
      <c r="W38" s="2116"/>
      <c r="X38" s="43"/>
      <c r="Y38" s="43"/>
      <c r="Z38" s="43"/>
    </row>
    <row r="39" spans="1:26">
      <c r="A39" s="88">
        <v>1667</v>
      </c>
      <c r="B39" s="378" t="s">
        <v>951</v>
      </c>
      <c r="C39" s="1033"/>
      <c r="D39" s="1033"/>
      <c r="E39" s="1033"/>
      <c r="F39" s="1033"/>
      <c r="G39" s="1033"/>
      <c r="H39" s="1033"/>
      <c r="I39" s="1033"/>
      <c r="J39" s="1033"/>
      <c r="K39" s="1033"/>
      <c r="L39" s="90"/>
      <c r="M39" s="51"/>
      <c r="N39" s="113">
        <f t="shared" si="4"/>
        <v>1667</v>
      </c>
      <c r="O39" s="8">
        <v>0</v>
      </c>
      <c r="P39" s="121"/>
      <c r="Q39" s="122"/>
      <c r="R39" s="121"/>
      <c r="S39" s="579">
        <v>0</v>
      </c>
      <c r="T39" s="580">
        <f t="shared" si="3"/>
        <v>0</v>
      </c>
      <c r="U39" s="51"/>
      <c r="V39" s="2119">
        <f t="shared" si="5"/>
        <v>0</v>
      </c>
      <c r="W39" s="2116"/>
      <c r="X39" s="43"/>
      <c r="Y39" s="43"/>
      <c r="Z39" s="43"/>
    </row>
    <row r="40" spans="1:26">
      <c r="A40" s="88">
        <v>1669</v>
      </c>
      <c r="B40" s="378" t="s">
        <v>212</v>
      </c>
      <c r="C40" s="1033"/>
      <c r="D40" s="1033"/>
      <c r="E40" s="1033"/>
      <c r="F40" s="1033"/>
      <c r="G40" s="1033"/>
      <c r="H40" s="1033"/>
      <c r="I40" s="1033"/>
      <c r="J40" s="1033"/>
      <c r="K40" s="1033"/>
      <c r="L40" s="90"/>
      <c r="M40" s="51"/>
      <c r="N40" s="113">
        <f t="shared" si="4"/>
        <v>1669</v>
      </c>
      <c r="O40" s="8">
        <v>0</v>
      </c>
      <c r="P40" s="121"/>
      <c r="Q40" s="122"/>
      <c r="R40" s="121"/>
      <c r="S40" s="579">
        <v>0</v>
      </c>
      <c r="T40" s="580">
        <f t="shared" si="3"/>
        <v>0</v>
      </c>
      <c r="U40" s="51"/>
      <c r="V40" s="2119">
        <f t="shared" si="5"/>
        <v>0</v>
      </c>
      <c r="W40" s="2116"/>
      <c r="X40" s="43"/>
      <c r="Y40" s="43"/>
      <c r="Z40" s="43"/>
    </row>
    <row r="41" spans="1:26">
      <c r="A41" s="88">
        <v>1681</v>
      </c>
      <c r="B41" s="378" t="s">
        <v>965</v>
      </c>
      <c r="C41" s="1033"/>
      <c r="D41" s="1033"/>
      <c r="E41" s="1033"/>
      <c r="F41" s="1033"/>
      <c r="G41" s="1033"/>
      <c r="H41" s="1033"/>
      <c r="I41" s="1033"/>
      <c r="J41" s="1033"/>
      <c r="K41" s="1033"/>
      <c r="L41" s="574"/>
      <c r="M41" s="51"/>
      <c r="N41" s="113">
        <f t="shared" si="4"/>
        <v>1681</v>
      </c>
      <c r="O41" s="575">
        <v>0</v>
      </c>
      <c r="P41" s="576"/>
      <c r="Q41" s="122"/>
      <c r="R41" s="121"/>
      <c r="S41" s="579">
        <v>0</v>
      </c>
      <c r="T41" s="580">
        <f t="shared" si="3"/>
        <v>0</v>
      </c>
      <c r="U41" s="51"/>
      <c r="V41" s="2119">
        <f t="shared" si="5"/>
        <v>0</v>
      </c>
      <c r="W41" s="2116"/>
      <c r="X41" s="43"/>
      <c r="Y41" s="43"/>
      <c r="Z41" s="43"/>
    </row>
    <row r="42" spans="1:26">
      <c r="A42" s="88">
        <v>1685</v>
      </c>
      <c r="B42" s="378" t="s">
        <v>966</v>
      </c>
      <c r="C42" s="1033"/>
      <c r="D42" s="1033"/>
      <c r="E42" s="1033"/>
      <c r="F42" s="1033"/>
      <c r="G42" s="1033"/>
      <c r="H42" s="1033"/>
      <c r="I42" s="1033"/>
      <c r="J42" s="1033"/>
      <c r="K42" s="1033"/>
      <c r="L42" s="574"/>
      <c r="M42" s="51"/>
      <c r="N42" s="113">
        <f t="shared" si="4"/>
        <v>1685</v>
      </c>
      <c r="O42" s="575">
        <v>0</v>
      </c>
      <c r="P42" s="576"/>
      <c r="Q42" s="122"/>
      <c r="R42" s="121"/>
      <c r="S42" s="579">
        <v>0</v>
      </c>
      <c r="T42" s="580">
        <f t="shared" si="3"/>
        <v>0</v>
      </c>
      <c r="U42" s="51"/>
      <c r="V42" s="2119">
        <f t="shared" si="5"/>
        <v>0</v>
      </c>
      <c r="W42" s="2116"/>
      <c r="X42" s="43"/>
      <c r="Y42" s="43"/>
      <c r="Z42" s="43"/>
    </row>
    <row r="43" spans="1:26">
      <c r="A43" s="88">
        <v>1686</v>
      </c>
      <c r="B43" s="378" t="s">
        <v>967</v>
      </c>
      <c r="C43" s="1033"/>
      <c r="D43" s="1033"/>
      <c r="E43" s="1033"/>
      <c r="F43" s="1033"/>
      <c r="G43" s="1033"/>
      <c r="H43" s="1033"/>
      <c r="I43" s="1033"/>
      <c r="J43" s="1033"/>
      <c r="K43" s="1033"/>
      <c r="L43" s="574"/>
      <c r="M43" s="51"/>
      <c r="N43" s="113">
        <f t="shared" si="4"/>
        <v>1686</v>
      </c>
      <c r="O43" s="575">
        <v>0</v>
      </c>
      <c r="P43" s="576"/>
      <c r="Q43" s="122"/>
      <c r="R43" s="121"/>
      <c r="S43" s="579">
        <v>0</v>
      </c>
      <c r="T43" s="580">
        <f t="shared" si="3"/>
        <v>0</v>
      </c>
      <c r="U43" s="51"/>
      <c r="V43" s="2119">
        <f t="shared" si="5"/>
        <v>0</v>
      </c>
      <c r="W43" s="2116"/>
      <c r="X43" s="43"/>
      <c r="Y43" s="43"/>
      <c r="Z43" s="43"/>
    </row>
    <row r="44" spans="1:26">
      <c r="A44" s="88">
        <v>1688</v>
      </c>
      <c r="B44" s="378" t="s">
        <v>968</v>
      </c>
      <c r="C44" s="1033"/>
      <c r="D44" s="1033"/>
      <c r="E44" s="1033"/>
      <c r="F44" s="1033"/>
      <c r="G44" s="1033"/>
      <c r="H44" s="1033"/>
      <c r="I44" s="1033"/>
      <c r="J44" s="1033"/>
      <c r="K44" s="1033"/>
      <c r="L44" s="574"/>
      <c r="M44" s="51"/>
      <c r="N44" s="113">
        <f t="shared" si="4"/>
        <v>1688</v>
      </c>
      <c r="O44" s="575">
        <v>0</v>
      </c>
      <c r="P44" s="576"/>
      <c r="Q44" s="122"/>
      <c r="R44" s="121"/>
      <c r="S44" s="579">
        <v>0</v>
      </c>
      <c r="T44" s="580">
        <f t="shared" si="3"/>
        <v>0</v>
      </c>
      <c r="U44" s="51"/>
      <c r="V44" s="2119">
        <f t="shared" si="5"/>
        <v>0</v>
      </c>
      <c r="W44" s="2116"/>
      <c r="X44" s="43"/>
      <c r="Y44" s="43"/>
      <c r="Z44" s="43"/>
    </row>
    <row r="45" spans="1:26">
      <c r="A45" s="88">
        <v>1689</v>
      </c>
      <c r="B45" s="378" t="s">
        <v>969</v>
      </c>
      <c r="C45" s="1033"/>
      <c r="D45" s="1033"/>
      <c r="E45" s="1033"/>
      <c r="F45" s="1033"/>
      <c r="G45" s="1033"/>
      <c r="H45" s="1033"/>
      <c r="I45" s="1033"/>
      <c r="J45" s="1033"/>
      <c r="K45" s="1033"/>
      <c r="L45" s="574"/>
      <c r="M45" s="51"/>
      <c r="N45" s="113">
        <f t="shared" si="4"/>
        <v>1689</v>
      </c>
      <c r="O45" s="575">
        <v>0</v>
      </c>
      <c r="P45" s="576"/>
      <c r="Q45" s="122"/>
      <c r="R45" s="121"/>
      <c r="S45" s="579">
        <v>0</v>
      </c>
      <c r="T45" s="580">
        <f t="shared" si="3"/>
        <v>0</v>
      </c>
      <c r="U45" s="51"/>
      <c r="V45" s="2119">
        <f t="shared" si="5"/>
        <v>0</v>
      </c>
      <c r="W45" s="2116"/>
      <c r="X45" s="43"/>
      <c r="Y45" s="43"/>
      <c r="Z45" s="43"/>
    </row>
    <row r="46" spans="1:26">
      <c r="A46" s="370">
        <v>1701</v>
      </c>
      <c r="B46" s="378" t="s">
        <v>213</v>
      </c>
      <c r="C46" s="1033"/>
      <c r="D46" s="1033"/>
      <c r="E46" s="1033"/>
      <c r="F46" s="1033"/>
      <c r="G46" s="1033"/>
      <c r="H46" s="1033"/>
      <c r="I46" s="1033"/>
      <c r="J46" s="1033"/>
      <c r="K46" s="1033"/>
      <c r="L46" s="90"/>
      <c r="M46" s="51"/>
      <c r="N46" s="113">
        <f t="shared" si="4"/>
        <v>1701</v>
      </c>
      <c r="O46" s="575">
        <v>0</v>
      </c>
      <c r="P46" s="576"/>
      <c r="Q46" s="122"/>
      <c r="R46" s="121"/>
      <c r="S46" s="579">
        <v>0</v>
      </c>
      <c r="T46" s="580">
        <f t="shared" ref="T46:T53" si="6">+IF(ABS(+O46+Q46)&lt;=ABS(P46+R46),-O46+P46-Q46+R46,0)</f>
        <v>0</v>
      </c>
      <c r="U46" s="51"/>
      <c r="V46" s="2119">
        <f t="shared" si="5"/>
        <v>0</v>
      </c>
      <c r="W46" s="2116"/>
      <c r="X46" s="43"/>
      <c r="Y46" s="43"/>
      <c r="Z46" s="43"/>
    </row>
    <row r="47" spans="1:26">
      <c r="A47" s="88">
        <v>1702</v>
      </c>
      <c r="B47" s="378" t="s">
        <v>214</v>
      </c>
      <c r="C47" s="1033"/>
      <c r="D47" s="1033"/>
      <c r="E47" s="1033"/>
      <c r="F47" s="1033"/>
      <c r="G47" s="1033"/>
      <c r="H47" s="1033"/>
      <c r="I47" s="1033"/>
      <c r="J47" s="1033"/>
      <c r="K47" s="1033"/>
      <c r="L47" s="90"/>
      <c r="M47" s="51"/>
      <c r="N47" s="113">
        <f t="shared" si="4"/>
        <v>1702</v>
      </c>
      <c r="O47" s="8">
        <v>0</v>
      </c>
      <c r="P47" s="121"/>
      <c r="Q47" s="122"/>
      <c r="R47" s="121"/>
      <c r="S47" s="579">
        <v>0</v>
      </c>
      <c r="T47" s="580">
        <f t="shared" si="6"/>
        <v>0</v>
      </c>
      <c r="U47" s="51"/>
      <c r="V47" s="2119">
        <f t="shared" si="5"/>
        <v>0</v>
      </c>
      <c r="W47" s="2116"/>
      <c r="X47" s="43"/>
      <c r="Y47" s="43"/>
      <c r="Z47" s="43"/>
    </row>
    <row r="48" spans="1:26">
      <c r="A48" s="88">
        <v>1707</v>
      </c>
      <c r="B48" s="378" t="s">
        <v>970</v>
      </c>
      <c r="C48" s="1033"/>
      <c r="D48" s="1033"/>
      <c r="E48" s="1033"/>
      <c r="F48" s="1033"/>
      <c r="G48" s="1033"/>
      <c r="H48" s="1033"/>
      <c r="I48" s="1033"/>
      <c r="J48" s="1033"/>
      <c r="K48" s="1033"/>
      <c r="L48" s="90"/>
      <c r="M48" s="51"/>
      <c r="N48" s="113">
        <f t="shared" si="4"/>
        <v>1707</v>
      </c>
      <c r="O48" s="8">
        <v>0</v>
      </c>
      <c r="P48" s="121"/>
      <c r="Q48" s="122"/>
      <c r="R48" s="121"/>
      <c r="S48" s="579">
        <v>0</v>
      </c>
      <c r="T48" s="580">
        <f t="shared" si="6"/>
        <v>0</v>
      </c>
      <c r="U48" s="51"/>
      <c r="V48" s="2119">
        <f t="shared" si="5"/>
        <v>0</v>
      </c>
      <c r="W48" s="2116"/>
      <c r="X48" s="43"/>
      <c r="Y48" s="43"/>
      <c r="Z48" s="43"/>
    </row>
    <row r="49" spans="1:26">
      <c r="A49" s="88">
        <v>1708</v>
      </c>
      <c r="B49" s="378" t="s">
        <v>971</v>
      </c>
      <c r="C49" s="1033"/>
      <c r="D49" s="1033"/>
      <c r="E49" s="1033"/>
      <c r="F49" s="1033"/>
      <c r="G49" s="1033"/>
      <c r="H49" s="1033"/>
      <c r="I49" s="1033"/>
      <c r="J49" s="1033"/>
      <c r="K49" s="1033"/>
      <c r="L49" s="90"/>
      <c r="M49" s="51"/>
      <c r="N49" s="113">
        <f t="shared" si="4"/>
        <v>1708</v>
      </c>
      <c r="O49" s="8">
        <v>0</v>
      </c>
      <c r="P49" s="121"/>
      <c r="Q49" s="122"/>
      <c r="R49" s="121"/>
      <c r="S49" s="579">
        <v>0</v>
      </c>
      <c r="T49" s="580">
        <f t="shared" si="6"/>
        <v>0</v>
      </c>
      <c r="U49" s="51"/>
      <c r="V49" s="2119">
        <f t="shared" si="5"/>
        <v>0</v>
      </c>
      <c r="W49" s="2116"/>
      <c r="X49" s="43"/>
      <c r="Y49" s="43"/>
      <c r="Z49" s="43"/>
    </row>
    <row r="50" spans="1:26">
      <c r="A50" s="88">
        <v>1911</v>
      </c>
      <c r="B50" s="378" t="s">
        <v>215</v>
      </c>
      <c r="C50" s="1033"/>
      <c r="D50" s="1033"/>
      <c r="E50" s="1033"/>
      <c r="F50" s="1033"/>
      <c r="G50" s="1033"/>
      <c r="H50" s="1033"/>
      <c r="I50" s="1033"/>
      <c r="J50" s="1033"/>
      <c r="K50" s="1033"/>
      <c r="L50" s="90"/>
      <c r="M50" s="51"/>
      <c r="N50" s="113">
        <f t="shared" si="4"/>
        <v>1911</v>
      </c>
      <c r="O50" s="8">
        <v>0</v>
      </c>
      <c r="P50" s="121">
        <v>0</v>
      </c>
      <c r="Q50" s="122">
        <v>0</v>
      </c>
      <c r="R50" s="121">
        <v>0</v>
      </c>
      <c r="S50" s="579">
        <v>0</v>
      </c>
      <c r="T50" s="580">
        <f t="shared" si="6"/>
        <v>0</v>
      </c>
      <c r="U50" s="51"/>
      <c r="V50" s="2119">
        <f t="shared" si="5"/>
        <v>0</v>
      </c>
      <c r="W50" s="2116"/>
      <c r="X50" s="43"/>
      <c r="Y50" s="43"/>
      <c r="Z50" s="43"/>
    </row>
    <row r="51" spans="1:26">
      <c r="A51" s="88">
        <v>1912</v>
      </c>
      <c r="B51" s="378" t="s">
        <v>216</v>
      </c>
      <c r="C51" s="1033"/>
      <c r="D51" s="1033"/>
      <c r="E51" s="1033"/>
      <c r="F51" s="1033"/>
      <c r="G51" s="1033"/>
      <c r="H51" s="1033"/>
      <c r="I51" s="1033"/>
      <c r="J51" s="1033"/>
      <c r="K51" s="1033"/>
      <c r="L51" s="90"/>
      <c r="M51" s="51"/>
      <c r="N51" s="113">
        <f t="shared" si="4"/>
        <v>1912</v>
      </c>
      <c r="O51" s="8">
        <v>0</v>
      </c>
      <c r="P51" s="121"/>
      <c r="Q51" s="122"/>
      <c r="R51" s="121"/>
      <c r="S51" s="579">
        <v>0</v>
      </c>
      <c r="T51" s="580">
        <f t="shared" si="6"/>
        <v>0</v>
      </c>
      <c r="U51" s="51"/>
      <c r="V51" s="2119">
        <f t="shared" si="5"/>
        <v>0</v>
      </c>
      <c r="W51" s="2116"/>
      <c r="X51" s="43"/>
      <c r="Y51" s="43"/>
      <c r="Z51" s="43"/>
    </row>
    <row r="52" spans="1:26">
      <c r="A52" s="88">
        <v>1913</v>
      </c>
      <c r="B52" s="378" t="s">
        <v>217</v>
      </c>
      <c r="C52" s="1033"/>
      <c r="D52" s="1033"/>
      <c r="E52" s="1033"/>
      <c r="F52" s="1033"/>
      <c r="G52" s="1033"/>
      <c r="H52" s="1033"/>
      <c r="I52" s="1033"/>
      <c r="J52" s="1033"/>
      <c r="K52" s="1033"/>
      <c r="L52" s="90"/>
      <c r="M52" s="51"/>
      <c r="N52" s="113">
        <f t="shared" si="4"/>
        <v>1913</v>
      </c>
      <c r="O52" s="8">
        <v>0</v>
      </c>
      <c r="P52" s="121"/>
      <c r="Q52" s="122"/>
      <c r="R52" s="121"/>
      <c r="S52" s="579">
        <v>0</v>
      </c>
      <c r="T52" s="580">
        <f t="shared" si="6"/>
        <v>0</v>
      </c>
      <c r="U52" s="51"/>
      <c r="V52" s="2119">
        <f t="shared" si="5"/>
        <v>0</v>
      </c>
      <c r="W52" s="2116"/>
      <c r="X52" s="43"/>
      <c r="Y52" s="43"/>
      <c r="Z52" s="43"/>
    </row>
    <row r="53" spans="1:26">
      <c r="A53" s="88">
        <v>1914</v>
      </c>
      <c r="B53" s="378" t="s">
        <v>218</v>
      </c>
      <c r="C53" s="1033"/>
      <c r="D53" s="1033"/>
      <c r="E53" s="1033"/>
      <c r="F53" s="1033"/>
      <c r="G53" s="1033"/>
      <c r="H53" s="1033"/>
      <c r="I53" s="1033"/>
      <c r="J53" s="1033"/>
      <c r="K53" s="1033"/>
      <c r="L53" s="90"/>
      <c r="M53" s="51"/>
      <c r="N53" s="113">
        <f t="shared" si="4"/>
        <v>1914</v>
      </c>
      <c r="O53" s="8">
        <v>0</v>
      </c>
      <c r="P53" s="121"/>
      <c r="Q53" s="122"/>
      <c r="R53" s="121"/>
      <c r="S53" s="579">
        <v>0</v>
      </c>
      <c r="T53" s="580">
        <f t="shared" si="6"/>
        <v>0</v>
      </c>
      <c r="U53" s="51"/>
      <c r="V53" s="2119">
        <f>+IF(OR(+ROUND(O53,2)+ROUND(Q53,2)&gt;ROUND(P53,2)+ROUND(R53,2),+ABS(ROUND(O53,2)+ROUND(Q53,2))&gt;+ABS(ROUND(P53,2)+ROUND(R53,2))),+(ROUND(O53,2)+ROUND(Q53,2))-(ROUND(P53,2)+ROUND(R53,2)),0)</f>
        <v>0</v>
      </c>
      <c r="W53" s="2116"/>
      <c r="X53" s="43"/>
      <c r="Y53" s="43"/>
      <c r="Z53" s="43"/>
    </row>
    <row r="54" spans="1:26">
      <c r="A54" s="88">
        <v>1917</v>
      </c>
      <c r="B54" s="378" t="s">
        <v>219</v>
      </c>
      <c r="C54" s="1033"/>
      <c r="D54" s="1033"/>
      <c r="E54" s="1033"/>
      <c r="F54" s="1033"/>
      <c r="G54" s="1033"/>
      <c r="H54" s="1033"/>
      <c r="I54" s="1033"/>
      <c r="J54" s="1033"/>
      <c r="K54" s="1033"/>
      <c r="L54" s="90"/>
      <c r="M54" s="51"/>
      <c r="N54" s="113">
        <f t="shared" si="4"/>
        <v>1917</v>
      </c>
      <c r="O54" s="120">
        <v>0</v>
      </c>
      <c r="P54" s="9">
        <v>0</v>
      </c>
      <c r="Q54" s="122">
        <v>0</v>
      </c>
      <c r="R54" s="121">
        <v>0</v>
      </c>
      <c r="S54" s="583">
        <f>+IF(ABS(+O54+Q54)&gt;=ABS(P54+R54),+O54-P54+Q54-R54,0)</f>
        <v>0</v>
      </c>
      <c r="T54" s="584">
        <v>0</v>
      </c>
      <c r="U54" s="51"/>
      <c r="V54" s="2120">
        <f>+IF(OR(ROUND(P54,2)+ROUND(R54,2)&gt;+ROUND(O54,2)+ROUND(Q54,2),+ABS(ROUND(P54,2)+ROUND(R54,2))&gt;+ABS(ROUND(O54,2)+ROUND(Q54,2))),+(ROUND(P54,2)+ROUND(R54,2))-(ROUND(O54,2)+ROUND(Q54,2)),0)</f>
        <v>0</v>
      </c>
      <c r="W54" s="2116"/>
      <c r="X54" s="43"/>
      <c r="Y54" s="43"/>
      <c r="Z54" s="43"/>
    </row>
    <row r="55" spans="1:26">
      <c r="A55" s="88">
        <v>1918</v>
      </c>
      <c r="B55" s="378" t="s">
        <v>952</v>
      </c>
      <c r="C55" s="1033"/>
      <c r="D55" s="1033"/>
      <c r="E55" s="1033"/>
      <c r="F55" s="1033"/>
      <c r="G55" s="1033"/>
      <c r="H55" s="1033"/>
      <c r="I55" s="1033"/>
      <c r="J55" s="1033"/>
      <c r="K55" s="1033"/>
      <c r="L55" s="90"/>
      <c r="M55" s="51"/>
      <c r="N55" s="113">
        <f t="shared" si="4"/>
        <v>1918</v>
      </c>
      <c r="O55" s="120"/>
      <c r="P55" s="9">
        <v>0</v>
      </c>
      <c r="Q55" s="122"/>
      <c r="R55" s="121"/>
      <c r="S55" s="583">
        <f>+IF(ABS(+O55+Q55)&gt;=ABS(P55+R55),+O55-P55+Q55-R55,0)</f>
        <v>0</v>
      </c>
      <c r="T55" s="584">
        <v>0</v>
      </c>
      <c r="U55" s="51"/>
      <c r="V55" s="2120">
        <f>+IF(OR(ROUND(P55,2)+ROUND(R55,2)&gt;+ROUND(O55,2)+ROUND(Q55,2),+ABS(ROUND(P55,2)+ROUND(R55,2))&gt;+ABS(ROUND(O55,2)+ROUND(Q55,2))),+(ROUND(P55,2)+ROUND(R55,2))-(ROUND(O55,2)+ROUND(Q55,2)),0)</f>
        <v>0</v>
      </c>
      <c r="W55" s="2116"/>
      <c r="X55" s="43"/>
      <c r="Y55" s="43"/>
      <c r="Z55" s="43"/>
    </row>
    <row r="56" spans="1:26">
      <c r="A56" s="88">
        <v>1921</v>
      </c>
      <c r="B56" s="378" t="s">
        <v>860</v>
      </c>
      <c r="C56" s="1037"/>
      <c r="D56" s="1037"/>
      <c r="E56" s="1037"/>
      <c r="F56" s="1037"/>
      <c r="G56" s="1037"/>
      <c r="H56" s="1037"/>
      <c r="I56" s="1037"/>
      <c r="J56" s="1037"/>
      <c r="K56" s="1037"/>
      <c r="L56" s="590"/>
      <c r="M56" s="51"/>
      <c r="N56" s="113">
        <f t="shared" si="4"/>
        <v>1921</v>
      </c>
      <c r="O56" s="575">
        <v>0</v>
      </c>
      <c r="P56" s="576"/>
      <c r="Q56" s="589"/>
      <c r="R56" s="121"/>
      <c r="S56" s="579">
        <v>0</v>
      </c>
      <c r="T56" s="580">
        <f t="shared" ref="T56:T69" si="7">+IF(ABS(+O56+Q56)&lt;=ABS(P56+R56),-O56+P56-Q56+R56,0)</f>
        <v>0</v>
      </c>
      <c r="U56" s="51"/>
      <c r="V56" s="2119">
        <f>+IF(OR(+ROUND(O56,2)+ROUND(Q56,2)&gt;ROUND(P56,2)+ROUND(R56,2),+ABS(ROUND(O56,2)+ROUND(Q56,2))&gt;+ABS(ROUND(P56,2)+ROUND(R56,2))),+(ROUND(O56,2)+ROUND(Q56,2))-(ROUND(P56,2)+ROUND(R56,2)),0)</f>
        <v>0</v>
      </c>
      <c r="W56" s="2116"/>
      <c r="X56" s="43"/>
      <c r="Y56" s="43"/>
      <c r="Z56" s="43"/>
    </row>
    <row r="57" spans="1:26">
      <c r="A57" s="88">
        <v>1922</v>
      </c>
      <c r="B57" s="378" t="s">
        <v>861</v>
      </c>
      <c r="C57" s="1037"/>
      <c r="D57" s="1037"/>
      <c r="E57" s="1037"/>
      <c r="F57" s="1037"/>
      <c r="G57" s="1037"/>
      <c r="H57" s="1037"/>
      <c r="I57" s="1037"/>
      <c r="J57" s="1037"/>
      <c r="K57" s="1037"/>
      <c r="L57" s="590"/>
      <c r="M57" s="51"/>
      <c r="N57" s="113">
        <f t="shared" si="4"/>
        <v>1922</v>
      </c>
      <c r="O57" s="575">
        <v>0</v>
      </c>
      <c r="P57" s="576"/>
      <c r="Q57" s="589"/>
      <c r="R57" s="121"/>
      <c r="S57" s="579">
        <v>0</v>
      </c>
      <c r="T57" s="580">
        <f t="shared" si="7"/>
        <v>0</v>
      </c>
      <c r="U57" s="51"/>
      <c r="V57" s="2119">
        <f>+IF(OR(+ROUND(O57,2)+ROUND(Q57,2)&gt;ROUND(P57,2)+ROUND(R57,2),+ABS(ROUND(O57,2)+ROUND(Q57,2))&gt;+ABS(ROUND(P57,2)+ROUND(R57,2))),+(ROUND(O57,2)+ROUND(Q57,2))-(ROUND(P57,2)+ROUND(R57,2)),0)</f>
        <v>0</v>
      </c>
      <c r="W57" s="2116"/>
      <c r="X57" s="43"/>
      <c r="Y57" s="43"/>
      <c r="Z57" s="43"/>
    </row>
    <row r="58" spans="1:26">
      <c r="A58" s="88">
        <v>1923</v>
      </c>
      <c r="B58" s="378" t="s">
        <v>220</v>
      </c>
      <c r="C58" s="1037"/>
      <c r="D58" s="1037"/>
      <c r="E58" s="1037"/>
      <c r="F58" s="1037"/>
      <c r="G58" s="1037"/>
      <c r="H58" s="1037"/>
      <c r="I58" s="1037"/>
      <c r="J58" s="1037"/>
      <c r="K58" s="1037"/>
      <c r="L58" s="590"/>
      <c r="M58" s="51"/>
      <c r="N58" s="113">
        <f t="shared" ref="N58:N69" si="8">+A58</f>
        <v>1923</v>
      </c>
      <c r="O58" s="575">
        <v>0</v>
      </c>
      <c r="P58" s="576"/>
      <c r="Q58" s="589"/>
      <c r="R58" s="121"/>
      <c r="S58" s="579">
        <v>0</v>
      </c>
      <c r="T58" s="580">
        <f t="shared" si="7"/>
        <v>0</v>
      </c>
      <c r="U58" s="51"/>
      <c r="V58" s="2119">
        <f>+IF(OR(+ROUND(O58,2)+ROUND(Q58,2)&gt;ROUND(P58,2)+ROUND(R58,2),+ABS(ROUND(O58,2)+ROUND(Q58,2))&gt;+ABS(ROUND(P58,2)+ROUND(R58,2))),+(ROUND(O58,2)+ROUND(Q58,2))-(ROUND(P58,2)+ROUND(R58,2)),0)</f>
        <v>0</v>
      </c>
      <c r="W58" s="2116"/>
      <c r="X58" s="43"/>
      <c r="Y58" s="43"/>
      <c r="Z58" s="43"/>
    </row>
    <row r="59" spans="1:26">
      <c r="A59" s="88">
        <v>1924</v>
      </c>
      <c r="B59" s="378" t="s">
        <v>221</v>
      </c>
      <c r="C59" s="1037"/>
      <c r="D59" s="1037"/>
      <c r="E59" s="1037"/>
      <c r="F59" s="1037"/>
      <c r="G59" s="1037"/>
      <c r="H59" s="1037"/>
      <c r="I59" s="1037"/>
      <c r="J59" s="1037"/>
      <c r="K59" s="1037"/>
      <c r="L59" s="590"/>
      <c r="M59" s="51"/>
      <c r="N59" s="113">
        <f t="shared" si="8"/>
        <v>1924</v>
      </c>
      <c r="O59" s="575">
        <v>0</v>
      </c>
      <c r="P59" s="576"/>
      <c r="Q59" s="589"/>
      <c r="R59" s="121"/>
      <c r="S59" s="579">
        <v>0</v>
      </c>
      <c r="T59" s="580">
        <f t="shared" si="7"/>
        <v>0</v>
      </c>
      <c r="U59" s="51"/>
      <c r="V59" s="2119">
        <f>+IF(OR(+ROUND(O59,2)+ROUND(Q59,2)&gt;ROUND(P59,2)+ROUND(R59,2),+ABS(ROUND(O59,2)+ROUND(Q59,2))&gt;+ABS(ROUND(P59,2)+ROUND(R59,2))),+(ROUND(O59,2)+ROUND(Q59,2))-(ROUND(P59,2)+ROUND(R59,2)),0)</f>
        <v>0</v>
      </c>
      <c r="W59" s="2116"/>
      <c r="X59" s="43"/>
      <c r="Y59" s="43"/>
      <c r="Z59" s="43"/>
    </row>
    <row r="60" spans="1:26" ht="15.75" customHeight="1">
      <c r="A60" s="88">
        <v>1927</v>
      </c>
      <c r="B60" s="378" t="s">
        <v>222</v>
      </c>
      <c r="C60" s="1038"/>
      <c r="D60" s="1038"/>
      <c r="E60" s="1038"/>
      <c r="F60" s="1038"/>
      <c r="G60" s="1038"/>
      <c r="H60" s="1038"/>
      <c r="I60" s="1038"/>
      <c r="J60" s="1038"/>
      <c r="K60" s="1038"/>
      <c r="L60" s="590"/>
      <c r="M60" s="51"/>
      <c r="N60" s="113">
        <f t="shared" si="8"/>
        <v>1927</v>
      </c>
      <c r="O60" s="581"/>
      <c r="P60" s="576"/>
      <c r="Q60" s="589"/>
      <c r="R60" s="576"/>
      <c r="S60" s="583">
        <f>+IF(ABS(+O60+Q60)&gt;=ABS(P60+R60),+O60-P60+Q60-R60,0)</f>
        <v>0</v>
      </c>
      <c r="T60" s="580">
        <f t="shared" si="7"/>
        <v>0</v>
      </c>
      <c r="U60" s="51"/>
      <c r="V60" s="2119"/>
      <c r="W60" s="2116"/>
      <c r="X60" s="43"/>
      <c r="Y60" s="43"/>
      <c r="Z60" s="43"/>
    </row>
    <row r="61" spans="1:26" ht="15.75" customHeight="1">
      <c r="A61" s="88">
        <v>1928</v>
      </c>
      <c r="B61" s="378" t="s">
        <v>223</v>
      </c>
      <c r="C61" s="1038"/>
      <c r="D61" s="1038"/>
      <c r="E61" s="1038"/>
      <c r="F61" s="1038"/>
      <c r="G61" s="1038"/>
      <c r="H61" s="1038"/>
      <c r="I61" s="1038"/>
      <c r="J61" s="1038"/>
      <c r="K61" s="1038"/>
      <c r="L61" s="590"/>
      <c r="M61" s="51"/>
      <c r="N61" s="113">
        <f t="shared" si="8"/>
        <v>1928</v>
      </c>
      <c r="O61" s="581"/>
      <c r="P61" s="576"/>
      <c r="Q61" s="589"/>
      <c r="R61" s="576"/>
      <c r="S61" s="583">
        <f>+IF(ABS(+O61+Q61)&gt;=ABS(P61+R61),+O61-P61+Q61-R61,0)</f>
        <v>0</v>
      </c>
      <c r="T61" s="580">
        <f t="shared" si="7"/>
        <v>0</v>
      </c>
      <c r="U61" s="51"/>
      <c r="V61" s="2119"/>
      <c r="W61" s="2116"/>
      <c r="X61" s="43"/>
      <c r="Y61" s="43"/>
      <c r="Z61" s="43"/>
    </row>
    <row r="62" spans="1:26">
      <c r="A62" s="88">
        <v>1991</v>
      </c>
      <c r="B62" s="378" t="s">
        <v>855</v>
      </c>
      <c r="C62" s="1039"/>
      <c r="D62" s="1039"/>
      <c r="E62" s="1039"/>
      <c r="F62" s="1039"/>
      <c r="G62" s="1039"/>
      <c r="H62" s="1039"/>
      <c r="I62" s="1039"/>
      <c r="J62" s="1039"/>
      <c r="K62" s="1039"/>
      <c r="L62" s="574"/>
      <c r="M62" s="51"/>
      <c r="N62" s="113">
        <f t="shared" si="8"/>
        <v>1991</v>
      </c>
      <c r="O62" s="575">
        <v>0</v>
      </c>
      <c r="P62" s="576"/>
      <c r="Q62" s="589"/>
      <c r="R62" s="121"/>
      <c r="S62" s="579">
        <v>0</v>
      </c>
      <c r="T62" s="580">
        <f t="shared" si="7"/>
        <v>0</v>
      </c>
      <c r="U62" s="51"/>
      <c r="V62" s="2119">
        <f t="shared" ref="V62:V69" si="9">+IF(OR(+ROUND(O62,2)+ROUND(Q62,2)&gt;ROUND(P62,2)+ROUND(R62,2),+ABS(ROUND(O62,2)+ROUND(Q62,2))&gt;+ABS(ROUND(P62,2)+ROUND(R62,2))),+(ROUND(O62,2)+ROUND(Q62,2))-(ROUND(P62,2)+ROUND(R62,2)),0)</f>
        <v>0</v>
      </c>
      <c r="W62" s="2116"/>
      <c r="X62" s="43"/>
      <c r="Y62" s="43"/>
      <c r="Z62" s="43"/>
    </row>
    <row r="63" spans="1:26">
      <c r="A63" s="88">
        <v>1992</v>
      </c>
      <c r="B63" s="378" t="s">
        <v>856</v>
      </c>
      <c r="C63" s="1039"/>
      <c r="D63" s="1039"/>
      <c r="E63" s="1039"/>
      <c r="F63" s="1039"/>
      <c r="G63" s="1039"/>
      <c r="H63" s="1039"/>
      <c r="I63" s="1039"/>
      <c r="J63" s="1039"/>
      <c r="K63" s="1039"/>
      <c r="L63" s="574"/>
      <c r="M63" s="51"/>
      <c r="N63" s="113">
        <f t="shared" si="8"/>
        <v>1992</v>
      </c>
      <c r="O63" s="575">
        <v>0</v>
      </c>
      <c r="P63" s="576"/>
      <c r="Q63" s="589"/>
      <c r="R63" s="121"/>
      <c r="S63" s="579">
        <v>0</v>
      </c>
      <c r="T63" s="580">
        <f t="shared" si="7"/>
        <v>0</v>
      </c>
      <c r="U63" s="51"/>
      <c r="V63" s="2119">
        <f t="shared" si="9"/>
        <v>0</v>
      </c>
      <c r="W63" s="2116"/>
      <c r="X63" s="43"/>
      <c r="Y63" s="43"/>
      <c r="Z63" s="43"/>
    </row>
    <row r="64" spans="1:26" ht="15.75" customHeight="1">
      <c r="A64" s="88">
        <v>1993</v>
      </c>
      <c r="B64" s="378" t="s">
        <v>857</v>
      </c>
      <c r="C64" s="1039"/>
      <c r="D64" s="1039"/>
      <c r="E64" s="1039"/>
      <c r="F64" s="1039"/>
      <c r="G64" s="1039"/>
      <c r="H64" s="1039"/>
      <c r="I64" s="1039"/>
      <c r="J64" s="1039"/>
      <c r="K64" s="1039"/>
      <c r="L64" s="574"/>
      <c r="M64" s="51"/>
      <c r="N64" s="113">
        <f t="shared" si="8"/>
        <v>1993</v>
      </c>
      <c r="O64" s="575">
        <v>0</v>
      </c>
      <c r="P64" s="576"/>
      <c r="Q64" s="589"/>
      <c r="R64" s="121"/>
      <c r="S64" s="579">
        <v>0</v>
      </c>
      <c r="T64" s="580">
        <f t="shared" si="7"/>
        <v>0</v>
      </c>
      <c r="U64" s="51"/>
      <c r="V64" s="2119">
        <f t="shared" si="9"/>
        <v>0</v>
      </c>
      <c r="W64" s="2116"/>
      <c r="X64" s="43"/>
      <c r="Y64" s="43"/>
      <c r="Z64" s="43"/>
    </row>
    <row r="65" spans="1:26" ht="15.75" customHeight="1">
      <c r="A65" s="88">
        <v>1994</v>
      </c>
      <c r="B65" s="378" t="s">
        <v>858</v>
      </c>
      <c r="C65" s="1039"/>
      <c r="D65" s="1039"/>
      <c r="E65" s="1039"/>
      <c r="F65" s="1039"/>
      <c r="G65" s="1039"/>
      <c r="H65" s="1039"/>
      <c r="I65" s="1039"/>
      <c r="J65" s="1039"/>
      <c r="K65" s="1039"/>
      <c r="L65" s="574"/>
      <c r="M65" s="51"/>
      <c r="N65" s="113">
        <f t="shared" si="8"/>
        <v>1994</v>
      </c>
      <c r="O65" s="575">
        <v>0</v>
      </c>
      <c r="P65" s="576"/>
      <c r="Q65" s="589"/>
      <c r="R65" s="121"/>
      <c r="S65" s="579">
        <v>0</v>
      </c>
      <c r="T65" s="580">
        <f t="shared" si="7"/>
        <v>0</v>
      </c>
      <c r="U65" s="51"/>
      <c r="V65" s="2119">
        <f t="shared" si="9"/>
        <v>0</v>
      </c>
      <c r="W65" s="2116"/>
      <c r="X65" s="43"/>
      <c r="Y65" s="43"/>
      <c r="Z65" s="43"/>
    </row>
    <row r="66" spans="1:26">
      <c r="A66" s="88">
        <v>1995</v>
      </c>
      <c r="B66" s="378" t="s">
        <v>859</v>
      </c>
      <c r="C66" s="1039"/>
      <c r="D66" s="1039"/>
      <c r="E66" s="1039"/>
      <c r="F66" s="1039"/>
      <c r="G66" s="1039"/>
      <c r="H66" s="1039"/>
      <c r="I66" s="1039"/>
      <c r="J66" s="1039"/>
      <c r="K66" s="1039"/>
      <c r="L66" s="574"/>
      <c r="M66" s="51"/>
      <c r="N66" s="113">
        <f t="shared" si="8"/>
        <v>1995</v>
      </c>
      <c r="O66" s="575">
        <v>0</v>
      </c>
      <c r="P66" s="576"/>
      <c r="Q66" s="589"/>
      <c r="R66" s="121"/>
      <c r="S66" s="579">
        <v>0</v>
      </c>
      <c r="T66" s="580">
        <f t="shared" si="7"/>
        <v>0</v>
      </c>
      <c r="U66" s="51"/>
      <c r="V66" s="2119">
        <f t="shared" si="9"/>
        <v>0</v>
      </c>
      <c r="W66" s="2116"/>
      <c r="X66" s="43"/>
      <c r="Y66" s="43"/>
      <c r="Z66" s="43"/>
    </row>
    <row r="67" spans="1:26">
      <c r="A67" s="88">
        <v>1996</v>
      </c>
      <c r="B67" s="378" t="s">
        <v>972</v>
      </c>
      <c r="C67" s="1039"/>
      <c r="D67" s="1039"/>
      <c r="E67" s="1039"/>
      <c r="F67" s="1039"/>
      <c r="G67" s="1039"/>
      <c r="H67" s="1039"/>
      <c r="I67" s="1039"/>
      <c r="J67" s="1039"/>
      <c r="K67" s="1039"/>
      <c r="L67" s="574"/>
      <c r="M67" s="51"/>
      <c r="N67" s="113">
        <f t="shared" si="8"/>
        <v>1996</v>
      </c>
      <c r="O67" s="575">
        <v>0</v>
      </c>
      <c r="P67" s="576"/>
      <c r="Q67" s="589"/>
      <c r="R67" s="121"/>
      <c r="S67" s="579">
        <v>0</v>
      </c>
      <c r="T67" s="580">
        <f t="shared" si="7"/>
        <v>0</v>
      </c>
      <c r="U67" s="51"/>
      <c r="V67" s="2119">
        <f t="shared" si="9"/>
        <v>0</v>
      </c>
      <c r="W67" s="2116"/>
      <c r="X67" s="43"/>
      <c r="Y67" s="43"/>
      <c r="Z67" s="43"/>
    </row>
    <row r="68" spans="1:26">
      <c r="A68" s="88">
        <v>1997</v>
      </c>
      <c r="B68" s="378" t="s">
        <v>224</v>
      </c>
      <c r="C68" s="1033"/>
      <c r="D68" s="1033"/>
      <c r="E68" s="1033"/>
      <c r="F68" s="1033"/>
      <c r="G68" s="1033"/>
      <c r="H68" s="1033"/>
      <c r="I68" s="1033"/>
      <c r="J68" s="1033"/>
      <c r="K68" s="1033"/>
      <c r="L68" s="90"/>
      <c r="M68" s="51"/>
      <c r="N68" s="113">
        <f t="shared" si="8"/>
        <v>1997</v>
      </c>
      <c r="O68" s="8">
        <v>0</v>
      </c>
      <c r="P68" s="121"/>
      <c r="Q68" s="122"/>
      <c r="R68" s="121"/>
      <c r="S68" s="579">
        <v>0</v>
      </c>
      <c r="T68" s="580">
        <f t="shared" si="7"/>
        <v>0</v>
      </c>
      <c r="U68" s="51"/>
      <c r="V68" s="2119">
        <f t="shared" si="9"/>
        <v>0</v>
      </c>
      <c r="W68" s="2116"/>
      <c r="X68" s="43"/>
      <c r="Y68" s="43"/>
      <c r="Z68" s="43"/>
    </row>
    <row r="69" spans="1:26">
      <c r="A69" s="88">
        <v>1998</v>
      </c>
      <c r="B69" s="378" t="s">
        <v>225</v>
      </c>
      <c r="C69" s="101"/>
      <c r="D69" s="101"/>
      <c r="E69" s="101"/>
      <c r="F69" s="101"/>
      <c r="G69" s="101"/>
      <c r="H69" s="101"/>
      <c r="I69" s="101"/>
      <c r="J69" s="101"/>
      <c r="K69" s="101"/>
      <c r="L69" s="102"/>
      <c r="M69" s="51"/>
      <c r="N69" s="116">
        <f t="shared" si="8"/>
        <v>1998</v>
      </c>
      <c r="O69" s="55">
        <v>0</v>
      </c>
      <c r="P69" s="127"/>
      <c r="Q69" s="126"/>
      <c r="R69" s="121"/>
      <c r="S69" s="382">
        <v>0</v>
      </c>
      <c r="T69" s="57">
        <f t="shared" si="7"/>
        <v>0</v>
      </c>
      <c r="U69" s="51"/>
      <c r="V69" s="2119">
        <f t="shared" si="9"/>
        <v>0</v>
      </c>
      <c r="W69" s="2116"/>
      <c r="X69" s="43"/>
      <c r="Y69" s="43"/>
      <c r="Z69" s="43"/>
    </row>
    <row r="70" spans="1:26">
      <c r="A70" s="379" t="s">
        <v>811</v>
      </c>
      <c r="B70" s="380"/>
      <c r="C70" s="380"/>
      <c r="D70" s="380"/>
      <c r="E70" s="380"/>
      <c r="F70" s="380"/>
      <c r="G70" s="380"/>
      <c r="H70" s="380"/>
      <c r="I70" s="380"/>
      <c r="J70" s="380"/>
      <c r="K70" s="380"/>
      <c r="L70" s="381"/>
      <c r="M70" s="51"/>
      <c r="N70" s="383">
        <v>2</v>
      </c>
      <c r="O70" s="384"/>
      <c r="P70" s="385"/>
      <c r="Q70" s="386"/>
      <c r="R70" s="385"/>
      <c r="S70" s="386"/>
      <c r="T70" s="387"/>
      <c r="U70" s="51"/>
      <c r="V70" s="2119"/>
      <c r="W70" s="2116"/>
      <c r="X70" s="43"/>
      <c r="Y70" s="43"/>
      <c r="Z70" s="43"/>
    </row>
    <row r="71" spans="1:26">
      <c r="A71" s="85">
        <v>2010</v>
      </c>
      <c r="B71" s="86" t="s">
        <v>973</v>
      </c>
      <c r="C71" s="86"/>
      <c r="D71" s="86"/>
      <c r="E71" s="86"/>
      <c r="F71" s="86"/>
      <c r="G71" s="86"/>
      <c r="H71" s="86"/>
      <c r="I71" s="86"/>
      <c r="J71" s="86"/>
      <c r="K71" s="86"/>
      <c r="L71" s="87"/>
      <c r="M71" s="51"/>
      <c r="N71" s="112">
        <f t="shared" ref="N71:N101" si="10">+A71</f>
        <v>2010</v>
      </c>
      <c r="O71" s="835"/>
      <c r="P71" s="836">
        <v>0</v>
      </c>
      <c r="Q71" s="577"/>
      <c r="R71" s="324"/>
      <c r="S71" s="837">
        <f t="shared" ref="S71:S89" si="11">+IF(ABS(+O71+Q71)&gt;=ABS(P71+R71),+O71-P71+Q71-R71,0)</f>
        <v>0</v>
      </c>
      <c r="T71" s="2168">
        <v>0</v>
      </c>
      <c r="U71" s="51"/>
      <c r="V71" s="2120">
        <f t="shared" ref="V71:V89" si="12">+IF(OR(ROUND(P71,2)+ROUND(R71,2)&gt;+ROUND(O71,2)+ROUND(Q71,2),+ABS(ROUND(P71,2)+ROUND(R71,2))&gt;+ABS(ROUND(O71,2)+ROUND(Q71,2))),+(ROUND(P71,2)+ROUND(R71,2))-(ROUND(O71,2)+ROUND(Q71,2)),0)</f>
        <v>0</v>
      </c>
      <c r="W71" s="2116"/>
      <c r="X71" s="43"/>
      <c r="Y71" s="43"/>
      <c r="Z71" s="43"/>
    </row>
    <row r="72" spans="1:26">
      <c r="A72" s="88">
        <v>2020</v>
      </c>
      <c r="B72" s="86" t="s">
        <v>812</v>
      </c>
      <c r="C72" s="86"/>
      <c r="D72" s="86"/>
      <c r="E72" s="86"/>
      <c r="F72" s="86"/>
      <c r="G72" s="86"/>
      <c r="H72" s="86"/>
      <c r="I72" s="86"/>
      <c r="J72" s="86"/>
      <c r="K72" s="86"/>
      <c r="L72" s="90"/>
      <c r="M72" s="51"/>
      <c r="N72" s="112">
        <f t="shared" si="10"/>
        <v>2020</v>
      </c>
      <c r="O72" s="835"/>
      <c r="P72" s="836">
        <v>0</v>
      </c>
      <c r="Q72" s="577"/>
      <c r="R72" s="324"/>
      <c r="S72" s="837">
        <f t="shared" si="11"/>
        <v>0</v>
      </c>
      <c r="T72" s="2168">
        <v>0</v>
      </c>
      <c r="U72" s="51"/>
      <c r="V72" s="2120">
        <f t="shared" si="12"/>
        <v>0</v>
      </c>
      <c r="W72" s="2116"/>
      <c r="X72" s="43"/>
      <c r="Y72" s="43"/>
      <c r="Z72" s="43"/>
    </row>
    <row r="73" spans="1:26">
      <c r="A73" s="88">
        <v>2031</v>
      </c>
      <c r="B73" s="86" t="s">
        <v>548</v>
      </c>
      <c r="C73" s="1033"/>
      <c r="D73" s="1033"/>
      <c r="E73" s="1033"/>
      <c r="F73" s="1033"/>
      <c r="G73" s="1033"/>
      <c r="H73" s="1033"/>
      <c r="I73" s="1033"/>
      <c r="J73" s="1033"/>
      <c r="K73" s="1033"/>
      <c r="L73" s="90"/>
      <c r="M73" s="51"/>
      <c r="N73" s="113">
        <f t="shared" si="10"/>
        <v>2031</v>
      </c>
      <c r="O73" s="581">
        <v>0</v>
      </c>
      <c r="P73" s="582">
        <v>0</v>
      </c>
      <c r="Q73" s="589">
        <v>0</v>
      </c>
      <c r="R73" s="121">
        <v>0</v>
      </c>
      <c r="S73" s="583">
        <f t="shared" si="11"/>
        <v>0</v>
      </c>
      <c r="T73" s="584">
        <v>0</v>
      </c>
      <c r="U73" s="51"/>
      <c r="V73" s="2120">
        <f t="shared" si="12"/>
        <v>0</v>
      </c>
      <c r="W73" s="2116"/>
      <c r="X73" s="43"/>
      <c r="Y73" s="43"/>
      <c r="Z73" s="43"/>
    </row>
    <row r="74" spans="1:26">
      <c r="A74" s="88">
        <v>2032</v>
      </c>
      <c r="B74" s="86" t="s">
        <v>974</v>
      </c>
      <c r="C74" s="1033"/>
      <c r="D74" s="1033"/>
      <c r="E74" s="1033"/>
      <c r="F74" s="1033"/>
      <c r="G74" s="1033"/>
      <c r="H74" s="1033"/>
      <c r="I74" s="1033"/>
      <c r="J74" s="1033"/>
      <c r="K74" s="1033"/>
      <c r="L74" s="90"/>
      <c r="M74" s="51"/>
      <c r="N74" s="113">
        <f t="shared" si="10"/>
        <v>2032</v>
      </c>
      <c r="O74" s="581"/>
      <c r="P74" s="582">
        <v>0</v>
      </c>
      <c r="Q74" s="589"/>
      <c r="R74" s="121"/>
      <c r="S74" s="583">
        <f t="shared" si="11"/>
        <v>0</v>
      </c>
      <c r="T74" s="584">
        <v>0</v>
      </c>
      <c r="U74" s="51"/>
      <c r="V74" s="2120">
        <f t="shared" si="12"/>
        <v>0</v>
      </c>
      <c r="W74" s="2116"/>
      <c r="X74" s="43"/>
      <c r="Y74" s="43"/>
      <c r="Z74" s="43"/>
    </row>
    <row r="75" spans="1:26">
      <c r="A75" s="88">
        <v>2038</v>
      </c>
      <c r="B75" s="86" t="s">
        <v>358</v>
      </c>
      <c r="C75" s="1033"/>
      <c r="D75" s="1033"/>
      <c r="E75" s="1033"/>
      <c r="F75" s="1033"/>
      <c r="G75" s="1033"/>
      <c r="H75" s="1033"/>
      <c r="I75" s="1033"/>
      <c r="J75" s="1033"/>
      <c r="K75" s="1033"/>
      <c r="L75" s="90"/>
      <c r="M75" s="51"/>
      <c r="N75" s="113">
        <f t="shared" si="10"/>
        <v>2038</v>
      </c>
      <c r="O75" s="581"/>
      <c r="P75" s="582">
        <v>0</v>
      </c>
      <c r="Q75" s="589"/>
      <c r="R75" s="121"/>
      <c r="S75" s="583">
        <f t="shared" si="11"/>
        <v>0</v>
      </c>
      <c r="T75" s="584">
        <v>0</v>
      </c>
      <c r="U75" s="51"/>
      <c r="V75" s="2120">
        <f t="shared" si="12"/>
        <v>0</v>
      </c>
      <c r="W75" s="2116"/>
      <c r="X75" s="43"/>
      <c r="Y75" s="43"/>
      <c r="Z75" s="43"/>
    </row>
    <row r="76" spans="1:26">
      <c r="A76" s="88">
        <v>2039</v>
      </c>
      <c r="B76" s="86" t="s">
        <v>549</v>
      </c>
      <c r="C76" s="1033"/>
      <c r="D76" s="1033"/>
      <c r="E76" s="1033"/>
      <c r="F76" s="1033"/>
      <c r="G76" s="1033"/>
      <c r="H76" s="1033"/>
      <c r="I76" s="1033"/>
      <c r="J76" s="1033"/>
      <c r="K76" s="1033"/>
      <c r="L76" s="90"/>
      <c r="M76" s="51"/>
      <c r="N76" s="113">
        <f t="shared" si="10"/>
        <v>2039</v>
      </c>
      <c r="O76" s="581"/>
      <c r="P76" s="582">
        <v>0</v>
      </c>
      <c r="Q76" s="589"/>
      <c r="R76" s="121"/>
      <c r="S76" s="583">
        <f t="shared" si="11"/>
        <v>0</v>
      </c>
      <c r="T76" s="584">
        <v>0</v>
      </c>
      <c r="U76" s="51"/>
      <c r="V76" s="2120">
        <f t="shared" si="12"/>
        <v>0</v>
      </c>
      <c r="W76" s="2116"/>
      <c r="X76" s="43"/>
      <c r="Y76" s="43"/>
      <c r="Z76" s="43"/>
    </row>
    <row r="77" spans="1:26">
      <c r="A77" s="88">
        <v>2041</v>
      </c>
      <c r="B77" s="86" t="s">
        <v>550</v>
      </c>
      <c r="C77" s="1033"/>
      <c r="D77" s="1033"/>
      <c r="E77" s="1033"/>
      <c r="F77" s="1033"/>
      <c r="G77" s="1033"/>
      <c r="H77" s="1033"/>
      <c r="I77" s="1033"/>
      <c r="J77" s="1033"/>
      <c r="K77" s="1033"/>
      <c r="L77" s="90"/>
      <c r="M77" s="51"/>
      <c r="N77" s="113">
        <f t="shared" si="10"/>
        <v>2041</v>
      </c>
      <c r="O77" s="581">
        <v>0</v>
      </c>
      <c r="P77" s="582">
        <v>0</v>
      </c>
      <c r="Q77" s="589">
        <v>0</v>
      </c>
      <c r="R77" s="121">
        <v>0</v>
      </c>
      <c r="S77" s="583">
        <f t="shared" si="11"/>
        <v>0</v>
      </c>
      <c r="T77" s="584">
        <v>0</v>
      </c>
      <c r="U77" s="51"/>
      <c r="V77" s="2120">
        <f t="shared" si="12"/>
        <v>0</v>
      </c>
      <c r="W77" s="2116"/>
      <c r="X77" s="43"/>
      <c r="Y77" s="43"/>
      <c r="Z77" s="43"/>
    </row>
    <row r="78" spans="1:26">
      <c r="A78" s="88">
        <v>2049</v>
      </c>
      <c r="B78" s="86" t="s">
        <v>551</v>
      </c>
      <c r="C78" s="1033"/>
      <c r="D78" s="1033"/>
      <c r="E78" s="1033"/>
      <c r="F78" s="1033"/>
      <c r="G78" s="1033"/>
      <c r="H78" s="1033"/>
      <c r="I78" s="1033"/>
      <c r="J78" s="1033"/>
      <c r="K78" s="1033"/>
      <c r="L78" s="90"/>
      <c r="M78" s="51"/>
      <c r="N78" s="113">
        <f t="shared" si="10"/>
        <v>2049</v>
      </c>
      <c r="O78" s="581">
        <v>0</v>
      </c>
      <c r="P78" s="582">
        <v>0</v>
      </c>
      <c r="Q78" s="589">
        <v>0</v>
      </c>
      <c r="R78" s="121">
        <v>0</v>
      </c>
      <c r="S78" s="583">
        <f t="shared" si="11"/>
        <v>0</v>
      </c>
      <c r="T78" s="584">
        <v>0</v>
      </c>
      <c r="U78" s="51"/>
      <c r="V78" s="2120">
        <f t="shared" si="12"/>
        <v>0</v>
      </c>
      <c r="W78" s="2116"/>
      <c r="X78" s="43"/>
      <c r="Y78" s="43"/>
      <c r="Z78" s="43"/>
    </row>
    <row r="79" spans="1:26">
      <c r="A79" s="88">
        <v>2051</v>
      </c>
      <c r="B79" s="86" t="s">
        <v>552</v>
      </c>
      <c r="C79" s="1033"/>
      <c r="D79" s="1033"/>
      <c r="E79" s="1033"/>
      <c r="F79" s="1033"/>
      <c r="G79" s="1033"/>
      <c r="H79" s="1033"/>
      <c r="I79" s="1033"/>
      <c r="J79" s="1033"/>
      <c r="K79" s="1033"/>
      <c r="L79" s="90"/>
      <c r="M79" s="51"/>
      <c r="N79" s="113">
        <f t="shared" si="10"/>
        <v>2051</v>
      </c>
      <c r="O79" s="581"/>
      <c r="P79" s="582">
        <v>0</v>
      </c>
      <c r="Q79" s="589"/>
      <c r="R79" s="121"/>
      <c r="S79" s="583">
        <f t="shared" si="11"/>
        <v>0</v>
      </c>
      <c r="T79" s="584">
        <v>0</v>
      </c>
      <c r="U79" s="51"/>
      <c r="V79" s="2120">
        <f t="shared" si="12"/>
        <v>0</v>
      </c>
      <c r="W79" s="2116"/>
      <c r="X79" s="43"/>
      <c r="Y79" s="43"/>
      <c r="Z79" s="43"/>
    </row>
    <row r="80" spans="1:26">
      <c r="A80" s="88">
        <v>2059</v>
      </c>
      <c r="B80" s="86" t="s">
        <v>553</v>
      </c>
      <c r="C80" s="1033"/>
      <c r="D80" s="1033"/>
      <c r="E80" s="1033"/>
      <c r="F80" s="1033"/>
      <c r="G80" s="1033"/>
      <c r="H80" s="1033"/>
      <c r="I80" s="1033"/>
      <c r="J80" s="1033"/>
      <c r="K80" s="1033"/>
      <c r="L80" s="90"/>
      <c r="M80" s="51"/>
      <c r="N80" s="113">
        <f t="shared" si="10"/>
        <v>2059</v>
      </c>
      <c r="O80" s="581">
        <v>0</v>
      </c>
      <c r="P80" s="582">
        <v>0</v>
      </c>
      <c r="Q80" s="589">
        <v>0</v>
      </c>
      <c r="R80" s="121">
        <v>0</v>
      </c>
      <c r="S80" s="583">
        <f t="shared" si="11"/>
        <v>0</v>
      </c>
      <c r="T80" s="584">
        <v>0</v>
      </c>
      <c r="U80" s="51"/>
      <c r="V80" s="2120">
        <f t="shared" si="12"/>
        <v>0</v>
      </c>
      <c r="W80" s="2116"/>
      <c r="X80" s="43"/>
      <c r="Y80" s="43"/>
      <c r="Z80" s="43"/>
    </row>
    <row r="81" spans="1:26">
      <c r="A81" s="88">
        <v>2060</v>
      </c>
      <c r="B81" s="86" t="s">
        <v>554</v>
      </c>
      <c r="C81" s="1033"/>
      <c r="D81" s="1033"/>
      <c r="E81" s="1033"/>
      <c r="F81" s="1033"/>
      <c r="G81" s="1033"/>
      <c r="H81" s="1033"/>
      <c r="I81" s="1033"/>
      <c r="J81" s="1033"/>
      <c r="K81" s="1033"/>
      <c r="L81" s="90"/>
      <c r="M81" s="51"/>
      <c r="N81" s="113">
        <f t="shared" si="10"/>
        <v>2060</v>
      </c>
      <c r="O81" s="581">
        <v>0</v>
      </c>
      <c r="P81" s="582">
        <v>0</v>
      </c>
      <c r="Q81" s="589">
        <v>0</v>
      </c>
      <c r="R81" s="121">
        <v>0</v>
      </c>
      <c r="S81" s="583">
        <f t="shared" si="11"/>
        <v>0</v>
      </c>
      <c r="T81" s="584">
        <v>0</v>
      </c>
      <c r="U81" s="51"/>
      <c r="V81" s="2120">
        <f t="shared" si="12"/>
        <v>0</v>
      </c>
      <c r="W81" s="2116"/>
      <c r="X81" s="43"/>
      <c r="Y81" s="43"/>
      <c r="Z81" s="43"/>
    </row>
    <row r="82" spans="1:26">
      <c r="A82" s="88">
        <v>2071</v>
      </c>
      <c r="B82" s="86" t="s">
        <v>43</v>
      </c>
      <c r="C82" s="1033"/>
      <c r="D82" s="1033"/>
      <c r="E82" s="1033"/>
      <c r="F82" s="1033"/>
      <c r="G82" s="1033"/>
      <c r="H82" s="1033"/>
      <c r="I82" s="1033"/>
      <c r="J82" s="1033"/>
      <c r="K82" s="1033"/>
      <c r="L82" s="90"/>
      <c r="M82" s="51"/>
      <c r="N82" s="113">
        <f t="shared" si="10"/>
        <v>2071</v>
      </c>
      <c r="O82" s="581">
        <v>0</v>
      </c>
      <c r="P82" s="582">
        <v>0</v>
      </c>
      <c r="Q82" s="589">
        <v>0</v>
      </c>
      <c r="R82" s="121">
        <v>0</v>
      </c>
      <c r="S82" s="583">
        <f t="shared" si="11"/>
        <v>0</v>
      </c>
      <c r="T82" s="584">
        <v>0</v>
      </c>
      <c r="U82" s="51"/>
      <c r="V82" s="2120">
        <f t="shared" si="12"/>
        <v>0</v>
      </c>
      <c r="W82" s="2116"/>
      <c r="X82" s="43"/>
      <c r="Y82" s="43"/>
      <c r="Z82" s="43"/>
    </row>
    <row r="83" spans="1:26">
      <c r="A83" s="88">
        <v>2079</v>
      </c>
      <c r="B83" s="86" t="s">
        <v>555</v>
      </c>
      <c r="C83" s="1033"/>
      <c r="D83" s="1033"/>
      <c r="E83" s="1033"/>
      <c r="F83" s="1033"/>
      <c r="G83" s="1033"/>
      <c r="H83" s="1033"/>
      <c r="I83" s="1033"/>
      <c r="J83" s="1033"/>
      <c r="K83" s="1033"/>
      <c r="L83" s="90"/>
      <c r="M83" s="51"/>
      <c r="N83" s="113">
        <f t="shared" si="10"/>
        <v>2079</v>
      </c>
      <c r="O83" s="581">
        <v>0</v>
      </c>
      <c r="P83" s="582">
        <v>0</v>
      </c>
      <c r="Q83" s="589">
        <v>0</v>
      </c>
      <c r="R83" s="121">
        <v>0</v>
      </c>
      <c r="S83" s="583">
        <f t="shared" si="11"/>
        <v>0</v>
      </c>
      <c r="T83" s="584">
        <v>0</v>
      </c>
      <c r="U83" s="51"/>
      <c r="V83" s="2120">
        <f t="shared" si="12"/>
        <v>0</v>
      </c>
      <c r="W83" s="2116"/>
      <c r="X83" s="43"/>
      <c r="Y83" s="43"/>
      <c r="Z83" s="43"/>
    </row>
    <row r="84" spans="1:26">
      <c r="A84" s="88">
        <v>2091</v>
      </c>
      <c r="B84" s="86" t="s">
        <v>359</v>
      </c>
      <c r="C84" s="1033"/>
      <c r="D84" s="1033"/>
      <c r="E84" s="1033"/>
      <c r="F84" s="1033"/>
      <c r="G84" s="1033"/>
      <c r="H84" s="1033"/>
      <c r="I84" s="1033"/>
      <c r="J84" s="1033"/>
      <c r="K84" s="1033"/>
      <c r="L84" s="90"/>
      <c r="M84" s="51"/>
      <c r="N84" s="113">
        <f t="shared" si="10"/>
        <v>2091</v>
      </c>
      <c r="O84" s="581"/>
      <c r="P84" s="582">
        <v>0</v>
      </c>
      <c r="Q84" s="589"/>
      <c r="R84" s="121"/>
      <c r="S84" s="583">
        <f t="shared" si="11"/>
        <v>0</v>
      </c>
      <c r="T84" s="584">
        <v>0</v>
      </c>
      <c r="U84" s="51"/>
      <c r="V84" s="2120">
        <f t="shared" si="12"/>
        <v>0</v>
      </c>
      <c r="W84" s="2116"/>
      <c r="X84" s="43"/>
      <c r="Y84" s="43"/>
      <c r="Z84" s="43"/>
    </row>
    <row r="85" spans="1:26">
      <c r="A85" s="88">
        <v>2099</v>
      </c>
      <c r="B85" s="86" t="s">
        <v>556</v>
      </c>
      <c r="C85" s="1033"/>
      <c r="D85" s="1033"/>
      <c r="E85" s="1033"/>
      <c r="F85" s="1033"/>
      <c r="G85" s="1033"/>
      <c r="H85" s="1033"/>
      <c r="I85" s="1033"/>
      <c r="J85" s="1033"/>
      <c r="K85" s="1033"/>
      <c r="L85" s="90"/>
      <c r="M85" s="51"/>
      <c r="N85" s="113">
        <f t="shared" si="10"/>
        <v>2099</v>
      </c>
      <c r="O85" s="581">
        <v>0</v>
      </c>
      <c r="P85" s="582">
        <v>0</v>
      </c>
      <c r="Q85" s="589">
        <v>0</v>
      </c>
      <c r="R85" s="121">
        <v>0</v>
      </c>
      <c r="S85" s="583">
        <f t="shared" si="11"/>
        <v>0</v>
      </c>
      <c r="T85" s="584">
        <v>0</v>
      </c>
      <c r="U85" s="51"/>
      <c r="V85" s="2120">
        <f t="shared" si="12"/>
        <v>0</v>
      </c>
      <c r="W85" s="2116"/>
      <c r="X85" s="43"/>
      <c r="Y85" s="43"/>
      <c r="Z85" s="43"/>
    </row>
    <row r="86" spans="1:26">
      <c r="A86" s="88">
        <v>2101</v>
      </c>
      <c r="B86" s="86" t="s">
        <v>360</v>
      </c>
      <c r="C86" s="1033"/>
      <c r="D86" s="1033"/>
      <c r="E86" s="1033"/>
      <c r="F86" s="1033"/>
      <c r="G86" s="1033"/>
      <c r="H86" s="1033"/>
      <c r="I86" s="1033"/>
      <c r="J86" s="1033"/>
      <c r="K86" s="1033"/>
      <c r="L86" s="90"/>
      <c r="M86" s="51"/>
      <c r="N86" s="113">
        <f t="shared" si="10"/>
        <v>2101</v>
      </c>
      <c r="O86" s="581">
        <v>0</v>
      </c>
      <c r="P86" s="582">
        <v>0</v>
      </c>
      <c r="Q86" s="589">
        <v>0</v>
      </c>
      <c r="R86" s="121">
        <v>0</v>
      </c>
      <c r="S86" s="583">
        <f t="shared" si="11"/>
        <v>0</v>
      </c>
      <c r="T86" s="584">
        <v>0</v>
      </c>
      <c r="U86" s="51"/>
      <c r="V86" s="2120">
        <f t="shared" si="12"/>
        <v>0</v>
      </c>
      <c r="W86" s="2116"/>
      <c r="X86" s="43"/>
      <c r="Y86" s="43"/>
      <c r="Z86" s="43"/>
    </row>
    <row r="87" spans="1:26">
      <c r="A87" s="88">
        <v>2102</v>
      </c>
      <c r="B87" s="86" t="s">
        <v>557</v>
      </c>
      <c r="C87" s="1033"/>
      <c r="D87" s="1033"/>
      <c r="E87" s="1033"/>
      <c r="F87" s="1033"/>
      <c r="G87" s="1033"/>
      <c r="H87" s="1033"/>
      <c r="I87" s="1033"/>
      <c r="J87" s="1033"/>
      <c r="K87" s="1033"/>
      <c r="L87" s="90"/>
      <c r="M87" s="51"/>
      <c r="N87" s="113">
        <f t="shared" si="10"/>
        <v>2102</v>
      </c>
      <c r="O87" s="581">
        <v>0</v>
      </c>
      <c r="P87" s="582">
        <v>0</v>
      </c>
      <c r="Q87" s="589">
        <v>0</v>
      </c>
      <c r="R87" s="121">
        <v>0</v>
      </c>
      <c r="S87" s="583">
        <f t="shared" si="11"/>
        <v>0</v>
      </c>
      <c r="T87" s="584">
        <v>0</v>
      </c>
      <c r="U87" s="51"/>
      <c r="V87" s="2120">
        <f t="shared" si="12"/>
        <v>0</v>
      </c>
      <c r="W87" s="2116"/>
      <c r="X87" s="43"/>
      <c r="Y87" s="43"/>
      <c r="Z87" s="43"/>
    </row>
    <row r="88" spans="1:26">
      <c r="A88" s="88">
        <v>2107</v>
      </c>
      <c r="B88" s="86" t="s">
        <v>361</v>
      </c>
      <c r="C88" s="1033"/>
      <c r="D88" s="1033"/>
      <c r="E88" s="1033"/>
      <c r="F88" s="1033"/>
      <c r="G88" s="1033"/>
      <c r="H88" s="1033"/>
      <c r="I88" s="1033"/>
      <c r="J88" s="1033"/>
      <c r="K88" s="1033"/>
      <c r="L88" s="90"/>
      <c r="M88" s="51"/>
      <c r="N88" s="113">
        <f t="shared" si="10"/>
        <v>2107</v>
      </c>
      <c r="O88" s="581"/>
      <c r="P88" s="582">
        <v>0</v>
      </c>
      <c r="Q88" s="589"/>
      <c r="R88" s="121"/>
      <c r="S88" s="583">
        <f t="shared" si="11"/>
        <v>0</v>
      </c>
      <c r="T88" s="584">
        <v>0</v>
      </c>
      <c r="U88" s="51"/>
      <c r="V88" s="2120">
        <f t="shared" si="12"/>
        <v>0</v>
      </c>
      <c r="W88" s="2116"/>
      <c r="X88" s="43"/>
      <c r="Y88" s="43"/>
      <c r="Z88" s="43"/>
    </row>
    <row r="89" spans="1:26">
      <c r="A89" s="88">
        <v>2109</v>
      </c>
      <c r="B89" s="86" t="s">
        <v>558</v>
      </c>
      <c r="C89" s="1033"/>
      <c r="D89" s="1033"/>
      <c r="E89" s="1033"/>
      <c r="F89" s="1033"/>
      <c r="G89" s="1033"/>
      <c r="H89" s="1033"/>
      <c r="I89" s="1033"/>
      <c r="J89" s="1033"/>
      <c r="K89" s="1033"/>
      <c r="L89" s="90"/>
      <c r="M89" s="51"/>
      <c r="N89" s="113">
        <f t="shared" si="10"/>
        <v>2109</v>
      </c>
      <c r="O89" s="581">
        <v>0</v>
      </c>
      <c r="P89" s="582">
        <v>0</v>
      </c>
      <c r="Q89" s="589">
        <v>0</v>
      </c>
      <c r="R89" s="121">
        <v>0</v>
      </c>
      <c r="S89" s="583">
        <f t="shared" si="11"/>
        <v>0</v>
      </c>
      <c r="T89" s="584">
        <v>0</v>
      </c>
      <c r="U89" s="51"/>
      <c r="V89" s="2120">
        <f t="shared" si="12"/>
        <v>0</v>
      </c>
      <c r="W89" s="2116"/>
      <c r="X89" s="43"/>
      <c r="Y89" s="43"/>
      <c r="Z89" s="43"/>
    </row>
    <row r="90" spans="1:26">
      <c r="A90" s="88">
        <v>2201</v>
      </c>
      <c r="B90" s="86" t="s">
        <v>383</v>
      </c>
      <c r="C90" s="1033"/>
      <c r="D90" s="1033"/>
      <c r="E90" s="1033"/>
      <c r="F90" s="1033"/>
      <c r="G90" s="1033"/>
      <c r="H90" s="1033"/>
      <c r="I90" s="1033"/>
      <c r="J90" s="1033"/>
      <c r="K90" s="1033"/>
      <c r="L90" s="574"/>
      <c r="M90" s="51"/>
      <c r="N90" s="113">
        <f t="shared" si="10"/>
        <v>2201</v>
      </c>
      <c r="O90" s="575">
        <v>0</v>
      </c>
      <c r="P90" s="582">
        <v>0</v>
      </c>
      <c r="Q90" s="579">
        <v>0</v>
      </c>
      <c r="R90" s="582">
        <v>0</v>
      </c>
      <c r="S90" s="579">
        <v>0</v>
      </c>
      <c r="T90" s="584">
        <v>0</v>
      </c>
      <c r="U90" s="51"/>
      <c r="V90" s="2125">
        <f>+IF(OR(O90&lt;&gt;0,P90&lt;&gt;0,Q90&lt;&gt;0,R90&lt;&gt;0,S90&lt;&gt;0,T90&lt;&gt;0),+IF(ABS(O90+Q90)-ABS(P90+R90)&lt;&gt;0,ABS(O90+Q90)-ABS(P90+R90),1),0)</f>
        <v>0</v>
      </c>
      <c r="W90" s="2116"/>
      <c r="X90" s="43"/>
      <c r="Y90" s="43"/>
      <c r="Z90" s="43"/>
    </row>
    <row r="91" spans="1:26">
      <c r="A91" s="88">
        <v>2202</v>
      </c>
      <c r="B91" s="86" t="s">
        <v>384</v>
      </c>
      <c r="C91" s="1033"/>
      <c r="D91" s="1033"/>
      <c r="E91" s="1033"/>
      <c r="F91" s="1033"/>
      <c r="G91" s="1033"/>
      <c r="H91" s="1033"/>
      <c r="I91" s="1033"/>
      <c r="J91" s="1033"/>
      <c r="K91" s="1033"/>
      <c r="L91" s="574"/>
      <c r="M91" s="51"/>
      <c r="N91" s="113">
        <f t="shared" si="10"/>
        <v>2202</v>
      </c>
      <c r="O91" s="575">
        <v>0</v>
      </c>
      <c r="P91" s="582">
        <v>0</v>
      </c>
      <c r="Q91" s="579">
        <v>0</v>
      </c>
      <c r="R91" s="582">
        <v>0</v>
      </c>
      <c r="S91" s="579">
        <v>0</v>
      </c>
      <c r="T91" s="584">
        <v>0</v>
      </c>
      <c r="U91" s="51"/>
      <c r="V91" s="2125">
        <f>+IF(OR(O91&lt;&gt;0,P91&lt;&gt;0,Q91&lt;&gt;0,R91&lt;&gt;0,S91&lt;&gt;0,T91&lt;&gt;0),+IF(ABS(O91+Q91)-ABS(P91+R91)&lt;&gt;0,ABS(O91+Q91)-ABS(P91+R91),1),0)</f>
        <v>0</v>
      </c>
      <c r="W91" s="2116"/>
      <c r="X91" s="43"/>
      <c r="Y91" s="43"/>
      <c r="Z91" s="43"/>
    </row>
    <row r="92" spans="1:26">
      <c r="A92" s="88">
        <v>2203</v>
      </c>
      <c r="B92" s="86" t="s">
        <v>385</v>
      </c>
      <c r="C92" s="1033"/>
      <c r="D92" s="1033"/>
      <c r="E92" s="1033"/>
      <c r="F92" s="1033"/>
      <c r="G92" s="1033"/>
      <c r="H92" s="1033"/>
      <c r="I92" s="1033"/>
      <c r="J92" s="1033"/>
      <c r="K92" s="1033"/>
      <c r="L92" s="574"/>
      <c r="M92" s="51"/>
      <c r="N92" s="113">
        <f t="shared" si="10"/>
        <v>2203</v>
      </c>
      <c r="O92" s="575">
        <v>0</v>
      </c>
      <c r="P92" s="582">
        <v>0</v>
      </c>
      <c r="Q92" s="579">
        <v>0</v>
      </c>
      <c r="R92" s="582">
        <v>0</v>
      </c>
      <c r="S92" s="579">
        <v>0</v>
      </c>
      <c r="T92" s="584">
        <v>0</v>
      </c>
      <c r="U92" s="51"/>
      <c r="V92" s="2125">
        <f>+IF(OR(O92&lt;&gt;0,P92&lt;&gt;0,Q92&lt;&gt;0,R92&lt;&gt;0,S92&lt;&gt;0,T92&lt;&gt;0),+IF(ABS(O92+Q92)-ABS(P92+R92)&lt;&gt;0,ABS(O92+Q92)-ABS(P92+R92),1),0)</f>
        <v>0</v>
      </c>
      <c r="W92" s="2116"/>
      <c r="X92" s="43"/>
      <c r="Y92" s="43"/>
      <c r="Z92" s="43"/>
    </row>
    <row r="93" spans="1:26">
      <c r="A93" s="88">
        <v>2204</v>
      </c>
      <c r="B93" s="86" t="s">
        <v>691</v>
      </c>
      <c r="C93" s="1033"/>
      <c r="D93" s="1033"/>
      <c r="E93" s="1033"/>
      <c r="F93" s="1033"/>
      <c r="G93" s="1033"/>
      <c r="H93" s="1033"/>
      <c r="I93" s="1033"/>
      <c r="J93" s="1033"/>
      <c r="K93" s="1033"/>
      <c r="L93" s="574"/>
      <c r="M93" s="51"/>
      <c r="N93" s="113">
        <f t="shared" si="10"/>
        <v>2204</v>
      </c>
      <c r="O93" s="575">
        <v>0</v>
      </c>
      <c r="P93" s="582">
        <v>0</v>
      </c>
      <c r="Q93" s="579">
        <v>0</v>
      </c>
      <c r="R93" s="582">
        <v>0</v>
      </c>
      <c r="S93" s="579">
        <v>0</v>
      </c>
      <c r="T93" s="584">
        <v>0</v>
      </c>
      <c r="U93" s="51"/>
      <c r="V93" s="2125">
        <f>+IF(OR(O93&lt;&gt;0,P93&lt;&gt;0,Q93&lt;&gt;0,R93&lt;&gt;0,S93&lt;&gt;0,T93&lt;&gt;0),+IF(ABS(O93+Q93)-ABS(P93+R93)&lt;&gt;0,ABS(O93+Q93)-ABS(P93+R93),1),0)</f>
        <v>0</v>
      </c>
      <c r="W93" s="2116"/>
      <c r="X93" s="43"/>
      <c r="Y93" s="43"/>
      <c r="Z93" s="43"/>
    </row>
    <row r="94" spans="1:26">
      <c r="A94" s="591">
        <v>2412</v>
      </c>
      <c r="B94" s="1034" t="s">
        <v>975</v>
      </c>
      <c r="C94" s="1033"/>
      <c r="D94" s="1033"/>
      <c r="E94" s="1033"/>
      <c r="F94" s="1033"/>
      <c r="G94" s="1033"/>
      <c r="H94" s="1033"/>
      <c r="I94" s="1033"/>
      <c r="J94" s="1033"/>
      <c r="K94" s="1033"/>
      <c r="L94" s="574"/>
      <c r="M94" s="51"/>
      <c r="N94" s="1733">
        <f t="shared" si="10"/>
        <v>2412</v>
      </c>
      <c r="O94" s="575">
        <v>0</v>
      </c>
      <c r="P94" s="582">
        <v>0</v>
      </c>
      <c r="Q94" s="579">
        <v>0</v>
      </c>
      <c r="R94" s="582">
        <v>0</v>
      </c>
      <c r="S94" s="29">
        <v>0</v>
      </c>
      <c r="T94" s="28">
        <f t="shared" ref="T94:T101" si="13">+IF(ABS(+O94+Q94)&lt;=ABS(P94+R94),-O94+P94-Q94+R94,0)</f>
        <v>0</v>
      </c>
      <c r="U94" s="51"/>
      <c r="V94" s="2119">
        <f t="shared" ref="V94:V101" si="14">+IF(OR(+ROUND(O94,2)+ROUND(Q94,2)&gt;ROUND(P94,2)+ROUND(R94,2),+ABS(ROUND(O94,2)+ROUND(Q94,2))&gt;+ABS(ROUND(P94,2)+ROUND(R94,2))),+(ROUND(O94,2)+ROUND(Q94,2))-(ROUND(P94,2)+ROUND(R94,2)),0)</f>
        <v>0</v>
      </c>
      <c r="W94" s="2116"/>
      <c r="X94" s="43"/>
      <c r="Y94" s="43"/>
      <c r="Z94" s="43"/>
    </row>
    <row r="95" spans="1:26">
      <c r="A95" s="591">
        <v>2413</v>
      </c>
      <c r="B95" s="1034" t="s">
        <v>976</v>
      </c>
      <c r="C95" s="1033"/>
      <c r="D95" s="1033"/>
      <c r="E95" s="1033"/>
      <c r="F95" s="1033"/>
      <c r="G95" s="1033"/>
      <c r="H95" s="1033"/>
      <c r="I95" s="1033"/>
      <c r="J95" s="1033"/>
      <c r="K95" s="1033"/>
      <c r="L95" s="574"/>
      <c r="M95" s="51"/>
      <c r="N95" s="1733">
        <f t="shared" si="10"/>
        <v>2413</v>
      </c>
      <c r="O95" s="575">
        <v>0</v>
      </c>
      <c r="P95" s="582">
        <v>0</v>
      </c>
      <c r="Q95" s="579">
        <v>0</v>
      </c>
      <c r="R95" s="582">
        <v>0</v>
      </c>
      <c r="S95" s="29">
        <v>0</v>
      </c>
      <c r="T95" s="28">
        <f t="shared" si="13"/>
        <v>0</v>
      </c>
      <c r="U95" s="51"/>
      <c r="V95" s="2119">
        <f t="shared" si="14"/>
        <v>0</v>
      </c>
      <c r="W95" s="2116"/>
      <c r="X95" s="43"/>
      <c r="Y95" s="43"/>
      <c r="Z95" s="43"/>
    </row>
    <row r="96" spans="1:26">
      <c r="A96" s="591">
        <v>2414</v>
      </c>
      <c r="B96" s="1034" t="s">
        <v>977</v>
      </c>
      <c r="C96" s="1033"/>
      <c r="D96" s="1033"/>
      <c r="E96" s="1033"/>
      <c r="F96" s="1033"/>
      <c r="G96" s="1033"/>
      <c r="H96" s="1033"/>
      <c r="I96" s="1033"/>
      <c r="J96" s="1033"/>
      <c r="K96" s="1033"/>
      <c r="L96" s="574"/>
      <c r="M96" s="51"/>
      <c r="N96" s="1733">
        <f t="shared" si="10"/>
        <v>2414</v>
      </c>
      <c r="O96" s="575">
        <v>0</v>
      </c>
      <c r="P96" s="582">
        <v>0</v>
      </c>
      <c r="Q96" s="579">
        <v>0</v>
      </c>
      <c r="R96" s="582">
        <v>0</v>
      </c>
      <c r="S96" s="29">
        <v>0</v>
      </c>
      <c r="T96" s="28">
        <f t="shared" si="13"/>
        <v>0</v>
      </c>
      <c r="U96" s="51"/>
      <c r="V96" s="2119">
        <f t="shared" si="14"/>
        <v>0</v>
      </c>
      <c r="W96" s="2116"/>
      <c r="X96" s="43"/>
      <c r="Y96" s="43"/>
      <c r="Z96" s="43"/>
    </row>
    <row r="97" spans="1:26">
      <c r="A97" s="591">
        <v>2415</v>
      </c>
      <c r="B97" s="1034" t="s">
        <v>355</v>
      </c>
      <c r="C97" s="1034"/>
      <c r="D97" s="1034"/>
      <c r="E97" s="1034"/>
      <c r="F97" s="1033"/>
      <c r="G97" s="1033"/>
      <c r="H97" s="1033"/>
      <c r="I97" s="1033"/>
      <c r="J97" s="1033"/>
      <c r="K97" s="1033"/>
      <c r="L97" s="574"/>
      <c r="M97" s="51"/>
      <c r="N97" s="1733">
        <f t="shared" si="10"/>
        <v>2415</v>
      </c>
      <c r="O97" s="575">
        <v>0</v>
      </c>
      <c r="P97" s="582">
        <v>0</v>
      </c>
      <c r="Q97" s="579">
        <v>0</v>
      </c>
      <c r="R97" s="582">
        <v>0</v>
      </c>
      <c r="S97" s="29">
        <v>0</v>
      </c>
      <c r="T97" s="28">
        <f t="shared" si="13"/>
        <v>0</v>
      </c>
      <c r="U97" s="51"/>
      <c r="V97" s="2119">
        <f t="shared" si="14"/>
        <v>0</v>
      </c>
      <c r="W97" s="2116"/>
      <c r="X97" s="43"/>
      <c r="Y97" s="43"/>
      <c r="Z97" s="43"/>
    </row>
    <row r="98" spans="1:26">
      <c r="A98" s="591">
        <v>2416</v>
      </c>
      <c r="B98" s="1034" t="s">
        <v>356</v>
      </c>
      <c r="C98" s="1033"/>
      <c r="D98" s="1033"/>
      <c r="E98" s="1033"/>
      <c r="F98" s="1033"/>
      <c r="G98" s="1033"/>
      <c r="H98" s="1033"/>
      <c r="I98" s="1033"/>
      <c r="J98" s="1033"/>
      <c r="K98" s="1033"/>
      <c r="L98" s="574"/>
      <c r="M98" s="51"/>
      <c r="N98" s="1733">
        <f t="shared" si="10"/>
        <v>2416</v>
      </c>
      <c r="O98" s="575">
        <v>0</v>
      </c>
      <c r="P98" s="582">
        <v>0</v>
      </c>
      <c r="Q98" s="579">
        <v>0</v>
      </c>
      <c r="R98" s="582">
        <v>0</v>
      </c>
      <c r="S98" s="29">
        <v>0</v>
      </c>
      <c r="T98" s="28">
        <f t="shared" si="13"/>
        <v>0</v>
      </c>
      <c r="U98" s="51"/>
      <c r="V98" s="2119">
        <f t="shared" si="14"/>
        <v>0</v>
      </c>
      <c r="W98" s="2116"/>
      <c r="X98" s="43"/>
      <c r="Y98" s="43"/>
      <c r="Z98" s="43"/>
    </row>
    <row r="99" spans="1:26">
      <c r="A99" s="591">
        <v>2417</v>
      </c>
      <c r="B99" s="1034" t="s">
        <v>362</v>
      </c>
      <c r="C99" s="591"/>
      <c r="D99" s="1034"/>
      <c r="E99" s="591"/>
      <c r="F99" s="1034"/>
      <c r="G99" s="1033"/>
      <c r="H99" s="1033"/>
      <c r="I99" s="1033"/>
      <c r="J99" s="1033"/>
      <c r="K99" s="1033"/>
      <c r="L99" s="574"/>
      <c r="M99" s="51"/>
      <c r="N99" s="1733">
        <f t="shared" si="10"/>
        <v>2417</v>
      </c>
      <c r="O99" s="575">
        <v>0</v>
      </c>
      <c r="P99" s="582">
        <v>0</v>
      </c>
      <c r="Q99" s="579">
        <v>0</v>
      </c>
      <c r="R99" s="582">
        <v>0</v>
      </c>
      <c r="S99" s="29">
        <v>0</v>
      </c>
      <c r="T99" s="28">
        <f t="shared" si="13"/>
        <v>0</v>
      </c>
      <c r="U99" s="51"/>
      <c r="V99" s="2119">
        <f t="shared" si="14"/>
        <v>0</v>
      </c>
      <c r="W99" s="2116"/>
      <c r="X99" s="43"/>
      <c r="Y99" s="43"/>
      <c r="Z99" s="43"/>
    </row>
    <row r="100" spans="1:26">
      <c r="A100" s="591">
        <v>2419</v>
      </c>
      <c r="B100" s="1034" t="s">
        <v>357</v>
      </c>
      <c r="C100" s="1033"/>
      <c r="D100" s="1033"/>
      <c r="E100" s="1033"/>
      <c r="F100" s="1033"/>
      <c r="G100" s="1033"/>
      <c r="H100" s="1033"/>
      <c r="I100" s="1033"/>
      <c r="J100" s="1033"/>
      <c r="K100" s="1033"/>
      <c r="L100" s="574"/>
      <c r="M100" s="51"/>
      <c r="N100" s="1733">
        <f t="shared" si="10"/>
        <v>2419</v>
      </c>
      <c r="O100" s="575">
        <v>0</v>
      </c>
      <c r="P100" s="582">
        <v>0</v>
      </c>
      <c r="Q100" s="579">
        <v>0</v>
      </c>
      <c r="R100" s="582">
        <v>0</v>
      </c>
      <c r="S100" s="29">
        <v>0</v>
      </c>
      <c r="T100" s="28">
        <f t="shared" si="13"/>
        <v>0</v>
      </c>
      <c r="U100" s="51"/>
      <c r="V100" s="2119">
        <f t="shared" si="14"/>
        <v>0</v>
      </c>
      <c r="W100" s="2116"/>
      <c r="X100" s="43"/>
      <c r="Y100" s="43"/>
      <c r="Z100" s="43"/>
    </row>
    <row r="101" spans="1:26">
      <c r="A101" s="1047">
        <v>2420</v>
      </c>
      <c r="B101" s="1049" t="s">
        <v>902</v>
      </c>
      <c r="C101" s="1049"/>
      <c r="D101" s="1049"/>
      <c r="E101" s="1049"/>
      <c r="F101" s="1049"/>
      <c r="G101" s="1049"/>
      <c r="H101" s="1049"/>
      <c r="I101" s="1049"/>
      <c r="J101" s="1049"/>
      <c r="K101" s="1049"/>
      <c r="L101" s="1050"/>
      <c r="M101" s="51"/>
      <c r="N101" s="2134">
        <f t="shared" si="10"/>
        <v>2420</v>
      </c>
      <c r="O101" s="856">
        <v>0</v>
      </c>
      <c r="P101" s="839">
        <v>0</v>
      </c>
      <c r="Q101" s="857">
        <v>0</v>
      </c>
      <c r="R101" s="839">
        <v>0</v>
      </c>
      <c r="S101" s="382">
        <v>0</v>
      </c>
      <c r="T101" s="57">
        <f t="shared" si="13"/>
        <v>0</v>
      </c>
      <c r="U101" s="51"/>
      <c r="V101" s="2119">
        <f t="shared" si="14"/>
        <v>0</v>
      </c>
      <c r="W101" s="2116"/>
      <c r="X101" s="43"/>
      <c r="Y101" s="43"/>
      <c r="Z101" s="43"/>
    </row>
    <row r="102" spans="1:26">
      <c r="A102" s="379" t="s">
        <v>903</v>
      </c>
      <c r="B102" s="380"/>
      <c r="C102" s="380"/>
      <c r="D102" s="380"/>
      <c r="E102" s="380"/>
      <c r="F102" s="380"/>
      <c r="G102" s="380"/>
      <c r="H102" s="380"/>
      <c r="I102" s="380"/>
      <c r="J102" s="380"/>
      <c r="K102" s="380"/>
      <c r="L102" s="381"/>
      <c r="M102" s="51"/>
      <c r="N102" s="383">
        <v>3</v>
      </c>
      <c r="O102" s="384"/>
      <c r="P102" s="385"/>
      <c r="Q102" s="386"/>
      <c r="R102" s="385"/>
      <c r="S102" s="386"/>
      <c r="T102" s="387"/>
      <c r="U102" s="51"/>
      <c r="V102" s="2119"/>
      <c r="W102" s="2116"/>
      <c r="X102" s="43"/>
      <c r="Y102" s="43"/>
      <c r="Z102" s="43"/>
    </row>
    <row r="103" spans="1:26">
      <c r="A103" s="85">
        <v>3010</v>
      </c>
      <c r="B103" s="86" t="s">
        <v>904</v>
      </c>
      <c r="C103" s="86"/>
      <c r="D103" s="86"/>
      <c r="E103" s="86"/>
      <c r="F103" s="86"/>
      <c r="G103" s="86"/>
      <c r="H103" s="86"/>
      <c r="I103" s="86"/>
      <c r="J103" s="86"/>
      <c r="K103" s="86"/>
      <c r="L103" s="87"/>
      <c r="M103" s="51"/>
      <c r="N103" s="112">
        <f t="shared" ref="N103:N112" si="15">+A103</f>
        <v>3010</v>
      </c>
      <c r="O103" s="323"/>
      <c r="P103" s="329">
        <v>0</v>
      </c>
      <c r="Q103" s="325"/>
      <c r="R103" s="324"/>
      <c r="S103" s="326">
        <f t="shared" ref="S103:S112" si="16">+IF(ABS(+O103+Q103)&gt;=ABS(P103+R103),+O103-P103+Q103-R103,0)</f>
        <v>0</v>
      </c>
      <c r="T103" s="331">
        <v>0</v>
      </c>
      <c r="U103" s="51"/>
      <c r="V103" s="2120">
        <f t="shared" ref="V103:V112" si="17">+IF(OR(ROUND(P103,2)+ROUND(R103,2)&gt;+ROUND(O103,2)+ROUND(Q103,2),+ABS(ROUND(P103,2)+ROUND(R103,2))&gt;+ABS(ROUND(O103,2)+ROUND(Q103,2))),+(ROUND(P103,2)+ROUND(R103,2))-(ROUND(O103,2)+ROUND(Q103,2)),0)</f>
        <v>0</v>
      </c>
      <c r="W103" s="2116"/>
      <c r="X103" s="43"/>
      <c r="Y103" s="43"/>
      <c r="Z103" s="43"/>
    </row>
    <row r="104" spans="1:26">
      <c r="A104" s="88">
        <v>3020</v>
      </c>
      <c r="B104" s="1033" t="s">
        <v>363</v>
      </c>
      <c r="C104" s="1033"/>
      <c r="D104" s="1033"/>
      <c r="E104" s="1033"/>
      <c r="F104" s="1033"/>
      <c r="G104" s="1033"/>
      <c r="H104" s="1033"/>
      <c r="I104" s="1033"/>
      <c r="J104" s="1033"/>
      <c r="K104" s="1033"/>
      <c r="L104" s="90"/>
      <c r="M104" s="51"/>
      <c r="N104" s="113">
        <f t="shared" si="15"/>
        <v>3020</v>
      </c>
      <c r="O104" s="120">
        <v>0</v>
      </c>
      <c r="P104" s="9">
        <v>0</v>
      </c>
      <c r="Q104" s="122">
        <v>0</v>
      </c>
      <c r="R104" s="121">
        <v>0</v>
      </c>
      <c r="S104" s="27">
        <f t="shared" si="16"/>
        <v>0</v>
      </c>
      <c r="T104" s="30">
        <v>0</v>
      </c>
      <c r="U104" s="51"/>
      <c r="V104" s="2120">
        <f t="shared" si="17"/>
        <v>0</v>
      </c>
      <c r="W104" s="2116"/>
      <c r="X104" s="43"/>
      <c r="Y104" s="43"/>
      <c r="Z104" s="43"/>
    </row>
    <row r="105" spans="1:26">
      <c r="A105" s="88">
        <v>3030</v>
      </c>
      <c r="B105" s="1033" t="s">
        <v>905</v>
      </c>
      <c r="C105" s="1033"/>
      <c r="D105" s="1033"/>
      <c r="E105" s="1033"/>
      <c r="F105" s="1033"/>
      <c r="G105" s="1033"/>
      <c r="H105" s="1033"/>
      <c r="I105" s="1033"/>
      <c r="J105" s="1033"/>
      <c r="K105" s="1033"/>
      <c r="L105" s="90"/>
      <c r="M105" s="51"/>
      <c r="N105" s="113">
        <f t="shared" si="15"/>
        <v>3030</v>
      </c>
      <c r="O105" s="120">
        <v>0</v>
      </c>
      <c r="P105" s="9">
        <v>0</v>
      </c>
      <c r="Q105" s="122">
        <v>0</v>
      </c>
      <c r="R105" s="121">
        <v>0</v>
      </c>
      <c r="S105" s="27">
        <f t="shared" si="16"/>
        <v>0</v>
      </c>
      <c r="T105" s="30">
        <v>0</v>
      </c>
      <c r="U105" s="51"/>
      <c r="V105" s="2120">
        <f t="shared" si="17"/>
        <v>0</v>
      </c>
      <c r="W105" s="2116"/>
      <c r="X105" s="43"/>
      <c r="Y105" s="43"/>
      <c r="Z105" s="43"/>
    </row>
    <row r="106" spans="1:26">
      <c r="A106" s="88">
        <v>3040</v>
      </c>
      <c r="B106" s="1033" t="s">
        <v>906</v>
      </c>
      <c r="C106" s="1033"/>
      <c r="D106" s="1033"/>
      <c r="E106" s="1033"/>
      <c r="F106" s="1033"/>
      <c r="G106" s="1033"/>
      <c r="H106" s="1033"/>
      <c r="I106" s="1033"/>
      <c r="J106" s="1033"/>
      <c r="K106" s="1033"/>
      <c r="L106" s="90"/>
      <c r="M106" s="51"/>
      <c r="N106" s="113">
        <f t="shared" si="15"/>
        <v>3040</v>
      </c>
      <c r="O106" s="120">
        <v>0</v>
      </c>
      <c r="P106" s="9">
        <v>0</v>
      </c>
      <c r="Q106" s="122">
        <v>0</v>
      </c>
      <c r="R106" s="121">
        <v>0</v>
      </c>
      <c r="S106" s="27">
        <f t="shared" si="16"/>
        <v>0</v>
      </c>
      <c r="T106" s="30">
        <v>0</v>
      </c>
      <c r="U106" s="51"/>
      <c r="V106" s="2120">
        <f t="shared" si="17"/>
        <v>0</v>
      </c>
      <c r="W106" s="2116"/>
      <c r="X106" s="43"/>
      <c r="Y106" s="43"/>
      <c r="Z106" s="43"/>
    </row>
    <row r="107" spans="1:26">
      <c r="A107" s="88">
        <v>3100</v>
      </c>
      <c r="B107" s="1033" t="s">
        <v>907</v>
      </c>
      <c r="C107" s="1033"/>
      <c r="D107" s="1033"/>
      <c r="E107" s="1033"/>
      <c r="F107" s="1033"/>
      <c r="G107" s="1033"/>
      <c r="H107" s="1033"/>
      <c r="I107" s="1033"/>
      <c r="J107" s="1033"/>
      <c r="K107" s="1033"/>
      <c r="L107" s="90"/>
      <c r="M107" s="51"/>
      <c r="N107" s="113">
        <f t="shared" si="15"/>
        <v>3100</v>
      </c>
      <c r="O107" s="120"/>
      <c r="P107" s="9">
        <v>0</v>
      </c>
      <c r="Q107" s="122"/>
      <c r="R107" s="121"/>
      <c r="S107" s="27">
        <f t="shared" si="16"/>
        <v>0</v>
      </c>
      <c r="T107" s="30">
        <v>0</v>
      </c>
      <c r="U107" s="51"/>
      <c r="V107" s="2120">
        <f t="shared" si="17"/>
        <v>0</v>
      </c>
      <c r="W107" s="2116"/>
      <c r="X107" s="43"/>
      <c r="Y107" s="43"/>
      <c r="Z107" s="43"/>
    </row>
    <row r="108" spans="1:26">
      <c r="A108" s="88">
        <v>3210</v>
      </c>
      <c r="B108" s="1033" t="s">
        <v>908</v>
      </c>
      <c r="C108" s="1033"/>
      <c r="D108" s="1033"/>
      <c r="E108" s="1033"/>
      <c r="F108" s="1033"/>
      <c r="G108" s="1033"/>
      <c r="H108" s="1033"/>
      <c r="I108" s="1033"/>
      <c r="J108" s="1033"/>
      <c r="K108" s="1033"/>
      <c r="L108" s="90"/>
      <c r="M108" s="51"/>
      <c r="N108" s="113">
        <f t="shared" si="15"/>
        <v>3210</v>
      </c>
      <c r="O108" s="120"/>
      <c r="P108" s="9">
        <v>0</v>
      </c>
      <c r="Q108" s="122"/>
      <c r="R108" s="121"/>
      <c r="S108" s="27">
        <f t="shared" si="16"/>
        <v>0</v>
      </c>
      <c r="T108" s="30">
        <v>0</v>
      </c>
      <c r="U108" s="51"/>
      <c r="V108" s="2120">
        <f t="shared" si="17"/>
        <v>0</v>
      </c>
      <c r="W108" s="2116"/>
      <c r="X108" s="43"/>
      <c r="Y108" s="43"/>
      <c r="Z108" s="43"/>
    </row>
    <row r="109" spans="1:26">
      <c r="A109" s="88">
        <v>3220</v>
      </c>
      <c r="B109" s="1033" t="s">
        <v>909</v>
      </c>
      <c r="C109" s="1033"/>
      <c r="D109" s="1033"/>
      <c r="E109" s="1033"/>
      <c r="F109" s="1033"/>
      <c r="G109" s="1033"/>
      <c r="H109" s="1033"/>
      <c r="I109" s="1033"/>
      <c r="J109" s="1033"/>
      <c r="K109" s="1033"/>
      <c r="L109" s="90"/>
      <c r="M109" s="51"/>
      <c r="N109" s="113">
        <f t="shared" si="15"/>
        <v>3220</v>
      </c>
      <c r="O109" s="120"/>
      <c r="P109" s="9">
        <v>0</v>
      </c>
      <c r="Q109" s="122"/>
      <c r="R109" s="121"/>
      <c r="S109" s="27">
        <f t="shared" si="16"/>
        <v>0</v>
      </c>
      <c r="T109" s="30">
        <v>0</v>
      </c>
      <c r="U109" s="51"/>
      <c r="V109" s="2120">
        <f t="shared" si="17"/>
        <v>0</v>
      </c>
      <c r="W109" s="2116"/>
      <c r="X109" s="43"/>
      <c r="Y109" s="43"/>
      <c r="Z109" s="43"/>
    </row>
    <row r="110" spans="1:26">
      <c r="A110" s="88">
        <v>3310</v>
      </c>
      <c r="B110" s="1033" t="s">
        <v>910</v>
      </c>
      <c r="C110" s="1033"/>
      <c r="D110" s="1033"/>
      <c r="E110" s="1033"/>
      <c r="F110" s="1033"/>
      <c r="G110" s="1033"/>
      <c r="H110" s="1033"/>
      <c r="I110" s="1033"/>
      <c r="J110" s="1033"/>
      <c r="K110" s="1033"/>
      <c r="L110" s="90"/>
      <c r="M110" s="51"/>
      <c r="N110" s="113">
        <f t="shared" si="15"/>
        <v>3310</v>
      </c>
      <c r="O110" s="120"/>
      <c r="P110" s="9">
        <v>0</v>
      </c>
      <c r="Q110" s="122"/>
      <c r="R110" s="121"/>
      <c r="S110" s="27">
        <f t="shared" si="16"/>
        <v>0</v>
      </c>
      <c r="T110" s="30">
        <v>0</v>
      </c>
      <c r="U110" s="51"/>
      <c r="V110" s="2120">
        <f t="shared" si="17"/>
        <v>0</v>
      </c>
      <c r="W110" s="2116"/>
      <c r="X110" s="43"/>
      <c r="Y110" s="43"/>
      <c r="Z110" s="43"/>
    </row>
    <row r="111" spans="1:26">
      <c r="A111" s="88">
        <v>3320</v>
      </c>
      <c r="B111" s="1033" t="s">
        <v>911</v>
      </c>
      <c r="C111" s="1033"/>
      <c r="D111" s="1033"/>
      <c r="E111" s="1033"/>
      <c r="F111" s="1033"/>
      <c r="G111" s="1033"/>
      <c r="H111" s="1033"/>
      <c r="I111" s="1033"/>
      <c r="J111" s="1033"/>
      <c r="K111" s="1033"/>
      <c r="L111" s="90"/>
      <c r="M111" s="51"/>
      <c r="N111" s="113">
        <f t="shared" si="15"/>
        <v>3320</v>
      </c>
      <c r="O111" s="120"/>
      <c r="P111" s="9">
        <v>0</v>
      </c>
      <c r="Q111" s="122"/>
      <c r="R111" s="121"/>
      <c r="S111" s="27">
        <f t="shared" si="16"/>
        <v>0</v>
      </c>
      <c r="T111" s="30">
        <v>0</v>
      </c>
      <c r="U111" s="51"/>
      <c r="V111" s="2120">
        <f t="shared" si="17"/>
        <v>0</v>
      </c>
      <c r="W111" s="2116"/>
      <c r="X111" s="43"/>
      <c r="Y111" s="43"/>
      <c r="Z111" s="43"/>
    </row>
    <row r="112" spans="1:26">
      <c r="A112" s="1040">
        <v>3330</v>
      </c>
      <c r="B112" s="101" t="s">
        <v>912</v>
      </c>
      <c r="C112" s="101"/>
      <c r="D112" s="101"/>
      <c r="E112" s="101"/>
      <c r="F112" s="101"/>
      <c r="G112" s="101"/>
      <c r="H112" s="101"/>
      <c r="I112" s="101"/>
      <c r="J112" s="101"/>
      <c r="K112" s="101"/>
      <c r="L112" s="102"/>
      <c r="M112" s="51"/>
      <c r="N112" s="116">
        <f t="shared" si="15"/>
        <v>3330</v>
      </c>
      <c r="O112" s="123"/>
      <c r="P112" s="37">
        <v>0</v>
      </c>
      <c r="Q112" s="126"/>
      <c r="R112" s="127"/>
      <c r="S112" s="56">
        <f t="shared" si="16"/>
        <v>0</v>
      </c>
      <c r="T112" s="60">
        <v>0</v>
      </c>
      <c r="U112" s="51"/>
      <c r="V112" s="2120">
        <f t="shared" si="17"/>
        <v>0</v>
      </c>
      <c r="W112" s="2116"/>
      <c r="X112" s="43"/>
      <c r="Y112" s="43"/>
      <c r="Z112" s="43"/>
    </row>
    <row r="113" spans="1:26">
      <c r="A113" s="379" t="s">
        <v>913</v>
      </c>
      <c r="B113" s="380"/>
      <c r="C113" s="380"/>
      <c r="D113" s="380"/>
      <c r="E113" s="380"/>
      <c r="F113" s="380"/>
      <c r="G113" s="380"/>
      <c r="H113" s="380"/>
      <c r="I113" s="380"/>
      <c r="J113" s="380"/>
      <c r="K113" s="380"/>
      <c r="L113" s="381"/>
      <c r="M113" s="51"/>
      <c r="N113" s="383">
        <v>4</v>
      </c>
      <c r="O113" s="384"/>
      <c r="P113" s="385"/>
      <c r="Q113" s="386"/>
      <c r="R113" s="385"/>
      <c r="S113" s="386"/>
      <c r="T113" s="387"/>
      <c r="U113" s="51"/>
      <c r="V113" s="2119"/>
      <c r="W113" s="2116"/>
      <c r="X113" s="43"/>
      <c r="Y113" s="43"/>
      <c r="Z113" s="43"/>
    </row>
    <row r="114" spans="1:26">
      <c r="A114" s="85">
        <v>4010</v>
      </c>
      <c r="B114" s="86" t="s">
        <v>200</v>
      </c>
      <c r="C114" s="86"/>
      <c r="D114" s="86"/>
      <c r="E114" s="86"/>
      <c r="F114" s="86"/>
      <c r="G114" s="86"/>
      <c r="H114" s="86"/>
      <c r="I114" s="86"/>
      <c r="J114" s="86"/>
      <c r="K114" s="86"/>
      <c r="L114" s="87"/>
      <c r="M114" s="51"/>
      <c r="N114" s="112">
        <f t="shared" ref="N114:N172" si="18">+A114</f>
        <v>4010</v>
      </c>
      <c r="O114" s="328">
        <v>0</v>
      </c>
      <c r="P114" s="324">
        <v>0</v>
      </c>
      <c r="Q114" s="325">
        <v>0</v>
      </c>
      <c r="R114" s="324">
        <v>0</v>
      </c>
      <c r="S114" s="330">
        <v>0</v>
      </c>
      <c r="T114" s="327">
        <f>+IF(ABS(+O114+Q114)&lt;=ABS(P114+R114),-O114+P114-Q114+R114,0)</f>
        <v>0</v>
      </c>
      <c r="U114" s="51"/>
      <c r="V114" s="2119">
        <f>+IF(OR(+ROUND(O114,2)+ROUND(Q114,2)&gt;ROUND(P114,2)+ROUND(R114,2),+ABS(ROUND(O114,2)+ROUND(Q114,2))&gt;+ABS(ROUND(P114,2)+ROUND(R114,2))),+(ROUND(O114,2)+ROUND(Q114,2))-(ROUND(P114,2)+ROUND(R114,2)),0)</f>
        <v>0</v>
      </c>
      <c r="W114" s="2116"/>
      <c r="X114" s="43"/>
      <c r="Y114" s="43"/>
      <c r="Z114" s="43"/>
    </row>
    <row r="115" spans="1:26">
      <c r="A115" s="88">
        <v>4020</v>
      </c>
      <c r="B115" s="1033" t="s">
        <v>203</v>
      </c>
      <c r="C115" s="1033"/>
      <c r="D115" s="1033"/>
      <c r="E115" s="1033"/>
      <c r="F115" s="1033"/>
      <c r="G115" s="1033"/>
      <c r="H115" s="1033"/>
      <c r="I115" s="1033"/>
      <c r="J115" s="1033"/>
      <c r="K115" s="1033"/>
      <c r="L115" s="90"/>
      <c r="M115" s="51"/>
      <c r="N115" s="113">
        <f t="shared" si="18"/>
        <v>4020</v>
      </c>
      <c r="O115" s="120">
        <v>0</v>
      </c>
      <c r="P115" s="9">
        <v>0</v>
      </c>
      <c r="Q115" s="122">
        <v>0</v>
      </c>
      <c r="R115" s="324">
        <v>0</v>
      </c>
      <c r="S115" s="27">
        <f>+IF(ABS(+O115+Q115)&gt;=ABS(P115+R115),+O115-P115+Q115-R115,0)</f>
        <v>0</v>
      </c>
      <c r="T115" s="2123">
        <f>+IF(OR($N$4="03",$N$4="06",$N$4="09"),+IF(AND(ABS(+O115+Q115)&lt;ABS(P115+R115),P115+R115&lt;0),-O115+P115-Q115+R115,0),+IF(AND(N$4="12",ABS(+O115+Q115)&lt;ABS(P115+R115)),-O115+P115-Q115+R115,0))</f>
        <v>0</v>
      </c>
      <c r="U115" s="51"/>
      <c r="V115" s="2124">
        <f>+IF(OR(ROUND(P115,2)+ROUND(R115,2)&gt;+ROUND(O115,2)+ROUND(Q115,2),+AND($N$4="12",ABS(ROUND(P115,2)+ROUND(R115,2))&gt;+ABS(ROUND(O115,2)+ROUND(Q115,2)))),+(ROUND(P115,2)+ROUND(R115,2))-(ROUND(O115,2)+ROUND(Q115,2)),0)</f>
        <v>0</v>
      </c>
      <c r="W115" s="2116"/>
      <c r="X115" s="43"/>
      <c r="Y115" s="43"/>
      <c r="Z115" s="43"/>
    </row>
    <row r="116" spans="1:26">
      <c r="A116" s="88">
        <v>4030</v>
      </c>
      <c r="B116" s="1033" t="s">
        <v>204</v>
      </c>
      <c r="C116" s="1033"/>
      <c r="D116" s="1033"/>
      <c r="E116" s="1033"/>
      <c r="F116" s="1033"/>
      <c r="G116" s="1033"/>
      <c r="H116" s="1033"/>
      <c r="I116" s="1033"/>
      <c r="J116" s="1033"/>
      <c r="K116" s="1033"/>
      <c r="L116" s="90"/>
      <c r="M116" s="51"/>
      <c r="N116" s="113">
        <f t="shared" si="18"/>
        <v>4030</v>
      </c>
      <c r="O116" s="8">
        <v>0</v>
      </c>
      <c r="P116" s="121"/>
      <c r="Q116" s="122"/>
      <c r="R116" s="324"/>
      <c r="S116" s="579">
        <v>0</v>
      </c>
      <c r="T116" s="580">
        <f>+IF(ABS(+O116+Q116)&lt;=ABS(P116+R116),-O116+P116-Q116+R116,0)</f>
        <v>0</v>
      </c>
      <c r="U116" s="51"/>
      <c r="V116" s="2119">
        <f>+IF(OR(+ROUND(O116,2)+ROUND(Q116,2)&gt;ROUND(P116,2)+ROUND(R116,2),+ABS(ROUND(O116,2)+ROUND(Q116,2))&gt;+ABS(ROUND(P116,2)+ROUND(R116,2))),+(ROUND(O116,2)+ROUND(Q116,2))-(ROUND(P116,2)+ROUND(R116,2)),0)</f>
        <v>0</v>
      </c>
      <c r="W116" s="2116"/>
      <c r="X116" s="43"/>
      <c r="Y116" s="43"/>
      <c r="Z116" s="43"/>
    </row>
    <row r="117" spans="1:26">
      <c r="A117" s="88">
        <v>4040</v>
      </c>
      <c r="B117" s="1033" t="s">
        <v>205</v>
      </c>
      <c r="C117" s="1033"/>
      <c r="D117" s="1033"/>
      <c r="E117" s="1033"/>
      <c r="F117" s="1033"/>
      <c r="G117" s="1033"/>
      <c r="H117" s="1033"/>
      <c r="I117" s="1033"/>
      <c r="J117" s="1033"/>
      <c r="K117" s="1033"/>
      <c r="L117" s="90"/>
      <c r="M117" s="51"/>
      <c r="N117" s="113">
        <f t="shared" si="18"/>
        <v>4040</v>
      </c>
      <c r="O117" s="120"/>
      <c r="P117" s="9">
        <v>0</v>
      </c>
      <c r="Q117" s="122"/>
      <c r="R117" s="324"/>
      <c r="S117" s="27">
        <f>+IF(ABS(+O117+Q117)&gt;=ABS(P117+R117),+O117-P117+Q117-R117,0)</f>
        <v>0</v>
      </c>
      <c r="T117" s="2123">
        <f>+IF(OR($N$4="03",$N$4="06",$N$4="09"),+IF(AND(ABS(+O117+Q117)&lt;ABS(P117+R117),P117+R117&lt;0),-O117+P117-Q117+R117,0),+IF(AND(N$4="12",ABS(+O117+Q117)&lt;ABS(P117+R117)),-O117+P117-Q117+R117,0))</f>
        <v>0</v>
      </c>
      <c r="U117" s="51"/>
      <c r="V117" s="2124">
        <f>+IF(OR(ROUND(P117,2)+ROUND(R117,2)&gt;+ROUND(O117,2)+ROUND(Q117,2),+AND($N$4="12",ABS(ROUND(P117,2)+ROUND(R117,2))&gt;+ABS(ROUND(O117,2)+ROUND(Q117,2)))),+(ROUND(P117,2)+ROUND(R117,2))-(ROUND(O117,2)+ROUND(Q117,2)),0)</f>
        <v>0</v>
      </c>
      <c r="W117" s="2116"/>
      <c r="X117" s="43"/>
      <c r="Y117" s="43"/>
      <c r="Z117" s="43"/>
    </row>
    <row r="118" spans="1:26">
      <c r="A118" s="88">
        <v>4050</v>
      </c>
      <c r="B118" s="1033" t="s">
        <v>473</v>
      </c>
      <c r="C118" s="1033"/>
      <c r="D118" s="1033"/>
      <c r="E118" s="1033"/>
      <c r="F118" s="1033"/>
      <c r="G118" s="1033"/>
      <c r="H118" s="1033"/>
      <c r="I118" s="1033"/>
      <c r="J118" s="1033"/>
      <c r="K118" s="1033"/>
      <c r="L118" s="90"/>
      <c r="M118" s="51"/>
      <c r="N118" s="113">
        <f t="shared" si="18"/>
        <v>4050</v>
      </c>
      <c r="O118" s="8">
        <v>0</v>
      </c>
      <c r="P118" s="121"/>
      <c r="Q118" s="122"/>
      <c r="R118" s="121"/>
      <c r="S118" s="579">
        <v>0</v>
      </c>
      <c r="T118" s="580">
        <f>+IF(ABS(+O118+Q118)&lt;=ABS(P118+R118),-O118+P118-Q118+R118,0)</f>
        <v>0</v>
      </c>
      <c r="U118" s="51"/>
      <c r="V118" s="2119">
        <f>+IF(OR(+ROUND(O118,2)+ROUND(Q118,2)&gt;ROUND(P118,2)+ROUND(R118,2),+ABS(ROUND(O118,2)+ROUND(Q118,2))&gt;+ABS(ROUND(P118,2)+ROUND(R118,2))),+(ROUND(O118,2)+ROUND(Q118,2))-(ROUND(P118,2)+ROUND(R118,2)),0)</f>
        <v>0</v>
      </c>
      <c r="W118" s="2116"/>
      <c r="X118" s="43"/>
      <c r="Y118" s="43"/>
      <c r="Z118" s="43"/>
    </row>
    <row r="119" spans="1:26">
      <c r="A119" s="88">
        <v>4052</v>
      </c>
      <c r="B119" s="1033" t="s">
        <v>474</v>
      </c>
      <c r="C119" s="1033"/>
      <c r="D119" s="1033"/>
      <c r="E119" s="1033"/>
      <c r="F119" s="1033"/>
      <c r="G119" s="1033"/>
      <c r="H119" s="1033"/>
      <c r="I119" s="1033"/>
      <c r="J119" s="1033"/>
      <c r="K119" s="1033"/>
      <c r="L119" s="90"/>
      <c r="M119" s="51"/>
      <c r="N119" s="113">
        <f t="shared" si="18"/>
        <v>4052</v>
      </c>
      <c r="O119" s="581"/>
      <c r="P119" s="582">
        <v>0</v>
      </c>
      <c r="Q119" s="589"/>
      <c r="R119" s="576"/>
      <c r="S119" s="583">
        <f>+IF(ABS(+O119+Q119)&gt;=ABS(P119+R119),+O119-P119+Q119-R119,0)</f>
        <v>0</v>
      </c>
      <c r="T119" s="584">
        <v>0</v>
      </c>
      <c r="U119" s="51"/>
      <c r="V119" s="2120">
        <f>+IF(OR(ROUND(P119,2)+ROUND(R119,2)&gt;+ROUND(O119,2)+ROUND(Q119,2),+ABS(ROUND(P119,2)+ROUND(R119,2))&gt;+ABS(ROUND(O119,2)+ROUND(Q119,2))),+(ROUND(P119,2)+ROUND(R119,2))-(ROUND(O119,2)+ROUND(Q119,2)),0)</f>
        <v>0</v>
      </c>
      <c r="W119" s="2116"/>
      <c r="X119" s="43"/>
      <c r="Y119" s="43"/>
      <c r="Z119" s="43"/>
    </row>
    <row r="120" spans="1:26" ht="15.75" customHeight="1">
      <c r="A120" s="88">
        <v>4057</v>
      </c>
      <c r="B120" s="1033" t="s">
        <v>475</v>
      </c>
      <c r="C120" s="1041"/>
      <c r="D120" s="1041"/>
      <c r="E120" s="1041"/>
      <c r="F120" s="1041"/>
      <c r="G120" s="1041"/>
      <c r="H120" s="1041"/>
      <c r="I120" s="1041"/>
      <c r="J120" s="1041"/>
      <c r="K120" s="1041"/>
      <c r="L120" s="590"/>
      <c r="M120" s="51"/>
      <c r="N120" s="2136">
        <f t="shared" si="18"/>
        <v>4057</v>
      </c>
      <c r="O120" s="581"/>
      <c r="P120" s="576"/>
      <c r="Q120" s="589"/>
      <c r="R120" s="576"/>
      <c r="S120" s="583">
        <f>+IF(ABS(+O120+Q120)&gt;=ABS(P120+R120),+O120-P120+Q120-R120,0)</f>
        <v>0</v>
      </c>
      <c r="T120" s="580">
        <f>+IF(ABS(+O120+Q120)&lt;=ABS(P120+R120),-O120+P120-Q120+R120,0)</f>
        <v>0</v>
      </c>
      <c r="U120" s="51"/>
      <c r="V120" s="2119"/>
      <c r="W120" s="2116"/>
      <c r="X120" s="43"/>
      <c r="Y120" s="43"/>
      <c r="Z120" s="43"/>
    </row>
    <row r="121" spans="1:26" ht="15.75" customHeight="1">
      <c r="A121" s="88">
        <v>4058</v>
      </c>
      <c r="B121" s="1033" t="s">
        <v>476</v>
      </c>
      <c r="C121" s="1041"/>
      <c r="D121" s="1041"/>
      <c r="E121" s="1041"/>
      <c r="F121" s="1041"/>
      <c r="G121" s="1041"/>
      <c r="H121" s="1041"/>
      <c r="I121" s="1041"/>
      <c r="J121" s="1041"/>
      <c r="K121" s="1041"/>
      <c r="L121" s="590"/>
      <c r="M121" s="51"/>
      <c r="N121" s="2136">
        <f t="shared" si="18"/>
        <v>4058</v>
      </c>
      <c r="O121" s="581"/>
      <c r="P121" s="576"/>
      <c r="Q121" s="589"/>
      <c r="R121" s="576"/>
      <c r="S121" s="583">
        <f>+IF(ABS(+O121+Q121)&gt;=ABS(P121+R121),+O121-P121+Q121-R121,0)</f>
        <v>0</v>
      </c>
      <c r="T121" s="580">
        <f>+IF(ABS(+O121+Q121)&lt;=ABS(P121+R121),-O121+P121-Q121+R121,0)</f>
        <v>0</v>
      </c>
      <c r="U121" s="51"/>
      <c r="V121" s="2119"/>
      <c r="W121" s="2116"/>
      <c r="X121" s="43"/>
      <c r="Y121" s="43"/>
      <c r="Z121" s="43"/>
    </row>
    <row r="122" spans="1:26">
      <c r="A122" s="88">
        <v>4071</v>
      </c>
      <c r="B122" s="1033" t="s">
        <v>477</v>
      </c>
      <c r="C122" s="1033"/>
      <c r="D122" s="1033"/>
      <c r="E122" s="1033"/>
      <c r="F122" s="1033"/>
      <c r="G122" s="1033"/>
      <c r="H122" s="1033"/>
      <c r="I122" s="1033"/>
      <c r="J122" s="1033"/>
      <c r="K122" s="1033"/>
      <c r="L122" s="90"/>
      <c r="M122" s="51"/>
      <c r="N122" s="113">
        <f t="shared" si="18"/>
        <v>4071</v>
      </c>
      <c r="O122" s="575">
        <v>0</v>
      </c>
      <c r="P122" s="576"/>
      <c r="Q122" s="589"/>
      <c r="R122" s="121"/>
      <c r="S122" s="579">
        <v>0</v>
      </c>
      <c r="T122" s="580">
        <f>+IF(ABS(+O122+Q122)&lt;=ABS(P122+R122),-O122+P122-Q122+R122,0)</f>
        <v>0</v>
      </c>
      <c r="U122" s="51"/>
      <c r="V122" s="2119">
        <f>+IF(OR(+ROUND(O122,2)+ROUND(Q122,2)&gt;ROUND(P122,2)+ROUND(R122,2),+ABS(ROUND(O122,2)+ROUND(Q122,2))&gt;+ABS(ROUND(P122,2)+ROUND(R122,2))),+(ROUND(O122,2)+ROUND(Q122,2))-(ROUND(P122,2)+ROUND(R122,2)),0)</f>
        <v>0</v>
      </c>
      <c r="W122" s="2116"/>
      <c r="X122" s="43"/>
      <c r="Y122" s="43"/>
      <c r="Z122" s="43"/>
    </row>
    <row r="123" spans="1:26">
      <c r="A123" s="88">
        <v>4072</v>
      </c>
      <c r="B123" s="1033" t="s">
        <v>478</v>
      </c>
      <c r="C123" s="1033"/>
      <c r="D123" s="1033"/>
      <c r="E123" s="1033"/>
      <c r="F123" s="1033"/>
      <c r="G123" s="1033"/>
      <c r="H123" s="1033"/>
      <c r="I123" s="1033"/>
      <c r="J123" s="1033"/>
      <c r="K123" s="1033"/>
      <c r="L123" s="90"/>
      <c r="M123" s="51"/>
      <c r="N123" s="113">
        <f t="shared" si="18"/>
        <v>4072</v>
      </c>
      <c r="O123" s="581"/>
      <c r="P123" s="582">
        <v>0</v>
      </c>
      <c r="Q123" s="589"/>
      <c r="R123" s="576"/>
      <c r="S123" s="583">
        <f>+IF(ABS(+O123+Q123)&gt;=ABS(P123+R123),+O123-P123+Q123-R123,0)</f>
        <v>0</v>
      </c>
      <c r="T123" s="584">
        <v>0</v>
      </c>
      <c r="U123" s="51"/>
      <c r="V123" s="2120">
        <f>+IF(OR(ROUND(P123,2)+ROUND(R123,2)&gt;+ROUND(O123,2)+ROUND(Q123,2),+ABS(ROUND(P123,2)+ROUND(R123,2))&gt;+ABS(ROUND(O123,2)+ROUND(Q123,2))),+(ROUND(P123,2)+ROUND(R123,2))-(ROUND(O123,2)+ROUND(Q123,2)),0)</f>
        <v>0</v>
      </c>
      <c r="W123" s="2116"/>
      <c r="X123" s="43"/>
      <c r="Y123" s="43"/>
      <c r="Z123" s="43"/>
    </row>
    <row r="124" spans="1:26">
      <c r="A124" s="88">
        <v>4110</v>
      </c>
      <c r="B124" s="378" t="s">
        <v>206</v>
      </c>
      <c r="C124" s="1033"/>
      <c r="D124" s="1033"/>
      <c r="E124" s="1033"/>
      <c r="F124" s="1033"/>
      <c r="G124" s="1033"/>
      <c r="H124" s="1033"/>
      <c r="I124" s="1033"/>
      <c r="J124" s="1033"/>
      <c r="K124" s="1033"/>
      <c r="L124" s="90"/>
      <c r="M124" s="51"/>
      <c r="N124" s="113">
        <f t="shared" si="18"/>
        <v>4110</v>
      </c>
      <c r="O124" s="120">
        <v>0</v>
      </c>
      <c r="P124" s="9">
        <v>0</v>
      </c>
      <c r="Q124" s="122">
        <v>0</v>
      </c>
      <c r="R124" s="576">
        <v>0</v>
      </c>
      <c r="S124" s="583">
        <f>+IF(ABS(+O124+Q124)&gt;=ABS(P124+R124),+O124-P124+Q124-R124,0)</f>
        <v>0</v>
      </c>
      <c r="T124" s="584">
        <v>0</v>
      </c>
      <c r="U124" s="51"/>
      <c r="V124" s="2120">
        <f>+IF(OR(ROUND(P124,2)+ROUND(R124,2)&gt;+ROUND(O124,2)+ROUND(Q124,2),+ABS(ROUND(P124,2)+ROUND(R124,2))&gt;+ABS(ROUND(O124,2)+ROUND(Q124,2))),+(ROUND(P124,2)+ROUND(R124,2))-(ROUND(O124,2)+ROUND(Q124,2)),0)</f>
        <v>0</v>
      </c>
      <c r="W124" s="2116"/>
      <c r="X124" s="43"/>
      <c r="Y124" s="43"/>
      <c r="Z124" s="43"/>
    </row>
    <row r="125" spans="1:26">
      <c r="A125" s="88">
        <v>4120</v>
      </c>
      <c r="B125" s="378" t="s">
        <v>896</v>
      </c>
      <c r="C125" s="1033"/>
      <c r="D125" s="1033"/>
      <c r="E125" s="1033"/>
      <c r="F125" s="1033"/>
      <c r="G125" s="1033"/>
      <c r="H125" s="1033"/>
      <c r="I125" s="1033"/>
      <c r="J125" s="1033"/>
      <c r="K125" s="1033"/>
      <c r="L125" s="90"/>
      <c r="M125" s="51"/>
      <c r="N125" s="113">
        <f t="shared" si="18"/>
        <v>4120</v>
      </c>
      <c r="O125" s="8">
        <v>0</v>
      </c>
      <c r="P125" s="121"/>
      <c r="Q125" s="122"/>
      <c r="R125" s="121"/>
      <c r="S125" s="579">
        <v>0</v>
      </c>
      <c r="T125" s="580">
        <f>+IF(ABS(+O125+Q125)&lt;=ABS(P125+R125),-O125+P125-Q125+R125,0)</f>
        <v>0</v>
      </c>
      <c r="U125" s="51"/>
      <c r="V125" s="2119">
        <f>+IF(OR(+ROUND(O125,2)+ROUND(Q125,2)&gt;ROUND(P125,2)+ROUND(R125,2),+ABS(ROUND(O125,2)+ROUND(Q125,2))&gt;+ABS(ROUND(P125,2)+ROUND(R125,2))),+(ROUND(O125,2)+ROUND(Q125,2))-(ROUND(P125,2)+ROUND(R125,2)),0)</f>
        <v>0</v>
      </c>
      <c r="W125" s="2116"/>
      <c r="X125" s="43"/>
      <c r="Y125" s="43"/>
      <c r="Z125" s="43"/>
    </row>
    <row r="126" spans="1:26">
      <c r="A126" s="88">
        <v>4130</v>
      </c>
      <c r="B126" s="378" t="s">
        <v>897</v>
      </c>
      <c r="C126" s="1033"/>
      <c r="D126" s="1033"/>
      <c r="E126" s="1033"/>
      <c r="F126" s="1033"/>
      <c r="G126" s="1033"/>
      <c r="H126" s="1033"/>
      <c r="I126" s="1033"/>
      <c r="J126" s="1033"/>
      <c r="K126" s="1033"/>
      <c r="L126" s="90"/>
      <c r="M126" s="51"/>
      <c r="N126" s="113">
        <f t="shared" si="18"/>
        <v>4130</v>
      </c>
      <c r="O126" s="120"/>
      <c r="P126" s="9">
        <v>0</v>
      </c>
      <c r="Q126" s="122"/>
      <c r="R126" s="576"/>
      <c r="S126" s="583">
        <f>+IF(ABS(+O126+Q126)&gt;=ABS(P126+R126),+O126-P126+Q126-R126,0)</f>
        <v>0</v>
      </c>
      <c r="T126" s="584">
        <v>0</v>
      </c>
      <c r="U126" s="51"/>
      <c r="V126" s="2120">
        <f>+IF(OR(ROUND(P126,2)+ROUND(R126,2)&gt;+ROUND(O126,2)+ROUND(Q126,2),+ABS(ROUND(P126,2)+ROUND(R126,2))&gt;+ABS(ROUND(O126,2)+ROUND(Q126,2))),+(ROUND(P126,2)+ROUND(R126,2))-(ROUND(O126,2)+ROUND(Q126,2)),0)</f>
        <v>0</v>
      </c>
      <c r="W126" s="2116"/>
      <c r="X126" s="43"/>
      <c r="Y126" s="43"/>
      <c r="Z126" s="43"/>
    </row>
    <row r="127" spans="1:26">
      <c r="A127" s="88">
        <v>4140</v>
      </c>
      <c r="B127" s="378" t="s">
        <v>898</v>
      </c>
      <c r="C127" s="1033"/>
      <c r="D127" s="1033"/>
      <c r="E127" s="1033"/>
      <c r="F127" s="1033"/>
      <c r="G127" s="1033"/>
      <c r="H127" s="1033"/>
      <c r="I127" s="1033"/>
      <c r="J127" s="1033"/>
      <c r="K127" s="1033"/>
      <c r="L127" s="90"/>
      <c r="M127" s="51"/>
      <c r="N127" s="113">
        <f t="shared" si="18"/>
        <v>4140</v>
      </c>
      <c r="O127" s="8">
        <v>0</v>
      </c>
      <c r="P127" s="121"/>
      <c r="Q127" s="122"/>
      <c r="R127" s="121"/>
      <c r="S127" s="579">
        <v>0</v>
      </c>
      <c r="T127" s="580">
        <f>+IF(ABS(+O127+Q127)&lt;=ABS(P127+R127),-O127+P127-Q127+R127,0)</f>
        <v>0</v>
      </c>
      <c r="U127" s="51"/>
      <c r="V127" s="2119">
        <f>+IF(OR(+ROUND(O127,2)+ROUND(Q127,2)&gt;ROUND(P127,2)+ROUND(R127,2),+ABS(ROUND(O127,2)+ROUND(Q127,2))&gt;+ABS(ROUND(P127,2)+ROUND(R127,2))),+(ROUND(O127,2)+ROUND(Q127,2))-(ROUND(P127,2)+ROUND(R127,2)),0)</f>
        <v>0</v>
      </c>
      <c r="W127" s="2116"/>
      <c r="X127" s="43"/>
      <c r="Y127" s="43"/>
      <c r="Z127" s="43"/>
    </row>
    <row r="128" spans="1:26">
      <c r="A128" s="88">
        <v>4211</v>
      </c>
      <c r="B128" s="378" t="s">
        <v>480</v>
      </c>
      <c r="C128" s="1033"/>
      <c r="D128" s="1033"/>
      <c r="E128" s="1033"/>
      <c r="F128" s="1033"/>
      <c r="G128" s="1033"/>
      <c r="H128" s="1033"/>
      <c r="I128" s="1033"/>
      <c r="J128" s="1033"/>
      <c r="K128" s="1033"/>
      <c r="L128" s="90"/>
      <c r="M128" s="51"/>
      <c r="N128" s="113">
        <f t="shared" si="18"/>
        <v>4211</v>
      </c>
      <c r="O128" s="8">
        <v>0</v>
      </c>
      <c r="P128" s="121">
        <v>0</v>
      </c>
      <c r="Q128" s="122">
        <v>0</v>
      </c>
      <c r="R128" s="121">
        <v>0</v>
      </c>
      <c r="S128" s="579">
        <v>0</v>
      </c>
      <c r="T128" s="580">
        <f>+IF(ABS(+O128+Q128)&lt;=ABS(P128+R128),-O128+P128-Q128+R128,0)</f>
        <v>0</v>
      </c>
      <c r="U128" s="51"/>
      <c r="V128" s="2119">
        <f>+IF(OR(+ROUND(O128,2)+ROUND(Q128,2)&gt;ROUND(P128,2)+ROUND(R128,2),+ABS(ROUND(O128,2)+ROUND(Q128,2))&gt;+ABS(ROUND(P128,2)+ROUND(R128,2))),+(ROUND(O128,2)+ROUND(Q128,2))-(ROUND(P128,2)+ROUND(R128,2)),0)</f>
        <v>0</v>
      </c>
      <c r="W128" s="2116"/>
      <c r="X128" s="43"/>
      <c r="Y128" s="43"/>
      <c r="Z128" s="43"/>
    </row>
    <row r="129" spans="1:26">
      <c r="A129" s="88">
        <v>4213</v>
      </c>
      <c r="B129" s="378" t="s">
        <v>481</v>
      </c>
      <c r="C129" s="1033"/>
      <c r="D129" s="1033"/>
      <c r="E129" s="1033"/>
      <c r="F129" s="1033"/>
      <c r="G129" s="1033"/>
      <c r="H129" s="1033"/>
      <c r="I129" s="1033"/>
      <c r="J129" s="1033"/>
      <c r="K129" s="1033"/>
      <c r="L129" s="90"/>
      <c r="M129" s="51"/>
      <c r="N129" s="113">
        <f t="shared" si="18"/>
        <v>4213</v>
      </c>
      <c r="O129" s="120">
        <v>0</v>
      </c>
      <c r="P129" s="9">
        <v>0</v>
      </c>
      <c r="Q129" s="122">
        <v>0</v>
      </c>
      <c r="R129" s="576">
        <v>0</v>
      </c>
      <c r="S129" s="583">
        <f>+IF(ABS(+O129+Q129)&gt;=ABS(P129+R129),+O129-P129+Q129-R129,0)</f>
        <v>0</v>
      </c>
      <c r="T129" s="584">
        <v>0</v>
      </c>
      <c r="U129" s="51"/>
      <c r="V129" s="2120">
        <f>+IF(OR(ROUND(P129,2)+ROUND(R129,2)&gt;+ROUND(O129,2)+ROUND(Q129,2),+ABS(ROUND(P129,2)+ROUND(R129,2))&gt;+ABS(ROUND(O129,2)+ROUND(Q129,2))),+(ROUND(P129,2)+ROUND(R129,2))-(ROUND(O129,2)+ROUND(Q129,2)),0)</f>
        <v>0</v>
      </c>
      <c r="W129" s="2116"/>
      <c r="X129" s="43"/>
      <c r="Y129" s="43"/>
      <c r="Z129" s="43"/>
    </row>
    <row r="130" spans="1:26">
      <c r="A130" s="88">
        <v>4222</v>
      </c>
      <c r="B130" s="378" t="s">
        <v>482</v>
      </c>
      <c r="C130" s="1033"/>
      <c r="D130" s="1033"/>
      <c r="E130" s="1033"/>
      <c r="F130" s="1033"/>
      <c r="G130" s="1033"/>
      <c r="H130" s="1033"/>
      <c r="I130" s="1033"/>
      <c r="J130" s="1033"/>
      <c r="K130" s="1033"/>
      <c r="L130" s="90"/>
      <c r="M130" s="51"/>
      <c r="N130" s="113">
        <f t="shared" si="18"/>
        <v>4222</v>
      </c>
      <c r="O130" s="8">
        <v>0</v>
      </c>
      <c r="P130" s="121"/>
      <c r="Q130" s="122"/>
      <c r="R130" s="121"/>
      <c r="S130" s="579">
        <v>0</v>
      </c>
      <c r="T130" s="580">
        <f>+IF(ABS(+O130+Q130)&lt;=ABS(P130+R130),-O130+P130-Q130+R130,0)</f>
        <v>0</v>
      </c>
      <c r="U130" s="51"/>
      <c r="V130" s="2119">
        <f>+IF(OR(+ROUND(O130,2)+ROUND(Q130,2)&gt;ROUND(P130,2)+ROUND(R130,2),+ABS(ROUND(O130,2)+ROUND(Q130,2))&gt;+ABS(ROUND(P130,2)+ROUND(R130,2))),+(ROUND(O130,2)+ROUND(Q130,2))-(ROUND(P130,2)+ROUND(R130,2)),0)</f>
        <v>0</v>
      </c>
      <c r="W130" s="2116"/>
      <c r="X130" s="43"/>
      <c r="Y130" s="43"/>
      <c r="Z130" s="43"/>
    </row>
    <row r="131" spans="1:26">
      <c r="A131" s="88">
        <v>4224</v>
      </c>
      <c r="B131" s="378" t="s">
        <v>483</v>
      </c>
      <c r="C131" s="1033"/>
      <c r="D131" s="1033"/>
      <c r="E131" s="1033"/>
      <c r="F131" s="1033"/>
      <c r="G131" s="1033"/>
      <c r="H131" s="1033"/>
      <c r="I131" s="1033"/>
      <c r="J131" s="1033"/>
      <c r="K131" s="1033"/>
      <c r="L131" s="90"/>
      <c r="M131" s="51"/>
      <c r="N131" s="113">
        <f t="shared" si="18"/>
        <v>4224</v>
      </c>
      <c r="O131" s="120"/>
      <c r="P131" s="9">
        <v>0</v>
      </c>
      <c r="Q131" s="122"/>
      <c r="R131" s="576"/>
      <c r="S131" s="583">
        <f>+IF(ABS(+O131+Q131)&gt;=ABS(P131+R131),+O131-P131+Q131-R131,0)</f>
        <v>0</v>
      </c>
      <c r="T131" s="584">
        <v>0</v>
      </c>
      <c r="U131" s="51"/>
      <c r="V131" s="2120">
        <f>+IF(OR(ROUND(P131,2)+ROUND(R131,2)&gt;+ROUND(O131,2)+ROUND(Q131,2),+ABS(ROUND(P131,2)+ROUND(R131,2))&gt;+ABS(ROUND(O131,2)+ROUND(Q131,2))),+(ROUND(P131,2)+ROUND(R131,2))-(ROUND(O131,2)+ROUND(Q131,2)),0)</f>
        <v>0</v>
      </c>
      <c r="W131" s="2116"/>
      <c r="X131" s="43"/>
      <c r="Y131" s="43"/>
      <c r="Z131" s="43"/>
    </row>
    <row r="132" spans="1:26">
      <c r="A132" s="88">
        <v>4230</v>
      </c>
      <c r="B132" s="378" t="s">
        <v>1001</v>
      </c>
      <c r="C132" s="1033"/>
      <c r="D132" s="1033"/>
      <c r="E132" s="1033"/>
      <c r="F132" s="1033"/>
      <c r="G132" s="1033"/>
      <c r="H132" s="1033"/>
      <c r="I132" s="1033"/>
      <c r="J132" s="1033"/>
      <c r="K132" s="1033"/>
      <c r="L132" s="90"/>
      <c r="M132" s="51"/>
      <c r="N132" s="113">
        <f t="shared" si="18"/>
        <v>4230</v>
      </c>
      <c r="O132" s="8">
        <v>0</v>
      </c>
      <c r="P132" s="369">
        <v>0</v>
      </c>
      <c r="Q132" s="122">
        <v>0</v>
      </c>
      <c r="R132" s="121">
        <v>0</v>
      </c>
      <c r="S132" s="579">
        <v>0</v>
      </c>
      <c r="T132" s="580">
        <f>+IF(ABS(+O132+Q132)&lt;=ABS(P132+R132),-O132+P132-Q132+R132,0)</f>
        <v>0</v>
      </c>
      <c r="U132" s="51"/>
      <c r="V132" s="2119">
        <f>+IF(OR(+ROUND(O132,2)+ROUND(Q132,2)&gt;ROUND(P132,2)+ROUND(R132,2),+ABS(ROUND(O132,2)+ROUND(Q132,2))&gt;+ABS(ROUND(P132,2)+ROUND(R132,2))),+(ROUND(O132,2)+ROUND(Q132,2))-(ROUND(P132,2)+ROUND(R132,2)),0)</f>
        <v>0</v>
      </c>
      <c r="W132" s="2116"/>
      <c r="X132" s="43"/>
      <c r="Y132" s="43"/>
      <c r="Z132" s="43"/>
    </row>
    <row r="133" spans="1:26">
      <c r="A133" s="88">
        <v>4241</v>
      </c>
      <c r="B133" s="1032" t="s">
        <v>484</v>
      </c>
      <c r="C133" s="1033"/>
      <c r="D133" s="1033"/>
      <c r="E133" s="1033"/>
      <c r="F133" s="1033"/>
      <c r="G133" s="1033"/>
      <c r="H133" s="1033"/>
      <c r="I133" s="1033"/>
      <c r="J133" s="1033"/>
      <c r="K133" s="1033"/>
      <c r="L133" s="90"/>
      <c r="M133" s="51"/>
      <c r="N133" s="113">
        <f t="shared" si="18"/>
        <v>4241</v>
      </c>
      <c r="O133" s="8">
        <v>0</v>
      </c>
      <c r="P133" s="121"/>
      <c r="Q133" s="122"/>
      <c r="R133" s="121"/>
      <c r="S133" s="579">
        <v>0</v>
      </c>
      <c r="T133" s="580">
        <f>+IF(ABS(+O133+Q133)&lt;=ABS(P133+R133),-O133+P133-Q133+R133,0)</f>
        <v>0</v>
      </c>
      <c r="U133" s="51"/>
      <c r="V133" s="2119">
        <f>+IF(OR(+ROUND(O133,2)+ROUND(Q133,2)&gt;ROUND(P133,2)+ROUND(R133,2),+ABS(ROUND(O133,2)+ROUND(Q133,2))&gt;+ABS(ROUND(P133,2)+ROUND(R133,2))),+(ROUND(O133,2)+ROUND(Q133,2))-(ROUND(P133,2)+ROUND(R133,2)),0)</f>
        <v>0</v>
      </c>
      <c r="W133" s="2116"/>
      <c r="X133" s="43"/>
      <c r="Y133" s="43"/>
      <c r="Z133" s="43"/>
    </row>
    <row r="134" spans="1:26">
      <c r="A134" s="88">
        <v>4243</v>
      </c>
      <c r="B134" s="1032" t="s">
        <v>485</v>
      </c>
      <c r="C134" s="1033"/>
      <c r="D134" s="1033"/>
      <c r="E134" s="1033"/>
      <c r="F134" s="1033"/>
      <c r="G134" s="1033"/>
      <c r="H134" s="1033"/>
      <c r="I134" s="1033"/>
      <c r="J134" s="1033"/>
      <c r="K134" s="1033"/>
      <c r="L134" s="90"/>
      <c r="M134" s="51"/>
      <c r="N134" s="113">
        <f t="shared" si="18"/>
        <v>4243</v>
      </c>
      <c r="O134" s="120"/>
      <c r="P134" s="9">
        <v>0</v>
      </c>
      <c r="Q134" s="122"/>
      <c r="R134" s="576"/>
      <c r="S134" s="583">
        <f>+IF(ABS(+O134+Q134)&gt;=ABS(P134+R134),+O134-P134+Q134-R134,0)</f>
        <v>0</v>
      </c>
      <c r="T134" s="584">
        <v>0</v>
      </c>
      <c r="U134" s="51"/>
      <c r="V134" s="2120">
        <f>+IF(OR(ROUND(P134,2)+ROUND(R134,2)&gt;+ROUND(O134,2)+ROUND(Q134,2),+ABS(ROUND(P134,2)+ROUND(R134,2))&gt;+ABS(ROUND(O134,2)+ROUND(Q134,2))),+(ROUND(P134,2)+ROUND(R134,2))-(ROUND(O134,2)+ROUND(Q134,2)),0)</f>
        <v>0</v>
      </c>
      <c r="W134" s="2116"/>
      <c r="X134" s="43"/>
      <c r="Y134" s="43"/>
      <c r="Z134" s="43"/>
    </row>
    <row r="135" spans="1:26">
      <c r="A135" s="88">
        <v>4252</v>
      </c>
      <c r="B135" s="378" t="s">
        <v>486</v>
      </c>
      <c r="C135" s="1033"/>
      <c r="D135" s="1033"/>
      <c r="E135" s="1033"/>
      <c r="F135" s="1033"/>
      <c r="G135" s="1033"/>
      <c r="H135" s="1033"/>
      <c r="I135" s="1033"/>
      <c r="J135" s="1033"/>
      <c r="K135" s="1033"/>
      <c r="L135" s="90"/>
      <c r="M135" s="51"/>
      <c r="N135" s="113">
        <f t="shared" si="18"/>
        <v>4252</v>
      </c>
      <c r="O135" s="8">
        <v>0</v>
      </c>
      <c r="P135" s="121"/>
      <c r="Q135" s="122"/>
      <c r="R135" s="121"/>
      <c r="S135" s="579">
        <v>0</v>
      </c>
      <c r="T135" s="580">
        <f>+IF(ABS(+O135+Q135)&lt;=ABS(P135+R135),-O135+P135-Q135+R135,0)</f>
        <v>0</v>
      </c>
      <c r="U135" s="51"/>
      <c r="V135" s="2119">
        <f>+IF(OR(+ROUND(O135,2)+ROUND(Q135,2)&gt;ROUND(P135,2)+ROUND(R135,2),+ABS(ROUND(O135,2)+ROUND(Q135,2))&gt;+ABS(ROUND(P135,2)+ROUND(R135,2))),+(ROUND(O135,2)+ROUND(Q135,2))-(ROUND(P135,2)+ROUND(R135,2)),0)</f>
        <v>0</v>
      </c>
      <c r="W135" s="2116"/>
      <c r="X135" s="43"/>
      <c r="Y135" s="43"/>
      <c r="Z135" s="43"/>
    </row>
    <row r="136" spans="1:26">
      <c r="A136" s="88">
        <v>4254</v>
      </c>
      <c r="B136" s="378" t="s">
        <v>487</v>
      </c>
      <c r="C136" s="1033"/>
      <c r="D136" s="1033"/>
      <c r="E136" s="1033"/>
      <c r="F136" s="1033"/>
      <c r="G136" s="1033"/>
      <c r="H136" s="1033"/>
      <c r="I136" s="1033"/>
      <c r="J136" s="1033"/>
      <c r="K136" s="1033"/>
      <c r="L136" s="90"/>
      <c r="M136" s="51"/>
      <c r="N136" s="113">
        <f t="shared" si="18"/>
        <v>4254</v>
      </c>
      <c r="O136" s="120"/>
      <c r="P136" s="9">
        <v>0</v>
      </c>
      <c r="Q136" s="122"/>
      <c r="R136" s="576"/>
      <c r="S136" s="583">
        <f>+IF(ABS(+O136+Q136)&gt;=ABS(P136+R136),+O136-P136+Q136-R136,0)</f>
        <v>0</v>
      </c>
      <c r="T136" s="584">
        <v>0</v>
      </c>
      <c r="U136" s="51"/>
      <c r="V136" s="2120">
        <f>+IF(OR(ROUND(P136,2)+ROUND(R136,2)&gt;+ROUND(O136,2)+ROUND(Q136,2),+ABS(ROUND(P136,2)+ROUND(R136,2))&gt;+ABS(ROUND(O136,2)+ROUND(Q136,2))),+(ROUND(P136,2)+ROUND(R136,2))-(ROUND(O136,2)+ROUND(Q136,2)),0)</f>
        <v>0</v>
      </c>
      <c r="W136" s="2116"/>
      <c r="X136" s="43"/>
      <c r="Y136" s="43"/>
      <c r="Z136" s="43"/>
    </row>
    <row r="137" spans="1:26">
      <c r="A137" s="88">
        <v>4261</v>
      </c>
      <c r="B137" s="378" t="s">
        <v>488</v>
      </c>
      <c r="C137" s="1033"/>
      <c r="D137" s="1033"/>
      <c r="E137" s="1033"/>
      <c r="F137" s="1033"/>
      <c r="G137" s="1033"/>
      <c r="H137" s="1033"/>
      <c r="I137" s="1033"/>
      <c r="J137" s="1033"/>
      <c r="K137" s="1033"/>
      <c r="L137" s="90"/>
      <c r="M137" s="51"/>
      <c r="N137" s="113">
        <f t="shared" si="18"/>
        <v>4261</v>
      </c>
      <c r="O137" s="120">
        <v>0</v>
      </c>
      <c r="P137" s="9">
        <v>0</v>
      </c>
      <c r="Q137" s="122">
        <v>0</v>
      </c>
      <c r="R137" s="576">
        <v>0</v>
      </c>
      <c r="S137" s="583">
        <f>+IF(ABS(+O137+Q137)&gt;=ABS(P137+R137),+O137-P137+Q137-R137,0)</f>
        <v>0</v>
      </c>
      <c r="T137" s="584">
        <v>0</v>
      </c>
      <c r="U137" s="51"/>
      <c r="V137" s="2120">
        <f>+IF(OR(ROUND(P137,2)+ROUND(R137,2)&gt;+ROUND(O137,2)+ROUND(Q137,2),+ABS(ROUND(P137,2)+ROUND(R137,2))&gt;+ABS(ROUND(O137,2)+ROUND(Q137,2))),+(ROUND(P137,2)+ROUND(R137,2))-(ROUND(O137,2)+ROUND(Q137,2)),0)</f>
        <v>0</v>
      </c>
      <c r="W137" s="2116"/>
      <c r="X137" s="43"/>
      <c r="Y137" s="43"/>
      <c r="Z137" s="43"/>
    </row>
    <row r="138" spans="1:26">
      <c r="A138" s="88">
        <v>4262</v>
      </c>
      <c r="B138" s="378" t="s">
        <v>489</v>
      </c>
      <c r="C138" s="1033"/>
      <c r="D138" s="1033"/>
      <c r="E138" s="1033"/>
      <c r="F138" s="1033"/>
      <c r="G138" s="1033"/>
      <c r="H138" s="1033"/>
      <c r="I138" s="1033"/>
      <c r="J138" s="1033"/>
      <c r="K138" s="1033"/>
      <c r="L138" s="90"/>
      <c r="M138" s="51"/>
      <c r="N138" s="113">
        <f t="shared" si="18"/>
        <v>4262</v>
      </c>
      <c r="O138" s="120"/>
      <c r="P138" s="9">
        <v>0</v>
      </c>
      <c r="Q138" s="122"/>
      <c r="R138" s="576"/>
      <c r="S138" s="583">
        <f>+IF(ABS(+O138+Q138)&gt;=ABS(P138+R138),+O138-P138+Q138-R138,0)</f>
        <v>0</v>
      </c>
      <c r="T138" s="584">
        <v>0</v>
      </c>
      <c r="U138" s="51"/>
      <c r="V138" s="2120">
        <f>+IF(OR(ROUND(P138,2)+ROUND(R138,2)&gt;+ROUND(O138,2)+ROUND(Q138,2),+ABS(ROUND(P138,2)+ROUND(R138,2))&gt;+ABS(ROUND(O138,2)+ROUND(Q138,2))),+(ROUND(P138,2)+ROUND(R138,2))-(ROUND(O138,2)+ROUND(Q138,2)),0)</f>
        <v>0</v>
      </c>
      <c r="W138" s="2116"/>
      <c r="X138" s="43"/>
      <c r="Y138" s="43"/>
      <c r="Z138" s="43"/>
    </row>
    <row r="139" spans="1:26">
      <c r="A139" s="88">
        <v>4271</v>
      </c>
      <c r="B139" s="378" t="s">
        <v>392</v>
      </c>
      <c r="C139" s="1033"/>
      <c r="D139" s="1033"/>
      <c r="E139" s="1033"/>
      <c r="F139" s="1033"/>
      <c r="G139" s="1033"/>
      <c r="H139" s="1033"/>
      <c r="I139" s="1033"/>
      <c r="J139" s="1033"/>
      <c r="K139" s="1033"/>
      <c r="L139" s="90"/>
      <c r="M139" s="51"/>
      <c r="N139" s="113">
        <f t="shared" si="18"/>
        <v>4271</v>
      </c>
      <c r="O139" s="8">
        <v>0</v>
      </c>
      <c r="P139" s="121"/>
      <c r="Q139" s="122"/>
      <c r="R139" s="121"/>
      <c r="S139" s="579">
        <v>0</v>
      </c>
      <c r="T139" s="580">
        <f>+IF(ABS(+O139+Q139)&lt;=ABS(P139+R139),-O139+P139-Q139+R139,0)</f>
        <v>0</v>
      </c>
      <c r="U139" s="51"/>
      <c r="V139" s="2119">
        <f>+IF(OR(+ROUND(O139,2)+ROUND(Q139,2)&gt;ROUND(P139,2)+ROUND(R139,2),+ABS(ROUND(O139,2)+ROUND(Q139,2))&gt;+ABS(ROUND(P139,2)+ROUND(R139,2))),+(ROUND(O139,2)+ROUND(Q139,2))-(ROUND(P139,2)+ROUND(R139,2)),0)</f>
        <v>0</v>
      </c>
      <c r="W139" s="2116"/>
      <c r="X139" s="43"/>
      <c r="Y139" s="43"/>
      <c r="Z139" s="43"/>
    </row>
    <row r="140" spans="1:26">
      <c r="A140" s="88">
        <v>4272</v>
      </c>
      <c r="B140" s="378" t="s">
        <v>393</v>
      </c>
      <c r="C140" s="1033"/>
      <c r="D140" s="1033"/>
      <c r="E140" s="1033"/>
      <c r="F140" s="1033"/>
      <c r="G140" s="1033"/>
      <c r="H140" s="1033"/>
      <c r="I140" s="1033"/>
      <c r="J140" s="1033"/>
      <c r="K140" s="1033"/>
      <c r="L140" s="90"/>
      <c r="M140" s="51"/>
      <c r="N140" s="113">
        <f t="shared" si="18"/>
        <v>4272</v>
      </c>
      <c r="O140" s="8">
        <v>0</v>
      </c>
      <c r="P140" s="121"/>
      <c r="Q140" s="122"/>
      <c r="R140" s="121"/>
      <c r="S140" s="579">
        <v>0</v>
      </c>
      <c r="T140" s="580">
        <f>+IF(ABS(+O140+Q140)&lt;=ABS(P140+R140),-O140+P140-Q140+R140,0)</f>
        <v>0</v>
      </c>
      <c r="U140" s="51"/>
      <c r="V140" s="2119">
        <f>+IF(OR(+ROUND(O140,2)+ROUND(Q140,2)&gt;ROUND(P140,2)+ROUND(R140,2),+ABS(ROUND(O140,2)+ROUND(Q140,2))&gt;+ABS(ROUND(P140,2)+ROUND(R140,2))),+(ROUND(O140,2)+ROUND(Q140,2))-(ROUND(P140,2)+ROUND(R140,2)),0)</f>
        <v>0</v>
      </c>
      <c r="W140" s="2116"/>
      <c r="X140" s="43"/>
      <c r="Y140" s="43"/>
      <c r="Z140" s="43"/>
    </row>
    <row r="141" spans="1:26">
      <c r="A141" s="88">
        <v>4279</v>
      </c>
      <c r="B141" s="378" t="s">
        <v>479</v>
      </c>
      <c r="C141" s="378"/>
      <c r="D141" s="1033"/>
      <c r="E141" s="1033"/>
      <c r="F141" s="1033"/>
      <c r="G141" s="1033"/>
      <c r="H141" s="1033"/>
      <c r="I141" s="1033"/>
      <c r="J141" s="1033"/>
      <c r="K141" s="1033"/>
      <c r="L141" s="90"/>
      <c r="M141" s="51"/>
      <c r="N141" s="113">
        <f t="shared" si="18"/>
        <v>4279</v>
      </c>
      <c r="O141" s="120"/>
      <c r="P141" s="9">
        <v>0</v>
      </c>
      <c r="Q141" s="122"/>
      <c r="R141" s="576"/>
      <c r="S141" s="583">
        <f>+IF(ABS(+O141+Q141)&gt;=ABS(P141+R141),+O141-P141+Q141-R141,0)</f>
        <v>0</v>
      </c>
      <c r="T141" s="584">
        <v>0</v>
      </c>
      <c r="U141" s="51"/>
      <c r="V141" s="2120">
        <f>+IF(OR(ROUND(P141,2)+ROUND(R141,2)&gt;+ROUND(O141,2)+ROUND(Q141,2),+ABS(ROUND(P141,2)+ROUND(R141,2))&gt;+ABS(ROUND(O141,2)+ROUND(Q141,2))),+(ROUND(P141,2)+ROUND(R141,2))-(ROUND(O141,2)+ROUND(Q141,2)),0)</f>
        <v>0</v>
      </c>
      <c r="W141" s="2116"/>
      <c r="X141" s="43"/>
      <c r="Y141" s="43"/>
      <c r="Z141" s="43"/>
    </row>
    <row r="142" spans="1:26">
      <c r="A142" s="88">
        <v>4281</v>
      </c>
      <c r="B142" s="378" t="s">
        <v>394</v>
      </c>
      <c r="C142" s="1033"/>
      <c r="D142" s="1033"/>
      <c r="E142" s="1033"/>
      <c r="F142" s="1033"/>
      <c r="G142" s="1033"/>
      <c r="H142" s="1033"/>
      <c r="I142" s="1033"/>
      <c r="J142" s="1033"/>
      <c r="K142" s="1033"/>
      <c r="L142" s="90"/>
      <c r="M142" s="51"/>
      <c r="N142" s="113">
        <f t="shared" si="18"/>
        <v>4281</v>
      </c>
      <c r="O142" s="8">
        <v>0</v>
      </c>
      <c r="P142" s="121"/>
      <c r="Q142" s="122"/>
      <c r="R142" s="121"/>
      <c r="S142" s="579">
        <v>0</v>
      </c>
      <c r="T142" s="580">
        <f>+IF(ABS(+O142+Q142)&lt;=ABS(P142+R142),-O142+P142-Q142+R142,0)</f>
        <v>0</v>
      </c>
      <c r="U142" s="51"/>
      <c r="V142" s="2119">
        <f>+IF(OR(+ROUND(O142,2)+ROUND(Q142,2)&gt;ROUND(P142,2)+ROUND(R142,2),+ABS(ROUND(O142,2)+ROUND(Q142,2))&gt;+ABS(ROUND(P142,2)+ROUND(R142,2))),+(ROUND(O142,2)+ROUND(Q142,2))-(ROUND(P142,2)+ROUND(R142,2)),0)</f>
        <v>0</v>
      </c>
      <c r="W142" s="2116"/>
      <c r="X142" s="43"/>
      <c r="Y142" s="43"/>
      <c r="Z142" s="43"/>
    </row>
    <row r="143" spans="1:26">
      <c r="A143" s="88">
        <v>4282</v>
      </c>
      <c r="B143" s="378" t="s">
        <v>395</v>
      </c>
      <c r="C143" s="1033"/>
      <c r="D143" s="1033"/>
      <c r="E143" s="1033"/>
      <c r="F143" s="1033"/>
      <c r="G143" s="1033"/>
      <c r="H143" s="1033"/>
      <c r="I143" s="1033"/>
      <c r="J143" s="1033"/>
      <c r="K143" s="1033"/>
      <c r="L143" s="90"/>
      <c r="M143" s="51"/>
      <c r="N143" s="113">
        <f t="shared" si="18"/>
        <v>4282</v>
      </c>
      <c r="O143" s="8">
        <v>0</v>
      </c>
      <c r="P143" s="121"/>
      <c r="Q143" s="122"/>
      <c r="R143" s="121"/>
      <c r="S143" s="579">
        <v>0</v>
      </c>
      <c r="T143" s="580">
        <f>+IF(ABS(+O143+Q143)&lt;=ABS(P143+R143),-O143+P143-Q143+R143,0)</f>
        <v>0</v>
      </c>
      <c r="U143" s="51"/>
      <c r="V143" s="2119">
        <f>+IF(OR(+ROUND(O143,2)+ROUND(Q143,2)&gt;ROUND(P143,2)+ROUND(R143,2),+ABS(ROUND(O143,2)+ROUND(Q143,2))&gt;+ABS(ROUND(P143,2)+ROUND(R143,2))),+(ROUND(O143,2)+ROUND(Q143,2))-(ROUND(P143,2)+ROUND(R143,2)),0)</f>
        <v>0</v>
      </c>
      <c r="W143" s="2116"/>
      <c r="X143" s="43"/>
      <c r="Y143" s="43"/>
      <c r="Z143" s="43"/>
    </row>
    <row r="144" spans="1:26">
      <c r="A144" s="88">
        <v>4287</v>
      </c>
      <c r="B144" s="378" t="s">
        <v>396</v>
      </c>
      <c r="C144" s="1033"/>
      <c r="D144" s="1033"/>
      <c r="E144" s="1033"/>
      <c r="F144" s="1033"/>
      <c r="G144" s="1033"/>
      <c r="H144" s="1033"/>
      <c r="I144" s="1033"/>
      <c r="J144" s="1033"/>
      <c r="K144" s="1033"/>
      <c r="L144" s="90"/>
      <c r="M144" s="51"/>
      <c r="N144" s="113">
        <f t="shared" si="18"/>
        <v>4287</v>
      </c>
      <c r="O144" s="120"/>
      <c r="P144" s="9">
        <v>0</v>
      </c>
      <c r="Q144" s="122"/>
      <c r="R144" s="576"/>
      <c r="S144" s="583">
        <f>+IF(ABS(+O144+Q144)&gt;=ABS(P144+R144),+O144-P144+Q144-R144,0)</f>
        <v>0</v>
      </c>
      <c r="T144" s="584">
        <v>0</v>
      </c>
      <c r="U144" s="51"/>
      <c r="V144" s="2120">
        <f>+IF(OR(ROUND(P144,2)+ROUND(R144,2)&gt;+ROUND(O144,2)+ROUND(Q144,2),+ABS(ROUND(P144,2)+ROUND(R144,2))&gt;+ABS(ROUND(O144,2)+ROUND(Q144,2))),+(ROUND(P144,2)+ROUND(R144,2))-(ROUND(O144,2)+ROUND(Q144,2)),0)</f>
        <v>0</v>
      </c>
      <c r="W144" s="2116"/>
      <c r="X144" s="43"/>
      <c r="Y144" s="43"/>
      <c r="Z144" s="43"/>
    </row>
    <row r="145" spans="1:26">
      <c r="A145" s="88">
        <v>4288</v>
      </c>
      <c r="B145" s="378" t="s">
        <v>397</v>
      </c>
      <c r="C145" s="1033"/>
      <c r="D145" s="1033"/>
      <c r="E145" s="1033"/>
      <c r="F145" s="1033"/>
      <c r="G145" s="1033"/>
      <c r="H145" s="1033"/>
      <c r="I145" s="1033"/>
      <c r="J145" s="1033"/>
      <c r="K145" s="1033"/>
      <c r="L145" s="90"/>
      <c r="M145" s="51"/>
      <c r="N145" s="113">
        <f t="shared" si="18"/>
        <v>4288</v>
      </c>
      <c r="O145" s="120"/>
      <c r="P145" s="9">
        <v>0</v>
      </c>
      <c r="Q145" s="122"/>
      <c r="R145" s="576"/>
      <c r="S145" s="583">
        <f>+IF(ABS(+O145+Q145)&gt;=ABS(P145+R145),+O145-P145+Q145-R145,0)</f>
        <v>0</v>
      </c>
      <c r="T145" s="584">
        <v>0</v>
      </c>
      <c r="U145" s="51"/>
      <c r="V145" s="2120">
        <f>+IF(OR(ROUND(P145,2)+ROUND(R145,2)&gt;+ROUND(O145,2)+ROUND(Q145,2),+ABS(ROUND(P145,2)+ROUND(R145,2))&gt;+ABS(ROUND(O145,2)+ROUND(Q145,2))),+(ROUND(P145,2)+ROUND(R145,2))-(ROUND(O145,2)+ROUND(Q145,2)),0)</f>
        <v>0</v>
      </c>
      <c r="W145" s="2116"/>
      <c r="X145" s="43"/>
      <c r="Y145" s="43"/>
      <c r="Z145" s="43"/>
    </row>
    <row r="146" spans="1:26">
      <c r="A146" s="88">
        <v>4291</v>
      </c>
      <c r="B146" s="378" t="s">
        <v>400</v>
      </c>
      <c r="C146" s="1033"/>
      <c r="D146" s="1033"/>
      <c r="E146" s="1033"/>
      <c r="F146" s="1033"/>
      <c r="G146" s="1033"/>
      <c r="H146" s="1033"/>
      <c r="I146" s="1033"/>
      <c r="J146" s="1033"/>
      <c r="K146" s="1033"/>
      <c r="L146" s="90"/>
      <c r="M146" s="51"/>
      <c r="N146" s="113">
        <f t="shared" si="18"/>
        <v>4291</v>
      </c>
      <c r="O146" s="8">
        <v>0</v>
      </c>
      <c r="P146" s="121">
        <v>0</v>
      </c>
      <c r="Q146" s="122">
        <v>0</v>
      </c>
      <c r="R146" s="121">
        <v>0</v>
      </c>
      <c r="S146" s="579">
        <v>0</v>
      </c>
      <c r="T146" s="580">
        <f>+IF(ABS(+O146+Q146)&lt;=ABS(P146+R146),-O146+P146-Q146+R146,0)</f>
        <v>0</v>
      </c>
      <c r="U146" s="51"/>
      <c r="V146" s="2119">
        <f>+IF(OR(+ROUND(O146,2)+ROUND(Q146,2)&gt;ROUND(P146,2)+ROUND(R146,2),+ABS(ROUND(O146,2)+ROUND(Q146,2))&gt;+ABS(ROUND(P146,2)+ROUND(R146,2))),+(ROUND(O146,2)+ROUND(Q146,2))-(ROUND(P146,2)+ROUND(R146,2)),0)</f>
        <v>0</v>
      </c>
      <c r="W146" s="2116"/>
      <c r="X146" s="43"/>
      <c r="Y146" s="43"/>
      <c r="Z146" s="43"/>
    </row>
    <row r="147" spans="1:26">
      <c r="A147" s="88">
        <v>4299</v>
      </c>
      <c r="B147" s="1032" t="s">
        <v>401</v>
      </c>
      <c r="C147" s="1033"/>
      <c r="D147" s="1033"/>
      <c r="E147" s="1033"/>
      <c r="F147" s="1033"/>
      <c r="G147" s="1033"/>
      <c r="H147" s="1033"/>
      <c r="I147" s="1033"/>
      <c r="J147" s="1033"/>
      <c r="K147" s="1033"/>
      <c r="L147" s="90"/>
      <c r="M147" s="51"/>
      <c r="N147" s="113">
        <f t="shared" si="18"/>
        <v>4299</v>
      </c>
      <c r="O147" s="120">
        <v>0</v>
      </c>
      <c r="P147" s="9">
        <v>0</v>
      </c>
      <c r="Q147" s="122">
        <v>0</v>
      </c>
      <c r="R147" s="576">
        <v>0</v>
      </c>
      <c r="S147" s="583">
        <f>+IF(ABS(+O147+Q147)&gt;=ABS(P147+R147),+O147-P147+Q147-R147,0)</f>
        <v>0</v>
      </c>
      <c r="T147" s="584">
        <v>0</v>
      </c>
      <c r="U147" s="51"/>
      <c r="V147" s="2120">
        <f>+IF(OR(ROUND(P147,2)+ROUND(R147,2)&gt;+ROUND(O147,2)+ROUND(Q147,2),+ABS(ROUND(P147,2)+ROUND(R147,2))&gt;+ABS(ROUND(O147,2)+ROUND(Q147,2))),+(ROUND(P147,2)+ROUND(R147,2))-(ROUND(O147,2)+ROUND(Q147,2)),0)</f>
        <v>0</v>
      </c>
      <c r="W147" s="2116"/>
      <c r="X147" s="43"/>
      <c r="Y147" s="43"/>
      <c r="Z147" s="43"/>
    </row>
    <row r="148" spans="1:26">
      <c r="A148" s="417">
        <v>4301</v>
      </c>
      <c r="B148" s="2181" t="s">
        <v>2087</v>
      </c>
      <c r="C148" s="1033"/>
      <c r="D148" s="1033"/>
      <c r="E148" s="1033"/>
      <c r="F148" s="1033"/>
      <c r="G148" s="1033"/>
      <c r="H148" s="1033"/>
      <c r="I148" s="1033"/>
      <c r="J148" s="1033"/>
      <c r="K148" s="1033"/>
      <c r="L148" s="90"/>
      <c r="M148" s="51"/>
      <c r="N148" s="113">
        <f t="shared" si="18"/>
        <v>4301</v>
      </c>
      <c r="O148" s="200"/>
      <c r="P148" s="9">
        <v>0</v>
      </c>
      <c r="Q148" s="122"/>
      <c r="R148" s="576"/>
      <c r="S148" s="583">
        <f>+IF(ABS(+O148+Q148)&gt;=ABS(P148+R148),+O148-P148+Q148-R148,0)</f>
        <v>0</v>
      </c>
      <c r="T148" s="584">
        <v>0</v>
      </c>
      <c r="U148" s="51"/>
      <c r="V148" s="2120">
        <f>+IF(OR(ROUND(P148,2)+ROUND(R148,2)&gt;+ROUND(O148,2)+ROUND(Q148,2),+ABS(ROUND(P148,2)+ROUND(R148,2))&gt;+ABS(ROUND(O148,2)+ROUND(Q148,2))),+(ROUND(P148,2)+ROUND(R148,2))-(ROUND(O148,2)+ROUND(Q148,2)),0)</f>
        <v>0</v>
      </c>
      <c r="W148" s="2116"/>
      <c r="X148" s="43"/>
      <c r="Y148" s="43"/>
      <c r="Z148" s="43"/>
    </row>
    <row r="149" spans="1:26">
      <c r="A149" s="417">
        <v>4303</v>
      </c>
      <c r="B149" s="378" t="s">
        <v>402</v>
      </c>
      <c r="C149" s="1033"/>
      <c r="D149" s="1033"/>
      <c r="E149" s="1033"/>
      <c r="F149" s="1033"/>
      <c r="G149" s="1033"/>
      <c r="H149" s="1033"/>
      <c r="I149" s="1033"/>
      <c r="J149" s="1033"/>
      <c r="K149" s="1033"/>
      <c r="L149" s="90"/>
      <c r="M149" s="51"/>
      <c r="N149" s="113">
        <f t="shared" si="18"/>
        <v>4303</v>
      </c>
      <c r="O149" s="581"/>
      <c r="P149" s="582">
        <v>0</v>
      </c>
      <c r="Q149" s="589"/>
      <c r="R149" s="576"/>
      <c r="S149" s="583">
        <f>+IF(ABS(+O149+Q149)&gt;=ABS(P149+R149),+O149-P149+Q149-R149,0)</f>
        <v>0</v>
      </c>
      <c r="T149" s="584">
        <v>0</v>
      </c>
      <c r="U149" s="51"/>
      <c r="V149" s="2120">
        <f>+IF(OR(ROUND(P149,2)+ROUND(R149,2)&gt;+ROUND(O149,2)+ROUND(Q149,2),+ABS(ROUND(P149,2)+ROUND(R149,2))&gt;+ABS(ROUND(O149,2)+ROUND(Q149,2))),+(ROUND(P149,2)+ROUND(R149,2))-(ROUND(O149,2)+ROUND(Q149,2)),0)</f>
        <v>0</v>
      </c>
      <c r="W149" s="2116"/>
      <c r="X149" s="43"/>
      <c r="Y149" s="43"/>
      <c r="Z149" s="43"/>
    </row>
    <row r="150" spans="1:26">
      <c r="A150" s="88">
        <v>4311</v>
      </c>
      <c r="B150" s="1033" t="s">
        <v>403</v>
      </c>
      <c r="C150" s="1033"/>
      <c r="D150" s="1033"/>
      <c r="E150" s="1033"/>
      <c r="F150" s="1033"/>
      <c r="G150" s="1033"/>
      <c r="H150" s="1033"/>
      <c r="I150" s="1033"/>
      <c r="J150" s="1033"/>
      <c r="K150" s="1033"/>
      <c r="L150" s="90"/>
      <c r="M150" s="51"/>
      <c r="N150" s="113">
        <f t="shared" si="18"/>
        <v>4311</v>
      </c>
      <c r="O150" s="575">
        <v>0</v>
      </c>
      <c r="P150" s="576"/>
      <c r="Q150" s="589"/>
      <c r="R150" s="121"/>
      <c r="S150" s="579">
        <v>0</v>
      </c>
      <c r="T150" s="580">
        <f>+IF(ABS(+O150+Q150)&lt;=ABS(P150+R150),-O150+P150-Q150+R150,0)</f>
        <v>0</v>
      </c>
      <c r="U150" s="51"/>
      <c r="V150" s="2119">
        <f>+IF(OR(+ROUND(O150,2)+ROUND(Q150,2)&gt;ROUND(P150,2)+ROUND(R150,2),+ABS(ROUND(O150,2)+ROUND(Q150,2))&gt;+ABS(ROUND(P150,2)+ROUND(R150,2))),+(ROUND(O150,2)+ROUND(Q150,2))-(ROUND(P150,2)+ROUND(R150,2)),0)</f>
        <v>0</v>
      </c>
      <c r="W150" s="2116"/>
      <c r="X150" s="43"/>
      <c r="Y150" s="43"/>
      <c r="Z150" s="43"/>
    </row>
    <row r="151" spans="1:26">
      <c r="A151" s="88">
        <v>4313</v>
      </c>
      <c r="B151" s="1033" t="s">
        <v>404</v>
      </c>
      <c r="C151" s="1033"/>
      <c r="D151" s="1033"/>
      <c r="E151" s="1033"/>
      <c r="F151" s="1033"/>
      <c r="G151" s="1033"/>
      <c r="H151" s="1033"/>
      <c r="I151" s="1033"/>
      <c r="J151" s="1033"/>
      <c r="K151" s="1033"/>
      <c r="L151" s="90"/>
      <c r="M151" s="51"/>
      <c r="N151" s="113">
        <f t="shared" si="18"/>
        <v>4313</v>
      </c>
      <c r="O151" s="575">
        <v>0</v>
      </c>
      <c r="P151" s="576"/>
      <c r="Q151" s="589"/>
      <c r="R151" s="121"/>
      <c r="S151" s="579">
        <v>0</v>
      </c>
      <c r="T151" s="580">
        <f>+IF(ABS(+O151+Q151)&lt;=ABS(P151+R151),-O151+P151-Q151+R151,0)</f>
        <v>0</v>
      </c>
      <c r="U151" s="51"/>
      <c r="V151" s="2119">
        <f>+IF(OR(+ROUND(O151,2)+ROUND(Q151,2)&gt;ROUND(P151,2)+ROUND(R151,2),+ABS(ROUND(O151,2)+ROUND(Q151,2))&gt;+ABS(ROUND(P151,2)+ROUND(R151,2))),+(ROUND(O151,2)+ROUND(Q151,2))-(ROUND(P151,2)+ROUND(R151,2)),0)</f>
        <v>0</v>
      </c>
      <c r="W151" s="2116"/>
      <c r="X151" s="43"/>
      <c r="Y151" s="43"/>
      <c r="Z151" s="43"/>
    </row>
    <row r="152" spans="1:26">
      <c r="A152" s="88">
        <v>4321</v>
      </c>
      <c r="B152" s="378" t="s">
        <v>405</v>
      </c>
      <c r="C152" s="1033"/>
      <c r="D152" s="1033"/>
      <c r="E152" s="1033"/>
      <c r="F152" s="1033"/>
      <c r="G152" s="1033"/>
      <c r="H152" s="1033"/>
      <c r="I152" s="1033"/>
      <c r="J152" s="1033"/>
      <c r="K152" s="1033"/>
      <c r="L152" s="90"/>
      <c r="M152" s="51"/>
      <c r="N152" s="113">
        <f t="shared" si="18"/>
        <v>4321</v>
      </c>
      <c r="O152" s="581"/>
      <c r="P152" s="582">
        <v>0</v>
      </c>
      <c r="Q152" s="589"/>
      <c r="R152" s="576"/>
      <c r="S152" s="583">
        <f t="shared" ref="S152:S159" si="19">+IF(ABS(+O152+Q152)&gt;=ABS(P152+R152),+O152-P152+Q152-R152,0)</f>
        <v>0</v>
      </c>
      <c r="T152" s="584">
        <v>0</v>
      </c>
      <c r="U152" s="51"/>
      <c r="V152" s="2120">
        <f t="shared" ref="V152:V159" si="20">+IF(OR(ROUND(P152,2)+ROUND(R152,2)&gt;+ROUND(O152,2)+ROUND(Q152,2),+ABS(ROUND(P152,2)+ROUND(R152,2))&gt;+ABS(ROUND(O152,2)+ROUND(Q152,2))),+(ROUND(P152,2)+ROUND(R152,2))-(ROUND(O152,2)+ROUND(Q152,2)),0)</f>
        <v>0</v>
      </c>
      <c r="W152" s="2116"/>
      <c r="X152" s="43"/>
      <c r="Y152" s="43"/>
      <c r="Z152" s="43"/>
    </row>
    <row r="153" spans="1:26">
      <c r="A153" s="88">
        <v>4322</v>
      </c>
      <c r="B153" s="378" t="s">
        <v>406</v>
      </c>
      <c r="C153" s="1033"/>
      <c r="D153" s="1033"/>
      <c r="E153" s="1033"/>
      <c r="F153" s="1033"/>
      <c r="G153" s="1033"/>
      <c r="H153" s="1033"/>
      <c r="I153" s="1033"/>
      <c r="J153" s="1033"/>
      <c r="K153" s="1033"/>
      <c r="L153" s="90"/>
      <c r="M153" s="51"/>
      <c r="N153" s="113">
        <f t="shared" si="18"/>
        <v>4322</v>
      </c>
      <c r="O153" s="581"/>
      <c r="P153" s="582">
        <v>0</v>
      </c>
      <c r="Q153" s="589"/>
      <c r="R153" s="576"/>
      <c r="S153" s="583">
        <f t="shared" si="19"/>
        <v>0</v>
      </c>
      <c r="T153" s="584">
        <v>0</v>
      </c>
      <c r="U153" s="51"/>
      <c r="V153" s="2120">
        <f t="shared" si="20"/>
        <v>0</v>
      </c>
      <c r="W153" s="2116"/>
      <c r="X153" s="43"/>
      <c r="Y153" s="43"/>
      <c r="Z153" s="43"/>
    </row>
    <row r="154" spans="1:26">
      <c r="A154" s="88">
        <v>4327</v>
      </c>
      <c r="B154" s="378" t="s">
        <v>407</v>
      </c>
      <c r="C154" s="1033"/>
      <c r="D154" s="1033"/>
      <c r="E154" s="1033"/>
      <c r="F154" s="1033"/>
      <c r="G154" s="1033"/>
      <c r="H154" s="1033"/>
      <c r="I154" s="1033"/>
      <c r="J154" s="1033"/>
      <c r="K154" s="1033"/>
      <c r="L154" s="90"/>
      <c r="M154" s="51"/>
      <c r="N154" s="113">
        <f t="shared" si="18"/>
        <v>4327</v>
      </c>
      <c r="O154" s="581"/>
      <c r="P154" s="582">
        <v>0</v>
      </c>
      <c r="Q154" s="589"/>
      <c r="R154" s="576"/>
      <c r="S154" s="583">
        <f t="shared" si="19"/>
        <v>0</v>
      </c>
      <c r="T154" s="584">
        <v>0</v>
      </c>
      <c r="U154" s="51"/>
      <c r="V154" s="2120">
        <f t="shared" si="20"/>
        <v>0</v>
      </c>
      <c r="W154" s="2116"/>
      <c r="X154" s="43"/>
      <c r="Y154" s="43"/>
      <c r="Z154" s="43"/>
    </row>
    <row r="155" spans="1:26">
      <c r="A155" s="88">
        <v>4328</v>
      </c>
      <c r="B155" s="378" t="s">
        <v>35</v>
      </c>
      <c r="C155" s="1033"/>
      <c r="D155" s="1033"/>
      <c r="E155" s="1033"/>
      <c r="F155" s="1033"/>
      <c r="G155" s="1033"/>
      <c r="H155" s="1033"/>
      <c r="I155" s="1033"/>
      <c r="J155" s="1033"/>
      <c r="K155" s="1033"/>
      <c r="L155" s="90"/>
      <c r="M155" s="51"/>
      <c r="N155" s="113">
        <f t="shared" si="18"/>
        <v>4328</v>
      </c>
      <c r="O155" s="581"/>
      <c r="P155" s="582">
        <v>0</v>
      </c>
      <c r="Q155" s="589"/>
      <c r="R155" s="576"/>
      <c r="S155" s="583">
        <f t="shared" si="19"/>
        <v>0</v>
      </c>
      <c r="T155" s="584">
        <v>0</v>
      </c>
      <c r="U155" s="51"/>
      <c r="V155" s="2120">
        <f t="shared" si="20"/>
        <v>0</v>
      </c>
      <c r="W155" s="2116"/>
      <c r="X155" s="43"/>
      <c r="Y155" s="43"/>
      <c r="Z155" s="43"/>
    </row>
    <row r="156" spans="1:26">
      <c r="A156" s="88">
        <v>4331</v>
      </c>
      <c r="B156" s="378" t="s">
        <v>915</v>
      </c>
      <c r="C156" s="1033"/>
      <c r="D156" s="1033"/>
      <c r="E156" s="1033"/>
      <c r="F156" s="1033"/>
      <c r="G156" s="1033"/>
      <c r="H156" s="1033"/>
      <c r="I156" s="1033"/>
      <c r="J156" s="1033"/>
      <c r="K156" s="1033"/>
      <c r="L156" s="90"/>
      <c r="M156" s="51"/>
      <c r="N156" s="113">
        <f t="shared" si="18"/>
        <v>4331</v>
      </c>
      <c r="O156" s="581"/>
      <c r="P156" s="582">
        <v>0</v>
      </c>
      <c r="Q156" s="589"/>
      <c r="R156" s="576"/>
      <c r="S156" s="583">
        <f t="shared" si="19"/>
        <v>0</v>
      </c>
      <c r="T156" s="584">
        <v>0</v>
      </c>
      <c r="U156" s="51"/>
      <c r="V156" s="2120">
        <f t="shared" si="20"/>
        <v>0</v>
      </c>
      <c r="W156" s="2116"/>
      <c r="X156" s="43"/>
      <c r="Y156" s="43"/>
      <c r="Z156" s="43"/>
    </row>
    <row r="157" spans="1:26">
      <c r="A157" s="88">
        <v>4332</v>
      </c>
      <c r="B157" s="378" t="s">
        <v>916</v>
      </c>
      <c r="C157" s="1033"/>
      <c r="D157" s="1033"/>
      <c r="E157" s="1033"/>
      <c r="F157" s="1033"/>
      <c r="G157" s="1033"/>
      <c r="H157" s="1033"/>
      <c r="I157" s="1033"/>
      <c r="J157" s="1033"/>
      <c r="K157" s="1033"/>
      <c r="L157" s="90"/>
      <c r="M157" s="51"/>
      <c r="N157" s="113">
        <f t="shared" si="18"/>
        <v>4332</v>
      </c>
      <c r="O157" s="581"/>
      <c r="P157" s="582">
        <v>0</v>
      </c>
      <c r="Q157" s="589"/>
      <c r="R157" s="576"/>
      <c r="S157" s="583">
        <f t="shared" si="19"/>
        <v>0</v>
      </c>
      <c r="T157" s="584">
        <v>0</v>
      </c>
      <c r="U157" s="51"/>
      <c r="V157" s="2120">
        <f t="shared" si="20"/>
        <v>0</v>
      </c>
      <c r="W157" s="2116"/>
      <c r="X157" s="43"/>
      <c r="Y157" s="43"/>
      <c r="Z157" s="43"/>
    </row>
    <row r="158" spans="1:26">
      <c r="A158" s="88">
        <v>4351</v>
      </c>
      <c r="B158" s="1032" t="s">
        <v>1161</v>
      </c>
      <c r="C158" s="1033"/>
      <c r="D158" s="1033"/>
      <c r="E158" s="1033"/>
      <c r="F158" s="1033"/>
      <c r="G158" s="1033"/>
      <c r="H158" s="1033"/>
      <c r="I158" s="1033"/>
      <c r="J158" s="1033"/>
      <c r="K158" s="1033"/>
      <c r="L158" s="90"/>
      <c r="M158" s="51"/>
      <c r="N158" s="113">
        <f t="shared" si="18"/>
        <v>4351</v>
      </c>
      <c r="O158" s="581"/>
      <c r="P158" s="582">
        <v>0</v>
      </c>
      <c r="Q158" s="589"/>
      <c r="R158" s="576"/>
      <c r="S158" s="583">
        <f t="shared" si="19"/>
        <v>0</v>
      </c>
      <c r="T158" s="584">
        <v>0</v>
      </c>
      <c r="U158" s="51"/>
      <c r="V158" s="2120">
        <f t="shared" si="20"/>
        <v>0</v>
      </c>
      <c r="W158" s="2116"/>
      <c r="X158" s="43"/>
      <c r="Y158" s="43"/>
      <c r="Z158" s="43"/>
    </row>
    <row r="159" spans="1:26">
      <c r="A159" s="88">
        <v>4352</v>
      </c>
      <c r="B159" s="1032" t="s">
        <v>1162</v>
      </c>
      <c r="C159" s="1033"/>
      <c r="D159" s="1033"/>
      <c r="E159" s="1033"/>
      <c r="F159" s="1033"/>
      <c r="G159" s="1033"/>
      <c r="H159" s="1033"/>
      <c r="I159" s="1033"/>
      <c r="J159" s="1033"/>
      <c r="K159" s="1033"/>
      <c r="L159" s="90"/>
      <c r="M159" s="51"/>
      <c r="N159" s="113">
        <f t="shared" si="18"/>
        <v>4352</v>
      </c>
      <c r="O159" s="581"/>
      <c r="P159" s="582">
        <v>0</v>
      </c>
      <c r="Q159" s="589"/>
      <c r="R159" s="576"/>
      <c r="S159" s="583">
        <f t="shared" si="19"/>
        <v>0</v>
      </c>
      <c r="T159" s="584">
        <v>0</v>
      </c>
      <c r="U159" s="51"/>
      <c r="V159" s="2120">
        <f t="shared" si="20"/>
        <v>0</v>
      </c>
      <c r="W159" s="2116"/>
      <c r="X159" s="43"/>
      <c r="Y159" s="43"/>
      <c r="Z159" s="43"/>
    </row>
    <row r="160" spans="1:26">
      <c r="A160" s="88">
        <v>4360</v>
      </c>
      <c r="B160" s="1034" t="s">
        <v>664</v>
      </c>
      <c r="C160" s="1033"/>
      <c r="D160" s="1033"/>
      <c r="E160" s="1033"/>
      <c r="F160" s="1033"/>
      <c r="G160" s="1033"/>
      <c r="H160" s="1033"/>
      <c r="I160" s="1033"/>
      <c r="J160" s="1033"/>
      <c r="K160" s="1033"/>
      <c r="L160" s="90"/>
      <c r="M160" s="51"/>
      <c r="N160" s="113">
        <f t="shared" si="18"/>
        <v>4360</v>
      </c>
      <c r="O160" s="581"/>
      <c r="P160" s="576"/>
      <c r="Q160" s="589"/>
      <c r="R160" s="576"/>
      <c r="S160" s="583">
        <f t="shared" ref="S160:S172" si="21">+IF(ABS(+O160+Q160)&gt;=ABS(P160+R160),+O160-P160+Q160-R160,0)</f>
        <v>0</v>
      </c>
      <c r="T160" s="580">
        <f>+IF(ABS(+O160+Q160)&lt;=ABS(P160+R160),-O160+P160-Q160+R160,0)</f>
        <v>0</v>
      </c>
      <c r="U160" s="51"/>
      <c r="V160" s="2119"/>
      <c r="W160" s="2116"/>
      <c r="X160" s="43"/>
      <c r="Y160" s="43"/>
      <c r="Z160" s="43"/>
    </row>
    <row r="161" spans="1:26">
      <c r="A161" s="88">
        <v>4371</v>
      </c>
      <c r="B161" s="378" t="s">
        <v>36</v>
      </c>
      <c r="C161" s="1033"/>
      <c r="D161" s="1033"/>
      <c r="E161" s="1033"/>
      <c r="F161" s="1033"/>
      <c r="G161" s="1033"/>
      <c r="H161" s="1033"/>
      <c r="I161" s="1033"/>
      <c r="J161" s="1033"/>
      <c r="K161" s="1033"/>
      <c r="L161" s="90"/>
      <c r="M161" s="51"/>
      <c r="N161" s="113">
        <f t="shared" si="18"/>
        <v>4371</v>
      </c>
      <c r="O161" s="581"/>
      <c r="P161" s="582">
        <v>0</v>
      </c>
      <c r="Q161" s="589"/>
      <c r="R161" s="576"/>
      <c r="S161" s="583">
        <f t="shared" si="21"/>
        <v>0</v>
      </c>
      <c r="T161" s="584">
        <v>0</v>
      </c>
      <c r="U161" s="51"/>
      <c r="V161" s="2120">
        <f t="shared" ref="V161:V172" si="22">+IF(OR(ROUND(P161,2)+ROUND(R161,2)&gt;+ROUND(O161,2)+ROUND(Q161,2),+ABS(ROUND(P161,2)+ROUND(R161,2))&gt;+ABS(ROUND(O161,2)+ROUND(Q161,2))),+(ROUND(P161,2)+ROUND(R161,2))-(ROUND(O161,2)+ROUND(Q161,2)),0)</f>
        <v>0</v>
      </c>
      <c r="W161" s="2116"/>
      <c r="X161" s="43"/>
      <c r="Y161" s="43"/>
      <c r="Z161" s="43"/>
    </row>
    <row r="162" spans="1:26">
      <c r="A162" s="88">
        <v>4372</v>
      </c>
      <c r="B162" s="378" t="s">
        <v>37</v>
      </c>
      <c r="C162" s="1033"/>
      <c r="D162" s="1033"/>
      <c r="E162" s="1033"/>
      <c r="F162" s="1033"/>
      <c r="G162" s="1033"/>
      <c r="H162" s="1033"/>
      <c r="I162" s="1033"/>
      <c r="J162" s="1033"/>
      <c r="K162" s="1033"/>
      <c r="L162" s="90"/>
      <c r="M162" s="51"/>
      <c r="N162" s="113">
        <f t="shared" si="18"/>
        <v>4372</v>
      </c>
      <c r="O162" s="581"/>
      <c r="P162" s="582">
        <v>0</v>
      </c>
      <c r="Q162" s="589"/>
      <c r="R162" s="576"/>
      <c r="S162" s="583">
        <f t="shared" si="21"/>
        <v>0</v>
      </c>
      <c r="T162" s="584">
        <v>0</v>
      </c>
      <c r="U162" s="51"/>
      <c r="V162" s="2120">
        <f t="shared" si="22"/>
        <v>0</v>
      </c>
      <c r="W162" s="2116"/>
      <c r="X162" s="43"/>
      <c r="Y162" s="43"/>
      <c r="Z162" s="43"/>
    </row>
    <row r="163" spans="1:26">
      <c r="A163" s="88">
        <v>4373</v>
      </c>
      <c r="B163" s="378" t="s">
        <v>38</v>
      </c>
      <c r="C163" s="1033"/>
      <c r="D163" s="1033"/>
      <c r="E163" s="1033"/>
      <c r="F163" s="1033"/>
      <c r="G163" s="1033"/>
      <c r="H163" s="1033"/>
      <c r="I163" s="1033"/>
      <c r="J163" s="1033"/>
      <c r="K163" s="1033"/>
      <c r="L163" s="90"/>
      <c r="M163" s="51"/>
      <c r="N163" s="113">
        <f t="shared" si="18"/>
        <v>4373</v>
      </c>
      <c r="O163" s="581"/>
      <c r="P163" s="582">
        <v>0</v>
      </c>
      <c r="Q163" s="589"/>
      <c r="R163" s="576"/>
      <c r="S163" s="583">
        <f t="shared" si="21"/>
        <v>0</v>
      </c>
      <c r="T163" s="584">
        <v>0</v>
      </c>
      <c r="U163" s="51"/>
      <c r="V163" s="2120">
        <f t="shared" si="22"/>
        <v>0</v>
      </c>
      <c r="W163" s="2116"/>
      <c r="X163" s="43"/>
      <c r="Y163" s="43"/>
      <c r="Z163" s="43"/>
    </row>
    <row r="164" spans="1:26">
      <c r="A164" s="88">
        <v>4374</v>
      </c>
      <c r="B164" s="378" t="s">
        <v>39</v>
      </c>
      <c r="C164" s="1033"/>
      <c r="D164" s="1033"/>
      <c r="E164" s="1033"/>
      <c r="F164" s="1033"/>
      <c r="G164" s="1033"/>
      <c r="H164" s="1033"/>
      <c r="I164" s="1033"/>
      <c r="J164" s="1033"/>
      <c r="K164" s="1033"/>
      <c r="L164" s="90"/>
      <c r="M164" s="51"/>
      <c r="N164" s="113">
        <f t="shared" si="18"/>
        <v>4374</v>
      </c>
      <c r="O164" s="581"/>
      <c r="P164" s="582">
        <v>0</v>
      </c>
      <c r="Q164" s="589"/>
      <c r="R164" s="576"/>
      <c r="S164" s="583">
        <f t="shared" si="21"/>
        <v>0</v>
      </c>
      <c r="T164" s="584">
        <v>0</v>
      </c>
      <c r="U164" s="51"/>
      <c r="V164" s="2120">
        <f t="shared" si="22"/>
        <v>0</v>
      </c>
      <c r="W164" s="2116"/>
      <c r="X164" s="43"/>
      <c r="Y164" s="43"/>
      <c r="Z164" s="43"/>
    </row>
    <row r="165" spans="1:26">
      <c r="A165" s="88">
        <v>4375</v>
      </c>
      <c r="B165" s="378" t="s">
        <v>40</v>
      </c>
      <c r="C165" s="1033"/>
      <c r="D165" s="1033"/>
      <c r="E165" s="1033"/>
      <c r="F165" s="1033"/>
      <c r="G165" s="1033"/>
      <c r="H165" s="1033"/>
      <c r="I165" s="1033"/>
      <c r="J165" s="1033"/>
      <c r="K165" s="1033"/>
      <c r="L165" s="90"/>
      <c r="M165" s="51"/>
      <c r="N165" s="113">
        <f t="shared" si="18"/>
        <v>4375</v>
      </c>
      <c r="O165" s="581"/>
      <c r="P165" s="582">
        <v>0</v>
      </c>
      <c r="Q165" s="589"/>
      <c r="R165" s="576"/>
      <c r="S165" s="583">
        <f t="shared" si="21"/>
        <v>0</v>
      </c>
      <c r="T165" s="584">
        <v>0</v>
      </c>
      <c r="U165" s="51"/>
      <c r="V165" s="2120">
        <f t="shared" si="22"/>
        <v>0</v>
      </c>
      <c r="W165" s="2116"/>
      <c r="X165" s="43"/>
      <c r="Y165" s="43"/>
      <c r="Z165" s="43"/>
    </row>
    <row r="166" spans="1:26">
      <c r="A166" s="88">
        <v>4376</v>
      </c>
      <c r="B166" s="378" t="s">
        <v>41</v>
      </c>
      <c r="C166" s="1033"/>
      <c r="D166" s="1033"/>
      <c r="E166" s="1033"/>
      <c r="F166" s="1033"/>
      <c r="G166" s="1033"/>
      <c r="H166" s="1033"/>
      <c r="I166" s="1033"/>
      <c r="J166" s="1033"/>
      <c r="K166" s="1033"/>
      <c r="L166" s="90"/>
      <c r="M166" s="51"/>
      <c r="N166" s="113">
        <f t="shared" si="18"/>
        <v>4376</v>
      </c>
      <c r="O166" s="581"/>
      <c r="P166" s="582">
        <v>0</v>
      </c>
      <c r="Q166" s="589"/>
      <c r="R166" s="576"/>
      <c r="S166" s="583">
        <f t="shared" si="21"/>
        <v>0</v>
      </c>
      <c r="T166" s="584">
        <v>0</v>
      </c>
      <c r="U166" s="51"/>
      <c r="V166" s="2120">
        <f t="shared" si="22"/>
        <v>0</v>
      </c>
      <c r="W166" s="2116"/>
      <c r="X166" s="43"/>
      <c r="Y166" s="43"/>
      <c r="Z166" s="43"/>
    </row>
    <row r="167" spans="1:26">
      <c r="A167" s="88">
        <v>4379</v>
      </c>
      <c r="B167" s="378" t="s">
        <v>42</v>
      </c>
      <c r="C167" s="1033"/>
      <c r="D167" s="1033"/>
      <c r="E167" s="1033"/>
      <c r="F167" s="1033"/>
      <c r="G167" s="1033"/>
      <c r="H167" s="1033"/>
      <c r="I167" s="1033"/>
      <c r="J167" s="1033"/>
      <c r="K167" s="1033"/>
      <c r="L167" s="90"/>
      <c r="M167" s="51"/>
      <c r="N167" s="113">
        <f t="shared" si="18"/>
        <v>4379</v>
      </c>
      <c r="O167" s="581"/>
      <c r="P167" s="582">
        <v>0</v>
      </c>
      <c r="Q167" s="589"/>
      <c r="R167" s="576"/>
      <c r="S167" s="583">
        <f t="shared" si="21"/>
        <v>0</v>
      </c>
      <c r="T167" s="584">
        <v>0</v>
      </c>
      <c r="U167" s="51"/>
      <c r="V167" s="2120">
        <f t="shared" si="22"/>
        <v>0</v>
      </c>
      <c r="W167" s="2116"/>
      <c r="X167" s="43"/>
      <c r="Y167" s="43"/>
      <c r="Z167" s="43"/>
    </row>
    <row r="168" spans="1:26">
      <c r="A168" s="88">
        <v>4381</v>
      </c>
      <c r="B168" s="378" t="s">
        <v>917</v>
      </c>
      <c r="C168" s="1033"/>
      <c r="D168" s="1033"/>
      <c r="E168" s="1033"/>
      <c r="F168" s="1033"/>
      <c r="G168" s="1033"/>
      <c r="H168" s="1033"/>
      <c r="I168" s="1033"/>
      <c r="J168" s="1033"/>
      <c r="K168" s="1033"/>
      <c r="L168" s="90"/>
      <c r="M168" s="51"/>
      <c r="N168" s="113">
        <f t="shared" si="18"/>
        <v>4381</v>
      </c>
      <c r="O168" s="581"/>
      <c r="P168" s="582">
        <v>0</v>
      </c>
      <c r="Q168" s="589"/>
      <c r="R168" s="576"/>
      <c r="S168" s="583">
        <f t="shared" si="21"/>
        <v>0</v>
      </c>
      <c r="T168" s="584">
        <v>0</v>
      </c>
      <c r="U168" s="51"/>
      <c r="V168" s="2120">
        <f t="shared" si="22"/>
        <v>0</v>
      </c>
      <c r="W168" s="2116"/>
      <c r="X168" s="43"/>
      <c r="Y168" s="43"/>
      <c r="Z168" s="43"/>
    </row>
    <row r="169" spans="1:26">
      <c r="A169" s="88">
        <v>4382</v>
      </c>
      <c r="B169" s="378" t="s">
        <v>918</v>
      </c>
      <c r="C169" s="1033"/>
      <c r="D169" s="1033"/>
      <c r="E169" s="1033"/>
      <c r="F169" s="1033"/>
      <c r="G169" s="1033"/>
      <c r="H169" s="1033"/>
      <c r="I169" s="1033"/>
      <c r="J169" s="1033"/>
      <c r="K169" s="1033"/>
      <c r="L169" s="90"/>
      <c r="M169" s="51"/>
      <c r="N169" s="113">
        <f t="shared" si="18"/>
        <v>4382</v>
      </c>
      <c r="O169" s="581"/>
      <c r="P169" s="582">
        <v>0</v>
      </c>
      <c r="Q169" s="589"/>
      <c r="R169" s="576"/>
      <c r="S169" s="583">
        <f t="shared" si="21"/>
        <v>0</v>
      </c>
      <c r="T169" s="584">
        <v>0</v>
      </c>
      <c r="U169" s="51"/>
      <c r="V169" s="2120">
        <f t="shared" si="22"/>
        <v>0</v>
      </c>
      <c r="W169" s="2116"/>
      <c r="X169" s="43"/>
      <c r="Y169" s="43"/>
      <c r="Z169" s="43"/>
    </row>
    <row r="170" spans="1:26">
      <c r="A170" s="88">
        <v>4383</v>
      </c>
      <c r="B170" s="378" t="s">
        <v>919</v>
      </c>
      <c r="C170" s="1033"/>
      <c r="D170" s="1033"/>
      <c r="E170" s="1033"/>
      <c r="F170" s="1033"/>
      <c r="G170" s="1033"/>
      <c r="H170" s="1033"/>
      <c r="I170" s="1033"/>
      <c r="J170" s="1033"/>
      <c r="K170" s="1033"/>
      <c r="L170" s="90"/>
      <c r="M170" s="51"/>
      <c r="N170" s="113">
        <f t="shared" si="18"/>
        <v>4383</v>
      </c>
      <c r="O170" s="581"/>
      <c r="P170" s="582">
        <v>0</v>
      </c>
      <c r="Q170" s="589"/>
      <c r="R170" s="576"/>
      <c r="S170" s="583">
        <f t="shared" si="21"/>
        <v>0</v>
      </c>
      <c r="T170" s="584">
        <v>0</v>
      </c>
      <c r="U170" s="51"/>
      <c r="V170" s="2120">
        <f t="shared" si="22"/>
        <v>0</v>
      </c>
      <c r="W170" s="2116"/>
      <c r="X170" s="43"/>
      <c r="Y170" s="43"/>
      <c r="Z170" s="43"/>
    </row>
    <row r="171" spans="1:26">
      <c r="A171" s="88">
        <v>4384</v>
      </c>
      <c r="B171" s="378" t="s">
        <v>920</v>
      </c>
      <c r="C171" s="1033"/>
      <c r="D171" s="1033"/>
      <c r="E171" s="1033"/>
      <c r="F171" s="1033"/>
      <c r="G171" s="1033"/>
      <c r="H171" s="1033"/>
      <c r="I171" s="1033"/>
      <c r="J171" s="1033"/>
      <c r="K171" s="1033"/>
      <c r="L171" s="90"/>
      <c r="M171" s="51"/>
      <c r="N171" s="113">
        <f t="shared" si="18"/>
        <v>4384</v>
      </c>
      <c r="O171" s="581"/>
      <c r="P171" s="582">
        <v>0</v>
      </c>
      <c r="Q171" s="589"/>
      <c r="R171" s="576"/>
      <c r="S171" s="583">
        <f t="shared" si="21"/>
        <v>0</v>
      </c>
      <c r="T171" s="584">
        <v>0</v>
      </c>
      <c r="U171" s="51"/>
      <c r="V171" s="2120">
        <f t="shared" si="22"/>
        <v>0</v>
      </c>
      <c r="W171" s="2116"/>
      <c r="X171" s="43"/>
      <c r="Y171" s="43"/>
      <c r="Z171" s="43"/>
    </row>
    <row r="172" spans="1:26">
      <c r="A172" s="88">
        <v>4385</v>
      </c>
      <c r="B172" s="378" t="s">
        <v>921</v>
      </c>
      <c r="C172" s="1033"/>
      <c r="D172" s="1033"/>
      <c r="E172" s="1033"/>
      <c r="F172" s="1033"/>
      <c r="G172" s="1033"/>
      <c r="H172" s="1033"/>
      <c r="I172" s="1033"/>
      <c r="J172" s="1033"/>
      <c r="K172" s="1033"/>
      <c r="L172" s="90"/>
      <c r="M172" s="51"/>
      <c r="N172" s="113">
        <f t="shared" si="18"/>
        <v>4385</v>
      </c>
      <c r="O172" s="581"/>
      <c r="P172" s="582">
        <v>0</v>
      </c>
      <c r="Q172" s="589"/>
      <c r="R172" s="576"/>
      <c r="S172" s="583">
        <f t="shared" si="21"/>
        <v>0</v>
      </c>
      <c r="T172" s="584">
        <v>0</v>
      </c>
      <c r="U172" s="51"/>
      <c r="V172" s="2120">
        <f t="shared" si="22"/>
        <v>0</v>
      </c>
      <c r="W172" s="2116"/>
      <c r="X172" s="43"/>
      <c r="Y172" s="43"/>
      <c r="Z172" s="43"/>
    </row>
    <row r="173" spans="1:26">
      <c r="A173" s="88">
        <v>4393</v>
      </c>
      <c r="B173" s="1033" t="s">
        <v>922</v>
      </c>
      <c r="C173" s="1033"/>
      <c r="D173" s="1033"/>
      <c r="E173" s="1033"/>
      <c r="F173" s="1033"/>
      <c r="G173" s="1033"/>
      <c r="H173" s="1033"/>
      <c r="I173" s="1033"/>
      <c r="J173" s="1033"/>
      <c r="K173" s="1033"/>
      <c r="L173" s="90"/>
      <c r="M173" s="51"/>
      <c r="N173" s="113">
        <f t="shared" ref="N173:N221" si="23">+A173</f>
        <v>4393</v>
      </c>
      <c r="O173" s="575">
        <v>0</v>
      </c>
      <c r="P173" s="576"/>
      <c r="Q173" s="589"/>
      <c r="R173" s="121"/>
      <c r="S173" s="579">
        <v>0</v>
      </c>
      <c r="T173" s="580">
        <f>+IF(ABS(+O173+Q173)&lt;=ABS(P173+R173),-O173+P173-Q173+R173,0)</f>
        <v>0</v>
      </c>
      <c r="U173" s="51"/>
      <c r="V173" s="2119">
        <f>+IF(OR(+ROUND(O173,2)+ROUND(Q173,2)&gt;ROUND(P173,2)+ROUND(R173,2),+ABS(ROUND(O173,2)+ROUND(Q173,2))&gt;+ABS(ROUND(P173,2)+ROUND(R173,2))),+(ROUND(O173,2)+ROUND(Q173,2))-(ROUND(P173,2)+ROUND(R173,2)),0)</f>
        <v>0</v>
      </c>
      <c r="W173" s="2116"/>
      <c r="X173" s="43"/>
      <c r="Y173" s="43"/>
      <c r="Z173" s="43"/>
    </row>
    <row r="174" spans="1:26">
      <c r="A174" s="88">
        <v>4397</v>
      </c>
      <c r="B174" s="1033" t="s">
        <v>923</v>
      </c>
      <c r="C174" s="1033"/>
      <c r="D174" s="1033"/>
      <c r="E174" s="1033"/>
      <c r="F174" s="1033"/>
      <c r="G174" s="1033"/>
      <c r="H174" s="1033"/>
      <c r="I174" s="1033"/>
      <c r="J174" s="1033"/>
      <c r="K174" s="1033"/>
      <c r="L174" s="90"/>
      <c r="M174" s="51"/>
      <c r="N174" s="113">
        <f t="shared" si="23"/>
        <v>4397</v>
      </c>
      <c r="O174" s="575">
        <v>0</v>
      </c>
      <c r="P174" s="576"/>
      <c r="Q174" s="589"/>
      <c r="R174" s="121"/>
      <c r="S174" s="579">
        <v>0</v>
      </c>
      <c r="T174" s="580">
        <f>+IF(ABS(+O174+Q174)&lt;=ABS(P174+R174),-O174+P174-Q174+R174,0)</f>
        <v>0</v>
      </c>
      <c r="U174" s="51"/>
      <c r="V174" s="2119">
        <f>+IF(OR(+ROUND(O174,2)+ROUND(Q174,2)&gt;ROUND(P174,2)+ROUND(R174,2),+ABS(ROUND(O174,2)+ROUND(Q174,2))&gt;+ABS(ROUND(P174,2)+ROUND(R174,2))),+(ROUND(O174,2)+ROUND(Q174,2))-(ROUND(P174,2)+ROUND(R174,2)),0)</f>
        <v>0</v>
      </c>
      <c r="W174" s="2116"/>
      <c r="X174" s="43"/>
      <c r="Y174" s="43"/>
      <c r="Z174" s="43"/>
    </row>
    <row r="175" spans="1:26">
      <c r="A175" s="88">
        <v>4398</v>
      </c>
      <c r="B175" s="1033" t="s">
        <v>924</v>
      </c>
      <c r="C175" s="1033"/>
      <c r="D175" s="1033"/>
      <c r="E175" s="1033"/>
      <c r="F175" s="1033"/>
      <c r="G175" s="1033"/>
      <c r="H175" s="1033"/>
      <c r="I175" s="1033"/>
      <c r="J175" s="1033"/>
      <c r="K175" s="1033"/>
      <c r="L175" s="90"/>
      <c r="M175" s="51"/>
      <c r="N175" s="113">
        <f t="shared" si="23"/>
        <v>4398</v>
      </c>
      <c r="O175" s="575">
        <v>0</v>
      </c>
      <c r="P175" s="576"/>
      <c r="Q175" s="589"/>
      <c r="R175" s="121"/>
      <c r="S175" s="579">
        <v>0</v>
      </c>
      <c r="T175" s="580">
        <f>+IF(ABS(+O175+Q175)&lt;=ABS(P175+R175),-O175+P175-Q175+R175,0)</f>
        <v>0</v>
      </c>
      <c r="U175" s="51"/>
      <c r="V175" s="2119">
        <f>+IF(OR(+ROUND(O175,2)+ROUND(Q175,2)&gt;ROUND(P175,2)+ROUND(R175,2),+ABS(ROUND(O175,2)+ROUND(Q175,2))&gt;+ABS(ROUND(P175,2)+ROUND(R175,2))),+(ROUND(O175,2)+ROUND(Q175,2))-(ROUND(P175,2)+ROUND(R175,2)),0)</f>
        <v>0</v>
      </c>
      <c r="W175" s="2116"/>
      <c r="X175" s="43"/>
      <c r="Y175" s="43"/>
      <c r="Z175" s="43"/>
    </row>
    <row r="176" spans="1:26">
      <c r="A176" s="88">
        <v>4500</v>
      </c>
      <c r="B176" s="1033" t="s">
        <v>925</v>
      </c>
      <c r="C176" s="1033"/>
      <c r="D176" s="1033"/>
      <c r="E176" s="1033"/>
      <c r="F176" s="1033"/>
      <c r="G176" s="1033"/>
      <c r="H176" s="1033"/>
      <c r="I176" s="1033"/>
      <c r="J176" s="1033"/>
      <c r="K176" s="1033"/>
      <c r="L176" s="90"/>
      <c r="M176" s="51"/>
      <c r="N176" s="113">
        <f t="shared" si="23"/>
        <v>4500</v>
      </c>
      <c r="O176" s="581">
        <v>0</v>
      </c>
      <c r="P176" s="576">
        <v>0</v>
      </c>
      <c r="Q176" s="589">
        <v>0</v>
      </c>
      <c r="R176" s="576">
        <v>0</v>
      </c>
      <c r="S176" s="583">
        <f>+IF(ABS(+O176+Q176)&gt;=ABS(P176+R176),+O176-P176+Q176-R176,0)</f>
        <v>0</v>
      </c>
      <c r="T176" s="580">
        <f>+IF(ABS(+O176+Q176)&lt;=ABS(P176+R176),-O176+P176-Q176+R176,0)</f>
        <v>0</v>
      </c>
      <c r="U176" s="51"/>
      <c r="V176" s="2119"/>
      <c r="W176" s="2116"/>
      <c r="X176" s="43"/>
      <c r="Y176" s="43"/>
      <c r="Z176" s="43"/>
    </row>
    <row r="177" spans="1:26" ht="15.75" customHeight="1">
      <c r="A177" s="88">
        <v>4501</v>
      </c>
      <c r="B177" s="1033" t="s">
        <v>226</v>
      </c>
      <c r="C177" s="88"/>
      <c r="D177" s="1041"/>
      <c r="E177" s="1041"/>
      <c r="F177" s="1041"/>
      <c r="G177" s="1041"/>
      <c r="H177" s="1041"/>
      <c r="I177" s="1041"/>
      <c r="J177" s="1041"/>
      <c r="K177" s="1041"/>
      <c r="L177" s="590"/>
      <c r="M177" s="51"/>
      <c r="N177" s="113">
        <f t="shared" si="23"/>
        <v>4501</v>
      </c>
      <c r="O177" s="581"/>
      <c r="P177" s="576"/>
      <c r="Q177" s="589"/>
      <c r="R177" s="576"/>
      <c r="S177" s="583">
        <f>+IF(ABS(+O177+Q177)&gt;=ABS(P177+R177),+O177-P177+Q177-R177,0)</f>
        <v>0</v>
      </c>
      <c r="T177" s="580">
        <f>+IF(ABS(+O177+Q177)&lt;=ABS(P177+R177),-O177+P177-Q177+R177,0)</f>
        <v>0</v>
      </c>
      <c r="U177" s="51"/>
      <c r="V177" s="2119"/>
      <c r="W177" s="2116"/>
      <c r="X177" s="43"/>
      <c r="Y177" s="43"/>
      <c r="Z177" s="43"/>
    </row>
    <row r="178" spans="1:26" ht="15.75" customHeight="1">
      <c r="A178" s="88">
        <v>4502</v>
      </c>
      <c r="B178" s="1033" t="s">
        <v>227</v>
      </c>
      <c r="C178" s="88"/>
      <c r="D178" s="1041"/>
      <c r="E178" s="1041"/>
      <c r="F178" s="1041"/>
      <c r="G178" s="1041"/>
      <c r="H178" s="1041"/>
      <c r="I178" s="1041"/>
      <c r="J178" s="1041"/>
      <c r="K178" s="1041"/>
      <c r="L178" s="590"/>
      <c r="M178" s="51"/>
      <c r="N178" s="113">
        <f t="shared" si="23"/>
        <v>4502</v>
      </c>
      <c r="O178" s="575">
        <v>0</v>
      </c>
      <c r="P178" s="582">
        <v>0</v>
      </c>
      <c r="Q178" s="579">
        <v>0</v>
      </c>
      <c r="R178" s="582">
        <v>0</v>
      </c>
      <c r="S178" s="579">
        <v>0</v>
      </c>
      <c r="T178" s="584">
        <v>0</v>
      </c>
      <c r="U178" s="51"/>
      <c r="V178" s="2125">
        <f>+IF(OR(O178&lt;&gt;0,P178&lt;&gt;0,Q178&lt;&gt;0,R178&lt;&gt;0,S178&lt;&gt;0,T178&lt;&gt;0),+IF(ABS(O178+Q178)-ABS(P178+R178)&lt;&gt;0,ABS(O178+Q178)-ABS(P178+R178),1),0)</f>
        <v>0</v>
      </c>
      <c r="W178" s="2116"/>
      <c r="X178" s="43"/>
      <c r="Y178" s="43"/>
      <c r="Z178" s="43"/>
    </row>
    <row r="179" spans="1:26" ht="15.75" customHeight="1">
      <c r="A179" s="88">
        <v>4503</v>
      </c>
      <c r="B179" s="1033" t="s">
        <v>228</v>
      </c>
      <c r="C179" s="88"/>
      <c r="D179" s="1041"/>
      <c r="E179" s="1041"/>
      <c r="F179" s="1041"/>
      <c r="G179" s="1041"/>
      <c r="H179" s="1041"/>
      <c r="I179" s="1041"/>
      <c r="J179" s="1041"/>
      <c r="K179" s="1041"/>
      <c r="L179" s="590"/>
      <c r="M179" s="51"/>
      <c r="N179" s="113">
        <f t="shared" si="23"/>
        <v>4503</v>
      </c>
      <c r="O179" s="581"/>
      <c r="P179" s="576"/>
      <c r="Q179" s="589"/>
      <c r="R179" s="576"/>
      <c r="S179" s="583">
        <f>+IF(ABS(+O179+Q179)&gt;=ABS(P179+R179),+O179-P179+Q179-R179,0)</f>
        <v>0</v>
      </c>
      <c r="T179" s="580">
        <f t="shared" ref="T179:T184" si="24">+IF(ABS(+O179+Q179)&lt;=ABS(P179+R179),-O179+P179-Q179+R179,0)</f>
        <v>0</v>
      </c>
      <c r="U179" s="51"/>
      <c r="V179" s="2119"/>
      <c r="W179" s="2116"/>
      <c r="X179" s="43"/>
      <c r="Y179" s="43"/>
      <c r="Z179" s="43"/>
    </row>
    <row r="180" spans="1:26" ht="15.75" customHeight="1">
      <c r="A180" s="88">
        <v>4510</v>
      </c>
      <c r="B180" s="1033" t="s">
        <v>229</v>
      </c>
      <c r="C180" s="88"/>
      <c r="D180" s="1038"/>
      <c r="E180" s="1038"/>
      <c r="F180" s="1038"/>
      <c r="G180" s="1038"/>
      <c r="H180" s="1038"/>
      <c r="I180" s="1038"/>
      <c r="J180" s="1038"/>
      <c r="K180" s="1038"/>
      <c r="L180" s="590"/>
      <c r="M180" s="51"/>
      <c r="N180" s="113">
        <f t="shared" si="23"/>
        <v>4510</v>
      </c>
      <c r="O180" s="581">
        <v>0</v>
      </c>
      <c r="P180" s="576">
        <v>0</v>
      </c>
      <c r="Q180" s="589">
        <v>0</v>
      </c>
      <c r="R180" s="576">
        <v>0</v>
      </c>
      <c r="S180" s="583">
        <f>+IF(ABS(+O180+Q180)&gt;=ABS(P180+R180),+O180-P180+Q180-R180,0)</f>
        <v>0</v>
      </c>
      <c r="T180" s="580">
        <f t="shared" si="24"/>
        <v>0</v>
      </c>
      <c r="U180" s="51"/>
      <c r="V180" s="2119"/>
      <c r="W180" s="2116"/>
      <c r="X180" s="43"/>
      <c r="Y180" s="43"/>
      <c r="Z180" s="43"/>
    </row>
    <row r="181" spans="1:26">
      <c r="A181" s="88">
        <v>4511</v>
      </c>
      <c r="B181" s="378" t="s">
        <v>230</v>
      </c>
      <c r="C181" s="1033"/>
      <c r="D181" s="1033"/>
      <c r="E181" s="1033"/>
      <c r="F181" s="1033"/>
      <c r="G181" s="1033"/>
      <c r="H181" s="1033"/>
      <c r="I181" s="1033"/>
      <c r="J181" s="1033"/>
      <c r="K181" s="1033"/>
      <c r="L181" s="90"/>
      <c r="M181" s="51"/>
      <c r="N181" s="113">
        <f t="shared" si="23"/>
        <v>4511</v>
      </c>
      <c r="O181" s="581">
        <v>0</v>
      </c>
      <c r="P181" s="576">
        <v>0</v>
      </c>
      <c r="Q181" s="589">
        <v>0</v>
      </c>
      <c r="R181" s="576">
        <v>0</v>
      </c>
      <c r="S181" s="583">
        <f>+IF(ABS(+O181+Q181)&gt;=ABS(P181+R181),+O181-P181+Q181-R181,0)</f>
        <v>0</v>
      </c>
      <c r="T181" s="580">
        <f t="shared" si="24"/>
        <v>0</v>
      </c>
      <c r="U181" s="51"/>
      <c r="V181" s="2119"/>
      <c r="W181" s="2116"/>
      <c r="X181" s="43"/>
      <c r="Y181" s="43"/>
      <c r="Z181" s="43"/>
    </row>
    <row r="182" spans="1:26">
      <c r="A182" s="88">
        <v>4512</v>
      </c>
      <c r="B182" s="1042" t="s">
        <v>231</v>
      </c>
      <c r="C182" s="1033"/>
      <c r="D182" s="1033"/>
      <c r="E182" s="1033"/>
      <c r="F182" s="1033"/>
      <c r="G182" s="1033"/>
      <c r="H182" s="1033"/>
      <c r="I182" s="1033"/>
      <c r="J182" s="1033"/>
      <c r="K182" s="1033"/>
      <c r="L182" s="90"/>
      <c r="M182" s="51"/>
      <c r="N182" s="113">
        <f t="shared" si="23"/>
        <v>4512</v>
      </c>
      <c r="O182" s="581">
        <v>0</v>
      </c>
      <c r="P182" s="576">
        <v>0</v>
      </c>
      <c r="Q182" s="589">
        <v>0</v>
      </c>
      <c r="R182" s="576">
        <v>0</v>
      </c>
      <c r="S182" s="583">
        <f>+IF(ABS(+O182+Q182)&gt;=ABS(P182+R182),+O182-P182+Q182-R182,0)</f>
        <v>0</v>
      </c>
      <c r="T182" s="580">
        <f t="shared" si="24"/>
        <v>0</v>
      </c>
      <c r="U182" s="51"/>
      <c r="V182" s="2119"/>
      <c r="W182" s="2116"/>
      <c r="X182" s="43"/>
      <c r="Y182" s="43"/>
      <c r="Z182" s="43"/>
    </row>
    <row r="183" spans="1:26" ht="15.75" customHeight="1">
      <c r="A183" s="88">
        <v>4518</v>
      </c>
      <c r="B183" s="1042" t="s">
        <v>233</v>
      </c>
      <c r="C183" s="1038"/>
      <c r="D183" s="1038"/>
      <c r="E183" s="1038"/>
      <c r="F183" s="1038"/>
      <c r="G183" s="1038"/>
      <c r="H183" s="1038"/>
      <c r="I183" s="1038"/>
      <c r="J183" s="1038"/>
      <c r="K183" s="1038"/>
      <c r="L183" s="590"/>
      <c r="M183" s="51"/>
      <c r="N183" s="113">
        <f t="shared" si="23"/>
        <v>4518</v>
      </c>
      <c r="O183" s="581"/>
      <c r="P183" s="576"/>
      <c r="Q183" s="589"/>
      <c r="R183" s="576"/>
      <c r="S183" s="583">
        <f>+IF(ABS(+O183+Q183)&gt;=ABS(P183+R183),+O183-P183+Q183-R183,0)</f>
        <v>0</v>
      </c>
      <c r="T183" s="580">
        <f t="shared" si="24"/>
        <v>0</v>
      </c>
      <c r="U183" s="51"/>
      <c r="V183" s="2119"/>
      <c r="W183" s="2116"/>
      <c r="X183" s="43"/>
      <c r="Y183" s="43"/>
      <c r="Z183" s="43"/>
    </row>
    <row r="184" spans="1:26">
      <c r="A184" s="88">
        <v>4520</v>
      </c>
      <c r="B184" s="1042" t="s">
        <v>234</v>
      </c>
      <c r="C184" s="1033"/>
      <c r="D184" s="1033"/>
      <c r="E184" s="1033"/>
      <c r="F184" s="1033"/>
      <c r="G184" s="1033"/>
      <c r="H184" s="1033"/>
      <c r="I184" s="1033"/>
      <c r="J184" s="1033"/>
      <c r="K184" s="1033"/>
      <c r="L184" s="574"/>
      <c r="M184" s="51"/>
      <c r="N184" s="113">
        <f t="shared" si="23"/>
        <v>4520</v>
      </c>
      <c r="O184" s="575">
        <v>0</v>
      </c>
      <c r="P184" s="576"/>
      <c r="Q184" s="589"/>
      <c r="R184" s="121"/>
      <c r="S184" s="579">
        <v>0</v>
      </c>
      <c r="T184" s="580">
        <f t="shared" si="24"/>
        <v>0</v>
      </c>
      <c r="U184" s="51"/>
      <c r="V184" s="2119">
        <f>+IF(OR(+ROUND(O184,2)+ROUND(Q184,2)&gt;ROUND(P184,2)+ROUND(R184,2),+ABS(ROUND(O184,2)+ROUND(Q184,2))&gt;+ABS(ROUND(P184,2)+ROUND(R184,2))),+(ROUND(O184,2)+ROUND(Q184,2))-(ROUND(P184,2)+ROUND(R184,2)),0)</f>
        <v>0</v>
      </c>
      <c r="W184" s="2116"/>
      <c r="X184" s="43"/>
      <c r="Y184" s="43"/>
      <c r="Z184" s="43"/>
    </row>
    <row r="185" spans="1:26">
      <c r="A185" s="88">
        <v>4522</v>
      </c>
      <c r="B185" s="1033" t="s">
        <v>235</v>
      </c>
      <c r="C185" s="1033"/>
      <c r="D185" s="1033"/>
      <c r="E185" s="1033"/>
      <c r="F185" s="1033"/>
      <c r="G185" s="1033"/>
      <c r="H185" s="1033"/>
      <c r="I185" s="1033"/>
      <c r="J185" s="1033"/>
      <c r="K185" s="1033"/>
      <c r="L185" s="90"/>
      <c r="M185" s="51"/>
      <c r="N185" s="113">
        <f t="shared" si="23"/>
        <v>4522</v>
      </c>
      <c r="O185" s="581"/>
      <c r="P185" s="582">
        <v>0</v>
      </c>
      <c r="Q185" s="589"/>
      <c r="R185" s="576"/>
      <c r="S185" s="583">
        <f>+IF(ABS(+O185+Q185)&gt;=ABS(P185+R185),+O185-P185+Q185-R185,0)</f>
        <v>0</v>
      </c>
      <c r="T185" s="584">
        <v>0</v>
      </c>
      <c r="U185" s="51"/>
      <c r="V185" s="2120">
        <f>+IF(OR(ROUND(P185,2)+ROUND(R185,2)&gt;+ROUND(O185,2)+ROUND(Q185,2),+ABS(ROUND(P185,2)+ROUND(R185,2))&gt;+ABS(ROUND(O185,2)+ROUND(Q185,2))),+(ROUND(P185,2)+ROUND(R185,2))-(ROUND(O185,2)+ROUND(Q185,2)),0)</f>
        <v>0</v>
      </c>
      <c r="W185" s="2116"/>
      <c r="X185" s="43"/>
      <c r="Y185" s="43"/>
      <c r="Z185" s="43"/>
    </row>
    <row r="186" spans="1:26">
      <c r="A186" s="88">
        <v>4523</v>
      </c>
      <c r="B186" s="1033" t="s">
        <v>236</v>
      </c>
      <c r="C186" s="1033"/>
      <c r="D186" s="1033"/>
      <c r="E186" s="1033"/>
      <c r="F186" s="1033"/>
      <c r="G186" s="1033"/>
      <c r="H186" s="1033"/>
      <c r="I186" s="1033"/>
      <c r="J186" s="1033"/>
      <c r="K186" s="1033"/>
      <c r="L186" s="574"/>
      <c r="M186" s="51"/>
      <c r="N186" s="113">
        <f t="shared" si="23"/>
        <v>4523</v>
      </c>
      <c r="O186" s="575">
        <v>0</v>
      </c>
      <c r="P186" s="576"/>
      <c r="Q186" s="589"/>
      <c r="R186" s="121"/>
      <c r="S186" s="579">
        <v>0</v>
      </c>
      <c r="T186" s="580">
        <f>+IF(ABS(+O186+Q186)&lt;=ABS(P186+R186),-O186+P186-Q186+R186,0)</f>
        <v>0</v>
      </c>
      <c r="U186" s="51"/>
      <c r="V186" s="2119">
        <f>+IF(OR(+ROUND(O186,2)+ROUND(Q186,2)&gt;ROUND(P186,2)+ROUND(R186,2),+ABS(ROUND(O186,2)+ROUND(Q186,2))&gt;+ABS(ROUND(P186,2)+ROUND(R186,2))),+(ROUND(O186,2)+ROUND(Q186,2))-(ROUND(P186,2)+ROUND(R186,2)),0)</f>
        <v>0</v>
      </c>
      <c r="W186" s="2116"/>
      <c r="X186" s="43"/>
      <c r="Y186" s="43"/>
      <c r="Z186" s="43"/>
    </row>
    <row r="187" spans="1:26">
      <c r="A187" s="88">
        <v>4544</v>
      </c>
      <c r="B187" s="1033" t="s">
        <v>862</v>
      </c>
      <c r="C187" s="1033"/>
      <c r="D187" s="1033"/>
      <c r="E187" s="1033"/>
      <c r="F187" s="1033"/>
      <c r="G187" s="1033"/>
      <c r="H187" s="1033"/>
      <c r="I187" s="1033"/>
      <c r="J187" s="1033"/>
      <c r="K187" s="1033"/>
      <c r="L187" s="574"/>
      <c r="M187" s="51"/>
      <c r="N187" s="113">
        <f t="shared" si="23"/>
        <v>4544</v>
      </c>
      <c r="O187" s="575">
        <v>0</v>
      </c>
      <c r="P187" s="576">
        <v>0</v>
      </c>
      <c r="Q187" s="589">
        <v>0</v>
      </c>
      <c r="R187" s="121">
        <v>0</v>
      </c>
      <c r="S187" s="579">
        <v>0</v>
      </c>
      <c r="T187" s="580">
        <f>+IF(ABS(+O187+Q187)&lt;=ABS(P187+R187),-O187+P187-Q187+R187,0)</f>
        <v>0</v>
      </c>
      <c r="U187" s="51"/>
      <c r="V187" s="2119">
        <f>+IF(OR(+ROUND(O187,2)+ROUND(Q187,2)&gt;ROUND(P187,2)+ROUND(R187,2),+ABS(ROUND(O187,2)+ROUND(Q187,2))&gt;+ABS(ROUND(P187,2)+ROUND(R187,2))),+(ROUND(O187,2)+ROUND(Q187,2))-(ROUND(P187,2)+ROUND(R187,2)),0)</f>
        <v>0</v>
      </c>
      <c r="W187" s="2116"/>
      <c r="X187" s="43"/>
      <c r="Y187" s="43"/>
      <c r="Z187" s="43"/>
    </row>
    <row r="188" spans="1:26">
      <c r="A188" s="88">
        <v>4545</v>
      </c>
      <c r="B188" s="1033" t="s">
        <v>863</v>
      </c>
      <c r="C188" s="1033"/>
      <c r="D188" s="1033"/>
      <c r="E188" s="1033"/>
      <c r="F188" s="1033"/>
      <c r="G188" s="1033"/>
      <c r="H188" s="1033"/>
      <c r="I188" s="1033"/>
      <c r="J188" s="1033"/>
      <c r="K188" s="1033"/>
      <c r="L188" s="574"/>
      <c r="M188" s="51"/>
      <c r="N188" s="113">
        <f t="shared" si="23"/>
        <v>4545</v>
      </c>
      <c r="O188" s="581"/>
      <c r="P188" s="582">
        <v>0</v>
      </c>
      <c r="Q188" s="589"/>
      <c r="R188" s="576"/>
      <c r="S188" s="583">
        <f>+IF(ABS(+O188+Q188)&gt;=ABS(P188+R188),+O188-P188+Q188-R188,0)</f>
        <v>0</v>
      </c>
      <c r="T188" s="584">
        <v>0</v>
      </c>
      <c r="U188" s="51"/>
      <c r="V188" s="2120">
        <f>+IF(OR(ROUND(P188,2)+ROUND(R188,2)&gt;+ROUND(O188,2)+ROUND(Q188,2),+ABS(ROUND(P188,2)+ROUND(R188,2))&gt;+ABS(ROUND(O188,2)+ROUND(Q188,2))),+(ROUND(P188,2)+ROUND(R188,2))-(ROUND(O188,2)+ROUND(Q188,2)),0)</f>
        <v>0</v>
      </c>
      <c r="W188" s="2116"/>
      <c r="X188" s="43"/>
      <c r="Y188" s="43"/>
      <c r="Z188" s="43"/>
    </row>
    <row r="189" spans="1:26">
      <c r="A189" s="88">
        <v>4547</v>
      </c>
      <c r="B189" s="1033" t="s">
        <v>864</v>
      </c>
      <c r="C189" s="1033"/>
      <c r="D189" s="1033"/>
      <c r="E189" s="1033"/>
      <c r="F189" s="1033"/>
      <c r="G189" s="1033"/>
      <c r="H189" s="1033"/>
      <c r="I189" s="1033"/>
      <c r="J189" s="1033"/>
      <c r="K189" s="1033"/>
      <c r="L189" s="574"/>
      <c r="M189" s="51"/>
      <c r="N189" s="113">
        <f t="shared" si="23"/>
        <v>4547</v>
      </c>
      <c r="O189" s="581"/>
      <c r="P189" s="582">
        <v>0</v>
      </c>
      <c r="Q189" s="589"/>
      <c r="R189" s="576"/>
      <c r="S189" s="583">
        <f>+IF(ABS(+O189+Q189)&gt;=ABS(P189+R189),+O189-P189+Q189-R189,0)</f>
        <v>0</v>
      </c>
      <c r="T189" s="584">
        <v>0</v>
      </c>
      <c r="U189" s="51"/>
      <c r="V189" s="2120">
        <f>+IF(OR(ROUND(P189,2)+ROUND(R189,2)&gt;+ROUND(O189,2)+ROUND(Q189,2),+ABS(ROUND(P189,2)+ROUND(R189,2))&gt;+ABS(ROUND(O189,2)+ROUND(Q189,2))),+(ROUND(P189,2)+ROUND(R189,2))-(ROUND(O189,2)+ROUND(Q189,2)),0)</f>
        <v>0</v>
      </c>
      <c r="W189" s="2116"/>
      <c r="X189" s="43"/>
      <c r="Y189" s="43"/>
      <c r="Z189" s="43"/>
    </row>
    <row r="190" spans="1:26">
      <c r="A190" s="88">
        <v>4548</v>
      </c>
      <c r="B190" s="378" t="s">
        <v>865</v>
      </c>
      <c r="C190" s="1033"/>
      <c r="D190" s="1033"/>
      <c r="E190" s="1033"/>
      <c r="F190" s="1033"/>
      <c r="G190" s="1033"/>
      <c r="H190" s="1033"/>
      <c r="I190" s="1033"/>
      <c r="J190" s="1033"/>
      <c r="K190" s="1033"/>
      <c r="L190" s="90"/>
      <c r="M190" s="51"/>
      <c r="N190" s="113">
        <f t="shared" si="23"/>
        <v>4548</v>
      </c>
      <c r="O190" s="575">
        <v>0</v>
      </c>
      <c r="P190" s="576"/>
      <c r="Q190" s="589"/>
      <c r="R190" s="121"/>
      <c r="S190" s="579">
        <v>0</v>
      </c>
      <c r="T190" s="580">
        <f t="shared" ref="T190:T195" si="25">+IF(ABS(+O190+Q190)&lt;=ABS(P190+R190),-O190+P190-Q190+R190,0)</f>
        <v>0</v>
      </c>
      <c r="U190" s="51"/>
      <c r="V190" s="2119">
        <f>+IF(OR(+ROUND(O190,2)+ROUND(Q190,2)&gt;ROUND(P190,2)+ROUND(R190,2),+ABS(ROUND(O190,2)+ROUND(Q190,2))&gt;+ABS(ROUND(P190,2)+ROUND(R190,2))),+(ROUND(O190,2)+ROUND(Q190,2))-(ROUND(P190,2)+ROUND(R190,2)),0)</f>
        <v>0</v>
      </c>
      <c r="W190" s="2116"/>
      <c r="X190" s="43"/>
      <c r="Y190" s="43"/>
      <c r="Z190" s="43"/>
    </row>
    <row r="191" spans="1:26">
      <c r="A191" s="88">
        <v>4555</v>
      </c>
      <c r="B191" s="378" t="s">
        <v>866</v>
      </c>
      <c r="C191" s="1033"/>
      <c r="D191" s="1033"/>
      <c r="E191" s="1033"/>
      <c r="F191" s="1033"/>
      <c r="G191" s="1033"/>
      <c r="H191" s="1033"/>
      <c r="I191" s="1033"/>
      <c r="J191" s="1033"/>
      <c r="K191" s="1033"/>
      <c r="L191" s="90"/>
      <c r="M191" s="51"/>
      <c r="N191" s="113">
        <f t="shared" si="23"/>
        <v>4555</v>
      </c>
      <c r="O191" s="581">
        <v>0</v>
      </c>
      <c r="P191" s="576">
        <v>0</v>
      </c>
      <c r="Q191" s="589">
        <v>0</v>
      </c>
      <c r="R191" s="576">
        <v>0</v>
      </c>
      <c r="S191" s="583">
        <f>+IF(ABS(+O191+Q191)&gt;=ABS(P191+R191),+O191-P191+Q191-R191,0)</f>
        <v>0</v>
      </c>
      <c r="T191" s="580">
        <f t="shared" si="25"/>
        <v>0</v>
      </c>
      <c r="U191" s="51"/>
      <c r="V191" s="2119"/>
      <c r="W191" s="2116"/>
      <c r="X191" s="43"/>
      <c r="Y191" s="43"/>
      <c r="Z191" s="43"/>
    </row>
    <row r="192" spans="1:26" ht="15.75" customHeight="1">
      <c r="A192" s="88">
        <v>4556</v>
      </c>
      <c r="B192" s="378" t="s">
        <v>867</v>
      </c>
      <c r="C192" s="1038"/>
      <c r="D192" s="1038"/>
      <c r="E192" s="1038"/>
      <c r="F192" s="1038"/>
      <c r="G192" s="1038"/>
      <c r="H192" s="1038"/>
      <c r="I192" s="1038"/>
      <c r="J192" s="1038"/>
      <c r="K192" s="1038"/>
      <c r="L192" s="590"/>
      <c r="M192" s="51"/>
      <c r="N192" s="113">
        <f t="shared" si="23"/>
        <v>4556</v>
      </c>
      <c r="O192" s="581">
        <v>0</v>
      </c>
      <c r="P192" s="576">
        <v>0</v>
      </c>
      <c r="Q192" s="589">
        <v>0</v>
      </c>
      <c r="R192" s="576">
        <v>0</v>
      </c>
      <c r="S192" s="583">
        <f>+IF(ABS(+O192+Q192)&gt;=ABS(P192+R192),+O192-P192+Q192-R192,0)</f>
        <v>0</v>
      </c>
      <c r="T192" s="580">
        <f t="shared" si="25"/>
        <v>0</v>
      </c>
      <c r="U192" s="51"/>
      <c r="V192" s="2119"/>
      <c r="W192" s="2116"/>
      <c r="X192" s="43"/>
      <c r="Y192" s="43"/>
      <c r="Z192" s="43"/>
    </row>
    <row r="193" spans="1:26">
      <c r="A193" s="346">
        <v>4557</v>
      </c>
      <c r="B193" s="1032" t="s">
        <v>868</v>
      </c>
      <c r="C193" s="345"/>
      <c r="D193" s="1033"/>
      <c r="E193" s="1033"/>
      <c r="F193" s="1033"/>
      <c r="G193" s="1033"/>
      <c r="H193" s="1033"/>
      <c r="I193" s="1033"/>
      <c r="J193" s="1033"/>
      <c r="K193" s="1033"/>
      <c r="L193" s="90"/>
      <c r="M193" s="51"/>
      <c r="N193" s="113">
        <f t="shared" si="23"/>
        <v>4557</v>
      </c>
      <c r="O193" s="581">
        <v>0</v>
      </c>
      <c r="P193" s="576">
        <v>0</v>
      </c>
      <c r="Q193" s="589">
        <v>0</v>
      </c>
      <c r="R193" s="576">
        <v>0</v>
      </c>
      <c r="S193" s="583">
        <f>+IF(ABS(+O193+Q193)&gt;=ABS(P193+R193),+O193-P193+Q193-R193,0)</f>
        <v>0</v>
      </c>
      <c r="T193" s="580">
        <f t="shared" si="25"/>
        <v>0</v>
      </c>
      <c r="U193" s="51"/>
      <c r="V193" s="2119"/>
      <c r="W193" s="2116"/>
      <c r="X193" s="43"/>
      <c r="Y193" s="43"/>
      <c r="Z193" s="43"/>
    </row>
    <row r="194" spans="1:26">
      <c r="A194" s="88">
        <v>4558</v>
      </c>
      <c r="B194" s="378" t="s">
        <v>869</v>
      </c>
      <c r="C194" s="1033"/>
      <c r="D194" s="1033"/>
      <c r="E194" s="1033"/>
      <c r="F194" s="1033"/>
      <c r="G194" s="1033"/>
      <c r="H194" s="1033"/>
      <c r="I194" s="1033"/>
      <c r="J194" s="1033"/>
      <c r="K194" s="1033"/>
      <c r="L194" s="90"/>
      <c r="M194" s="51"/>
      <c r="N194" s="113">
        <f t="shared" si="23"/>
        <v>4558</v>
      </c>
      <c r="O194" s="581">
        <v>0</v>
      </c>
      <c r="P194" s="576">
        <v>0</v>
      </c>
      <c r="Q194" s="589">
        <v>0</v>
      </c>
      <c r="R194" s="576">
        <v>0</v>
      </c>
      <c r="S194" s="583">
        <f>+IF(ABS(+O194+Q194)&gt;=ABS(P194+R194),+O194-P194+Q194-R194,0)</f>
        <v>0</v>
      </c>
      <c r="T194" s="580">
        <f t="shared" si="25"/>
        <v>0</v>
      </c>
      <c r="U194" s="51"/>
      <c r="V194" s="2119"/>
      <c r="W194" s="2116"/>
      <c r="X194" s="43"/>
      <c r="Y194" s="43"/>
      <c r="Z194" s="43"/>
    </row>
    <row r="195" spans="1:26">
      <c r="A195" s="88">
        <v>4560</v>
      </c>
      <c r="B195" s="378" t="s">
        <v>870</v>
      </c>
      <c r="C195" s="1033"/>
      <c r="D195" s="1033"/>
      <c r="E195" s="1033"/>
      <c r="F195" s="1033"/>
      <c r="G195" s="1033"/>
      <c r="H195" s="1033"/>
      <c r="I195" s="1033"/>
      <c r="J195" s="1033"/>
      <c r="K195" s="1033"/>
      <c r="L195" s="574"/>
      <c r="M195" s="51"/>
      <c r="N195" s="113">
        <f t="shared" si="23"/>
        <v>4560</v>
      </c>
      <c r="O195" s="575">
        <v>0</v>
      </c>
      <c r="P195" s="576"/>
      <c r="Q195" s="589"/>
      <c r="R195" s="121"/>
      <c r="S195" s="579">
        <v>0</v>
      </c>
      <c r="T195" s="580">
        <f t="shared" si="25"/>
        <v>0</v>
      </c>
      <c r="U195" s="51"/>
      <c r="V195" s="2119">
        <f>+IF(OR(+ROUND(O195,2)+ROUND(Q195,2)&gt;ROUND(P195,2)+ROUND(R195,2),+ABS(ROUND(O195,2)+ROUND(Q195,2))&gt;+ABS(ROUND(P195,2)+ROUND(R195,2))),+(ROUND(O195,2)+ROUND(Q195,2))-(ROUND(P195,2)+ROUND(R195,2)),0)</f>
        <v>0</v>
      </c>
      <c r="W195" s="2116"/>
      <c r="X195" s="43"/>
      <c r="Y195" s="43"/>
      <c r="Z195" s="43"/>
    </row>
    <row r="196" spans="1:26">
      <c r="A196" s="88">
        <v>4567</v>
      </c>
      <c r="B196" s="378" t="s">
        <v>871</v>
      </c>
      <c r="C196" s="1033"/>
      <c r="D196" s="1033"/>
      <c r="E196" s="1033"/>
      <c r="F196" s="1033"/>
      <c r="G196" s="1033"/>
      <c r="H196" s="1033"/>
      <c r="I196" s="1033"/>
      <c r="J196" s="1033"/>
      <c r="K196" s="1033"/>
      <c r="L196" s="574"/>
      <c r="M196" s="51"/>
      <c r="N196" s="113">
        <f t="shared" si="23"/>
        <v>4567</v>
      </c>
      <c r="O196" s="581"/>
      <c r="P196" s="582">
        <v>0</v>
      </c>
      <c r="Q196" s="589"/>
      <c r="R196" s="576"/>
      <c r="S196" s="583">
        <f>+IF(ABS(+O196+Q196)&gt;=ABS(P196+R196),+O196-P196+Q196-R196,0)</f>
        <v>0</v>
      </c>
      <c r="T196" s="584">
        <v>0</v>
      </c>
      <c r="U196" s="51"/>
      <c r="V196" s="2120">
        <f>+IF(OR(ROUND(P196,2)+ROUND(R196,2)&gt;+ROUND(O196,2)+ROUND(Q196,2),+ABS(ROUND(P196,2)+ROUND(R196,2))&gt;+ABS(ROUND(O196,2)+ROUND(Q196,2))),+(ROUND(P196,2)+ROUND(R196,2))-(ROUND(O196,2)+ROUND(Q196,2)),0)</f>
        <v>0</v>
      </c>
      <c r="W196" s="2116"/>
      <c r="X196" s="43"/>
      <c r="Y196" s="43"/>
      <c r="Z196" s="43"/>
    </row>
    <row r="197" spans="1:26">
      <c r="A197" s="88">
        <v>4568</v>
      </c>
      <c r="B197" s="378" t="s">
        <v>872</v>
      </c>
      <c r="C197" s="1033"/>
      <c r="D197" s="1033"/>
      <c r="E197" s="1033"/>
      <c r="F197" s="1033"/>
      <c r="G197" s="1033"/>
      <c r="H197" s="1033"/>
      <c r="I197" s="1033"/>
      <c r="J197" s="1033"/>
      <c r="K197" s="1033"/>
      <c r="L197" s="574"/>
      <c r="M197" s="51"/>
      <c r="N197" s="113">
        <f t="shared" si="23"/>
        <v>4568</v>
      </c>
      <c r="O197" s="575">
        <v>0</v>
      </c>
      <c r="P197" s="576"/>
      <c r="Q197" s="589"/>
      <c r="R197" s="121"/>
      <c r="S197" s="579">
        <v>0</v>
      </c>
      <c r="T197" s="580">
        <f>+IF(ABS(+O197+Q197)&lt;=ABS(P197+R197),-O197+P197-Q197+R197,0)</f>
        <v>0</v>
      </c>
      <c r="U197" s="51"/>
      <c r="V197" s="2119">
        <f>+IF(OR(+ROUND(O197,2)+ROUND(Q197,2)&gt;ROUND(P197,2)+ROUND(R197,2),+ABS(ROUND(O197,2)+ROUND(Q197,2))&gt;+ABS(ROUND(P197,2)+ROUND(R197,2))),+(ROUND(O197,2)+ROUND(Q197,2))-(ROUND(P197,2)+ROUND(R197,2)),0)</f>
        <v>0</v>
      </c>
      <c r="W197" s="2116"/>
      <c r="X197" s="43"/>
      <c r="Y197" s="43"/>
      <c r="Z197" s="43"/>
    </row>
    <row r="198" spans="1:26">
      <c r="A198" s="88">
        <v>4598</v>
      </c>
      <c r="B198" s="378" t="s">
        <v>873</v>
      </c>
      <c r="C198" s="1033"/>
      <c r="D198" s="1033"/>
      <c r="E198" s="1033"/>
      <c r="F198" s="1033"/>
      <c r="G198" s="1033"/>
      <c r="H198" s="1033"/>
      <c r="I198" s="1033"/>
      <c r="J198" s="1033"/>
      <c r="K198" s="1033"/>
      <c r="L198" s="574"/>
      <c r="M198" s="51"/>
      <c r="N198" s="113">
        <f t="shared" si="23"/>
        <v>4598</v>
      </c>
      <c r="O198" s="575">
        <v>0</v>
      </c>
      <c r="P198" s="576"/>
      <c r="Q198" s="589"/>
      <c r="R198" s="121"/>
      <c r="S198" s="579">
        <v>0</v>
      </c>
      <c r="T198" s="580">
        <f>+IF(ABS(+O198+Q198)&lt;=ABS(P198+R198),-O198+P198-Q198+R198,0)</f>
        <v>0</v>
      </c>
      <c r="U198" s="51"/>
      <c r="V198" s="2119">
        <f>+IF(OR(+ROUND(O198,2)+ROUND(Q198,2)&gt;ROUND(P198,2)+ROUND(R198,2),+ABS(ROUND(O198,2)+ROUND(Q198,2))&gt;+ABS(ROUND(P198,2)+ROUND(R198,2))),+(ROUND(O198,2)+ROUND(Q198,2))-(ROUND(P198,2)+ROUND(R198,2)),0)</f>
        <v>0</v>
      </c>
      <c r="W198" s="2116"/>
      <c r="X198" s="43"/>
      <c r="Y198" s="43"/>
      <c r="Z198" s="43"/>
    </row>
    <row r="199" spans="1:26" ht="15.75" customHeight="1">
      <c r="A199" s="88">
        <v>4599</v>
      </c>
      <c r="B199" s="378" t="s">
        <v>232</v>
      </c>
      <c r="C199" s="1038"/>
      <c r="D199" s="1038"/>
      <c r="E199" s="1038"/>
      <c r="F199" s="1038"/>
      <c r="G199" s="1038"/>
      <c r="H199" s="1038"/>
      <c r="I199" s="1038"/>
      <c r="J199" s="1038"/>
      <c r="K199" s="1038"/>
      <c r="L199" s="590"/>
      <c r="M199" s="51"/>
      <c r="N199" s="113">
        <f t="shared" si="23"/>
        <v>4599</v>
      </c>
      <c r="O199" s="581"/>
      <c r="P199" s="576"/>
      <c r="Q199" s="589"/>
      <c r="R199" s="576"/>
      <c r="S199" s="583">
        <f t="shared" ref="S199:S219" si="26">+IF(ABS(+O199+Q199)&gt;=ABS(P199+R199),+O199-P199+Q199-R199,0)</f>
        <v>0</v>
      </c>
      <c r="T199" s="580">
        <f t="shared" ref="T199:T218" si="27">+IF(ABS(+O199+Q199)&lt;=ABS(P199+R199),-O199+P199-Q199+R199,0)</f>
        <v>0</v>
      </c>
      <c r="U199" s="51"/>
      <c r="V199" s="2119"/>
      <c r="W199" s="2116"/>
      <c r="X199" s="43"/>
      <c r="Y199" s="43"/>
      <c r="Z199" s="43"/>
    </row>
    <row r="200" spans="1:26">
      <c r="A200" s="88">
        <v>4611</v>
      </c>
      <c r="B200" s="378" t="s">
        <v>874</v>
      </c>
      <c r="C200" s="1033"/>
      <c r="D200" s="1033"/>
      <c r="E200" s="1033"/>
      <c r="F200" s="1033"/>
      <c r="G200" s="1033"/>
      <c r="H200" s="1033"/>
      <c r="I200" s="1033"/>
      <c r="J200" s="1033"/>
      <c r="K200" s="1033"/>
      <c r="L200" s="90"/>
      <c r="M200" s="51"/>
      <c r="N200" s="113">
        <f t="shared" si="23"/>
        <v>4611</v>
      </c>
      <c r="O200" s="581"/>
      <c r="P200" s="576"/>
      <c r="Q200" s="589"/>
      <c r="R200" s="576"/>
      <c r="S200" s="583">
        <f t="shared" si="26"/>
        <v>0</v>
      </c>
      <c r="T200" s="580">
        <f t="shared" si="27"/>
        <v>0</v>
      </c>
      <c r="U200" s="51"/>
      <c r="V200" s="2119"/>
      <c r="W200" s="2116"/>
      <c r="X200" s="43"/>
      <c r="Y200" s="43"/>
      <c r="Z200" s="43"/>
    </row>
    <row r="201" spans="1:26" ht="15.75" customHeight="1">
      <c r="A201" s="88">
        <v>4612</v>
      </c>
      <c r="B201" s="378" t="s">
        <v>875</v>
      </c>
      <c r="C201" s="1038"/>
      <c r="D201" s="1038"/>
      <c r="E201" s="1038"/>
      <c r="F201" s="1038"/>
      <c r="G201" s="1038"/>
      <c r="H201" s="1038"/>
      <c r="I201" s="1038"/>
      <c r="J201" s="1038"/>
      <c r="K201" s="1038"/>
      <c r="L201" s="590"/>
      <c r="M201" s="51"/>
      <c r="N201" s="113">
        <f t="shared" si="23"/>
        <v>4612</v>
      </c>
      <c r="O201" s="581"/>
      <c r="P201" s="576"/>
      <c r="Q201" s="589"/>
      <c r="R201" s="576"/>
      <c r="S201" s="583">
        <f t="shared" si="26"/>
        <v>0</v>
      </c>
      <c r="T201" s="580">
        <f t="shared" si="27"/>
        <v>0</v>
      </c>
      <c r="U201" s="51"/>
      <c r="V201" s="2119"/>
      <c r="W201" s="2116"/>
      <c r="X201" s="43"/>
      <c r="Y201" s="43"/>
      <c r="Z201" s="43"/>
    </row>
    <row r="202" spans="1:26">
      <c r="A202" s="88">
        <v>4614</v>
      </c>
      <c r="B202" s="1033" t="s">
        <v>876</v>
      </c>
      <c r="C202" s="1033"/>
      <c r="D202" s="1033"/>
      <c r="E202" s="1033"/>
      <c r="F202" s="1033"/>
      <c r="G202" s="1033"/>
      <c r="H202" s="1033"/>
      <c r="I202" s="1033"/>
      <c r="J202" s="1033"/>
      <c r="K202" s="1033"/>
      <c r="L202" s="90"/>
      <c r="M202" s="51"/>
      <c r="N202" s="113">
        <f t="shared" si="23"/>
        <v>4614</v>
      </c>
      <c r="O202" s="581">
        <v>0</v>
      </c>
      <c r="P202" s="576">
        <v>0</v>
      </c>
      <c r="Q202" s="589">
        <v>0</v>
      </c>
      <c r="R202" s="576">
        <v>0</v>
      </c>
      <c r="S202" s="583">
        <f t="shared" si="26"/>
        <v>0</v>
      </c>
      <c r="T202" s="580">
        <f t="shared" si="27"/>
        <v>0</v>
      </c>
      <c r="U202" s="51"/>
      <c r="V202" s="2119"/>
      <c r="W202" s="2116"/>
      <c r="X202" s="43"/>
      <c r="Y202" s="43"/>
      <c r="Z202" s="43"/>
    </row>
    <row r="203" spans="1:26">
      <c r="A203" s="88">
        <v>4615</v>
      </c>
      <c r="B203" s="1033" t="s">
        <v>877</v>
      </c>
      <c r="C203" s="1033"/>
      <c r="D203" s="1033"/>
      <c r="E203" s="1033"/>
      <c r="F203" s="1033"/>
      <c r="G203" s="1033"/>
      <c r="H203" s="1033"/>
      <c r="I203" s="1033"/>
      <c r="J203" s="1033"/>
      <c r="K203" s="1033"/>
      <c r="L203" s="90"/>
      <c r="M203" s="51"/>
      <c r="N203" s="113">
        <f t="shared" si="23"/>
        <v>4615</v>
      </c>
      <c r="O203" s="581"/>
      <c r="P203" s="576"/>
      <c r="Q203" s="589"/>
      <c r="R203" s="576"/>
      <c r="S203" s="583">
        <f t="shared" si="26"/>
        <v>0</v>
      </c>
      <c r="T203" s="580">
        <f t="shared" si="27"/>
        <v>0</v>
      </c>
      <c r="U203" s="51"/>
      <c r="V203" s="2119"/>
      <c r="W203" s="2116"/>
      <c r="X203" s="43"/>
      <c r="Y203" s="43"/>
      <c r="Z203" s="43"/>
    </row>
    <row r="204" spans="1:26">
      <c r="A204" s="88">
        <v>4622</v>
      </c>
      <c r="B204" s="1033" t="s">
        <v>878</v>
      </c>
      <c r="C204" s="1033"/>
      <c r="D204" s="1033"/>
      <c r="E204" s="1033"/>
      <c r="F204" s="1033"/>
      <c r="G204" s="1033"/>
      <c r="H204" s="1033"/>
      <c r="I204" s="1033"/>
      <c r="J204" s="1033"/>
      <c r="K204" s="1033"/>
      <c r="L204" s="90"/>
      <c r="M204" s="51"/>
      <c r="N204" s="113">
        <f t="shared" si="23"/>
        <v>4622</v>
      </c>
      <c r="O204" s="581"/>
      <c r="P204" s="576"/>
      <c r="Q204" s="589"/>
      <c r="R204" s="576"/>
      <c r="S204" s="583">
        <f t="shared" si="26"/>
        <v>0</v>
      </c>
      <c r="T204" s="580">
        <f t="shared" si="27"/>
        <v>0</v>
      </c>
      <c r="U204" s="51"/>
      <c r="V204" s="2119"/>
      <c r="W204" s="2116"/>
      <c r="X204" s="43"/>
      <c r="Y204" s="43"/>
      <c r="Z204" s="43"/>
    </row>
    <row r="205" spans="1:26">
      <c r="A205" s="88">
        <v>4624</v>
      </c>
      <c r="B205" s="1033" t="s">
        <v>879</v>
      </c>
      <c r="C205" s="1033"/>
      <c r="D205" s="1033"/>
      <c r="E205" s="1033"/>
      <c r="F205" s="1033"/>
      <c r="G205" s="1033"/>
      <c r="H205" s="1033"/>
      <c r="I205" s="1033"/>
      <c r="J205" s="1033"/>
      <c r="K205" s="1033"/>
      <c r="L205" s="90"/>
      <c r="M205" s="51"/>
      <c r="N205" s="113">
        <f t="shared" si="23"/>
        <v>4624</v>
      </c>
      <c r="O205" s="581">
        <v>0</v>
      </c>
      <c r="P205" s="576">
        <v>0</v>
      </c>
      <c r="Q205" s="589">
        <v>0</v>
      </c>
      <c r="R205" s="576">
        <v>0</v>
      </c>
      <c r="S205" s="583">
        <f t="shared" si="26"/>
        <v>0</v>
      </c>
      <c r="T205" s="580">
        <f t="shared" si="27"/>
        <v>0</v>
      </c>
      <c r="U205" s="51"/>
      <c r="V205" s="2119"/>
      <c r="W205" s="2116"/>
      <c r="X205" s="43"/>
      <c r="Y205" s="43"/>
      <c r="Z205" s="43"/>
    </row>
    <row r="206" spans="1:26" ht="15.75" customHeight="1">
      <c r="A206" s="88">
        <v>4625</v>
      </c>
      <c r="B206" s="378" t="s">
        <v>880</v>
      </c>
      <c r="C206" s="88"/>
      <c r="D206" s="1038"/>
      <c r="E206" s="1038"/>
      <c r="F206" s="1038"/>
      <c r="G206" s="1038"/>
      <c r="H206" s="1038"/>
      <c r="I206" s="1038"/>
      <c r="J206" s="1038"/>
      <c r="K206" s="1038"/>
      <c r="L206" s="590"/>
      <c r="M206" s="51"/>
      <c r="N206" s="113">
        <f t="shared" si="23"/>
        <v>4625</v>
      </c>
      <c r="O206" s="581"/>
      <c r="P206" s="576"/>
      <c r="Q206" s="589"/>
      <c r="R206" s="576"/>
      <c r="S206" s="583">
        <f t="shared" si="26"/>
        <v>0</v>
      </c>
      <c r="T206" s="580">
        <f t="shared" si="27"/>
        <v>0</v>
      </c>
      <c r="U206" s="51"/>
      <c r="V206" s="2119"/>
      <c r="W206" s="2116"/>
      <c r="X206" s="43"/>
      <c r="Y206" s="43"/>
      <c r="Z206" s="43"/>
    </row>
    <row r="207" spans="1:26">
      <c r="A207" s="88">
        <v>4630</v>
      </c>
      <c r="B207" s="378" t="s">
        <v>881</v>
      </c>
      <c r="C207" s="88"/>
      <c r="D207" s="1033"/>
      <c r="E207" s="1033"/>
      <c r="F207" s="1033"/>
      <c r="G207" s="1033"/>
      <c r="H207" s="1033"/>
      <c r="I207" s="1033"/>
      <c r="J207" s="1033"/>
      <c r="K207" s="1033"/>
      <c r="L207" s="574"/>
      <c r="M207" s="51"/>
      <c r="N207" s="113">
        <f t="shared" si="23"/>
        <v>4630</v>
      </c>
      <c r="O207" s="581">
        <v>0</v>
      </c>
      <c r="P207" s="576">
        <v>0</v>
      </c>
      <c r="Q207" s="589">
        <v>0</v>
      </c>
      <c r="R207" s="576">
        <v>0</v>
      </c>
      <c r="S207" s="583">
        <f t="shared" si="26"/>
        <v>0</v>
      </c>
      <c r="T207" s="580">
        <f t="shared" si="27"/>
        <v>0</v>
      </c>
      <c r="U207" s="51"/>
      <c r="V207" s="2119"/>
      <c r="W207" s="2116"/>
      <c r="X207" s="43"/>
      <c r="Y207" s="43"/>
      <c r="Z207" s="43"/>
    </row>
    <row r="208" spans="1:26">
      <c r="A208" s="88">
        <v>4651</v>
      </c>
      <c r="B208" s="378" t="s">
        <v>882</v>
      </c>
      <c r="C208" s="88"/>
      <c r="D208" s="1043"/>
      <c r="E208" s="1043"/>
      <c r="F208" s="1043"/>
      <c r="G208" s="1043"/>
      <c r="H208" s="1043"/>
      <c r="I208" s="1043"/>
      <c r="J208" s="1043"/>
      <c r="K208" s="1043"/>
      <c r="L208" s="574"/>
      <c r="M208" s="51"/>
      <c r="N208" s="113">
        <f t="shared" si="23"/>
        <v>4651</v>
      </c>
      <c r="O208" s="581"/>
      <c r="P208" s="576"/>
      <c r="Q208" s="589"/>
      <c r="R208" s="576"/>
      <c r="S208" s="583">
        <f t="shared" si="26"/>
        <v>0</v>
      </c>
      <c r="T208" s="580">
        <f t="shared" si="27"/>
        <v>0</v>
      </c>
      <c r="U208" s="51"/>
      <c r="V208" s="2119"/>
      <c r="W208" s="2116"/>
      <c r="X208" s="43"/>
      <c r="Y208" s="43"/>
      <c r="Z208" s="43"/>
    </row>
    <row r="209" spans="1:26" ht="15.75" customHeight="1">
      <c r="A209" s="88">
        <v>4655</v>
      </c>
      <c r="B209" s="378" t="s">
        <v>883</v>
      </c>
      <c r="C209" s="88"/>
      <c r="D209" s="1038"/>
      <c r="E209" s="1038"/>
      <c r="F209" s="1038"/>
      <c r="G209" s="1038"/>
      <c r="H209" s="1038"/>
      <c r="I209" s="1038"/>
      <c r="J209" s="1038"/>
      <c r="K209" s="1038"/>
      <c r="L209" s="590"/>
      <c r="M209" s="51"/>
      <c r="N209" s="113">
        <f t="shared" si="23"/>
        <v>4655</v>
      </c>
      <c r="O209" s="581"/>
      <c r="P209" s="576"/>
      <c r="Q209" s="589"/>
      <c r="R209" s="576"/>
      <c r="S209" s="583">
        <f t="shared" si="26"/>
        <v>0</v>
      </c>
      <c r="T209" s="580">
        <f t="shared" si="27"/>
        <v>0</v>
      </c>
      <c r="U209" s="51"/>
      <c r="V209" s="2119"/>
      <c r="W209" s="2116"/>
      <c r="X209" s="43"/>
      <c r="Y209" s="43"/>
      <c r="Z209" s="43"/>
    </row>
    <row r="210" spans="1:26">
      <c r="A210" s="88">
        <v>4659</v>
      </c>
      <c r="B210" s="378" t="s">
        <v>884</v>
      </c>
      <c r="C210" s="88"/>
      <c r="D210" s="1033"/>
      <c r="E210" s="1033"/>
      <c r="F210" s="1033"/>
      <c r="G210" s="1033"/>
      <c r="H210" s="1033"/>
      <c r="I210" s="1033"/>
      <c r="J210" s="1033"/>
      <c r="K210" s="1033"/>
      <c r="L210" s="574"/>
      <c r="M210" s="51"/>
      <c r="N210" s="113">
        <f t="shared" si="23"/>
        <v>4659</v>
      </c>
      <c r="O210" s="581"/>
      <c r="P210" s="576"/>
      <c r="Q210" s="589"/>
      <c r="R210" s="576"/>
      <c r="S210" s="583">
        <f t="shared" si="26"/>
        <v>0</v>
      </c>
      <c r="T210" s="580">
        <f t="shared" si="27"/>
        <v>0</v>
      </c>
      <c r="U210" s="51"/>
      <c r="V210" s="2119"/>
      <c r="W210" s="2116"/>
      <c r="X210" s="43"/>
      <c r="Y210" s="43"/>
      <c r="Z210" s="43"/>
    </row>
    <row r="211" spans="1:26">
      <c r="A211" s="88">
        <v>4671</v>
      </c>
      <c r="B211" s="378" t="s">
        <v>885</v>
      </c>
      <c r="C211" s="88"/>
      <c r="D211" s="1033"/>
      <c r="E211" s="1033"/>
      <c r="F211" s="1033"/>
      <c r="G211" s="1033"/>
      <c r="H211" s="1033"/>
      <c r="I211" s="1033"/>
      <c r="J211" s="1033"/>
      <c r="K211" s="1033"/>
      <c r="L211" s="574"/>
      <c r="M211" s="51"/>
      <c r="N211" s="113">
        <f t="shared" si="23"/>
        <v>4671</v>
      </c>
      <c r="O211" s="581"/>
      <c r="P211" s="576"/>
      <c r="Q211" s="589"/>
      <c r="R211" s="576"/>
      <c r="S211" s="583">
        <f t="shared" si="26"/>
        <v>0</v>
      </c>
      <c r="T211" s="580">
        <f t="shared" si="27"/>
        <v>0</v>
      </c>
      <c r="U211" s="51"/>
      <c r="V211" s="2119"/>
      <c r="W211" s="2116"/>
      <c r="X211" s="43"/>
      <c r="Y211" s="43"/>
      <c r="Z211" s="43"/>
    </row>
    <row r="212" spans="1:26" ht="15.75" customHeight="1">
      <c r="A212" s="88">
        <v>4672</v>
      </c>
      <c r="B212" s="378" t="s">
        <v>886</v>
      </c>
      <c r="C212" s="88"/>
      <c r="D212" s="1038"/>
      <c r="E212" s="1038"/>
      <c r="F212" s="1038"/>
      <c r="G212" s="1038"/>
      <c r="H212" s="1038"/>
      <c r="I212" s="1038"/>
      <c r="J212" s="1038"/>
      <c r="K212" s="1038"/>
      <c r="L212" s="590"/>
      <c r="M212" s="51"/>
      <c r="N212" s="113">
        <f t="shared" si="23"/>
        <v>4672</v>
      </c>
      <c r="O212" s="581"/>
      <c r="P212" s="576"/>
      <c r="Q212" s="589"/>
      <c r="R212" s="576"/>
      <c r="S212" s="583">
        <f t="shared" si="26"/>
        <v>0</v>
      </c>
      <c r="T212" s="580">
        <f t="shared" si="27"/>
        <v>0</v>
      </c>
      <c r="U212" s="51"/>
      <c r="V212" s="2119"/>
      <c r="W212" s="2116"/>
      <c r="X212" s="43"/>
      <c r="Y212" s="43"/>
      <c r="Z212" s="43"/>
    </row>
    <row r="213" spans="1:26">
      <c r="A213" s="88">
        <v>4674</v>
      </c>
      <c r="B213" s="378" t="s">
        <v>887</v>
      </c>
      <c r="C213" s="88"/>
      <c r="D213" s="1033"/>
      <c r="E213" s="1033"/>
      <c r="F213" s="1033"/>
      <c r="G213" s="1033"/>
      <c r="H213" s="1033"/>
      <c r="I213" s="1033"/>
      <c r="J213" s="1033"/>
      <c r="K213" s="1033"/>
      <c r="L213" s="574"/>
      <c r="M213" s="51"/>
      <c r="N213" s="113">
        <f t="shared" si="23"/>
        <v>4674</v>
      </c>
      <c r="O213" s="581"/>
      <c r="P213" s="576"/>
      <c r="Q213" s="589"/>
      <c r="R213" s="576"/>
      <c r="S213" s="583">
        <f t="shared" si="26"/>
        <v>0</v>
      </c>
      <c r="T213" s="580">
        <f t="shared" si="27"/>
        <v>0</v>
      </c>
      <c r="U213" s="51"/>
      <c r="V213" s="2119"/>
      <c r="W213" s="2116"/>
      <c r="X213" s="43"/>
      <c r="Y213" s="43"/>
      <c r="Z213" s="43"/>
    </row>
    <row r="214" spans="1:26" ht="15.75" customHeight="1">
      <c r="A214" s="88">
        <v>4675</v>
      </c>
      <c r="B214" s="378" t="s">
        <v>888</v>
      </c>
      <c r="C214" s="88"/>
      <c r="D214" s="1038"/>
      <c r="E214" s="1038"/>
      <c r="F214" s="1038"/>
      <c r="G214" s="1038"/>
      <c r="H214" s="1038"/>
      <c r="I214" s="1038"/>
      <c r="J214" s="1038"/>
      <c r="K214" s="1038"/>
      <c r="L214" s="590"/>
      <c r="M214" s="51"/>
      <c r="N214" s="113">
        <f t="shared" si="23"/>
        <v>4675</v>
      </c>
      <c r="O214" s="581"/>
      <c r="P214" s="576"/>
      <c r="Q214" s="589"/>
      <c r="R214" s="576"/>
      <c r="S214" s="583">
        <f t="shared" si="26"/>
        <v>0</v>
      </c>
      <c r="T214" s="580">
        <f t="shared" si="27"/>
        <v>0</v>
      </c>
      <c r="U214" s="51"/>
      <c r="V214" s="2119"/>
      <c r="W214" s="2116"/>
      <c r="X214" s="43"/>
      <c r="Y214" s="43"/>
      <c r="Z214" s="43"/>
    </row>
    <row r="215" spans="1:26">
      <c r="A215" s="88">
        <v>4679</v>
      </c>
      <c r="B215" s="378" t="s">
        <v>889</v>
      </c>
      <c r="C215" s="88"/>
      <c r="D215" s="1033"/>
      <c r="E215" s="1033"/>
      <c r="F215" s="1033"/>
      <c r="G215" s="1033"/>
      <c r="H215" s="1033"/>
      <c r="I215" s="1033"/>
      <c r="J215" s="1033"/>
      <c r="K215" s="1033"/>
      <c r="L215" s="574"/>
      <c r="M215" s="51"/>
      <c r="N215" s="113">
        <f t="shared" si="23"/>
        <v>4679</v>
      </c>
      <c r="O215" s="581">
        <v>0</v>
      </c>
      <c r="P215" s="576">
        <v>0</v>
      </c>
      <c r="Q215" s="589">
        <v>0</v>
      </c>
      <c r="R215" s="576">
        <v>0</v>
      </c>
      <c r="S215" s="583">
        <f t="shared" si="26"/>
        <v>0</v>
      </c>
      <c r="T215" s="580">
        <f t="shared" si="27"/>
        <v>0</v>
      </c>
      <c r="U215" s="51"/>
      <c r="V215" s="2119"/>
      <c r="W215" s="2116"/>
      <c r="X215" s="43"/>
      <c r="Y215" s="43"/>
      <c r="Z215" s="43"/>
    </row>
    <row r="216" spans="1:26">
      <c r="A216" s="88">
        <v>4682</v>
      </c>
      <c r="B216" s="378" t="s">
        <v>890</v>
      </c>
      <c r="C216" s="88"/>
      <c r="D216" s="1033"/>
      <c r="E216" s="1033"/>
      <c r="F216" s="1033"/>
      <c r="G216" s="1033"/>
      <c r="H216" s="1033"/>
      <c r="I216" s="1033"/>
      <c r="J216" s="1033"/>
      <c r="K216" s="1033"/>
      <c r="L216" s="574"/>
      <c r="M216" s="51"/>
      <c r="N216" s="113">
        <f t="shared" si="23"/>
        <v>4682</v>
      </c>
      <c r="O216" s="581">
        <v>0</v>
      </c>
      <c r="P216" s="576">
        <v>0</v>
      </c>
      <c r="Q216" s="589">
        <v>0</v>
      </c>
      <c r="R216" s="576">
        <v>0</v>
      </c>
      <c r="S216" s="583">
        <f t="shared" si="26"/>
        <v>0</v>
      </c>
      <c r="T216" s="580">
        <f t="shared" si="27"/>
        <v>0</v>
      </c>
      <c r="U216" s="51"/>
      <c r="V216" s="2119"/>
      <c r="W216" s="2116"/>
      <c r="X216" s="43"/>
      <c r="Y216" s="43"/>
      <c r="Z216" s="43"/>
    </row>
    <row r="217" spans="1:26">
      <c r="A217" s="88">
        <v>4684</v>
      </c>
      <c r="B217" s="378" t="s">
        <v>891</v>
      </c>
      <c r="C217" s="88"/>
      <c r="D217" s="1033"/>
      <c r="E217" s="1033"/>
      <c r="F217" s="1033"/>
      <c r="G217" s="1033"/>
      <c r="H217" s="1033"/>
      <c r="I217" s="1033"/>
      <c r="J217" s="1033"/>
      <c r="K217" s="1033"/>
      <c r="L217" s="574"/>
      <c r="M217" s="51"/>
      <c r="N217" s="113">
        <f t="shared" si="23"/>
        <v>4684</v>
      </c>
      <c r="O217" s="581">
        <v>0</v>
      </c>
      <c r="P217" s="576">
        <v>0</v>
      </c>
      <c r="Q217" s="589">
        <v>0</v>
      </c>
      <c r="R217" s="576">
        <v>0</v>
      </c>
      <c r="S217" s="583">
        <f t="shared" si="26"/>
        <v>0</v>
      </c>
      <c r="T217" s="580">
        <f t="shared" si="27"/>
        <v>0</v>
      </c>
      <c r="U217" s="51"/>
      <c r="V217" s="2119"/>
      <c r="W217" s="2116"/>
      <c r="X217" s="43"/>
      <c r="Y217" s="43"/>
      <c r="Z217" s="43"/>
    </row>
    <row r="218" spans="1:26" ht="15.75" customHeight="1">
      <c r="A218" s="88">
        <v>4685</v>
      </c>
      <c r="B218" s="378" t="s">
        <v>892</v>
      </c>
      <c r="C218" s="88"/>
      <c r="D218" s="1038"/>
      <c r="E218" s="1038"/>
      <c r="F218" s="1038"/>
      <c r="G218" s="1038"/>
      <c r="H218" s="1038"/>
      <c r="I218" s="1038"/>
      <c r="J218" s="1038"/>
      <c r="K218" s="1038"/>
      <c r="L218" s="590"/>
      <c r="M218" s="51"/>
      <c r="N218" s="113">
        <f t="shared" si="23"/>
        <v>4685</v>
      </c>
      <c r="O218" s="581"/>
      <c r="P218" s="576"/>
      <c r="Q218" s="589"/>
      <c r="R218" s="576"/>
      <c r="S218" s="583">
        <f t="shared" si="26"/>
        <v>0</v>
      </c>
      <c r="T218" s="580">
        <f t="shared" si="27"/>
        <v>0</v>
      </c>
      <c r="U218" s="51"/>
      <c r="V218" s="2119"/>
      <c r="W218" s="2116"/>
      <c r="X218" s="43"/>
      <c r="Y218" s="43"/>
      <c r="Z218" s="43"/>
    </row>
    <row r="219" spans="1:26">
      <c r="A219" s="88">
        <v>4691</v>
      </c>
      <c r="B219" s="378" t="s">
        <v>893</v>
      </c>
      <c r="C219" s="88"/>
      <c r="D219" s="1033"/>
      <c r="E219" s="1033"/>
      <c r="F219" s="1033"/>
      <c r="G219" s="1033"/>
      <c r="H219" s="1033"/>
      <c r="I219" s="1033"/>
      <c r="J219" s="1033"/>
      <c r="K219" s="1033"/>
      <c r="L219" s="574"/>
      <c r="M219" s="51"/>
      <c r="N219" s="113">
        <f t="shared" si="23"/>
        <v>4691</v>
      </c>
      <c r="O219" s="581"/>
      <c r="P219" s="582">
        <v>0</v>
      </c>
      <c r="Q219" s="589"/>
      <c r="R219" s="576"/>
      <c r="S219" s="583">
        <f t="shared" si="26"/>
        <v>0</v>
      </c>
      <c r="T219" s="584">
        <v>0</v>
      </c>
      <c r="U219" s="51"/>
      <c r="V219" s="2120">
        <f>+IF(OR(ROUND(P219,2)+ROUND(R219,2)&gt;+ROUND(O219,2)+ROUND(Q219,2),+ABS(ROUND(P219,2)+ROUND(R219,2))&gt;+ABS(ROUND(O219,2)+ROUND(Q219,2))),+(ROUND(P219,2)+ROUND(R219,2))-(ROUND(O219,2)+ROUND(Q219,2)),0)</f>
        <v>0</v>
      </c>
      <c r="W219" s="2116"/>
      <c r="X219" s="43"/>
      <c r="Y219" s="43"/>
      <c r="Z219" s="43"/>
    </row>
    <row r="220" spans="1:26">
      <c r="A220" s="88">
        <v>4692</v>
      </c>
      <c r="B220" s="378" t="s">
        <v>894</v>
      </c>
      <c r="C220" s="88"/>
      <c r="D220" s="1033"/>
      <c r="E220" s="1033"/>
      <c r="F220" s="1033"/>
      <c r="G220" s="1033"/>
      <c r="H220" s="1033"/>
      <c r="I220" s="1033"/>
      <c r="J220" s="1033"/>
      <c r="K220" s="1033"/>
      <c r="L220" s="574"/>
      <c r="M220" s="51"/>
      <c r="N220" s="113">
        <f t="shared" si="23"/>
        <v>4692</v>
      </c>
      <c r="O220" s="575">
        <v>0</v>
      </c>
      <c r="P220" s="576"/>
      <c r="Q220" s="589"/>
      <c r="R220" s="121"/>
      <c r="S220" s="579">
        <v>0</v>
      </c>
      <c r="T220" s="580">
        <f>+IF(ABS(+O220+Q220)&lt;=ABS(P220+R220),-O220+P220-Q220+R220,0)</f>
        <v>0</v>
      </c>
      <c r="U220" s="51"/>
      <c r="V220" s="2119">
        <f>+IF(OR(+ROUND(O220,2)+ROUND(Q220,2)&gt;ROUND(P220,2)+ROUND(R220,2),+ABS(ROUND(O220,2)+ROUND(Q220,2))&gt;+ABS(ROUND(P220,2)+ROUND(R220,2))),+(ROUND(O220,2)+ROUND(Q220,2))-(ROUND(P220,2)+ROUND(R220,2)),0)</f>
        <v>0</v>
      </c>
      <c r="W220" s="2116"/>
      <c r="X220" s="43"/>
      <c r="Y220" s="43"/>
      <c r="Z220" s="43"/>
    </row>
    <row r="221" spans="1:26">
      <c r="A221" s="88">
        <v>4693</v>
      </c>
      <c r="B221" s="378" t="s">
        <v>895</v>
      </c>
      <c r="C221" s="88"/>
      <c r="D221" s="1033"/>
      <c r="E221" s="1033"/>
      <c r="F221" s="1033"/>
      <c r="G221" s="1033"/>
      <c r="H221" s="1033"/>
      <c r="I221" s="1033"/>
      <c r="J221" s="1033"/>
      <c r="K221" s="1033"/>
      <c r="L221" s="574"/>
      <c r="M221" s="51"/>
      <c r="N221" s="113">
        <f t="shared" si="23"/>
        <v>4693</v>
      </c>
      <c r="O221" s="581"/>
      <c r="P221" s="582">
        <v>0</v>
      </c>
      <c r="Q221" s="589"/>
      <c r="R221" s="576"/>
      <c r="S221" s="583">
        <f>+IF(ABS(+O221+Q221)&gt;=ABS(P221+R221),+O221-P221+Q221-R221,0)</f>
        <v>0</v>
      </c>
      <c r="T221" s="584">
        <v>0</v>
      </c>
      <c r="U221" s="51"/>
      <c r="V221" s="2120">
        <f>+IF(OR(ROUND(P221,2)+ROUND(R221,2)&gt;+ROUND(O221,2)+ROUND(Q221,2),+ABS(ROUND(P221,2)+ROUND(R221,2))&gt;+ABS(ROUND(O221,2)+ROUND(Q221,2))),+(ROUND(P221,2)+ROUND(R221,2))-(ROUND(O221,2)+ROUND(Q221,2)),0)</f>
        <v>0</v>
      </c>
      <c r="W221" s="2116"/>
      <c r="X221" s="43"/>
      <c r="Y221" s="43"/>
      <c r="Z221" s="43"/>
    </row>
    <row r="222" spans="1:26">
      <c r="A222" s="88">
        <v>4694</v>
      </c>
      <c r="B222" s="378" t="s">
        <v>268</v>
      </c>
      <c r="C222" s="88"/>
      <c r="D222" s="1033"/>
      <c r="E222" s="1033"/>
      <c r="F222" s="1033"/>
      <c r="G222" s="1033"/>
      <c r="H222" s="1033"/>
      <c r="I222" s="1033"/>
      <c r="J222" s="1033"/>
      <c r="K222" s="1033"/>
      <c r="L222" s="574"/>
      <c r="M222" s="51"/>
      <c r="N222" s="113">
        <f t="shared" ref="N222:N274" si="28">+A222</f>
        <v>4694</v>
      </c>
      <c r="O222" s="575">
        <v>0</v>
      </c>
      <c r="P222" s="576"/>
      <c r="Q222" s="589"/>
      <c r="R222" s="121"/>
      <c r="S222" s="579">
        <v>0</v>
      </c>
      <c r="T222" s="580">
        <f>+IF(ABS(+O222+Q222)&lt;=ABS(P222+R222),-O222+P222-Q222+R222,0)</f>
        <v>0</v>
      </c>
      <c r="U222" s="51"/>
      <c r="V222" s="2119">
        <f>+IF(OR(+ROUND(O222,2)+ROUND(Q222,2)&gt;ROUND(P222,2)+ROUND(R222,2),+ABS(ROUND(O222,2)+ROUND(Q222,2))&gt;+ABS(ROUND(P222,2)+ROUND(R222,2))),+(ROUND(O222,2)+ROUND(Q222,2))-(ROUND(P222,2)+ROUND(R222,2)),0)</f>
        <v>0</v>
      </c>
      <c r="W222" s="2116"/>
      <c r="X222" s="43"/>
      <c r="Y222" s="43"/>
      <c r="Z222" s="43"/>
    </row>
    <row r="223" spans="1:26">
      <c r="A223" s="88">
        <v>4695</v>
      </c>
      <c r="B223" s="378" t="s">
        <v>269</v>
      </c>
      <c r="C223" s="88"/>
      <c r="D223" s="1033"/>
      <c r="E223" s="1033"/>
      <c r="F223" s="1033"/>
      <c r="G223" s="1033"/>
      <c r="H223" s="1033"/>
      <c r="I223" s="1033"/>
      <c r="J223" s="1033"/>
      <c r="K223" s="1033"/>
      <c r="L223" s="574"/>
      <c r="M223" s="51"/>
      <c r="N223" s="113">
        <f t="shared" si="28"/>
        <v>4695</v>
      </c>
      <c r="O223" s="581"/>
      <c r="P223" s="582">
        <v>0</v>
      </c>
      <c r="Q223" s="589"/>
      <c r="R223" s="576"/>
      <c r="S223" s="583">
        <f>+IF(ABS(+O223+Q223)&gt;=ABS(P223+R223),+O223-P223+Q223-R223,0)</f>
        <v>0</v>
      </c>
      <c r="T223" s="584">
        <v>0</v>
      </c>
      <c r="U223" s="51"/>
      <c r="V223" s="2120">
        <f>+IF(OR(ROUND(P223,2)+ROUND(R223,2)&gt;+ROUND(O223,2)+ROUND(Q223,2),+ABS(ROUND(P223,2)+ROUND(R223,2))&gt;+ABS(ROUND(O223,2)+ROUND(Q223,2))),+(ROUND(P223,2)+ROUND(R223,2))-(ROUND(O223,2)+ROUND(Q223,2)),0)</f>
        <v>0</v>
      </c>
      <c r="W223" s="2116"/>
      <c r="X223" s="43"/>
      <c r="Y223" s="43"/>
      <c r="Z223" s="43"/>
    </row>
    <row r="224" spans="1:26">
      <c r="A224" s="88">
        <v>4696</v>
      </c>
      <c r="B224" s="378" t="s">
        <v>270</v>
      </c>
      <c r="C224" s="88"/>
      <c r="D224" s="1033"/>
      <c r="E224" s="1033"/>
      <c r="F224" s="1033"/>
      <c r="G224" s="1033"/>
      <c r="H224" s="1033"/>
      <c r="I224" s="1033"/>
      <c r="J224" s="1033"/>
      <c r="K224" s="1033"/>
      <c r="L224" s="574"/>
      <c r="M224" s="51"/>
      <c r="N224" s="113">
        <f t="shared" si="28"/>
        <v>4696</v>
      </c>
      <c r="O224" s="575">
        <v>0</v>
      </c>
      <c r="P224" s="576"/>
      <c r="Q224" s="589"/>
      <c r="R224" s="121"/>
      <c r="S224" s="579">
        <v>0</v>
      </c>
      <c r="T224" s="580">
        <f>+IF(ABS(+O224+Q224)&lt;=ABS(P224+R224),-O224+P224-Q224+R224,0)</f>
        <v>0</v>
      </c>
      <c r="U224" s="51"/>
      <c r="V224" s="2119">
        <f>+IF(OR(+ROUND(O224,2)+ROUND(Q224,2)&gt;ROUND(P224,2)+ROUND(R224,2),+ABS(ROUND(O224,2)+ROUND(Q224,2))&gt;+ABS(ROUND(P224,2)+ROUND(R224,2))),+(ROUND(O224,2)+ROUND(Q224,2))-(ROUND(P224,2)+ROUND(R224,2)),0)</f>
        <v>0</v>
      </c>
      <c r="W224" s="2116"/>
      <c r="X224" s="43"/>
      <c r="Y224" s="43"/>
      <c r="Z224" s="43"/>
    </row>
    <row r="225" spans="1:26">
      <c r="A225" s="88">
        <v>4830</v>
      </c>
      <c r="B225" s="378" t="s">
        <v>271</v>
      </c>
      <c r="C225" s="88"/>
      <c r="D225" s="1033"/>
      <c r="E225" s="1033"/>
      <c r="F225" s="1033"/>
      <c r="G225" s="1033"/>
      <c r="H225" s="1033"/>
      <c r="I225" s="1033"/>
      <c r="J225" s="1033"/>
      <c r="K225" s="1033"/>
      <c r="L225" s="574"/>
      <c r="M225" s="51"/>
      <c r="N225" s="113">
        <f t="shared" si="28"/>
        <v>4830</v>
      </c>
      <c r="O225" s="575">
        <v>0</v>
      </c>
      <c r="P225" s="576"/>
      <c r="Q225" s="589"/>
      <c r="R225" s="121"/>
      <c r="S225" s="579">
        <v>0</v>
      </c>
      <c r="T225" s="580">
        <f>+IF(ABS(+O225+Q225)&lt;=ABS(P225+R225),-O225+P225-Q225+R225,0)</f>
        <v>0</v>
      </c>
      <c r="U225" s="51"/>
      <c r="V225" s="2119">
        <f>+IF(OR(+ROUND(O225,2)+ROUND(Q225,2)&gt;ROUND(P225,2)+ROUND(R225,2),+ABS(ROUND(O225,2)+ROUND(Q225,2))&gt;+ABS(ROUND(P225,2)+ROUND(R225,2))),+(ROUND(O225,2)+ROUND(Q225,2))-(ROUND(P225,2)+ROUND(R225,2)),0)</f>
        <v>0</v>
      </c>
      <c r="W225" s="2116"/>
      <c r="X225" s="43"/>
      <c r="Y225" s="43"/>
      <c r="Z225" s="43"/>
    </row>
    <row r="226" spans="1:26">
      <c r="A226" s="88">
        <v>4831</v>
      </c>
      <c r="B226" s="378" t="s">
        <v>272</v>
      </c>
      <c r="C226" s="88"/>
      <c r="D226" s="1033"/>
      <c r="E226" s="1033"/>
      <c r="F226" s="1033"/>
      <c r="G226" s="1033"/>
      <c r="H226" s="1033"/>
      <c r="I226" s="1033"/>
      <c r="J226" s="1033"/>
      <c r="K226" s="1033"/>
      <c r="L226" s="574"/>
      <c r="M226" s="51"/>
      <c r="N226" s="113">
        <f t="shared" si="28"/>
        <v>4831</v>
      </c>
      <c r="O226" s="575">
        <v>0</v>
      </c>
      <c r="P226" s="576">
        <v>0</v>
      </c>
      <c r="Q226" s="589">
        <v>0</v>
      </c>
      <c r="R226" s="121">
        <v>0</v>
      </c>
      <c r="S226" s="579">
        <v>0</v>
      </c>
      <c r="T226" s="580">
        <f>+IF(ABS(+O226+Q226)&lt;=ABS(P226+R226),-O226+P226-Q226+R226,0)</f>
        <v>0</v>
      </c>
      <c r="U226" s="51"/>
      <c r="V226" s="2119">
        <f>+IF(OR(+ROUND(O226,2)+ROUND(Q226,2)&gt;ROUND(P226,2)+ROUND(R226,2),+ABS(ROUND(O226,2)+ROUND(Q226,2))&gt;+ABS(ROUND(P226,2)+ROUND(R226,2))),+(ROUND(O226,2)+ROUND(Q226,2))-(ROUND(P226,2)+ROUND(R226,2)),0)</f>
        <v>0</v>
      </c>
      <c r="W226" s="2116"/>
      <c r="X226" s="43"/>
      <c r="Y226" s="43"/>
      <c r="Z226" s="43"/>
    </row>
    <row r="227" spans="1:26">
      <c r="A227" s="88">
        <v>4832</v>
      </c>
      <c r="B227" s="378" t="s">
        <v>273</v>
      </c>
      <c r="C227" s="88"/>
      <c r="D227" s="1033"/>
      <c r="E227" s="1033"/>
      <c r="F227" s="1033"/>
      <c r="G227" s="1033"/>
      <c r="H227" s="1033"/>
      <c r="I227" s="1033"/>
      <c r="J227" s="1033"/>
      <c r="K227" s="1033"/>
      <c r="L227" s="574"/>
      <c r="M227" s="51"/>
      <c r="N227" s="113">
        <f t="shared" si="28"/>
        <v>4832</v>
      </c>
      <c r="O227" s="575">
        <v>0</v>
      </c>
      <c r="P227" s="576"/>
      <c r="Q227" s="589"/>
      <c r="R227" s="121"/>
      <c r="S227" s="579">
        <v>0</v>
      </c>
      <c r="T227" s="580">
        <f>+IF(ABS(+O227+Q227)&lt;=ABS(P227+R227),-O227+P227-Q227+R227,0)</f>
        <v>0</v>
      </c>
      <c r="U227" s="51"/>
      <c r="V227" s="2119">
        <f>+IF(OR(+ROUND(O227,2)+ROUND(Q227,2)&gt;ROUND(P227,2)+ROUND(R227,2),+ABS(ROUND(O227,2)+ROUND(Q227,2))&gt;+ABS(ROUND(P227,2)+ROUND(R227,2))),+(ROUND(O227,2)+ROUND(Q227,2))-(ROUND(P227,2)+ROUND(R227,2)),0)</f>
        <v>0</v>
      </c>
      <c r="W227" s="2116"/>
      <c r="X227" s="43"/>
      <c r="Y227" s="43"/>
      <c r="Z227" s="43"/>
    </row>
    <row r="228" spans="1:26">
      <c r="A228" s="88">
        <v>4835</v>
      </c>
      <c r="B228" s="378" t="s">
        <v>274</v>
      </c>
      <c r="C228" s="88"/>
      <c r="D228" s="1033"/>
      <c r="E228" s="1033"/>
      <c r="F228" s="1033"/>
      <c r="G228" s="1033"/>
      <c r="H228" s="1033"/>
      <c r="I228" s="1033"/>
      <c r="J228" s="1033"/>
      <c r="K228" s="1033"/>
      <c r="L228" s="574"/>
      <c r="M228" s="51"/>
      <c r="N228" s="113">
        <f t="shared" si="28"/>
        <v>4835</v>
      </c>
      <c r="O228" s="575">
        <v>0</v>
      </c>
      <c r="P228" s="576"/>
      <c r="Q228" s="589"/>
      <c r="R228" s="121"/>
      <c r="S228" s="579">
        <v>0</v>
      </c>
      <c r="T228" s="580">
        <f>+IF(ABS(+O228+Q228)&lt;=ABS(P228+R228),-O228+P228-Q228+R228,0)</f>
        <v>0</v>
      </c>
      <c r="U228" s="51"/>
      <c r="V228" s="2119">
        <f>+IF(OR(+ROUND(O228,2)+ROUND(Q228,2)&gt;ROUND(P228,2)+ROUND(R228,2),+ABS(ROUND(O228,2)+ROUND(Q228,2))&gt;+ABS(ROUND(P228,2)+ROUND(R228,2))),+(ROUND(O228,2)+ROUND(Q228,2))-(ROUND(P228,2)+ROUND(R228,2)),0)</f>
        <v>0</v>
      </c>
      <c r="W228" s="2116"/>
      <c r="X228" s="43"/>
      <c r="Y228" s="43"/>
      <c r="Z228" s="43"/>
    </row>
    <row r="229" spans="1:26">
      <c r="A229" s="88">
        <v>4841</v>
      </c>
      <c r="B229" s="378" t="s">
        <v>275</v>
      </c>
      <c r="C229" s="88"/>
      <c r="D229" s="1033"/>
      <c r="E229" s="1033"/>
      <c r="F229" s="1033"/>
      <c r="G229" s="1033"/>
      <c r="H229" s="1033"/>
      <c r="I229" s="1033"/>
      <c r="J229" s="1033"/>
      <c r="K229" s="1033"/>
      <c r="L229" s="574"/>
      <c r="M229" s="51"/>
      <c r="N229" s="113">
        <f t="shared" si="28"/>
        <v>4841</v>
      </c>
      <c r="O229" s="581"/>
      <c r="P229" s="582">
        <v>0</v>
      </c>
      <c r="Q229" s="589"/>
      <c r="R229" s="576"/>
      <c r="S229" s="583">
        <f>+IF(ABS(+O229+Q229)&gt;=ABS(P229+R229),+O229-P229+Q229-R229,0)</f>
        <v>0</v>
      </c>
      <c r="T229" s="584">
        <v>0</v>
      </c>
      <c r="U229" s="51"/>
      <c r="V229" s="2120">
        <f>+IF(OR(ROUND(P229,2)+ROUND(R229,2)&gt;+ROUND(O229,2)+ROUND(Q229,2),+ABS(ROUND(P229,2)+ROUND(R229,2))&gt;+ABS(ROUND(O229,2)+ROUND(Q229,2))),+(ROUND(P229,2)+ROUND(R229,2))-(ROUND(O229,2)+ROUND(Q229,2)),0)</f>
        <v>0</v>
      </c>
      <c r="W229" s="2116"/>
      <c r="X229" s="43"/>
      <c r="Y229" s="43"/>
      <c r="Z229" s="43"/>
    </row>
    <row r="230" spans="1:26">
      <c r="A230" s="88">
        <v>4843</v>
      </c>
      <c r="B230" s="378" t="s">
        <v>276</v>
      </c>
      <c r="C230" s="88"/>
      <c r="D230" s="1033"/>
      <c r="E230" s="1033"/>
      <c r="F230" s="1033"/>
      <c r="G230" s="1033"/>
      <c r="H230" s="1033"/>
      <c r="I230" s="1033"/>
      <c r="J230" s="1033"/>
      <c r="K230" s="1033"/>
      <c r="L230" s="574"/>
      <c r="M230" s="51"/>
      <c r="N230" s="113">
        <f t="shared" si="28"/>
        <v>4843</v>
      </c>
      <c r="O230" s="581"/>
      <c r="P230" s="582">
        <v>0</v>
      </c>
      <c r="Q230" s="589"/>
      <c r="R230" s="576"/>
      <c r="S230" s="583">
        <f>+IF(ABS(+O230+Q230)&gt;=ABS(P230+R230),+O230-P230+Q230-R230,0)</f>
        <v>0</v>
      </c>
      <c r="T230" s="584">
        <v>0</v>
      </c>
      <c r="U230" s="51"/>
      <c r="V230" s="2120">
        <f>+IF(OR(ROUND(P230,2)+ROUND(R230,2)&gt;+ROUND(O230,2)+ROUND(Q230,2),+ABS(ROUND(P230,2)+ROUND(R230,2))&gt;+ABS(ROUND(O230,2)+ROUND(Q230,2))),+(ROUND(P230,2)+ROUND(R230,2))-(ROUND(O230,2)+ROUND(Q230,2)),0)</f>
        <v>0</v>
      </c>
      <c r="W230" s="2116"/>
      <c r="X230" s="43"/>
      <c r="Y230" s="43"/>
      <c r="Z230" s="43"/>
    </row>
    <row r="231" spans="1:26">
      <c r="A231" s="88">
        <v>4844</v>
      </c>
      <c r="B231" s="378" t="s">
        <v>277</v>
      </c>
      <c r="C231" s="88"/>
      <c r="D231" s="1033"/>
      <c r="E231" s="1033"/>
      <c r="F231" s="1033"/>
      <c r="G231" s="1033"/>
      <c r="H231" s="1033"/>
      <c r="I231" s="1033"/>
      <c r="J231" s="1033"/>
      <c r="K231" s="1033"/>
      <c r="L231" s="574"/>
      <c r="M231" s="51"/>
      <c r="N231" s="113">
        <f t="shared" si="28"/>
        <v>4844</v>
      </c>
      <c r="O231" s="581"/>
      <c r="P231" s="582">
        <v>0</v>
      </c>
      <c r="Q231" s="589"/>
      <c r="R231" s="576"/>
      <c r="S231" s="583">
        <f>+IF(ABS(+O231+Q231)&gt;=ABS(P231+R231),+O231-P231+Q231-R231,0)</f>
        <v>0</v>
      </c>
      <c r="T231" s="584">
        <v>0</v>
      </c>
      <c r="U231" s="51"/>
      <c r="V231" s="2120">
        <f>+IF(OR(ROUND(P231,2)+ROUND(R231,2)&gt;+ROUND(O231,2)+ROUND(Q231,2),+ABS(ROUND(P231,2)+ROUND(R231,2))&gt;+ABS(ROUND(O231,2)+ROUND(Q231,2))),+(ROUND(P231,2)+ROUND(R231,2))-(ROUND(O231,2)+ROUND(Q231,2)),0)</f>
        <v>0</v>
      </c>
      <c r="W231" s="2116"/>
      <c r="X231" s="43"/>
      <c r="Y231" s="43"/>
      <c r="Z231" s="43"/>
    </row>
    <row r="232" spans="1:26">
      <c r="A232" s="88">
        <v>4845</v>
      </c>
      <c r="B232" s="378" t="s">
        <v>278</v>
      </c>
      <c r="C232" s="88"/>
      <c r="D232" s="1033"/>
      <c r="E232" s="1033"/>
      <c r="F232" s="1033"/>
      <c r="G232" s="1033"/>
      <c r="H232" s="1033"/>
      <c r="I232" s="1033"/>
      <c r="J232" s="1033"/>
      <c r="K232" s="1033"/>
      <c r="L232" s="574"/>
      <c r="M232" s="51"/>
      <c r="N232" s="113">
        <f t="shared" si="28"/>
        <v>4845</v>
      </c>
      <c r="O232" s="575">
        <v>0</v>
      </c>
      <c r="P232" s="576"/>
      <c r="Q232" s="589"/>
      <c r="R232" s="121"/>
      <c r="S232" s="579">
        <v>0</v>
      </c>
      <c r="T232" s="580">
        <f>+IF(ABS(+O232+Q232)&lt;=ABS(P232+R232),-O232+P232-Q232+R232,0)</f>
        <v>0</v>
      </c>
      <c r="U232" s="51"/>
      <c r="V232" s="2119">
        <f>+IF(OR(+ROUND(O232,2)+ROUND(Q232,2)&gt;ROUND(P232,2)+ROUND(R232,2),+ABS(ROUND(O232,2)+ROUND(Q232,2))&gt;+ABS(ROUND(P232,2)+ROUND(R232,2))),+(ROUND(O232,2)+ROUND(Q232,2))-(ROUND(P232,2)+ROUND(R232,2)),0)</f>
        <v>0</v>
      </c>
      <c r="W232" s="2116"/>
      <c r="X232" s="43"/>
      <c r="Y232" s="43"/>
      <c r="Z232" s="43"/>
    </row>
    <row r="233" spans="1:26">
      <c r="A233" s="88">
        <v>4847</v>
      </c>
      <c r="B233" s="378" t="s">
        <v>279</v>
      </c>
      <c r="C233" s="88"/>
      <c r="D233" s="1033"/>
      <c r="E233" s="1033"/>
      <c r="F233" s="1033"/>
      <c r="G233" s="1033"/>
      <c r="H233" s="1033"/>
      <c r="I233" s="1033"/>
      <c r="J233" s="1033"/>
      <c r="K233" s="1033"/>
      <c r="L233" s="574"/>
      <c r="M233" s="51"/>
      <c r="N233" s="113">
        <f t="shared" si="28"/>
        <v>4847</v>
      </c>
      <c r="O233" s="575">
        <v>0</v>
      </c>
      <c r="P233" s="576"/>
      <c r="Q233" s="589"/>
      <c r="R233" s="121"/>
      <c r="S233" s="579">
        <v>0</v>
      </c>
      <c r="T233" s="580">
        <f>+IF(ABS(+O233+Q233)&lt;=ABS(P233+R233),-O233+P233-Q233+R233,0)</f>
        <v>0</v>
      </c>
      <c r="U233" s="51"/>
      <c r="V233" s="2119">
        <f>+IF(OR(+ROUND(O233,2)+ROUND(Q233,2)&gt;ROUND(P233,2)+ROUND(R233,2),+ABS(ROUND(O233,2)+ROUND(Q233,2))&gt;+ABS(ROUND(P233,2)+ROUND(R233,2))),+(ROUND(O233,2)+ROUND(Q233,2))-(ROUND(P233,2)+ROUND(R233,2)),0)</f>
        <v>0</v>
      </c>
      <c r="W233" s="2116"/>
      <c r="X233" s="43"/>
      <c r="Y233" s="43"/>
      <c r="Z233" s="43"/>
    </row>
    <row r="234" spans="1:26">
      <c r="A234" s="88">
        <v>4848</v>
      </c>
      <c r="B234" s="378" t="s">
        <v>280</v>
      </c>
      <c r="C234" s="88"/>
      <c r="D234" s="1033"/>
      <c r="E234" s="1033"/>
      <c r="F234" s="1033"/>
      <c r="G234" s="1033"/>
      <c r="H234" s="1033"/>
      <c r="I234" s="1033"/>
      <c r="J234" s="1033"/>
      <c r="K234" s="1033"/>
      <c r="L234" s="574"/>
      <c r="M234" s="51"/>
      <c r="N234" s="113">
        <f t="shared" si="28"/>
        <v>4848</v>
      </c>
      <c r="O234" s="575">
        <v>0</v>
      </c>
      <c r="P234" s="576"/>
      <c r="Q234" s="589"/>
      <c r="R234" s="121"/>
      <c r="S234" s="579">
        <v>0</v>
      </c>
      <c r="T234" s="580">
        <f>+IF(ABS(+O234+Q234)&lt;=ABS(P234+R234),-O234+P234-Q234+R234,0)</f>
        <v>0</v>
      </c>
      <c r="U234" s="51"/>
      <c r="V234" s="2119">
        <f>+IF(OR(+ROUND(O234,2)+ROUND(Q234,2)&gt;ROUND(P234,2)+ROUND(R234,2),+ABS(ROUND(O234,2)+ROUND(Q234,2))&gt;+ABS(ROUND(P234,2)+ROUND(R234,2))),+(ROUND(O234,2)+ROUND(Q234,2))-(ROUND(P234,2)+ROUND(R234,2)),0)</f>
        <v>0</v>
      </c>
      <c r="W234" s="2116"/>
      <c r="X234" s="43"/>
      <c r="Y234" s="43"/>
      <c r="Z234" s="43"/>
    </row>
    <row r="235" spans="1:26">
      <c r="A235" s="88">
        <v>4851</v>
      </c>
      <c r="B235" s="378" t="s">
        <v>281</v>
      </c>
      <c r="C235" s="88"/>
      <c r="D235" s="1033"/>
      <c r="E235" s="1033"/>
      <c r="F235" s="1033"/>
      <c r="G235" s="1033"/>
      <c r="H235" s="1033"/>
      <c r="I235" s="1033"/>
      <c r="J235" s="1033"/>
      <c r="K235" s="1033"/>
      <c r="L235" s="574"/>
      <c r="M235" s="51"/>
      <c r="N235" s="113">
        <f t="shared" si="28"/>
        <v>4851</v>
      </c>
      <c r="O235" s="575">
        <v>0</v>
      </c>
      <c r="P235" s="576"/>
      <c r="Q235" s="589"/>
      <c r="R235" s="121"/>
      <c r="S235" s="579">
        <v>0</v>
      </c>
      <c r="T235" s="580">
        <f>+IF(ABS(+O235+Q235)&lt;=ABS(P235+R235),-O235+P235-Q235+R235,0)</f>
        <v>0</v>
      </c>
      <c r="U235" s="51"/>
      <c r="V235" s="2119">
        <f>+IF(OR(+ROUND(O235,2)+ROUND(Q235,2)&gt;ROUND(P235,2)+ROUND(R235,2),+ABS(ROUND(O235,2)+ROUND(Q235,2))&gt;+ABS(ROUND(P235,2)+ROUND(R235,2))),+(ROUND(O235,2)+ROUND(Q235,2))-(ROUND(P235,2)+ROUND(R235,2)),0)</f>
        <v>0</v>
      </c>
      <c r="W235" s="2116"/>
      <c r="X235" s="43"/>
      <c r="Y235" s="43"/>
      <c r="Z235" s="43"/>
    </row>
    <row r="236" spans="1:26">
      <c r="A236" s="88">
        <v>4852</v>
      </c>
      <c r="B236" s="378" t="s">
        <v>282</v>
      </c>
      <c r="C236" s="88"/>
      <c r="D236" s="1033"/>
      <c r="E236" s="1033"/>
      <c r="F236" s="1033"/>
      <c r="G236" s="1033"/>
      <c r="H236" s="1033"/>
      <c r="I236" s="1033"/>
      <c r="J236" s="1033"/>
      <c r="K236" s="1033"/>
      <c r="L236" s="574"/>
      <c r="M236" s="51"/>
      <c r="N236" s="113">
        <f t="shared" si="28"/>
        <v>4852</v>
      </c>
      <c r="O236" s="581"/>
      <c r="P236" s="582">
        <v>0</v>
      </c>
      <c r="Q236" s="589"/>
      <c r="R236" s="576"/>
      <c r="S236" s="583">
        <f>+IF(ABS(+O236+Q236)&gt;=ABS(P236+R236),+O236-P236+Q236-R236,0)</f>
        <v>0</v>
      </c>
      <c r="T236" s="584">
        <v>0</v>
      </c>
      <c r="U236" s="51"/>
      <c r="V236" s="2120">
        <f>+IF(OR(ROUND(P236,2)+ROUND(R236,2)&gt;+ROUND(O236,2)+ROUND(Q236,2),+ABS(ROUND(P236,2)+ROUND(R236,2))&gt;+ABS(ROUND(O236,2)+ROUND(Q236,2))),+(ROUND(P236,2)+ROUND(R236,2))-(ROUND(O236,2)+ROUND(Q236,2)),0)</f>
        <v>0</v>
      </c>
      <c r="W236" s="2116"/>
      <c r="X236" s="43"/>
      <c r="Y236" s="43"/>
      <c r="Z236" s="43"/>
    </row>
    <row r="237" spans="1:26">
      <c r="A237" s="88">
        <v>4853</v>
      </c>
      <c r="B237" s="378" t="s">
        <v>283</v>
      </c>
      <c r="C237" s="88"/>
      <c r="D237" s="1033"/>
      <c r="E237" s="1033"/>
      <c r="F237" s="1033"/>
      <c r="G237" s="1033"/>
      <c r="H237" s="1033"/>
      <c r="I237" s="1033"/>
      <c r="J237" s="1033"/>
      <c r="K237" s="1033"/>
      <c r="L237" s="574"/>
      <c r="M237" s="51"/>
      <c r="N237" s="113">
        <f t="shared" si="28"/>
        <v>4853</v>
      </c>
      <c r="O237" s="575">
        <v>0</v>
      </c>
      <c r="P237" s="576"/>
      <c r="Q237" s="589"/>
      <c r="R237" s="121"/>
      <c r="S237" s="579">
        <v>0</v>
      </c>
      <c r="T237" s="580">
        <f>+IF(ABS(+O237+Q237)&lt;=ABS(P237+R237),-O237+P237-Q237+R237,0)</f>
        <v>0</v>
      </c>
      <c r="U237" s="51"/>
      <c r="V237" s="2119">
        <f>+IF(OR(+ROUND(O237,2)+ROUND(Q237,2)&gt;ROUND(P237,2)+ROUND(R237,2),+ABS(ROUND(O237,2)+ROUND(Q237,2))&gt;+ABS(ROUND(P237,2)+ROUND(R237,2))),+(ROUND(O237,2)+ROUND(Q237,2))-(ROUND(P237,2)+ROUND(R237,2)),0)</f>
        <v>0</v>
      </c>
      <c r="W237" s="2116"/>
      <c r="X237" s="43"/>
      <c r="Y237" s="43"/>
      <c r="Z237" s="43"/>
    </row>
    <row r="238" spans="1:26">
      <c r="A238" s="88">
        <v>4854</v>
      </c>
      <c r="B238" s="378" t="s">
        <v>284</v>
      </c>
      <c r="C238" s="88"/>
      <c r="D238" s="1033"/>
      <c r="E238" s="1033"/>
      <c r="F238" s="1033"/>
      <c r="G238" s="1033"/>
      <c r="H238" s="1033"/>
      <c r="I238" s="1033"/>
      <c r="J238" s="1033"/>
      <c r="K238" s="1033"/>
      <c r="L238" s="574"/>
      <c r="M238" s="51"/>
      <c r="N238" s="113">
        <f t="shared" si="28"/>
        <v>4854</v>
      </c>
      <c r="O238" s="575">
        <v>0</v>
      </c>
      <c r="P238" s="576"/>
      <c r="Q238" s="589"/>
      <c r="R238" s="121"/>
      <c r="S238" s="579">
        <v>0</v>
      </c>
      <c r="T238" s="580">
        <f>+IF(ABS(+O238+Q238)&lt;=ABS(P238+R238),-O238+P238-Q238+R238,0)</f>
        <v>0</v>
      </c>
      <c r="U238" s="51"/>
      <c r="V238" s="2119">
        <f>+IF(OR(+ROUND(O238,2)+ROUND(Q238,2)&gt;ROUND(P238,2)+ROUND(R238,2),+ABS(ROUND(O238,2)+ROUND(Q238,2))&gt;+ABS(ROUND(P238,2)+ROUND(R238,2))),+(ROUND(O238,2)+ROUND(Q238,2))-(ROUND(P238,2)+ROUND(R238,2)),0)</f>
        <v>0</v>
      </c>
      <c r="W238" s="2116"/>
      <c r="X238" s="43"/>
      <c r="Y238" s="43"/>
      <c r="Z238" s="43"/>
    </row>
    <row r="239" spans="1:26">
      <c r="A239" s="88">
        <v>4857</v>
      </c>
      <c r="B239" s="378" t="s">
        <v>285</v>
      </c>
      <c r="C239" s="88"/>
      <c r="D239" s="1033"/>
      <c r="E239" s="1033"/>
      <c r="F239" s="1033"/>
      <c r="G239" s="1033"/>
      <c r="H239" s="1033"/>
      <c r="I239" s="1033"/>
      <c r="J239" s="1033"/>
      <c r="K239" s="1033"/>
      <c r="L239" s="574"/>
      <c r="M239" s="51"/>
      <c r="N239" s="113">
        <f t="shared" si="28"/>
        <v>4857</v>
      </c>
      <c r="O239" s="581"/>
      <c r="P239" s="582">
        <v>0</v>
      </c>
      <c r="Q239" s="589"/>
      <c r="R239" s="576"/>
      <c r="S239" s="583">
        <f>+IF(ABS(+O239+Q239)&gt;=ABS(P239+R239),+O239-P239+Q239-R239,0)</f>
        <v>0</v>
      </c>
      <c r="T239" s="584">
        <v>0</v>
      </c>
      <c r="U239" s="51"/>
      <c r="V239" s="2120">
        <f>+IF(OR(ROUND(P239,2)+ROUND(R239,2)&gt;+ROUND(O239,2)+ROUND(Q239,2),+ABS(ROUND(P239,2)+ROUND(R239,2))&gt;+ABS(ROUND(O239,2)+ROUND(Q239,2))),+(ROUND(P239,2)+ROUND(R239,2))-(ROUND(O239,2)+ROUND(Q239,2)),0)</f>
        <v>0</v>
      </c>
      <c r="W239" s="2116"/>
      <c r="X239" s="43"/>
      <c r="Y239" s="43"/>
      <c r="Z239" s="43"/>
    </row>
    <row r="240" spans="1:26">
      <c r="A240" s="88">
        <v>4858</v>
      </c>
      <c r="B240" s="378" t="s">
        <v>286</v>
      </c>
      <c r="C240" s="88"/>
      <c r="D240" s="1033"/>
      <c r="E240" s="1033"/>
      <c r="F240" s="1033"/>
      <c r="G240" s="1033"/>
      <c r="H240" s="1033"/>
      <c r="I240" s="1033"/>
      <c r="J240" s="1033"/>
      <c r="K240" s="1033"/>
      <c r="L240" s="574"/>
      <c r="M240" s="51"/>
      <c r="N240" s="113">
        <f t="shared" si="28"/>
        <v>4858</v>
      </c>
      <c r="O240" s="581"/>
      <c r="P240" s="582">
        <v>0</v>
      </c>
      <c r="Q240" s="589"/>
      <c r="R240" s="576"/>
      <c r="S240" s="583">
        <f>+IF(ABS(+O240+Q240)&gt;=ABS(P240+R240),+O240-P240+Q240-R240,0)</f>
        <v>0</v>
      </c>
      <c r="T240" s="584">
        <v>0</v>
      </c>
      <c r="U240" s="51"/>
      <c r="V240" s="2120">
        <f>+IF(OR(ROUND(P240,2)+ROUND(R240,2)&gt;+ROUND(O240,2)+ROUND(Q240,2),+ABS(ROUND(P240,2)+ROUND(R240,2))&gt;+ABS(ROUND(O240,2)+ROUND(Q240,2))),+(ROUND(P240,2)+ROUND(R240,2))-(ROUND(O240,2)+ROUND(Q240,2)),0)</f>
        <v>0</v>
      </c>
      <c r="W240" s="2116"/>
      <c r="X240" s="43"/>
      <c r="Y240" s="43"/>
      <c r="Z240" s="43"/>
    </row>
    <row r="241" spans="1:26">
      <c r="A241" s="88">
        <v>4861</v>
      </c>
      <c r="B241" s="378" t="s">
        <v>287</v>
      </c>
      <c r="C241" s="88"/>
      <c r="D241" s="1033"/>
      <c r="E241" s="1033"/>
      <c r="F241" s="1033"/>
      <c r="G241" s="1033"/>
      <c r="H241" s="1033"/>
      <c r="I241" s="1033"/>
      <c r="J241" s="1033"/>
      <c r="K241" s="1033"/>
      <c r="L241" s="574"/>
      <c r="M241" s="51"/>
      <c r="N241" s="113">
        <f t="shared" si="28"/>
        <v>4861</v>
      </c>
      <c r="O241" s="575">
        <v>0</v>
      </c>
      <c r="P241" s="576"/>
      <c r="Q241" s="589"/>
      <c r="R241" s="121"/>
      <c r="S241" s="579">
        <v>0</v>
      </c>
      <c r="T241" s="580">
        <f>+IF(ABS(+O241+Q241)&lt;=ABS(P241+R241),-O241+P241-Q241+R241,0)</f>
        <v>0</v>
      </c>
      <c r="U241" s="51"/>
      <c r="V241" s="2119">
        <f>+IF(OR(+ROUND(O241,2)+ROUND(Q241,2)&gt;ROUND(P241,2)+ROUND(R241,2),+ABS(ROUND(O241,2)+ROUND(Q241,2))&gt;+ABS(ROUND(P241,2)+ROUND(R241,2))),+(ROUND(O241,2)+ROUND(Q241,2))-(ROUND(P241,2)+ROUND(R241,2)),0)</f>
        <v>0</v>
      </c>
      <c r="W241" s="2116"/>
      <c r="X241" s="43"/>
      <c r="Y241" s="43"/>
      <c r="Z241" s="43"/>
    </row>
    <row r="242" spans="1:26">
      <c r="A242" s="88">
        <v>4862</v>
      </c>
      <c r="B242" s="378" t="s">
        <v>288</v>
      </c>
      <c r="C242" s="88"/>
      <c r="D242" s="1033"/>
      <c r="E242" s="1033"/>
      <c r="F242" s="1033"/>
      <c r="G242" s="1033"/>
      <c r="H242" s="1033"/>
      <c r="I242" s="1033"/>
      <c r="J242" s="1033"/>
      <c r="K242" s="1033"/>
      <c r="L242" s="574"/>
      <c r="M242" s="51"/>
      <c r="N242" s="113">
        <f t="shared" si="28"/>
        <v>4862</v>
      </c>
      <c r="O242" s="575">
        <v>0</v>
      </c>
      <c r="P242" s="576"/>
      <c r="Q242" s="589"/>
      <c r="R242" s="121"/>
      <c r="S242" s="579">
        <v>0</v>
      </c>
      <c r="T242" s="580">
        <f>+IF(ABS(+O242+Q242)&lt;=ABS(P242+R242),-O242+P242-Q242+R242,0)</f>
        <v>0</v>
      </c>
      <c r="U242" s="51"/>
      <c r="V242" s="2119">
        <f>+IF(OR(+ROUND(O242,2)+ROUND(Q242,2)&gt;ROUND(P242,2)+ROUND(R242,2),+ABS(ROUND(O242,2)+ROUND(Q242,2))&gt;+ABS(ROUND(P242,2)+ROUND(R242,2))),+(ROUND(O242,2)+ROUND(Q242,2))-(ROUND(P242,2)+ROUND(R242,2)),0)</f>
        <v>0</v>
      </c>
      <c r="W242" s="2116"/>
      <c r="X242" s="43"/>
      <c r="Y242" s="43"/>
      <c r="Z242" s="43"/>
    </row>
    <row r="243" spans="1:26">
      <c r="A243" s="88">
        <v>4863</v>
      </c>
      <c r="B243" s="378" t="s">
        <v>289</v>
      </c>
      <c r="C243" s="88"/>
      <c r="D243" s="1033"/>
      <c r="E243" s="1033"/>
      <c r="F243" s="1033"/>
      <c r="G243" s="1033"/>
      <c r="H243" s="1033"/>
      <c r="I243" s="1033"/>
      <c r="J243" s="1033"/>
      <c r="K243" s="1033"/>
      <c r="L243" s="574"/>
      <c r="M243" s="51"/>
      <c r="N243" s="113">
        <f t="shared" si="28"/>
        <v>4863</v>
      </c>
      <c r="O243" s="575">
        <v>0</v>
      </c>
      <c r="P243" s="576"/>
      <c r="Q243" s="589"/>
      <c r="R243" s="121"/>
      <c r="S243" s="579">
        <v>0</v>
      </c>
      <c r="T243" s="580">
        <f>+IF(ABS(+O243+Q243)&lt;=ABS(P243+R243),-O243+P243-Q243+R243,0)</f>
        <v>0</v>
      </c>
      <c r="U243" s="51"/>
      <c r="V243" s="2119">
        <f>+IF(OR(+ROUND(O243,2)+ROUND(Q243,2)&gt;ROUND(P243,2)+ROUND(R243,2),+ABS(ROUND(O243,2)+ROUND(Q243,2))&gt;+ABS(ROUND(P243,2)+ROUND(R243,2))),+(ROUND(O243,2)+ROUND(Q243,2))-(ROUND(P243,2)+ROUND(R243,2)),0)</f>
        <v>0</v>
      </c>
      <c r="W243" s="2116"/>
      <c r="X243" s="43"/>
      <c r="Y243" s="43"/>
      <c r="Z243" s="43"/>
    </row>
    <row r="244" spans="1:26">
      <c r="A244" s="88">
        <v>4864</v>
      </c>
      <c r="B244" s="378" t="s">
        <v>290</v>
      </c>
      <c r="C244" s="88"/>
      <c r="D244" s="1033"/>
      <c r="E244" s="1033"/>
      <c r="F244" s="1033"/>
      <c r="G244" s="1033"/>
      <c r="H244" s="1033"/>
      <c r="I244" s="1033"/>
      <c r="J244" s="1033"/>
      <c r="K244" s="1033"/>
      <c r="L244" s="574"/>
      <c r="M244" s="51"/>
      <c r="N244" s="113">
        <f t="shared" si="28"/>
        <v>4864</v>
      </c>
      <c r="O244" s="575">
        <v>0</v>
      </c>
      <c r="P244" s="576"/>
      <c r="Q244" s="589"/>
      <c r="R244" s="121"/>
      <c r="S244" s="579">
        <v>0</v>
      </c>
      <c r="T244" s="580">
        <f>+IF(ABS(+O244+Q244)&lt;=ABS(P244+R244),-O244+P244-Q244+R244,0)</f>
        <v>0</v>
      </c>
      <c r="U244" s="51"/>
      <c r="V244" s="2119">
        <f>+IF(OR(+ROUND(O244,2)+ROUND(Q244,2)&gt;ROUND(P244,2)+ROUND(R244,2),+ABS(ROUND(O244,2)+ROUND(Q244,2))&gt;+ABS(ROUND(P244,2)+ROUND(R244,2))),+(ROUND(O244,2)+ROUND(Q244,2))-(ROUND(P244,2)+ROUND(R244,2)),0)</f>
        <v>0</v>
      </c>
      <c r="W244" s="2116"/>
      <c r="X244" s="43"/>
      <c r="Y244" s="43"/>
      <c r="Z244" s="43"/>
    </row>
    <row r="245" spans="1:26">
      <c r="A245" s="88">
        <v>4865</v>
      </c>
      <c r="B245" s="378" t="s">
        <v>291</v>
      </c>
      <c r="C245" s="88"/>
      <c r="D245" s="1033"/>
      <c r="E245" s="1033"/>
      <c r="F245" s="1033"/>
      <c r="G245" s="1033"/>
      <c r="H245" s="1033"/>
      <c r="I245" s="1033"/>
      <c r="J245" s="1033"/>
      <c r="K245" s="1033"/>
      <c r="L245" s="574"/>
      <c r="M245" s="51"/>
      <c r="N245" s="113">
        <f t="shared" si="28"/>
        <v>4865</v>
      </c>
      <c r="O245" s="581"/>
      <c r="P245" s="582">
        <v>0</v>
      </c>
      <c r="Q245" s="589"/>
      <c r="R245" s="576"/>
      <c r="S245" s="583">
        <f t="shared" ref="S245:S250" si="29">+IF(ABS(+O245+Q245)&gt;=ABS(P245+R245),+O245-P245+Q245-R245,0)</f>
        <v>0</v>
      </c>
      <c r="T245" s="584">
        <v>0</v>
      </c>
      <c r="U245" s="51"/>
      <c r="V245" s="2120">
        <f t="shared" ref="V245:V250" si="30">+IF(OR(ROUND(P245,2)+ROUND(R245,2)&gt;+ROUND(O245,2)+ROUND(Q245,2),+ABS(ROUND(P245,2)+ROUND(R245,2))&gt;+ABS(ROUND(O245,2)+ROUND(Q245,2))),+(ROUND(P245,2)+ROUND(R245,2))-(ROUND(O245,2)+ROUND(Q245,2)),0)</f>
        <v>0</v>
      </c>
      <c r="W245" s="2116"/>
      <c r="X245" s="43"/>
      <c r="Y245" s="43"/>
      <c r="Z245" s="43"/>
    </row>
    <row r="246" spans="1:26">
      <c r="A246" s="88">
        <v>4866</v>
      </c>
      <c r="B246" s="378" t="s">
        <v>292</v>
      </c>
      <c r="C246" s="88"/>
      <c r="D246" s="1033"/>
      <c r="E246" s="1033"/>
      <c r="F246" s="1033"/>
      <c r="G246" s="1033"/>
      <c r="H246" s="1033"/>
      <c r="I246" s="1033"/>
      <c r="J246" s="1033"/>
      <c r="K246" s="1033"/>
      <c r="L246" s="574"/>
      <c r="M246" s="51"/>
      <c r="N246" s="113">
        <f t="shared" si="28"/>
        <v>4866</v>
      </c>
      <c r="O246" s="581"/>
      <c r="P246" s="582">
        <v>0</v>
      </c>
      <c r="Q246" s="589"/>
      <c r="R246" s="576"/>
      <c r="S246" s="583">
        <f t="shared" si="29"/>
        <v>0</v>
      </c>
      <c r="T246" s="584">
        <v>0</v>
      </c>
      <c r="U246" s="51"/>
      <c r="V246" s="2120">
        <f t="shared" si="30"/>
        <v>0</v>
      </c>
      <c r="W246" s="2116"/>
      <c r="X246" s="43"/>
      <c r="Y246" s="43"/>
      <c r="Z246" s="43"/>
    </row>
    <row r="247" spans="1:26">
      <c r="A247" s="88">
        <v>4867</v>
      </c>
      <c r="B247" s="378" t="s">
        <v>293</v>
      </c>
      <c r="C247" s="88"/>
      <c r="D247" s="1033"/>
      <c r="E247" s="1033"/>
      <c r="F247" s="1033"/>
      <c r="G247" s="1033"/>
      <c r="H247" s="1033"/>
      <c r="I247" s="1033"/>
      <c r="J247" s="1033"/>
      <c r="K247" s="1033"/>
      <c r="L247" s="574"/>
      <c r="M247" s="51"/>
      <c r="N247" s="113">
        <f t="shared" si="28"/>
        <v>4867</v>
      </c>
      <c r="O247" s="581"/>
      <c r="P247" s="582">
        <v>0</v>
      </c>
      <c r="Q247" s="589"/>
      <c r="R247" s="576"/>
      <c r="S247" s="583">
        <f t="shared" si="29"/>
        <v>0</v>
      </c>
      <c r="T247" s="584">
        <v>0</v>
      </c>
      <c r="U247" s="51"/>
      <c r="V247" s="2120">
        <f t="shared" si="30"/>
        <v>0</v>
      </c>
      <c r="W247" s="2116"/>
      <c r="X247" s="43"/>
      <c r="Y247" s="43"/>
      <c r="Z247" s="43"/>
    </row>
    <row r="248" spans="1:26">
      <c r="A248" s="88">
        <v>4868</v>
      </c>
      <c r="B248" s="378" t="s">
        <v>294</v>
      </c>
      <c r="C248" s="88"/>
      <c r="D248" s="1033"/>
      <c r="E248" s="1033"/>
      <c r="F248" s="1033"/>
      <c r="G248" s="1033"/>
      <c r="H248" s="1033"/>
      <c r="I248" s="1033"/>
      <c r="J248" s="1033"/>
      <c r="K248" s="1033"/>
      <c r="L248" s="574"/>
      <c r="M248" s="51"/>
      <c r="N248" s="113">
        <f t="shared" si="28"/>
        <v>4868</v>
      </c>
      <c r="O248" s="581"/>
      <c r="P248" s="582">
        <v>0</v>
      </c>
      <c r="Q248" s="589"/>
      <c r="R248" s="576"/>
      <c r="S248" s="583">
        <f t="shared" si="29"/>
        <v>0</v>
      </c>
      <c r="T248" s="584">
        <v>0</v>
      </c>
      <c r="U248" s="51"/>
      <c r="V248" s="2120">
        <f t="shared" si="30"/>
        <v>0</v>
      </c>
      <c r="W248" s="2116"/>
      <c r="X248" s="43"/>
      <c r="Y248" s="43"/>
      <c r="Z248" s="43"/>
    </row>
    <row r="249" spans="1:26">
      <c r="A249" s="88">
        <v>4871</v>
      </c>
      <c r="B249" s="378" t="s">
        <v>295</v>
      </c>
      <c r="C249" s="88"/>
      <c r="D249" s="1033"/>
      <c r="E249" s="1033"/>
      <c r="F249" s="1033"/>
      <c r="G249" s="1033"/>
      <c r="H249" s="1033"/>
      <c r="I249" s="1033"/>
      <c r="J249" s="1033"/>
      <c r="K249" s="1033"/>
      <c r="L249" s="574"/>
      <c r="M249" s="51"/>
      <c r="N249" s="113">
        <f t="shared" si="28"/>
        <v>4871</v>
      </c>
      <c r="O249" s="581"/>
      <c r="P249" s="582">
        <v>0</v>
      </c>
      <c r="Q249" s="589"/>
      <c r="R249" s="576"/>
      <c r="S249" s="583">
        <f t="shared" si="29"/>
        <v>0</v>
      </c>
      <c r="T249" s="584">
        <v>0</v>
      </c>
      <c r="U249" s="51"/>
      <c r="V249" s="2120">
        <f t="shared" si="30"/>
        <v>0</v>
      </c>
      <c r="W249" s="2116"/>
      <c r="X249" s="43"/>
      <c r="Y249" s="43"/>
      <c r="Z249" s="43"/>
    </row>
    <row r="250" spans="1:26">
      <c r="A250" s="88">
        <v>4872</v>
      </c>
      <c r="B250" s="378" t="s">
        <v>296</v>
      </c>
      <c r="C250" s="88"/>
      <c r="D250" s="1033"/>
      <c r="E250" s="1033"/>
      <c r="F250" s="1033"/>
      <c r="G250" s="1033"/>
      <c r="H250" s="1033"/>
      <c r="I250" s="1033"/>
      <c r="J250" s="1033"/>
      <c r="K250" s="1033"/>
      <c r="L250" s="574"/>
      <c r="M250" s="51"/>
      <c r="N250" s="113">
        <f t="shared" si="28"/>
        <v>4872</v>
      </c>
      <c r="O250" s="581"/>
      <c r="P250" s="582">
        <v>0</v>
      </c>
      <c r="Q250" s="589"/>
      <c r="R250" s="576"/>
      <c r="S250" s="583">
        <f t="shared" si="29"/>
        <v>0</v>
      </c>
      <c r="T250" s="584">
        <v>0</v>
      </c>
      <c r="U250" s="51"/>
      <c r="V250" s="2120">
        <f t="shared" si="30"/>
        <v>0</v>
      </c>
      <c r="W250" s="2116"/>
      <c r="X250" s="43"/>
      <c r="Y250" s="43"/>
      <c r="Z250" s="43"/>
    </row>
    <row r="251" spans="1:26">
      <c r="A251" s="88">
        <v>4877</v>
      </c>
      <c r="B251" s="378" t="s">
        <v>297</v>
      </c>
      <c r="C251" s="88"/>
      <c r="D251" s="1033"/>
      <c r="E251" s="1033"/>
      <c r="F251" s="1033"/>
      <c r="G251" s="1033"/>
      <c r="H251" s="1033"/>
      <c r="I251" s="1033"/>
      <c r="J251" s="1033"/>
      <c r="K251" s="1033"/>
      <c r="L251" s="574"/>
      <c r="M251" s="51"/>
      <c r="N251" s="113">
        <f t="shared" si="28"/>
        <v>4877</v>
      </c>
      <c r="O251" s="575">
        <v>0</v>
      </c>
      <c r="P251" s="576"/>
      <c r="Q251" s="589"/>
      <c r="R251" s="121"/>
      <c r="S251" s="579">
        <v>0</v>
      </c>
      <c r="T251" s="580">
        <f>+IF(ABS(+O251+Q251)&lt;=ABS(P251+R251),-O251+P251-Q251+R251,0)</f>
        <v>0</v>
      </c>
      <c r="U251" s="51"/>
      <c r="V251" s="2119">
        <f>+IF(OR(+ROUND(O251,2)+ROUND(Q251,2)&gt;ROUND(P251,2)+ROUND(R251,2),+ABS(ROUND(O251,2)+ROUND(Q251,2))&gt;+ABS(ROUND(P251,2)+ROUND(R251,2))),+(ROUND(O251,2)+ROUND(Q251,2))-(ROUND(P251,2)+ROUND(R251,2)),0)</f>
        <v>0</v>
      </c>
      <c r="W251" s="2116"/>
      <c r="X251" s="43"/>
      <c r="Y251" s="43"/>
      <c r="Z251" s="43"/>
    </row>
    <row r="252" spans="1:26">
      <c r="A252" s="88">
        <v>4878</v>
      </c>
      <c r="B252" s="378" t="s">
        <v>298</v>
      </c>
      <c r="C252" s="88"/>
      <c r="D252" s="1033"/>
      <c r="E252" s="1033"/>
      <c r="F252" s="1033"/>
      <c r="G252" s="1033"/>
      <c r="H252" s="1033"/>
      <c r="I252" s="1033"/>
      <c r="J252" s="1033"/>
      <c r="K252" s="1033"/>
      <c r="L252" s="574"/>
      <c r="M252" s="51"/>
      <c r="N252" s="113">
        <f t="shared" si="28"/>
        <v>4878</v>
      </c>
      <c r="O252" s="575">
        <v>0</v>
      </c>
      <c r="P252" s="576"/>
      <c r="Q252" s="589"/>
      <c r="R252" s="121"/>
      <c r="S252" s="579">
        <v>0</v>
      </c>
      <c r="T252" s="580">
        <f>+IF(ABS(+O252+Q252)&lt;=ABS(P252+R252),-O252+P252-Q252+R252,0)</f>
        <v>0</v>
      </c>
      <c r="U252" s="51"/>
      <c r="V252" s="2119">
        <f>+IF(OR(+ROUND(O252,2)+ROUND(Q252,2)&gt;ROUND(P252,2)+ROUND(R252,2),+ABS(ROUND(O252,2)+ROUND(Q252,2))&gt;+ABS(ROUND(P252,2)+ROUND(R252,2))),+(ROUND(O252,2)+ROUND(Q252,2))-(ROUND(P252,2)+ROUND(R252,2)),0)</f>
        <v>0</v>
      </c>
      <c r="W252" s="2116"/>
      <c r="X252" s="43"/>
      <c r="Y252" s="43"/>
      <c r="Z252" s="43"/>
    </row>
    <row r="253" spans="1:26">
      <c r="A253" s="88">
        <v>4885</v>
      </c>
      <c r="B253" s="378" t="s">
        <v>299</v>
      </c>
      <c r="C253" s="88"/>
      <c r="D253" s="1033"/>
      <c r="E253" s="1033"/>
      <c r="F253" s="1033"/>
      <c r="G253" s="1033"/>
      <c r="H253" s="1033"/>
      <c r="I253" s="1033"/>
      <c r="J253" s="1033"/>
      <c r="K253" s="1033"/>
      <c r="L253" s="574"/>
      <c r="M253" s="51"/>
      <c r="N253" s="113">
        <f t="shared" si="28"/>
        <v>4885</v>
      </c>
      <c r="O253" s="581"/>
      <c r="P253" s="582">
        <v>0</v>
      </c>
      <c r="Q253" s="589"/>
      <c r="R253" s="576"/>
      <c r="S253" s="583">
        <f>+IF(ABS(+O253+Q253)&gt;=ABS(P253+R253),+O253-P253+Q253-R253,0)</f>
        <v>0</v>
      </c>
      <c r="T253" s="584">
        <v>0</v>
      </c>
      <c r="U253" s="51"/>
      <c r="V253" s="2120">
        <f>+IF(OR(ROUND(P253,2)+ROUND(R253,2)&gt;+ROUND(O253,2)+ROUND(Q253,2),+ABS(ROUND(P253,2)+ROUND(R253,2))&gt;+ABS(ROUND(O253,2)+ROUND(Q253,2))),+(ROUND(P253,2)+ROUND(R253,2))-(ROUND(O253,2)+ROUND(Q253,2)),0)</f>
        <v>0</v>
      </c>
      <c r="W253" s="2116"/>
      <c r="X253" s="43"/>
      <c r="Y253" s="43"/>
      <c r="Z253" s="43"/>
    </row>
    <row r="254" spans="1:26">
      <c r="A254" s="88">
        <v>4886</v>
      </c>
      <c r="B254" s="378" t="s">
        <v>300</v>
      </c>
      <c r="C254" s="88"/>
      <c r="D254" s="1033"/>
      <c r="E254" s="1033"/>
      <c r="F254" s="1033"/>
      <c r="G254" s="1033"/>
      <c r="H254" s="1033"/>
      <c r="I254" s="1033"/>
      <c r="J254" s="1033"/>
      <c r="K254" s="1033"/>
      <c r="L254" s="574"/>
      <c r="M254" s="51"/>
      <c r="N254" s="113">
        <f t="shared" si="28"/>
        <v>4886</v>
      </c>
      <c r="O254" s="581"/>
      <c r="P254" s="582">
        <v>0</v>
      </c>
      <c r="Q254" s="589"/>
      <c r="R254" s="576"/>
      <c r="S254" s="583">
        <f>+IF(ABS(+O254+Q254)&gt;=ABS(P254+R254),+O254-P254+Q254-R254,0)</f>
        <v>0</v>
      </c>
      <c r="T254" s="584">
        <v>0</v>
      </c>
      <c r="U254" s="51"/>
      <c r="V254" s="2120">
        <f>+IF(OR(ROUND(P254,2)+ROUND(R254,2)&gt;+ROUND(O254,2)+ROUND(Q254,2),+ABS(ROUND(P254,2)+ROUND(R254,2))&gt;+ABS(ROUND(O254,2)+ROUND(Q254,2))),+(ROUND(P254,2)+ROUND(R254,2))-(ROUND(O254,2)+ROUND(Q254,2)),0)</f>
        <v>0</v>
      </c>
      <c r="W254" s="2116"/>
      <c r="X254" s="43"/>
      <c r="Y254" s="43"/>
      <c r="Z254" s="43"/>
    </row>
    <row r="255" spans="1:26">
      <c r="A255" s="88">
        <v>4887</v>
      </c>
      <c r="B255" s="378" t="s">
        <v>301</v>
      </c>
      <c r="C255" s="88"/>
      <c r="D255" s="1033"/>
      <c r="E255" s="1033"/>
      <c r="F255" s="1033"/>
      <c r="G255" s="1033"/>
      <c r="H255" s="1033"/>
      <c r="I255" s="1033"/>
      <c r="J255" s="1033"/>
      <c r="K255" s="1033"/>
      <c r="L255" s="574"/>
      <c r="M255" s="51"/>
      <c r="N255" s="113">
        <f t="shared" si="28"/>
        <v>4887</v>
      </c>
      <c r="O255" s="593">
        <v>0</v>
      </c>
      <c r="P255" s="582">
        <v>0</v>
      </c>
      <c r="Q255" s="589">
        <v>0</v>
      </c>
      <c r="R255" s="576">
        <v>0</v>
      </c>
      <c r="S255" s="583">
        <f>+IF(ABS(+O255+Q255)&gt;=ABS(P255+R255),+O255-P255+Q255-R255,0)</f>
        <v>0</v>
      </c>
      <c r="T255" s="584">
        <v>0</v>
      </c>
      <c r="U255" s="51"/>
      <c r="V255" s="2120">
        <f>+IF(OR(ROUND(P255,2)+ROUND(R255,2)&gt;+ROUND(O255,2)+ROUND(Q255,2),+ABS(ROUND(P255,2)+ROUND(R255,2))&gt;+ABS(ROUND(O255,2)+ROUND(Q255,2))),+(ROUND(P255,2)+ROUND(R255,2))-(ROUND(O255,2)+ROUND(Q255,2)),0)</f>
        <v>0</v>
      </c>
      <c r="W255" s="2116"/>
      <c r="X255" s="43"/>
      <c r="Y255" s="43"/>
      <c r="Z255" s="43"/>
    </row>
    <row r="256" spans="1:26">
      <c r="A256" s="88">
        <v>4888</v>
      </c>
      <c r="B256" s="378" t="s">
        <v>926</v>
      </c>
      <c r="C256" s="88"/>
      <c r="D256" s="1033"/>
      <c r="E256" s="1033"/>
      <c r="F256" s="1033"/>
      <c r="G256" s="1033"/>
      <c r="H256" s="1033"/>
      <c r="I256" s="1033"/>
      <c r="J256" s="1033"/>
      <c r="K256" s="1033"/>
      <c r="L256" s="574"/>
      <c r="M256" s="51"/>
      <c r="N256" s="113">
        <f t="shared" si="28"/>
        <v>4888</v>
      </c>
      <c r="O256" s="593"/>
      <c r="P256" s="582">
        <v>0</v>
      </c>
      <c r="Q256" s="589"/>
      <c r="R256" s="576"/>
      <c r="S256" s="583">
        <f>+IF(ABS(+O256+Q256)&gt;=ABS(P256+R256),+O256-P256+Q256-R256,0)</f>
        <v>0</v>
      </c>
      <c r="T256" s="584">
        <v>0</v>
      </c>
      <c r="U256" s="51"/>
      <c r="V256" s="2120">
        <f>+IF(OR(ROUND(P256,2)+ROUND(R256,2)&gt;+ROUND(O256,2)+ROUND(Q256,2),+ABS(ROUND(P256,2)+ROUND(R256,2))&gt;+ABS(ROUND(O256,2)+ROUND(Q256,2))),+(ROUND(P256,2)+ROUND(R256,2))-(ROUND(O256,2)+ROUND(Q256,2)),0)</f>
        <v>0</v>
      </c>
      <c r="W256" s="2116"/>
      <c r="X256" s="43"/>
      <c r="Y256" s="43"/>
      <c r="Z256" s="43"/>
    </row>
    <row r="257" spans="1:26">
      <c r="A257" s="88">
        <v>4895</v>
      </c>
      <c r="B257" s="378" t="s">
        <v>927</v>
      </c>
      <c r="C257" s="88"/>
      <c r="D257" s="1033"/>
      <c r="E257" s="1033"/>
      <c r="F257" s="1033"/>
      <c r="G257" s="1033"/>
      <c r="H257" s="1033"/>
      <c r="I257" s="1033"/>
      <c r="J257" s="1033"/>
      <c r="K257" s="1033"/>
      <c r="L257" s="574"/>
      <c r="M257" s="51"/>
      <c r="N257" s="113">
        <f t="shared" si="28"/>
        <v>4895</v>
      </c>
      <c r="O257" s="575">
        <v>0</v>
      </c>
      <c r="P257" s="576"/>
      <c r="Q257" s="589"/>
      <c r="R257" s="121"/>
      <c r="S257" s="579">
        <v>0</v>
      </c>
      <c r="T257" s="580">
        <f t="shared" ref="T257:T270" si="31">+IF(ABS(+O257+Q257)&lt;=ABS(P257+R257),-O257+P257-Q257+R257,0)</f>
        <v>0</v>
      </c>
      <c r="U257" s="51"/>
      <c r="V257" s="2119">
        <f t="shared" ref="V257:V270" si="32">+IF(OR(+ROUND(O257,2)+ROUND(Q257,2)&gt;ROUND(P257,2)+ROUND(R257,2),+ABS(ROUND(O257,2)+ROUND(Q257,2))&gt;+ABS(ROUND(P257,2)+ROUND(R257,2))),+(ROUND(O257,2)+ROUND(Q257,2))-(ROUND(P257,2)+ROUND(R257,2)),0)</f>
        <v>0</v>
      </c>
      <c r="W257" s="2116"/>
      <c r="X257" s="43"/>
      <c r="Y257" s="43"/>
      <c r="Z257" s="43"/>
    </row>
    <row r="258" spans="1:26">
      <c r="A258" s="88">
        <v>4896</v>
      </c>
      <c r="B258" s="378" t="s">
        <v>928</v>
      </c>
      <c r="C258" s="88"/>
      <c r="D258" s="1033"/>
      <c r="E258" s="1033"/>
      <c r="F258" s="1033"/>
      <c r="G258" s="1033"/>
      <c r="H258" s="1033"/>
      <c r="I258" s="1033"/>
      <c r="J258" s="1033"/>
      <c r="K258" s="1033"/>
      <c r="L258" s="574"/>
      <c r="M258" s="51"/>
      <c r="N258" s="113">
        <f t="shared" si="28"/>
        <v>4896</v>
      </c>
      <c r="O258" s="575">
        <v>0</v>
      </c>
      <c r="P258" s="576"/>
      <c r="Q258" s="589"/>
      <c r="R258" s="121"/>
      <c r="S258" s="579">
        <v>0</v>
      </c>
      <c r="T258" s="580">
        <f t="shared" si="31"/>
        <v>0</v>
      </c>
      <c r="U258" s="51"/>
      <c r="V258" s="2119">
        <f t="shared" si="32"/>
        <v>0</v>
      </c>
      <c r="W258" s="2116"/>
      <c r="X258" s="43"/>
      <c r="Y258" s="43"/>
      <c r="Z258" s="43"/>
    </row>
    <row r="259" spans="1:26">
      <c r="A259" s="88">
        <v>4897</v>
      </c>
      <c r="B259" s="378" t="s">
        <v>929</v>
      </c>
      <c r="C259" s="88"/>
      <c r="D259" s="1033"/>
      <c r="E259" s="1033"/>
      <c r="F259" s="1033"/>
      <c r="G259" s="1033"/>
      <c r="H259" s="1033"/>
      <c r="I259" s="1033"/>
      <c r="J259" s="1033"/>
      <c r="K259" s="1033"/>
      <c r="L259" s="574"/>
      <c r="M259" s="51"/>
      <c r="N259" s="113">
        <f t="shared" si="28"/>
        <v>4897</v>
      </c>
      <c r="O259" s="575">
        <v>0</v>
      </c>
      <c r="P259" s="594">
        <v>0</v>
      </c>
      <c r="Q259" s="589">
        <v>0</v>
      </c>
      <c r="R259" s="121">
        <v>0</v>
      </c>
      <c r="S259" s="579">
        <v>0</v>
      </c>
      <c r="T259" s="580">
        <f t="shared" si="31"/>
        <v>0</v>
      </c>
      <c r="U259" s="51"/>
      <c r="V259" s="2119">
        <f t="shared" si="32"/>
        <v>0</v>
      </c>
      <c r="W259" s="2116"/>
      <c r="X259" s="43"/>
      <c r="Y259" s="43"/>
      <c r="Z259" s="43"/>
    </row>
    <row r="260" spans="1:26">
      <c r="A260" s="88">
        <v>4898</v>
      </c>
      <c r="B260" s="378" t="s">
        <v>930</v>
      </c>
      <c r="C260" s="88"/>
      <c r="D260" s="1033"/>
      <c r="E260" s="1033"/>
      <c r="F260" s="1033"/>
      <c r="G260" s="1033"/>
      <c r="H260" s="1033"/>
      <c r="I260" s="1033"/>
      <c r="J260" s="1033"/>
      <c r="K260" s="1033"/>
      <c r="L260" s="574"/>
      <c r="M260" s="51"/>
      <c r="N260" s="113">
        <f t="shared" si="28"/>
        <v>4898</v>
      </c>
      <c r="O260" s="575">
        <v>0</v>
      </c>
      <c r="P260" s="594"/>
      <c r="Q260" s="589"/>
      <c r="R260" s="121"/>
      <c r="S260" s="579">
        <v>0</v>
      </c>
      <c r="T260" s="580">
        <f t="shared" si="31"/>
        <v>0</v>
      </c>
      <c r="U260" s="51"/>
      <c r="V260" s="2119">
        <f t="shared" si="32"/>
        <v>0</v>
      </c>
      <c r="W260" s="2116"/>
      <c r="X260" s="43"/>
      <c r="Y260" s="43"/>
      <c r="Z260" s="43"/>
    </row>
    <row r="261" spans="1:26">
      <c r="A261" s="88">
        <v>4911</v>
      </c>
      <c r="B261" s="378" t="s">
        <v>931</v>
      </c>
      <c r="C261" s="88"/>
      <c r="D261" s="1044"/>
      <c r="E261" s="1044"/>
      <c r="F261" s="1044"/>
      <c r="G261" s="1044"/>
      <c r="H261" s="1044"/>
      <c r="I261" s="1044"/>
      <c r="J261" s="1044"/>
      <c r="K261" s="1044"/>
      <c r="L261" s="592"/>
      <c r="M261" s="51"/>
      <c r="N261" s="113">
        <f t="shared" si="28"/>
        <v>4911</v>
      </c>
      <c r="O261" s="575">
        <v>0</v>
      </c>
      <c r="P261" s="576"/>
      <c r="Q261" s="589"/>
      <c r="R261" s="121"/>
      <c r="S261" s="579">
        <v>0</v>
      </c>
      <c r="T261" s="580">
        <f t="shared" si="31"/>
        <v>0</v>
      </c>
      <c r="U261" s="52"/>
      <c r="V261" s="2119">
        <f t="shared" si="32"/>
        <v>0</v>
      </c>
      <c r="W261" s="2116"/>
      <c r="X261" s="43"/>
      <c r="Y261" s="43"/>
      <c r="Z261" s="43"/>
    </row>
    <row r="262" spans="1:26">
      <c r="A262" s="88">
        <v>4915</v>
      </c>
      <c r="B262" s="378" t="s">
        <v>932</v>
      </c>
      <c r="C262" s="88"/>
      <c r="D262" s="1033"/>
      <c r="E262" s="1033"/>
      <c r="F262" s="1033"/>
      <c r="G262" s="1033"/>
      <c r="H262" s="1033"/>
      <c r="I262" s="1033"/>
      <c r="J262" s="1033"/>
      <c r="K262" s="1033"/>
      <c r="L262" s="574"/>
      <c r="M262" s="51"/>
      <c r="N262" s="113">
        <f t="shared" si="28"/>
        <v>4915</v>
      </c>
      <c r="O262" s="575">
        <v>0</v>
      </c>
      <c r="P262" s="576"/>
      <c r="Q262" s="589"/>
      <c r="R262" s="121"/>
      <c r="S262" s="579">
        <v>0</v>
      </c>
      <c r="T262" s="580">
        <f t="shared" si="31"/>
        <v>0</v>
      </c>
      <c r="U262" s="51"/>
      <c r="V262" s="2119">
        <f t="shared" si="32"/>
        <v>0</v>
      </c>
      <c r="W262" s="2116"/>
      <c r="X262" s="43"/>
      <c r="Y262" s="43"/>
      <c r="Z262" s="43"/>
    </row>
    <row r="263" spans="1:26">
      <c r="A263" s="88">
        <v>4916</v>
      </c>
      <c r="B263" s="378" t="s">
        <v>933</v>
      </c>
      <c r="C263" s="88"/>
      <c r="D263" s="1033"/>
      <c r="E263" s="1033"/>
      <c r="F263" s="1033"/>
      <c r="G263" s="1033"/>
      <c r="H263" s="1033"/>
      <c r="I263" s="1033"/>
      <c r="J263" s="1033"/>
      <c r="K263" s="1033"/>
      <c r="L263" s="574"/>
      <c r="M263" s="51"/>
      <c r="N263" s="113">
        <f t="shared" si="28"/>
        <v>4916</v>
      </c>
      <c r="O263" s="575">
        <v>0</v>
      </c>
      <c r="P263" s="576"/>
      <c r="Q263" s="589"/>
      <c r="R263" s="121"/>
      <c r="S263" s="579">
        <v>0</v>
      </c>
      <c r="T263" s="580">
        <f t="shared" si="31"/>
        <v>0</v>
      </c>
      <c r="U263" s="51"/>
      <c r="V263" s="2119">
        <f t="shared" si="32"/>
        <v>0</v>
      </c>
      <c r="W263" s="2116"/>
      <c r="X263" s="43"/>
      <c r="Y263" s="43"/>
      <c r="Z263" s="43"/>
    </row>
    <row r="264" spans="1:26">
      <c r="A264" s="88">
        <v>4917</v>
      </c>
      <c r="B264" s="378" t="s">
        <v>934</v>
      </c>
      <c r="C264" s="88"/>
      <c r="D264" s="1033"/>
      <c r="E264" s="1033"/>
      <c r="F264" s="1033"/>
      <c r="G264" s="1033"/>
      <c r="H264" s="1033"/>
      <c r="I264" s="1033"/>
      <c r="J264" s="1033"/>
      <c r="K264" s="1033"/>
      <c r="L264" s="574"/>
      <c r="M264" s="51"/>
      <c r="N264" s="113">
        <f t="shared" si="28"/>
        <v>4917</v>
      </c>
      <c r="O264" s="575">
        <v>0</v>
      </c>
      <c r="P264" s="576">
        <v>0</v>
      </c>
      <c r="Q264" s="589">
        <v>0</v>
      </c>
      <c r="R264" s="121">
        <v>0</v>
      </c>
      <c r="S264" s="579">
        <v>0</v>
      </c>
      <c r="T264" s="580">
        <f t="shared" si="31"/>
        <v>0</v>
      </c>
      <c r="U264" s="51"/>
      <c r="V264" s="2119">
        <f t="shared" si="32"/>
        <v>0</v>
      </c>
      <c r="W264" s="2116"/>
      <c r="X264" s="43"/>
      <c r="Y264" s="43"/>
      <c r="Z264" s="43"/>
    </row>
    <row r="265" spans="1:26">
      <c r="A265" s="88">
        <v>4918</v>
      </c>
      <c r="B265" s="378" t="s">
        <v>935</v>
      </c>
      <c r="C265" s="88"/>
      <c r="D265" s="1033"/>
      <c r="E265" s="1033"/>
      <c r="F265" s="1033"/>
      <c r="G265" s="1033"/>
      <c r="H265" s="1033"/>
      <c r="I265" s="1033"/>
      <c r="J265" s="1033"/>
      <c r="K265" s="1033"/>
      <c r="L265" s="574"/>
      <c r="M265" s="51"/>
      <c r="N265" s="113">
        <f t="shared" si="28"/>
        <v>4918</v>
      </c>
      <c r="O265" s="575">
        <v>0</v>
      </c>
      <c r="P265" s="576"/>
      <c r="Q265" s="589"/>
      <c r="R265" s="121"/>
      <c r="S265" s="579">
        <v>0</v>
      </c>
      <c r="T265" s="580">
        <f t="shared" si="31"/>
        <v>0</v>
      </c>
      <c r="U265" s="51"/>
      <c r="V265" s="2119">
        <f t="shared" si="32"/>
        <v>0</v>
      </c>
      <c r="W265" s="2116"/>
      <c r="X265" s="43"/>
      <c r="Y265" s="43"/>
      <c r="Z265" s="43"/>
    </row>
    <row r="266" spans="1:26">
      <c r="A266" s="88">
        <v>4940</v>
      </c>
      <c r="B266" s="378" t="s">
        <v>44</v>
      </c>
      <c r="C266" s="88"/>
      <c r="D266" s="1033"/>
      <c r="E266" s="1033"/>
      <c r="F266" s="1033"/>
      <c r="G266" s="1033"/>
      <c r="H266" s="1033"/>
      <c r="I266" s="1033"/>
      <c r="J266" s="1033"/>
      <c r="K266" s="1033"/>
      <c r="L266" s="574"/>
      <c r="M266" s="51"/>
      <c r="N266" s="113">
        <f t="shared" si="28"/>
        <v>4940</v>
      </c>
      <c r="O266" s="575">
        <v>0</v>
      </c>
      <c r="P266" s="576"/>
      <c r="Q266" s="589"/>
      <c r="R266" s="121"/>
      <c r="S266" s="579">
        <v>0</v>
      </c>
      <c r="T266" s="580">
        <f t="shared" si="31"/>
        <v>0</v>
      </c>
      <c r="U266" s="51"/>
      <c r="V266" s="2119">
        <f t="shared" si="32"/>
        <v>0</v>
      </c>
      <c r="W266" s="2116"/>
      <c r="X266" s="43"/>
      <c r="Y266" s="43"/>
      <c r="Z266" s="43"/>
    </row>
    <row r="267" spans="1:26">
      <c r="A267" s="88">
        <v>4951</v>
      </c>
      <c r="B267" s="378" t="s">
        <v>238</v>
      </c>
      <c r="C267" s="88"/>
      <c r="D267" s="1033"/>
      <c r="E267" s="1033"/>
      <c r="F267" s="1033"/>
      <c r="G267" s="1033"/>
      <c r="H267" s="1033"/>
      <c r="I267" s="1033"/>
      <c r="J267" s="1033"/>
      <c r="K267" s="1033"/>
      <c r="L267" s="574"/>
      <c r="M267" s="51"/>
      <c r="N267" s="113">
        <f t="shared" si="28"/>
        <v>4951</v>
      </c>
      <c r="O267" s="575">
        <v>0</v>
      </c>
      <c r="P267" s="576"/>
      <c r="Q267" s="589"/>
      <c r="R267" s="121"/>
      <c r="S267" s="579">
        <v>0</v>
      </c>
      <c r="T267" s="580">
        <f t="shared" si="31"/>
        <v>0</v>
      </c>
      <c r="U267" s="51"/>
      <c r="V267" s="2119">
        <f t="shared" si="32"/>
        <v>0</v>
      </c>
      <c r="W267" s="2116"/>
      <c r="X267" s="43"/>
      <c r="Y267" s="43"/>
      <c r="Z267" s="43"/>
    </row>
    <row r="268" spans="1:26">
      <c r="A268" s="88">
        <v>4955</v>
      </c>
      <c r="B268" s="378" t="s">
        <v>239</v>
      </c>
      <c r="C268" s="88"/>
      <c r="D268" s="1033"/>
      <c r="E268" s="1033"/>
      <c r="F268" s="1033"/>
      <c r="G268" s="1033"/>
      <c r="H268" s="1033"/>
      <c r="I268" s="1033"/>
      <c r="J268" s="1033"/>
      <c r="K268" s="1033"/>
      <c r="L268" s="574"/>
      <c r="M268" s="51"/>
      <c r="N268" s="113">
        <f t="shared" si="28"/>
        <v>4955</v>
      </c>
      <c r="O268" s="575">
        <v>0</v>
      </c>
      <c r="P268" s="576"/>
      <c r="Q268" s="589"/>
      <c r="R268" s="121"/>
      <c r="S268" s="579">
        <v>0</v>
      </c>
      <c r="T268" s="580">
        <f t="shared" si="31"/>
        <v>0</v>
      </c>
      <c r="U268" s="51"/>
      <c r="V268" s="2119">
        <f t="shared" si="32"/>
        <v>0</v>
      </c>
      <c r="W268" s="2116"/>
      <c r="X268" s="43"/>
      <c r="Y268" s="43"/>
      <c r="Z268" s="43"/>
    </row>
    <row r="269" spans="1:26">
      <c r="A269" s="88">
        <v>4956</v>
      </c>
      <c r="B269" s="378" t="s">
        <v>240</v>
      </c>
      <c r="C269" s="88"/>
      <c r="D269" s="1033"/>
      <c r="E269" s="1033"/>
      <c r="F269" s="1033"/>
      <c r="G269" s="1033"/>
      <c r="H269" s="1033"/>
      <c r="I269" s="1033"/>
      <c r="J269" s="1033"/>
      <c r="K269" s="1033"/>
      <c r="L269" s="574"/>
      <c r="M269" s="51"/>
      <c r="N269" s="113">
        <f t="shared" si="28"/>
        <v>4956</v>
      </c>
      <c r="O269" s="575">
        <v>0</v>
      </c>
      <c r="P269" s="576"/>
      <c r="Q269" s="589"/>
      <c r="R269" s="121"/>
      <c r="S269" s="579">
        <v>0</v>
      </c>
      <c r="T269" s="580">
        <f t="shared" si="31"/>
        <v>0</v>
      </c>
      <c r="U269" s="51"/>
      <c r="V269" s="2119">
        <f t="shared" si="32"/>
        <v>0</v>
      </c>
      <c r="W269" s="2116"/>
      <c r="X269" s="43"/>
      <c r="Y269" s="43"/>
      <c r="Z269" s="43"/>
    </row>
    <row r="270" spans="1:26">
      <c r="A270" s="88">
        <v>4957</v>
      </c>
      <c r="B270" s="378" t="s">
        <v>237</v>
      </c>
      <c r="C270" s="88"/>
      <c r="D270" s="1033"/>
      <c r="E270" s="1033"/>
      <c r="F270" s="1033"/>
      <c r="G270" s="1033"/>
      <c r="H270" s="1033"/>
      <c r="I270" s="1033"/>
      <c r="J270" s="1033"/>
      <c r="K270" s="1033"/>
      <c r="L270" s="574"/>
      <c r="M270" s="51"/>
      <c r="N270" s="113">
        <f t="shared" si="28"/>
        <v>4957</v>
      </c>
      <c r="O270" s="575">
        <v>0</v>
      </c>
      <c r="P270" s="576"/>
      <c r="Q270" s="589"/>
      <c r="R270" s="121"/>
      <c r="S270" s="579">
        <v>0</v>
      </c>
      <c r="T270" s="580">
        <f t="shared" si="31"/>
        <v>0</v>
      </c>
      <c r="U270" s="51"/>
      <c r="V270" s="2119">
        <f t="shared" si="32"/>
        <v>0</v>
      </c>
      <c r="W270" s="2116"/>
      <c r="X270" s="43"/>
      <c r="Y270" s="43"/>
      <c r="Z270" s="43"/>
    </row>
    <row r="271" spans="1:26" ht="15.75" customHeight="1">
      <c r="A271" s="88">
        <v>4960</v>
      </c>
      <c r="B271" s="378" t="s">
        <v>241</v>
      </c>
      <c r="C271" s="88"/>
      <c r="D271" s="1038"/>
      <c r="E271" s="1038"/>
      <c r="F271" s="1038"/>
      <c r="G271" s="1038"/>
      <c r="H271" s="1038"/>
      <c r="I271" s="1038"/>
      <c r="J271" s="1038"/>
      <c r="K271" s="1038"/>
      <c r="L271" s="590"/>
      <c r="M271" s="51"/>
      <c r="N271" s="113">
        <f t="shared" si="28"/>
        <v>4960</v>
      </c>
      <c r="O271" s="581"/>
      <c r="P271" s="576"/>
      <c r="Q271" s="589"/>
      <c r="R271" s="576"/>
      <c r="S271" s="583">
        <f t="shared" ref="S271:S283" si="33">+IF(ABS(+O271+Q271)&gt;=ABS(P271+R271),+O271-P271+Q271-R271,0)</f>
        <v>0</v>
      </c>
      <c r="T271" s="580">
        <f t="shared" ref="T271:T282" si="34">+IF(ABS(+O271+Q271)&lt;=ABS(P271+R271),-O271+P271-Q271+R271,0)</f>
        <v>0</v>
      </c>
      <c r="U271" s="51"/>
      <c r="V271" s="2119"/>
      <c r="W271" s="2116"/>
      <c r="X271" s="43"/>
      <c r="Y271" s="43"/>
      <c r="Z271" s="43"/>
    </row>
    <row r="272" spans="1:26">
      <c r="A272" s="88">
        <v>4961</v>
      </c>
      <c r="B272" s="378" t="s">
        <v>242</v>
      </c>
      <c r="C272" s="88"/>
      <c r="D272" s="1033"/>
      <c r="E272" s="1033"/>
      <c r="F272" s="1033"/>
      <c r="G272" s="1033"/>
      <c r="H272" s="1033"/>
      <c r="I272" s="1033"/>
      <c r="J272" s="1033"/>
      <c r="K272" s="1033"/>
      <c r="L272" s="574"/>
      <c r="M272" s="51"/>
      <c r="N272" s="113">
        <f t="shared" si="28"/>
        <v>4961</v>
      </c>
      <c r="O272" s="581">
        <v>0</v>
      </c>
      <c r="P272" s="576">
        <v>0</v>
      </c>
      <c r="Q272" s="589">
        <v>0</v>
      </c>
      <c r="R272" s="576">
        <v>0</v>
      </c>
      <c r="S272" s="583">
        <f t="shared" si="33"/>
        <v>0</v>
      </c>
      <c r="T272" s="580">
        <f t="shared" si="34"/>
        <v>0</v>
      </c>
      <c r="U272" s="51"/>
      <c r="V272" s="2119"/>
      <c r="W272" s="2116"/>
      <c r="X272" s="43"/>
      <c r="Y272" s="43"/>
      <c r="Z272" s="43"/>
    </row>
    <row r="273" spans="1:26">
      <c r="A273" s="88">
        <v>4962</v>
      </c>
      <c r="B273" s="378" t="s">
        <v>243</v>
      </c>
      <c r="C273" s="88"/>
      <c r="D273" s="1033"/>
      <c r="E273" s="1033"/>
      <c r="F273" s="1033"/>
      <c r="G273" s="1033"/>
      <c r="H273" s="1033"/>
      <c r="I273" s="1033"/>
      <c r="J273" s="1033"/>
      <c r="K273" s="1033"/>
      <c r="L273" s="574"/>
      <c r="M273" s="51"/>
      <c r="N273" s="113">
        <f t="shared" si="28"/>
        <v>4962</v>
      </c>
      <c r="O273" s="581"/>
      <c r="P273" s="576"/>
      <c r="Q273" s="589"/>
      <c r="R273" s="576"/>
      <c r="S273" s="583">
        <f t="shared" si="33"/>
        <v>0</v>
      </c>
      <c r="T273" s="580">
        <f t="shared" si="34"/>
        <v>0</v>
      </c>
      <c r="U273" s="51"/>
      <c r="V273" s="2119"/>
      <c r="W273" s="2116"/>
      <c r="X273" s="43"/>
      <c r="Y273" s="43"/>
      <c r="Z273" s="43"/>
    </row>
    <row r="274" spans="1:26" ht="15.75" customHeight="1">
      <c r="A274" s="88">
        <v>4970</v>
      </c>
      <c r="B274" s="378" t="s">
        <v>244</v>
      </c>
      <c r="C274" s="88"/>
      <c r="D274" s="1038"/>
      <c r="E274" s="1038"/>
      <c r="F274" s="1038"/>
      <c r="G274" s="1038"/>
      <c r="H274" s="1038"/>
      <c r="I274" s="1038"/>
      <c r="J274" s="1038"/>
      <c r="K274" s="1038"/>
      <c r="L274" s="590"/>
      <c r="M274" s="51"/>
      <c r="N274" s="113">
        <f t="shared" si="28"/>
        <v>4970</v>
      </c>
      <c r="O274" s="581"/>
      <c r="P274" s="576"/>
      <c r="Q274" s="589"/>
      <c r="R274" s="576"/>
      <c r="S274" s="583">
        <f t="shared" si="33"/>
        <v>0</v>
      </c>
      <c r="T274" s="580">
        <f t="shared" si="34"/>
        <v>0</v>
      </c>
      <c r="U274" s="51"/>
      <c r="V274" s="2119"/>
      <c r="W274" s="2116"/>
      <c r="X274" s="43"/>
      <c r="Y274" s="43"/>
      <c r="Z274" s="43"/>
    </row>
    <row r="275" spans="1:26" ht="15.75" customHeight="1">
      <c r="A275" s="88">
        <v>4971</v>
      </c>
      <c r="B275" s="378" t="s">
        <v>245</v>
      </c>
      <c r="C275" s="88"/>
      <c r="D275" s="1038"/>
      <c r="E275" s="1038"/>
      <c r="F275" s="1038"/>
      <c r="G275" s="1038"/>
      <c r="H275" s="1038"/>
      <c r="I275" s="1038"/>
      <c r="J275" s="1038"/>
      <c r="K275" s="1038"/>
      <c r="L275" s="590"/>
      <c r="M275" s="51"/>
      <c r="N275" s="113">
        <f t="shared" ref="N275:N284" si="35">+A275</f>
        <v>4971</v>
      </c>
      <c r="O275" s="581">
        <v>0</v>
      </c>
      <c r="P275" s="576">
        <v>0</v>
      </c>
      <c r="Q275" s="589">
        <v>0</v>
      </c>
      <c r="R275" s="576">
        <v>0</v>
      </c>
      <c r="S275" s="583">
        <f t="shared" si="33"/>
        <v>0</v>
      </c>
      <c r="T275" s="580">
        <f t="shared" si="34"/>
        <v>0</v>
      </c>
      <c r="U275" s="51"/>
      <c r="V275" s="2119"/>
      <c r="W275" s="2116"/>
      <c r="X275" s="43"/>
      <c r="Y275" s="43"/>
      <c r="Z275" s="43"/>
    </row>
    <row r="276" spans="1:26" ht="15.75" customHeight="1">
      <c r="A276" s="88">
        <v>4972</v>
      </c>
      <c r="B276" s="378" t="s">
        <v>246</v>
      </c>
      <c r="C276" s="88"/>
      <c r="D276" s="1038"/>
      <c r="E276" s="1038"/>
      <c r="F276" s="1038"/>
      <c r="G276" s="1038"/>
      <c r="H276" s="1038"/>
      <c r="I276" s="1038"/>
      <c r="J276" s="1038"/>
      <c r="K276" s="1038"/>
      <c r="L276" s="590"/>
      <c r="M276" s="51"/>
      <c r="N276" s="113">
        <f t="shared" si="35"/>
        <v>4972</v>
      </c>
      <c r="O276" s="581"/>
      <c r="P276" s="576"/>
      <c r="Q276" s="589"/>
      <c r="R276" s="576"/>
      <c r="S276" s="583">
        <f t="shared" si="33"/>
        <v>0</v>
      </c>
      <c r="T276" s="580">
        <f t="shared" si="34"/>
        <v>0</v>
      </c>
      <c r="U276" s="51"/>
      <c r="V276" s="2119"/>
      <c r="W276" s="2116"/>
      <c r="X276" s="43"/>
      <c r="Y276" s="43"/>
      <c r="Z276" s="43"/>
    </row>
    <row r="277" spans="1:26" ht="15.75" customHeight="1">
      <c r="A277" s="88">
        <v>4973</v>
      </c>
      <c r="B277" s="378" t="s">
        <v>247</v>
      </c>
      <c r="C277" s="88"/>
      <c r="D277" s="1038"/>
      <c r="E277" s="1038"/>
      <c r="F277" s="1038"/>
      <c r="G277" s="1038"/>
      <c r="H277" s="1038"/>
      <c r="I277" s="1038"/>
      <c r="J277" s="1038"/>
      <c r="K277" s="1038"/>
      <c r="L277" s="590"/>
      <c r="M277" s="51"/>
      <c r="N277" s="113">
        <f t="shared" si="35"/>
        <v>4973</v>
      </c>
      <c r="O277" s="581"/>
      <c r="P277" s="576"/>
      <c r="Q277" s="589"/>
      <c r="R277" s="576"/>
      <c r="S277" s="583">
        <f t="shared" si="33"/>
        <v>0</v>
      </c>
      <c r="T277" s="580">
        <f t="shared" si="34"/>
        <v>0</v>
      </c>
      <c r="U277" s="51"/>
      <c r="V277" s="2119"/>
      <c r="W277" s="2116"/>
      <c r="X277" s="43"/>
      <c r="Y277" s="43"/>
      <c r="Z277" s="43"/>
    </row>
    <row r="278" spans="1:26" ht="15.75" customHeight="1">
      <c r="A278" s="88">
        <v>4974</v>
      </c>
      <c r="B278" s="378" t="s">
        <v>248</v>
      </c>
      <c r="C278" s="88"/>
      <c r="D278" s="1038"/>
      <c r="E278" s="1038"/>
      <c r="F278" s="1038"/>
      <c r="G278" s="1038"/>
      <c r="H278" s="1038"/>
      <c r="I278" s="1038"/>
      <c r="J278" s="1038"/>
      <c r="K278" s="1038"/>
      <c r="L278" s="590"/>
      <c r="M278" s="51"/>
      <c r="N278" s="113">
        <f t="shared" si="35"/>
        <v>4974</v>
      </c>
      <c r="O278" s="581"/>
      <c r="P278" s="576"/>
      <c r="Q278" s="589"/>
      <c r="R278" s="576"/>
      <c r="S278" s="583">
        <f t="shared" si="33"/>
        <v>0</v>
      </c>
      <c r="T278" s="580">
        <f t="shared" si="34"/>
        <v>0</v>
      </c>
      <c r="U278" s="51"/>
      <c r="V278" s="2119"/>
      <c r="W278" s="2116"/>
      <c r="X278" s="43"/>
      <c r="Y278" s="43"/>
      <c r="Z278" s="43"/>
    </row>
    <row r="279" spans="1:26" ht="15.75" customHeight="1">
      <c r="A279" s="88">
        <v>4975</v>
      </c>
      <c r="B279" s="378" t="s">
        <v>249</v>
      </c>
      <c r="C279" s="88"/>
      <c r="D279" s="1038"/>
      <c r="E279" s="1038"/>
      <c r="F279" s="1038"/>
      <c r="G279" s="1038"/>
      <c r="H279" s="1038"/>
      <c r="I279" s="1038"/>
      <c r="J279" s="1038"/>
      <c r="K279" s="1038"/>
      <c r="L279" s="590"/>
      <c r="M279" s="51"/>
      <c r="N279" s="113">
        <f t="shared" si="35"/>
        <v>4975</v>
      </c>
      <c r="O279" s="581"/>
      <c r="P279" s="576"/>
      <c r="Q279" s="589"/>
      <c r="R279" s="576"/>
      <c r="S279" s="583">
        <f t="shared" si="33"/>
        <v>0</v>
      </c>
      <c r="T279" s="580">
        <f t="shared" si="34"/>
        <v>0</v>
      </c>
      <c r="U279" s="51"/>
      <c r="V279" s="2119"/>
      <c r="W279" s="2116"/>
      <c r="X279" s="43"/>
      <c r="Y279" s="43"/>
      <c r="Z279" s="43"/>
    </row>
    <row r="280" spans="1:26" ht="15.75" customHeight="1">
      <c r="A280" s="88">
        <v>4976</v>
      </c>
      <c r="B280" s="378" t="s">
        <v>250</v>
      </c>
      <c r="C280" s="88"/>
      <c r="D280" s="1038"/>
      <c r="E280" s="1038"/>
      <c r="F280" s="1038"/>
      <c r="G280" s="1038"/>
      <c r="H280" s="1038"/>
      <c r="I280" s="1038"/>
      <c r="J280" s="1038"/>
      <c r="K280" s="1038"/>
      <c r="L280" s="590"/>
      <c r="M280" s="51"/>
      <c r="N280" s="113">
        <f t="shared" si="35"/>
        <v>4976</v>
      </c>
      <c r="O280" s="581"/>
      <c r="P280" s="576"/>
      <c r="Q280" s="589"/>
      <c r="R280" s="576"/>
      <c r="S280" s="583">
        <f t="shared" si="33"/>
        <v>0</v>
      </c>
      <c r="T280" s="580">
        <f t="shared" si="34"/>
        <v>0</v>
      </c>
      <c r="U280" s="51"/>
      <c r="V280" s="2119"/>
      <c r="W280" s="2116"/>
      <c r="X280" s="43"/>
      <c r="Y280" s="43"/>
      <c r="Z280" s="43"/>
    </row>
    <row r="281" spans="1:26" ht="15.75" customHeight="1">
      <c r="A281" s="88">
        <v>4978</v>
      </c>
      <c r="B281" s="378" t="s">
        <v>251</v>
      </c>
      <c r="C281" s="88"/>
      <c r="D281" s="1038"/>
      <c r="E281" s="1038"/>
      <c r="F281" s="1038"/>
      <c r="G281" s="1038"/>
      <c r="H281" s="1038"/>
      <c r="I281" s="1038"/>
      <c r="J281" s="1038"/>
      <c r="K281" s="1038"/>
      <c r="L281" s="590"/>
      <c r="M281" s="51"/>
      <c r="N281" s="113">
        <f t="shared" si="35"/>
        <v>4978</v>
      </c>
      <c r="O281" s="581"/>
      <c r="P281" s="576"/>
      <c r="Q281" s="589"/>
      <c r="R281" s="576"/>
      <c r="S281" s="583">
        <f t="shared" si="33"/>
        <v>0</v>
      </c>
      <c r="T281" s="580">
        <f t="shared" si="34"/>
        <v>0</v>
      </c>
      <c r="U281" s="51"/>
      <c r="V281" s="2119"/>
      <c r="W281" s="2116"/>
      <c r="X281" s="43"/>
      <c r="Y281" s="43"/>
      <c r="Z281" s="43"/>
    </row>
    <row r="282" spans="1:26" ht="15.75" customHeight="1">
      <c r="A282" s="88">
        <v>4979</v>
      </c>
      <c r="B282" s="378" t="s">
        <v>252</v>
      </c>
      <c r="C282" s="88"/>
      <c r="D282" s="1038"/>
      <c r="E282" s="1038"/>
      <c r="F282" s="1038"/>
      <c r="G282" s="1038"/>
      <c r="H282" s="1038"/>
      <c r="I282" s="1038"/>
      <c r="J282" s="1038"/>
      <c r="K282" s="1038"/>
      <c r="L282" s="590"/>
      <c r="M282" s="51"/>
      <c r="N282" s="113">
        <f t="shared" si="35"/>
        <v>4979</v>
      </c>
      <c r="O282" s="581"/>
      <c r="P282" s="576"/>
      <c r="Q282" s="589"/>
      <c r="R282" s="576"/>
      <c r="S282" s="583">
        <f t="shared" si="33"/>
        <v>0</v>
      </c>
      <c r="T282" s="580">
        <f t="shared" si="34"/>
        <v>0</v>
      </c>
      <c r="U282" s="51"/>
      <c r="V282" s="2119"/>
      <c r="W282" s="2116"/>
      <c r="X282" s="43"/>
      <c r="Y282" s="43"/>
      <c r="Z282" s="43"/>
    </row>
    <row r="283" spans="1:26">
      <c r="A283" s="88">
        <v>4980</v>
      </c>
      <c r="B283" s="378" t="s">
        <v>253</v>
      </c>
      <c r="C283" s="88"/>
      <c r="D283" s="1033"/>
      <c r="E283" s="1033"/>
      <c r="F283" s="1033"/>
      <c r="G283" s="1033"/>
      <c r="H283" s="1033"/>
      <c r="I283" s="1033"/>
      <c r="J283" s="1033"/>
      <c r="K283" s="1033"/>
      <c r="L283" s="574"/>
      <c r="M283" s="51"/>
      <c r="N283" s="113">
        <f t="shared" si="35"/>
        <v>4980</v>
      </c>
      <c r="O283" s="581"/>
      <c r="P283" s="582">
        <v>0</v>
      </c>
      <c r="Q283" s="589"/>
      <c r="R283" s="576"/>
      <c r="S283" s="583">
        <f t="shared" si="33"/>
        <v>0</v>
      </c>
      <c r="T283" s="584">
        <v>0</v>
      </c>
      <c r="U283" s="51"/>
      <c r="V283" s="2120">
        <f>+IF(OR(ROUND(P283,2)+ROUND(R283,2)&gt;+ROUND(O283,2)+ROUND(Q283,2),+ABS(ROUND(P283,2)+ROUND(R283,2))&gt;+ABS(ROUND(O283,2)+ROUND(Q283,2))),+(ROUND(P283,2)+ROUND(R283,2))-(ROUND(O283,2)+ROUND(Q283,2)),0)</f>
        <v>0</v>
      </c>
      <c r="W283" s="2116"/>
      <c r="X283" s="43"/>
      <c r="Y283" s="43"/>
      <c r="Z283" s="43"/>
    </row>
    <row r="284" spans="1:26">
      <c r="A284" s="595">
        <v>4989</v>
      </c>
      <c r="B284" s="1045" t="s">
        <v>254</v>
      </c>
      <c r="C284" s="1033"/>
      <c r="D284" s="1033"/>
      <c r="E284" s="1033"/>
      <c r="F284" s="1033"/>
      <c r="G284" s="1033"/>
      <c r="H284" s="1033"/>
      <c r="I284" s="1033"/>
      <c r="J284" s="1033"/>
      <c r="K284" s="1033"/>
      <c r="L284" s="574"/>
      <c r="M284" s="51"/>
      <c r="N284" s="113">
        <f t="shared" si="35"/>
        <v>4989</v>
      </c>
      <c r="O284" s="575">
        <v>0</v>
      </c>
      <c r="P284" s="576"/>
      <c r="Q284" s="589"/>
      <c r="R284" s="121"/>
      <c r="S284" s="579">
        <v>0</v>
      </c>
      <c r="T284" s="580">
        <f>+IF(ABS(+O284+Q284)&lt;=ABS(P284+R284),-O284+P284-Q284+R284,0)</f>
        <v>0</v>
      </c>
      <c r="U284" s="51"/>
      <c r="V284" s="2119">
        <f>+IF(OR(+ROUND(O284,2)+ROUND(Q284,2)&gt;ROUND(P284,2)+ROUND(R284,2),+ABS(ROUND(O284,2)+ROUND(Q284,2))&gt;+ABS(ROUND(P284,2)+ROUND(R284,2))),+(ROUND(O284,2)+ROUND(Q284,2))-(ROUND(P284,2)+ROUND(R284,2)),0)</f>
        <v>0</v>
      </c>
      <c r="W284" s="2116"/>
      <c r="X284" s="43"/>
      <c r="Y284" s="43"/>
      <c r="Z284" s="43"/>
    </row>
    <row r="285" spans="1:26">
      <c r="A285" s="398" t="s">
        <v>45</v>
      </c>
      <c r="B285" s="399"/>
      <c r="C285" s="399"/>
      <c r="D285" s="399"/>
      <c r="E285" s="399"/>
      <c r="F285" s="399"/>
      <c r="G285" s="399"/>
      <c r="H285" s="399"/>
      <c r="I285" s="399"/>
      <c r="J285" s="399"/>
      <c r="K285" s="399"/>
      <c r="L285" s="381"/>
      <c r="M285" s="51"/>
      <c r="N285" s="383">
        <v>5</v>
      </c>
      <c r="O285" s="384"/>
      <c r="P285" s="385"/>
      <c r="Q285" s="386"/>
      <c r="R285" s="385"/>
      <c r="S285" s="386"/>
      <c r="T285" s="387"/>
      <c r="U285" s="51"/>
      <c r="V285" s="2119"/>
      <c r="W285" s="2116"/>
      <c r="X285" s="43"/>
      <c r="Y285" s="43"/>
      <c r="Z285" s="43"/>
    </row>
    <row r="286" spans="1:26">
      <c r="A286" s="395">
        <v>5000</v>
      </c>
      <c r="B286" s="418" t="s">
        <v>799</v>
      </c>
      <c r="C286" s="418"/>
      <c r="D286" s="418"/>
      <c r="E286" s="418"/>
      <c r="F286" s="418"/>
      <c r="G286" s="396"/>
      <c r="H286" s="396"/>
      <c r="I286" s="396"/>
      <c r="J286" s="396"/>
      <c r="K286" s="396"/>
      <c r="L286" s="397"/>
      <c r="M286" s="51"/>
      <c r="N286" s="400">
        <f t="shared" ref="N286:N317" si="36">+A286</f>
        <v>5000</v>
      </c>
      <c r="O286" s="401">
        <v>0</v>
      </c>
      <c r="P286" s="402">
        <v>0</v>
      </c>
      <c r="Q286" s="403">
        <v>0</v>
      </c>
      <c r="R286" s="402">
        <v>0</v>
      </c>
      <c r="S286" s="829">
        <f t="shared" ref="S286:S292" si="37">+IF(ABS(+O286+Q286)&gt;=ABS(P286+R286),+O286-P286+Q286-R286,0)</f>
        <v>0</v>
      </c>
      <c r="T286" s="830">
        <v>0</v>
      </c>
      <c r="U286" s="51"/>
      <c r="V286" s="2120">
        <f t="shared" ref="V286:V321" si="38">+IF(OR(ROUND(P286,2)+ROUND(R286,2)&gt;+ROUND(O286,2)+ROUND(Q286,2),+ABS(ROUND(P286,2)+ROUND(R286,2))&gt;+ABS(ROUND(O286,2)+ROUND(Q286,2))),+(ROUND(P286,2)+ROUND(R286,2))-(ROUND(O286,2)+ROUND(Q286,2)),0)</f>
        <v>0</v>
      </c>
      <c r="W286" s="2116"/>
      <c r="X286" s="43"/>
      <c r="Y286" s="43"/>
      <c r="Z286" s="43"/>
    </row>
    <row r="287" spans="1:26">
      <c r="A287" s="88">
        <v>5001</v>
      </c>
      <c r="B287" s="378" t="s">
        <v>800</v>
      </c>
      <c r="C287" s="1034"/>
      <c r="D287" s="1034"/>
      <c r="E287" s="1034"/>
      <c r="F287" s="1034"/>
      <c r="G287" s="1033"/>
      <c r="H287" s="1033"/>
      <c r="I287" s="1033"/>
      <c r="J287" s="1033"/>
      <c r="K287" s="1033"/>
      <c r="L287" s="90"/>
      <c r="M287" s="51"/>
      <c r="N287" s="113">
        <f t="shared" si="36"/>
        <v>5001</v>
      </c>
      <c r="O287" s="120">
        <v>0</v>
      </c>
      <c r="P287" s="9">
        <v>0</v>
      </c>
      <c r="Q287" s="122">
        <v>0</v>
      </c>
      <c r="R287" s="576">
        <v>0</v>
      </c>
      <c r="S287" s="27">
        <f t="shared" si="37"/>
        <v>0</v>
      </c>
      <c r="T287" s="30">
        <v>0</v>
      </c>
      <c r="U287" s="51"/>
      <c r="V287" s="2120">
        <f t="shared" si="38"/>
        <v>0</v>
      </c>
      <c r="W287" s="2116"/>
      <c r="X287" s="43"/>
      <c r="Y287" s="43"/>
      <c r="Z287" s="43"/>
    </row>
    <row r="288" spans="1:26">
      <c r="A288" s="88">
        <v>5002</v>
      </c>
      <c r="B288" s="378" t="s">
        <v>801</v>
      </c>
      <c r="C288" s="1034"/>
      <c r="D288" s="1034"/>
      <c r="E288" s="1034"/>
      <c r="F288" s="1034"/>
      <c r="G288" s="1033"/>
      <c r="H288" s="1033"/>
      <c r="I288" s="1033"/>
      <c r="J288" s="1033"/>
      <c r="K288" s="1033"/>
      <c r="L288" s="90"/>
      <c r="M288" s="51"/>
      <c r="N288" s="113">
        <f t="shared" si="36"/>
        <v>5002</v>
      </c>
      <c r="O288" s="120"/>
      <c r="P288" s="9">
        <v>0</v>
      </c>
      <c r="Q288" s="122"/>
      <c r="R288" s="576"/>
      <c r="S288" s="27">
        <f t="shared" si="37"/>
        <v>0</v>
      </c>
      <c r="T288" s="30">
        <v>0</v>
      </c>
      <c r="U288" s="51"/>
      <c r="V288" s="2120">
        <f t="shared" si="38"/>
        <v>0</v>
      </c>
      <c r="W288" s="2116"/>
      <c r="X288" s="43"/>
      <c r="Y288" s="43"/>
      <c r="Z288" s="43"/>
    </row>
    <row r="289" spans="1:26">
      <c r="A289" s="91">
        <v>5005</v>
      </c>
      <c r="B289" s="1036" t="s">
        <v>802</v>
      </c>
      <c r="C289" s="1036"/>
      <c r="D289" s="1036"/>
      <c r="E289" s="1036"/>
      <c r="F289" s="1036"/>
      <c r="G289" s="92"/>
      <c r="H289" s="92"/>
      <c r="I289" s="92"/>
      <c r="J289" s="92"/>
      <c r="K289" s="92"/>
      <c r="L289" s="93"/>
      <c r="M289" s="51"/>
      <c r="N289" s="114">
        <f t="shared" si="36"/>
        <v>5005</v>
      </c>
      <c r="O289" s="10">
        <v>0</v>
      </c>
      <c r="P289" s="11">
        <v>0</v>
      </c>
      <c r="Q289" s="31">
        <v>0</v>
      </c>
      <c r="R289" s="11">
        <v>0</v>
      </c>
      <c r="S289" s="829">
        <f>+IF(ABS(+O289+Q289)&gt;=ABS(P289+R289),+O289-P289+Q289-R289,0)</f>
        <v>0</v>
      </c>
      <c r="T289" s="830">
        <v>0</v>
      </c>
      <c r="U289" s="51"/>
      <c r="V289" s="2120">
        <f t="shared" si="38"/>
        <v>0</v>
      </c>
      <c r="W289" s="2116"/>
      <c r="X289" s="43"/>
      <c r="Y289" s="43"/>
      <c r="Z289" s="43"/>
    </row>
    <row r="290" spans="1:26">
      <c r="A290" s="91">
        <v>5006</v>
      </c>
      <c r="B290" s="1036" t="s">
        <v>803</v>
      </c>
      <c r="C290" s="1036"/>
      <c r="D290" s="1036"/>
      <c r="E290" s="1036"/>
      <c r="F290" s="1036"/>
      <c r="G290" s="92"/>
      <c r="H290" s="92"/>
      <c r="I290" s="92"/>
      <c r="J290" s="92"/>
      <c r="K290" s="92"/>
      <c r="L290" s="93"/>
      <c r="M290" s="51"/>
      <c r="N290" s="114">
        <f t="shared" si="36"/>
        <v>5006</v>
      </c>
      <c r="O290" s="10">
        <v>0</v>
      </c>
      <c r="P290" s="11">
        <v>0</v>
      </c>
      <c r="Q290" s="31">
        <v>0</v>
      </c>
      <c r="R290" s="11">
        <v>0</v>
      </c>
      <c r="S290" s="829">
        <f>+IF(ABS(+O290+Q290)&gt;=ABS(P290+R290),+O290-P290+Q290-R290,0)</f>
        <v>0</v>
      </c>
      <c r="T290" s="830">
        <v>0</v>
      </c>
      <c r="U290" s="51"/>
      <c r="V290" s="2120">
        <f t="shared" si="38"/>
        <v>0</v>
      </c>
      <c r="W290" s="2116"/>
      <c r="X290" s="43"/>
      <c r="Y290" s="43"/>
      <c r="Z290" s="43"/>
    </row>
    <row r="291" spans="1:26">
      <c r="A291" s="88">
        <v>5007</v>
      </c>
      <c r="B291" s="378" t="s">
        <v>804</v>
      </c>
      <c r="C291" s="1034"/>
      <c r="D291" s="1034"/>
      <c r="E291" s="1034"/>
      <c r="F291" s="1034"/>
      <c r="G291" s="1033"/>
      <c r="H291" s="1033"/>
      <c r="I291" s="1033"/>
      <c r="J291" s="1033"/>
      <c r="K291" s="1033"/>
      <c r="L291" s="90"/>
      <c r="M291" s="51"/>
      <c r="N291" s="113">
        <f t="shared" si="36"/>
        <v>5007</v>
      </c>
      <c r="O291" s="120"/>
      <c r="P291" s="9">
        <v>0</v>
      </c>
      <c r="Q291" s="122"/>
      <c r="R291" s="576"/>
      <c r="S291" s="27">
        <f t="shared" si="37"/>
        <v>0</v>
      </c>
      <c r="T291" s="30">
        <v>0</v>
      </c>
      <c r="U291" s="51"/>
      <c r="V291" s="2120">
        <f t="shared" si="38"/>
        <v>0</v>
      </c>
      <c r="W291" s="2116"/>
      <c r="X291" s="43"/>
      <c r="Y291" s="43"/>
      <c r="Z291" s="43"/>
    </row>
    <row r="292" spans="1:26">
      <c r="A292" s="88">
        <v>5008</v>
      </c>
      <c r="B292" s="378" t="s">
        <v>805</v>
      </c>
      <c r="C292" s="1034"/>
      <c r="D292" s="1034"/>
      <c r="E292" s="1034"/>
      <c r="F292" s="1034"/>
      <c r="G292" s="1033"/>
      <c r="H292" s="1033"/>
      <c r="I292" s="1033"/>
      <c r="J292" s="1033"/>
      <c r="K292" s="1033"/>
      <c r="L292" s="90"/>
      <c r="M292" s="51"/>
      <c r="N292" s="113">
        <f t="shared" si="36"/>
        <v>5008</v>
      </c>
      <c r="O292" s="120"/>
      <c r="P292" s="9">
        <v>0</v>
      </c>
      <c r="Q292" s="122"/>
      <c r="R292" s="576"/>
      <c r="S292" s="27">
        <f t="shared" si="37"/>
        <v>0</v>
      </c>
      <c r="T292" s="30">
        <v>0</v>
      </c>
      <c r="U292" s="51"/>
      <c r="V292" s="2120">
        <f t="shared" si="38"/>
        <v>0</v>
      </c>
      <c r="W292" s="2116"/>
      <c r="X292" s="43"/>
      <c r="Y292" s="43"/>
      <c r="Z292" s="43"/>
    </row>
    <row r="293" spans="1:26">
      <c r="A293" s="91">
        <v>5009</v>
      </c>
      <c r="B293" s="1036" t="s">
        <v>806</v>
      </c>
      <c r="C293" s="1036"/>
      <c r="D293" s="1036"/>
      <c r="E293" s="1036"/>
      <c r="F293" s="1036"/>
      <c r="G293" s="92"/>
      <c r="H293" s="92"/>
      <c r="I293" s="92"/>
      <c r="J293" s="92"/>
      <c r="K293" s="92"/>
      <c r="L293" s="93"/>
      <c r="M293" s="51"/>
      <c r="N293" s="114">
        <f t="shared" si="36"/>
        <v>5009</v>
      </c>
      <c r="O293" s="10">
        <v>0</v>
      </c>
      <c r="P293" s="11">
        <v>0</v>
      </c>
      <c r="Q293" s="31">
        <v>0</v>
      </c>
      <c r="R293" s="11">
        <v>0</v>
      </c>
      <c r="S293" s="829">
        <f t="shared" ref="S293:S321" si="39">+IF(ABS(+O293+Q293)&gt;=ABS(P293+R293),+O293-P293+Q293-R293,0)</f>
        <v>0</v>
      </c>
      <c r="T293" s="830">
        <v>0</v>
      </c>
      <c r="U293" s="51"/>
      <c r="V293" s="2120">
        <f t="shared" si="38"/>
        <v>0</v>
      </c>
      <c r="W293" s="2116"/>
      <c r="X293" s="43"/>
      <c r="Y293" s="43"/>
      <c r="Z293" s="43"/>
    </row>
    <row r="294" spans="1:26">
      <c r="A294" s="88">
        <v>5011</v>
      </c>
      <c r="B294" s="378" t="s">
        <v>807</v>
      </c>
      <c r="C294" s="1034"/>
      <c r="D294" s="1034"/>
      <c r="E294" s="1034"/>
      <c r="F294" s="1034"/>
      <c r="G294" s="1033"/>
      <c r="H294" s="1033"/>
      <c r="I294" s="1033"/>
      <c r="J294" s="1033"/>
      <c r="K294" s="1033"/>
      <c r="L294" s="90"/>
      <c r="M294" s="51"/>
      <c r="N294" s="113">
        <f t="shared" si="36"/>
        <v>5011</v>
      </c>
      <c r="O294" s="120">
        <v>0</v>
      </c>
      <c r="P294" s="9">
        <v>0</v>
      </c>
      <c r="Q294" s="122">
        <v>0</v>
      </c>
      <c r="R294" s="576">
        <v>0</v>
      </c>
      <c r="S294" s="27">
        <f t="shared" si="39"/>
        <v>0</v>
      </c>
      <c r="T294" s="30">
        <v>0</v>
      </c>
      <c r="U294" s="51"/>
      <c r="V294" s="2120">
        <f t="shared" si="38"/>
        <v>0</v>
      </c>
      <c r="W294" s="2116"/>
      <c r="X294" s="43"/>
      <c r="Y294" s="43"/>
      <c r="Z294" s="43"/>
    </row>
    <row r="295" spans="1:26">
      <c r="A295" s="88">
        <v>5012</v>
      </c>
      <c r="B295" s="378" t="s">
        <v>808</v>
      </c>
      <c r="C295" s="1034"/>
      <c r="D295" s="1034"/>
      <c r="E295" s="1034"/>
      <c r="F295" s="1034"/>
      <c r="G295" s="1033"/>
      <c r="H295" s="1033"/>
      <c r="I295" s="1033"/>
      <c r="J295" s="1033"/>
      <c r="K295" s="1033"/>
      <c r="L295" s="90"/>
      <c r="M295" s="51"/>
      <c r="N295" s="113">
        <f t="shared" si="36"/>
        <v>5012</v>
      </c>
      <c r="O295" s="120">
        <v>0</v>
      </c>
      <c r="P295" s="9">
        <v>0</v>
      </c>
      <c r="Q295" s="122">
        <v>0</v>
      </c>
      <c r="R295" s="576">
        <v>0</v>
      </c>
      <c r="S295" s="583">
        <f t="shared" si="39"/>
        <v>0</v>
      </c>
      <c r="T295" s="584">
        <v>0</v>
      </c>
      <c r="U295" s="51"/>
      <c r="V295" s="2120">
        <f t="shared" si="38"/>
        <v>0</v>
      </c>
      <c r="W295" s="2116"/>
      <c r="X295" s="43"/>
      <c r="Y295" s="43"/>
      <c r="Z295" s="43"/>
    </row>
    <row r="296" spans="1:26">
      <c r="A296" s="88">
        <v>5013</v>
      </c>
      <c r="B296" s="378" t="s">
        <v>986</v>
      </c>
      <c r="C296" s="1034"/>
      <c r="D296" s="1034"/>
      <c r="E296" s="1034"/>
      <c r="F296" s="1034"/>
      <c r="G296" s="1033"/>
      <c r="H296" s="1033"/>
      <c r="I296" s="1033"/>
      <c r="J296" s="1033"/>
      <c r="K296" s="1033"/>
      <c r="L296" s="90"/>
      <c r="M296" s="51"/>
      <c r="N296" s="113">
        <f t="shared" si="36"/>
        <v>5013</v>
      </c>
      <c r="O296" s="120">
        <v>0</v>
      </c>
      <c r="P296" s="9">
        <v>0</v>
      </c>
      <c r="Q296" s="122">
        <v>0</v>
      </c>
      <c r="R296" s="576">
        <v>0</v>
      </c>
      <c r="S296" s="583">
        <f t="shared" si="39"/>
        <v>0</v>
      </c>
      <c r="T296" s="584">
        <v>0</v>
      </c>
      <c r="U296" s="51"/>
      <c r="V296" s="2120">
        <f t="shared" si="38"/>
        <v>0</v>
      </c>
      <c r="W296" s="2116"/>
      <c r="X296" s="43"/>
      <c r="Y296" s="43"/>
      <c r="Z296" s="43"/>
    </row>
    <row r="297" spans="1:26">
      <c r="A297" s="88">
        <v>5014</v>
      </c>
      <c r="B297" s="378" t="s">
        <v>987</v>
      </c>
      <c r="C297" s="1034"/>
      <c r="D297" s="1034"/>
      <c r="E297" s="1034"/>
      <c r="F297" s="1034"/>
      <c r="G297" s="1033"/>
      <c r="H297" s="1033"/>
      <c r="I297" s="1033"/>
      <c r="J297" s="1033"/>
      <c r="K297" s="1033"/>
      <c r="L297" s="90"/>
      <c r="M297" s="51"/>
      <c r="N297" s="113">
        <f t="shared" si="36"/>
        <v>5014</v>
      </c>
      <c r="O297" s="120">
        <v>0</v>
      </c>
      <c r="P297" s="9">
        <v>0</v>
      </c>
      <c r="Q297" s="122">
        <v>0</v>
      </c>
      <c r="R297" s="576">
        <v>0</v>
      </c>
      <c r="S297" s="583">
        <f t="shared" si="39"/>
        <v>0</v>
      </c>
      <c r="T297" s="584">
        <v>0</v>
      </c>
      <c r="U297" s="51"/>
      <c r="V297" s="2120">
        <f t="shared" si="38"/>
        <v>0</v>
      </c>
      <c r="W297" s="2116"/>
      <c r="X297" s="43"/>
      <c r="Y297" s="43"/>
      <c r="Z297" s="43"/>
    </row>
    <row r="298" spans="1:26">
      <c r="A298" s="88">
        <v>5015</v>
      </c>
      <c r="B298" s="378" t="s">
        <v>988</v>
      </c>
      <c r="C298" s="1034"/>
      <c r="D298" s="1034"/>
      <c r="E298" s="1034"/>
      <c r="F298" s="1034"/>
      <c r="G298" s="1033"/>
      <c r="H298" s="1033"/>
      <c r="I298" s="1033"/>
      <c r="J298" s="1033"/>
      <c r="K298" s="1033"/>
      <c r="L298" s="90"/>
      <c r="M298" s="51"/>
      <c r="N298" s="113">
        <f t="shared" si="36"/>
        <v>5015</v>
      </c>
      <c r="O298" s="120"/>
      <c r="P298" s="9">
        <v>0</v>
      </c>
      <c r="Q298" s="122"/>
      <c r="R298" s="576"/>
      <c r="S298" s="583">
        <f t="shared" si="39"/>
        <v>0</v>
      </c>
      <c r="T298" s="584">
        <v>0</v>
      </c>
      <c r="U298" s="51"/>
      <c r="V298" s="2120">
        <f t="shared" si="38"/>
        <v>0</v>
      </c>
      <c r="W298" s="2116"/>
      <c r="X298" s="43"/>
      <c r="Y298" s="43"/>
      <c r="Z298" s="43"/>
    </row>
    <row r="299" spans="1:26">
      <c r="A299" s="88">
        <v>5016</v>
      </c>
      <c r="B299" s="378" t="s">
        <v>989</v>
      </c>
      <c r="C299" s="1034"/>
      <c r="D299" s="1034"/>
      <c r="E299" s="1034"/>
      <c r="F299" s="1034"/>
      <c r="G299" s="1033"/>
      <c r="H299" s="1033"/>
      <c r="I299" s="1033"/>
      <c r="J299" s="1033"/>
      <c r="K299" s="1033"/>
      <c r="L299" s="90"/>
      <c r="M299" s="51"/>
      <c r="N299" s="113">
        <f t="shared" si="36"/>
        <v>5016</v>
      </c>
      <c r="O299" s="120">
        <v>0</v>
      </c>
      <c r="P299" s="9">
        <v>0</v>
      </c>
      <c r="Q299" s="122">
        <v>0</v>
      </c>
      <c r="R299" s="576">
        <v>0</v>
      </c>
      <c r="S299" s="583">
        <f t="shared" si="39"/>
        <v>0</v>
      </c>
      <c r="T299" s="584">
        <v>0</v>
      </c>
      <c r="U299" s="51"/>
      <c r="V299" s="2120">
        <f t="shared" si="38"/>
        <v>0</v>
      </c>
      <c r="W299" s="2116"/>
      <c r="X299" s="43"/>
      <c r="Y299" s="43"/>
      <c r="Z299" s="43"/>
    </row>
    <row r="300" spans="1:26">
      <c r="A300" s="88">
        <v>5017</v>
      </c>
      <c r="B300" s="378" t="s">
        <v>990</v>
      </c>
      <c r="C300" s="1034"/>
      <c r="D300" s="1034"/>
      <c r="E300" s="1034"/>
      <c r="F300" s="1034"/>
      <c r="G300" s="1033"/>
      <c r="H300" s="1033"/>
      <c r="I300" s="1033"/>
      <c r="J300" s="1033"/>
      <c r="K300" s="1033"/>
      <c r="L300" s="90"/>
      <c r="M300" s="51"/>
      <c r="N300" s="113">
        <f t="shared" si="36"/>
        <v>5017</v>
      </c>
      <c r="O300" s="120"/>
      <c r="P300" s="9">
        <v>0</v>
      </c>
      <c r="Q300" s="122"/>
      <c r="R300" s="576"/>
      <c r="S300" s="583">
        <f t="shared" si="39"/>
        <v>0</v>
      </c>
      <c r="T300" s="584">
        <v>0</v>
      </c>
      <c r="U300" s="51"/>
      <c r="V300" s="2120">
        <f t="shared" si="38"/>
        <v>0</v>
      </c>
      <c r="W300" s="2116"/>
      <c r="X300" s="43"/>
      <c r="Y300" s="43"/>
      <c r="Z300" s="43"/>
    </row>
    <row r="301" spans="1:26">
      <c r="A301" s="88">
        <v>5018</v>
      </c>
      <c r="B301" s="378" t="s">
        <v>991</v>
      </c>
      <c r="C301" s="1034"/>
      <c r="D301" s="1034"/>
      <c r="E301" s="1034"/>
      <c r="F301" s="1034"/>
      <c r="G301" s="1033"/>
      <c r="H301" s="1033"/>
      <c r="I301" s="1033"/>
      <c r="J301" s="1033"/>
      <c r="K301" s="1033"/>
      <c r="L301" s="90"/>
      <c r="M301" s="51"/>
      <c r="N301" s="113">
        <f t="shared" si="36"/>
        <v>5018</v>
      </c>
      <c r="O301" s="581"/>
      <c r="P301" s="582">
        <v>0</v>
      </c>
      <c r="Q301" s="589"/>
      <c r="R301" s="576"/>
      <c r="S301" s="583">
        <f t="shared" si="39"/>
        <v>0</v>
      </c>
      <c r="T301" s="584">
        <v>0</v>
      </c>
      <c r="U301" s="51"/>
      <c r="V301" s="2120">
        <f t="shared" si="38"/>
        <v>0</v>
      </c>
      <c r="W301" s="2116"/>
      <c r="X301" s="43"/>
      <c r="Y301" s="43"/>
      <c r="Z301" s="43"/>
    </row>
    <row r="302" spans="1:26">
      <c r="A302" s="88">
        <v>5022</v>
      </c>
      <c r="B302" s="378" t="s">
        <v>992</v>
      </c>
      <c r="C302" s="1034"/>
      <c r="D302" s="1034"/>
      <c r="E302" s="1034"/>
      <c r="F302" s="1034"/>
      <c r="G302" s="1033"/>
      <c r="H302" s="1033"/>
      <c r="I302" s="1033"/>
      <c r="J302" s="1033"/>
      <c r="K302" s="1033"/>
      <c r="L302" s="90"/>
      <c r="M302" s="51"/>
      <c r="N302" s="113">
        <f t="shared" si="36"/>
        <v>5022</v>
      </c>
      <c r="O302" s="581"/>
      <c r="P302" s="582">
        <v>0</v>
      </c>
      <c r="Q302" s="589"/>
      <c r="R302" s="576"/>
      <c r="S302" s="583">
        <f t="shared" si="39"/>
        <v>0</v>
      </c>
      <c r="T302" s="584">
        <v>0</v>
      </c>
      <c r="U302" s="51"/>
      <c r="V302" s="2120">
        <f t="shared" si="38"/>
        <v>0</v>
      </c>
      <c r="W302" s="2116"/>
      <c r="X302" s="43"/>
      <c r="Y302" s="43"/>
      <c r="Z302" s="43"/>
    </row>
    <row r="303" spans="1:26">
      <c r="A303" s="88">
        <v>5024</v>
      </c>
      <c r="B303" s="378" t="s">
        <v>993</v>
      </c>
      <c r="C303" s="1034"/>
      <c r="D303" s="1034"/>
      <c r="E303" s="1034"/>
      <c r="F303" s="1034"/>
      <c r="G303" s="1033"/>
      <c r="H303" s="1033"/>
      <c r="I303" s="1033"/>
      <c r="J303" s="1033"/>
      <c r="K303" s="1033"/>
      <c r="L303" s="90"/>
      <c r="M303" s="51"/>
      <c r="N303" s="113">
        <f t="shared" si="36"/>
        <v>5024</v>
      </c>
      <c r="O303" s="581"/>
      <c r="P303" s="582">
        <v>0</v>
      </c>
      <c r="Q303" s="589"/>
      <c r="R303" s="576"/>
      <c r="S303" s="583">
        <f t="shared" si="39"/>
        <v>0</v>
      </c>
      <c r="T303" s="584">
        <v>0</v>
      </c>
      <c r="U303" s="51"/>
      <c r="V303" s="2120">
        <f t="shared" si="38"/>
        <v>0</v>
      </c>
      <c r="W303" s="2116"/>
      <c r="X303" s="43"/>
      <c r="Y303" s="43"/>
      <c r="Z303" s="43"/>
    </row>
    <row r="304" spans="1:26">
      <c r="A304" s="88">
        <v>5026</v>
      </c>
      <c r="B304" s="378" t="s">
        <v>994</v>
      </c>
      <c r="C304" s="1034"/>
      <c r="D304" s="1034"/>
      <c r="E304" s="1034"/>
      <c r="F304" s="1034"/>
      <c r="G304" s="1033"/>
      <c r="H304" s="1033"/>
      <c r="I304" s="1033"/>
      <c r="J304" s="1033"/>
      <c r="K304" s="1033"/>
      <c r="L304" s="90"/>
      <c r="M304" s="51"/>
      <c r="N304" s="113">
        <f t="shared" si="36"/>
        <v>5026</v>
      </c>
      <c r="O304" s="581"/>
      <c r="P304" s="582">
        <v>0</v>
      </c>
      <c r="Q304" s="589"/>
      <c r="R304" s="576"/>
      <c r="S304" s="583">
        <f t="shared" si="39"/>
        <v>0</v>
      </c>
      <c r="T304" s="584">
        <v>0</v>
      </c>
      <c r="U304" s="51"/>
      <c r="V304" s="2120">
        <f t="shared" si="38"/>
        <v>0</v>
      </c>
      <c r="W304" s="2116"/>
      <c r="X304" s="43"/>
      <c r="Y304" s="43"/>
      <c r="Z304" s="43"/>
    </row>
    <row r="305" spans="1:26">
      <c r="A305" s="88">
        <v>5028</v>
      </c>
      <c r="B305" s="378" t="s">
        <v>995</v>
      </c>
      <c r="C305" s="1034"/>
      <c r="D305" s="1034"/>
      <c r="E305" s="1034"/>
      <c r="F305" s="1034"/>
      <c r="G305" s="1033"/>
      <c r="H305" s="1033"/>
      <c r="I305" s="1033"/>
      <c r="J305" s="1033"/>
      <c r="K305" s="1033"/>
      <c r="L305" s="90"/>
      <c r="M305" s="51"/>
      <c r="N305" s="113">
        <f t="shared" si="36"/>
        <v>5028</v>
      </c>
      <c r="O305" s="581"/>
      <c r="P305" s="582">
        <v>0</v>
      </c>
      <c r="Q305" s="589"/>
      <c r="R305" s="576"/>
      <c r="S305" s="583">
        <f t="shared" si="39"/>
        <v>0</v>
      </c>
      <c r="T305" s="584">
        <v>0</v>
      </c>
      <c r="U305" s="51"/>
      <c r="V305" s="2120">
        <f t="shared" si="38"/>
        <v>0</v>
      </c>
      <c r="W305" s="2116"/>
      <c r="X305" s="43"/>
      <c r="Y305" s="43"/>
      <c r="Z305" s="43"/>
    </row>
    <row r="306" spans="1:26">
      <c r="A306" s="88">
        <v>5071</v>
      </c>
      <c r="B306" s="378" t="s">
        <v>996</v>
      </c>
      <c r="C306" s="1034"/>
      <c r="D306" s="1034"/>
      <c r="E306" s="1034"/>
      <c r="F306" s="1034"/>
      <c r="G306" s="1033"/>
      <c r="H306" s="1033"/>
      <c r="I306" s="1033"/>
      <c r="J306" s="1033"/>
      <c r="K306" s="1033"/>
      <c r="L306" s="574"/>
      <c r="M306" s="51"/>
      <c r="N306" s="113">
        <f t="shared" si="36"/>
        <v>5071</v>
      </c>
      <c r="O306" s="581"/>
      <c r="P306" s="582">
        <v>0</v>
      </c>
      <c r="Q306" s="589"/>
      <c r="R306" s="576"/>
      <c r="S306" s="583">
        <f t="shared" si="39"/>
        <v>0</v>
      </c>
      <c r="T306" s="584">
        <v>0</v>
      </c>
      <c r="U306" s="51"/>
      <c r="V306" s="2120">
        <f t="shared" si="38"/>
        <v>0</v>
      </c>
      <c r="W306" s="2116"/>
      <c r="X306" s="43"/>
      <c r="Y306" s="43"/>
      <c r="Z306" s="43"/>
    </row>
    <row r="307" spans="1:26">
      <c r="A307" s="88">
        <v>5073</v>
      </c>
      <c r="B307" s="378" t="s">
        <v>997</v>
      </c>
      <c r="C307" s="1034"/>
      <c r="D307" s="1034"/>
      <c r="E307" s="1034"/>
      <c r="F307" s="1034"/>
      <c r="G307" s="1033"/>
      <c r="H307" s="1033"/>
      <c r="I307" s="1033"/>
      <c r="J307" s="1033"/>
      <c r="K307" s="1033"/>
      <c r="L307" s="574"/>
      <c r="M307" s="51"/>
      <c r="N307" s="113">
        <f t="shared" si="36"/>
        <v>5073</v>
      </c>
      <c r="O307" s="581"/>
      <c r="P307" s="582">
        <v>0</v>
      </c>
      <c r="Q307" s="589"/>
      <c r="R307" s="576"/>
      <c r="S307" s="583">
        <f t="shared" si="39"/>
        <v>0</v>
      </c>
      <c r="T307" s="584">
        <v>0</v>
      </c>
      <c r="U307" s="51"/>
      <c r="V307" s="2120">
        <f t="shared" si="38"/>
        <v>0</v>
      </c>
      <c r="W307" s="2116"/>
      <c r="X307" s="43"/>
      <c r="Y307" s="43"/>
      <c r="Z307" s="43"/>
    </row>
    <row r="308" spans="1:26">
      <c r="A308" s="88">
        <v>5078</v>
      </c>
      <c r="B308" s="378" t="s">
        <v>998</v>
      </c>
      <c r="C308" s="1034"/>
      <c r="D308" s="1034"/>
      <c r="E308" s="1034"/>
      <c r="F308" s="1034"/>
      <c r="G308" s="1033"/>
      <c r="H308" s="1033"/>
      <c r="I308" s="1033"/>
      <c r="J308" s="1033"/>
      <c r="K308" s="1033"/>
      <c r="L308" s="574"/>
      <c r="M308" s="51"/>
      <c r="N308" s="113">
        <f t="shared" si="36"/>
        <v>5078</v>
      </c>
      <c r="O308" s="581"/>
      <c r="P308" s="582">
        <v>0</v>
      </c>
      <c r="Q308" s="589"/>
      <c r="R308" s="576"/>
      <c r="S308" s="583">
        <f t="shared" si="39"/>
        <v>0</v>
      </c>
      <c r="T308" s="584">
        <v>0</v>
      </c>
      <c r="U308" s="51"/>
      <c r="V308" s="2120">
        <f t="shared" si="38"/>
        <v>0</v>
      </c>
      <c r="W308" s="2116"/>
      <c r="X308" s="43"/>
      <c r="Y308" s="43"/>
      <c r="Z308" s="43"/>
    </row>
    <row r="309" spans="1:26">
      <c r="A309" s="88">
        <v>5081</v>
      </c>
      <c r="B309" s="378" t="s">
        <v>999</v>
      </c>
      <c r="C309" s="1034"/>
      <c r="D309" s="1034"/>
      <c r="E309" s="1034"/>
      <c r="F309" s="1034"/>
      <c r="G309" s="1034"/>
      <c r="H309" s="1034"/>
      <c r="I309" s="1034"/>
      <c r="J309" s="1034"/>
      <c r="K309" s="1034"/>
      <c r="L309" s="574"/>
      <c r="M309" s="51"/>
      <c r="N309" s="113">
        <f t="shared" si="36"/>
        <v>5081</v>
      </c>
      <c r="O309" s="581"/>
      <c r="P309" s="582">
        <v>0</v>
      </c>
      <c r="Q309" s="589"/>
      <c r="R309" s="576"/>
      <c r="S309" s="583">
        <f t="shared" si="39"/>
        <v>0</v>
      </c>
      <c r="T309" s="584">
        <v>0</v>
      </c>
      <c r="U309" s="51"/>
      <c r="V309" s="2120">
        <f t="shared" si="38"/>
        <v>0</v>
      </c>
      <c r="W309" s="2116"/>
      <c r="X309" s="43"/>
      <c r="Y309" s="43"/>
      <c r="Z309" s="43"/>
    </row>
    <row r="310" spans="1:26">
      <c r="A310" s="88">
        <v>5082</v>
      </c>
      <c r="B310" s="378" t="s">
        <v>1000</v>
      </c>
      <c r="C310" s="1034"/>
      <c r="D310" s="1034"/>
      <c r="E310" s="1034"/>
      <c r="F310" s="1034"/>
      <c r="G310" s="1034"/>
      <c r="H310" s="1034"/>
      <c r="I310" s="1034"/>
      <c r="J310" s="1034"/>
      <c r="K310" s="1034"/>
      <c r="L310" s="574"/>
      <c r="M310" s="51"/>
      <c r="N310" s="113">
        <f t="shared" si="36"/>
        <v>5082</v>
      </c>
      <c r="O310" s="581"/>
      <c r="P310" s="582">
        <v>0</v>
      </c>
      <c r="Q310" s="589"/>
      <c r="R310" s="576"/>
      <c r="S310" s="583">
        <f t="shared" si="39"/>
        <v>0</v>
      </c>
      <c r="T310" s="584">
        <v>0</v>
      </c>
      <c r="U310" s="51"/>
      <c r="V310" s="2120">
        <f t="shared" si="38"/>
        <v>0</v>
      </c>
      <c r="W310" s="2116"/>
      <c r="X310" s="43"/>
      <c r="Y310" s="43"/>
      <c r="Z310" s="43"/>
    </row>
    <row r="311" spans="1:26">
      <c r="A311" s="88">
        <v>5091</v>
      </c>
      <c r="B311" s="378" t="s">
        <v>123</v>
      </c>
      <c r="C311" s="1034"/>
      <c r="D311" s="1034"/>
      <c r="E311" s="1034"/>
      <c r="F311" s="1034"/>
      <c r="G311" s="1033"/>
      <c r="H311" s="1033"/>
      <c r="I311" s="1033"/>
      <c r="J311" s="1033"/>
      <c r="K311" s="1033"/>
      <c r="L311" s="574"/>
      <c r="M311" s="51"/>
      <c r="N311" s="113">
        <f t="shared" si="36"/>
        <v>5091</v>
      </c>
      <c r="O311" s="120"/>
      <c r="P311" s="9">
        <v>0</v>
      </c>
      <c r="Q311" s="122"/>
      <c r="R311" s="576"/>
      <c r="S311" s="583">
        <f t="shared" si="39"/>
        <v>0</v>
      </c>
      <c r="T311" s="584">
        <v>0</v>
      </c>
      <c r="U311" s="51"/>
      <c r="V311" s="2120">
        <f t="shared" si="38"/>
        <v>0</v>
      </c>
      <c r="W311" s="2116"/>
      <c r="X311" s="43"/>
      <c r="Y311" s="43"/>
      <c r="Z311" s="43"/>
    </row>
    <row r="312" spans="1:26">
      <c r="A312" s="88">
        <v>5092</v>
      </c>
      <c r="B312" s="378" t="s">
        <v>124</v>
      </c>
      <c r="C312" s="1034"/>
      <c r="D312" s="1034"/>
      <c r="E312" s="1034"/>
      <c r="F312" s="1034"/>
      <c r="G312" s="1033"/>
      <c r="H312" s="1033"/>
      <c r="I312" s="1033"/>
      <c r="J312" s="1033"/>
      <c r="K312" s="1033"/>
      <c r="L312" s="574"/>
      <c r="M312" s="51"/>
      <c r="N312" s="113">
        <f t="shared" si="36"/>
        <v>5092</v>
      </c>
      <c r="O312" s="120"/>
      <c r="P312" s="9">
        <v>0</v>
      </c>
      <c r="Q312" s="122"/>
      <c r="R312" s="576"/>
      <c r="S312" s="583">
        <f t="shared" si="39"/>
        <v>0</v>
      </c>
      <c r="T312" s="584">
        <v>0</v>
      </c>
      <c r="U312" s="51"/>
      <c r="V312" s="2120">
        <f t="shared" si="38"/>
        <v>0</v>
      </c>
      <c r="W312" s="2116"/>
      <c r="X312" s="43"/>
      <c r="Y312" s="43"/>
      <c r="Z312" s="43"/>
    </row>
    <row r="313" spans="1:26">
      <c r="A313" s="88">
        <v>5111</v>
      </c>
      <c r="B313" s="1032" t="s">
        <v>125</v>
      </c>
      <c r="C313" s="1034"/>
      <c r="D313" s="1034"/>
      <c r="E313" s="1034"/>
      <c r="F313" s="1034"/>
      <c r="G313" s="1033"/>
      <c r="H313" s="1033"/>
      <c r="I313" s="1033"/>
      <c r="J313" s="1033"/>
      <c r="K313" s="1033"/>
      <c r="L313" s="574"/>
      <c r="M313" s="51"/>
      <c r="N313" s="113">
        <f t="shared" si="36"/>
        <v>5111</v>
      </c>
      <c r="O313" s="120"/>
      <c r="P313" s="9">
        <v>0</v>
      </c>
      <c r="Q313" s="122"/>
      <c r="R313" s="576"/>
      <c r="S313" s="583">
        <f t="shared" si="39"/>
        <v>0</v>
      </c>
      <c r="T313" s="584">
        <v>0</v>
      </c>
      <c r="U313" s="51"/>
      <c r="V313" s="2120">
        <f t="shared" si="38"/>
        <v>0</v>
      </c>
      <c r="W313" s="2116"/>
      <c r="X313" s="43"/>
      <c r="Y313" s="43"/>
      <c r="Z313" s="43"/>
    </row>
    <row r="314" spans="1:26">
      <c r="A314" s="88">
        <v>5112</v>
      </c>
      <c r="B314" s="1032" t="s">
        <v>1178</v>
      </c>
      <c r="C314" s="1034"/>
      <c r="D314" s="1034"/>
      <c r="E314" s="1034"/>
      <c r="F314" s="1034"/>
      <c r="G314" s="1033"/>
      <c r="H314" s="1033"/>
      <c r="I314" s="1033"/>
      <c r="J314" s="1033"/>
      <c r="K314" s="1033"/>
      <c r="L314" s="574"/>
      <c r="M314" s="51"/>
      <c r="N314" s="113">
        <f t="shared" si="36"/>
        <v>5112</v>
      </c>
      <c r="O314" s="120">
        <v>0</v>
      </c>
      <c r="P314" s="9">
        <v>0</v>
      </c>
      <c r="Q314" s="122">
        <v>0</v>
      </c>
      <c r="R314" s="576">
        <v>0</v>
      </c>
      <c r="S314" s="583">
        <f t="shared" si="39"/>
        <v>0</v>
      </c>
      <c r="T314" s="584">
        <v>0</v>
      </c>
      <c r="U314" s="51"/>
      <c r="V314" s="2120">
        <f t="shared" si="38"/>
        <v>0</v>
      </c>
      <c r="W314" s="2116"/>
      <c r="X314" s="43"/>
      <c r="Y314" s="43"/>
      <c r="Z314" s="43"/>
    </row>
    <row r="315" spans="1:26">
      <c r="A315" s="88">
        <v>5113</v>
      </c>
      <c r="B315" s="1032" t="s">
        <v>126</v>
      </c>
      <c r="C315" s="1034"/>
      <c r="D315" s="1034"/>
      <c r="E315" s="1034"/>
      <c r="F315" s="1034"/>
      <c r="G315" s="1033"/>
      <c r="H315" s="1033"/>
      <c r="I315" s="1033"/>
      <c r="J315" s="1033"/>
      <c r="K315" s="1033"/>
      <c r="L315" s="574"/>
      <c r="M315" s="51"/>
      <c r="N315" s="113">
        <f t="shared" si="36"/>
        <v>5113</v>
      </c>
      <c r="O315" s="120"/>
      <c r="P315" s="9">
        <v>0</v>
      </c>
      <c r="Q315" s="122"/>
      <c r="R315" s="576"/>
      <c r="S315" s="583">
        <f t="shared" si="39"/>
        <v>0</v>
      </c>
      <c r="T315" s="584">
        <v>0</v>
      </c>
      <c r="U315" s="51"/>
      <c r="V315" s="2120">
        <f t="shared" si="38"/>
        <v>0</v>
      </c>
      <c r="W315" s="2116"/>
      <c r="X315" s="43"/>
      <c r="Y315" s="43"/>
      <c r="Z315" s="43"/>
    </row>
    <row r="316" spans="1:26">
      <c r="A316" s="88">
        <v>5114</v>
      </c>
      <c r="B316" s="1032" t="s">
        <v>127</v>
      </c>
      <c r="C316" s="1034"/>
      <c r="D316" s="1034"/>
      <c r="E316" s="1034"/>
      <c r="F316" s="1034"/>
      <c r="G316" s="1033"/>
      <c r="H316" s="1033"/>
      <c r="I316" s="1033"/>
      <c r="J316" s="1033"/>
      <c r="K316" s="1033"/>
      <c r="L316" s="574"/>
      <c r="M316" s="51"/>
      <c r="N316" s="113">
        <f t="shared" si="36"/>
        <v>5114</v>
      </c>
      <c r="O316" s="120"/>
      <c r="P316" s="9">
        <v>0</v>
      </c>
      <c r="Q316" s="122"/>
      <c r="R316" s="576"/>
      <c r="S316" s="583">
        <f t="shared" si="39"/>
        <v>0</v>
      </c>
      <c r="T316" s="584">
        <v>0</v>
      </c>
      <c r="U316" s="51"/>
      <c r="V316" s="2120">
        <f t="shared" si="38"/>
        <v>0</v>
      </c>
      <c r="W316" s="2116"/>
      <c r="X316" s="43"/>
      <c r="Y316" s="43"/>
      <c r="Z316" s="43"/>
    </row>
    <row r="317" spans="1:26">
      <c r="A317" s="88">
        <v>5121</v>
      </c>
      <c r="B317" s="1032" t="s">
        <v>128</v>
      </c>
      <c r="C317" s="1034"/>
      <c r="D317" s="1034"/>
      <c r="E317" s="1034"/>
      <c r="F317" s="1034"/>
      <c r="G317" s="1033"/>
      <c r="H317" s="1033"/>
      <c r="I317" s="1033"/>
      <c r="J317" s="1033"/>
      <c r="K317" s="1033"/>
      <c r="L317" s="574"/>
      <c r="M317" s="51"/>
      <c r="N317" s="113">
        <f t="shared" si="36"/>
        <v>5121</v>
      </c>
      <c r="O317" s="120"/>
      <c r="P317" s="9">
        <v>0</v>
      </c>
      <c r="Q317" s="122"/>
      <c r="R317" s="576"/>
      <c r="S317" s="583">
        <f t="shared" si="39"/>
        <v>0</v>
      </c>
      <c r="T317" s="584">
        <v>0</v>
      </c>
      <c r="U317" s="51"/>
      <c r="V317" s="2120">
        <f t="shared" si="38"/>
        <v>0</v>
      </c>
      <c r="W317" s="2116"/>
      <c r="X317" s="43"/>
      <c r="Y317" s="43"/>
      <c r="Z317" s="43"/>
    </row>
    <row r="318" spans="1:26">
      <c r="A318" s="88">
        <v>5122</v>
      </c>
      <c r="B318" s="1032" t="s">
        <v>1163</v>
      </c>
      <c r="C318" s="1034"/>
      <c r="D318" s="1034"/>
      <c r="E318" s="1034"/>
      <c r="F318" s="1034"/>
      <c r="G318" s="1033"/>
      <c r="H318" s="1033"/>
      <c r="I318" s="1033"/>
      <c r="J318" s="1033"/>
      <c r="K318" s="1033"/>
      <c r="L318" s="574"/>
      <c r="M318" s="51"/>
      <c r="N318" s="113">
        <f t="shared" ref="N318:N344" si="40">+A318</f>
        <v>5122</v>
      </c>
      <c r="O318" s="120"/>
      <c r="P318" s="9">
        <v>0</v>
      </c>
      <c r="Q318" s="122"/>
      <c r="R318" s="576"/>
      <c r="S318" s="583">
        <f t="shared" si="39"/>
        <v>0</v>
      </c>
      <c r="T318" s="584">
        <v>0</v>
      </c>
      <c r="U318" s="51"/>
      <c r="V318" s="2120">
        <f t="shared" si="38"/>
        <v>0</v>
      </c>
      <c r="W318" s="2116"/>
      <c r="X318" s="43"/>
      <c r="Y318" s="43"/>
      <c r="Z318" s="43"/>
    </row>
    <row r="319" spans="1:26">
      <c r="A319" s="88">
        <v>5123</v>
      </c>
      <c r="B319" s="1032" t="s">
        <v>129</v>
      </c>
      <c r="C319" s="1034"/>
      <c r="D319" s="1034"/>
      <c r="E319" s="1034"/>
      <c r="F319" s="1034"/>
      <c r="G319" s="1033"/>
      <c r="H319" s="1033"/>
      <c r="I319" s="1033"/>
      <c r="J319" s="1033"/>
      <c r="K319" s="1033"/>
      <c r="L319" s="574"/>
      <c r="M319" s="51"/>
      <c r="N319" s="113">
        <f t="shared" si="40"/>
        <v>5123</v>
      </c>
      <c r="O319" s="120"/>
      <c r="P319" s="9">
        <v>0</v>
      </c>
      <c r="Q319" s="122"/>
      <c r="R319" s="576"/>
      <c r="S319" s="583">
        <f t="shared" si="39"/>
        <v>0</v>
      </c>
      <c r="T319" s="584">
        <v>0</v>
      </c>
      <c r="U319" s="51"/>
      <c r="V319" s="2120">
        <f t="shared" si="38"/>
        <v>0</v>
      </c>
      <c r="W319" s="2116"/>
      <c r="X319" s="43"/>
      <c r="Y319" s="43"/>
      <c r="Z319" s="43"/>
    </row>
    <row r="320" spans="1:26">
      <c r="A320" s="88">
        <v>5124</v>
      </c>
      <c r="B320" s="1032" t="s">
        <v>1164</v>
      </c>
      <c r="C320" s="1034"/>
      <c r="D320" s="1034"/>
      <c r="E320" s="1034"/>
      <c r="F320" s="1034"/>
      <c r="G320" s="1033"/>
      <c r="H320" s="1033"/>
      <c r="I320" s="1033"/>
      <c r="J320" s="1033"/>
      <c r="K320" s="1033"/>
      <c r="L320" s="574"/>
      <c r="M320" s="51"/>
      <c r="N320" s="113">
        <f t="shared" si="40"/>
        <v>5124</v>
      </c>
      <c r="O320" s="120"/>
      <c r="P320" s="9">
        <v>0</v>
      </c>
      <c r="Q320" s="122"/>
      <c r="R320" s="576"/>
      <c r="S320" s="583">
        <f t="shared" si="39"/>
        <v>0</v>
      </c>
      <c r="T320" s="584">
        <v>0</v>
      </c>
      <c r="U320" s="51"/>
      <c r="V320" s="2120">
        <f t="shared" si="38"/>
        <v>0</v>
      </c>
      <c r="W320" s="2116"/>
      <c r="X320" s="43"/>
      <c r="Y320" s="43"/>
      <c r="Z320" s="43"/>
    </row>
    <row r="321" spans="1:26">
      <c r="A321" s="88">
        <v>5131</v>
      </c>
      <c r="B321" s="378" t="s">
        <v>130</v>
      </c>
      <c r="C321" s="1034"/>
      <c r="D321" s="1034"/>
      <c r="E321" s="1034"/>
      <c r="F321" s="1034"/>
      <c r="G321" s="1033"/>
      <c r="H321" s="1033"/>
      <c r="I321" s="1033"/>
      <c r="J321" s="1033"/>
      <c r="K321" s="1033"/>
      <c r="L321" s="574"/>
      <c r="M321" s="51"/>
      <c r="N321" s="113">
        <f t="shared" si="40"/>
        <v>5131</v>
      </c>
      <c r="O321" s="120"/>
      <c r="P321" s="9">
        <v>0</v>
      </c>
      <c r="Q321" s="122"/>
      <c r="R321" s="576"/>
      <c r="S321" s="583">
        <f t="shared" si="39"/>
        <v>0</v>
      </c>
      <c r="T321" s="584">
        <v>0</v>
      </c>
      <c r="U321" s="51"/>
      <c r="V321" s="2120">
        <f t="shared" si="38"/>
        <v>0</v>
      </c>
      <c r="W321" s="2116"/>
      <c r="X321" s="43"/>
      <c r="Y321" s="43"/>
      <c r="Z321" s="43"/>
    </row>
    <row r="322" spans="1:26">
      <c r="A322" s="88">
        <v>5139</v>
      </c>
      <c r="B322" s="378" t="s">
        <v>135</v>
      </c>
      <c r="C322" s="1034"/>
      <c r="D322" s="1034"/>
      <c r="E322" s="1034"/>
      <c r="F322" s="1034"/>
      <c r="G322" s="1033"/>
      <c r="H322" s="1033"/>
      <c r="I322" s="1033"/>
      <c r="J322" s="1033"/>
      <c r="K322" s="1033"/>
      <c r="L322" s="574"/>
      <c r="M322" s="51"/>
      <c r="N322" s="113">
        <f t="shared" si="40"/>
        <v>5139</v>
      </c>
      <c r="O322" s="120"/>
      <c r="P322" s="121"/>
      <c r="Q322" s="122"/>
      <c r="R322" s="121"/>
      <c r="S322" s="583">
        <f>+IF(ABS(+O322+Q322)&gt;=ABS(P322+R322),+O322-P322+Q322-R322,0)</f>
        <v>0</v>
      </c>
      <c r="T322" s="580">
        <f>+IF(ABS(+O322+Q322)&lt;=ABS(P322+R322),-O322+P322-Q322+R322,0)</f>
        <v>0</v>
      </c>
      <c r="U322" s="51"/>
      <c r="V322" s="2119"/>
      <c r="W322" s="2116"/>
      <c r="X322" s="43"/>
      <c r="Y322" s="43"/>
      <c r="Z322" s="43"/>
    </row>
    <row r="323" spans="1:26">
      <c r="A323" s="88">
        <v>5141</v>
      </c>
      <c r="B323" s="378" t="s">
        <v>131</v>
      </c>
      <c r="C323" s="1034"/>
      <c r="D323" s="1034"/>
      <c r="E323" s="1034"/>
      <c r="F323" s="1034"/>
      <c r="G323" s="1033"/>
      <c r="H323" s="1033"/>
      <c r="I323" s="1033"/>
      <c r="J323" s="1033"/>
      <c r="K323" s="1033"/>
      <c r="L323" s="574"/>
      <c r="M323" s="51"/>
      <c r="N323" s="113">
        <f t="shared" si="40"/>
        <v>5141</v>
      </c>
      <c r="O323" s="120"/>
      <c r="P323" s="9">
        <v>0</v>
      </c>
      <c r="Q323" s="122"/>
      <c r="R323" s="576"/>
      <c r="S323" s="583">
        <f>+IF(ABS(+O323+Q323)&gt;=ABS(P323+R323),+O323-P323+Q323-R323,0)</f>
        <v>0</v>
      </c>
      <c r="T323" s="584">
        <v>0</v>
      </c>
      <c r="U323" s="51"/>
      <c r="V323" s="2120">
        <f>+IF(OR(ROUND(P323,2)+ROUND(R323,2)&gt;+ROUND(O323,2)+ROUND(Q323,2),+ABS(ROUND(P323,2)+ROUND(R323,2))&gt;+ABS(ROUND(O323,2)+ROUND(Q323,2))),+(ROUND(P323,2)+ROUND(R323,2))-(ROUND(O323,2)+ROUND(Q323,2)),0)</f>
        <v>0</v>
      </c>
      <c r="W323" s="2116"/>
      <c r="X323" s="43"/>
      <c r="Y323" s="43"/>
      <c r="Z323" s="43"/>
    </row>
    <row r="324" spans="1:26">
      <c r="A324" s="88">
        <v>5142</v>
      </c>
      <c r="B324" s="378" t="s">
        <v>132</v>
      </c>
      <c r="C324" s="1034"/>
      <c r="D324" s="1034"/>
      <c r="E324" s="1034"/>
      <c r="F324" s="1034"/>
      <c r="G324" s="1033"/>
      <c r="H324" s="1033"/>
      <c r="I324" s="1033"/>
      <c r="J324" s="1033"/>
      <c r="K324" s="1033"/>
      <c r="L324" s="574"/>
      <c r="M324" s="51"/>
      <c r="N324" s="113">
        <f t="shared" si="40"/>
        <v>5142</v>
      </c>
      <c r="O324" s="120"/>
      <c r="P324" s="9">
        <v>0</v>
      </c>
      <c r="Q324" s="122"/>
      <c r="R324" s="576"/>
      <c r="S324" s="583">
        <f>+IF(ABS(+O324+Q324)&gt;=ABS(P324+R324),+O324-P324+Q324-R324,0)</f>
        <v>0</v>
      </c>
      <c r="T324" s="584">
        <v>0</v>
      </c>
      <c r="U324" s="51"/>
      <c r="V324" s="2120">
        <f>+IF(OR(ROUND(P324,2)+ROUND(R324,2)&gt;+ROUND(O324,2)+ROUND(Q324,2),+ABS(ROUND(P324,2)+ROUND(R324,2))&gt;+ABS(ROUND(O324,2)+ROUND(Q324,2))),+(ROUND(P324,2)+ROUND(R324,2))-(ROUND(O324,2)+ROUND(Q324,2)),0)</f>
        <v>0</v>
      </c>
      <c r="W324" s="2116"/>
      <c r="X324" s="43"/>
      <c r="Y324" s="43"/>
      <c r="Z324" s="43"/>
    </row>
    <row r="325" spans="1:26">
      <c r="A325" s="88">
        <v>5143</v>
      </c>
      <c r="B325" s="378" t="s">
        <v>133</v>
      </c>
      <c r="C325" s="1033"/>
      <c r="D325" s="1033"/>
      <c r="E325" s="1033"/>
      <c r="F325" s="1033"/>
      <c r="G325" s="1033"/>
      <c r="H325" s="1033"/>
      <c r="I325" s="1033"/>
      <c r="J325" s="1033"/>
      <c r="K325" s="1033"/>
      <c r="L325" s="574"/>
      <c r="M325" s="51"/>
      <c r="N325" s="113">
        <f t="shared" si="40"/>
        <v>5143</v>
      </c>
      <c r="O325" s="120"/>
      <c r="P325" s="9">
        <v>0</v>
      </c>
      <c r="Q325" s="122"/>
      <c r="R325" s="576"/>
      <c r="S325" s="583">
        <f>+IF(ABS(+O325+Q325)&gt;=ABS(P325+R325),+O325-P325+Q325-R325,0)</f>
        <v>0</v>
      </c>
      <c r="T325" s="584">
        <v>0</v>
      </c>
      <c r="U325" s="51"/>
      <c r="V325" s="2120">
        <f>+IF(OR(ROUND(P325,2)+ROUND(R325,2)&gt;+ROUND(O325,2)+ROUND(Q325,2),+ABS(ROUND(P325,2)+ROUND(R325,2))&gt;+ABS(ROUND(O325,2)+ROUND(Q325,2))),+(ROUND(P325,2)+ROUND(R325,2))-(ROUND(O325,2)+ROUND(Q325,2)),0)</f>
        <v>0</v>
      </c>
      <c r="W325" s="2116"/>
      <c r="X325" s="43"/>
      <c r="Y325" s="43"/>
      <c r="Z325" s="43"/>
    </row>
    <row r="326" spans="1:26">
      <c r="A326" s="88">
        <v>5144</v>
      </c>
      <c r="B326" s="378" t="s">
        <v>134</v>
      </c>
      <c r="C326" s="1033"/>
      <c r="D326" s="1033"/>
      <c r="E326" s="1033"/>
      <c r="F326" s="1033"/>
      <c r="G326" s="1033"/>
      <c r="H326" s="1033"/>
      <c r="I326" s="1033"/>
      <c r="J326" s="1033"/>
      <c r="K326" s="1033"/>
      <c r="L326" s="574"/>
      <c r="M326" s="51"/>
      <c r="N326" s="113">
        <f t="shared" si="40"/>
        <v>5144</v>
      </c>
      <c r="O326" s="120"/>
      <c r="P326" s="9">
        <v>0</v>
      </c>
      <c r="Q326" s="122"/>
      <c r="R326" s="576"/>
      <c r="S326" s="583">
        <f>+IF(ABS(+O326+Q326)&gt;=ABS(P326+R326),+O326-P326+Q326-R326,0)</f>
        <v>0</v>
      </c>
      <c r="T326" s="584">
        <v>0</v>
      </c>
      <c r="U326" s="51"/>
      <c r="V326" s="2120">
        <f>+IF(OR(ROUND(P326,2)+ROUND(R326,2)&gt;+ROUND(O326,2)+ROUND(Q326,2),+ABS(ROUND(P326,2)+ROUND(R326,2))&gt;+ABS(ROUND(O326,2)+ROUND(Q326,2))),+(ROUND(P326,2)+ROUND(R326,2))-(ROUND(O326,2)+ROUND(Q326,2)),0)</f>
        <v>0</v>
      </c>
      <c r="W326" s="2116"/>
      <c r="X326" s="43"/>
      <c r="Y326" s="43"/>
      <c r="Z326" s="43"/>
    </row>
    <row r="327" spans="1:26">
      <c r="A327" s="88">
        <v>5145</v>
      </c>
      <c r="B327" s="378" t="s">
        <v>136</v>
      </c>
      <c r="C327" s="1033"/>
      <c r="D327" s="1033"/>
      <c r="E327" s="1033"/>
      <c r="F327" s="1033"/>
      <c r="G327" s="1033"/>
      <c r="H327" s="1033"/>
      <c r="I327" s="1033"/>
      <c r="J327" s="1033"/>
      <c r="K327" s="1033"/>
      <c r="L327" s="574"/>
      <c r="M327" s="51"/>
      <c r="N327" s="113">
        <f t="shared" si="40"/>
        <v>5145</v>
      </c>
      <c r="O327" s="120"/>
      <c r="P327" s="121"/>
      <c r="Q327" s="122"/>
      <c r="R327" s="121"/>
      <c r="S327" s="583">
        <f t="shared" ref="S327:S363" si="41">+IF(ABS(+O327+Q327)&gt;=ABS(P327+R327),+O327-P327+Q327-R327,0)</f>
        <v>0</v>
      </c>
      <c r="T327" s="580">
        <f>+IF(ABS(+O327+Q327)&lt;=ABS(P327+R327),-O327+P327-Q327+R327,0)</f>
        <v>0</v>
      </c>
      <c r="U327" s="51"/>
      <c r="V327" s="2119"/>
      <c r="W327" s="2116"/>
      <c r="X327" s="43"/>
      <c r="Y327" s="43"/>
      <c r="Z327" s="43"/>
    </row>
    <row r="328" spans="1:26">
      <c r="A328" s="88">
        <v>5146</v>
      </c>
      <c r="B328" s="378" t="s">
        <v>137</v>
      </c>
      <c r="C328" s="1033"/>
      <c r="D328" s="1033"/>
      <c r="E328" s="1033"/>
      <c r="F328" s="1033"/>
      <c r="G328" s="1033"/>
      <c r="H328" s="1033"/>
      <c r="I328" s="1033"/>
      <c r="J328" s="1033"/>
      <c r="K328" s="1033"/>
      <c r="L328" s="574"/>
      <c r="M328" s="51"/>
      <c r="N328" s="113">
        <f t="shared" si="40"/>
        <v>5146</v>
      </c>
      <c r="O328" s="581"/>
      <c r="P328" s="576"/>
      <c r="Q328" s="589"/>
      <c r="R328" s="576"/>
      <c r="S328" s="583">
        <f t="shared" si="41"/>
        <v>0</v>
      </c>
      <c r="T328" s="580">
        <f>+IF(ABS(+O328+Q328)&lt;=ABS(P328+R328),-O328+P328-Q328+R328,0)</f>
        <v>0</v>
      </c>
      <c r="U328" s="51"/>
      <c r="V328" s="2119"/>
      <c r="W328" s="2116"/>
      <c r="X328" s="43"/>
      <c r="Y328" s="43"/>
      <c r="Z328" s="43"/>
    </row>
    <row r="329" spans="1:26">
      <c r="A329" s="88">
        <v>5147</v>
      </c>
      <c r="B329" s="378" t="s">
        <v>138</v>
      </c>
      <c r="C329" s="1033"/>
      <c r="D329" s="1033"/>
      <c r="E329" s="1033"/>
      <c r="F329" s="1033"/>
      <c r="G329" s="1033"/>
      <c r="H329" s="1033"/>
      <c r="I329" s="1033"/>
      <c r="J329" s="1033"/>
      <c r="K329" s="1033"/>
      <c r="L329" s="574"/>
      <c r="M329" s="51"/>
      <c r="N329" s="113">
        <f t="shared" si="40"/>
        <v>5147</v>
      </c>
      <c r="O329" s="581"/>
      <c r="P329" s="576"/>
      <c r="Q329" s="589"/>
      <c r="R329" s="576"/>
      <c r="S329" s="583">
        <f t="shared" si="41"/>
        <v>0</v>
      </c>
      <c r="T329" s="580">
        <f>+IF(ABS(+O329+Q329)&lt;=ABS(P329+R329),-O329+P329-Q329+R329,0)</f>
        <v>0</v>
      </c>
      <c r="U329" s="51"/>
      <c r="V329" s="2119"/>
      <c r="W329" s="2116"/>
      <c r="X329" s="43"/>
      <c r="Y329" s="43"/>
      <c r="Z329" s="43"/>
    </row>
    <row r="330" spans="1:26">
      <c r="A330" s="88">
        <v>5148</v>
      </c>
      <c r="B330" s="378" t="s">
        <v>139</v>
      </c>
      <c r="C330" s="1033"/>
      <c r="D330" s="1033"/>
      <c r="E330" s="1033"/>
      <c r="F330" s="1033"/>
      <c r="G330" s="1033"/>
      <c r="H330" s="1033"/>
      <c r="I330" s="1033"/>
      <c r="J330" s="1033"/>
      <c r="K330" s="1033"/>
      <c r="L330" s="574"/>
      <c r="M330" s="51"/>
      <c r="N330" s="113">
        <f t="shared" si="40"/>
        <v>5148</v>
      </c>
      <c r="O330" s="581"/>
      <c r="P330" s="576"/>
      <c r="Q330" s="589"/>
      <c r="R330" s="576"/>
      <c r="S330" s="583">
        <f t="shared" si="41"/>
        <v>0</v>
      </c>
      <c r="T330" s="580">
        <f>+IF(ABS(+O330+Q330)&lt;=ABS(P330+R330),-O330+P330-Q330+R330,0)</f>
        <v>0</v>
      </c>
      <c r="U330" s="51"/>
      <c r="V330" s="2119"/>
      <c r="W330" s="2116"/>
      <c r="X330" s="43"/>
      <c r="Y330" s="43"/>
      <c r="Z330" s="43"/>
    </row>
    <row r="331" spans="1:26">
      <c r="A331" s="88">
        <v>5181</v>
      </c>
      <c r="B331" s="378" t="s">
        <v>140</v>
      </c>
      <c r="C331" s="1033"/>
      <c r="D331" s="1033"/>
      <c r="E331" s="1033"/>
      <c r="F331" s="1033"/>
      <c r="G331" s="1033"/>
      <c r="H331" s="1033"/>
      <c r="I331" s="1033"/>
      <c r="J331" s="1033"/>
      <c r="K331" s="1033"/>
      <c r="L331" s="574"/>
      <c r="M331" s="51"/>
      <c r="N331" s="113">
        <f t="shared" si="40"/>
        <v>5181</v>
      </c>
      <c r="O331" s="581"/>
      <c r="P331" s="582">
        <v>0</v>
      </c>
      <c r="Q331" s="589"/>
      <c r="R331" s="576"/>
      <c r="S331" s="583">
        <f t="shared" si="41"/>
        <v>0</v>
      </c>
      <c r="T331" s="584">
        <v>0</v>
      </c>
      <c r="U331" s="51"/>
      <c r="V331" s="2120">
        <f t="shared" ref="V331:V336" si="42">+IF(OR(ROUND(P331,2)+ROUND(R331,2)&gt;+ROUND(O331,2)+ROUND(Q331,2),+ABS(ROUND(P331,2)+ROUND(R331,2))&gt;+ABS(ROUND(O331,2)+ROUND(Q331,2))),+(ROUND(P331,2)+ROUND(R331,2))-(ROUND(O331,2)+ROUND(Q331,2)),0)</f>
        <v>0</v>
      </c>
      <c r="W331" s="2116"/>
      <c r="X331" s="43"/>
      <c r="Y331" s="43"/>
      <c r="Z331" s="43"/>
    </row>
    <row r="332" spans="1:26">
      <c r="A332" s="88">
        <v>5184</v>
      </c>
      <c r="B332" s="378" t="s">
        <v>141</v>
      </c>
      <c r="C332" s="1033"/>
      <c r="D332" s="1033"/>
      <c r="E332" s="1033"/>
      <c r="F332" s="1033"/>
      <c r="G332" s="1033"/>
      <c r="H332" s="1033"/>
      <c r="I332" s="1033"/>
      <c r="J332" s="1033"/>
      <c r="K332" s="1033"/>
      <c r="L332" s="574"/>
      <c r="M332" s="51"/>
      <c r="N332" s="113">
        <f t="shared" si="40"/>
        <v>5184</v>
      </c>
      <c r="O332" s="581"/>
      <c r="P332" s="582">
        <v>0</v>
      </c>
      <c r="Q332" s="589"/>
      <c r="R332" s="576"/>
      <c r="S332" s="583">
        <f t="shared" si="41"/>
        <v>0</v>
      </c>
      <c r="T332" s="584">
        <v>0</v>
      </c>
      <c r="U332" s="51"/>
      <c r="V332" s="2120">
        <f t="shared" si="42"/>
        <v>0</v>
      </c>
      <c r="W332" s="2116"/>
      <c r="X332" s="43"/>
      <c r="Y332" s="43"/>
      <c r="Z332" s="43"/>
    </row>
    <row r="333" spans="1:26">
      <c r="A333" s="88">
        <v>5186</v>
      </c>
      <c r="B333" s="378" t="s">
        <v>773</v>
      </c>
      <c r="C333" s="1033"/>
      <c r="D333" s="1033"/>
      <c r="E333" s="1033"/>
      <c r="F333" s="1033"/>
      <c r="G333" s="1033"/>
      <c r="H333" s="1033"/>
      <c r="I333" s="1033"/>
      <c r="J333" s="1033"/>
      <c r="K333" s="1033"/>
      <c r="L333" s="574"/>
      <c r="M333" s="51"/>
      <c r="N333" s="113">
        <f t="shared" si="40"/>
        <v>5186</v>
      </c>
      <c r="O333" s="581"/>
      <c r="P333" s="582">
        <v>0</v>
      </c>
      <c r="Q333" s="589"/>
      <c r="R333" s="576"/>
      <c r="S333" s="583">
        <f t="shared" si="41"/>
        <v>0</v>
      </c>
      <c r="T333" s="584">
        <v>0</v>
      </c>
      <c r="U333" s="51"/>
      <c r="V333" s="2120">
        <f t="shared" si="42"/>
        <v>0</v>
      </c>
      <c r="W333" s="2116"/>
      <c r="X333" s="43"/>
      <c r="Y333" s="43"/>
      <c r="Z333" s="43"/>
    </row>
    <row r="334" spans="1:26">
      <c r="A334" s="88">
        <v>5188</v>
      </c>
      <c r="B334" s="378" t="s">
        <v>774</v>
      </c>
      <c r="C334" s="1033"/>
      <c r="D334" s="1033"/>
      <c r="E334" s="1033"/>
      <c r="F334" s="1033"/>
      <c r="G334" s="1033"/>
      <c r="H334" s="1033"/>
      <c r="I334" s="1033"/>
      <c r="J334" s="1033"/>
      <c r="K334" s="1033"/>
      <c r="L334" s="574"/>
      <c r="M334" s="51"/>
      <c r="N334" s="113">
        <f t="shared" si="40"/>
        <v>5188</v>
      </c>
      <c r="O334" s="581"/>
      <c r="P334" s="582">
        <v>0</v>
      </c>
      <c r="Q334" s="589"/>
      <c r="R334" s="576"/>
      <c r="S334" s="583">
        <f t="shared" si="41"/>
        <v>0</v>
      </c>
      <c r="T334" s="584">
        <v>0</v>
      </c>
      <c r="U334" s="51"/>
      <c r="V334" s="2120">
        <f t="shared" si="42"/>
        <v>0</v>
      </c>
      <c r="W334" s="2116"/>
      <c r="X334" s="43"/>
      <c r="Y334" s="43"/>
      <c r="Z334" s="43"/>
    </row>
    <row r="335" spans="1:26">
      <c r="A335" s="88">
        <v>5189</v>
      </c>
      <c r="B335" s="378" t="s">
        <v>775</v>
      </c>
      <c r="C335" s="1033"/>
      <c r="D335" s="1033"/>
      <c r="E335" s="1033"/>
      <c r="F335" s="1033"/>
      <c r="G335" s="1033"/>
      <c r="H335" s="1033"/>
      <c r="I335" s="1033"/>
      <c r="J335" s="1033"/>
      <c r="K335" s="1033"/>
      <c r="L335" s="574"/>
      <c r="M335" s="51"/>
      <c r="N335" s="113">
        <f t="shared" si="40"/>
        <v>5189</v>
      </c>
      <c r="O335" s="581"/>
      <c r="P335" s="582">
        <v>0</v>
      </c>
      <c r="Q335" s="589"/>
      <c r="R335" s="576"/>
      <c r="S335" s="583">
        <f t="shared" si="41"/>
        <v>0</v>
      </c>
      <c r="T335" s="584">
        <v>0</v>
      </c>
      <c r="U335" s="51"/>
      <c r="V335" s="2120">
        <f t="shared" si="42"/>
        <v>0</v>
      </c>
      <c r="W335" s="2116"/>
      <c r="X335" s="43"/>
      <c r="Y335" s="43"/>
      <c r="Z335" s="43"/>
    </row>
    <row r="336" spans="1:26">
      <c r="A336" s="88">
        <v>5191</v>
      </c>
      <c r="B336" s="1032" t="s">
        <v>1165</v>
      </c>
      <c r="C336" s="1033"/>
      <c r="D336" s="1033"/>
      <c r="E336" s="1033"/>
      <c r="F336" s="1033"/>
      <c r="G336" s="1033"/>
      <c r="H336" s="1033"/>
      <c r="I336" s="1033"/>
      <c r="J336" s="1033"/>
      <c r="K336" s="1033"/>
      <c r="L336" s="574"/>
      <c r="M336" s="51"/>
      <c r="N336" s="113">
        <f t="shared" si="40"/>
        <v>5191</v>
      </c>
      <c r="O336" s="581"/>
      <c r="P336" s="582">
        <v>0</v>
      </c>
      <c r="Q336" s="325"/>
      <c r="R336" s="576"/>
      <c r="S336" s="583">
        <f t="shared" si="41"/>
        <v>0</v>
      </c>
      <c r="T336" s="584">
        <v>0</v>
      </c>
      <c r="U336" s="51"/>
      <c r="V336" s="2120">
        <f t="shared" si="42"/>
        <v>0</v>
      </c>
      <c r="W336" s="2116"/>
      <c r="X336" s="43"/>
      <c r="Y336" s="43"/>
      <c r="Z336" s="43"/>
    </row>
    <row r="337" spans="1:26">
      <c r="A337" s="88">
        <v>5192</v>
      </c>
      <c r="B337" s="1032" t="s">
        <v>1166</v>
      </c>
      <c r="C337" s="1033"/>
      <c r="D337" s="1033"/>
      <c r="E337" s="1033"/>
      <c r="F337" s="1033"/>
      <c r="G337" s="1033"/>
      <c r="H337" s="1033"/>
      <c r="I337" s="1033"/>
      <c r="J337" s="1033"/>
      <c r="K337" s="1033"/>
      <c r="L337" s="574"/>
      <c r="M337" s="51"/>
      <c r="N337" s="113">
        <f t="shared" si="40"/>
        <v>5192</v>
      </c>
      <c r="O337" s="575">
        <v>0</v>
      </c>
      <c r="P337" s="576"/>
      <c r="Q337" s="325"/>
      <c r="R337" s="121"/>
      <c r="S337" s="579">
        <v>0</v>
      </c>
      <c r="T337" s="580">
        <f>+IF(ABS(+O337+Q337)&lt;=ABS(P337+R337),-O337+P337-Q337+R337,0)</f>
        <v>0</v>
      </c>
      <c r="U337" s="51"/>
      <c r="V337" s="2119">
        <f>+IF(OR(+ROUND(O337,2)+ROUND(Q337,2)&gt;ROUND(P337,2)+ROUND(R337,2),+ABS(ROUND(O337,2)+ROUND(Q337,2))&gt;+ABS(ROUND(P337,2)+ROUND(R337,2))),+(ROUND(O337,2)+ROUND(Q337,2))-(ROUND(P337,2)+ROUND(R337,2)),0)</f>
        <v>0</v>
      </c>
      <c r="W337" s="2116"/>
      <c r="X337" s="43"/>
      <c r="Y337" s="43"/>
      <c r="Z337" s="43"/>
    </row>
    <row r="338" spans="1:26">
      <c r="A338" s="88">
        <v>5197</v>
      </c>
      <c r="B338" s="1032" t="s">
        <v>1167</v>
      </c>
      <c r="C338" s="1033"/>
      <c r="D338" s="1033"/>
      <c r="E338" s="1033"/>
      <c r="F338" s="1033"/>
      <c r="G338" s="1033"/>
      <c r="H338" s="1033"/>
      <c r="I338" s="1033"/>
      <c r="J338" s="1033"/>
      <c r="K338" s="1033"/>
      <c r="L338" s="574"/>
      <c r="M338" s="51"/>
      <c r="N338" s="113">
        <f t="shared" si="40"/>
        <v>5197</v>
      </c>
      <c r="O338" s="581"/>
      <c r="P338" s="582">
        <v>0</v>
      </c>
      <c r="Q338" s="589"/>
      <c r="R338" s="576"/>
      <c r="S338" s="583">
        <f t="shared" ref="S338:S343" si="43">+IF(ABS(+O338+Q338)&gt;=ABS(P338+R338),+O338-P338+Q338-R338,0)</f>
        <v>0</v>
      </c>
      <c r="T338" s="584">
        <v>0</v>
      </c>
      <c r="U338" s="51"/>
      <c r="V338" s="2120">
        <f t="shared" ref="V338:V343" si="44">+IF(OR(ROUND(P338,2)+ROUND(R338,2)&gt;+ROUND(O338,2)+ROUND(Q338,2),+ABS(ROUND(P338,2)+ROUND(R338,2))&gt;+ABS(ROUND(O338,2)+ROUND(Q338,2))),+(ROUND(P338,2)+ROUND(R338,2))-(ROUND(O338,2)+ROUND(Q338,2)),0)</f>
        <v>0</v>
      </c>
      <c r="W338" s="2116"/>
      <c r="X338" s="43"/>
      <c r="Y338" s="43"/>
      <c r="Z338" s="43"/>
    </row>
    <row r="339" spans="1:26">
      <c r="A339" s="88">
        <v>5198</v>
      </c>
      <c r="B339" s="1032" t="s">
        <v>1168</v>
      </c>
      <c r="C339" s="1033"/>
      <c r="D339" s="1033"/>
      <c r="E339" s="1033"/>
      <c r="F339" s="1033"/>
      <c r="G339" s="1033"/>
      <c r="H339" s="1033"/>
      <c r="I339" s="1033"/>
      <c r="J339" s="1033"/>
      <c r="K339" s="1033"/>
      <c r="L339" s="574"/>
      <c r="M339" s="51"/>
      <c r="N339" s="113">
        <f t="shared" si="40"/>
        <v>5198</v>
      </c>
      <c r="O339" s="581"/>
      <c r="P339" s="582">
        <v>0</v>
      </c>
      <c r="Q339" s="589"/>
      <c r="R339" s="576"/>
      <c r="S339" s="583">
        <f t="shared" si="43"/>
        <v>0</v>
      </c>
      <c r="T339" s="584">
        <v>0</v>
      </c>
      <c r="U339" s="51"/>
      <c r="V339" s="2120">
        <f t="shared" si="44"/>
        <v>0</v>
      </c>
      <c r="W339" s="2116"/>
      <c r="X339" s="43"/>
      <c r="Y339" s="43"/>
      <c r="Z339" s="43"/>
    </row>
    <row r="340" spans="1:26">
      <c r="A340" s="88">
        <v>5211</v>
      </c>
      <c r="B340" s="378" t="s">
        <v>776</v>
      </c>
      <c r="C340" s="1033"/>
      <c r="D340" s="1033"/>
      <c r="E340" s="1033"/>
      <c r="F340" s="1033"/>
      <c r="G340" s="1033"/>
      <c r="H340" s="1033"/>
      <c r="I340" s="1033"/>
      <c r="J340" s="1033"/>
      <c r="K340" s="1033"/>
      <c r="L340" s="574"/>
      <c r="M340" s="51"/>
      <c r="N340" s="113">
        <f t="shared" si="40"/>
        <v>5211</v>
      </c>
      <c r="O340" s="120"/>
      <c r="P340" s="9">
        <v>0</v>
      </c>
      <c r="Q340" s="122"/>
      <c r="R340" s="576"/>
      <c r="S340" s="583">
        <f t="shared" si="43"/>
        <v>0</v>
      </c>
      <c r="T340" s="584">
        <v>0</v>
      </c>
      <c r="U340" s="51"/>
      <c r="V340" s="2120">
        <f t="shared" si="44"/>
        <v>0</v>
      </c>
      <c r="W340" s="2116"/>
      <c r="X340" s="43"/>
      <c r="Y340" s="43"/>
      <c r="Z340" s="43"/>
    </row>
    <row r="341" spans="1:26">
      <c r="A341" s="88">
        <v>5213</v>
      </c>
      <c r="B341" s="378" t="s">
        <v>777</v>
      </c>
      <c r="C341" s="1033"/>
      <c r="D341" s="1033"/>
      <c r="E341" s="1033"/>
      <c r="F341" s="1033"/>
      <c r="G341" s="1033"/>
      <c r="H341" s="1033"/>
      <c r="I341" s="1033"/>
      <c r="J341" s="1033"/>
      <c r="K341" s="1033"/>
      <c r="L341" s="574"/>
      <c r="M341" s="51"/>
      <c r="N341" s="113">
        <f t="shared" si="40"/>
        <v>5213</v>
      </c>
      <c r="O341" s="120"/>
      <c r="P341" s="9">
        <v>0</v>
      </c>
      <c r="Q341" s="122"/>
      <c r="R341" s="576"/>
      <c r="S341" s="583">
        <f t="shared" si="43"/>
        <v>0</v>
      </c>
      <c r="T341" s="584">
        <v>0</v>
      </c>
      <c r="U341" s="51"/>
      <c r="V341" s="2120">
        <f t="shared" si="44"/>
        <v>0</v>
      </c>
      <c r="W341" s="2116"/>
      <c r="X341" s="43"/>
      <c r="Y341" s="43"/>
      <c r="Z341" s="43"/>
    </row>
    <row r="342" spans="1:26">
      <c r="A342" s="88">
        <v>5215</v>
      </c>
      <c r="B342" s="378" t="s">
        <v>778</v>
      </c>
      <c r="C342" s="1033"/>
      <c r="D342" s="1033"/>
      <c r="E342" s="1033"/>
      <c r="F342" s="1033"/>
      <c r="G342" s="1033"/>
      <c r="H342" s="1033"/>
      <c r="I342" s="1033"/>
      <c r="J342" s="1033"/>
      <c r="K342" s="1033"/>
      <c r="L342" s="574"/>
      <c r="M342" s="51"/>
      <c r="N342" s="113">
        <f t="shared" si="40"/>
        <v>5215</v>
      </c>
      <c r="O342" s="120"/>
      <c r="P342" s="9">
        <v>0</v>
      </c>
      <c r="Q342" s="122"/>
      <c r="R342" s="576"/>
      <c r="S342" s="583">
        <f t="shared" si="43"/>
        <v>0</v>
      </c>
      <c r="T342" s="584">
        <v>0</v>
      </c>
      <c r="U342" s="51"/>
      <c r="V342" s="2120">
        <f t="shared" si="44"/>
        <v>0</v>
      </c>
      <c r="W342" s="2116"/>
      <c r="X342" s="43"/>
      <c r="Y342" s="43"/>
      <c r="Z342" s="43"/>
    </row>
    <row r="343" spans="1:26">
      <c r="A343" s="88">
        <v>5217</v>
      </c>
      <c r="B343" s="378" t="s">
        <v>779</v>
      </c>
      <c r="C343" s="1033"/>
      <c r="D343" s="1033"/>
      <c r="E343" s="1033"/>
      <c r="F343" s="1033"/>
      <c r="G343" s="1033"/>
      <c r="H343" s="1033"/>
      <c r="I343" s="1033"/>
      <c r="J343" s="1033"/>
      <c r="K343" s="1033"/>
      <c r="L343" s="574"/>
      <c r="M343" s="51"/>
      <c r="N343" s="113">
        <f t="shared" si="40"/>
        <v>5217</v>
      </c>
      <c r="O343" s="120"/>
      <c r="P343" s="9">
        <v>0</v>
      </c>
      <c r="Q343" s="122"/>
      <c r="R343" s="576"/>
      <c r="S343" s="583">
        <f t="shared" si="43"/>
        <v>0</v>
      </c>
      <c r="T343" s="584">
        <v>0</v>
      </c>
      <c r="U343" s="51"/>
      <c r="V343" s="2120">
        <f t="shared" si="44"/>
        <v>0</v>
      </c>
      <c r="W343" s="2116"/>
      <c r="X343" s="43"/>
      <c r="Y343" s="43"/>
      <c r="Z343" s="43"/>
    </row>
    <row r="344" spans="1:26">
      <c r="A344" s="88">
        <v>5221</v>
      </c>
      <c r="B344" s="378" t="s">
        <v>780</v>
      </c>
      <c r="C344" s="1033"/>
      <c r="D344" s="1033"/>
      <c r="E344" s="1033"/>
      <c r="F344" s="1033"/>
      <c r="G344" s="1033"/>
      <c r="H344" s="1033"/>
      <c r="I344" s="1033"/>
      <c r="J344" s="1033"/>
      <c r="K344" s="1033"/>
      <c r="L344" s="574"/>
      <c r="M344" s="51"/>
      <c r="N344" s="113">
        <f t="shared" si="40"/>
        <v>5221</v>
      </c>
      <c r="O344" s="581"/>
      <c r="P344" s="576"/>
      <c r="Q344" s="589"/>
      <c r="R344" s="576"/>
      <c r="S344" s="583">
        <f t="shared" si="41"/>
        <v>0</v>
      </c>
      <c r="T344" s="580">
        <f>+IF(ABS(+O344+Q344)&lt;=ABS(P344+R344),-O344+P344-Q344+R344,0)</f>
        <v>0</v>
      </c>
      <c r="U344" s="51"/>
      <c r="V344" s="2119"/>
      <c r="W344" s="2116"/>
      <c r="X344" s="43"/>
      <c r="Y344" s="43"/>
      <c r="Z344" s="43"/>
    </row>
    <row r="345" spans="1:26">
      <c r="A345" s="88">
        <v>5223</v>
      </c>
      <c r="B345" s="378" t="s">
        <v>781</v>
      </c>
      <c r="C345" s="1033"/>
      <c r="D345" s="1033"/>
      <c r="E345" s="1033"/>
      <c r="F345" s="1033"/>
      <c r="G345" s="1033"/>
      <c r="H345" s="1033"/>
      <c r="I345" s="1033"/>
      <c r="J345" s="1033"/>
      <c r="K345" s="1033"/>
      <c r="L345" s="574"/>
      <c r="M345" s="51"/>
      <c r="N345" s="113">
        <f t="shared" ref="N345:N375" si="45">+A345</f>
        <v>5223</v>
      </c>
      <c r="O345" s="581"/>
      <c r="P345" s="576"/>
      <c r="Q345" s="589"/>
      <c r="R345" s="576"/>
      <c r="S345" s="583">
        <f t="shared" si="41"/>
        <v>0</v>
      </c>
      <c r="T345" s="580">
        <f>+IF(ABS(+O345+Q345)&lt;=ABS(P345+R345),-O345+P345-Q345+R345,0)</f>
        <v>0</v>
      </c>
      <c r="U345" s="51"/>
      <c r="V345" s="2119"/>
      <c r="W345" s="2116"/>
      <c r="X345" s="43"/>
      <c r="Y345" s="43"/>
      <c r="Z345" s="43"/>
    </row>
    <row r="346" spans="1:26">
      <c r="A346" s="88">
        <v>5231</v>
      </c>
      <c r="B346" s="378" t="s">
        <v>782</v>
      </c>
      <c r="C346" s="1033"/>
      <c r="D346" s="1033"/>
      <c r="E346" s="1033"/>
      <c r="F346" s="1033"/>
      <c r="G346" s="1033"/>
      <c r="H346" s="1033"/>
      <c r="I346" s="1033"/>
      <c r="J346" s="1033"/>
      <c r="K346" s="1033"/>
      <c r="L346" s="574"/>
      <c r="M346" s="51"/>
      <c r="N346" s="113">
        <f t="shared" si="45"/>
        <v>5231</v>
      </c>
      <c r="O346" s="581"/>
      <c r="P346" s="582">
        <v>0</v>
      </c>
      <c r="Q346" s="589"/>
      <c r="R346" s="576"/>
      <c r="S346" s="583">
        <f t="shared" si="41"/>
        <v>0</v>
      </c>
      <c r="T346" s="584">
        <v>0</v>
      </c>
      <c r="U346" s="51"/>
      <c r="V346" s="2120">
        <f t="shared" ref="V346:V363" si="46">+IF(OR(ROUND(P346,2)+ROUND(R346,2)&gt;+ROUND(O346,2)+ROUND(Q346,2),+ABS(ROUND(P346,2)+ROUND(R346,2))&gt;+ABS(ROUND(O346,2)+ROUND(Q346,2))),+(ROUND(P346,2)+ROUND(R346,2))-(ROUND(O346,2)+ROUND(Q346,2)),0)</f>
        <v>0</v>
      </c>
      <c r="W346" s="2116"/>
      <c r="X346" s="43"/>
      <c r="Y346" s="43"/>
      <c r="Z346" s="43"/>
    </row>
    <row r="347" spans="1:26">
      <c r="A347" s="88">
        <v>5235</v>
      </c>
      <c r="B347" s="378" t="s">
        <v>783</v>
      </c>
      <c r="C347" s="1033"/>
      <c r="D347" s="1033"/>
      <c r="E347" s="1033"/>
      <c r="F347" s="1033"/>
      <c r="G347" s="1033"/>
      <c r="H347" s="1033"/>
      <c r="I347" s="1033"/>
      <c r="J347" s="1033"/>
      <c r="K347" s="1033"/>
      <c r="L347" s="574"/>
      <c r="M347" s="51"/>
      <c r="N347" s="113">
        <f t="shared" si="45"/>
        <v>5235</v>
      </c>
      <c r="O347" s="581"/>
      <c r="P347" s="582">
        <v>0</v>
      </c>
      <c r="Q347" s="589"/>
      <c r="R347" s="576"/>
      <c r="S347" s="583">
        <f t="shared" si="41"/>
        <v>0</v>
      </c>
      <c r="T347" s="584">
        <v>0</v>
      </c>
      <c r="U347" s="51"/>
      <c r="V347" s="2120">
        <f t="shared" si="46"/>
        <v>0</v>
      </c>
      <c r="W347" s="2116"/>
      <c r="X347" s="43"/>
      <c r="Y347" s="43"/>
      <c r="Z347" s="43"/>
    </row>
    <row r="348" spans="1:26">
      <c r="A348" s="88">
        <v>5311</v>
      </c>
      <c r="B348" s="378" t="s">
        <v>787</v>
      </c>
      <c r="C348" s="1033"/>
      <c r="D348" s="1033"/>
      <c r="E348" s="1033"/>
      <c r="F348" s="1033"/>
      <c r="G348" s="1033"/>
      <c r="H348" s="1033"/>
      <c r="I348" s="1033"/>
      <c r="J348" s="1033"/>
      <c r="K348" s="1033"/>
      <c r="L348" s="574"/>
      <c r="M348" s="51"/>
      <c r="N348" s="113">
        <f t="shared" si="45"/>
        <v>5311</v>
      </c>
      <c r="O348" s="581"/>
      <c r="P348" s="582">
        <v>0</v>
      </c>
      <c r="Q348" s="589"/>
      <c r="R348" s="576"/>
      <c r="S348" s="583">
        <f t="shared" si="41"/>
        <v>0</v>
      </c>
      <c r="T348" s="584">
        <v>0</v>
      </c>
      <c r="U348" s="51"/>
      <c r="V348" s="2120">
        <f t="shared" si="46"/>
        <v>0</v>
      </c>
      <c r="W348" s="2116"/>
      <c r="X348" s="43"/>
      <c r="Y348" s="43"/>
      <c r="Z348" s="43"/>
    </row>
    <row r="349" spans="1:26">
      <c r="A349" s="88">
        <v>5312</v>
      </c>
      <c r="B349" s="378" t="s">
        <v>788</v>
      </c>
      <c r="C349" s="1033"/>
      <c r="D349" s="1033"/>
      <c r="E349" s="1033"/>
      <c r="F349" s="1033"/>
      <c r="G349" s="1033"/>
      <c r="H349" s="1033"/>
      <c r="I349" s="1033"/>
      <c r="J349" s="1033"/>
      <c r="K349" s="1033"/>
      <c r="L349" s="574"/>
      <c r="M349" s="51"/>
      <c r="N349" s="113">
        <f t="shared" si="45"/>
        <v>5312</v>
      </c>
      <c r="O349" s="581">
        <v>0</v>
      </c>
      <c r="P349" s="582">
        <v>0</v>
      </c>
      <c r="Q349" s="589">
        <v>0</v>
      </c>
      <c r="R349" s="576">
        <v>0</v>
      </c>
      <c r="S349" s="583">
        <f t="shared" si="41"/>
        <v>0</v>
      </c>
      <c r="T349" s="584">
        <v>0</v>
      </c>
      <c r="U349" s="51"/>
      <c r="V349" s="2120">
        <f t="shared" si="46"/>
        <v>0</v>
      </c>
      <c r="W349" s="2116"/>
      <c r="X349" s="43"/>
      <c r="Y349" s="43"/>
      <c r="Z349" s="43"/>
    </row>
    <row r="350" spans="1:26">
      <c r="A350" s="88">
        <v>5313</v>
      </c>
      <c r="B350" s="378" t="s">
        <v>789</v>
      </c>
      <c r="C350" s="1033"/>
      <c r="D350" s="1033"/>
      <c r="E350" s="1033"/>
      <c r="F350" s="1033"/>
      <c r="G350" s="1033"/>
      <c r="H350" s="1033"/>
      <c r="I350" s="1033"/>
      <c r="J350" s="1033"/>
      <c r="K350" s="1033"/>
      <c r="L350" s="574"/>
      <c r="M350" s="51"/>
      <c r="N350" s="113">
        <f t="shared" si="45"/>
        <v>5313</v>
      </c>
      <c r="O350" s="581"/>
      <c r="P350" s="582">
        <v>0</v>
      </c>
      <c r="Q350" s="589"/>
      <c r="R350" s="576"/>
      <c r="S350" s="583">
        <f t="shared" si="41"/>
        <v>0</v>
      </c>
      <c r="T350" s="584">
        <v>0</v>
      </c>
      <c r="U350" s="51"/>
      <c r="V350" s="2120">
        <f t="shared" si="46"/>
        <v>0</v>
      </c>
      <c r="W350" s="2116"/>
      <c r="X350" s="43"/>
      <c r="Y350" s="43"/>
      <c r="Z350" s="43"/>
    </row>
    <row r="351" spans="1:26">
      <c r="A351" s="88">
        <v>5314</v>
      </c>
      <c r="B351" s="378" t="s">
        <v>1007</v>
      </c>
      <c r="C351" s="1033"/>
      <c r="D351" s="1033"/>
      <c r="E351" s="1033"/>
      <c r="F351" s="1033"/>
      <c r="G351" s="1033"/>
      <c r="H351" s="1033"/>
      <c r="I351" s="1033"/>
      <c r="J351" s="1033"/>
      <c r="K351" s="1033"/>
      <c r="L351" s="574"/>
      <c r="M351" s="51"/>
      <c r="N351" s="113">
        <f t="shared" si="45"/>
        <v>5314</v>
      </c>
      <c r="O351" s="581"/>
      <c r="P351" s="582">
        <v>0</v>
      </c>
      <c r="Q351" s="589"/>
      <c r="R351" s="576"/>
      <c r="S351" s="583">
        <f t="shared" si="41"/>
        <v>0</v>
      </c>
      <c r="T351" s="584">
        <v>0</v>
      </c>
      <c r="U351" s="51"/>
      <c r="V351" s="2120">
        <f t="shared" si="46"/>
        <v>0</v>
      </c>
      <c r="W351" s="2116"/>
      <c r="X351" s="43"/>
      <c r="Y351" s="43"/>
      <c r="Z351" s="43"/>
    </row>
    <row r="352" spans="1:26">
      <c r="A352" s="88">
        <v>5315</v>
      </c>
      <c r="B352" s="378" t="s">
        <v>1008</v>
      </c>
      <c r="C352" s="1033"/>
      <c r="D352" s="1033"/>
      <c r="E352" s="1033"/>
      <c r="F352" s="1033"/>
      <c r="G352" s="1033"/>
      <c r="H352" s="1033"/>
      <c r="I352" s="1033"/>
      <c r="J352" s="1033"/>
      <c r="K352" s="1033"/>
      <c r="L352" s="574"/>
      <c r="M352" s="51"/>
      <c r="N352" s="113">
        <f t="shared" si="45"/>
        <v>5315</v>
      </c>
      <c r="O352" s="581"/>
      <c r="P352" s="582">
        <v>0</v>
      </c>
      <c r="Q352" s="589"/>
      <c r="R352" s="576"/>
      <c r="S352" s="583">
        <f t="shared" si="41"/>
        <v>0</v>
      </c>
      <c r="T352" s="584">
        <v>0</v>
      </c>
      <c r="U352" s="51"/>
      <c r="V352" s="2120">
        <f t="shared" si="46"/>
        <v>0</v>
      </c>
      <c r="W352" s="2116"/>
      <c r="X352" s="43"/>
      <c r="Y352" s="43"/>
      <c r="Z352" s="43"/>
    </row>
    <row r="353" spans="1:26">
      <c r="A353" s="88">
        <v>5316</v>
      </c>
      <c r="B353" s="378" t="s">
        <v>387</v>
      </c>
      <c r="C353" s="1033"/>
      <c r="D353" s="1033"/>
      <c r="E353" s="1033"/>
      <c r="F353" s="1033"/>
      <c r="G353" s="1033"/>
      <c r="H353" s="1033"/>
      <c r="I353" s="1033"/>
      <c r="J353" s="1033"/>
      <c r="K353" s="1033"/>
      <c r="L353" s="574"/>
      <c r="M353" s="51"/>
      <c r="N353" s="113">
        <f t="shared" si="45"/>
        <v>5316</v>
      </c>
      <c r="O353" s="581"/>
      <c r="P353" s="582">
        <v>0</v>
      </c>
      <c r="Q353" s="589"/>
      <c r="R353" s="576"/>
      <c r="S353" s="583">
        <f t="shared" si="41"/>
        <v>0</v>
      </c>
      <c r="T353" s="584">
        <v>0</v>
      </c>
      <c r="U353" s="51"/>
      <c r="V353" s="2120">
        <f t="shared" si="46"/>
        <v>0</v>
      </c>
      <c r="W353" s="2116"/>
      <c r="X353" s="43"/>
      <c r="Y353" s="43"/>
      <c r="Z353" s="43"/>
    </row>
    <row r="354" spans="1:26">
      <c r="A354" s="88">
        <v>5317</v>
      </c>
      <c r="B354" s="378" t="s">
        <v>784</v>
      </c>
      <c r="C354" s="1033"/>
      <c r="D354" s="1033"/>
      <c r="E354" s="1033"/>
      <c r="F354" s="1033"/>
      <c r="G354" s="1033"/>
      <c r="H354" s="1033"/>
      <c r="I354" s="1033"/>
      <c r="J354" s="1033"/>
      <c r="K354" s="1033"/>
      <c r="L354" s="574"/>
      <c r="M354" s="51"/>
      <c r="N354" s="113">
        <f t="shared" si="45"/>
        <v>5317</v>
      </c>
      <c r="O354" s="581"/>
      <c r="P354" s="582">
        <v>0</v>
      </c>
      <c r="Q354" s="589"/>
      <c r="R354" s="576"/>
      <c r="S354" s="583">
        <f t="shared" si="41"/>
        <v>0</v>
      </c>
      <c r="T354" s="584">
        <v>0</v>
      </c>
      <c r="U354" s="51"/>
      <c r="V354" s="2120">
        <f t="shared" si="46"/>
        <v>0</v>
      </c>
      <c r="W354" s="2116"/>
      <c r="X354" s="43"/>
      <c r="Y354" s="43"/>
      <c r="Z354" s="43"/>
    </row>
    <row r="355" spans="1:26">
      <c r="A355" s="88">
        <v>5318</v>
      </c>
      <c r="B355" s="378" t="s">
        <v>785</v>
      </c>
      <c r="C355" s="1033"/>
      <c r="D355" s="1033"/>
      <c r="E355" s="1033"/>
      <c r="F355" s="1033"/>
      <c r="G355" s="1033"/>
      <c r="H355" s="1033"/>
      <c r="I355" s="1033"/>
      <c r="J355" s="1033"/>
      <c r="K355" s="1033"/>
      <c r="L355" s="574"/>
      <c r="M355" s="51"/>
      <c r="N355" s="113">
        <f t="shared" si="45"/>
        <v>5318</v>
      </c>
      <c r="O355" s="581"/>
      <c r="P355" s="582">
        <v>0</v>
      </c>
      <c r="Q355" s="589"/>
      <c r="R355" s="576"/>
      <c r="S355" s="583">
        <f t="shared" si="41"/>
        <v>0</v>
      </c>
      <c r="T355" s="584">
        <v>0</v>
      </c>
      <c r="U355" s="51"/>
      <c r="V355" s="2120">
        <f t="shared" si="46"/>
        <v>0</v>
      </c>
      <c r="W355" s="2116"/>
      <c r="X355" s="43"/>
      <c r="Y355" s="43"/>
      <c r="Z355" s="43"/>
    </row>
    <row r="356" spans="1:26">
      <c r="A356" s="88">
        <v>5319</v>
      </c>
      <c r="B356" s="378" t="s">
        <v>786</v>
      </c>
      <c r="C356" s="1033"/>
      <c r="D356" s="1033"/>
      <c r="E356" s="1033"/>
      <c r="F356" s="1033"/>
      <c r="G356" s="1033"/>
      <c r="H356" s="1033"/>
      <c r="I356" s="1033"/>
      <c r="J356" s="1033"/>
      <c r="K356" s="1033"/>
      <c r="L356" s="574"/>
      <c r="M356" s="51"/>
      <c r="N356" s="113">
        <f t="shared" si="45"/>
        <v>5319</v>
      </c>
      <c r="O356" s="581"/>
      <c r="P356" s="582">
        <v>0</v>
      </c>
      <c r="Q356" s="589"/>
      <c r="R356" s="576"/>
      <c r="S356" s="583">
        <f t="shared" si="41"/>
        <v>0</v>
      </c>
      <c r="T356" s="584">
        <v>0</v>
      </c>
      <c r="U356" s="51"/>
      <c r="V356" s="2120">
        <f t="shared" si="46"/>
        <v>0</v>
      </c>
      <c r="W356" s="2116"/>
      <c r="X356" s="43"/>
      <c r="Y356" s="43"/>
      <c r="Z356" s="43"/>
    </row>
    <row r="357" spans="1:26">
      <c r="A357" s="88">
        <v>5321</v>
      </c>
      <c r="B357" s="378" t="s">
        <v>388</v>
      </c>
      <c r="C357" s="1033"/>
      <c r="D357" s="1033"/>
      <c r="E357" s="1033"/>
      <c r="F357" s="1033"/>
      <c r="G357" s="1033"/>
      <c r="H357" s="1033"/>
      <c r="I357" s="1033"/>
      <c r="J357" s="1033"/>
      <c r="K357" s="1033"/>
      <c r="L357" s="574"/>
      <c r="M357" s="51"/>
      <c r="N357" s="113">
        <f t="shared" si="45"/>
        <v>5321</v>
      </c>
      <c r="O357" s="581"/>
      <c r="P357" s="582">
        <v>0</v>
      </c>
      <c r="Q357" s="589"/>
      <c r="R357" s="576"/>
      <c r="S357" s="583">
        <f t="shared" si="41"/>
        <v>0</v>
      </c>
      <c r="T357" s="584">
        <v>0</v>
      </c>
      <c r="U357" s="51"/>
      <c r="V357" s="2120">
        <f t="shared" si="46"/>
        <v>0</v>
      </c>
      <c r="W357" s="2116"/>
      <c r="X357" s="43"/>
      <c r="Y357" s="43"/>
      <c r="Z357" s="43"/>
    </row>
    <row r="358" spans="1:26">
      <c r="A358" s="88">
        <v>5322</v>
      </c>
      <c r="B358" s="378" t="s">
        <v>389</v>
      </c>
      <c r="C358" s="1033"/>
      <c r="D358" s="1033"/>
      <c r="E358" s="1033"/>
      <c r="F358" s="1033"/>
      <c r="G358" s="1033"/>
      <c r="H358" s="1033"/>
      <c r="I358" s="1033"/>
      <c r="J358" s="1033"/>
      <c r="K358" s="1033"/>
      <c r="L358" s="574"/>
      <c r="M358" s="51"/>
      <c r="N358" s="113">
        <f t="shared" si="45"/>
        <v>5322</v>
      </c>
      <c r="O358" s="581"/>
      <c r="P358" s="582">
        <v>0</v>
      </c>
      <c r="Q358" s="589"/>
      <c r="R358" s="576"/>
      <c r="S358" s="583">
        <f t="shared" si="41"/>
        <v>0</v>
      </c>
      <c r="T358" s="584">
        <v>0</v>
      </c>
      <c r="U358" s="51"/>
      <c r="V358" s="2120">
        <f t="shared" si="46"/>
        <v>0</v>
      </c>
      <c r="W358" s="2116"/>
      <c r="X358" s="43"/>
      <c r="Y358" s="43"/>
      <c r="Z358" s="43"/>
    </row>
    <row r="359" spans="1:26">
      <c r="A359" s="88">
        <v>5323</v>
      </c>
      <c r="B359" s="378" t="s">
        <v>390</v>
      </c>
      <c r="C359" s="1033"/>
      <c r="D359" s="1033"/>
      <c r="E359" s="1033"/>
      <c r="F359" s="1033"/>
      <c r="G359" s="1033"/>
      <c r="H359" s="1033"/>
      <c r="I359" s="1033"/>
      <c r="J359" s="1033"/>
      <c r="K359" s="1033"/>
      <c r="L359" s="574"/>
      <c r="M359" s="51"/>
      <c r="N359" s="113">
        <f t="shared" si="45"/>
        <v>5323</v>
      </c>
      <c r="O359" s="581"/>
      <c r="P359" s="582">
        <v>0</v>
      </c>
      <c r="Q359" s="589"/>
      <c r="R359" s="576"/>
      <c r="S359" s="583">
        <f t="shared" si="41"/>
        <v>0</v>
      </c>
      <c r="T359" s="584">
        <v>0</v>
      </c>
      <c r="U359" s="51"/>
      <c r="V359" s="2120">
        <f t="shared" si="46"/>
        <v>0</v>
      </c>
      <c r="W359" s="2116"/>
      <c r="X359" s="43"/>
      <c r="Y359" s="43"/>
      <c r="Z359" s="43"/>
    </row>
    <row r="360" spans="1:26">
      <c r="A360" s="88">
        <v>5381</v>
      </c>
      <c r="B360" s="378" t="s">
        <v>391</v>
      </c>
      <c r="C360" s="1033"/>
      <c r="D360" s="1033"/>
      <c r="E360" s="1033"/>
      <c r="F360" s="1033"/>
      <c r="G360" s="1033"/>
      <c r="H360" s="1033"/>
      <c r="I360" s="1033"/>
      <c r="J360" s="1033"/>
      <c r="K360" s="1033"/>
      <c r="L360" s="574"/>
      <c r="M360" s="51"/>
      <c r="N360" s="113">
        <f t="shared" si="45"/>
        <v>5381</v>
      </c>
      <c r="O360" s="581"/>
      <c r="P360" s="582">
        <v>0</v>
      </c>
      <c r="Q360" s="589"/>
      <c r="R360" s="576"/>
      <c r="S360" s="583">
        <f t="shared" si="41"/>
        <v>0</v>
      </c>
      <c r="T360" s="584">
        <v>0</v>
      </c>
      <c r="U360" s="51"/>
      <c r="V360" s="2120">
        <f t="shared" si="46"/>
        <v>0</v>
      </c>
      <c r="W360" s="2116"/>
      <c r="X360" s="43"/>
      <c r="Y360" s="43"/>
      <c r="Z360" s="43"/>
    </row>
    <row r="361" spans="1:26">
      <c r="A361" s="88">
        <v>5382</v>
      </c>
      <c r="B361" s="378" t="s">
        <v>303</v>
      </c>
      <c r="C361" s="1033"/>
      <c r="D361" s="1033"/>
      <c r="E361" s="1033"/>
      <c r="F361" s="1033"/>
      <c r="G361" s="1033"/>
      <c r="H361" s="1033"/>
      <c r="I361" s="1033"/>
      <c r="J361" s="1033"/>
      <c r="K361" s="1033"/>
      <c r="L361" s="574"/>
      <c r="M361" s="51"/>
      <c r="N361" s="113">
        <f t="shared" si="45"/>
        <v>5382</v>
      </c>
      <c r="O361" s="581"/>
      <c r="P361" s="582">
        <v>0</v>
      </c>
      <c r="Q361" s="589"/>
      <c r="R361" s="576"/>
      <c r="S361" s="583">
        <f t="shared" si="41"/>
        <v>0</v>
      </c>
      <c r="T361" s="584">
        <v>0</v>
      </c>
      <c r="U361" s="51"/>
      <c r="V361" s="2120">
        <f t="shared" si="46"/>
        <v>0</v>
      </c>
      <c r="W361" s="2116"/>
      <c r="X361" s="43"/>
      <c r="Y361" s="43"/>
      <c r="Z361" s="43"/>
    </row>
    <row r="362" spans="1:26">
      <c r="A362" s="88">
        <v>5383</v>
      </c>
      <c r="B362" s="378" t="s">
        <v>304</v>
      </c>
      <c r="C362" s="1033"/>
      <c r="D362" s="1033"/>
      <c r="E362" s="1033"/>
      <c r="F362" s="1033"/>
      <c r="G362" s="1033"/>
      <c r="H362" s="1033"/>
      <c r="I362" s="1033"/>
      <c r="J362" s="1033"/>
      <c r="K362" s="1033"/>
      <c r="L362" s="574"/>
      <c r="M362" s="51"/>
      <c r="N362" s="113">
        <f t="shared" si="45"/>
        <v>5383</v>
      </c>
      <c r="O362" s="581"/>
      <c r="P362" s="582">
        <v>0</v>
      </c>
      <c r="Q362" s="589"/>
      <c r="R362" s="576"/>
      <c r="S362" s="583">
        <f t="shared" si="41"/>
        <v>0</v>
      </c>
      <c r="T362" s="584">
        <v>0</v>
      </c>
      <c r="U362" s="51"/>
      <c r="V362" s="2120">
        <f t="shared" si="46"/>
        <v>0</v>
      </c>
      <c r="W362" s="2116"/>
      <c r="X362" s="43"/>
      <c r="Y362" s="43"/>
      <c r="Z362" s="43"/>
    </row>
    <row r="363" spans="1:26">
      <c r="A363" s="88">
        <v>5384</v>
      </c>
      <c r="B363" s="378" t="s">
        <v>305</v>
      </c>
      <c r="C363" s="1033"/>
      <c r="D363" s="1033"/>
      <c r="E363" s="1033"/>
      <c r="F363" s="1033"/>
      <c r="G363" s="1033"/>
      <c r="H363" s="1033"/>
      <c r="I363" s="1033"/>
      <c r="J363" s="1033"/>
      <c r="K363" s="1033"/>
      <c r="L363" s="574"/>
      <c r="M363" s="51"/>
      <c r="N363" s="113">
        <f t="shared" si="45"/>
        <v>5384</v>
      </c>
      <c r="O363" s="581"/>
      <c r="P363" s="582">
        <v>0</v>
      </c>
      <c r="Q363" s="589"/>
      <c r="R363" s="576"/>
      <c r="S363" s="583">
        <f t="shared" si="41"/>
        <v>0</v>
      </c>
      <c r="T363" s="584">
        <v>0</v>
      </c>
      <c r="U363" s="51"/>
      <c r="V363" s="2120">
        <f t="shared" si="46"/>
        <v>0</v>
      </c>
      <c r="W363" s="2116"/>
      <c r="X363" s="43"/>
      <c r="Y363" s="43"/>
      <c r="Z363" s="43"/>
    </row>
    <row r="364" spans="1:26">
      <c r="A364" s="88">
        <v>5391</v>
      </c>
      <c r="B364" s="378" t="s">
        <v>306</v>
      </c>
      <c r="C364" s="1033"/>
      <c r="D364" s="1033"/>
      <c r="E364" s="1033"/>
      <c r="F364" s="1033"/>
      <c r="G364" s="1033"/>
      <c r="H364" s="1033"/>
      <c r="I364" s="1033"/>
      <c r="J364" s="1033"/>
      <c r="K364" s="1033"/>
      <c r="L364" s="574"/>
      <c r="M364" s="51"/>
      <c r="N364" s="113">
        <f t="shared" si="45"/>
        <v>5391</v>
      </c>
      <c r="O364" s="596">
        <v>0</v>
      </c>
      <c r="P364" s="576"/>
      <c r="Q364" s="589"/>
      <c r="R364" s="121"/>
      <c r="S364" s="2167">
        <v>0</v>
      </c>
      <c r="T364" s="580">
        <f>+IF(ABS(+O364+Q364)&lt;=ABS(P364+R364),-O364+P364-Q364+R364,0)</f>
        <v>0</v>
      </c>
      <c r="U364" s="51"/>
      <c r="V364" s="2119">
        <f>+IF(OR(+ROUND(O364,2)+ROUND(Q364,2)&gt;ROUND(P364,2)+ROUND(R364,2),+ABS(ROUND(O364,2)+ROUND(Q364,2))&gt;+ABS(ROUND(P364,2)+ROUND(R364,2))),+(ROUND(O364,2)+ROUND(Q364,2))-(ROUND(P364,2)+ROUND(R364,2)),0)</f>
        <v>0</v>
      </c>
      <c r="W364" s="2116"/>
      <c r="X364" s="43"/>
      <c r="Y364" s="43"/>
      <c r="Z364" s="43"/>
    </row>
    <row r="365" spans="1:26">
      <c r="A365" s="88">
        <v>5392</v>
      </c>
      <c r="B365" s="378" t="s">
        <v>307</v>
      </c>
      <c r="C365" s="1033"/>
      <c r="D365" s="1033"/>
      <c r="E365" s="1033"/>
      <c r="F365" s="1033"/>
      <c r="G365" s="1033"/>
      <c r="H365" s="1033"/>
      <c r="I365" s="1033"/>
      <c r="J365" s="1033"/>
      <c r="K365" s="1033"/>
      <c r="L365" s="574"/>
      <c r="M365" s="51"/>
      <c r="N365" s="113">
        <f t="shared" si="45"/>
        <v>5392</v>
      </c>
      <c r="O365" s="596">
        <v>0</v>
      </c>
      <c r="P365" s="576"/>
      <c r="Q365" s="589"/>
      <c r="R365" s="121"/>
      <c r="S365" s="2167">
        <v>0</v>
      </c>
      <c r="T365" s="580">
        <f>+IF(ABS(+O365+Q365)&lt;=ABS(P365+R365),-O365+P365-Q365+R365,0)</f>
        <v>0</v>
      </c>
      <c r="U365" s="51"/>
      <c r="V365" s="2119">
        <f>+IF(OR(+ROUND(O365,2)+ROUND(Q365,2)&gt;ROUND(P365,2)+ROUND(R365,2),+ABS(ROUND(O365,2)+ROUND(Q365,2))&gt;+ABS(ROUND(P365,2)+ROUND(R365,2))),+(ROUND(O365,2)+ROUND(Q365,2))-(ROUND(P365,2)+ROUND(R365,2)),0)</f>
        <v>0</v>
      </c>
      <c r="W365" s="2116"/>
      <c r="X365" s="43"/>
      <c r="Y365" s="43"/>
      <c r="Z365" s="43"/>
    </row>
    <row r="366" spans="1:26">
      <c r="A366" s="88">
        <v>5393</v>
      </c>
      <c r="B366" s="378" t="s">
        <v>308</v>
      </c>
      <c r="C366" s="1033"/>
      <c r="D366" s="1033"/>
      <c r="E366" s="1033"/>
      <c r="F366" s="1033"/>
      <c r="G366" s="1033"/>
      <c r="H366" s="1033"/>
      <c r="I366" s="1033"/>
      <c r="J366" s="1033"/>
      <c r="K366" s="1033"/>
      <c r="L366" s="574"/>
      <c r="M366" s="51"/>
      <c r="N366" s="113">
        <f t="shared" si="45"/>
        <v>5393</v>
      </c>
      <c r="O366" s="596">
        <v>0</v>
      </c>
      <c r="P366" s="576"/>
      <c r="Q366" s="589"/>
      <c r="R366" s="121"/>
      <c r="S366" s="2167">
        <v>0</v>
      </c>
      <c r="T366" s="580">
        <f>+IF(ABS(+O366+Q366)&lt;=ABS(P366+R366),-O366+P366-Q366+R366,0)</f>
        <v>0</v>
      </c>
      <c r="U366" s="51"/>
      <c r="V366" s="2119">
        <f>+IF(OR(+ROUND(O366,2)+ROUND(Q366,2)&gt;ROUND(P366,2)+ROUND(R366,2),+ABS(ROUND(O366,2)+ROUND(Q366,2))&gt;+ABS(ROUND(P366,2)+ROUND(R366,2))),+(ROUND(O366,2)+ROUND(Q366,2))-(ROUND(P366,2)+ROUND(R366,2)),0)</f>
        <v>0</v>
      </c>
      <c r="W366" s="2116"/>
      <c r="X366" s="43"/>
      <c r="Y366" s="43"/>
      <c r="Z366" s="43"/>
    </row>
    <row r="367" spans="1:26">
      <c r="A367" s="88">
        <v>5398</v>
      </c>
      <c r="B367" s="378" t="s">
        <v>309</v>
      </c>
      <c r="C367" s="1033"/>
      <c r="D367" s="1033"/>
      <c r="E367" s="1033"/>
      <c r="F367" s="1033"/>
      <c r="G367" s="1033"/>
      <c r="H367" s="1033"/>
      <c r="I367" s="1033"/>
      <c r="J367" s="1033"/>
      <c r="K367" s="1033"/>
      <c r="L367" s="574"/>
      <c r="M367" s="51"/>
      <c r="N367" s="113">
        <f t="shared" si="45"/>
        <v>5398</v>
      </c>
      <c r="O367" s="575">
        <v>0</v>
      </c>
      <c r="P367" s="576"/>
      <c r="Q367" s="589"/>
      <c r="R367" s="121"/>
      <c r="S367" s="579">
        <v>0</v>
      </c>
      <c r="T367" s="580">
        <f>+IF(ABS(+O367+Q367)&lt;=ABS(P367+R367),-O367+P367-Q367+R367,0)</f>
        <v>0</v>
      </c>
      <c r="U367" s="51"/>
      <c r="V367" s="2119">
        <f>+IF(OR(+ROUND(O367,2)+ROUND(Q367,2)&gt;ROUND(P367,2)+ROUND(R367,2),+ABS(ROUND(O367,2)+ROUND(Q367,2))&gt;+ABS(ROUND(P367,2)+ROUND(R367,2))),+(ROUND(O367,2)+ROUND(Q367,2))-(ROUND(P367,2)+ROUND(R367,2)),0)</f>
        <v>0</v>
      </c>
      <c r="W367" s="2116"/>
      <c r="X367" s="43"/>
      <c r="Y367" s="43"/>
      <c r="Z367" s="43"/>
    </row>
    <row r="368" spans="1:26">
      <c r="A368" s="88">
        <v>5811</v>
      </c>
      <c r="B368" s="378" t="s">
        <v>312</v>
      </c>
      <c r="C368" s="1033"/>
      <c r="D368" s="1033"/>
      <c r="E368" s="1033"/>
      <c r="F368" s="1033"/>
      <c r="G368" s="1033"/>
      <c r="H368" s="1033"/>
      <c r="I368" s="1033"/>
      <c r="J368" s="1033"/>
      <c r="K368" s="1033"/>
      <c r="L368" s="574"/>
      <c r="M368" s="51"/>
      <c r="N368" s="113">
        <f t="shared" si="45"/>
        <v>5811</v>
      </c>
      <c r="O368" s="581"/>
      <c r="P368" s="582">
        <v>0</v>
      </c>
      <c r="Q368" s="589"/>
      <c r="R368" s="576"/>
      <c r="S368" s="583">
        <f t="shared" ref="S368:S379" si="47">+IF(ABS(+O368+Q368)&gt;=ABS(P368+R368),+O368-P368+Q368-R368,0)</f>
        <v>0</v>
      </c>
      <c r="T368" s="584">
        <v>0</v>
      </c>
      <c r="U368" s="51"/>
      <c r="V368" s="2120">
        <f t="shared" ref="V368:V379" si="48">+IF(OR(ROUND(P368,2)+ROUND(R368,2)&gt;+ROUND(O368,2)+ROUND(Q368,2),+ABS(ROUND(P368,2)+ROUND(R368,2))&gt;+ABS(ROUND(O368,2)+ROUND(Q368,2))),+(ROUND(P368,2)+ROUND(R368,2))-(ROUND(O368,2)+ROUND(Q368,2)),0)</f>
        <v>0</v>
      </c>
      <c r="W368" s="2116"/>
      <c r="X368" s="43"/>
      <c r="Y368" s="43"/>
      <c r="Z368" s="43"/>
    </row>
    <row r="369" spans="1:26">
      <c r="A369" s="88">
        <v>5812</v>
      </c>
      <c r="B369" s="378" t="s">
        <v>313</v>
      </c>
      <c r="C369" s="1033"/>
      <c r="D369" s="1033"/>
      <c r="E369" s="1033"/>
      <c r="F369" s="1033"/>
      <c r="G369" s="1033"/>
      <c r="H369" s="1033"/>
      <c r="I369" s="1033"/>
      <c r="J369" s="1033"/>
      <c r="K369" s="1033"/>
      <c r="L369" s="574"/>
      <c r="M369" s="51"/>
      <c r="N369" s="113">
        <f t="shared" si="45"/>
        <v>5812</v>
      </c>
      <c r="O369" s="581"/>
      <c r="P369" s="582">
        <v>0</v>
      </c>
      <c r="Q369" s="589"/>
      <c r="R369" s="576"/>
      <c r="S369" s="583">
        <f t="shared" si="47"/>
        <v>0</v>
      </c>
      <c r="T369" s="584">
        <v>0</v>
      </c>
      <c r="U369" s="51"/>
      <c r="V369" s="2120">
        <f t="shared" si="48"/>
        <v>0</v>
      </c>
      <c r="W369" s="2116"/>
      <c r="X369" s="43"/>
      <c r="Y369" s="43"/>
      <c r="Z369" s="43"/>
    </row>
    <row r="370" spans="1:26">
      <c r="A370" s="88">
        <v>5814</v>
      </c>
      <c r="B370" s="378" t="s">
        <v>314</v>
      </c>
      <c r="C370" s="1033"/>
      <c r="D370" s="1033"/>
      <c r="E370" s="1033"/>
      <c r="F370" s="1033"/>
      <c r="G370" s="1033"/>
      <c r="H370" s="1033"/>
      <c r="I370" s="1033"/>
      <c r="J370" s="1033"/>
      <c r="K370" s="1033"/>
      <c r="L370" s="574"/>
      <c r="M370" s="51"/>
      <c r="N370" s="113">
        <f t="shared" si="45"/>
        <v>5814</v>
      </c>
      <c r="O370" s="581"/>
      <c r="P370" s="582">
        <v>0</v>
      </c>
      <c r="Q370" s="589"/>
      <c r="R370" s="576"/>
      <c r="S370" s="583">
        <f t="shared" si="47"/>
        <v>0</v>
      </c>
      <c r="T370" s="584">
        <v>0</v>
      </c>
      <c r="U370" s="51"/>
      <c r="V370" s="2120">
        <f t="shared" si="48"/>
        <v>0</v>
      </c>
      <c r="W370" s="2116"/>
      <c r="X370" s="43"/>
      <c r="Y370" s="43"/>
      <c r="Z370" s="43"/>
    </row>
    <row r="371" spans="1:26">
      <c r="A371" s="88">
        <v>5815</v>
      </c>
      <c r="B371" s="378" t="s">
        <v>315</v>
      </c>
      <c r="C371" s="1033"/>
      <c r="D371" s="1033"/>
      <c r="E371" s="1033"/>
      <c r="F371" s="1033"/>
      <c r="G371" s="1033"/>
      <c r="H371" s="1033"/>
      <c r="I371" s="1033"/>
      <c r="J371" s="1033"/>
      <c r="K371" s="1033"/>
      <c r="L371" s="574"/>
      <c r="M371" s="51"/>
      <c r="N371" s="113">
        <f t="shared" si="45"/>
        <v>5815</v>
      </c>
      <c r="O371" s="581"/>
      <c r="P371" s="582">
        <v>0</v>
      </c>
      <c r="Q371" s="589"/>
      <c r="R371" s="576"/>
      <c r="S371" s="583">
        <f t="shared" si="47"/>
        <v>0</v>
      </c>
      <c r="T371" s="584">
        <v>0</v>
      </c>
      <c r="U371" s="51"/>
      <c r="V371" s="2120">
        <f t="shared" si="48"/>
        <v>0</v>
      </c>
      <c r="W371" s="2116"/>
      <c r="X371" s="43"/>
      <c r="Y371" s="43"/>
      <c r="Z371" s="43"/>
    </row>
    <row r="372" spans="1:26">
      <c r="A372" s="88">
        <v>5817</v>
      </c>
      <c r="B372" s="378" t="s">
        <v>310</v>
      </c>
      <c r="C372" s="1033"/>
      <c r="D372" s="1033"/>
      <c r="E372" s="1033"/>
      <c r="F372" s="1033"/>
      <c r="G372" s="1033"/>
      <c r="H372" s="1033"/>
      <c r="I372" s="1033"/>
      <c r="J372" s="1033"/>
      <c r="K372" s="1033"/>
      <c r="L372" s="574"/>
      <c r="M372" s="51"/>
      <c r="N372" s="113">
        <f t="shared" si="45"/>
        <v>5817</v>
      </c>
      <c r="O372" s="581"/>
      <c r="P372" s="582">
        <v>0</v>
      </c>
      <c r="Q372" s="589"/>
      <c r="R372" s="576"/>
      <c r="S372" s="583">
        <f t="shared" si="47"/>
        <v>0</v>
      </c>
      <c r="T372" s="584">
        <v>0</v>
      </c>
      <c r="U372" s="51"/>
      <c r="V372" s="2120">
        <f t="shared" si="48"/>
        <v>0</v>
      </c>
      <c r="W372" s="2116"/>
      <c r="X372" s="43"/>
      <c r="Y372" s="43"/>
      <c r="Z372" s="43"/>
    </row>
    <row r="373" spans="1:26">
      <c r="A373" s="88">
        <v>5818</v>
      </c>
      <c r="B373" s="378" t="s">
        <v>311</v>
      </c>
      <c r="C373" s="1033"/>
      <c r="D373" s="1033"/>
      <c r="E373" s="1033"/>
      <c r="F373" s="1033"/>
      <c r="G373" s="1033"/>
      <c r="H373" s="1033"/>
      <c r="I373" s="1033"/>
      <c r="J373" s="1033"/>
      <c r="K373" s="1033"/>
      <c r="L373" s="574"/>
      <c r="M373" s="51"/>
      <c r="N373" s="113">
        <f t="shared" si="45"/>
        <v>5818</v>
      </c>
      <c r="O373" s="581"/>
      <c r="P373" s="582">
        <v>0</v>
      </c>
      <c r="Q373" s="589"/>
      <c r="R373" s="576"/>
      <c r="S373" s="583">
        <f t="shared" si="47"/>
        <v>0</v>
      </c>
      <c r="T373" s="584">
        <v>0</v>
      </c>
      <c r="U373" s="51"/>
      <c r="V373" s="2120">
        <f t="shared" si="48"/>
        <v>0</v>
      </c>
      <c r="W373" s="2116"/>
      <c r="X373" s="43"/>
      <c r="Y373" s="43"/>
      <c r="Z373" s="43"/>
    </row>
    <row r="374" spans="1:26">
      <c r="A374" s="88">
        <v>5823</v>
      </c>
      <c r="B374" s="378" t="s">
        <v>316</v>
      </c>
      <c r="C374" s="1033"/>
      <c r="D374" s="1033"/>
      <c r="E374" s="1033"/>
      <c r="F374" s="1033"/>
      <c r="G374" s="1033"/>
      <c r="H374" s="1033"/>
      <c r="I374" s="1033"/>
      <c r="J374" s="1033"/>
      <c r="K374" s="1033"/>
      <c r="L374" s="574"/>
      <c r="M374" s="51"/>
      <c r="N374" s="113">
        <f t="shared" si="45"/>
        <v>5823</v>
      </c>
      <c r="O374" s="581"/>
      <c r="P374" s="582">
        <v>0</v>
      </c>
      <c r="Q374" s="589"/>
      <c r="R374" s="576"/>
      <c r="S374" s="583">
        <f t="shared" si="47"/>
        <v>0</v>
      </c>
      <c r="T374" s="584">
        <v>0</v>
      </c>
      <c r="U374" s="51"/>
      <c r="V374" s="2120">
        <f t="shared" si="48"/>
        <v>0</v>
      </c>
      <c r="W374" s="2116"/>
      <c r="X374" s="43"/>
      <c r="Y374" s="43"/>
      <c r="Z374" s="43"/>
    </row>
    <row r="375" spans="1:26">
      <c r="A375" s="88">
        <v>5826</v>
      </c>
      <c r="B375" s="378" t="s">
        <v>317</v>
      </c>
      <c r="C375" s="1033"/>
      <c r="D375" s="1033"/>
      <c r="E375" s="1033"/>
      <c r="F375" s="1033"/>
      <c r="G375" s="1033"/>
      <c r="H375" s="1033"/>
      <c r="I375" s="1033"/>
      <c r="J375" s="1033"/>
      <c r="K375" s="1033"/>
      <c r="L375" s="574"/>
      <c r="M375" s="51"/>
      <c r="N375" s="113">
        <f t="shared" si="45"/>
        <v>5826</v>
      </c>
      <c r="O375" s="581"/>
      <c r="P375" s="582">
        <v>0</v>
      </c>
      <c r="Q375" s="589"/>
      <c r="R375" s="576"/>
      <c r="S375" s="583">
        <f t="shared" si="47"/>
        <v>0</v>
      </c>
      <c r="T375" s="584">
        <v>0</v>
      </c>
      <c r="U375" s="51"/>
      <c r="V375" s="2120">
        <f t="shared" si="48"/>
        <v>0</v>
      </c>
      <c r="W375" s="2116"/>
      <c r="X375" s="43"/>
      <c r="Y375" s="43"/>
      <c r="Z375" s="43"/>
    </row>
    <row r="376" spans="1:26">
      <c r="A376" s="88">
        <v>5829</v>
      </c>
      <c r="B376" s="378" t="s">
        <v>318</v>
      </c>
      <c r="C376" s="1033"/>
      <c r="D376" s="1033"/>
      <c r="E376" s="1033"/>
      <c r="F376" s="1033"/>
      <c r="G376" s="1033"/>
      <c r="H376" s="1033"/>
      <c r="I376" s="1033"/>
      <c r="J376" s="1033"/>
      <c r="K376" s="1033"/>
      <c r="L376" s="574"/>
      <c r="M376" s="51"/>
      <c r="N376" s="113">
        <f t="shared" ref="N376:N382" si="49">+A376</f>
        <v>5829</v>
      </c>
      <c r="O376" s="581"/>
      <c r="P376" s="582">
        <v>0</v>
      </c>
      <c r="Q376" s="589"/>
      <c r="R376" s="576"/>
      <c r="S376" s="583">
        <f t="shared" si="47"/>
        <v>0</v>
      </c>
      <c r="T376" s="584">
        <v>0</v>
      </c>
      <c r="U376" s="51"/>
      <c r="V376" s="2120">
        <f t="shared" si="48"/>
        <v>0</v>
      </c>
      <c r="W376" s="2116"/>
      <c r="X376" s="43"/>
      <c r="Y376" s="43"/>
      <c r="Z376" s="43"/>
    </row>
    <row r="377" spans="1:26">
      <c r="A377" s="88">
        <v>5881</v>
      </c>
      <c r="B377" s="378" t="s">
        <v>612</v>
      </c>
      <c r="C377" s="1033"/>
      <c r="D377" s="1033"/>
      <c r="E377" s="1033"/>
      <c r="F377" s="1033"/>
      <c r="G377" s="1033"/>
      <c r="H377" s="1033"/>
      <c r="I377" s="1033"/>
      <c r="J377" s="1033"/>
      <c r="K377" s="1033"/>
      <c r="L377" s="574"/>
      <c r="M377" s="51"/>
      <c r="N377" s="113">
        <f t="shared" si="49"/>
        <v>5881</v>
      </c>
      <c r="O377" s="581"/>
      <c r="P377" s="582">
        <v>0</v>
      </c>
      <c r="Q377" s="589"/>
      <c r="R377" s="576"/>
      <c r="S377" s="583">
        <f t="shared" si="47"/>
        <v>0</v>
      </c>
      <c r="T377" s="584">
        <v>0</v>
      </c>
      <c r="U377" s="51"/>
      <c r="V377" s="2120">
        <f t="shared" si="48"/>
        <v>0</v>
      </c>
      <c r="W377" s="2116"/>
      <c r="X377" s="43"/>
      <c r="Y377" s="43"/>
      <c r="Z377" s="43"/>
    </row>
    <row r="378" spans="1:26">
      <c r="A378" s="88">
        <v>5882</v>
      </c>
      <c r="B378" s="378" t="s">
        <v>613</v>
      </c>
      <c r="C378" s="1033"/>
      <c r="D378" s="1033"/>
      <c r="E378" s="1033"/>
      <c r="F378" s="1033"/>
      <c r="G378" s="1033"/>
      <c r="H378" s="1033"/>
      <c r="I378" s="1033"/>
      <c r="J378" s="1033"/>
      <c r="K378" s="1033"/>
      <c r="L378" s="574"/>
      <c r="M378" s="51"/>
      <c r="N378" s="113">
        <f t="shared" si="49"/>
        <v>5882</v>
      </c>
      <c r="O378" s="581"/>
      <c r="P378" s="582">
        <v>0</v>
      </c>
      <c r="Q378" s="589"/>
      <c r="R378" s="576"/>
      <c r="S378" s="583">
        <f t="shared" si="47"/>
        <v>0</v>
      </c>
      <c r="T378" s="584">
        <v>0</v>
      </c>
      <c r="U378" s="51"/>
      <c r="V378" s="2120">
        <f t="shared" si="48"/>
        <v>0</v>
      </c>
      <c r="W378" s="2116"/>
      <c r="X378" s="43"/>
      <c r="Y378" s="43"/>
      <c r="Z378" s="43"/>
    </row>
    <row r="379" spans="1:26">
      <c r="A379" s="88">
        <v>5889</v>
      </c>
      <c r="B379" s="378" t="s">
        <v>614</v>
      </c>
      <c r="C379" s="1033"/>
      <c r="D379" s="1033"/>
      <c r="E379" s="1033"/>
      <c r="F379" s="1033"/>
      <c r="G379" s="1033"/>
      <c r="H379" s="1033"/>
      <c r="I379" s="1033"/>
      <c r="J379" s="1033"/>
      <c r="K379" s="1033"/>
      <c r="L379" s="574"/>
      <c r="M379" s="51"/>
      <c r="N379" s="113">
        <f t="shared" si="49"/>
        <v>5889</v>
      </c>
      <c r="O379" s="581"/>
      <c r="P379" s="582">
        <v>0</v>
      </c>
      <c r="Q379" s="589"/>
      <c r="R379" s="576"/>
      <c r="S379" s="583">
        <f t="shared" si="47"/>
        <v>0</v>
      </c>
      <c r="T379" s="584">
        <v>0</v>
      </c>
      <c r="U379" s="51"/>
      <c r="V379" s="2120">
        <f t="shared" si="48"/>
        <v>0</v>
      </c>
      <c r="W379" s="2116"/>
      <c r="X379" s="43"/>
      <c r="Y379" s="43"/>
      <c r="Z379" s="43"/>
    </row>
    <row r="380" spans="1:26">
      <c r="A380" s="88">
        <v>5891</v>
      </c>
      <c r="B380" s="378" t="s">
        <v>319</v>
      </c>
      <c r="C380" s="1033"/>
      <c r="D380" s="1033"/>
      <c r="E380" s="1033"/>
      <c r="F380" s="1033"/>
      <c r="G380" s="1033"/>
      <c r="H380" s="1033"/>
      <c r="I380" s="1033"/>
      <c r="J380" s="1033"/>
      <c r="K380" s="1033"/>
      <c r="L380" s="574"/>
      <c r="M380" s="51"/>
      <c r="N380" s="113">
        <f t="shared" si="49"/>
        <v>5891</v>
      </c>
      <c r="O380" s="575">
        <v>0</v>
      </c>
      <c r="P380" s="576"/>
      <c r="Q380" s="589"/>
      <c r="R380" s="121"/>
      <c r="S380" s="579">
        <v>0</v>
      </c>
      <c r="T380" s="580">
        <f>+IF(ABS(+O380+Q380)&lt;=ABS(P380+R380),-O380+P380-Q380+R380,0)</f>
        <v>0</v>
      </c>
      <c r="U380" s="51"/>
      <c r="V380" s="2119">
        <f>+IF(OR(+ROUND(O380,2)+ROUND(Q380,2)&gt;ROUND(P380,2)+ROUND(R380,2),+ABS(ROUND(O380,2)+ROUND(Q380,2))&gt;+ABS(ROUND(P380,2)+ROUND(R380,2))),+(ROUND(O380,2)+ROUND(Q380,2))-(ROUND(P380,2)+ROUND(R380,2)),0)</f>
        <v>0</v>
      </c>
      <c r="W380" s="2116"/>
      <c r="X380" s="43"/>
      <c r="Y380" s="43"/>
      <c r="Z380" s="43"/>
    </row>
    <row r="381" spans="1:26">
      <c r="A381" s="591">
        <v>5892</v>
      </c>
      <c r="B381" s="1046" t="s">
        <v>320</v>
      </c>
      <c r="C381" s="1033"/>
      <c r="D381" s="1033"/>
      <c r="E381" s="1033"/>
      <c r="F381" s="1033"/>
      <c r="G381" s="1033"/>
      <c r="H381" s="1033"/>
      <c r="I381" s="1033"/>
      <c r="J381" s="1033"/>
      <c r="K381" s="1033"/>
      <c r="L381" s="574"/>
      <c r="M381" s="51"/>
      <c r="N381" s="113">
        <f t="shared" si="49"/>
        <v>5892</v>
      </c>
      <c r="O381" s="575">
        <v>0</v>
      </c>
      <c r="P381" s="576"/>
      <c r="Q381" s="589"/>
      <c r="R381" s="121"/>
      <c r="S381" s="579">
        <v>0</v>
      </c>
      <c r="T381" s="580">
        <f>+IF(ABS(+O381+Q381)&lt;=ABS(P381+R381),-O381+P381-Q381+R381,0)</f>
        <v>0</v>
      </c>
      <c r="U381" s="51"/>
      <c r="V381" s="2119">
        <f>+IF(OR(+ROUND(O381,2)+ROUND(Q381,2)&gt;ROUND(P381,2)+ROUND(R381,2),+ABS(ROUND(O381,2)+ROUND(Q381,2))&gt;+ABS(ROUND(P381,2)+ROUND(R381,2))),+(ROUND(O381,2)+ROUND(Q381,2))-(ROUND(P381,2)+ROUND(R381,2)),0)</f>
        <v>0</v>
      </c>
      <c r="W381" s="2116"/>
      <c r="X381" s="43"/>
      <c r="Y381" s="43"/>
      <c r="Z381" s="43"/>
    </row>
    <row r="382" spans="1:26">
      <c r="A382" s="1047">
        <v>5894</v>
      </c>
      <c r="B382" s="1048" t="s">
        <v>321</v>
      </c>
      <c r="C382" s="1049"/>
      <c r="D382" s="1049"/>
      <c r="E382" s="1049"/>
      <c r="F382" s="1049"/>
      <c r="G382" s="1049"/>
      <c r="H382" s="1049"/>
      <c r="I382" s="1049"/>
      <c r="J382" s="1049"/>
      <c r="K382" s="1049"/>
      <c r="L382" s="1050"/>
      <c r="M382" s="51"/>
      <c r="N382" s="113">
        <f t="shared" si="49"/>
        <v>5894</v>
      </c>
      <c r="O382" s="856">
        <v>0</v>
      </c>
      <c r="P382" s="597"/>
      <c r="Q382" s="598"/>
      <c r="R382" s="127"/>
      <c r="S382" s="857">
        <v>0</v>
      </c>
      <c r="T382" s="599">
        <f>+IF(ABS(+O382+Q382)&lt;=ABS(P382+R382),-O382+P382-Q382+R382,0)</f>
        <v>0</v>
      </c>
      <c r="U382" s="51"/>
      <c r="V382" s="2119">
        <f>+IF(OR(+ROUND(O382,2)+ROUND(Q382,2)&gt;ROUND(P382,2)+ROUND(R382,2),+ABS(ROUND(O382,2)+ROUND(Q382,2))&gt;+ABS(ROUND(P382,2)+ROUND(R382,2))),+(ROUND(O382,2)+ROUND(Q382,2))-(ROUND(P382,2)+ROUND(R382,2)),0)</f>
        <v>0</v>
      </c>
      <c r="W382" s="2116"/>
      <c r="X382" s="43"/>
      <c r="Y382" s="43"/>
      <c r="Z382" s="43"/>
    </row>
    <row r="383" spans="1:26">
      <c r="A383" s="398" t="s">
        <v>472</v>
      </c>
      <c r="B383" s="399"/>
      <c r="C383" s="399"/>
      <c r="D383" s="399"/>
      <c r="E383" s="399"/>
      <c r="F383" s="399"/>
      <c r="G383" s="399"/>
      <c r="H383" s="399"/>
      <c r="I383" s="399"/>
      <c r="J383" s="399"/>
      <c r="K383" s="399"/>
      <c r="L383" s="381"/>
      <c r="M383" s="51"/>
      <c r="N383" s="383">
        <v>6</v>
      </c>
      <c r="O383" s="384"/>
      <c r="P383" s="385"/>
      <c r="Q383" s="386"/>
      <c r="R383" s="385"/>
      <c r="S383" s="386"/>
      <c r="T383" s="387"/>
      <c r="U383" s="51"/>
      <c r="V383" s="2119"/>
      <c r="W383" s="2116"/>
      <c r="X383" s="43"/>
      <c r="Y383" s="43"/>
      <c r="Z383" s="43"/>
    </row>
    <row r="384" spans="1:26">
      <c r="A384" s="85">
        <v>6010</v>
      </c>
      <c r="B384" s="419" t="s">
        <v>322</v>
      </c>
      <c r="C384" s="86"/>
      <c r="D384" s="86"/>
      <c r="E384" s="86"/>
      <c r="F384" s="86"/>
      <c r="G384" s="86"/>
      <c r="H384" s="86"/>
      <c r="I384" s="86"/>
      <c r="J384" s="86"/>
      <c r="K384" s="86"/>
      <c r="L384" s="87"/>
      <c r="M384" s="51"/>
      <c r="N384" s="112">
        <f t="shared" ref="N384:N447" si="50">+A384</f>
        <v>6010</v>
      </c>
      <c r="O384" s="328">
        <v>0</v>
      </c>
      <c r="P384" s="329">
        <v>0</v>
      </c>
      <c r="Q384" s="325">
        <v>0</v>
      </c>
      <c r="R384" s="324">
        <v>0</v>
      </c>
      <c r="S384" s="326">
        <f t="shared" ref="S384:S409" si="51">+IF(ABS(+O384+Q384)&gt;=ABS(P384+R384),+O384-P384+Q384-R384,0)</f>
        <v>0</v>
      </c>
      <c r="T384" s="327">
        <f t="shared" ref="T384:T409" si="52">+IF(ABS(+O384+Q384)&lt;=ABS(P384+R384),-O384+P384-Q384+R384,0)</f>
        <v>0</v>
      </c>
      <c r="U384" s="51"/>
      <c r="V384" s="2119"/>
      <c r="W384" s="2116"/>
      <c r="X384" s="43"/>
      <c r="Y384" s="43"/>
      <c r="Z384" s="43"/>
    </row>
    <row r="385" spans="1:26">
      <c r="A385" s="88">
        <v>6011</v>
      </c>
      <c r="B385" s="1032" t="s">
        <v>323</v>
      </c>
      <c r="C385" s="1033"/>
      <c r="D385" s="1033"/>
      <c r="E385" s="1033"/>
      <c r="F385" s="1033"/>
      <c r="G385" s="1033"/>
      <c r="H385" s="1033"/>
      <c r="I385" s="1033"/>
      <c r="J385" s="1033"/>
      <c r="K385" s="1033"/>
      <c r="L385" s="90"/>
      <c r="M385" s="51"/>
      <c r="N385" s="113">
        <f t="shared" si="50"/>
        <v>6011</v>
      </c>
      <c r="O385" s="8">
        <v>0</v>
      </c>
      <c r="P385" s="9">
        <v>0</v>
      </c>
      <c r="Q385" s="122">
        <v>0</v>
      </c>
      <c r="R385" s="121">
        <v>0</v>
      </c>
      <c r="S385" s="27">
        <f t="shared" si="51"/>
        <v>0</v>
      </c>
      <c r="T385" s="28">
        <f t="shared" si="52"/>
        <v>0</v>
      </c>
      <c r="U385" s="51"/>
      <c r="V385" s="2119"/>
      <c r="W385" s="2116"/>
      <c r="X385" s="43"/>
      <c r="Y385" s="43"/>
      <c r="Z385" s="43"/>
    </row>
    <row r="386" spans="1:26">
      <c r="A386" s="88">
        <v>6012</v>
      </c>
      <c r="B386" s="1032" t="s">
        <v>324</v>
      </c>
      <c r="C386" s="1033"/>
      <c r="D386" s="1033"/>
      <c r="E386" s="1033"/>
      <c r="F386" s="1033"/>
      <c r="G386" s="1033"/>
      <c r="H386" s="1033"/>
      <c r="I386" s="1033"/>
      <c r="J386" s="1033"/>
      <c r="K386" s="1033"/>
      <c r="L386" s="90"/>
      <c r="M386" s="51"/>
      <c r="N386" s="113">
        <f t="shared" si="50"/>
        <v>6012</v>
      </c>
      <c r="O386" s="8">
        <v>0</v>
      </c>
      <c r="P386" s="9">
        <v>0</v>
      </c>
      <c r="Q386" s="122">
        <v>0</v>
      </c>
      <c r="R386" s="121">
        <v>0</v>
      </c>
      <c r="S386" s="27">
        <f t="shared" si="51"/>
        <v>0</v>
      </c>
      <c r="T386" s="28">
        <f t="shared" si="52"/>
        <v>0</v>
      </c>
      <c r="U386" s="51"/>
      <c r="V386" s="2119"/>
      <c r="W386" s="2116"/>
      <c r="X386" s="43"/>
      <c r="Y386" s="43"/>
      <c r="Z386" s="43"/>
    </row>
    <row r="387" spans="1:26">
      <c r="A387" s="88">
        <v>6013</v>
      </c>
      <c r="B387" s="1032" t="s">
        <v>325</v>
      </c>
      <c r="C387" s="1033"/>
      <c r="D387" s="1033"/>
      <c r="E387" s="1033"/>
      <c r="F387" s="1033"/>
      <c r="G387" s="1033"/>
      <c r="H387" s="1033"/>
      <c r="I387" s="1033"/>
      <c r="J387" s="1033"/>
      <c r="K387" s="1033"/>
      <c r="L387" s="90"/>
      <c r="M387" s="51"/>
      <c r="N387" s="113">
        <f t="shared" si="50"/>
        <v>6013</v>
      </c>
      <c r="O387" s="8">
        <v>0</v>
      </c>
      <c r="P387" s="9">
        <v>0</v>
      </c>
      <c r="Q387" s="122">
        <v>0</v>
      </c>
      <c r="R387" s="121">
        <v>0</v>
      </c>
      <c r="S387" s="27">
        <f t="shared" si="51"/>
        <v>0</v>
      </c>
      <c r="T387" s="28">
        <f t="shared" si="52"/>
        <v>0</v>
      </c>
      <c r="U387" s="51"/>
      <c r="V387" s="2119"/>
      <c r="W387" s="2116"/>
      <c r="X387" s="43"/>
      <c r="Y387" s="43"/>
      <c r="Z387" s="43"/>
    </row>
    <row r="388" spans="1:26">
      <c r="A388" s="88">
        <v>6014</v>
      </c>
      <c r="B388" s="1032" t="s">
        <v>326</v>
      </c>
      <c r="C388" s="1033"/>
      <c r="D388" s="1033"/>
      <c r="E388" s="1033"/>
      <c r="F388" s="1033"/>
      <c r="G388" s="1033"/>
      <c r="H388" s="1033"/>
      <c r="I388" s="1033"/>
      <c r="J388" s="1033"/>
      <c r="K388" s="1033"/>
      <c r="L388" s="90"/>
      <c r="M388" s="51"/>
      <c r="N388" s="113">
        <f t="shared" si="50"/>
        <v>6014</v>
      </c>
      <c r="O388" s="8">
        <v>0</v>
      </c>
      <c r="P388" s="9">
        <v>0</v>
      </c>
      <c r="Q388" s="122">
        <v>0</v>
      </c>
      <c r="R388" s="121">
        <v>0</v>
      </c>
      <c r="S388" s="27">
        <f t="shared" si="51"/>
        <v>0</v>
      </c>
      <c r="T388" s="28">
        <f t="shared" si="52"/>
        <v>0</v>
      </c>
      <c r="U388" s="51"/>
      <c r="V388" s="2119"/>
      <c r="W388" s="2116"/>
      <c r="X388" s="43"/>
      <c r="Y388" s="43"/>
      <c r="Z388" s="43"/>
    </row>
    <row r="389" spans="1:26">
      <c r="A389" s="88">
        <v>6015</v>
      </c>
      <c r="B389" s="1032" t="s">
        <v>327</v>
      </c>
      <c r="C389" s="1033"/>
      <c r="D389" s="1033"/>
      <c r="E389" s="1033"/>
      <c r="F389" s="1033"/>
      <c r="G389" s="1033"/>
      <c r="H389" s="1033"/>
      <c r="I389" s="1033"/>
      <c r="J389" s="1033"/>
      <c r="K389" s="1033"/>
      <c r="L389" s="90"/>
      <c r="M389" s="51"/>
      <c r="N389" s="113">
        <f t="shared" si="50"/>
        <v>6015</v>
      </c>
      <c r="O389" s="8">
        <v>0</v>
      </c>
      <c r="P389" s="9">
        <v>0</v>
      </c>
      <c r="Q389" s="122">
        <v>0</v>
      </c>
      <c r="R389" s="121">
        <v>0</v>
      </c>
      <c r="S389" s="27">
        <f t="shared" si="51"/>
        <v>0</v>
      </c>
      <c r="T389" s="28">
        <f t="shared" si="52"/>
        <v>0</v>
      </c>
      <c r="U389" s="51"/>
      <c r="V389" s="2119"/>
      <c r="W389" s="2116"/>
      <c r="X389" s="43"/>
      <c r="Y389" s="43"/>
      <c r="Z389" s="43"/>
    </row>
    <row r="390" spans="1:26">
      <c r="A390" s="88">
        <v>6016</v>
      </c>
      <c r="B390" s="1032" t="s">
        <v>328</v>
      </c>
      <c r="C390" s="1033"/>
      <c r="D390" s="1033"/>
      <c r="E390" s="1033"/>
      <c r="F390" s="1033"/>
      <c r="G390" s="1033"/>
      <c r="H390" s="1033"/>
      <c r="I390" s="1033"/>
      <c r="J390" s="1033"/>
      <c r="K390" s="1033"/>
      <c r="L390" s="90"/>
      <c r="M390" s="51"/>
      <c r="N390" s="113">
        <f t="shared" si="50"/>
        <v>6016</v>
      </c>
      <c r="O390" s="8">
        <v>0</v>
      </c>
      <c r="P390" s="9">
        <v>0</v>
      </c>
      <c r="Q390" s="122">
        <v>0</v>
      </c>
      <c r="R390" s="121">
        <v>0</v>
      </c>
      <c r="S390" s="27">
        <f t="shared" si="51"/>
        <v>0</v>
      </c>
      <c r="T390" s="28">
        <f t="shared" si="52"/>
        <v>0</v>
      </c>
      <c r="U390" s="51"/>
      <c r="V390" s="2119"/>
      <c r="W390" s="2116"/>
      <c r="X390" s="43"/>
      <c r="Y390" s="43"/>
      <c r="Z390" s="43"/>
    </row>
    <row r="391" spans="1:26">
      <c r="A391" s="88">
        <v>6017</v>
      </c>
      <c r="B391" s="1032" t="s">
        <v>329</v>
      </c>
      <c r="C391" s="1033"/>
      <c r="D391" s="1033"/>
      <c r="E391" s="1033"/>
      <c r="F391" s="1033"/>
      <c r="G391" s="1033"/>
      <c r="H391" s="1033"/>
      <c r="I391" s="1033"/>
      <c r="J391" s="1033"/>
      <c r="K391" s="1033"/>
      <c r="L391" s="90"/>
      <c r="M391" s="51"/>
      <c r="N391" s="113">
        <f t="shared" si="50"/>
        <v>6017</v>
      </c>
      <c r="O391" s="8">
        <v>0</v>
      </c>
      <c r="P391" s="9">
        <v>0</v>
      </c>
      <c r="Q391" s="122">
        <v>0</v>
      </c>
      <c r="R391" s="121">
        <v>0</v>
      </c>
      <c r="S391" s="27">
        <f t="shared" si="51"/>
        <v>0</v>
      </c>
      <c r="T391" s="28">
        <f t="shared" si="52"/>
        <v>0</v>
      </c>
      <c r="U391" s="51"/>
      <c r="V391" s="2119"/>
      <c r="W391" s="2116"/>
      <c r="X391" s="43"/>
      <c r="Y391" s="43"/>
      <c r="Z391" s="43"/>
    </row>
    <row r="392" spans="1:26">
      <c r="A392" s="88">
        <v>6018</v>
      </c>
      <c r="B392" s="1032" t="s">
        <v>330</v>
      </c>
      <c r="C392" s="1033"/>
      <c r="D392" s="1033"/>
      <c r="E392" s="1033"/>
      <c r="F392" s="1033"/>
      <c r="G392" s="1033"/>
      <c r="H392" s="1033"/>
      <c r="I392" s="1033"/>
      <c r="J392" s="1033"/>
      <c r="K392" s="1033"/>
      <c r="L392" s="90"/>
      <c r="M392" s="51"/>
      <c r="N392" s="113">
        <f t="shared" si="50"/>
        <v>6018</v>
      </c>
      <c r="O392" s="8">
        <v>0</v>
      </c>
      <c r="P392" s="9">
        <v>0</v>
      </c>
      <c r="Q392" s="122">
        <v>0</v>
      </c>
      <c r="R392" s="121">
        <v>0</v>
      </c>
      <c r="S392" s="27">
        <f t="shared" si="51"/>
        <v>0</v>
      </c>
      <c r="T392" s="28">
        <f t="shared" si="52"/>
        <v>0</v>
      </c>
      <c r="U392" s="51"/>
      <c r="V392" s="2119"/>
      <c r="W392" s="2116"/>
      <c r="X392" s="43"/>
      <c r="Y392" s="43"/>
      <c r="Z392" s="43"/>
    </row>
    <row r="393" spans="1:26">
      <c r="A393" s="88">
        <v>6019</v>
      </c>
      <c r="B393" s="1032" t="s">
        <v>331</v>
      </c>
      <c r="C393" s="1033"/>
      <c r="D393" s="1033"/>
      <c r="E393" s="1033"/>
      <c r="F393" s="1033"/>
      <c r="G393" s="1033"/>
      <c r="H393" s="1033"/>
      <c r="I393" s="1033"/>
      <c r="J393" s="1033"/>
      <c r="K393" s="1033"/>
      <c r="L393" s="90"/>
      <c r="M393" s="51"/>
      <c r="N393" s="113">
        <f t="shared" si="50"/>
        <v>6019</v>
      </c>
      <c r="O393" s="8">
        <v>0</v>
      </c>
      <c r="P393" s="9">
        <v>0</v>
      </c>
      <c r="Q393" s="122">
        <v>0</v>
      </c>
      <c r="R393" s="121">
        <v>0</v>
      </c>
      <c r="S393" s="27">
        <f t="shared" si="51"/>
        <v>0</v>
      </c>
      <c r="T393" s="28">
        <f t="shared" si="52"/>
        <v>0</v>
      </c>
      <c r="U393" s="51"/>
      <c r="V393" s="2119"/>
      <c r="W393" s="2116"/>
      <c r="X393" s="43"/>
      <c r="Y393" s="43"/>
      <c r="Z393" s="43"/>
    </row>
    <row r="394" spans="1:26">
      <c r="A394" s="88">
        <v>6021</v>
      </c>
      <c r="B394" s="1032" t="s">
        <v>332</v>
      </c>
      <c r="C394" s="1033"/>
      <c r="D394" s="1033"/>
      <c r="E394" s="1033"/>
      <c r="F394" s="1033"/>
      <c r="G394" s="1033"/>
      <c r="H394" s="1033"/>
      <c r="I394" s="1033"/>
      <c r="J394" s="1033"/>
      <c r="K394" s="1033"/>
      <c r="L394" s="90"/>
      <c r="M394" s="51"/>
      <c r="N394" s="113">
        <f t="shared" si="50"/>
        <v>6021</v>
      </c>
      <c r="O394" s="8">
        <v>0</v>
      </c>
      <c r="P394" s="9">
        <v>0</v>
      </c>
      <c r="Q394" s="122">
        <v>0</v>
      </c>
      <c r="R394" s="121">
        <v>0</v>
      </c>
      <c r="S394" s="27">
        <f t="shared" si="51"/>
        <v>0</v>
      </c>
      <c r="T394" s="28">
        <f t="shared" si="52"/>
        <v>0</v>
      </c>
      <c r="U394" s="51"/>
      <c r="V394" s="2119"/>
      <c r="W394" s="2116"/>
      <c r="X394" s="43"/>
      <c r="Y394" s="43"/>
      <c r="Z394" s="43"/>
    </row>
    <row r="395" spans="1:26">
      <c r="A395" s="88">
        <v>6022</v>
      </c>
      <c r="B395" s="1032" t="s">
        <v>333</v>
      </c>
      <c r="C395" s="1033"/>
      <c r="D395" s="1033"/>
      <c r="E395" s="1033"/>
      <c r="F395" s="1033"/>
      <c r="G395" s="1033"/>
      <c r="H395" s="1033"/>
      <c r="I395" s="1033"/>
      <c r="J395" s="1033"/>
      <c r="K395" s="1033"/>
      <c r="L395" s="90"/>
      <c r="M395" s="51"/>
      <c r="N395" s="113">
        <f t="shared" si="50"/>
        <v>6022</v>
      </c>
      <c r="O395" s="8">
        <v>0</v>
      </c>
      <c r="P395" s="9">
        <v>0</v>
      </c>
      <c r="Q395" s="122">
        <v>0</v>
      </c>
      <c r="R395" s="121">
        <v>0</v>
      </c>
      <c r="S395" s="27">
        <f t="shared" si="51"/>
        <v>0</v>
      </c>
      <c r="T395" s="28">
        <f t="shared" si="52"/>
        <v>0</v>
      </c>
      <c r="U395" s="51"/>
      <c r="V395" s="2119"/>
      <c r="W395" s="2116"/>
      <c r="X395" s="43"/>
      <c r="Y395" s="43"/>
      <c r="Z395" s="43"/>
    </row>
    <row r="396" spans="1:26">
      <c r="A396" s="88">
        <v>6023</v>
      </c>
      <c r="B396" s="1032" t="s">
        <v>334</v>
      </c>
      <c r="C396" s="1033"/>
      <c r="D396" s="1033"/>
      <c r="E396" s="1033"/>
      <c r="F396" s="1033"/>
      <c r="G396" s="1033"/>
      <c r="H396" s="1033"/>
      <c r="I396" s="1033"/>
      <c r="J396" s="1033"/>
      <c r="K396" s="1033"/>
      <c r="L396" s="90"/>
      <c r="M396" s="51"/>
      <c r="N396" s="113">
        <f t="shared" si="50"/>
        <v>6023</v>
      </c>
      <c r="O396" s="8">
        <v>0</v>
      </c>
      <c r="P396" s="9">
        <v>0</v>
      </c>
      <c r="Q396" s="122">
        <v>0</v>
      </c>
      <c r="R396" s="121">
        <v>0</v>
      </c>
      <c r="S396" s="27">
        <f t="shared" si="51"/>
        <v>0</v>
      </c>
      <c r="T396" s="28">
        <f t="shared" si="52"/>
        <v>0</v>
      </c>
      <c r="U396" s="51"/>
      <c r="V396" s="2119"/>
      <c r="W396" s="2116"/>
      <c r="X396" s="43"/>
      <c r="Y396" s="43"/>
      <c r="Z396" s="43"/>
    </row>
    <row r="397" spans="1:26">
      <c r="A397" s="88">
        <v>6025</v>
      </c>
      <c r="B397" s="1032" t="s">
        <v>335</v>
      </c>
      <c r="C397" s="1033"/>
      <c r="D397" s="1033"/>
      <c r="E397" s="1033"/>
      <c r="F397" s="1033"/>
      <c r="G397" s="1033"/>
      <c r="H397" s="1033"/>
      <c r="I397" s="1033"/>
      <c r="J397" s="1033"/>
      <c r="K397" s="1033"/>
      <c r="L397" s="90"/>
      <c r="M397" s="51"/>
      <c r="N397" s="113">
        <f t="shared" si="50"/>
        <v>6025</v>
      </c>
      <c r="O397" s="8">
        <v>0</v>
      </c>
      <c r="P397" s="9">
        <v>0</v>
      </c>
      <c r="Q397" s="122">
        <v>0</v>
      </c>
      <c r="R397" s="121">
        <v>0</v>
      </c>
      <c r="S397" s="27">
        <f t="shared" si="51"/>
        <v>0</v>
      </c>
      <c r="T397" s="28">
        <f t="shared" si="52"/>
        <v>0</v>
      </c>
      <c r="U397" s="51"/>
      <c r="V397" s="2119"/>
      <c r="W397" s="2116"/>
      <c r="X397" s="43"/>
      <c r="Y397" s="43"/>
      <c r="Z397" s="43"/>
    </row>
    <row r="398" spans="1:26">
      <c r="A398" s="88">
        <v>6026</v>
      </c>
      <c r="B398" s="1032" t="s">
        <v>336</v>
      </c>
      <c r="C398" s="1033"/>
      <c r="D398" s="1033"/>
      <c r="E398" s="1033"/>
      <c r="F398" s="1033"/>
      <c r="G398" s="1033"/>
      <c r="H398" s="1033"/>
      <c r="I398" s="1033"/>
      <c r="J398" s="1033"/>
      <c r="K398" s="1033"/>
      <c r="L398" s="90"/>
      <c r="M398" s="51"/>
      <c r="N398" s="113">
        <f t="shared" si="50"/>
        <v>6026</v>
      </c>
      <c r="O398" s="8">
        <v>0</v>
      </c>
      <c r="P398" s="9">
        <v>0</v>
      </c>
      <c r="Q398" s="122">
        <v>0</v>
      </c>
      <c r="R398" s="121">
        <v>0</v>
      </c>
      <c r="S398" s="27">
        <f t="shared" si="51"/>
        <v>0</v>
      </c>
      <c r="T398" s="28">
        <f t="shared" si="52"/>
        <v>0</v>
      </c>
      <c r="U398" s="51"/>
      <c r="V398" s="2119"/>
      <c r="W398" s="2116"/>
      <c r="X398" s="43"/>
      <c r="Y398" s="43"/>
      <c r="Z398" s="43"/>
    </row>
    <row r="399" spans="1:26">
      <c r="A399" s="88">
        <v>6027</v>
      </c>
      <c r="B399" s="1032" t="s">
        <v>337</v>
      </c>
      <c r="C399" s="1033"/>
      <c r="D399" s="1033"/>
      <c r="E399" s="1033"/>
      <c r="F399" s="1033"/>
      <c r="G399" s="1033"/>
      <c r="H399" s="1033"/>
      <c r="I399" s="1033"/>
      <c r="J399" s="1033"/>
      <c r="K399" s="1033"/>
      <c r="L399" s="90"/>
      <c r="M399" s="51"/>
      <c r="N399" s="113">
        <f t="shared" si="50"/>
        <v>6027</v>
      </c>
      <c r="O399" s="8">
        <v>0</v>
      </c>
      <c r="P399" s="9">
        <v>0</v>
      </c>
      <c r="Q399" s="122">
        <v>0</v>
      </c>
      <c r="R399" s="121">
        <v>0</v>
      </c>
      <c r="S399" s="27">
        <f t="shared" si="51"/>
        <v>0</v>
      </c>
      <c r="T399" s="28">
        <f t="shared" si="52"/>
        <v>0</v>
      </c>
      <c r="U399" s="51"/>
      <c r="V399" s="2119"/>
      <c r="W399" s="2116"/>
      <c r="X399" s="43"/>
      <c r="Y399" s="43"/>
      <c r="Z399" s="43"/>
    </row>
    <row r="400" spans="1:26">
      <c r="A400" s="88">
        <v>6028</v>
      </c>
      <c r="B400" s="1032" t="s">
        <v>338</v>
      </c>
      <c r="C400" s="1033"/>
      <c r="D400" s="1033"/>
      <c r="E400" s="1033"/>
      <c r="F400" s="1033"/>
      <c r="G400" s="1033"/>
      <c r="H400" s="1033"/>
      <c r="I400" s="1033"/>
      <c r="J400" s="1033"/>
      <c r="K400" s="1033"/>
      <c r="L400" s="90"/>
      <c r="M400" s="51"/>
      <c r="N400" s="113">
        <f t="shared" si="50"/>
        <v>6028</v>
      </c>
      <c r="O400" s="8">
        <v>0</v>
      </c>
      <c r="P400" s="9">
        <v>0</v>
      </c>
      <c r="Q400" s="122">
        <v>0</v>
      </c>
      <c r="R400" s="121">
        <v>0</v>
      </c>
      <c r="S400" s="27">
        <f t="shared" si="51"/>
        <v>0</v>
      </c>
      <c r="T400" s="28">
        <f t="shared" si="52"/>
        <v>0</v>
      </c>
      <c r="U400" s="51"/>
      <c r="V400" s="2119"/>
      <c r="W400" s="2116"/>
      <c r="X400" s="43"/>
      <c r="Y400" s="43"/>
      <c r="Z400" s="43"/>
    </row>
    <row r="401" spans="1:26">
      <c r="A401" s="88">
        <v>6029</v>
      </c>
      <c r="B401" s="1032" t="s">
        <v>339</v>
      </c>
      <c r="C401" s="1033"/>
      <c r="D401" s="1033"/>
      <c r="E401" s="1033"/>
      <c r="F401" s="1033"/>
      <c r="G401" s="1033"/>
      <c r="H401" s="1033"/>
      <c r="I401" s="1033"/>
      <c r="J401" s="1033"/>
      <c r="K401" s="1033"/>
      <c r="L401" s="90"/>
      <c r="M401" s="51"/>
      <c r="N401" s="113">
        <f t="shared" si="50"/>
        <v>6029</v>
      </c>
      <c r="O401" s="8">
        <v>0</v>
      </c>
      <c r="P401" s="9">
        <v>0</v>
      </c>
      <c r="Q401" s="122">
        <v>0</v>
      </c>
      <c r="R401" s="121">
        <v>0</v>
      </c>
      <c r="S401" s="27">
        <f t="shared" si="51"/>
        <v>0</v>
      </c>
      <c r="T401" s="28">
        <f t="shared" si="52"/>
        <v>0</v>
      </c>
      <c r="U401" s="51"/>
      <c r="V401" s="2119"/>
      <c r="W401" s="2116"/>
      <c r="X401" s="43"/>
      <c r="Y401" s="43"/>
      <c r="Z401" s="43"/>
    </row>
    <row r="402" spans="1:26">
      <c r="A402" s="591">
        <v>6030</v>
      </c>
      <c r="B402" s="1034" t="s">
        <v>340</v>
      </c>
      <c r="C402" s="1033"/>
      <c r="D402" s="1033"/>
      <c r="E402" s="1033"/>
      <c r="F402" s="1033"/>
      <c r="G402" s="1033"/>
      <c r="H402" s="1033"/>
      <c r="I402" s="1033"/>
      <c r="J402" s="1033"/>
      <c r="K402" s="1033"/>
      <c r="L402" s="574"/>
      <c r="M402" s="51"/>
      <c r="N402" s="1733">
        <f t="shared" si="50"/>
        <v>6030</v>
      </c>
      <c r="O402" s="575">
        <v>0</v>
      </c>
      <c r="P402" s="582">
        <v>0</v>
      </c>
      <c r="Q402" s="579">
        <v>0</v>
      </c>
      <c r="R402" s="582">
        <v>0</v>
      </c>
      <c r="S402" s="27">
        <f t="shared" si="51"/>
        <v>0</v>
      </c>
      <c r="T402" s="28">
        <f t="shared" si="52"/>
        <v>0</v>
      </c>
      <c r="U402" s="51"/>
      <c r="V402" s="2125">
        <f t="shared" ref="V402:V409" si="53">+IF(OR(O402&lt;&gt;0,P402&lt;&gt;0,Q402&lt;&gt;0,R402&lt;&gt;0,S402&lt;&gt;0,T402&lt;&gt;0),+IF(ABS(O402+Q402)-ABS(P402+R402)&lt;&gt;0,ABS(O402+Q402)-ABS(P402+R402),1),0)</f>
        <v>0</v>
      </c>
      <c r="W402" s="2116"/>
      <c r="X402" s="43"/>
      <c r="Y402" s="43"/>
      <c r="Z402" s="43"/>
    </row>
    <row r="403" spans="1:26">
      <c r="A403" s="591">
        <v>6032</v>
      </c>
      <c r="B403" s="1034" t="s">
        <v>341</v>
      </c>
      <c r="C403" s="1033"/>
      <c r="D403" s="1033"/>
      <c r="E403" s="1033"/>
      <c r="F403" s="1033"/>
      <c r="G403" s="1033"/>
      <c r="H403" s="1033"/>
      <c r="I403" s="1033"/>
      <c r="J403" s="1033"/>
      <c r="K403" s="1033"/>
      <c r="L403" s="574"/>
      <c r="M403" s="51"/>
      <c r="N403" s="1733">
        <f t="shared" si="50"/>
        <v>6032</v>
      </c>
      <c r="O403" s="575">
        <v>0</v>
      </c>
      <c r="P403" s="582">
        <v>0</v>
      </c>
      <c r="Q403" s="579">
        <v>0</v>
      </c>
      <c r="R403" s="582">
        <v>0</v>
      </c>
      <c r="S403" s="27">
        <f t="shared" si="51"/>
        <v>0</v>
      </c>
      <c r="T403" s="28">
        <f t="shared" si="52"/>
        <v>0</v>
      </c>
      <c r="U403" s="51"/>
      <c r="V403" s="2125">
        <f t="shared" si="53"/>
        <v>0</v>
      </c>
      <c r="W403" s="2116"/>
      <c r="X403" s="43"/>
      <c r="Y403" s="43"/>
      <c r="Z403" s="43"/>
    </row>
    <row r="404" spans="1:26">
      <c r="A404" s="591">
        <v>6033</v>
      </c>
      <c r="B404" s="1034" t="s">
        <v>342</v>
      </c>
      <c r="C404" s="1033"/>
      <c r="D404" s="1033"/>
      <c r="E404" s="1033"/>
      <c r="F404" s="1033"/>
      <c r="G404" s="1033"/>
      <c r="H404" s="1033"/>
      <c r="I404" s="1033"/>
      <c r="J404" s="1033"/>
      <c r="K404" s="1033"/>
      <c r="L404" s="574"/>
      <c r="M404" s="51"/>
      <c r="N404" s="1733">
        <f t="shared" si="50"/>
        <v>6033</v>
      </c>
      <c r="O404" s="575">
        <v>0</v>
      </c>
      <c r="P404" s="582">
        <v>0</v>
      </c>
      <c r="Q404" s="579">
        <v>0</v>
      </c>
      <c r="R404" s="582">
        <v>0</v>
      </c>
      <c r="S404" s="27">
        <f t="shared" si="51"/>
        <v>0</v>
      </c>
      <c r="T404" s="28">
        <f t="shared" si="52"/>
        <v>0</v>
      </c>
      <c r="U404" s="51"/>
      <c r="V404" s="2125">
        <f t="shared" si="53"/>
        <v>0</v>
      </c>
      <c r="W404" s="2116"/>
      <c r="X404" s="43"/>
      <c r="Y404" s="43"/>
      <c r="Z404" s="43"/>
    </row>
    <row r="405" spans="1:26">
      <c r="A405" s="591">
        <v>6034</v>
      </c>
      <c r="B405" s="1034" t="s">
        <v>343</v>
      </c>
      <c r="C405" s="1033"/>
      <c r="D405" s="1033"/>
      <c r="E405" s="1033"/>
      <c r="F405" s="1033"/>
      <c r="G405" s="1033"/>
      <c r="H405" s="1033"/>
      <c r="I405" s="1033"/>
      <c r="J405" s="1033"/>
      <c r="K405" s="1033"/>
      <c r="L405" s="574"/>
      <c r="M405" s="51"/>
      <c r="N405" s="1733">
        <f t="shared" si="50"/>
        <v>6034</v>
      </c>
      <c r="O405" s="575">
        <v>0</v>
      </c>
      <c r="P405" s="582">
        <v>0</v>
      </c>
      <c r="Q405" s="579">
        <v>0</v>
      </c>
      <c r="R405" s="582">
        <v>0</v>
      </c>
      <c r="S405" s="27">
        <f t="shared" si="51"/>
        <v>0</v>
      </c>
      <c r="T405" s="28">
        <f t="shared" si="52"/>
        <v>0</v>
      </c>
      <c r="U405" s="51"/>
      <c r="V405" s="2125">
        <f t="shared" si="53"/>
        <v>0</v>
      </c>
      <c r="W405" s="2116"/>
      <c r="X405" s="43"/>
      <c r="Y405" s="43"/>
      <c r="Z405" s="43"/>
    </row>
    <row r="406" spans="1:26">
      <c r="A406" s="591">
        <v>6035</v>
      </c>
      <c r="B406" s="1034" t="s">
        <v>344</v>
      </c>
      <c r="C406" s="1033"/>
      <c r="D406" s="1033"/>
      <c r="E406" s="1033"/>
      <c r="F406" s="1033"/>
      <c r="G406" s="1033"/>
      <c r="H406" s="1033"/>
      <c r="I406" s="1033"/>
      <c r="J406" s="1033"/>
      <c r="K406" s="1033"/>
      <c r="L406" s="574"/>
      <c r="M406" s="51"/>
      <c r="N406" s="1733">
        <f t="shared" si="50"/>
        <v>6035</v>
      </c>
      <c r="O406" s="575">
        <v>0</v>
      </c>
      <c r="P406" s="582">
        <v>0</v>
      </c>
      <c r="Q406" s="579">
        <v>0</v>
      </c>
      <c r="R406" s="582">
        <v>0</v>
      </c>
      <c r="S406" s="27">
        <f t="shared" si="51"/>
        <v>0</v>
      </c>
      <c r="T406" s="28">
        <f t="shared" si="52"/>
        <v>0</v>
      </c>
      <c r="U406" s="51"/>
      <c r="V406" s="2125">
        <f t="shared" si="53"/>
        <v>0</v>
      </c>
      <c r="W406" s="2116"/>
      <c r="X406" s="43"/>
      <c r="Y406" s="43"/>
      <c r="Z406" s="43"/>
    </row>
    <row r="407" spans="1:26">
      <c r="A407" s="591">
        <v>6036</v>
      </c>
      <c r="B407" s="1034" t="s">
        <v>345</v>
      </c>
      <c r="C407" s="1033"/>
      <c r="D407" s="1033"/>
      <c r="E407" s="1033"/>
      <c r="F407" s="1033"/>
      <c r="G407" s="1033"/>
      <c r="H407" s="1033"/>
      <c r="I407" s="1033"/>
      <c r="J407" s="1033"/>
      <c r="K407" s="1033"/>
      <c r="L407" s="574"/>
      <c r="M407" s="51"/>
      <c r="N407" s="1733">
        <f t="shared" si="50"/>
        <v>6036</v>
      </c>
      <c r="O407" s="575">
        <v>0</v>
      </c>
      <c r="P407" s="582">
        <v>0</v>
      </c>
      <c r="Q407" s="579">
        <v>0</v>
      </c>
      <c r="R407" s="582">
        <v>0</v>
      </c>
      <c r="S407" s="27">
        <f t="shared" si="51"/>
        <v>0</v>
      </c>
      <c r="T407" s="28">
        <f t="shared" si="52"/>
        <v>0</v>
      </c>
      <c r="U407" s="51"/>
      <c r="V407" s="2125">
        <f t="shared" si="53"/>
        <v>0</v>
      </c>
      <c r="W407" s="2116"/>
      <c r="X407" s="43"/>
      <c r="Y407" s="43"/>
      <c r="Z407" s="43"/>
    </row>
    <row r="408" spans="1:26">
      <c r="A408" s="591">
        <v>6037</v>
      </c>
      <c r="B408" s="1033" t="s">
        <v>347</v>
      </c>
      <c r="C408" s="1033"/>
      <c r="D408" s="1033"/>
      <c r="E408" s="1033"/>
      <c r="F408" s="1033"/>
      <c r="G408" s="1033"/>
      <c r="H408" s="1033"/>
      <c r="I408" s="1033"/>
      <c r="J408" s="1033"/>
      <c r="K408" s="1033"/>
      <c r="L408" s="574"/>
      <c r="M408" s="51"/>
      <c r="N408" s="1733">
        <f t="shared" si="50"/>
        <v>6037</v>
      </c>
      <c r="O408" s="575">
        <v>0</v>
      </c>
      <c r="P408" s="582">
        <v>0</v>
      </c>
      <c r="Q408" s="579">
        <v>0</v>
      </c>
      <c r="R408" s="582">
        <v>0</v>
      </c>
      <c r="S408" s="27">
        <f t="shared" si="51"/>
        <v>0</v>
      </c>
      <c r="T408" s="28">
        <f t="shared" si="52"/>
        <v>0</v>
      </c>
      <c r="U408" s="51"/>
      <c r="V408" s="2125">
        <f t="shared" si="53"/>
        <v>0</v>
      </c>
      <c r="W408" s="2116"/>
      <c r="X408" s="43"/>
      <c r="Y408" s="43"/>
      <c r="Z408" s="43"/>
    </row>
    <row r="409" spans="1:26">
      <c r="A409" s="591">
        <v>6039</v>
      </c>
      <c r="B409" s="1034" t="s">
        <v>346</v>
      </c>
      <c r="C409" s="1033"/>
      <c r="D409" s="1033"/>
      <c r="E409" s="1033"/>
      <c r="F409" s="1033"/>
      <c r="G409" s="1033"/>
      <c r="H409" s="1033"/>
      <c r="I409" s="1033"/>
      <c r="J409" s="1033"/>
      <c r="K409" s="1033"/>
      <c r="L409" s="574"/>
      <c r="M409" s="51"/>
      <c r="N409" s="1733">
        <f t="shared" si="50"/>
        <v>6039</v>
      </c>
      <c r="O409" s="575">
        <v>0</v>
      </c>
      <c r="P409" s="582">
        <v>0</v>
      </c>
      <c r="Q409" s="579">
        <v>0</v>
      </c>
      <c r="R409" s="582">
        <v>0</v>
      </c>
      <c r="S409" s="27">
        <f t="shared" si="51"/>
        <v>0</v>
      </c>
      <c r="T409" s="28">
        <f t="shared" si="52"/>
        <v>0</v>
      </c>
      <c r="U409" s="51"/>
      <c r="V409" s="2125">
        <f t="shared" si="53"/>
        <v>0</v>
      </c>
      <c r="W409" s="2116"/>
      <c r="X409" s="43"/>
      <c r="Y409" s="43"/>
      <c r="Z409" s="43"/>
    </row>
    <row r="410" spans="1:26">
      <c r="A410" s="88">
        <v>6041</v>
      </c>
      <c r="B410" s="1033" t="s">
        <v>348</v>
      </c>
      <c r="C410" s="1033"/>
      <c r="D410" s="1033"/>
      <c r="E410" s="1033"/>
      <c r="F410" s="1033"/>
      <c r="G410" s="1033"/>
      <c r="H410" s="1033"/>
      <c r="I410" s="1033"/>
      <c r="J410" s="1033"/>
      <c r="K410" s="1033"/>
      <c r="L410" s="90"/>
      <c r="M410" s="51"/>
      <c r="N410" s="113">
        <f t="shared" si="50"/>
        <v>6041</v>
      </c>
      <c r="O410" s="8">
        <v>0</v>
      </c>
      <c r="P410" s="9">
        <v>0</v>
      </c>
      <c r="Q410" s="122">
        <v>0</v>
      </c>
      <c r="R410" s="121">
        <v>0</v>
      </c>
      <c r="S410" s="27">
        <f t="shared" ref="S410:S415" si="54">+IF(ABS(+O410+Q410)&gt;=ABS(P410+R410),+O410-P410+Q410-R410,0)</f>
        <v>0</v>
      </c>
      <c r="T410" s="28">
        <f>+IF(ABS(+O410+Q410)&lt;=ABS(P410+R410),-O410+P410-Q410+R410,0)</f>
        <v>0</v>
      </c>
      <c r="U410" s="51"/>
      <c r="V410" s="2119"/>
      <c r="W410" s="2116"/>
      <c r="X410" s="43"/>
      <c r="Y410" s="43"/>
      <c r="Z410" s="43"/>
    </row>
    <row r="411" spans="1:26">
      <c r="A411" s="88">
        <v>6042</v>
      </c>
      <c r="B411" s="1033" t="s">
        <v>349</v>
      </c>
      <c r="C411" s="1033"/>
      <c r="D411" s="1033"/>
      <c r="E411" s="1033"/>
      <c r="F411" s="1033"/>
      <c r="G411" s="1033"/>
      <c r="H411" s="1033"/>
      <c r="I411" s="1033"/>
      <c r="J411" s="1033"/>
      <c r="K411" s="1033"/>
      <c r="L411" s="90"/>
      <c r="M411" s="51"/>
      <c r="N411" s="113">
        <f t="shared" si="50"/>
        <v>6042</v>
      </c>
      <c r="O411" s="8">
        <v>0</v>
      </c>
      <c r="P411" s="9">
        <v>0</v>
      </c>
      <c r="Q411" s="122">
        <v>0</v>
      </c>
      <c r="R411" s="121">
        <v>0</v>
      </c>
      <c r="S411" s="27">
        <f t="shared" si="54"/>
        <v>0</v>
      </c>
      <c r="T411" s="28">
        <f>+IF(ABS(+O411+Q411)&lt;=ABS(P411+R411),-O411+P411-Q411+R411,0)</f>
        <v>0</v>
      </c>
      <c r="U411" s="51"/>
      <c r="V411" s="2119"/>
      <c r="W411" s="2116"/>
      <c r="X411" s="43"/>
      <c r="Y411" s="43"/>
      <c r="Z411" s="43"/>
    </row>
    <row r="412" spans="1:26">
      <c r="A412" s="88">
        <v>6043</v>
      </c>
      <c r="B412" s="1033" t="s">
        <v>350</v>
      </c>
      <c r="C412" s="1033"/>
      <c r="D412" s="1033"/>
      <c r="E412" s="1033"/>
      <c r="F412" s="1033"/>
      <c r="G412" s="1033"/>
      <c r="H412" s="1033"/>
      <c r="I412" s="1033"/>
      <c r="J412" s="1033"/>
      <c r="K412" s="1033"/>
      <c r="L412" s="90"/>
      <c r="M412" s="51"/>
      <c r="N412" s="113">
        <f t="shared" si="50"/>
        <v>6043</v>
      </c>
      <c r="O412" s="8">
        <v>0</v>
      </c>
      <c r="P412" s="9">
        <v>0</v>
      </c>
      <c r="Q412" s="122">
        <v>0</v>
      </c>
      <c r="R412" s="121">
        <v>0</v>
      </c>
      <c r="S412" s="583">
        <f t="shared" si="54"/>
        <v>0</v>
      </c>
      <c r="T412" s="580">
        <f>+IF(ABS(+O412+Q412)&lt;=ABS(P412+R412),-O412+P412-Q412+R412,0)</f>
        <v>0</v>
      </c>
      <c r="U412" s="51"/>
      <c r="V412" s="2119"/>
      <c r="W412" s="2116"/>
      <c r="X412" s="43"/>
      <c r="Y412" s="43"/>
      <c r="Z412" s="43"/>
    </row>
    <row r="413" spans="1:26">
      <c r="A413" s="88">
        <v>6044</v>
      </c>
      <c r="B413" s="1033" t="s">
        <v>351</v>
      </c>
      <c r="C413" s="1033"/>
      <c r="D413" s="1033"/>
      <c r="E413" s="1033"/>
      <c r="F413" s="1033"/>
      <c r="G413" s="1033"/>
      <c r="H413" s="1033"/>
      <c r="I413" s="1033"/>
      <c r="J413" s="1033"/>
      <c r="K413" s="1033"/>
      <c r="L413" s="90"/>
      <c r="M413" s="51"/>
      <c r="N413" s="113">
        <f t="shared" si="50"/>
        <v>6044</v>
      </c>
      <c r="O413" s="8">
        <v>0</v>
      </c>
      <c r="P413" s="9">
        <v>0</v>
      </c>
      <c r="Q413" s="122">
        <v>0</v>
      </c>
      <c r="R413" s="121">
        <v>0</v>
      </c>
      <c r="S413" s="583">
        <f t="shared" si="54"/>
        <v>0</v>
      </c>
      <c r="T413" s="580">
        <f>+IF(ABS(+O413+Q413)&lt;=ABS(P413+R413),-O413+P413-Q413+R413,0)</f>
        <v>0</v>
      </c>
      <c r="U413" s="51"/>
      <c r="V413" s="2119"/>
      <c r="W413" s="2116"/>
      <c r="X413" s="43"/>
      <c r="Y413" s="43"/>
      <c r="Z413" s="43"/>
    </row>
    <row r="414" spans="1:26">
      <c r="A414" s="88">
        <v>6046</v>
      </c>
      <c r="B414" s="1033" t="s">
        <v>352</v>
      </c>
      <c r="C414" s="1033"/>
      <c r="D414" s="1033"/>
      <c r="E414" s="1033"/>
      <c r="F414" s="1033"/>
      <c r="G414" s="1033"/>
      <c r="H414" s="1033"/>
      <c r="I414" s="1033"/>
      <c r="J414" s="1033"/>
      <c r="K414" s="1033"/>
      <c r="L414" s="90"/>
      <c r="M414" s="51"/>
      <c r="N414" s="113">
        <f t="shared" si="50"/>
        <v>6046</v>
      </c>
      <c r="O414" s="8">
        <v>0</v>
      </c>
      <c r="P414" s="9">
        <v>0</v>
      </c>
      <c r="Q414" s="122"/>
      <c r="R414" s="121"/>
      <c r="S414" s="583">
        <f t="shared" si="54"/>
        <v>0</v>
      </c>
      <c r="T414" s="580">
        <f>+IF(ABS(+O414+Q414)&lt;=ABS(P414+R414),-O414+P414-Q414+R414,0)</f>
        <v>0</v>
      </c>
      <c r="U414" s="51"/>
      <c r="V414" s="2119"/>
      <c r="W414" s="2116"/>
      <c r="X414" s="43"/>
      <c r="Y414" s="43"/>
      <c r="Z414" s="43"/>
    </row>
    <row r="415" spans="1:26">
      <c r="A415" s="88">
        <v>6047</v>
      </c>
      <c r="B415" s="1032" t="s">
        <v>353</v>
      </c>
      <c r="C415" s="1033"/>
      <c r="D415" s="1033"/>
      <c r="E415" s="1033"/>
      <c r="F415" s="1033"/>
      <c r="G415" s="1033"/>
      <c r="H415" s="1033"/>
      <c r="I415" s="1033"/>
      <c r="J415" s="1033"/>
      <c r="K415" s="1033"/>
      <c r="L415" s="90"/>
      <c r="M415" s="51"/>
      <c r="N415" s="113">
        <f t="shared" si="50"/>
        <v>6047</v>
      </c>
      <c r="O415" s="8">
        <v>0</v>
      </c>
      <c r="P415" s="9">
        <v>0</v>
      </c>
      <c r="Q415" s="122">
        <v>0</v>
      </c>
      <c r="R415" s="576">
        <v>0</v>
      </c>
      <c r="S415" s="583">
        <f t="shared" si="54"/>
        <v>0</v>
      </c>
      <c r="T415" s="584">
        <v>0</v>
      </c>
      <c r="U415" s="51"/>
      <c r="V415" s="2120">
        <f>+IF(OR(ROUND(P415,2)+ROUND(R415,2)&gt;+ROUND(O415,2)+ROUND(Q415,2),+ABS(ROUND(P415,2)+ROUND(R415,2))&gt;+ABS(ROUND(O415,2)+ROUND(Q415,2))),+(ROUND(P415,2)+ROUND(R415,2))-(ROUND(O415,2)+ROUND(Q415,2)),0)</f>
        <v>0</v>
      </c>
      <c r="W415" s="2116"/>
      <c r="X415" s="43"/>
      <c r="Y415" s="43"/>
      <c r="Z415" s="43"/>
    </row>
    <row r="416" spans="1:26">
      <c r="A416" s="88">
        <v>6048</v>
      </c>
      <c r="B416" s="1032" t="s">
        <v>354</v>
      </c>
      <c r="C416" s="1033"/>
      <c r="D416" s="1033"/>
      <c r="E416" s="1033"/>
      <c r="F416" s="1033"/>
      <c r="G416" s="1033"/>
      <c r="H416" s="1033"/>
      <c r="I416" s="1033"/>
      <c r="J416" s="1033"/>
      <c r="K416" s="1033"/>
      <c r="L416" s="90"/>
      <c r="M416" s="51"/>
      <c r="N416" s="113">
        <f t="shared" si="50"/>
        <v>6048</v>
      </c>
      <c r="O416" s="575">
        <v>0</v>
      </c>
      <c r="P416" s="582">
        <v>0</v>
      </c>
      <c r="Q416" s="589">
        <v>0</v>
      </c>
      <c r="R416" s="121">
        <v>0</v>
      </c>
      <c r="S416" s="579">
        <v>0</v>
      </c>
      <c r="T416" s="580">
        <f>+IF(ABS(+O416+Q416)&lt;=ABS(P416+R416),-O416+P416-Q416+R416,0)</f>
        <v>0</v>
      </c>
      <c r="U416" s="51"/>
      <c r="V416" s="2119">
        <f>+IF(OR(+ROUND(O416,2)+ROUND(Q416,2)&gt;ROUND(P416,2)+ROUND(R416,2),+ABS(ROUND(O416,2)+ROUND(Q416,2))&gt;+ABS(ROUND(P416,2)+ROUND(R416,2))),+(ROUND(O416,2)+ROUND(Q416,2))-(ROUND(P416,2)+ROUND(R416,2)),0)</f>
        <v>0</v>
      </c>
      <c r="W416" s="2116"/>
      <c r="X416" s="43"/>
      <c r="Y416" s="43"/>
      <c r="Z416" s="43"/>
    </row>
    <row r="417" spans="1:26">
      <c r="A417" s="88">
        <v>6049</v>
      </c>
      <c r="B417" s="1035" t="s">
        <v>433</v>
      </c>
      <c r="C417" s="1033"/>
      <c r="D417" s="1033"/>
      <c r="E417" s="1033"/>
      <c r="F417" s="1033"/>
      <c r="G417" s="1033"/>
      <c r="H417" s="1033"/>
      <c r="I417" s="1033"/>
      <c r="J417" s="1033"/>
      <c r="K417" s="1033"/>
      <c r="L417" s="90"/>
      <c r="M417" s="51"/>
      <c r="N417" s="113">
        <f t="shared" si="50"/>
        <v>6049</v>
      </c>
      <c r="O417" s="575">
        <v>0</v>
      </c>
      <c r="P417" s="582">
        <v>0</v>
      </c>
      <c r="Q417" s="589">
        <v>0</v>
      </c>
      <c r="R417" s="576">
        <v>0</v>
      </c>
      <c r="S417" s="583">
        <f t="shared" ref="S417:S448" si="55">+IF(ABS(+O417+Q417)&gt;=ABS(P417+R417),+O417-P417+Q417-R417,0)</f>
        <v>0</v>
      </c>
      <c r="T417" s="580">
        <f t="shared" ref="T417:T447" si="56">+IF(ABS(+O417+Q417)&lt;=ABS(P417+R417),-O417+P417-Q417+R417,0)</f>
        <v>0</v>
      </c>
      <c r="U417" s="51"/>
      <c r="V417" s="2119"/>
      <c r="W417" s="2116"/>
      <c r="X417" s="43"/>
      <c r="Y417" s="43"/>
      <c r="Z417" s="43"/>
    </row>
    <row r="418" spans="1:26">
      <c r="A418" s="88">
        <v>6051</v>
      </c>
      <c r="B418" s="1033" t="s">
        <v>434</v>
      </c>
      <c r="C418" s="1033"/>
      <c r="D418" s="1033"/>
      <c r="E418" s="1033"/>
      <c r="F418" s="1033"/>
      <c r="G418" s="1033"/>
      <c r="H418" s="1033"/>
      <c r="I418" s="1033"/>
      <c r="J418" s="1033"/>
      <c r="K418" s="1033"/>
      <c r="L418" s="90"/>
      <c r="M418" s="51"/>
      <c r="N418" s="113">
        <f t="shared" si="50"/>
        <v>6051</v>
      </c>
      <c r="O418" s="575">
        <v>0</v>
      </c>
      <c r="P418" s="582">
        <v>0</v>
      </c>
      <c r="Q418" s="589">
        <v>0</v>
      </c>
      <c r="R418" s="576">
        <v>0</v>
      </c>
      <c r="S418" s="583">
        <f t="shared" si="55"/>
        <v>0</v>
      </c>
      <c r="T418" s="580">
        <f t="shared" si="56"/>
        <v>0</v>
      </c>
      <c r="U418" s="51"/>
      <c r="V418" s="2119"/>
      <c r="W418" s="2116"/>
      <c r="X418" s="43"/>
      <c r="Y418" s="43"/>
      <c r="Z418" s="43"/>
    </row>
    <row r="419" spans="1:26">
      <c r="A419" s="88">
        <v>6052</v>
      </c>
      <c r="B419" s="1033" t="s">
        <v>435</v>
      </c>
      <c r="C419" s="1033"/>
      <c r="D419" s="1033"/>
      <c r="E419" s="1033"/>
      <c r="F419" s="1033"/>
      <c r="G419" s="1033"/>
      <c r="H419" s="1033"/>
      <c r="I419" s="1033"/>
      <c r="J419" s="1033"/>
      <c r="K419" s="1033"/>
      <c r="L419" s="90"/>
      <c r="M419" s="51"/>
      <c r="N419" s="113">
        <f t="shared" si="50"/>
        <v>6052</v>
      </c>
      <c r="O419" s="575">
        <v>0</v>
      </c>
      <c r="P419" s="582">
        <v>0</v>
      </c>
      <c r="Q419" s="589">
        <v>0</v>
      </c>
      <c r="R419" s="576">
        <v>0</v>
      </c>
      <c r="S419" s="583">
        <f t="shared" si="55"/>
        <v>0</v>
      </c>
      <c r="T419" s="580">
        <f t="shared" si="56"/>
        <v>0</v>
      </c>
      <c r="U419" s="51"/>
      <c r="V419" s="2119"/>
      <c r="W419" s="2116"/>
      <c r="X419" s="43"/>
      <c r="Y419" s="43"/>
      <c r="Z419" s="43"/>
    </row>
    <row r="420" spans="1:26" ht="15.75" customHeight="1">
      <c r="A420" s="88">
        <v>6054</v>
      </c>
      <c r="B420" s="1033" t="s">
        <v>436</v>
      </c>
      <c r="C420" s="1033"/>
      <c r="D420" s="1033"/>
      <c r="E420" s="1033"/>
      <c r="F420" s="1033"/>
      <c r="G420" s="1033"/>
      <c r="H420" s="1033"/>
      <c r="I420" s="1033"/>
      <c r="J420" s="1033"/>
      <c r="K420" s="1033"/>
      <c r="L420" s="90"/>
      <c r="M420" s="51"/>
      <c r="N420" s="113">
        <f t="shared" si="50"/>
        <v>6054</v>
      </c>
      <c r="O420" s="575">
        <v>0</v>
      </c>
      <c r="P420" s="582">
        <v>0</v>
      </c>
      <c r="Q420" s="589"/>
      <c r="R420" s="576"/>
      <c r="S420" s="583">
        <f t="shared" si="55"/>
        <v>0</v>
      </c>
      <c r="T420" s="580">
        <f t="shared" si="56"/>
        <v>0</v>
      </c>
      <c r="U420" s="51"/>
      <c r="V420" s="2119"/>
      <c r="W420" s="2116"/>
      <c r="X420" s="43"/>
      <c r="Y420" s="43"/>
      <c r="Z420" s="43"/>
    </row>
    <row r="421" spans="1:26">
      <c r="A421" s="88">
        <v>6055</v>
      </c>
      <c r="B421" s="1033" t="s">
        <v>437</v>
      </c>
      <c r="C421" s="1033"/>
      <c r="D421" s="1033"/>
      <c r="E421" s="1033"/>
      <c r="F421" s="1033"/>
      <c r="G421" s="1033"/>
      <c r="H421" s="1033"/>
      <c r="I421" s="1033"/>
      <c r="J421" s="1033"/>
      <c r="K421" s="1033"/>
      <c r="L421" s="90"/>
      <c r="M421" s="51"/>
      <c r="N421" s="113">
        <f t="shared" si="50"/>
        <v>6055</v>
      </c>
      <c r="O421" s="575">
        <v>0</v>
      </c>
      <c r="P421" s="582">
        <v>0</v>
      </c>
      <c r="Q421" s="589">
        <v>0</v>
      </c>
      <c r="R421" s="576">
        <v>0</v>
      </c>
      <c r="S421" s="583">
        <f t="shared" si="55"/>
        <v>0</v>
      </c>
      <c r="T421" s="580">
        <f t="shared" si="56"/>
        <v>0</v>
      </c>
      <c r="U421" s="51"/>
      <c r="V421" s="2119"/>
      <c r="W421" s="2116"/>
      <c r="X421" s="43"/>
      <c r="Y421" s="43"/>
      <c r="Z421" s="43"/>
    </row>
    <row r="422" spans="1:26">
      <c r="A422" s="88">
        <v>6056</v>
      </c>
      <c r="B422" s="1033" t="s">
        <v>438</v>
      </c>
      <c r="C422" s="1033"/>
      <c r="D422" s="1033"/>
      <c r="E422" s="1033"/>
      <c r="F422" s="1033"/>
      <c r="G422" s="1033"/>
      <c r="H422" s="1033"/>
      <c r="I422" s="1033"/>
      <c r="J422" s="1033"/>
      <c r="K422" s="1033"/>
      <c r="L422" s="90"/>
      <c r="M422" s="51"/>
      <c r="N422" s="113">
        <f t="shared" si="50"/>
        <v>6056</v>
      </c>
      <c r="O422" s="575">
        <v>0</v>
      </c>
      <c r="P422" s="582">
        <v>0</v>
      </c>
      <c r="Q422" s="589"/>
      <c r="R422" s="576"/>
      <c r="S422" s="583">
        <f t="shared" si="55"/>
        <v>0</v>
      </c>
      <c r="T422" s="580">
        <f t="shared" si="56"/>
        <v>0</v>
      </c>
      <c r="U422" s="51"/>
      <c r="V422" s="2119"/>
      <c r="W422" s="2116"/>
      <c r="X422" s="43"/>
      <c r="Y422" s="43"/>
      <c r="Z422" s="43"/>
    </row>
    <row r="423" spans="1:26">
      <c r="A423" s="88">
        <v>6058</v>
      </c>
      <c r="B423" s="1033" t="s">
        <v>439</v>
      </c>
      <c r="C423" s="1033"/>
      <c r="D423" s="1033"/>
      <c r="E423" s="1033"/>
      <c r="F423" s="1033"/>
      <c r="G423" s="1033"/>
      <c r="H423" s="1033"/>
      <c r="I423" s="1033"/>
      <c r="J423" s="1033"/>
      <c r="K423" s="1033"/>
      <c r="L423" s="90"/>
      <c r="M423" s="51"/>
      <c r="N423" s="113">
        <f t="shared" si="50"/>
        <v>6058</v>
      </c>
      <c r="O423" s="575">
        <v>0</v>
      </c>
      <c r="P423" s="582">
        <v>0</v>
      </c>
      <c r="Q423" s="589"/>
      <c r="R423" s="576"/>
      <c r="S423" s="583">
        <f t="shared" si="55"/>
        <v>0</v>
      </c>
      <c r="T423" s="580">
        <f t="shared" si="56"/>
        <v>0</v>
      </c>
      <c r="U423" s="51"/>
      <c r="V423" s="2119"/>
      <c r="W423" s="2116"/>
      <c r="X423" s="43"/>
      <c r="Y423" s="43"/>
      <c r="Z423" s="43"/>
    </row>
    <row r="424" spans="1:26">
      <c r="A424" s="88">
        <v>6059</v>
      </c>
      <c r="B424" s="1033" t="s">
        <v>440</v>
      </c>
      <c r="C424" s="1033"/>
      <c r="D424" s="1033"/>
      <c r="E424" s="1033"/>
      <c r="F424" s="1033"/>
      <c r="G424" s="1033"/>
      <c r="H424" s="1033"/>
      <c r="I424" s="1033"/>
      <c r="J424" s="1033"/>
      <c r="K424" s="1033"/>
      <c r="L424" s="90"/>
      <c r="M424" s="51"/>
      <c r="N424" s="113">
        <f t="shared" si="50"/>
        <v>6059</v>
      </c>
      <c r="O424" s="575">
        <v>0</v>
      </c>
      <c r="P424" s="582">
        <v>0</v>
      </c>
      <c r="Q424" s="589">
        <v>0</v>
      </c>
      <c r="R424" s="576">
        <v>0</v>
      </c>
      <c r="S424" s="583">
        <f t="shared" si="55"/>
        <v>0</v>
      </c>
      <c r="T424" s="580">
        <f t="shared" si="56"/>
        <v>0</v>
      </c>
      <c r="U424" s="51"/>
      <c r="V424" s="2119"/>
      <c r="W424" s="2116"/>
      <c r="X424" s="43"/>
      <c r="Y424" s="43"/>
      <c r="Z424" s="43"/>
    </row>
    <row r="425" spans="1:26">
      <c r="A425" s="88">
        <v>6061</v>
      </c>
      <c r="B425" s="1032" t="s">
        <v>441</v>
      </c>
      <c r="C425" s="1033"/>
      <c r="D425" s="1033"/>
      <c r="E425" s="1033"/>
      <c r="F425" s="1033"/>
      <c r="G425" s="1033"/>
      <c r="H425" s="1033"/>
      <c r="I425" s="1033"/>
      <c r="J425" s="1033"/>
      <c r="K425" s="1033"/>
      <c r="L425" s="90"/>
      <c r="M425" s="51"/>
      <c r="N425" s="113">
        <f t="shared" si="50"/>
        <v>6061</v>
      </c>
      <c r="O425" s="575">
        <v>0</v>
      </c>
      <c r="P425" s="582">
        <v>0</v>
      </c>
      <c r="Q425" s="589">
        <v>0</v>
      </c>
      <c r="R425" s="576">
        <v>0</v>
      </c>
      <c r="S425" s="583">
        <f t="shared" si="55"/>
        <v>0</v>
      </c>
      <c r="T425" s="580">
        <f t="shared" si="56"/>
        <v>0</v>
      </c>
      <c r="U425" s="51"/>
      <c r="V425" s="2119"/>
      <c r="W425" s="2116"/>
      <c r="X425" s="43"/>
      <c r="Y425" s="43"/>
      <c r="Z425" s="43"/>
    </row>
    <row r="426" spans="1:26">
      <c r="A426" s="88">
        <v>6062</v>
      </c>
      <c r="B426" s="1032" t="s">
        <v>442</v>
      </c>
      <c r="C426" s="1033"/>
      <c r="D426" s="1033"/>
      <c r="E426" s="1033"/>
      <c r="F426" s="1033"/>
      <c r="G426" s="1033"/>
      <c r="H426" s="1033"/>
      <c r="I426" s="1033"/>
      <c r="J426" s="1033"/>
      <c r="K426" s="1033"/>
      <c r="L426" s="90"/>
      <c r="M426" s="51"/>
      <c r="N426" s="113">
        <f t="shared" si="50"/>
        <v>6062</v>
      </c>
      <c r="O426" s="575">
        <v>0</v>
      </c>
      <c r="P426" s="582">
        <v>0</v>
      </c>
      <c r="Q426" s="589">
        <v>0</v>
      </c>
      <c r="R426" s="576">
        <v>0</v>
      </c>
      <c r="S426" s="583">
        <f t="shared" si="55"/>
        <v>0</v>
      </c>
      <c r="T426" s="580">
        <f t="shared" si="56"/>
        <v>0</v>
      </c>
      <c r="U426" s="51"/>
      <c r="V426" s="2119"/>
      <c r="W426" s="2116"/>
      <c r="X426" s="43"/>
      <c r="Y426" s="43"/>
      <c r="Z426" s="43"/>
    </row>
    <row r="427" spans="1:26">
      <c r="A427" s="88">
        <v>6063</v>
      </c>
      <c r="B427" s="1032" t="s">
        <v>443</v>
      </c>
      <c r="C427" s="1033"/>
      <c r="D427" s="1033"/>
      <c r="E427" s="1033"/>
      <c r="F427" s="1033"/>
      <c r="G427" s="1033"/>
      <c r="H427" s="1033"/>
      <c r="I427" s="1033"/>
      <c r="J427" s="1033"/>
      <c r="K427" s="1033"/>
      <c r="L427" s="90"/>
      <c r="M427" s="51"/>
      <c r="N427" s="113">
        <f t="shared" si="50"/>
        <v>6063</v>
      </c>
      <c r="O427" s="575">
        <v>0</v>
      </c>
      <c r="P427" s="582">
        <v>0</v>
      </c>
      <c r="Q427" s="589">
        <v>0</v>
      </c>
      <c r="R427" s="576">
        <v>0</v>
      </c>
      <c r="S427" s="583">
        <f t="shared" si="55"/>
        <v>0</v>
      </c>
      <c r="T427" s="580">
        <f t="shared" si="56"/>
        <v>0</v>
      </c>
      <c r="U427" s="51"/>
      <c r="V427" s="2119"/>
      <c r="W427" s="2116"/>
      <c r="X427" s="43"/>
      <c r="Y427" s="43"/>
      <c r="Z427" s="43"/>
    </row>
    <row r="428" spans="1:26">
      <c r="A428" s="88">
        <v>6064</v>
      </c>
      <c r="B428" s="1032" t="s">
        <v>444</v>
      </c>
      <c r="C428" s="1033"/>
      <c r="D428" s="1033"/>
      <c r="E428" s="1033"/>
      <c r="F428" s="1033"/>
      <c r="G428" s="1033"/>
      <c r="H428" s="1033"/>
      <c r="I428" s="1033"/>
      <c r="J428" s="1033"/>
      <c r="K428" s="1033"/>
      <c r="L428" s="90"/>
      <c r="M428" s="51"/>
      <c r="N428" s="113">
        <f t="shared" si="50"/>
        <v>6064</v>
      </c>
      <c r="O428" s="575">
        <v>0</v>
      </c>
      <c r="P428" s="582">
        <v>0</v>
      </c>
      <c r="Q428" s="589">
        <v>0</v>
      </c>
      <c r="R428" s="576">
        <v>0</v>
      </c>
      <c r="S428" s="583">
        <f t="shared" si="55"/>
        <v>0</v>
      </c>
      <c r="T428" s="580">
        <f t="shared" si="56"/>
        <v>0</v>
      </c>
      <c r="U428" s="51"/>
      <c r="V428" s="2119"/>
      <c r="W428" s="2116"/>
      <c r="X428" s="43"/>
      <c r="Y428" s="43"/>
      <c r="Z428" s="43"/>
    </row>
    <row r="429" spans="1:26">
      <c r="A429" s="88">
        <v>6065</v>
      </c>
      <c r="B429" s="1032" t="s">
        <v>445</v>
      </c>
      <c r="C429" s="1033"/>
      <c r="D429" s="1033"/>
      <c r="E429" s="1033"/>
      <c r="F429" s="1033"/>
      <c r="G429" s="1033"/>
      <c r="H429" s="1033"/>
      <c r="I429" s="1033"/>
      <c r="J429" s="1033"/>
      <c r="K429" s="1033"/>
      <c r="L429" s="90"/>
      <c r="M429" s="51"/>
      <c r="N429" s="113">
        <f t="shared" si="50"/>
        <v>6065</v>
      </c>
      <c r="O429" s="575">
        <v>0</v>
      </c>
      <c r="P429" s="582">
        <v>0</v>
      </c>
      <c r="Q429" s="589">
        <v>0</v>
      </c>
      <c r="R429" s="576">
        <v>0</v>
      </c>
      <c r="S429" s="583">
        <f t="shared" si="55"/>
        <v>0</v>
      </c>
      <c r="T429" s="580">
        <f t="shared" si="56"/>
        <v>0</v>
      </c>
      <c r="U429" s="51"/>
      <c r="V429" s="2119"/>
      <c r="W429" s="2116"/>
      <c r="X429" s="43"/>
      <c r="Y429" s="43"/>
      <c r="Z429" s="43"/>
    </row>
    <row r="430" spans="1:26">
      <c r="A430" s="88">
        <v>6067</v>
      </c>
      <c r="B430" s="1032" t="s">
        <v>446</v>
      </c>
      <c r="C430" s="1033"/>
      <c r="D430" s="1033"/>
      <c r="E430" s="1033"/>
      <c r="F430" s="1033"/>
      <c r="G430" s="1033"/>
      <c r="H430" s="1033"/>
      <c r="I430" s="1033"/>
      <c r="J430" s="1033"/>
      <c r="K430" s="1033"/>
      <c r="L430" s="90"/>
      <c r="M430" s="51"/>
      <c r="N430" s="113">
        <f t="shared" si="50"/>
        <v>6067</v>
      </c>
      <c r="O430" s="575">
        <v>0</v>
      </c>
      <c r="P430" s="582">
        <v>0</v>
      </c>
      <c r="Q430" s="589"/>
      <c r="R430" s="576"/>
      <c r="S430" s="583">
        <f t="shared" si="55"/>
        <v>0</v>
      </c>
      <c r="T430" s="580">
        <f t="shared" si="56"/>
        <v>0</v>
      </c>
      <c r="U430" s="51"/>
      <c r="V430" s="2119"/>
      <c r="W430" s="2116"/>
      <c r="X430" s="43"/>
      <c r="Y430" s="43"/>
      <c r="Z430" s="43"/>
    </row>
    <row r="431" spans="1:26">
      <c r="A431" s="88">
        <v>6068</v>
      </c>
      <c r="B431" s="1032" t="s">
        <v>447</v>
      </c>
      <c r="C431" s="1033"/>
      <c r="D431" s="1033"/>
      <c r="E431" s="1033"/>
      <c r="F431" s="1033"/>
      <c r="G431" s="1033"/>
      <c r="H431" s="1033"/>
      <c r="I431" s="1033"/>
      <c r="J431" s="1033"/>
      <c r="K431" s="1033"/>
      <c r="L431" s="90"/>
      <c r="M431" s="51"/>
      <c r="N431" s="113">
        <f t="shared" si="50"/>
        <v>6068</v>
      </c>
      <c r="O431" s="575">
        <v>0</v>
      </c>
      <c r="P431" s="582">
        <v>0</v>
      </c>
      <c r="Q431" s="589"/>
      <c r="R431" s="576"/>
      <c r="S431" s="583">
        <f t="shared" si="55"/>
        <v>0</v>
      </c>
      <c r="T431" s="580">
        <f t="shared" si="56"/>
        <v>0</v>
      </c>
      <c r="U431" s="51"/>
      <c r="V431" s="2119"/>
      <c r="W431" s="2116"/>
      <c r="X431" s="43"/>
      <c r="Y431" s="43"/>
      <c r="Z431" s="43"/>
    </row>
    <row r="432" spans="1:26">
      <c r="A432" s="88">
        <v>6069</v>
      </c>
      <c r="B432" s="1032" t="s">
        <v>448</v>
      </c>
      <c r="C432" s="1033"/>
      <c r="D432" s="1033"/>
      <c r="E432" s="1033"/>
      <c r="F432" s="1033"/>
      <c r="G432" s="1033"/>
      <c r="H432" s="1033"/>
      <c r="I432" s="1033"/>
      <c r="J432" s="1033"/>
      <c r="K432" s="1033"/>
      <c r="L432" s="90"/>
      <c r="M432" s="51"/>
      <c r="N432" s="113">
        <f t="shared" si="50"/>
        <v>6069</v>
      </c>
      <c r="O432" s="575">
        <v>0</v>
      </c>
      <c r="P432" s="582">
        <v>0</v>
      </c>
      <c r="Q432" s="589"/>
      <c r="R432" s="576"/>
      <c r="S432" s="583">
        <f t="shared" si="55"/>
        <v>0</v>
      </c>
      <c r="T432" s="580">
        <f t="shared" si="56"/>
        <v>0</v>
      </c>
      <c r="U432" s="51"/>
      <c r="V432" s="2119"/>
      <c r="W432" s="2116"/>
      <c r="X432" s="43"/>
      <c r="Y432" s="43"/>
      <c r="Z432" s="43"/>
    </row>
    <row r="433" spans="1:26">
      <c r="A433" s="88">
        <v>6071</v>
      </c>
      <c r="B433" s="1032" t="s">
        <v>449</v>
      </c>
      <c r="C433" s="1033"/>
      <c r="D433" s="1033"/>
      <c r="E433" s="1033"/>
      <c r="F433" s="1033"/>
      <c r="G433" s="1033"/>
      <c r="H433" s="1033"/>
      <c r="I433" s="1033"/>
      <c r="J433" s="1033"/>
      <c r="K433" s="1033"/>
      <c r="L433" s="90"/>
      <c r="M433" s="51"/>
      <c r="N433" s="113">
        <f t="shared" si="50"/>
        <v>6071</v>
      </c>
      <c r="O433" s="575">
        <v>0</v>
      </c>
      <c r="P433" s="582">
        <v>0</v>
      </c>
      <c r="Q433" s="589">
        <v>0</v>
      </c>
      <c r="R433" s="576">
        <v>0</v>
      </c>
      <c r="S433" s="583">
        <f t="shared" si="55"/>
        <v>0</v>
      </c>
      <c r="T433" s="580">
        <f t="shared" si="56"/>
        <v>0</v>
      </c>
      <c r="U433" s="51"/>
      <c r="V433" s="2119"/>
      <c r="W433" s="2116"/>
      <c r="X433" s="43"/>
      <c r="Y433" s="43"/>
      <c r="Z433" s="43"/>
    </row>
    <row r="434" spans="1:26">
      <c r="A434" s="88">
        <v>6072</v>
      </c>
      <c r="B434" s="1032" t="s">
        <v>450</v>
      </c>
      <c r="C434" s="1033"/>
      <c r="D434" s="1033"/>
      <c r="E434" s="1033"/>
      <c r="F434" s="1033"/>
      <c r="G434" s="1033"/>
      <c r="H434" s="1033"/>
      <c r="I434" s="1033"/>
      <c r="J434" s="1033"/>
      <c r="K434" s="1033"/>
      <c r="L434" s="90"/>
      <c r="M434" s="51"/>
      <c r="N434" s="113">
        <f t="shared" si="50"/>
        <v>6072</v>
      </c>
      <c r="O434" s="575">
        <v>0</v>
      </c>
      <c r="P434" s="582">
        <v>0</v>
      </c>
      <c r="Q434" s="589"/>
      <c r="R434" s="576"/>
      <c r="S434" s="583">
        <f t="shared" si="55"/>
        <v>0</v>
      </c>
      <c r="T434" s="580">
        <f t="shared" si="56"/>
        <v>0</v>
      </c>
      <c r="U434" s="51"/>
      <c r="V434" s="2119"/>
      <c r="W434" s="2116"/>
      <c r="X434" s="43"/>
      <c r="Y434" s="43"/>
      <c r="Z434" s="43"/>
    </row>
    <row r="435" spans="1:26">
      <c r="A435" s="88">
        <v>6073</v>
      </c>
      <c r="B435" s="1032" t="s">
        <v>451</v>
      </c>
      <c r="C435" s="1033"/>
      <c r="D435" s="1033"/>
      <c r="E435" s="1033"/>
      <c r="F435" s="1033"/>
      <c r="G435" s="1033"/>
      <c r="H435" s="1033"/>
      <c r="I435" s="1033"/>
      <c r="J435" s="1033"/>
      <c r="K435" s="1033"/>
      <c r="L435" s="90"/>
      <c r="M435" s="51"/>
      <c r="N435" s="113">
        <f t="shared" si="50"/>
        <v>6073</v>
      </c>
      <c r="O435" s="575">
        <v>0</v>
      </c>
      <c r="P435" s="582">
        <v>0</v>
      </c>
      <c r="Q435" s="589">
        <v>0</v>
      </c>
      <c r="R435" s="576">
        <v>0</v>
      </c>
      <c r="S435" s="583">
        <f t="shared" si="55"/>
        <v>0</v>
      </c>
      <c r="T435" s="580">
        <f t="shared" si="56"/>
        <v>0</v>
      </c>
      <c r="U435" s="51"/>
      <c r="V435" s="2119"/>
      <c r="W435" s="2116"/>
      <c r="X435" s="43"/>
      <c r="Y435" s="43"/>
      <c r="Z435" s="43"/>
    </row>
    <row r="436" spans="1:26">
      <c r="A436" s="88">
        <v>6074</v>
      </c>
      <c r="B436" s="1032" t="s">
        <v>452</v>
      </c>
      <c r="C436" s="1033"/>
      <c r="D436" s="1033"/>
      <c r="E436" s="1033"/>
      <c r="F436" s="1033"/>
      <c r="G436" s="1033"/>
      <c r="H436" s="1033"/>
      <c r="I436" s="1033"/>
      <c r="J436" s="1033"/>
      <c r="K436" s="1033"/>
      <c r="L436" s="90"/>
      <c r="M436" s="51"/>
      <c r="N436" s="113">
        <f t="shared" si="50"/>
        <v>6074</v>
      </c>
      <c r="O436" s="575">
        <v>0</v>
      </c>
      <c r="P436" s="582">
        <v>0</v>
      </c>
      <c r="Q436" s="589"/>
      <c r="R436" s="576"/>
      <c r="S436" s="583">
        <f t="shared" si="55"/>
        <v>0</v>
      </c>
      <c r="T436" s="580">
        <f t="shared" si="56"/>
        <v>0</v>
      </c>
      <c r="U436" s="51"/>
      <c r="V436" s="2119"/>
      <c r="W436" s="2116"/>
      <c r="X436" s="43"/>
      <c r="Y436" s="43"/>
      <c r="Z436" s="43"/>
    </row>
    <row r="437" spans="1:26">
      <c r="A437" s="88">
        <v>6075</v>
      </c>
      <c r="B437" s="1032" t="s">
        <v>453</v>
      </c>
      <c r="C437" s="1033"/>
      <c r="D437" s="1033"/>
      <c r="E437" s="1033"/>
      <c r="F437" s="1033"/>
      <c r="G437" s="1033"/>
      <c r="H437" s="1033"/>
      <c r="I437" s="1033"/>
      <c r="J437" s="1033"/>
      <c r="K437" s="1033"/>
      <c r="L437" s="90"/>
      <c r="M437" s="51"/>
      <c r="N437" s="113">
        <f t="shared" si="50"/>
        <v>6075</v>
      </c>
      <c r="O437" s="575">
        <v>0</v>
      </c>
      <c r="P437" s="582">
        <v>0</v>
      </c>
      <c r="Q437" s="589">
        <v>0</v>
      </c>
      <c r="R437" s="576">
        <v>0</v>
      </c>
      <c r="S437" s="583">
        <f t="shared" si="55"/>
        <v>0</v>
      </c>
      <c r="T437" s="580">
        <f t="shared" si="56"/>
        <v>0</v>
      </c>
      <c r="U437" s="51"/>
      <c r="V437" s="2119"/>
      <c r="W437" s="2116"/>
      <c r="X437" s="43"/>
      <c r="Y437" s="43"/>
      <c r="Z437" s="43"/>
    </row>
    <row r="438" spans="1:26">
      <c r="A438" s="88">
        <v>6076</v>
      </c>
      <c r="B438" s="1032" t="s">
        <v>454</v>
      </c>
      <c r="C438" s="1033"/>
      <c r="D438" s="1033"/>
      <c r="E438" s="1033"/>
      <c r="F438" s="1033"/>
      <c r="G438" s="1033"/>
      <c r="H438" s="1033"/>
      <c r="I438" s="1033"/>
      <c r="J438" s="1033"/>
      <c r="K438" s="1033"/>
      <c r="L438" s="90"/>
      <c r="M438" s="51"/>
      <c r="N438" s="113">
        <f t="shared" si="50"/>
        <v>6076</v>
      </c>
      <c r="O438" s="575">
        <v>0</v>
      </c>
      <c r="P438" s="582">
        <v>0</v>
      </c>
      <c r="Q438" s="589">
        <v>0</v>
      </c>
      <c r="R438" s="576">
        <v>0</v>
      </c>
      <c r="S438" s="583">
        <f t="shared" si="55"/>
        <v>0</v>
      </c>
      <c r="T438" s="580">
        <f t="shared" si="56"/>
        <v>0</v>
      </c>
      <c r="U438" s="51"/>
      <c r="V438" s="2119"/>
      <c r="W438" s="2116"/>
      <c r="X438" s="43"/>
      <c r="Y438" s="43"/>
      <c r="Z438" s="43"/>
    </row>
    <row r="439" spans="1:26">
      <c r="A439" s="88">
        <v>6077</v>
      </c>
      <c r="B439" s="1032" t="s">
        <v>455</v>
      </c>
      <c r="C439" s="1033"/>
      <c r="D439" s="1033"/>
      <c r="E439" s="1033"/>
      <c r="F439" s="1033"/>
      <c r="G439" s="1033"/>
      <c r="H439" s="1033"/>
      <c r="I439" s="1033"/>
      <c r="J439" s="1033"/>
      <c r="K439" s="1033"/>
      <c r="L439" s="90"/>
      <c r="M439" s="51"/>
      <c r="N439" s="113">
        <f t="shared" si="50"/>
        <v>6077</v>
      </c>
      <c r="O439" s="575">
        <v>0</v>
      </c>
      <c r="P439" s="582">
        <v>0</v>
      </c>
      <c r="Q439" s="589">
        <v>0</v>
      </c>
      <c r="R439" s="576">
        <v>0</v>
      </c>
      <c r="S439" s="583">
        <f t="shared" si="55"/>
        <v>0</v>
      </c>
      <c r="T439" s="580">
        <f t="shared" si="56"/>
        <v>0</v>
      </c>
      <c r="U439" s="51"/>
      <c r="V439" s="2119"/>
      <c r="W439" s="2116"/>
      <c r="X439" s="43"/>
      <c r="Y439" s="43"/>
      <c r="Z439" s="43"/>
    </row>
    <row r="440" spans="1:26">
      <c r="A440" s="88">
        <v>6078</v>
      </c>
      <c r="B440" s="1032" t="s">
        <v>456</v>
      </c>
      <c r="C440" s="1033"/>
      <c r="D440" s="1033"/>
      <c r="E440" s="1033"/>
      <c r="F440" s="1033"/>
      <c r="G440" s="1033"/>
      <c r="H440" s="1033"/>
      <c r="I440" s="1033"/>
      <c r="J440" s="1033"/>
      <c r="K440" s="1033"/>
      <c r="L440" s="90"/>
      <c r="M440" s="51"/>
      <c r="N440" s="113">
        <f t="shared" si="50"/>
        <v>6078</v>
      </c>
      <c r="O440" s="575">
        <v>0</v>
      </c>
      <c r="P440" s="582">
        <v>0</v>
      </c>
      <c r="Q440" s="589"/>
      <c r="R440" s="576"/>
      <c r="S440" s="583">
        <f t="shared" si="55"/>
        <v>0</v>
      </c>
      <c r="T440" s="580">
        <f t="shared" si="56"/>
        <v>0</v>
      </c>
      <c r="U440" s="51"/>
      <c r="V440" s="2119"/>
      <c r="W440" s="2116"/>
      <c r="X440" s="43"/>
      <c r="Y440" s="43"/>
      <c r="Z440" s="43"/>
    </row>
    <row r="441" spans="1:26">
      <c r="A441" s="88">
        <v>6079</v>
      </c>
      <c r="B441" s="1032" t="s">
        <v>457</v>
      </c>
      <c r="C441" s="1033"/>
      <c r="D441" s="1033"/>
      <c r="E441" s="1033"/>
      <c r="F441" s="1033"/>
      <c r="G441" s="1033"/>
      <c r="H441" s="1033"/>
      <c r="I441" s="1033"/>
      <c r="J441" s="1033"/>
      <c r="K441" s="1033"/>
      <c r="L441" s="90"/>
      <c r="M441" s="51"/>
      <c r="N441" s="113">
        <f t="shared" si="50"/>
        <v>6079</v>
      </c>
      <c r="O441" s="575">
        <v>0</v>
      </c>
      <c r="P441" s="582">
        <v>0</v>
      </c>
      <c r="Q441" s="589">
        <v>0</v>
      </c>
      <c r="R441" s="576">
        <v>0</v>
      </c>
      <c r="S441" s="583">
        <f t="shared" si="55"/>
        <v>0</v>
      </c>
      <c r="T441" s="580">
        <f t="shared" si="56"/>
        <v>0</v>
      </c>
      <c r="U441" s="51"/>
      <c r="V441" s="2119"/>
      <c r="W441" s="2116"/>
      <c r="X441" s="43"/>
      <c r="Y441" s="43"/>
      <c r="Z441" s="43"/>
    </row>
    <row r="442" spans="1:26" ht="15.75" customHeight="1">
      <c r="A442" s="88">
        <v>6080</v>
      </c>
      <c r="B442" s="1032" t="s">
        <v>458</v>
      </c>
      <c r="C442" s="1033"/>
      <c r="D442" s="1033"/>
      <c r="E442" s="1033"/>
      <c r="F442" s="1033"/>
      <c r="G442" s="1033"/>
      <c r="H442" s="1033"/>
      <c r="I442" s="1033"/>
      <c r="J442" s="1033"/>
      <c r="K442" s="1033"/>
      <c r="L442" s="90"/>
      <c r="M442" s="51"/>
      <c r="N442" s="113">
        <f t="shared" si="50"/>
        <v>6080</v>
      </c>
      <c r="O442" s="575">
        <v>0</v>
      </c>
      <c r="P442" s="582">
        <v>0</v>
      </c>
      <c r="Q442" s="589"/>
      <c r="R442" s="576"/>
      <c r="S442" s="583">
        <f t="shared" si="55"/>
        <v>0</v>
      </c>
      <c r="T442" s="580">
        <f t="shared" si="56"/>
        <v>0</v>
      </c>
      <c r="U442" s="51"/>
      <c r="V442" s="2119"/>
      <c r="W442" s="2116"/>
      <c r="X442" s="43"/>
      <c r="Y442" s="43"/>
      <c r="Z442" s="43"/>
    </row>
    <row r="443" spans="1:26" ht="15.75" customHeight="1">
      <c r="A443" s="88">
        <v>6081</v>
      </c>
      <c r="B443" s="1032" t="s">
        <v>459</v>
      </c>
      <c r="C443" s="1033"/>
      <c r="D443" s="1033"/>
      <c r="E443" s="1033"/>
      <c r="F443" s="1033"/>
      <c r="G443" s="1033"/>
      <c r="H443" s="1033"/>
      <c r="I443" s="1033"/>
      <c r="J443" s="1033"/>
      <c r="K443" s="1033"/>
      <c r="L443" s="90"/>
      <c r="M443" s="51"/>
      <c r="N443" s="113">
        <f t="shared" si="50"/>
        <v>6081</v>
      </c>
      <c r="O443" s="575">
        <v>0</v>
      </c>
      <c r="P443" s="582">
        <v>0</v>
      </c>
      <c r="Q443" s="589"/>
      <c r="R443" s="576"/>
      <c r="S443" s="583">
        <f t="shared" si="55"/>
        <v>0</v>
      </c>
      <c r="T443" s="580">
        <f t="shared" si="56"/>
        <v>0</v>
      </c>
      <c r="U443" s="51"/>
      <c r="V443" s="2119"/>
      <c r="W443" s="2116"/>
      <c r="X443" s="43"/>
      <c r="Y443" s="43"/>
      <c r="Z443" s="43"/>
    </row>
    <row r="444" spans="1:26">
      <c r="A444" s="88">
        <v>6082</v>
      </c>
      <c r="B444" s="1033" t="s">
        <v>460</v>
      </c>
      <c r="C444" s="1033"/>
      <c r="D444" s="1033"/>
      <c r="E444" s="1033"/>
      <c r="F444" s="1033"/>
      <c r="G444" s="1033"/>
      <c r="H444" s="1033"/>
      <c r="I444" s="1033"/>
      <c r="J444" s="1033"/>
      <c r="K444" s="1033"/>
      <c r="L444" s="90"/>
      <c r="M444" s="51"/>
      <c r="N444" s="113">
        <f t="shared" si="50"/>
        <v>6082</v>
      </c>
      <c r="O444" s="575">
        <v>0</v>
      </c>
      <c r="P444" s="582">
        <v>0</v>
      </c>
      <c r="Q444" s="589"/>
      <c r="R444" s="576"/>
      <c r="S444" s="583">
        <f t="shared" si="55"/>
        <v>0</v>
      </c>
      <c r="T444" s="580">
        <f t="shared" si="56"/>
        <v>0</v>
      </c>
      <c r="U444" s="51"/>
      <c r="V444" s="2119"/>
      <c r="W444" s="2116"/>
      <c r="X444" s="43"/>
      <c r="Y444" s="43"/>
      <c r="Z444" s="43"/>
    </row>
    <row r="445" spans="1:26">
      <c r="A445" s="88">
        <v>6087</v>
      </c>
      <c r="B445" s="1033" t="s">
        <v>461</v>
      </c>
      <c r="C445" s="1033"/>
      <c r="D445" s="1033"/>
      <c r="E445" s="1033"/>
      <c r="F445" s="1033"/>
      <c r="G445" s="1033"/>
      <c r="H445" s="1033"/>
      <c r="I445" s="1033"/>
      <c r="J445" s="1033"/>
      <c r="K445" s="1033"/>
      <c r="L445" s="90"/>
      <c r="M445" s="51"/>
      <c r="N445" s="113">
        <f t="shared" si="50"/>
        <v>6087</v>
      </c>
      <c r="O445" s="575">
        <v>0</v>
      </c>
      <c r="P445" s="582">
        <v>0</v>
      </c>
      <c r="Q445" s="589"/>
      <c r="R445" s="576"/>
      <c r="S445" s="583">
        <f t="shared" si="55"/>
        <v>0</v>
      </c>
      <c r="T445" s="580">
        <f t="shared" si="56"/>
        <v>0</v>
      </c>
      <c r="U445" s="51"/>
      <c r="V445" s="2119"/>
      <c r="W445" s="2116"/>
      <c r="X445" s="43"/>
      <c r="Y445" s="43"/>
      <c r="Z445" s="43"/>
    </row>
    <row r="446" spans="1:26">
      <c r="A446" s="88">
        <v>6089</v>
      </c>
      <c r="B446" s="1033" t="s">
        <v>462</v>
      </c>
      <c r="C446" s="1033"/>
      <c r="D446" s="1033"/>
      <c r="E446" s="1033"/>
      <c r="F446" s="1033"/>
      <c r="G446" s="1033"/>
      <c r="H446" s="1033"/>
      <c r="I446" s="1033"/>
      <c r="J446" s="1033"/>
      <c r="K446" s="1033"/>
      <c r="L446" s="90"/>
      <c r="M446" s="51"/>
      <c r="N446" s="113">
        <f t="shared" si="50"/>
        <v>6089</v>
      </c>
      <c r="O446" s="575">
        <v>0</v>
      </c>
      <c r="P446" s="582">
        <v>0</v>
      </c>
      <c r="Q446" s="589"/>
      <c r="R446" s="576"/>
      <c r="S446" s="583">
        <f t="shared" si="55"/>
        <v>0</v>
      </c>
      <c r="T446" s="580">
        <f t="shared" si="56"/>
        <v>0</v>
      </c>
      <c r="U446" s="51"/>
      <c r="V446" s="2119"/>
      <c r="W446" s="2116"/>
      <c r="X446" s="43"/>
      <c r="Y446" s="43"/>
      <c r="Z446" s="43"/>
    </row>
    <row r="447" spans="1:26" ht="15.75" customHeight="1">
      <c r="A447" s="88">
        <v>6090</v>
      </c>
      <c r="B447" s="1032" t="s">
        <v>463</v>
      </c>
      <c r="C447" s="1033"/>
      <c r="D447" s="1033"/>
      <c r="E447" s="1033"/>
      <c r="F447" s="1033"/>
      <c r="G447" s="1033"/>
      <c r="H447" s="1033"/>
      <c r="I447" s="1033"/>
      <c r="J447" s="1033"/>
      <c r="K447" s="1033"/>
      <c r="L447" s="90"/>
      <c r="M447" s="51"/>
      <c r="N447" s="113">
        <f t="shared" si="50"/>
        <v>6090</v>
      </c>
      <c r="O447" s="575">
        <v>0</v>
      </c>
      <c r="P447" s="582">
        <v>0</v>
      </c>
      <c r="Q447" s="589"/>
      <c r="R447" s="576"/>
      <c r="S447" s="583">
        <f t="shared" si="55"/>
        <v>0</v>
      </c>
      <c r="T447" s="580">
        <f t="shared" si="56"/>
        <v>0</v>
      </c>
      <c r="U447" s="51"/>
      <c r="V447" s="2119"/>
      <c r="W447" s="2116"/>
      <c r="X447" s="43"/>
      <c r="Y447" s="43"/>
      <c r="Z447" s="43"/>
    </row>
    <row r="448" spans="1:26">
      <c r="A448" s="88">
        <v>6091</v>
      </c>
      <c r="B448" s="1033" t="s">
        <v>464</v>
      </c>
      <c r="C448" s="1033"/>
      <c r="D448" s="1033"/>
      <c r="E448" s="1033"/>
      <c r="F448" s="1033"/>
      <c r="G448" s="1033"/>
      <c r="H448" s="1033"/>
      <c r="I448" s="1033"/>
      <c r="J448" s="1033"/>
      <c r="K448" s="1033"/>
      <c r="L448" s="90"/>
      <c r="M448" s="51"/>
      <c r="N448" s="113">
        <f t="shared" ref="N448:N511" si="57">+A448</f>
        <v>6091</v>
      </c>
      <c r="O448" s="575">
        <v>0</v>
      </c>
      <c r="P448" s="582">
        <v>0</v>
      </c>
      <c r="Q448" s="589">
        <v>0</v>
      </c>
      <c r="R448" s="576">
        <v>0</v>
      </c>
      <c r="S448" s="583">
        <f t="shared" si="55"/>
        <v>0</v>
      </c>
      <c r="T448" s="580">
        <f t="shared" ref="T448:T479" si="58">+IF(ABS(+O448+Q448)&lt;=ABS(P448+R448),-O448+P448-Q448+R448,0)</f>
        <v>0</v>
      </c>
      <c r="U448" s="51"/>
      <c r="V448" s="2119"/>
      <c r="W448" s="2116"/>
      <c r="X448" s="43"/>
      <c r="Y448" s="43"/>
      <c r="Z448" s="43"/>
    </row>
    <row r="449" spans="1:26" ht="15.75" customHeight="1">
      <c r="A449" s="88">
        <v>6092</v>
      </c>
      <c r="B449" s="1032" t="s">
        <v>465</v>
      </c>
      <c r="C449" s="1033"/>
      <c r="D449" s="1033"/>
      <c r="E449" s="1033"/>
      <c r="F449" s="1033"/>
      <c r="G449" s="1033"/>
      <c r="H449" s="1033"/>
      <c r="I449" s="1033"/>
      <c r="J449" s="1033"/>
      <c r="K449" s="1033"/>
      <c r="L449" s="90"/>
      <c r="M449" s="51"/>
      <c r="N449" s="113">
        <f t="shared" si="57"/>
        <v>6092</v>
      </c>
      <c r="O449" s="575">
        <v>0</v>
      </c>
      <c r="P449" s="582">
        <v>0</v>
      </c>
      <c r="Q449" s="589"/>
      <c r="R449" s="576"/>
      <c r="S449" s="583">
        <f t="shared" ref="S449:S480" si="59">+IF(ABS(+O449+Q449)&gt;=ABS(P449+R449),+O449-P449+Q449-R449,0)</f>
        <v>0</v>
      </c>
      <c r="T449" s="580">
        <f t="shared" si="58"/>
        <v>0</v>
      </c>
      <c r="U449" s="51"/>
      <c r="V449" s="2119"/>
      <c r="W449" s="2116"/>
      <c r="X449" s="43"/>
      <c r="Y449" s="43"/>
      <c r="Z449" s="43"/>
    </row>
    <row r="450" spans="1:26">
      <c r="A450" s="88">
        <v>6093</v>
      </c>
      <c r="B450" s="378" t="s">
        <v>466</v>
      </c>
      <c r="C450" s="1033"/>
      <c r="D450" s="1033"/>
      <c r="E450" s="1033"/>
      <c r="F450" s="1033"/>
      <c r="G450" s="1033"/>
      <c r="H450" s="1033"/>
      <c r="I450" s="1033"/>
      <c r="J450" s="1033"/>
      <c r="K450" s="1033"/>
      <c r="L450" s="90"/>
      <c r="M450" s="51"/>
      <c r="N450" s="113">
        <f t="shared" si="57"/>
        <v>6093</v>
      </c>
      <c r="O450" s="575">
        <v>0</v>
      </c>
      <c r="P450" s="582">
        <v>0</v>
      </c>
      <c r="Q450" s="589">
        <v>0</v>
      </c>
      <c r="R450" s="576">
        <v>0</v>
      </c>
      <c r="S450" s="583">
        <f t="shared" si="59"/>
        <v>0</v>
      </c>
      <c r="T450" s="580">
        <f t="shared" si="58"/>
        <v>0</v>
      </c>
      <c r="U450" s="51"/>
      <c r="V450" s="2119"/>
      <c r="W450" s="2116"/>
      <c r="X450" s="43"/>
      <c r="Y450" s="43"/>
      <c r="Z450" s="43"/>
    </row>
    <row r="451" spans="1:26">
      <c r="A451" s="88">
        <v>6094</v>
      </c>
      <c r="B451" s="378" t="s">
        <v>467</v>
      </c>
      <c r="C451" s="1033"/>
      <c r="D451" s="1033"/>
      <c r="E451" s="1033"/>
      <c r="F451" s="1033"/>
      <c r="G451" s="1033"/>
      <c r="H451" s="1033"/>
      <c r="I451" s="1033"/>
      <c r="J451" s="1033"/>
      <c r="K451" s="1033"/>
      <c r="L451" s="90"/>
      <c r="M451" s="51"/>
      <c r="N451" s="113">
        <f t="shared" si="57"/>
        <v>6094</v>
      </c>
      <c r="O451" s="575">
        <v>0</v>
      </c>
      <c r="P451" s="582">
        <v>0</v>
      </c>
      <c r="Q451" s="589">
        <v>0</v>
      </c>
      <c r="R451" s="576">
        <v>0</v>
      </c>
      <c r="S451" s="583">
        <f t="shared" si="59"/>
        <v>0</v>
      </c>
      <c r="T451" s="580">
        <f t="shared" si="58"/>
        <v>0</v>
      </c>
      <c r="U451" s="51"/>
      <c r="V451" s="2119"/>
      <c r="W451" s="2116"/>
      <c r="X451" s="43"/>
      <c r="Y451" s="43"/>
      <c r="Z451" s="43"/>
    </row>
    <row r="452" spans="1:26">
      <c r="A452" s="88">
        <v>6095</v>
      </c>
      <c r="B452" s="378" t="s">
        <v>468</v>
      </c>
      <c r="C452" s="1033"/>
      <c r="D452" s="1033"/>
      <c r="E452" s="1033"/>
      <c r="F452" s="1033"/>
      <c r="G452" s="1033"/>
      <c r="H452" s="1033"/>
      <c r="I452" s="1033"/>
      <c r="J452" s="1033"/>
      <c r="K452" s="1033"/>
      <c r="L452" s="90"/>
      <c r="M452" s="51"/>
      <c r="N452" s="113">
        <f t="shared" si="57"/>
        <v>6095</v>
      </c>
      <c r="O452" s="575">
        <v>0</v>
      </c>
      <c r="P452" s="582">
        <v>0</v>
      </c>
      <c r="Q452" s="589">
        <v>0</v>
      </c>
      <c r="R452" s="576">
        <v>0</v>
      </c>
      <c r="S452" s="583">
        <f t="shared" si="59"/>
        <v>0</v>
      </c>
      <c r="T452" s="580">
        <f t="shared" si="58"/>
        <v>0</v>
      </c>
      <c r="U452" s="51"/>
      <c r="V452" s="2119"/>
      <c r="W452" s="2116"/>
      <c r="X452" s="43"/>
      <c r="Y452" s="43"/>
      <c r="Z452" s="43"/>
    </row>
    <row r="453" spans="1:26">
      <c r="A453" s="88">
        <v>6096</v>
      </c>
      <c r="B453" s="378" t="s">
        <v>469</v>
      </c>
      <c r="C453" s="1033"/>
      <c r="D453" s="1033"/>
      <c r="E453" s="1033"/>
      <c r="F453" s="1033"/>
      <c r="G453" s="1033"/>
      <c r="H453" s="1033"/>
      <c r="I453" s="1033"/>
      <c r="J453" s="1033"/>
      <c r="K453" s="1033"/>
      <c r="L453" s="90"/>
      <c r="M453" s="51"/>
      <c r="N453" s="113">
        <f t="shared" si="57"/>
        <v>6096</v>
      </c>
      <c r="O453" s="575">
        <v>0</v>
      </c>
      <c r="P453" s="582">
        <v>0</v>
      </c>
      <c r="Q453" s="589"/>
      <c r="R453" s="576"/>
      <c r="S453" s="583">
        <f t="shared" si="59"/>
        <v>0</v>
      </c>
      <c r="T453" s="580">
        <f t="shared" si="58"/>
        <v>0</v>
      </c>
      <c r="U453" s="51"/>
      <c r="V453" s="2119"/>
      <c r="W453" s="2116"/>
      <c r="X453" s="43"/>
      <c r="Y453" s="43"/>
      <c r="Z453" s="43"/>
    </row>
    <row r="454" spans="1:26">
      <c r="A454" s="88">
        <v>6098</v>
      </c>
      <c r="B454" s="378" t="s">
        <v>470</v>
      </c>
      <c r="C454" s="1033"/>
      <c r="D454" s="1033"/>
      <c r="E454" s="1033"/>
      <c r="F454" s="1033"/>
      <c r="G454" s="1033"/>
      <c r="H454" s="1033"/>
      <c r="I454" s="1033"/>
      <c r="J454" s="1033"/>
      <c r="K454" s="1033"/>
      <c r="L454" s="90"/>
      <c r="M454" s="51"/>
      <c r="N454" s="113">
        <f t="shared" si="57"/>
        <v>6098</v>
      </c>
      <c r="O454" s="575">
        <v>0</v>
      </c>
      <c r="P454" s="582">
        <v>0</v>
      </c>
      <c r="Q454" s="589">
        <v>0</v>
      </c>
      <c r="R454" s="576">
        <v>0</v>
      </c>
      <c r="S454" s="583">
        <f t="shared" si="59"/>
        <v>0</v>
      </c>
      <c r="T454" s="580">
        <f t="shared" si="58"/>
        <v>0</v>
      </c>
      <c r="U454" s="51"/>
      <c r="V454" s="2119"/>
      <c r="W454" s="2116"/>
      <c r="X454" s="43"/>
      <c r="Y454" s="43"/>
      <c r="Z454" s="43"/>
    </row>
    <row r="455" spans="1:26">
      <c r="A455" s="88">
        <v>6099</v>
      </c>
      <c r="B455" s="378" t="s">
        <v>471</v>
      </c>
      <c r="C455" s="1033"/>
      <c r="D455" s="1033"/>
      <c r="E455" s="1033"/>
      <c r="F455" s="1033"/>
      <c r="G455" s="1033"/>
      <c r="H455" s="1033"/>
      <c r="I455" s="1033"/>
      <c r="J455" s="1033"/>
      <c r="K455" s="1033"/>
      <c r="L455" s="90"/>
      <c r="M455" s="51"/>
      <c r="N455" s="113">
        <f t="shared" si="57"/>
        <v>6099</v>
      </c>
      <c r="O455" s="575">
        <v>0</v>
      </c>
      <c r="P455" s="582">
        <v>0</v>
      </c>
      <c r="Q455" s="589">
        <v>0</v>
      </c>
      <c r="R455" s="576">
        <v>0</v>
      </c>
      <c r="S455" s="583">
        <f t="shared" si="59"/>
        <v>0</v>
      </c>
      <c r="T455" s="580">
        <f t="shared" si="58"/>
        <v>0</v>
      </c>
      <c r="U455" s="51"/>
      <c r="V455" s="2119"/>
      <c r="W455" s="2116"/>
      <c r="X455" s="43"/>
      <c r="Y455" s="43"/>
      <c r="Z455" s="43"/>
    </row>
    <row r="456" spans="1:26">
      <c r="A456" s="88">
        <v>6111</v>
      </c>
      <c r="B456" s="2296" t="s">
        <v>2148</v>
      </c>
      <c r="C456" s="1033"/>
      <c r="D456" s="1033"/>
      <c r="E456" s="1033"/>
      <c r="F456" s="1033"/>
      <c r="G456" s="1033"/>
      <c r="H456" s="1033"/>
      <c r="I456" s="1033"/>
      <c r="J456" s="1033"/>
      <c r="K456" s="1033"/>
      <c r="L456" s="90"/>
      <c r="M456" s="51"/>
      <c r="N456" s="113">
        <f t="shared" si="57"/>
        <v>6111</v>
      </c>
      <c r="O456" s="575">
        <v>0</v>
      </c>
      <c r="P456" s="582">
        <v>0</v>
      </c>
      <c r="Q456" s="589"/>
      <c r="R456" s="576"/>
      <c r="S456" s="583">
        <f t="shared" si="59"/>
        <v>0</v>
      </c>
      <c r="T456" s="580">
        <f t="shared" si="58"/>
        <v>0</v>
      </c>
      <c r="U456" s="51"/>
      <c r="V456" s="2119"/>
      <c r="W456" s="2116"/>
      <c r="X456" s="43"/>
      <c r="Y456" s="43"/>
      <c r="Z456" s="43"/>
    </row>
    <row r="457" spans="1:26">
      <c r="A457" s="88">
        <v>6112</v>
      </c>
      <c r="B457" s="1045" t="s">
        <v>2149</v>
      </c>
      <c r="C457" s="1033"/>
      <c r="D457" s="1033"/>
      <c r="E457" s="1033"/>
      <c r="F457" s="1033"/>
      <c r="G457" s="1033"/>
      <c r="H457" s="1033"/>
      <c r="I457" s="1033"/>
      <c r="J457" s="1033"/>
      <c r="K457" s="1033"/>
      <c r="L457" s="90"/>
      <c r="M457" s="51"/>
      <c r="N457" s="113">
        <f t="shared" si="57"/>
        <v>6112</v>
      </c>
      <c r="O457" s="575">
        <v>0</v>
      </c>
      <c r="P457" s="582">
        <v>0</v>
      </c>
      <c r="Q457" s="589">
        <v>0</v>
      </c>
      <c r="R457" s="576">
        <v>0</v>
      </c>
      <c r="S457" s="583">
        <f t="shared" si="59"/>
        <v>0</v>
      </c>
      <c r="T457" s="580">
        <f t="shared" si="58"/>
        <v>0</v>
      </c>
      <c r="U457" s="51"/>
      <c r="V457" s="2119"/>
      <c r="W457" s="2116"/>
      <c r="X457" s="43"/>
      <c r="Y457" s="43"/>
      <c r="Z457" s="43"/>
    </row>
    <row r="458" spans="1:26">
      <c r="A458" s="88">
        <v>6113</v>
      </c>
      <c r="B458" s="1045" t="s">
        <v>2150</v>
      </c>
      <c r="C458" s="1033"/>
      <c r="D458" s="1033"/>
      <c r="E458" s="1033"/>
      <c r="F458" s="1033"/>
      <c r="G458" s="1033"/>
      <c r="H458" s="1033"/>
      <c r="I458" s="1033"/>
      <c r="J458" s="1033"/>
      <c r="K458" s="1033"/>
      <c r="L458" s="90"/>
      <c r="M458" s="51"/>
      <c r="N458" s="113">
        <f t="shared" si="57"/>
        <v>6113</v>
      </c>
      <c r="O458" s="575">
        <v>0</v>
      </c>
      <c r="P458" s="582">
        <v>0</v>
      </c>
      <c r="Q458" s="589">
        <v>0</v>
      </c>
      <c r="R458" s="576">
        <v>0</v>
      </c>
      <c r="S458" s="583">
        <f t="shared" si="59"/>
        <v>0</v>
      </c>
      <c r="T458" s="580">
        <f t="shared" si="58"/>
        <v>0</v>
      </c>
      <c r="U458" s="51"/>
      <c r="V458" s="2119"/>
      <c r="W458" s="2116"/>
      <c r="X458" s="43"/>
      <c r="Y458" s="43"/>
      <c r="Z458" s="43"/>
    </row>
    <row r="459" spans="1:26">
      <c r="A459" s="88">
        <v>6114</v>
      </c>
      <c r="B459" s="1045" t="s">
        <v>2151</v>
      </c>
      <c r="C459" s="1033"/>
      <c r="D459" s="1033"/>
      <c r="E459" s="1033"/>
      <c r="F459" s="1033"/>
      <c r="G459" s="1033"/>
      <c r="H459" s="1033"/>
      <c r="I459" s="1033"/>
      <c r="J459" s="1033"/>
      <c r="K459" s="1033"/>
      <c r="L459" s="90"/>
      <c r="M459" s="51"/>
      <c r="N459" s="113">
        <f t="shared" si="57"/>
        <v>6114</v>
      </c>
      <c r="O459" s="575">
        <v>0</v>
      </c>
      <c r="P459" s="582">
        <v>0</v>
      </c>
      <c r="Q459" s="589">
        <v>0</v>
      </c>
      <c r="R459" s="576">
        <v>0</v>
      </c>
      <c r="S459" s="583">
        <f t="shared" si="59"/>
        <v>0</v>
      </c>
      <c r="T459" s="580">
        <f t="shared" si="58"/>
        <v>0</v>
      </c>
      <c r="U459" s="51"/>
      <c r="V459" s="2119"/>
      <c r="W459" s="2116"/>
      <c r="X459" s="43"/>
      <c r="Y459" s="43"/>
      <c r="Z459" s="43"/>
    </row>
    <row r="460" spans="1:26">
      <c r="A460" s="88">
        <v>6115</v>
      </c>
      <c r="B460" s="1045" t="s">
        <v>2152</v>
      </c>
      <c r="C460" s="1033"/>
      <c r="D460" s="1033"/>
      <c r="E460" s="1033"/>
      <c r="F460" s="1033"/>
      <c r="G460" s="1033"/>
      <c r="H460" s="1033"/>
      <c r="I460" s="1033"/>
      <c r="J460" s="1033"/>
      <c r="K460" s="1033"/>
      <c r="L460" s="90"/>
      <c r="M460" s="51"/>
      <c r="N460" s="113">
        <f t="shared" si="57"/>
        <v>6115</v>
      </c>
      <c r="O460" s="575">
        <v>0</v>
      </c>
      <c r="P460" s="582">
        <v>0</v>
      </c>
      <c r="Q460" s="589"/>
      <c r="R460" s="576"/>
      <c r="S460" s="583">
        <f t="shared" si="59"/>
        <v>0</v>
      </c>
      <c r="T460" s="580">
        <f t="shared" si="58"/>
        <v>0</v>
      </c>
      <c r="U460" s="51"/>
      <c r="V460" s="2119"/>
      <c r="W460" s="2116"/>
      <c r="X460" s="43"/>
      <c r="Y460" s="43"/>
      <c r="Z460" s="43"/>
    </row>
    <row r="461" spans="1:26" ht="15.75" customHeight="1">
      <c r="A461" s="88">
        <v>6131</v>
      </c>
      <c r="B461" s="1045" t="s">
        <v>2153</v>
      </c>
      <c r="C461" s="1033"/>
      <c r="D461" s="1033"/>
      <c r="E461" s="1033"/>
      <c r="F461" s="1033"/>
      <c r="G461" s="1033"/>
      <c r="H461" s="1033"/>
      <c r="I461" s="1033"/>
      <c r="J461" s="1033"/>
      <c r="K461" s="1033"/>
      <c r="L461" s="90"/>
      <c r="M461" s="51"/>
      <c r="N461" s="113">
        <f t="shared" si="57"/>
        <v>6131</v>
      </c>
      <c r="O461" s="575">
        <v>0</v>
      </c>
      <c r="P461" s="582">
        <v>0</v>
      </c>
      <c r="Q461" s="589"/>
      <c r="R461" s="576"/>
      <c r="S461" s="583">
        <f t="shared" si="59"/>
        <v>0</v>
      </c>
      <c r="T461" s="580">
        <f t="shared" si="58"/>
        <v>0</v>
      </c>
      <c r="U461" s="51"/>
      <c r="V461" s="2119"/>
      <c r="W461" s="2116"/>
      <c r="X461" s="43"/>
      <c r="Y461" s="43"/>
      <c r="Z461" s="43"/>
    </row>
    <row r="462" spans="1:26" ht="15.75" customHeight="1">
      <c r="A462" s="88">
        <v>6132</v>
      </c>
      <c r="B462" s="1045" t="s">
        <v>2154</v>
      </c>
      <c r="C462" s="1033"/>
      <c r="D462" s="1033"/>
      <c r="E462" s="1033"/>
      <c r="F462" s="1033"/>
      <c r="G462" s="1033"/>
      <c r="H462" s="1033"/>
      <c r="I462" s="1033"/>
      <c r="J462" s="1033"/>
      <c r="K462" s="1033"/>
      <c r="L462" s="90"/>
      <c r="M462" s="51"/>
      <c r="N462" s="113">
        <f t="shared" si="57"/>
        <v>6132</v>
      </c>
      <c r="O462" s="575">
        <v>0</v>
      </c>
      <c r="P462" s="582">
        <v>0</v>
      </c>
      <c r="Q462" s="589"/>
      <c r="R462" s="576"/>
      <c r="S462" s="583">
        <f t="shared" si="59"/>
        <v>0</v>
      </c>
      <c r="T462" s="580">
        <f t="shared" si="58"/>
        <v>0</v>
      </c>
      <c r="U462" s="51"/>
      <c r="V462" s="2119"/>
      <c r="W462" s="2116"/>
      <c r="X462" s="43"/>
      <c r="Y462" s="43"/>
      <c r="Z462" s="43"/>
    </row>
    <row r="463" spans="1:26" ht="15.75" customHeight="1">
      <c r="A463" s="88">
        <v>6133</v>
      </c>
      <c r="B463" s="2300" t="s">
        <v>2155</v>
      </c>
      <c r="C463" s="1033"/>
      <c r="D463" s="1033"/>
      <c r="E463" s="1033"/>
      <c r="F463" s="1033"/>
      <c r="G463" s="1033"/>
      <c r="H463" s="1033"/>
      <c r="I463" s="1033"/>
      <c r="J463" s="1033"/>
      <c r="K463" s="1033"/>
      <c r="L463" s="90"/>
      <c r="M463" s="51"/>
      <c r="N463" s="113">
        <f t="shared" si="57"/>
        <v>6133</v>
      </c>
      <c r="O463" s="575">
        <v>0</v>
      </c>
      <c r="P463" s="582">
        <v>0</v>
      </c>
      <c r="Q463" s="589"/>
      <c r="R463" s="576"/>
      <c r="S463" s="583">
        <f t="shared" si="59"/>
        <v>0</v>
      </c>
      <c r="T463" s="580">
        <f t="shared" si="58"/>
        <v>0</v>
      </c>
      <c r="U463" s="51"/>
      <c r="V463" s="2119"/>
      <c r="W463" s="2116"/>
      <c r="X463" s="43"/>
      <c r="Y463" s="43"/>
      <c r="Z463" s="43"/>
    </row>
    <row r="464" spans="1:26">
      <c r="A464" s="88">
        <v>6140</v>
      </c>
      <c r="B464" s="1045" t="s">
        <v>2156</v>
      </c>
      <c r="C464" s="1033"/>
      <c r="D464" s="1033"/>
      <c r="E464" s="1033"/>
      <c r="F464" s="1033"/>
      <c r="G464" s="1033"/>
      <c r="H464" s="1033"/>
      <c r="I464" s="1033"/>
      <c r="J464" s="1033"/>
      <c r="K464" s="1033"/>
      <c r="L464" s="90"/>
      <c r="M464" s="51"/>
      <c r="N464" s="113">
        <f t="shared" si="57"/>
        <v>6140</v>
      </c>
      <c r="O464" s="575">
        <v>0</v>
      </c>
      <c r="P464" s="582">
        <v>0</v>
      </c>
      <c r="Q464" s="589"/>
      <c r="R464" s="576"/>
      <c r="S464" s="583">
        <f t="shared" si="59"/>
        <v>0</v>
      </c>
      <c r="T464" s="580">
        <f t="shared" si="58"/>
        <v>0</v>
      </c>
      <c r="U464" s="51"/>
      <c r="V464" s="2119"/>
      <c r="W464" s="2116"/>
      <c r="X464" s="43"/>
      <c r="Y464" s="43"/>
      <c r="Z464" s="43"/>
    </row>
    <row r="465" spans="1:26" ht="15.75" customHeight="1">
      <c r="A465" s="88">
        <v>6141</v>
      </c>
      <c r="B465" s="1045" t="s">
        <v>2157</v>
      </c>
      <c r="C465" s="1033"/>
      <c r="D465" s="1033"/>
      <c r="E465" s="1033"/>
      <c r="F465" s="1033"/>
      <c r="G465" s="1033"/>
      <c r="H465" s="1033"/>
      <c r="I465" s="1033"/>
      <c r="J465" s="1033"/>
      <c r="K465" s="1033"/>
      <c r="L465" s="90"/>
      <c r="M465" s="51"/>
      <c r="N465" s="113">
        <f t="shared" si="57"/>
        <v>6141</v>
      </c>
      <c r="O465" s="575">
        <v>0</v>
      </c>
      <c r="P465" s="582">
        <v>0</v>
      </c>
      <c r="Q465" s="589"/>
      <c r="R465" s="576"/>
      <c r="S465" s="583">
        <f t="shared" si="59"/>
        <v>0</v>
      </c>
      <c r="T465" s="580">
        <f t="shared" si="58"/>
        <v>0</v>
      </c>
      <c r="U465" s="51"/>
      <c r="V465" s="2119"/>
      <c r="W465" s="2116"/>
      <c r="X465" s="43"/>
      <c r="Y465" s="43"/>
      <c r="Z465" s="43"/>
    </row>
    <row r="466" spans="1:26">
      <c r="A466" s="88">
        <v>6142</v>
      </c>
      <c r="B466" s="1045" t="s">
        <v>2158</v>
      </c>
      <c r="C466" s="1033"/>
      <c r="D466" s="1033"/>
      <c r="E466" s="1033"/>
      <c r="F466" s="1033"/>
      <c r="G466" s="1033"/>
      <c r="H466" s="1033"/>
      <c r="I466" s="1033"/>
      <c r="J466" s="1033"/>
      <c r="K466" s="1033"/>
      <c r="L466" s="90"/>
      <c r="M466" s="51"/>
      <c r="N466" s="113">
        <f t="shared" si="57"/>
        <v>6142</v>
      </c>
      <c r="O466" s="575">
        <v>0</v>
      </c>
      <c r="P466" s="582">
        <v>0</v>
      </c>
      <c r="Q466" s="589"/>
      <c r="R466" s="576"/>
      <c r="S466" s="583">
        <f t="shared" si="59"/>
        <v>0</v>
      </c>
      <c r="T466" s="580">
        <f t="shared" si="58"/>
        <v>0</v>
      </c>
      <c r="U466" s="51"/>
      <c r="V466" s="2119"/>
      <c r="W466" s="2116"/>
      <c r="X466" s="43"/>
      <c r="Y466" s="43"/>
      <c r="Z466" s="43"/>
    </row>
    <row r="467" spans="1:26">
      <c r="A467" s="88">
        <v>6143</v>
      </c>
      <c r="B467" s="1045" t="s">
        <v>2159</v>
      </c>
      <c r="C467" s="1033"/>
      <c r="D467" s="1033"/>
      <c r="E467" s="1033"/>
      <c r="F467" s="1033"/>
      <c r="G467" s="1033"/>
      <c r="H467" s="1033"/>
      <c r="I467" s="1033"/>
      <c r="J467" s="1033"/>
      <c r="K467" s="1033"/>
      <c r="L467" s="90"/>
      <c r="M467" s="51"/>
      <c r="N467" s="113">
        <f t="shared" si="57"/>
        <v>6143</v>
      </c>
      <c r="O467" s="575">
        <v>0</v>
      </c>
      <c r="P467" s="582">
        <v>0</v>
      </c>
      <c r="Q467" s="589">
        <v>0</v>
      </c>
      <c r="R467" s="576">
        <v>0</v>
      </c>
      <c r="S467" s="583">
        <f t="shared" si="59"/>
        <v>0</v>
      </c>
      <c r="T467" s="580">
        <f t="shared" si="58"/>
        <v>0</v>
      </c>
      <c r="U467" s="51"/>
      <c r="V467" s="2119"/>
      <c r="W467" s="2116"/>
      <c r="X467" s="43"/>
      <c r="Y467" s="43"/>
      <c r="Z467" s="43"/>
    </row>
    <row r="468" spans="1:26">
      <c r="A468" s="88">
        <v>6144</v>
      </c>
      <c r="B468" s="1045" t="s">
        <v>2160</v>
      </c>
      <c r="C468" s="1033"/>
      <c r="D468" s="1033"/>
      <c r="E468" s="1033"/>
      <c r="F468" s="1033"/>
      <c r="G468" s="1033"/>
      <c r="H468" s="1033"/>
      <c r="I468" s="1033"/>
      <c r="J468" s="1033"/>
      <c r="K468" s="1033"/>
      <c r="L468" s="90"/>
      <c r="M468" s="51"/>
      <c r="N468" s="113">
        <f t="shared" si="57"/>
        <v>6144</v>
      </c>
      <c r="O468" s="575">
        <v>0</v>
      </c>
      <c r="P468" s="582">
        <v>0</v>
      </c>
      <c r="Q468" s="589">
        <v>0</v>
      </c>
      <c r="R468" s="576">
        <v>0</v>
      </c>
      <c r="S468" s="583">
        <f t="shared" si="59"/>
        <v>0</v>
      </c>
      <c r="T468" s="580">
        <f t="shared" si="58"/>
        <v>0</v>
      </c>
      <c r="U468" s="51"/>
      <c r="V468" s="2119"/>
      <c r="W468" s="2116"/>
      <c r="X468" s="43"/>
      <c r="Y468" s="43"/>
      <c r="Z468" s="43"/>
    </row>
    <row r="469" spans="1:26">
      <c r="A469" s="88">
        <v>6145</v>
      </c>
      <c r="B469" s="1045" t="s">
        <v>2161</v>
      </c>
      <c r="C469" s="1033"/>
      <c r="D469" s="1033"/>
      <c r="E469" s="1033"/>
      <c r="F469" s="1033"/>
      <c r="G469" s="1033"/>
      <c r="H469" s="1033"/>
      <c r="I469" s="1033"/>
      <c r="J469" s="1033"/>
      <c r="K469" s="1033"/>
      <c r="L469" s="90"/>
      <c r="M469" s="51"/>
      <c r="N469" s="113">
        <f t="shared" si="57"/>
        <v>6145</v>
      </c>
      <c r="O469" s="575">
        <v>0</v>
      </c>
      <c r="P469" s="582">
        <v>0</v>
      </c>
      <c r="Q469" s="589">
        <v>0</v>
      </c>
      <c r="R469" s="576">
        <v>0</v>
      </c>
      <c r="S469" s="583">
        <f t="shared" si="59"/>
        <v>0</v>
      </c>
      <c r="T469" s="580">
        <f t="shared" si="58"/>
        <v>0</v>
      </c>
      <c r="U469" s="51"/>
      <c r="V469" s="2119"/>
      <c r="W469" s="2116"/>
      <c r="X469" s="43"/>
      <c r="Y469" s="43"/>
      <c r="Z469" s="43"/>
    </row>
    <row r="470" spans="1:26">
      <c r="A470" s="88">
        <v>6146</v>
      </c>
      <c r="B470" s="1045" t="s">
        <v>2162</v>
      </c>
      <c r="C470" s="1033"/>
      <c r="D470" s="1033"/>
      <c r="E470" s="1033"/>
      <c r="F470" s="1033"/>
      <c r="G470" s="1033"/>
      <c r="H470" s="1033"/>
      <c r="I470" s="1033"/>
      <c r="J470" s="1033"/>
      <c r="K470" s="1033"/>
      <c r="L470" s="90"/>
      <c r="M470" s="51"/>
      <c r="N470" s="113">
        <f t="shared" si="57"/>
        <v>6146</v>
      </c>
      <c r="O470" s="575">
        <v>0</v>
      </c>
      <c r="P470" s="582">
        <v>0</v>
      </c>
      <c r="Q470" s="589">
        <v>0</v>
      </c>
      <c r="R470" s="576">
        <v>0</v>
      </c>
      <c r="S470" s="583">
        <f t="shared" si="59"/>
        <v>0</v>
      </c>
      <c r="T470" s="580">
        <f t="shared" si="58"/>
        <v>0</v>
      </c>
      <c r="U470" s="51"/>
      <c r="V470" s="2119"/>
      <c r="W470" s="2116"/>
      <c r="X470" s="43"/>
      <c r="Y470" s="43"/>
      <c r="Z470" s="43"/>
    </row>
    <row r="471" spans="1:26">
      <c r="A471" s="88">
        <v>6147</v>
      </c>
      <c r="B471" s="1045" t="s">
        <v>2163</v>
      </c>
      <c r="C471" s="1033"/>
      <c r="D471" s="1033"/>
      <c r="E471" s="1033"/>
      <c r="F471" s="1033"/>
      <c r="G471" s="1033"/>
      <c r="H471" s="1033"/>
      <c r="I471" s="1033"/>
      <c r="J471" s="1033"/>
      <c r="K471" s="1033"/>
      <c r="L471" s="90"/>
      <c r="M471" s="51"/>
      <c r="N471" s="113">
        <f t="shared" si="57"/>
        <v>6147</v>
      </c>
      <c r="O471" s="575">
        <v>0</v>
      </c>
      <c r="P471" s="582">
        <v>0</v>
      </c>
      <c r="Q471" s="589"/>
      <c r="R471" s="576"/>
      <c r="S471" s="583">
        <f t="shared" si="59"/>
        <v>0</v>
      </c>
      <c r="T471" s="580">
        <f t="shared" si="58"/>
        <v>0</v>
      </c>
      <c r="U471" s="51"/>
      <c r="V471" s="2119"/>
      <c r="W471" s="2116"/>
      <c r="X471" s="43"/>
      <c r="Y471" s="43"/>
      <c r="Z471" s="43"/>
    </row>
    <row r="472" spans="1:26">
      <c r="A472" s="88">
        <v>6149</v>
      </c>
      <c r="B472" s="1045" t="s">
        <v>2164</v>
      </c>
      <c r="C472" s="1033"/>
      <c r="D472" s="1033"/>
      <c r="E472" s="1033"/>
      <c r="F472" s="1033"/>
      <c r="G472" s="1033"/>
      <c r="H472" s="1033"/>
      <c r="I472" s="1033"/>
      <c r="J472" s="1033"/>
      <c r="K472" s="1033"/>
      <c r="L472" s="90"/>
      <c r="M472" s="51"/>
      <c r="N472" s="113">
        <f t="shared" si="57"/>
        <v>6149</v>
      </c>
      <c r="O472" s="575">
        <v>0</v>
      </c>
      <c r="P472" s="582">
        <v>0</v>
      </c>
      <c r="Q472" s="589">
        <v>0</v>
      </c>
      <c r="R472" s="576">
        <v>0</v>
      </c>
      <c r="S472" s="583">
        <f t="shared" si="59"/>
        <v>0</v>
      </c>
      <c r="T472" s="580">
        <f t="shared" si="58"/>
        <v>0</v>
      </c>
      <c r="U472" s="51"/>
      <c r="V472" s="2119"/>
      <c r="W472" s="2116"/>
      <c r="X472" s="43"/>
      <c r="Y472" s="43"/>
      <c r="Z472" s="43"/>
    </row>
    <row r="473" spans="1:26">
      <c r="A473" s="88">
        <v>6151</v>
      </c>
      <c r="B473" s="1045" t="s">
        <v>2165</v>
      </c>
      <c r="C473" s="1033"/>
      <c r="D473" s="1033"/>
      <c r="E473" s="1033"/>
      <c r="F473" s="1033"/>
      <c r="G473" s="1033"/>
      <c r="H473" s="1033"/>
      <c r="I473" s="1033"/>
      <c r="J473" s="1033"/>
      <c r="K473" s="1033"/>
      <c r="L473" s="90"/>
      <c r="M473" s="51"/>
      <c r="N473" s="113">
        <f t="shared" si="57"/>
        <v>6151</v>
      </c>
      <c r="O473" s="575">
        <v>0</v>
      </c>
      <c r="P473" s="582">
        <v>0</v>
      </c>
      <c r="Q473" s="589"/>
      <c r="R473" s="576"/>
      <c r="S473" s="583">
        <f t="shared" si="59"/>
        <v>0</v>
      </c>
      <c r="T473" s="580">
        <f t="shared" si="58"/>
        <v>0</v>
      </c>
      <c r="U473" s="51"/>
      <c r="V473" s="2119"/>
      <c r="W473" s="2116"/>
      <c r="X473" s="43"/>
      <c r="Y473" s="43"/>
      <c r="Z473" s="43"/>
    </row>
    <row r="474" spans="1:26">
      <c r="A474" s="88">
        <v>6159</v>
      </c>
      <c r="B474" s="1045" t="s">
        <v>2166</v>
      </c>
      <c r="C474" s="1033"/>
      <c r="D474" s="1033"/>
      <c r="E474" s="1033"/>
      <c r="F474" s="1033"/>
      <c r="G474" s="1033"/>
      <c r="H474" s="1033"/>
      <c r="I474" s="1033"/>
      <c r="J474" s="1033"/>
      <c r="K474" s="1033"/>
      <c r="L474" s="90"/>
      <c r="M474" s="51"/>
      <c r="N474" s="113">
        <f t="shared" si="57"/>
        <v>6159</v>
      </c>
      <c r="O474" s="575">
        <v>0</v>
      </c>
      <c r="P474" s="582">
        <v>0</v>
      </c>
      <c r="Q474" s="589"/>
      <c r="R474" s="576"/>
      <c r="S474" s="583">
        <f t="shared" si="59"/>
        <v>0</v>
      </c>
      <c r="T474" s="580">
        <f t="shared" si="58"/>
        <v>0</v>
      </c>
      <c r="U474" s="51"/>
      <c r="V474" s="2119"/>
      <c r="W474" s="2116"/>
      <c r="X474" s="43"/>
      <c r="Y474" s="43"/>
      <c r="Z474" s="43"/>
    </row>
    <row r="475" spans="1:26">
      <c r="A475" s="88">
        <v>6161</v>
      </c>
      <c r="B475" s="1045" t="s">
        <v>2167</v>
      </c>
      <c r="C475" s="1033"/>
      <c r="D475" s="1033"/>
      <c r="E475" s="1033"/>
      <c r="F475" s="1033"/>
      <c r="G475" s="1033"/>
      <c r="H475" s="1033"/>
      <c r="I475" s="1033"/>
      <c r="J475" s="1033"/>
      <c r="K475" s="1033"/>
      <c r="L475" s="90"/>
      <c r="M475" s="51"/>
      <c r="N475" s="113">
        <f t="shared" si="57"/>
        <v>6161</v>
      </c>
      <c r="O475" s="575">
        <v>0</v>
      </c>
      <c r="P475" s="582">
        <v>0</v>
      </c>
      <c r="Q475" s="589"/>
      <c r="R475" s="576"/>
      <c r="S475" s="583">
        <f t="shared" si="59"/>
        <v>0</v>
      </c>
      <c r="T475" s="580">
        <f t="shared" si="58"/>
        <v>0</v>
      </c>
      <c r="U475" s="51"/>
      <c r="V475" s="2119"/>
      <c r="W475" s="2116"/>
      <c r="X475" s="43"/>
      <c r="Y475" s="43"/>
      <c r="Z475" s="43"/>
    </row>
    <row r="476" spans="1:26">
      <c r="A476" s="88">
        <v>6162</v>
      </c>
      <c r="B476" s="1045" t="s">
        <v>2168</v>
      </c>
      <c r="C476" s="1033"/>
      <c r="D476" s="1033"/>
      <c r="E476" s="1033"/>
      <c r="F476" s="1033"/>
      <c r="G476" s="1033"/>
      <c r="H476" s="1033"/>
      <c r="I476" s="1033"/>
      <c r="J476" s="1033"/>
      <c r="K476" s="1033"/>
      <c r="L476" s="90"/>
      <c r="M476" s="51"/>
      <c r="N476" s="113">
        <f t="shared" si="57"/>
        <v>6162</v>
      </c>
      <c r="O476" s="575">
        <v>0</v>
      </c>
      <c r="P476" s="582">
        <v>0</v>
      </c>
      <c r="Q476" s="589"/>
      <c r="R476" s="576"/>
      <c r="S476" s="583">
        <f t="shared" si="59"/>
        <v>0</v>
      </c>
      <c r="T476" s="580">
        <f t="shared" si="58"/>
        <v>0</v>
      </c>
      <c r="U476" s="51"/>
      <c r="V476" s="2119"/>
      <c r="W476" s="2116"/>
      <c r="X476" s="43"/>
      <c r="Y476" s="43"/>
      <c r="Z476" s="43"/>
    </row>
    <row r="477" spans="1:26">
      <c r="A477" s="88">
        <v>6163</v>
      </c>
      <c r="B477" s="1045" t="s">
        <v>2169</v>
      </c>
      <c r="C477" s="1033"/>
      <c r="D477" s="1033"/>
      <c r="E477" s="1033"/>
      <c r="F477" s="1033"/>
      <c r="G477" s="1033"/>
      <c r="H477" s="1033"/>
      <c r="I477" s="1033"/>
      <c r="J477" s="1033"/>
      <c r="K477" s="1033"/>
      <c r="L477" s="90"/>
      <c r="M477" s="51"/>
      <c r="N477" s="113">
        <f t="shared" si="57"/>
        <v>6163</v>
      </c>
      <c r="O477" s="575">
        <v>0</v>
      </c>
      <c r="P477" s="582">
        <v>0</v>
      </c>
      <c r="Q477" s="589"/>
      <c r="R477" s="576"/>
      <c r="S477" s="583">
        <f t="shared" si="59"/>
        <v>0</v>
      </c>
      <c r="T477" s="580">
        <f t="shared" si="58"/>
        <v>0</v>
      </c>
      <c r="U477" s="51"/>
      <c r="V477" s="2119"/>
      <c r="W477" s="2116"/>
      <c r="X477" s="43"/>
      <c r="Y477" s="43"/>
      <c r="Z477" s="43"/>
    </row>
    <row r="478" spans="1:26">
      <c r="A478" s="88">
        <v>6201</v>
      </c>
      <c r="B478" s="1033" t="s">
        <v>432</v>
      </c>
      <c r="C478" s="1033"/>
      <c r="D478" s="1033"/>
      <c r="E478" s="1033"/>
      <c r="F478" s="1033"/>
      <c r="G478" s="1033"/>
      <c r="H478" s="1033"/>
      <c r="I478" s="1033"/>
      <c r="J478" s="1033"/>
      <c r="K478" s="1033"/>
      <c r="L478" s="90"/>
      <c r="M478" s="51"/>
      <c r="N478" s="113">
        <f t="shared" si="57"/>
        <v>6201</v>
      </c>
      <c r="O478" s="575">
        <v>0</v>
      </c>
      <c r="P478" s="582">
        <v>0</v>
      </c>
      <c r="Q478" s="589"/>
      <c r="R478" s="576"/>
      <c r="S478" s="583">
        <f t="shared" si="59"/>
        <v>0</v>
      </c>
      <c r="T478" s="580">
        <f t="shared" si="58"/>
        <v>0</v>
      </c>
      <c r="U478" s="51"/>
      <c r="V478" s="2119"/>
      <c r="W478" s="2116"/>
      <c r="X478" s="43"/>
      <c r="Y478" s="43"/>
      <c r="Z478" s="43"/>
    </row>
    <row r="479" spans="1:26">
      <c r="A479" s="88">
        <v>6202</v>
      </c>
      <c r="B479" s="1033" t="s">
        <v>499</v>
      </c>
      <c r="C479" s="1033"/>
      <c r="D479" s="1033"/>
      <c r="E479" s="1033"/>
      <c r="F479" s="1033"/>
      <c r="G479" s="1033"/>
      <c r="H479" s="1033"/>
      <c r="I479" s="1033"/>
      <c r="J479" s="1033"/>
      <c r="K479" s="1033"/>
      <c r="L479" s="90"/>
      <c r="M479" s="51"/>
      <c r="N479" s="113">
        <f t="shared" si="57"/>
        <v>6202</v>
      </c>
      <c r="O479" s="575">
        <v>0</v>
      </c>
      <c r="P479" s="582">
        <v>0</v>
      </c>
      <c r="Q479" s="589"/>
      <c r="R479" s="576"/>
      <c r="S479" s="583">
        <f t="shared" si="59"/>
        <v>0</v>
      </c>
      <c r="T479" s="580">
        <f t="shared" si="58"/>
        <v>0</v>
      </c>
      <c r="U479" s="51"/>
      <c r="V479" s="2119"/>
      <c r="W479" s="2116"/>
      <c r="X479" s="43"/>
      <c r="Y479" s="43"/>
      <c r="Z479" s="43"/>
    </row>
    <row r="480" spans="1:26">
      <c r="A480" s="88">
        <v>6203</v>
      </c>
      <c r="B480" s="1033" t="s">
        <v>500</v>
      </c>
      <c r="C480" s="1033"/>
      <c r="D480" s="1033"/>
      <c r="E480" s="1033"/>
      <c r="F480" s="1033"/>
      <c r="G480" s="1033"/>
      <c r="H480" s="1033"/>
      <c r="I480" s="1033"/>
      <c r="J480" s="1033"/>
      <c r="K480" s="1033"/>
      <c r="L480" s="90"/>
      <c r="M480" s="51"/>
      <c r="N480" s="113">
        <f t="shared" si="57"/>
        <v>6203</v>
      </c>
      <c r="O480" s="575">
        <v>0</v>
      </c>
      <c r="P480" s="582">
        <v>0</v>
      </c>
      <c r="Q480" s="589">
        <v>0</v>
      </c>
      <c r="R480" s="576">
        <v>0</v>
      </c>
      <c r="S480" s="583">
        <f t="shared" si="59"/>
        <v>0</v>
      </c>
      <c r="T480" s="580">
        <f t="shared" ref="T480:T511" si="60">+IF(ABS(+O480+Q480)&lt;=ABS(P480+R480),-O480+P480-Q480+R480,0)</f>
        <v>0</v>
      </c>
      <c r="U480" s="51"/>
      <c r="V480" s="2119"/>
      <c r="W480" s="2116"/>
      <c r="X480" s="43"/>
      <c r="Y480" s="43"/>
      <c r="Z480" s="43"/>
    </row>
    <row r="481" spans="1:26">
      <c r="A481" s="88">
        <v>6209</v>
      </c>
      <c r="B481" s="1033" t="s">
        <v>501</v>
      </c>
      <c r="C481" s="1033"/>
      <c r="D481" s="1033"/>
      <c r="E481" s="1033"/>
      <c r="F481" s="1033"/>
      <c r="G481" s="1033"/>
      <c r="H481" s="1033"/>
      <c r="I481" s="1033"/>
      <c r="J481" s="1033"/>
      <c r="K481" s="1033"/>
      <c r="L481" s="90"/>
      <c r="M481" s="51"/>
      <c r="N481" s="113">
        <f t="shared" si="57"/>
        <v>6209</v>
      </c>
      <c r="O481" s="575">
        <v>0</v>
      </c>
      <c r="P481" s="582">
        <v>0</v>
      </c>
      <c r="Q481" s="589">
        <v>0</v>
      </c>
      <c r="R481" s="576">
        <v>0</v>
      </c>
      <c r="S481" s="583">
        <f t="shared" ref="S481:S512" si="61">+IF(ABS(+O481+Q481)&gt;=ABS(P481+R481),+O481-P481+Q481-R481,0)</f>
        <v>0</v>
      </c>
      <c r="T481" s="580">
        <f t="shared" si="60"/>
        <v>0</v>
      </c>
      <c r="U481" s="51"/>
      <c r="V481" s="2119"/>
      <c r="W481" s="2116"/>
      <c r="X481" s="43"/>
      <c r="Y481" s="43"/>
      <c r="Z481" s="43"/>
    </row>
    <row r="482" spans="1:26">
      <c r="A482" s="88">
        <v>6211</v>
      </c>
      <c r="B482" s="1033" t="s">
        <v>502</v>
      </c>
      <c r="C482" s="1033"/>
      <c r="D482" s="1033"/>
      <c r="E482" s="1033"/>
      <c r="F482" s="1033"/>
      <c r="G482" s="1033"/>
      <c r="H482" s="1033"/>
      <c r="I482" s="1033"/>
      <c r="J482" s="1033"/>
      <c r="K482" s="1033"/>
      <c r="L482" s="90"/>
      <c r="M482" s="51"/>
      <c r="N482" s="113">
        <f t="shared" si="57"/>
        <v>6211</v>
      </c>
      <c r="O482" s="575">
        <v>0</v>
      </c>
      <c r="P482" s="582">
        <v>0</v>
      </c>
      <c r="Q482" s="589"/>
      <c r="R482" s="576"/>
      <c r="S482" s="583">
        <f t="shared" si="61"/>
        <v>0</v>
      </c>
      <c r="T482" s="580">
        <f t="shared" si="60"/>
        <v>0</v>
      </c>
      <c r="U482" s="51"/>
      <c r="V482" s="2119"/>
      <c r="W482" s="2116"/>
      <c r="X482" s="43"/>
      <c r="Y482" s="43"/>
      <c r="Z482" s="43"/>
    </row>
    <row r="483" spans="1:26" ht="15.75" customHeight="1">
      <c r="A483" s="88">
        <v>6218</v>
      </c>
      <c r="B483" s="1033" t="s">
        <v>503</v>
      </c>
      <c r="C483" s="1033"/>
      <c r="D483" s="1033"/>
      <c r="E483" s="1033"/>
      <c r="F483" s="1033"/>
      <c r="G483" s="1033"/>
      <c r="H483" s="1033"/>
      <c r="I483" s="1033"/>
      <c r="J483" s="1033"/>
      <c r="K483" s="1033"/>
      <c r="L483" s="90"/>
      <c r="M483" s="51"/>
      <c r="N483" s="113">
        <f t="shared" si="57"/>
        <v>6218</v>
      </c>
      <c r="O483" s="575">
        <v>0</v>
      </c>
      <c r="P483" s="582">
        <v>0</v>
      </c>
      <c r="Q483" s="589"/>
      <c r="R483" s="576"/>
      <c r="S483" s="583">
        <f t="shared" si="61"/>
        <v>0</v>
      </c>
      <c r="T483" s="580">
        <f t="shared" si="60"/>
        <v>0</v>
      </c>
      <c r="U483" s="51"/>
      <c r="V483" s="2119"/>
      <c r="W483" s="2116"/>
      <c r="X483" s="43"/>
      <c r="Y483" s="43"/>
      <c r="Z483" s="43"/>
    </row>
    <row r="484" spans="1:26">
      <c r="A484" s="88">
        <v>6221</v>
      </c>
      <c r="B484" s="1033" t="s">
        <v>504</v>
      </c>
      <c r="C484" s="1033"/>
      <c r="D484" s="1033"/>
      <c r="E484" s="1033"/>
      <c r="F484" s="1033"/>
      <c r="G484" s="1033"/>
      <c r="H484" s="1033"/>
      <c r="I484" s="1033"/>
      <c r="J484" s="1033"/>
      <c r="K484" s="1033"/>
      <c r="L484" s="90"/>
      <c r="M484" s="51"/>
      <c r="N484" s="113">
        <f t="shared" si="57"/>
        <v>6221</v>
      </c>
      <c r="O484" s="575">
        <v>0</v>
      </c>
      <c r="P484" s="582">
        <v>0</v>
      </c>
      <c r="Q484" s="589"/>
      <c r="R484" s="576"/>
      <c r="S484" s="583">
        <f t="shared" si="61"/>
        <v>0</v>
      </c>
      <c r="T484" s="580">
        <f t="shared" si="60"/>
        <v>0</v>
      </c>
      <c r="U484" s="51"/>
      <c r="V484" s="2119"/>
      <c r="W484" s="2116"/>
      <c r="X484" s="43"/>
      <c r="Y484" s="43"/>
      <c r="Z484" s="43"/>
    </row>
    <row r="485" spans="1:26">
      <c r="A485" s="88">
        <v>6224</v>
      </c>
      <c r="B485" s="1033" t="s">
        <v>505</v>
      </c>
      <c r="C485" s="1033"/>
      <c r="D485" s="1033"/>
      <c r="E485" s="1033"/>
      <c r="F485" s="1033"/>
      <c r="G485" s="1033"/>
      <c r="H485" s="1033"/>
      <c r="I485" s="1033"/>
      <c r="J485" s="1033"/>
      <c r="K485" s="1033"/>
      <c r="L485" s="90"/>
      <c r="M485" s="51"/>
      <c r="N485" s="113">
        <f t="shared" si="57"/>
        <v>6224</v>
      </c>
      <c r="O485" s="575">
        <v>0</v>
      </c>
      <c r="P485" s="582">
        <v>0</v>
      </c>
      <c r="Q485" s="589"/>
      <c r="R485" s="576"/>
      <c r="S485" s="583">
        <f t="shared" si="61"/>
        <v>0</v>
      </c>
      <c r="T485" s="580">
        <f t="shared" si="60"/>
        <v>0</v>
      </c>
      <c r="U485" s="51"/>
      <c r="V485" s="2119"/>
      <c r="W485" s="2116"/>
      <c r="X485" s="43"/>
      <c r="Y485" s="43"/>
      <c r="Z485" s="43"/>
    </row>
    <row r="486" spans="1:26">
      <c r="A486" s="88">
        <v>6225</v>
      </c>
      <c r="B486" s="1033" t="s">
        <v>506</v>
      </c>
      <c r="C486" s="1033"/>
      <c r="D486" s="1033"/>
      <c r="E486" s="1033"/>
      <c r="F486" s="1033"/>
      <c r="G486" s="1033"/>
      <c r="H486" s="1033"/>
      <c r="I486" s="1033"/>
      <c r="J486" s="1033"/>
      <c r="K486" s="1033"/>
      <c r="L486" s="90"/>
      <c r="M486" s="51"/>
      <c r="N486" s="113">
        <f t="shared" si="57"/>
        <v>6225</v>
      </c>
      <c r="O486" s="575">
        <v>0</v>
      </c>
      <c r="P486" s="582">
        <v>0</v>
      </c>
      <c r="Q486" s="589"/>
      <c r="R486" s="576"/>
      <c r="S486" s="583">
        <f t="shared" si="61"/>
        <v>0</v>
      </c>
      <c r="T486" s="580">
        <f t="shared" si="60"/>
        <v>0</v>
      </c>
      <c r="U486" s="51"/>
      <c r="V486" s="2119"/>
      <c r="W486" s="2116"/>
      <c r="X486" s="43"/>
      <c r="Y486" s="43"/>
      <c r="Z486" s="43"/>
    </row>
    <row r="487" spans="1:26">
      <c r="A487" s="88">
        <v>6226</v>
      </c>
      <c r="B487" s="1033" t="s">
        <v>507</v>
      </c>
      <c r="C487" s="1033"/>
      <c r="D487" s="1033"/>
      <c r="E487" s="1033"/>
      <c r="F487" s="1033"/>
      <c r="G487" s="1033"/>
      <c r="H487" s="1033"/>
      <c r="I487" s="1033"/>
      <c r="J487" s="1033"/>
      <c r="K487" s="1033"/>
      <c r="L487" s="90"/>
      <c r="M487" s="51"/>
      <c r="N487" s="113">
        <f t="shared" si="57"/>
        <v>6226</v>
      </c>
      <c r="O487" s="575">
        <v>0</v>
      </c>
      <c r="P487" s="582">
        <v>0</v>
      </c>
      <c r="Q487" s="589"/>
      <c r="R487" s="576"/>
      <c r="S487" s="583">
        <f t="shared" si="61"/>
        <v>0</v>
      </c>
      <c r="T487" s="580">
        <f t="shared" si="60"/>
        <v>0</v>
      </c>
      <c r="U487" s="51"/>
      <c r="V487" s="2119"/>
      <c r="W487" s="2116"/>
      <c r="X487" s="43"/>
      <c r="Y487" s="43"/>
      <c r="Z487" s="43"/>
    </row>
    <row r="488" spans="1:26">
      <c r="A488" s="88">
        <v>6227</v>
      </c>
      <c r="B488" s="1033" t="s">
        <v>508</v>
      </c>
      <c r="C488" s="1033"/>
      <c r="D488" s="1033"/>
      <c r="E488" s="1033"/>
      <c r="F488" s="1033"/>
      <c r="G488" s="1033"/>
      <c r="H488" s="1033"/>
      <c r="I488" s="1033"/>
      <c r="J488" s="1033"/>
      <c r="K488" s="1033"/>
      <c r="L488" s="90"/>
      <c r="M488" s="51"/>
      <c r="N488" s="113">
        <f t="shared" si="57"/>
        <v>6227</v>
      </c>
      <c r="O488" s="575">
        <v>0</v>
      </c>
      <c r="P488" s="582">
        <v>0</v>
      </c>
      <c r="Q488" s="589"/>
      <c r="R488" s="576"/>
      <c r="S488" s="583">
        <f t="shared" si="61"/>
        <v>0</v>
      </c>
      <c r="T488" s="580">
        <f t="shared" si="60"/>
        <v>0</v>
      </c>
      <c r="U488" s="51"/>
      <c r="V488" s="2119"/>
      <c r="W488" s="2116"/>
      <c r="X488" s="43"/>
      <c r="Y488" s="43"/>
      <c r="Z488" s="43"/>
    </row>
    <row r="489" spans="1:26">
      <c r="A489" s="88">
        <v>6229</v>
      </c>
      <c r="B489" s="1033" t="s">
        <v>509</v>
      </c>
      <c r="C489" s="1033"/>
      <c r="D489" s="1033"/>
      <c r="E489" s="1033"/>
      <c r="F489" s="1033"/>
      <c r="G489" s="1033"/>
      <c r="H489" s="1033"/>
      <c r="I489" s="1033"/>
      <c r="J489" s="1033"/>
      <c r="K489" s="1033"/>
      <c r="L489" s="90"/>
      <c r="M489" s="51"/>
      <c r="N489" s="113">
        <f t="shared" si="57"/>
        <v>6229</v>
      </c>
      <c r="O489" s="575">
        <v>0</v>
      </c>
      <c r="P489" s="582">
        <v>0</v>
      </c>
      <c r="Q489" s="589"/>
      <c r="R489" s="576"/>
      <c r="S489" s="583">
        <f t="shared" si="61"/>
        <v>0</v>
      </c>
      <c r="T489" s="580">
        <f t="shared" si="60"/>
        <v>0</v>
      </c>
      <c r="U489" s="51"/>
      <c r="V489" s="2119"/>
      <c r="W489" s="2116"/>
      <c r="X489" s="43"/>
      <c r="Y489" s="43"/>
      <c r="Z489" s="43"/>
    </row>
    <row r="490" spans="1:26">
      <c r="A490" s="88">
        <v>6231</v>
      </c>
      <c r="B490" s="1033" t="s">
        <v>510</v>
      </c>
      <c r="C490" s="1033"/>
      <c r="D490" s="1033"/>
      <c r="E490" s="1033"/>
      <c r="F490" s="1033"/>
      <c r="G490" s="1033"/>
      <c r="H490" s="1033"/>
      <c r="I490" s="1033"/>
      <c r="J490" s="1033"/>
      <c r="K490" s="1033"/>
      <c r="L490" s="90"/>
      <c r="M490" s="51"/>
      <c r="N490" s="113">
        <f t="shared" si="57"/>
        <v>6231</v>
      </c>
      <c r="O490" s="575">
        <v>0</v>
      </c>
      <c r="P490" s="582">
        <v>0</v>
      </c>
      <c r="Q490" s="589"/>
      <c r="R490" s="576"/>
      <c r="S490" s="583">
        <f t="shared" si="61"/>
        <v>0</v>
      </c>
      <c r="T490" s="580">
        <f t="shared" si="60"/>
        <v>0</v>
      </c>
      <c r="U490" s="51"/>
      <c r="V490" s="2119"/>
      <c r="W490" s="2116"/>
      <c r="X490" s="43"/>
      <c r="Y490" s="43"/>
      <c r="Z490" s="43"/>
    </row>
    <row r="491" spans="1:26">
      <c r="A491" s="88">
        <v>6232</v>
      </c>
      <c r="B491" s="1033" t="s">
        <v>511</v>
      </c>
      <c r="C491" s="1033"/>
      <c r="D491" s="1033"/>
      <c r="E491" s="1033"/>
      <c r="F491" s="1033"/>
      <c r="G491" s="1033"/>
      <c r="H491" s="1033"/>
      <c r="I491" s="1033"/>
      <c r="J491" s="1033"/>
      <c r="K491" s="1033"/>
      <c r="L491" s="90"/>
      <c r="M491" s="51"/>
      <c r="N491" s="113">
        <f t="shared" si="57"/>
        <v>6232</v>
      </c>
      <c r="O491" s="575">
        <v>0</v>
      </c>
      <c r="P491" s="582">
        <v>0</v>
      </c>
      <c r="Q491" s="589"/>
      <c r="R491" s="576"/>
      <c r="S491" s="583">
        <f t="shared" si="61"/>
        <v>0</v>
      </c>
      <c r="T491" s="580">
        <f t="shared" si="60"/>
        <v>0</v>
      </c>
      <c r="U491" s="51"/>
      <c r="V491" s="2119"/>
      <c r="W491" s="2116"/>
      <c r="X491" s="43"/>
      <c r="Y491" s="43"/>
      <c r="Z491" s="43"/>
    </row>
    <row r="492" spans="1:26">
      <c r="A492" s="88">
        <v>6241</v>
      </c>
      <c r="B492" s="1033" t="s">
        <v>512</v>
      </c>
      <c r="C492" s="1033"/>
      <c r="D492" s="1033"/>
      <c r="E492" s="1033"/>
      <c r="F492" s="1033"/>
      <c r="G492" s="1033"/>
      <c r="H492" s="1033"/>
      <c r="I492" s="1033"/>
      <c r="J492" s="1033"/>
      <c r="K492" s="1033"/>
      <c r="L492" s="90"/>
      <c r="M492" s="51"/>
      <c r="N492" s="113">
        <f t="shared" si="57"/>
        <v>6241</v>
      </c>
      <c r="O492" s="575">
        <v>0</v>
      </c>
      <c r="P492" s="582">
        <v>0</v>
      </c>
      <c r="Q492" s="589">
        <v>0</v>
      </c>
      <c r="R492" s="576">
        <v>0</v>
      </c>
      <c r="S492" s="583">
        <f t="shared" si="61"/>
        <v>0</v>
      </c>
      <c r="T492" s="580">
        <f t="shared" si="60"/>
        <v>0</v>
      </c>
      <c r="U492" s="51"/>
      <c r="V492" s="2119"/>
      <c r="W492" s="2116"/>
      <c r="X492" s="43"/>
      <c r="Y492" s="43"/>
      <c r="Z492" s="43"/>
    </row>
    <row r="493" spans="1:26">
      <c r="A493" s="88">
        <v>6242</v>
      </c>
      <c r="B493" s="1033" t="s">
        <v>513</v>
      </c>
      <c r="C493" s="1033"/>
      <c r="D493" s="1033"/>
      <c r="E493" s="1033"/>
      <c r="F493" s="1033"/>
      <c r="G493" s="1033"/>
      <c r="H493" s="1033"/>
      <c r="I493" s="1033"/>
      <c r="J493" s="1033"/>
      <c r="K493" s="1033"/>
      <c r="L493" s="90"/>
      <c r="M493" s="51"/>
      <c r="N493" s="113">
        <f t="shared" si="57"/>
        <v>6242</v>
      </c>
      <c r="O493" s="575">
        <v>0</v>
      </c>
      <c r="P493" s="582">
        <v>0</v>
      </c>
      <c r="Q493" s="589"/>
      <c r="R493" s="576"/>
      <c r="S493" s="583">
        <f t="shared" si="61"/>
        <v>0</v>
      </c>
      <c r="T493" s="580">
        <f t="shared" si="60"/>
        <v>0</v>
      </c>
      <c r="U493" s="51"/>
      <c r="V493" s="2119"/>
      <c r="W493" s="2116"/>
      <c r="X493" s="43"/>
      <c r="Y493" s="43"/>
      <c r="Z493" s="43"/>
    </row>
    <row r="494" spans="1:26" ht="15.75" customHeight="1">
      <c r="A494" s="88">
        <v>6270</v>
      </c>
      <c r="B494" s="1033" t="s">
        <v>514</v>
      </c>
      <c r="C494" s="1033"/>
      <c r="D494" s="1033"/>
      <c r="E494" s="1033"/>
      <c r="F494" s="1033"/>
      <c r="G494" s="1033"/>
      <c r="H494" s="1033"/>
      <c r="I494" s="1033"/>
      <c r="J494" s="1033"/>
      <c r="K494" s="1033"/>
      <c r="L494" s="90"/>
      <c r="M494" s="51"/>
      <c r="N494" s="113">
        <f t="shared" si="57"/>
        <v>6270</v>
      </c>
      <c r="O494" s="575">
        <v>0</v>
      </c>
      <c r="P494" s="582">
        <v>0</v>
      </c>
      <c r="Q494" s="589"/>
      <c r="R494" s="576"/>
      <c r="S494" s="583">
        <f t="shared" si="61"/>
        <v>0</v>
      </c>
      <c r="T494" s="580">
        <f t="shared" si="60"/>
        <v>0</v>
      </c>
      <c r="U494" s="51"/>
      <c r="V494" s="2119"/>
      <c r="W494" s="2116"/>
      <c r="X494" s="43"/>
      <c r="Y494" s="43"/>
      <c r="Z494" s="43"/>
    </row>
    <row r="495" spans="1:26">
      <c r="A495" s="88">
        <v>6271</v>
      </c>
      <c r="B495" s="1033" t="s">
        <v>515</v>
      </c>
      <c r="C495" s="1033"/>
      <c r="D495" s="1033"/>
      <c r="E495" s="1033"/>
      <c r="F495" s="1033"/>
      <c r="G495" s="1033"/>
      <c r="H495" s="1033"/>
      <c r="I495" s="1033"/>
      <c r="J495" s="1033"/>
      <c r="K495" s="1033"/>
      <c r="L495" s="90"/>
      <c r="M495" s="51"/>
      <c r="N495" s="113">
        <f t="shared" si="57"/>
        <v>6271</v>
      </c>
      <c r="O495" s="575">
        <v>0</v>
      </c>
      <c r="P495" s="582">
        <v>0</v>
      </c>
      <c r="Q495" s="589"/>
      <c r="R495" s="576"/>
      <c r="S495" s="583">
        <f t="shared" si="61"/>
        <v>0</v>
      </c>
      <c r="T495" s="580">
        <f t="shared" si="60"/>
        <v>0</v>
      </c>
      <c r="U495" s="51"/>
      <c r="V495" s="2119"/>
      <c r="W495" s="2116"/>
      <c r="X495" s="43"/>
      <c r="Y495" s="43"/>
      <c r="Z495" s="43"/>
    </row>
    <row r="496" spans="1:26">
      <c r="A496" s="88">
        <v>6272</v>
      </c>
      <c r="B496" s="1033" t="s">
        <v>516</v>
      </c>
      <c r="C496" s="1033"/>
      <c r="D496" s="1033"/>
      <c r="E496" s="1033"/>
      <c r="F496" s="1033"/>
      <c r="G496" s="1033"/>
      <c r="H496" s="1033"/>
      <c r="I496" s="1033"/>
      <c r="J496" s="1033"/>
      <c r="K496" s="1033"/>
      <c r="L496" s="90"/>
      <c r="M496" s="51"/>
      <c r="N496" s="113">
        <f t="shared" si="57"/>
        <v>6272</v>
      </c>
      <c r="O496" s="575">
        <v>0</v>
      </c>
      <c r="P496" s="582">
        <v>0</v>
      </c>
      <c r="Q496" s="589"/>
      <c r="R496" s="576"/>
      <c r="S496" s="583">
        <f t="shared" si="61"/>
        <v>0</v>
      </c>
      <c r="T496" s="580">
        <f t="shared" si="60"/>
        <v>0</v>
      </c>
      <c r="U496" s="51"/>
      <c r="V496" s="2119"/>
      <c r="W496" s="2116"/>
      <c r="X496" s="43"/>
      <c r="Y496" s="43"/>
      <c r="Z496" s="43"/>
    </row>
    <row r="497" spans="1:26" ht="15.75" customHeight="1">
      <c r="A497" s="88">
        <v>6273</v>
      </c>
      <c r="B497" s="1033" t="s">
        <v>520</v>
      </c>
      <c r="C497" s="1033"/>
      <c r="D497" s="1033"/>
      <c r="E497" s="1033"/>
      <c r="F497" s="1033"/>
      <c r="G497" s="1033"/>
      <c r="H497" s="1033"/>
      <c r="I497" s="1033"/>
      <c r="J497" s="1033"/>
      <c r="K497" s="1033"/>
      <c r="L497" s="90"/>
      <c r="M497" s="51"/>
      <c r="N497" s="113">
        <f t="shared" si="57"/>
        <v>6273</v>
      </c>
      <c r="O497" s="575">
        <v>0</v>
      </c>
      <c r="P497" s="582">
        <v>0</v>
      </c>
      <c r="Q497" s="589"/>
      <c r="R497" s="576"/>
      <c r="S497" s="583">
        <f t="shared" si="61"/>
        <v>0</v>
      </c>
      <c r="T497" s="580">
        <f t="shared" si="60"/>
        <v>0</v>
      </c>
      <c r="U497" s="51"/>
      <c r="V497" s="2119"/>
      <c r="W497" s="2116"/>
      <c r="X497" s="43"/>
      <c r="Y497" s="43"/>
      <c r="Z497" s="43"/>
    </row>
    <row r="498" spans="1:26" ht="15.75" customHeight="1">
      <c r="A498" s="88">
        <v>6274</v>
      </c>
      <c r="B498" s="1033" t="s">
        <v>521</v>
      </c>
      <c r="C498" s="1033"/>
      <c r="D498" s="1033"/>
      <c r="E498" s="1033"/>
      <c r="F498" s="1033"/>
      <c r="G498" s="1033"/>
      <c r="H498" s="1033"/>
      <c r="I498" s="1033"/>
      <c r="J498" s="1033"/>
      <c r="K498" s="1033"/>
      <c r="L498" s="90"/>
      <c r="M498" s="51"/>
      <c r="N498" s="113">
        <f t="shared" si="57"/>
        <v>6274</v>
      </c>
      <c r="O498" s="575">
        <v>0</v>
      </c>
      <c r="P498" s="582">
        <v>0</v>
      </c>
      <c r="Q498" s="589"/>
      <c r="R498" s="576"/>
      <c r="S498" s="583">
        <f t="shared" si="61"/>
        <v>0</v>
      </c>
      <c r="T498" s="580">
        <f t="shared" si="60"/>
        <v>0</v>
      </c>
      <c r="U498" s="51"/>
      <c r="V498" s="2119"/>
      <c r="W498" s="2116"/>
      <c r="X498" s="43"/>
      <c r="Y498" s="43"/>
      <c r="Z498" s="43"/>
    </row>
    <row r="499" spans="1:26" ht="15.75" customHeight="1">
      <c r="A499" s="88">
        <v>6275</v>
      </c>
      <c r="B499" s="1033" t="s">
        <v>522</v>
      </c>
      <c r="C499" s="1033"/>
      <c r="D499" s="1033"/>
      <c r="E499" s="1033"/>
      <c r="F499" s="1033"/>
      <c r="G499" s="1033"/>
      <c r="H499" s="1033"/>
      <c r="I499" s="1033"/>
      <c r="J499" s="1033"/>
      <c r="K499" s="1033"/>
      <c r="L499" s="90"/>
      <c r="M499" s="51"/>
      <c r="N499" s="113">
        <f t="shared" si="57"/>
        <v>6275</v>
      </c>
      <c r="O499" s="575">
        <v>0</v>
      </c>
      <c r="P499" s="582">
        <v>0</v>
      </c>
      <c r="Q499" s="589"/>
      <c r="R499" s="576"/>
      <c r="S499" s="583">
        <f t="shared" si="61"/>
        <v>0</v>
      </c>
      <c r="T499" s="580">
        <f t="shared" si="60"/>
        <v>0</v>
      </c>
      <c r="U499" s="51"/>
      <c r="V499" s="2119"/>
      <c r="W499" s="2116"/>
      <c r="X499" s="43"/>
      <c r="Y499" s="43"/>
      <c r="Z499" s="43"/>
    </row>
    <row r="500" spans="1:26" ht="15.75" customHeight="1">
      <c r="A500" s="88">
        <v>6276</v>
      </c>
      <c r="B500" s="1033" t="s">
        <v>523</v>
      </c>
      <c r="C500" s="1033"/>
      <c r="D500" s="1033"/>
      <c r="E500" s="1033"/>
      <c r="F500" s="1033"/>
      <c r="G500" s="1033"/>
      <c r="H500" s="1033"/>
      <c r="I500" s="1033"/>
      <c r="J500" s="1033"/>
      <c r="K500" s="1033"/>
      <c r="L500" s="90"/>
      <c r="M500" s="51"/>
      <c r="N500" s="113">
        <f t="shared" si="57"/>
        <v>6276</v>
      </c>
      <c r="O500" s="575">
        <v>0</v>
      </c>
      <c r="P500" s="582">
        <v>0</v>
      </c>
      <c r="Q500" s="589"/>
      <c r="R500" s="576"/>
      <c r="S500" s="583">
        <f t="shared" si="61"/>
        <v>0</v>
      </c>
      <c r="T500" s="580">
        <f t="shared" si="60"/>
        <v>0</v>
      </c>
      <c r="U500" s="51"/>
      <c r="V500" s="2119"/>
      <c r="W500" s="2116"/>
      <c r="X500" s="43"/>
      <c r="Y500" s="43"/>
      <c r="Z500" s="43"/>
    </row>
    <row r="501" spans="1:26" ht="15.75" customHeight="1">
      <c r="A501" s="88">
        <v>6277</v>
      </c>
      <c r="B501" s="1033" t="s">
        <v>524</v>
      </c>
      <c r="C501" s="1033"/>
      <c r="D501" s="1033"/>
      <c r="E501" s="1033"/>
      <c r="F501" s="1033"/>
      <c r="G501" s="1033"/>
      <c r="H501" s="1033"/>
      <c r="I501" s="1033"/>
      <c r="J501" s="1033"/>
      <c r="K501" s="1033"/>
      <c r="L501" s="90"/>
      <c r="M501" s="51"/>
      <c r="N501" s="113">
        <f t="shared" si="57"/>
        <v>6277</v>
      </c>
      <c r="O501" s="575">
        <v>0</v>
      </c>
      <c r="P501" s="582">
        <v>0</v>
      </c>
      <c r="Q501" s="589"/>
      <c r="R501" s="576"/>
      <c r="S501" s="583">
        <f t="shared" si="61"/>
        <v>0</v>
      </c>
      <c r="T501" s="580">
        <f t="shared" si="60"/>
        <v>0</v>
      </c>
      <c r="U501" s="51"/>
      <c r="V501" s="2119"/>
      <c r="W501" s="2116"/>
      <c r="X501" s="43"/>
      <c r="Y501" s="43"/>
      <c r="Z501" s="43"/>
    </row>
    <row r="502" spans="1:26" ht="15.75" customHeight="1">
      <c r="A502" s="88">
        <v>6278</v>
      </c>
      <c r="B502" s="1033" t="s">
        <v>578</v>
      </c>
      <c r="C502" s="1033"/>
      <c r="D502" s="1033"/>
      <c r="E502" s="1033"/>
      <c r="F502" s="1033"/>
      <c r="G502" s="1033"/>
      <c r="H502" s="1033"/>
      <c r="I502" s="1033"/>
      <c r="J502" s="1033"/>
      <c r="K502" s="1033"/>
      <c r="L502" s="90"/>
      <c r="M502" s="51"/>
      <c r="N502" s="113">
        <f t="shared" si="57"/>
        <v>6278</v>
      </c>
      <c r="O502" s="575">
        <v>0</v>
      </c>
      <c r="P502" s="582">
        <v>0</v>
      </c>
      <c r="Q502" s="589"/>
      <c r="R502" s="576"/>
      <c r="S502" s="583">
        <f t="shared" si="61"/>
        <v>0</v>
      </c>
      <c r="T502" s="580">
        <f t="shared" si="60"/>
        <v>0</v>
      </c>
      <c r="U502" s="51"/>
      <c r="V502" s="2119"/>
      <c r="W502" s="2116"/>
      <c r="X502" s="43"/>
      <c r="Y502" s="43"/>
      <c r="Z502" s="43"/>
    </row>
    <row r="503" spans="1:26">
      <c r="A503" s="88">
        <v>6279</v>
      </c>
      <c r="B503" s="1033" t="s">
        <v>517</v>
      </c>
      <c r="C503" s="1033"/>
      <c r="D503" s="1033"/>
      <c r="E503" s="1033"/>
      <c r="F503" s="1033"/>
      <c r="G503" s="1033"/>
      <c r="H503" s="1033"/>
      <c r="I503" s="1033"/>
      <c r="J503" s="1033"/>
      <c r="K503" s="1033"/>
      <c r="L503" s="90"/>
      <c r="M503" s="51"/>
      <c r="N503" s="113">
        <f t="shared" si="57"/>
        <v>6279</v>
      </c>
      <c r="O503" s="575">
        <v>0</v>
      </c>
      <c r="P503" s="582">
        <v>0</v>
      </c>
      <c r="Q503" s="589"/>
      <c r="R503" s="576"/>
      <c r="S503" s="583">
        <f t="shared" si="61"/>
        <v>0</v>
      </c>
      <c r="T503" s="580">
        <f t="shared" si="60"/>
        <v>0</v>
      </c>
      <c r="U503" s="51"/>
      <c r="V503" s="2119"/>
      <c r="W503" s="2116"/>
      <c r="X503" s="43"/>
      <c r="Y503" s="43"/>
      <c r="Z503" s="43"/>
    </row>
    <row r="504" spans="1:26">
      <c r="A504" s="88">
        <v>6281</v>
      </c>
      <c r="B504" s="1033" t="s">
        <v>560</v>
      </c>
      <c r="C504" s="1033"/>
      <c r="D504" s="1033"/>
      <c r="E504" s="1033"/>
      <c r="F504" s="1033"/>
      <c r="G504" s="1033"/>
      <c r="H504" s="1033"/>
      <c r="I504" s="1033"/>
      <c r="J504" s="1033"/>
      <c r="K504" s="1033"/>
      <c r="L504" s="90"/>
      <c r="M504" s="51"/>
      <c r="N504" s="113">
        <f t="shared" si="57"/>
        <v>6281</v>
      </c>
      <c r="O504" s="575">
        <v>0</v>
      </c>
      <c r="P504" s="582">
        <v>0</v>
      </c>
      <c r="Q504" s="589"/>
      <c r="R504" s="576"/>
      <c r="S504" s="583">
        <f t="shared" si="61"/>
        <v>0</v>
      </c>
      <c r="T504" s="580">
        <f t="shared" si="60"/>
        <v>0</v>
      </c>
      <c r="U504" s="51"/>
      <c r="V504" s="2119"/>
      <c r="W504" s="2116"/>
      <c r="X504" s="43"/>
      <c r="Y504" s="43"/>
      <c r="Z504" s="43"/>
    </row>
    <row r="505" spans="1:26">
      <c r="A505" s="88">
        <v>6282</v>
      </c>
      <c r="B505" s="1033" t="s">
        <v>561</v>
      </c>
      <c r="C505" s="1033"/>
      <c r="D505" s="1033"/>
      <c r="E505" s="1033"/>
      <c r="F505" s="1033"/>
      <c r="G505" s="1033"/>
      <c r="H505" s="1033"/>
      <c r="I505" s="1033"/>
      <c r="J505" s="1033"/>
      <c r="K505" s="1033"/>
      <c r="L505" s="90"/>
      <c r="M505" s="51"/>
      <c r="N505" s="113">
        <f t="shared" si="57"/>
        <v>6282</v>
      </c>
      <c r="O505" s="575">
        <v>0</v>
      </c>
      <c r="P505" s="582">
        <v>0</v>
      </c>
      <c r="Q505" s="589"/>
      <c r="R505" s="576"/>
      <c r="S505" s="583">
        <f t="shared" si="61"/>
        <v>0</v>
      </c>
      <c r="T505" s="580">
        <f t="shared" si="60"/>
        <v>0</v>
      </c>
      <c r="U505" s="51"/>
      <c r="V505" s="2119"/>
      <c r="W505" s="2116"/>
      <c r="X505" s="43"/>
      <c r="Y505" s="43"/>
      <c r="Z505" s="43"/>
    </row>
    <row r="506" spans="1:26">
      <c r="A506" s="88">
        <v>6291</v>
      </c>
      <c r="B506" s="1033" t="s">
        <v>562</v>
      </c>
      <c r="C506" s="1033"/>
      <c r="D506" s="1033"/>
      <c r="E506" s="1033"/>
      <c r="F506" s="1033"/>
      <c r="G506" s="1033"/>
      <c r="H506" s="1033"/>
      <c r="I506" s="1033"/>
      <c r="J506" s="1033"/>
      <c r="K506" s="1033"/>
      <c r="L506" s="90"/>
      <c r="M506" s="51"/>
      <c r="N506" s="113">
        <f t="shared" si="57"/>
        <v>6291</v>
      </c>
      <c r="O506" s="575">
        <v>0</v>
      </c>
      <c r="P506" s="582">
        <v>0</v>
      </c>
      <c r="Q506" s="589"/>
      <c r="R506" s="576"/>
      <c r="S506" s="583">
        <f t="shared" si="61"/>
        <v>0</v>
      </c>
      <c r="T506" s="580">
        <f t="shared" si="60"/>
        <v>0</v>
      </c>
      <c r="U506" s="51"/>
      <c r="V506" s="2119"/>
      <c r="W506" s="2116"/>
      <c r="X506" s="43"/>
      <c r="Y506" s="43"/>
      <c r="Z506" s="43"/>
    </row>
    <row r="507" spans="1:26">
      <c r="A507" s="88">
        <v>6292</v>
      </c>
      <c r="B507" s="1033" t="s">
        <v>563</v>
      </c>
      <c r="C507" s="1033"/>
      <c r="D507" s="1033"/>
      <c r="E507" s="1033"/>
      <c r="F507" s="1033"/>
      <c r="G507" s="1033"/>
      <c r="H507" s="1033"/>
      <c r="I507" s="1033"/>
      <c r="J507" s="1033"/>
      <c r="K507" s="1033"/>
      <c r="L507" s="90"/>
      <c r="M507" s="51"/>
      <c r="N507" s="113">
        <f t="shared" si="57"/>
        <v>6292</v>
      </c>
      <c r="O507" s="575">
        <v>0</v>
      </c>
      <c r="P507" s="582">
        <v>0</v>
      </c>
      <c r="Q507" s="589"/>
      <c r="R507" s="576"/>
      <c r="S507" s="583">
        <f t="shared" si="61"/>
        <v>0</v>
      </c>
      <c r="T507" s="580">
        <f t="shared" si="60"/>
        <v>0</v>
      </c>
      <c r="U507" s="51"/>
      <c r="V507" s="2119"/>
      <c r="W507" s="2116"/>
      <c r="X507" s="43"/>
      <c r="Y507" s="43"/>
      <c r="Z507" s="43"/>
    </row>
    <row r="508" spans="1:26" ht="15.75" customHeight="1">
      <c r="A508" s="88">
        <v>6298</v>
      </c>
      <c r="B508" s="1033" t="s">
        <v>579</v>
      </c>
      <c r="C508" s="1033"/>
      <c r="D508" s="1033"/>
      <c r="E508" s="1033"/>
      <c r="F508" s="1033"/>
      <c r="G508" s="1033"/>
      <c r="H508" s="1033"/>
      <c r="I508" s="1033"/>
      <c r="J508" s="1033"/>
      <c r="K508" s="1033"/>
      <c r="L508" s="90"/>
      <c r="M508" s="51"/>
      <c r="N508" s="113">
        <f t="shared" si="57"/>
        <v>6298</v>
      </c>
      <c r="O508" s="575">
        <v>0</v>
      </c>
      <c r="P508" s="582">
        <v>0</v>
      </c>
      <c r="Q508" s="589"/>
      <c r="R508" s="576"/>
      <c r="S508" s="583">
        <f t="shared" si="61"/>
        <v>0</v>
      </c>
      <c r="T508" s="580">
        <f t="shared" si="60"/>
        <v>0</v>
      </c>
      <c r="U508" s="51"/>
      <c r="V508" s="2119"/>
      <c r="W508" s="2116"/>
      <c r="X508" s="43"/>
      <c r="Y508" s="43"/>
      <c r="Z508" s="43"/>
    </row>
    <row r="509" spans="1:26">
      <c r="A509" s="88">
        <v>6401</v>
      </c>
      <c r="B509" s="1033" t="s">
        <v>580</v>
      </c>
      <c r="C509" s="1033"/>
      <c r="D509" s="1033"/>
      <c r="E509" s="1033"/>
      <c r="F509" s="1033"/>
      <c r="G509" s="1033"/>
      <c r="H509" s="1033"/>
      <c r="I509" s="1033"/>
      <c r="J509" s="1033"/>
      <c r="K509" s="1033"/>
      <c r="L509" s="90"/>
      <c r="M509" s="51"/>
      <c r="N509" s="113">
        <f t="shared" si="57"/>
        <v>6401</v>
      </c>
      <c r="O509" s="575">
        <v>0</v>
      </c>
      <c r="P509" s="582">
        <v>0</v>
      </c>
      <c r="Q509" s="589"/>
      <c r="R509" s="576"/>
      <c r="S509" s="583">
        <f t="shared" si="61"/>
        <v>0</v>
      </c>
      <c r="T509" s="580">
        <f t="shared" si="60"/>
        <v>0</v>
      </c>
      <c r="U509" s="51"/>
      <c r="V509" s="2119"/>
      <c r="W509" s="2116"/>
      <c r="X509" s="43"/>
      <c r="Y509" s="43"/>
      <c r="Z509" s="43"/>
    </row>
    <row r="510" spans="1:26">
      <c r="A510" s="88">
        <v>6402</v>
      </c>
      <c r="B510" s="1033" t="s">
        <v>581</v>
      </c>
      <c r="C510" s="1033"/>
      <c r="D510" s="1033"/>
      <c r="E510" s="1033"/>
      <c r="F510" s="1033"/>
      <c r="G510" s="1033"/>
      <c r="H510" s="1033"/>
      <c r="I510" s="1033"/>
      <c r="J510" s="1033"/>
      <c r="K510" s="1033"/>
      <c r="L510" s="90"/>
      <c r="M510" s="51"/>
      <c r="N510" s="113">
        <f t="shared" si="57"/>
        <v>6402</v>
      </c>
      <c r="O510" s="575">
        <v>0</v>
      </c>
      <c r="P510" s="582">
        <v>0</v>
      </c>
      <c r="Q510" s="589"/>
      <c r="R510" s="576"/>
      <c r="S510" s="583">
        <f t="shared" si="61"/>
        <v>0</v>
      </c>
      <c r="T510" s="580">
        <f t="shared" si="60"/>
        <v>0</v>
      </c>
      <c r="U510" s="51"/>
      <c r="V510" s="2119"/>
      <c r="W510" s="2116"/>
      <c r="X510" s="43"/>
      <c r="Y510" s="43"/>
      <c r="Z510" s="43"/>
    </row>
    <row r="511" spans="1:26">
      <c r="A511" s="88">
        <v>6411</v>
      </c>
      <c r="B511" s="1033" t="s">
        <v>582</v>
      </c>
      <c r="C511" s="1033"/>
      <c r="D511" s="1033"/>
      <c r="E511" s="1033"/>
      <c r="F511" s="1033"/>
      <c r="G511" s="1033"/>
      <c r="H511" s="1033"/>
      <c r="I511" s="1033"/>
      <c r="J511" s="1033"/>
      <c r="K511" s="1033"/>
      <c r="L511" s="90"/>
      <c r="M511" s="51"/>
      <c r="N511" s="113">
        <f t="shared" si="57"/>
        <v>6411</v>
      </c>
      <c r="O511" s="575">
        <v>0</v>
      </c>
      <c r="P511" s="582">
        <v>0</v>
      </c>
      <c r="Q511" s="589">
        <v>0</v>
      </c>
      <c r="R511" s="576">
        <v>0</v>
      </c>
      <c r="S511" s="583">
        <f t="shared" si="61"/>
        <v>0</v>
      </c>
      <c r="T511" s="580">
        <f t="shared" si="60"/>
        <v>0</v>
      </c>
      <c r="U511" s="51"/>
      <c r="V511" s="2119"/>
      <c r="W511" s="2116"/>
      <c r="X511" s="43"/>
      <c r="Y511" s="43"/>
      <c r="Z511" s="43"/>
    </row>
    <row r="512" spans="1:26">
      <c r="A512" s="88">
        <v>6412</v>
      </c>
      <c r="B512" s="1033" t="s">
        <v>583</v>
      </c>
      <c r="C512" s="1033"/>
      <c r="D512" s="1033"/>
      <c r="E512" s="1033"/>
      <c r="F512" s="1033"/>
      <c r="G512" s="1033"/>
      <c r="H512" s="1033"/>
      <c r="I512" s="1033"/>
      <c r="J512" s="1033"/>
      <c r="K512" s="1033"/>
      <c r="L512" s="90"/>
      <c r="M512" s="51"/>
      <c r="N512" s="113">
        <f t="shared" ref="N512:N575" si="62">+A512</f>
        <v>6412</v>
      </c>
      <c r="O512" s="575">
        <v>0</v>
      </c>
      <c r="P512" s="582">
        <v>0</v>
      </c>
      <c r="Q512" s="589"/>
      <c r="R512" s="576"/>
      <c r="S512" s="583">
        <f t="shared" si="61"/>
        <v>0</v>
      </c>
      <c r="T512" s="580">
        <f t="shared" ref="T512:T543" si="63">+IF(ABS(+O512+Q512)&lt;=ABS(P512+R512),-O512+P512-Q512+R512,0)</f>
        <v>0</v>
      </c>
      <c r="U512" s="51"/>
      <c r="V512" s="2119"/>
      <c r="W512" s="2116"/>
      <c r="X512" s="43"/>
      <c r="Y512" s="43"/>
      <c r="Z512" s="43"/>
    </row>
    <row r="513" spans="1:26">
      <c r="A513" s="88">
        <v>6421</v>
      </c>
      <c r="B513" s="378" t="s">
        <v>584</v>
      </c>
      <c r="C513" s="1033"/>
      <c r="D513" s="1033"/>
      <c r="E513" s="1033"/>
      <c r="F513" s="1033"/>
      <c r="G513" s="1033"/>
      <c r="H513" s="1033"/>
      <c r="I513" s="1033"/>
      <c r="J513" s="1033"/>
      <c r="K513" s="1033"/>
      <c r="L513" s="90"/>
      <c r="M513" s="51"/>
      <c r="N513" s="113">
        <f t="shared" si="62"/>
        <v>6421</v>
      </c>
      <c r="O513" s="575">
        <v>0</v>
      </c>
      <c r="P513" s="582">
        <v>0</v>
      </c>
      <c r="Q513" s="589"/>
      <c r="R513" s="576"/>
      <c r="S513" s="583">
        <f t="shared" ref="S513:S544" si="64">+IF(ABS(+O513+Q513)&gt;=ABS(P513+R513),+O513-P513+Q513-R513,0)</f>
        <v>0</v>
      </c>
      <c r="T513" s="580">
        <f t="shared" si="63"/>
        <v>0</v>
      </c>
      <c r="U513" s="51"/>
      <c r="V513" s="2119"/>
      <c r="W513" s="2116"/>
      <c r="X513" s="43"/>
      <c r="Y513" s="43"/>
      <c r="Z513" s="43"/>
    </row>
    <row r="514" spans="1:26">
      <c r="A514" s="88">
        <v>6422</v>
      </c>
      <c r="B514" s="378" t="s">
        <v>585</v>
      </c>
      <c r="C514" s="1033"/>
      <c r="D514" s="1033"/>
      <c r="E514" s="1033"/>
      <c r="F514" s="1033"/>
      <c r="G514" s="1033"/>
      <c r="H514" s="1033"/>
      <c r="I514" s="1033"/>
      <c r="J514" s="1033"/>
      <c r="K514" s="1033"/>
      <c r="L514" s="90"/>
      <c r="M514" s="51"/>
      <c r="N514" s="113">
        <f t="shared" si="62"/>
        <v>6422</v>
      </c>
      <c r="O514" s="575">
        <v>0</v>
      </c>
      <c r="P514" s="582">
        <v>0</v>
      </c>
      <c r="Q514" s="589"/>
      <c r="R514" s="576"/>
      <c r="S514" s="583">
        <f t="shared" si="64"/>
        <v>0</v>
      </c>
      <c r="T514" s="580">
        <f t="shared" si="63"/>
        <v>0</v>
      </c>
      <c r="U514" s="51"/>
      <c r="V514" s="2119"/>
      <c r="W514" s="2116"/>
      <c r="X514" s="43"/>
      <c r="Y514" s="43"/>
      <c r="Z514" s="43"/>
    </row>
    <row r="515" spans="1:26">
      <c r="A515" s="88">
        <v>6423</v>
      </c>
      <c r="B515" s="378" t="s">
        <v>586</v>
      </c>
      <c r="C515" s="1033"/>
      <c r="D515" s="1033"/>
      <c r="E515" s="1033"/>
      <c r="F515" s="1033"/>
      <c r="G515" s="1033"/>
      <c r="H515" s="1033"/>
      <c r="I515" s="1033"/>
      <c r="J515" s="1033"/>
      <c r="K515" s="1033"/>
      <c r="L515" s="90"/>
      <c r="M515" s="51"/>
      <c r="N515" s="113">
        <f t="shared" si="62"/>
        <v>6423</v>
      </c>
      <c r="O515" s="575">
        <v>0</v>
      </c>
      <c r="P515" s="582">
        <v>0</v>
      </c>
      <c r="Q515" s="589"/>
      <c r="R515" s="576"/>
      <c r="S515" s="583">
        <f t="shared" si="64"/>
        <v>0</v>
      </c>
      <c r="T515" s="580">
        <f t="shared" si="63"/>
        <v>0</v>
      </c>
      <c r="U515" s="51"/>
      <c r="V515" s="2119"/>
      <c r="W515" s="2116"/>
      <c r="X515" s="43"/>
      <c r="Y515" s="43"/>
      <c r="Z515" s="43"/>
    </row>
    <row r="516" spans="1:26">
      <c r="A516" s="88">
        <v>6424</v>
      </c>
      <c r="B516" s="378" t="s">
        <v>587</v>
      </c>
      <c r="C516" s="1033"/>
      <c r="D516" s="1033"/>
      <c r="E516" s="1033"/>
      <c r="F516" s="1033"/>
      <c r="G516" s="1033"/>
      <c r="H516" s="1033"/>
      <c r="I516" s="1033"/>
      <c r="J516" s="1033"/>
      <c r="K516" s="1033"/>
      <c r="L516" s="90"/>
      <c r="M516" s="51"/>
      <c r="N516" s="113">
        <f t="shared" si="62"/>
        <v>6424</v>
      </c>
      <c r="O516" s="575">
        <v>0</v>
      </c>
      <c r="P516" s="582">
        <v>0</v>
      </c>
      <c r="Q516" s="589"/>
      <c r="R516" s="576"/>
      <c r="S516" s="583">
        <f t="shared" si="64"/>
        <v>0</v>
      </c>
      <c r="T516" s="580">
        <f t="shared" si="63"/>
        <v>0</v>
      </c>
      <c r="U516" s="51"/>
      <c r="V516" s="2119"/>
      <c r="W516" s="2116"/>
      <c r="X516" s="43"/>
      <c r="Y516" s="43"/>
      <c r="Z516" s="43"/>
    </row>
    <row r="517" spans="1:26">
      <c r="A517" s="88">
        <v>6425</v>
      </c>
      <c r="B517" s="378" t="s">
        <v>588</v>
      </c>
      <c r="C517" s="1033"/>
      <c r="D517" s="1033"/>
      <c r="E517" s="1033"/>
      <c r="F517" s="1033"/>
      <c r="G517" s="1033"/>
      <c r="H517" s="1033"/>
      <c r="I517" s="1033"/>
      <c r="J517" s="1033"/>
      <c r="K517" s="1033"/>
      <c r="L517" s="90"/>
      <c r="M517" s="51"/>
      <c r="N517" s="113">
        <f t="shared" si="62"/>
        <v>6425</v>
      </c>
      <c r="O517" s="575">
        <v>0</v>
      </c>
      <c r="P517" s="582">
        <v>0</v>
      </c>
      <c r="Q517" s="589"/>
      <c r="R517" s="576"/>
      <c r="S517" s="583">
        <f t="shared" si="64"/>
        <v>0</v>
      </c>
      <c r="T517" s="580">
        <f t="shared" si="63"/>
        <v>0</v>
      </c>
      <c r="U517" s="51"/>
      <c r="V517" s="2119"/>
      <c r="W517" s="2116"/>
      <c r="X517" s="43"/>
      <c r="Y517" s="43"/>
      <c r="Z517" s="43"/>
    </row>
    <row r="518" spans="1:26">
      <c r="A518" s="88">
        <v>6426</v>
      </c>
      <c r="B518" s="378" t="s">
        <v>589</v>
      </c>
      <c r="C518" s="1033"/>
      <c r="D518" s="1033"/>
      <c r="E518" s="1033"/>
      <c r="F518" s="1033"/>
      <c r="G518" s="1033"/>
      <c r="H518" s="1033"/>
      <c r="I518" s="1033"/>
      <c r="J518" s="1033"/>
      <c r="K518" s="1033"/>
      <c r="L518" s="90"/>
      <c r="M518" s="51"/>
      <c r="N518" s="113">
        <f t="shared" si="62"/>
        <v>6426</v>
      </c>
      <c r="O518" s="575">
        <v>0</v>
      </c>
      <c r="P518" s="582">
        <v>0</v>
      </c>
      <c r="Q518" s="589"/>
      <c r="R518" s="576"/>
      <c r="S518" s="583">
        <f t="shared" si="64"/>
        <v>0</v>
      </c>
      <c r="T518" s="580">
        <f t="shared" si="63"/>
        <v>0</v>
      </c>
      <c r="U518" s="51"/>
      <c r="V518" s="2119"/>
      <c r="W518" s="2116"/>
      <c r="X518" s="43"/>
      <c r="Y518" s="43"/>
      <c r="Z518" s="43"/>
    </row>
    <row r="519" spans="1:26">
      <c r="A519" s="88">
        <v>6427</v>
      </c>
      <c r="B519" s="378" t="s">
        <v>598</v>
      </c>
      <c r="C519" s="1033"/>
      <c r="D519" s="1033"/>
      <c r="E519" s="1033"/>
      <c r="F519" s="1033"/>
      <c r="G519" s="1033"/>
      <c r="H519" s="1033"/>
      <c r="I519" s="1033"/>
      <c r="J519" s="1033"/>
      <c r="K519" s="1033"/>
      <c r="L519" s="90"/>
      <c r="M519" s="51"/>
      <c r="N519" s="113">
        <f t="shared" si="62"/>
        <v>6427</v>
      </c>
      <c r="O519" s="575">
        <v>0</v>
      </c>
      <c r="P519" s="582">
        <v>0</v>
      </c>
      <c r="Q519" s="589"/>
      <c r="R519" s="576"/>
      <c r="S519" s="583">
        <f t="shared" si="64"/>
        <v>0</v>
      </c>
      <c r="T519" s="580">
        <f t="shared" si="63"/>
        <v>0</v>
      </c>
      <c r="U519" s="51"/>
      <c r="V519" s="2119"/>
      <c r="W519" s="2116"/>
      <c r="X519" s="43"/>
      <c r="Y519" s="43"/>
      <c r="Z519" s="43"/>
    </row>
    <row r="520" spans="1:26">
      <c r="A520" s="88">
        <v>6428</v>
      </c>
      <c r="B520" s="378" t="s">
        <v>599</v>
      </c>
      <c r="C520" s="1033"/>
      <c r="D520" s="1033"/>
      <c r="E520" s="1033"/>
      <c r="F520" s="1033"/>
      <c r="G520" s="1033"/>
      <c r="H520" s="1033"/>
      <c r="I520" s="1033"/>
      <c r="J520" s="1033"/>
      <c r="K520" s="1033"/>
      <c r="L520" s="90"/>
      <c r="M520" s="51"/>
      <c r="N520" s="113">
        <f t="shared" si="62"/>
        <v>6428</v>
      </c>
      <c r="O520" s="575">
        <v>0</v>
      </c>
      <c r="P520" s="582">
        <v>0</v>
      </c>
      <c r="Q520" s="589"/>
      <c r="R520" s="576"/>
      <c r="S520" s="583">
        <f t="shared" si="64"/>
        <v>0</v>
      </c>
      <c r="T520" s="580">
        <f t="shared" si="63"/>
        <v>0</v>
      </c>
      <c r="U520" s="51"/>
      <c r="V520" s="2119"/>
      <c r="W520" s="2116"/>
      <c r="X520" s="43"/>
      <c r="Y520" s="43"/>
      <c r="Z520" s="43"/>
    </row>
    <row r="521" spans="1:26">
      <c r="A521" s="88">
        <v>6430</v>
      </c>
      <c r="B521" s="1033" t="s">
        <v>899</v>
      </c>
      <c r="C521" s="1033"/>
      <c r="D521" s="1033"/>
      <c r="E521" s="1033"/>
      <c r="F521" s="1033"/>
      <c r="G521" s="1033"/>
      <c r="H521" s="1033"/>
      <c r="I521" s="1033"/>
      <c r="J521" s="1033"/>
      <c r="K521" s="1033"/>
      <c r="L521" s="90"/>
      <c r="M521" s="51"/>
      <c r="N521" s="113">
        <f t="shared" si="62"/>
        <v>6430</v>
      </c>
      <c r="O521" s="575">
        <v>0</v>
      </c>
      <c r="P521" s="582">
        <v>0</v>
      </c>
      <c r="Q521" s="589"/>
      <c r="R521" s="576"/>
      <c r="S521" s="583">
        <f t="shared" si="64"/>
        <v>0</v>
      </c>
      <c r="T521" s="580">
        <f t="shared" si="63"/>
        <v>0</v>
      </c>
      <c r="U521" s="51"/>
      <c r="V521" s="2119"/>
      <c r="W521" s="2116"/>
      <c r="X521" s="43"/>
      <c r="Y521" s="43"/>
      <c r="Z521" s="43"/>
    </row>
    <row r="522" spans="1:26" ht="15.75" customHeight="1">
      <c r="A522" s="88">
        <v>6437</v>
      </c>
      <c r="B522" s="1033" t="s">
        <v>600</v>
      </c>
      <c r="C522" s="1033"/>
      <c r="D522" s="1033"/>
      <c r="E522" s="1033"/>
      <c r="F522" s="1033"/>
      <c r="G522" s="1033"/>
      <c r="H522" s="1033"/>
      <c r="I522" s="1033"/>
      <c r="J522" s="1033"/>
      <c r="K522" s="1033"/>
      <c r="L522" s="90"/>
      <c r="M522" s="51"/>
      <c r="N522" s="113">
        <f t="shared" si="62"/>
        <v>6437</v>
      </c>
      <c r="O522" s="575">
        <v>0</v>
      </c>
      <c r="P522" s="582">
        <v>0</v>
      </c>
      <c r="Q522" s="589"/>
      <c r="R522" s="576"/>
      <c r="S522" s="583">
        <f t="shared" si="64"/>
        <v>0</v>
      </c>
      <c r="T522" s="580">
        <f t="shared" si="63"/>
        <v>0</v>
      </c>
      <c r="U522" s="51"/>
      <c r="V522" s="2119"/>
      <c r="W522" s="2116"/>
      <c r="X522" s="43"/>
      <c r="Y522" s="43"/>
      <c r="Z522" s="43"/>
    </row>
    <row r="523" spans="1:26" ht="15.75" customHeight="1">
      <c r="A523" s="88">
        <v>6438</v>
      </c>
      <c r="B523" s="1033" t="s">
        <v>601</v>
      </c>
      <c r="C523" s="1033"/>
      <c r="D523" s="1033"/>
      <c r="E523" s="1033"/>
      <c r="F523" s="1033"/>
      <c r="G523" s="1033"/>
      <c r="H523" s="1033"/>
      <c r="I523" s="1033"/>
      <c r="J523" s="1033"/>
      <c r="K523" s="1033"/>
      <c r="L523" s="90"/>
      <c r="M523" s="51"/>
      <c r="N523" s="113">
        <f t="shared" si="62"/>
        <v>6438</v>
      </c>
      <c r="O523" s="575">
        <v>0</v>
      </c>
      <c r="P523" s="582">
        <v>0</v>
      </c>
      <c r="Q523" s="589"/>
      <c r="R523" s="576"/>
      <c r="S523" s="583">
        <f t="shared" si="64"/>
        <v>0</v>
      </c>
      <c r="T523" s="580">
        <f t="shared" si="63"/>
        <v>0</v>
      </c>
      <c r="U523" s="51"/>
      <c r="V523" s="2119"/>
      <c r="W523" s="2116"/>
      <c r="X523" s="43"/>
      <c r="Y523" s="43"/>
      <c r="Z523" s="43"/>
    </row>
    <row r="524" spans="1:26" ht="15.75" customHeight="1">
      <c r="A524" s="88">
        <v>6440</v>
      </c>
      <c r="B524" s="1033" t="s">
        <v>602</v>
      </c>
      <c r="C524" s="1033"/>
      <c r="D524" s="1033"/>
      <c r="E524" s="1033"/>
      <c r="F524" s="1033"/>
      <c r="G524" s="1033"/>
      <c r="H524" s="1033"/>
      <c r="I524" s="1033"/>
      <c r="J524" s="1033"/>
      <c r="K524" s="1033"/>
      <c r="L524" s="90"/>
      <c r="M524" s="51"/>
      <c r="N524" s="113">
        <f t="shared" si="62"/>
        <v>6440</v>
      </c>
      <c r="O524" s="575">
        <v>0</v>
      </c>
      <c r="P524" s="582">
        <v>0</v>
      </c>
      <c r="Q524" s="589"/>
      <c r="R524" s="576"/>
      <c r="S524" s="583">
        <f t="shared" si="64"/>
        <v>0</v>
      </c>
      <c r="T524" s="580">
        <f t="shared" si="63"/>
        <v>0</v>
      </c>
      <c r="U524" s="51"/>
      <c r="V524" s="2119"/>
      <c r="W524" s="2116"/>
      <c r="X524" s="43"/>
      <c r="Y524" s="43"/>
      <c r="Z524" s="43"/>
    </row>
    <row r="525" spans="1:26">
      <c r="A525" s="606">
        <v>6441</v>
      </c>
      <c r="B525" s="378" t="s">
        <v>603</v>
      </c>
      <c r="C525" s="1033"/>
      <c r="D525" s="1033"/>
      <c r="E525" s="1033"/>
      <c r="F525" s="1033"/>
      <c r="G525" s="1033"/>
      <c r="H525" s="1033"/>
      <c r="I525" s="1033"/>
      <c r="J525" s="1033"/>
      <c r="K525" s="1033"/>
      <c r="L525" s="90"/>
      <c r="M525" s="51"/>
      <c r="N525" s="113">
        <f t="shared" si="62"/>
        <v>6441</v>
      </c>
      <c r="O525" s="575">
        <v>0</v>
      </c>
      <c r="P525" s="582">
        <v>0</v>
      </c>
      <c r="Q525" s="589">
        <v>0</v>
      </c>
      <c r="R525" s="576">
        <v>0</v>
      </c>
      <c r="S525" s="583">
        <f t="shared" si="64"/>
        <v>0</v>
      </c>
      <c r="T525" s="580">
        <f t="shared" si="63"/>
        <v>0</v>
      </c>
      <c r="U525" s="51"/>
      <c r="V525" s="2119"/>
      <c r="W525" s="2116"/>
      <c r="X525" s="43"/>
      <c r="Y525" s="43"/>
      <c r="Z525" s="43"/>
    </row>
    <row r="526" spans="1:26">
      <c r="A526" s="606">
        <v>6442</v>
      </c>
      <c r="B526" s="378" t="s">
        <v>604</v>
      </c>
      <c r="C526" s="1033"/>
      <c r="D526" s="1033"/>
      <c r="E526" s="1033"/>
      <c r="F526" s="1033"/>
      <c r="G526" s="1033"/>
      <c r="H526" s="1033"/>
      <c r="I526" s="1033"/>
      <c r="J526" s="1033"/>
      <c r="K526" s="1033"/>
      <c r="L526" s="90"/>
      <c r="M526" s="51"/>
      <c r="N526" s="113">
        <f t="shared" si="62"/>
        <v>6442</v>
      </c>
      <c r="O526" s="575">
        <v>0</v>
      </c>
      <c r="P526" s="582">
        <v>0</v>
      </c>
      <c r="Q526" s="589"/>
      <c r="R526" s="576"/>
      <c r="S526" s="583">
        <f t="shared" si="64"/>
        <v>0</v>
      </c>
      <c r="T526" s="580">
        <f t="shared" si="63"/>
        <v>0</v>
      </c>
      <c r="U526" s="51"/>
      <c r="V526" s="2119"/>
      <c r="W526" s="2116"/>
      <c r="X526" s="43"/>
      <c r="Y526" s="43"/>
      <c r="Z526" s="43"/>
    </row>
    <row r="527" spans="1:26">
      <c r="A527" s="606">
        <v>6443</v>
      </c>
      <c r="B527" s="378" t="s">
        <v>605</v>
      </c>
      <c r="C527" s="1033"/>
      <c r="D527" s="1033"/>
      <c r="E527" s="1033"/>
      <c r="F527" s="1033"/>
      <c r="G527" s="1033"/>
      <c r="H527" s="1033"/>
      <c r="I527" s="1033"/>
      <c r="J527" s="1033"/>
      <c r="K527" s="1033"/>
      <c r="L527" s="90"/>
      <c r="M527" s="51"/>
      <c r="N527" s="113">
        <f t="shared" si="62"/>
        <v>6443</v>
      </c>
      <c r="O527" s="575">
        <v>0</v>
      </c>
      <c r="P527" s="582">
        <v>0</v>
      </c>
      <c r="Q527" s="589"/>
      <c r="R527" s="576"/>
      <c r="S527" s="583">
        <f t="shared" si="64"/>
        <v>0</v>
      </c>
      <c r="T527" s="580">
        <f t="shared" si="63"/>
        <v>0</v>
      </c>
      <c r="U527" s="51"/>
      <c r="V527" s="2119"/>
      <c r="W527" s="2116"/>
      <c r="X527" s="43"/>
      <c r="Y527" s="43"/>
      <c r="Z527" s="43"/>
    </row>
    <row r="528" spans="1:26">
      <c r="A528" s="606">
        <v>6444</v>
      </c>
      <c r="B528" s="378" t="s">
        <v>606</v>
      </c>
      <c r="C528" s="1033"/>
      <c r="D528" s="1033"/>
      <c r="E528" s="1033"/>
      <c r="F528" s="1033"/>
      <c r="G528" s="1033"/>
      <c r="H528" s="1033"/>
      <c r="I528" s="1033"/>
      <c r="J528" s="1033"/>
      <c r="K528" s="1033"/>
      <c r="L528" s="90"/>
      <c r="M528" s="51"/>
      <c r="N528" s="113">
        <f t="shared" si="62"/>
        <v>6444</v>
      </c>
      <c r="O528" s="575">
        <v>0</v>
      </c>
      <c r="P528" s="582">
        <v>0</v>
      </c>
      <c r="Q528" s="589"/>
      <c r="R528" s="576"/>
      <c r="S528" s="583">
        <f t="shared" si="64"/>
        <v>0</v>
      </c>
      <c r="T528" s="580">
        <f t="shared" si="63"/>
        <v>0</v>
      </c>
      <c r="U528" s="51"/>
      <c r="V528" s="2119"/>
      <c r="W528" s="2116"/>
      <c r="X528" s="43"/>
      <c r="Y528" s="43"/>
      <c r="Z528" s="43"/>
    </row>
    <row r="529" spans="1:26">
      <c r="A529" s="606">
        <v>6445</v>
      </c>
      <c r="B529" s="378" t="s">
        <v>607</v>
      </c>
      <c r="C529" s="1033"/>
      <c r="D529" s="1033"/>
      <c r="E529" s="1033"/>
      <c r="F529" s="1033"/>
      <c r="G529" s="1033"/>
      <c r="H529" s="1033"/>
      <c r="I529" s="1033"/>
      <c r="J529" s="1033"/>
      <c r="K529" s="1033"/>
      <c r="L529" s="90"/>
      <c r="M529" s="51"/>
      <c r="N529" s="113">
        <f t="shared" si="62"/>
        <v>6445</v>
      </c>
      <c r="O529" s="575">
        <v>0</v>
      </c>
      <c r="P529" s="582">
        <v>0</v>
      </c>
      <c r="Q529" s="589"/>
      <c r="R529" s="576"/>
      <c r="S529" s="583">
        <f t="shared" si="64"/>
        <v>0</v>
      </c>
      <c r="T529" s="580">
        <f t="shared" si="63"/>
        <v>0</v>
      </c>
      <c r="U529" s="51"/>
      <c r="V529" s="2119"/>
      <c r="W529" s="2116"/>
      <c r="X529" s="43"/>
      <c r="Y529" s="43"/>
      <c r="Z529" s="43"/>
    </row>
    <row r="530" spans="1:26">
      <c r="A530" s="606">
        <v>6446</v>
      </c>
      <c r="B530" s="378" t="s">
        <v>608</v>
      </c>
      <c r="C530" s="1033"/>
      <c r="D530" s="1033"/>
      <c r="E530" s="1033"/>
      <c r="F530" s="1033"/>
      <c r="G530" s="1033"/>
      <c r="H530" s="1033"/>
      <c r="I530" s="1033"/>
      <c r="J530" s="1033"/>
      <c r="K530" s="1033"/>
      <c r="L530" s="90"/>
      <c r="M530" s="51"/>
      <c r="N530" s="113">
        <f t="shared" si="62"/>
        <v>6446</v>
      </c>
      <c r="O530" s="575">
        <v>0</v>
      </c>
      <c r="P530" s="582">
        <v>0</v>
      </c>
      <c r="Q530" s="589"/>
      <c r="R530" s="576"/>
      <c r="S530" s="583">
        <f t="shared" si="64"/>
        <v>0</v>
      </c>
      <c r="T530" s="580">
        <f t="shared" si="63"/>
        <v>0</v>
      </c>
      <c r="U530" s="51"/>
      <c r="V530" s="2119"/>
      <c r="W530" s="2116"/>
      <c r="X530" s="43"/>
      <c r="Y530" s="43"/>
      <c r="Z530" s="43"/>
    </row>
    <row r="531" spans="1:26">
      <c r="A531" s="606">
        <v>6447</v>
      </c>
      <c r="B531" s="378" t="s">
        <v>609</v>
      </c>
      <c r="C531" s="1033"/>
      <c r="D531" s="1033"/>
      <c r="E531" s="1033"/>
      <c r="F531" s="1033"/>
      <c r="G531" s="1033"/>
      <c r="H531" s="1033"/>
      <c r="I531" s="1033"/>
      <c r="J531" s="1033"/>
      <c r="K531" s="1033"/>
      <c r="L531" s="90"/>
      <c r="M531" s="51"/>
      <c r="N531" s="113">
        <f t="shared" si="62"/>
        <v>6447</v>
      </c>
      <c r="O531" s="575">
        <v>0</v>
      </c>
      <c r="P531" s="582">
        <v>0</v>
      </c>
      <c r="Q531" s="589"/>
      <c r="R531" s="576"/>
      <c r="S531" s="583">
        <f t="shared" si="64"/>
        <v>0</v>
      </c>
      <c r="T531" s="580">
        <f t="shared" si="63"/>
        <v>0</v>
      </c>
      <c r="U531" s="51"/>
      <c r="V531" s="2119"/>
      <c r="W531" s="2116"/>
      <c r="X531" s="43"/>
      <c r="Y531" s="43"/>
      <c r="Z531" s="43"/>
    </row>
    <row r="532" spans="1:26">
      <c r="A532" s="606">
        <v>6448</v>
      </c>
      <c r="B532" s="378" t="s">
        <v>610</v>
      </c>
      <c r="C532" s="1033"/>
      <c r="D532" s="1033"/>
      <c r="E532" s="1033"/>
      <c r="F532" s="1033"/>
      <c r="G532" s="1033"/>
      <c r="H532" s="1033"/>
      <c r="I532" s="1033"/>
      <c r="J532" s="1033"/>
      <c r="K532" s="1033"/>
      <c r="L532" s="90"/>
      <c r="M532" s="51"/>
      <c r="N532" s="113">
        <f t="shared" si="62"/>
        <v>6448</v>
      </c>
      <c r="O532" s="575">
        <v>0</v>
      </c>
      <c r="P532" s="582">
        <v>0</v>
      </c>
      <c r="Q532" s="589"/>
      <c r="R532" s="576"/>
      <c r="S532" s="583">
        <f t="shared" si="64"/>
        <v>0</v>
      </c>
      <c r="T532" s="580">
        <f t="shared" si="63"/>
        <v>0</v>
      </c>
      <c r="U532" s="51"/>
      <c r="V532" s="2119"/>
      <c r="W532" s="2116"/>
      <c r="X532" s="43"/>
      <c r="Y532" s="43"/>
      <c r="Z532" s="43"/>
    </row>
    <row r="533" spans="1:26" ht="15.75" customHeight="1">
      <c r="A533" s="606">
        <v>6449</v>
      </c>
      <c r="B533" s="378" t="s">
        <v>525</v>
      </c>
      <c r="C533" s="1033"/>
      <c r="D533" s="1033"/>
      <c r="E533" s="1033"/>
      <c r="F533" s="1033"/>
      <c r="G533" s="1033"/>
      <c r="H533" s="1033"/>
      <c r="I533" s="1033"/>
      <c r="J533" s="1033"/>
      <c r="K533" s="1033"/>
      <c r="L533" s="90"/>
      <c r="M533" s="51"/>
      <c r="N533" s="113">
        <f t="shared" si="62"/>
        <v>6449</v>
      </c>
      <c r="O533" s="575">
        <v>0</v>
      </c>
      <c r="P533" s="582">
        <v>0</v>
      </c>
      <c r="Q533" s="589"/>
      <c r="R533" s="576"/>
      <c r="S533" s="583">
        <f t="shared" si="64"/>
        <v>0</v>
      </c>
      <c r="T533" s="580">
        <f t="shared" si="63"/>
        <v>0</v>
      </c>
      <c r="U533" s="51"/>
      <c r="V533" s="2119"/>
      <c r="W533" s="2116"/>
      <c r="X533" s="43"/>
      <c r="Y533" s="43"/>
      <c r="Z533" s="43"/>
    </row>
    <row r="534" spans="1:26">
      <c r="A534" s="88">
        <v>6451</v>
      </c>
      <c r="B534" s="378" t="s">
        <v>526</v>
      </c>
      <c r="C534" s="1033"/>
      <c r="D534" s="1033"/>
      <c r="E534" s="1033"/>
      <c r="F534" s="1033"/>
      <c r="G534" s="1033"/>
      <c r="H534" s="1033"/>
      <c r="I534" s="1033"/>
      <c r="J534" s="1033"/>
      <c r="K534" s="1033"/>
      <c r="L534" s="90"/>
      <c r="M534" s="51"/>
      <c r="N534" s="113">
        <f t="shared" si="62"/>
        <v>6451</v>
      </c>
      <c r="O534" s="575">
        <v>0</v>
      </c>
      <c r="P534" s="582">
        <v>0</v>
      </c>
      <c r="Q534" s="589">
        <v>0</v>
      </c>
      <c r="R534" s="576">
        <v>0</v>
      </c>
      <c r="S534" s="583">
        <f t="shared" si="64"/>
        <v>0</v>
      </c>
      <c r="T534" s="580">
        <f t="shared" si="63"/>
        <v>0</v>
      </c>
      <c r="U534" s="51"/>
      <c r="V534" s="2119"/>
      <c r="W534" s="2116"/>
      <c r="X534" s="43"/>
      <c r="Y534" s="43"/>
      <c r="Z534" s="43"/>
    </row>
    <row r="535" spans="1:26">
      <c r="A535" s="88">
        <v>6453</v>
      </c>
      <c r="B535" s="1032" t="s">
        <v>527</v>
      </c>
      <c r="C535" s="1033"/>
      <c r="D535" s="1033"/>
      <c r="E535" s="1033"/>
      <c r="F535" s="1033"/>
      <c r="G535" s="1033"/>
      <c r="H535" s="1033"/>
      <c r="I535" s="1033"/>
      <c r="J535" s="1033"/>
      <c r="K535" s="1033"/>
      <c r="L535" s="90"/>
      <c r="M535" s="51"/>
      <c r="N535" s="113">
        <f t="shared" si="62"/>
        <v>6453</v>
      </c>
      <c r="O535" s="575">
        <v>0</v>
      </c>
      <c r="P535" s="582">
        <v>0</v>
      </c>
      <c r="Q535" s="589"/>
      <c r="R535" s="576"/>
      <c r="S535" s="583">
        <f t="shared" si="64"/>
        <v>0</v>
      </c>
      <c r="T535" s="580">
        <f t="shared" si="63"/>
        <v>0</v>
      </c>
      <c r="U535" s="51"/>
      <c r="V535" s="2119"/>
      <c r="W535" s="2116"/>
      <c r="X535" s="43"/>
      <c r="Y535" s="43"/>
      <c r="Z535" s="43"/>
    </row>
    <row r="536" spans="1:26">
      <c r="A536" s="88">
        <v>6454</v>
      </c>
      <c r="B536" s="1032" t="s">
        <v>528</v>
      </c>
      <c r="C536" s="1033"/>
      <c r="D536" s="1033"/>
      <c r="E536" s="1033"/>
      <c r="F536" s="1033"/>
      <c r="G536" s="1033"/>
      <c r="H536" s="1033"/>
      <c r="I536" s="1033"/>
      <c r="J536" s="1033"/>
      <c r="K536" s="1033"/>
      <c r="L536" s="90"/>
      <c r="M536" s="51"/>
      <c r="N536" s="113">
        <f t="shared" si="62"/>
        <v>6454</v>
      </c>
      <c r="O536" s="575">
        <v>0</v>
      </c>
      <c r="P536" s="582">
        <v>0</v>
      </c>
      <c r="Q536" s="589"/>
      <c r="R536" s="576"/>
      <c r="S536" s="583">
        <f t="shared" si="64"/>
        <v>0</v>
      </c>
      <c r="T536" s="580">
        <f t="shared" si="63"/>
        <v>0</v>
      </c>
      <c r="U536" s="51"/>
      <c r="V536" s="2119"/>
      <c r="W536" s="2116"/>
      <c r="X536" s="43"/>
      <c r="Y536" s="43"/>
      <c r="Z536" s="43"/>
    </row>
    <row r="537" spans="1:26">
      <c r="A537" s="88">
        <v>6455</v>
      </c>
      <c r="B537" s="1032" t="s">
        <v>529</v>
      </c>
      <c r="C537" s="1033"/>
      <c r="D537" s="1033"/>
      <c r="E537" s="1033"/>
      <c r="F537" s="1033"/>
      <c r="G537" s="1033"/>
      <c r="H537" s="1033"/>
      <c r="I537" s="1033"/>
      <c r="J537" s="1033"/>
      <c r="K537" s="1033"/>
      <c r="L537" s="90"/>
      <c r="M537" s="51"/>
      <c r="N537" s="113">
        <f t="shared" si="62"/>
        <v>6455</v>
      </c>
      <c r="O537" s="575">
        <v>0</v>
      </c>
      <c r="P537" s="582">
        <v>0</v>
      </c>
      <c r="Q537" s="589">
        <v>0</v>
      </c>
      <c r="R537" s="576">
        <v>0</v>
      </c>
      <c r="S537" s="583">
        <f t="shared" si="64"/>
        <v>0</v>
      </c>
      <c r="T537" s="580">
        <f t="shared" si="63"/>
        <v>0</v>
      </c>
      <c r="U537" s="51"/>
      <c r="V537" s="2119"/>
      <c r="W537" s="2116"/>
      <c r="X537" s="43"/>
      <c r="Y537" s="43"/>
      <c r="Z537" s="43"/>
    </row>
    <row r="538" spans="1:26">
      <c r="A538" s="88">
        <v>6457</v>
      </c>
      <c r="B538" s="1032" t="s">
        <v>530</v>
      </c>
      <c r="C538" s="1033"/>
      <c r="D538" s="1033"/>
      <c r="E538" s="1033"/>
      <c r="F538" s="1033"/>
      <c r="G538" s="1033"/>
      <c r="H538" s="1033"/>
      <c r="I538" s="1033"/>
      <c r="J538" s="1033"/>
      <c r="K538" s="1033"/>
      <c r="L538" s="90"/>
      <c r="M538" s="51"/>
      <c r="N538" s="113">
        <f t="shared" si="62"/>
        <v>6457</v>
      </c>
      <c r="O538" s="575">
        <v>0</v>
      </c>
      <c r="P538" s="582">
        <v>0</v>
      </c>
      <c r="Q538" s="589">
        <v>0</v>
      </c>
      <c r="R538" s="576">
        <v>0</v>
      </c>
      <c r="S538" s="583">
        <f t="shared" si="64"/>
        <v>0</v>
      </c>
      <c r="T538" s="580">
        <f t="shared" si="63"/>
        <v>0</v>
      </c>
      <c r="U538" s="51"/>
      <c r="V538" s="2119"/>
      <c r="W538" s="2116"/>
      <c r="X538" s="43"/>
      <c r="Y538" s="43"/>
      <c r="Z538" s="43"/>
    </row>
    <row r="539" spans="1:26">
      <c r="A539" s="88">
        <v>6458</v>
      </c>
      <c r="B539" s="1032" t="s">
        <v>531</v>
      </c>
      <c r="C539" s="1033"/>
      <c r="D539" s="1033"/>
      <c r="E539" s="1033"/>
      <c r="F539" s="1033"/>
      <c r="G539" s="1033"/>
      <c r="H539" s="1033"/>
      <c r="I539" s="1033"/>
      <c r="J539" s="1033"/>
      <c r="K539" s="1033"/>
      <c r="L539" s="90"/>
      <c r="M539" s="51"/>
      <c r="N539" s="113">
        <f t="shared" si="62"/>
        <v>6458</v>
      </c>
      <c r="O539" s="575">
        <v>0</v>
      </c>
      <c r="P539" s="582">
        <v>0</v>
      </c>
      <c r="Q539" s="589"/>
      <c r="R539" s="576"/>
      <c r="S539" s="583">
        <f t="shared" si="64"/>
        <v>0</v>
      </c>
      <c r="T539" s="580">
        <f t="shared" si="63"/>
        <v>0</v>
      </c>
      <c r="U539" s="51"/>
      <c r="V539" s="2119"/>
      <c r="W539" s="2116"/>
      <c r="X539" s="43"/>
      <c r="Y539" s="43"/>
      <c r="Z539" s="43"/>
    </row>
    <row r="540" spans="1:26" ht="15.75" customHeight="1">
      <c r="A540" s="88">
        <v>6460</v>
      </c>
      <c r="B540" s="1032" t="s">
        <v>532</v>
      </c>
      <c r="C540" s="1033"/>
      <c r="D540" s="1033"/>
      <c r="E540" s="1033"/>
      <c r="F540" s="1033"/>
      <c r="G540" s="1033"/>
      <c r="H540" s="1033"/>
      <c r="I540" s="1033"/>
      <c r="J540" s="1033"/>
      <c r="K540" s="1033"/>
      <c r="L540" s="90"/>
      <c r="M540" s="51"/>
      <c r="N540" s="113">
        <f t="shared" si="62"/>
        <v>6460</v>
      </c>
      <c r="O540" s="575">
        <v>0</v>
      </c>
      <c r="P540" s="582">
        <v>0</v>
      </c>
      <c r="Q540" s="589"/>
      <c r="R540" s="576"/>
      <c r="S540" s="583">
        <f t="shared" si="64"/>
        <v>0</v>
      </c>
      <c r="T540" s="580">
        <f t="shared" si="63"/>
        <v>0</v>
      </c>
      <c r="U540" s="51"/>
      <c r="V540" s="2119"/>
      <c r="W540" s="2116"/>
      <c r="X540" s="43"/>
      <c r="Y540" s="43"/>
      <c r="Z540" s="43"/>
    </row>
    <row r="541" spans="1:26" ht="15.75" customHeight="1">
      <c r="A541" s="88">
        <v>6461</v>
      </c>
      <c r="B541" s="1032" t="s">
        <v>533</v>
      </c>
      <c r="C541" s="1033"/>
      <c r="D541" s="1033"/>
      <c r="E541" s="1033"/>
      <c r="F541" s="1033"/>
      <c r="G541" s="1033"/>
      <c r="H541" s="1033"/>
      <c r="I541" s="1033"/>
      <c r="J541" s="1033"/>
      <c r="K541" s="1033"/>
      <c r="L541" s="90"/>
      <c r="M541" s="51"/>
      <c r="N541" s="113">
        <f t="shared" si="62"/>
        <v>6461</v>
      </c>
      <c r="O541" s="575">
        <v>0</v>
      </c>
      <c r="P541" s="582">
        <v>0</v>
      </c>
      <c r="Q541" s="589"/>
      <c r="R541" s="576"/>
      <c r="S541" s="583">
        <f t="shared" si="64"/>
        <v>0</v>
      </c>
      <c r="T541" s="580">
        <f t="shared" si="63"/>
        <v>0</v>
      </c>
      <c r="U541" s="51"/>
      <c r="V541" s="2119"/>
      <c r="W541" s="2116"/>
      <c r="X541" s="43"/>
      <c r="Y541" s="43"/>
      <c r="Z541" s="43"/>
    </row>
    <row r="542" spans="1:26" ht="15.75" customHeight="1">
      <c r="A542" s="88">
        <v>6462</v>
      </c>
      <c r="B542" s="1032" t="s">
        <v>535</v>
      </c>
      <c r="C542" s="1033"/>
      <c r="D542" s="1033"/>
      <c r="E542" s="1033"/>
      <c r="F542" s="1033"/>
      <c r="G542" s="1033"/>
      <c r="H542" s="1033"/>
      <c r="I542" s="1033"/>
      <c r="J542" s="1033"/>
      <c r="K542" s="1033"/>
      <c r="L542" s="90"/>
      <c r="M542" s="51"/>
      <c r="N542" s="113">
        <f t="shared" si="62"/>
        <v>6462</v>
      </c>
      <c r="O542" s="575">
        <v>0</v>
      </c>
      <c r="P542" s="582">
        <v>0</v>
      </c>
      <c r="Q542" s="589"/>
      <c r="R542" s="576"/>
      <c r="S542" s="583">
        <f t="shared" si="64"/>
        <v>0</v>
      </c>
      <c r="T542" s="580">
        <f t="shared" si="63"/>
        <v>0</v>
      </c>
      <c r="U542" s="51"/>
      <c r="V542" s="2119"/>
      <c r="W542" s="2116"/>
      <c r="X542" s="43"/>
      <c r="Y542" s="43"/>
      <c r="Z542" s="43"/>
    </row>
    <row r="543" spans="1:26" ht="15.75" customHeight="1">
      <c r="A543" s="88">
        <v>6463</v>
      </c>
      <c r="B543" s="1032" t="s">
        <v>536</v>
      </c>
      <c r="C543" s="1033"/>
      <c r="D543" s="1033"/>
      <c r="E543" s="1033"/>
      <c r="F543" s="1033"/>
      <c r="G543" s="1033"/>
      <c r="H543" s="1033"/>
      <c r="I543" s="1033"/>
      <c r="J543" s="1033"/>
      <c r="K543" s="1033"/>
      <c r="L543" s="90"/>
      <c r="M543" s="51"/>
      <c r="N543" s="113">
        <f t="shared" si="62"/>
        <v>6463</v>
      </c>
      <c r="O543" s="575">
        <v>0</v>
      </c>
      <c r="P543" s="582">
        <v>0</v>
      </c>
      <c r="Q543" s="589"/>
      <c r="R543" s="576"/>
      <c r="S543" s="583">
        <f t="shared" si="64"/>
        <v>0</v>
      </c>
      <c r="T543" s="580">
        <f t="shared" si="63"/>
        <v>0</v>
      </c>
      <c r="U543" s="51"/>
      <c r="V543" s="2119"/>
      <c r="W543" s="2116"/>
      <c r="X543" s="43"/>
      <c r="Y543" s="43"/>
      <c r="Z543" s="43"/>
    </row>
    <row r="544" spans="1:26" ht="15.75" customHeight="1">
      <c r="A544" s="88">
        <v>6464</v>
      </c>
      <c r="B544" s="1032" t="s">
        <v>537</v>
      </c>
      <c r="C544" s="1033"/>
      <c r="D544" s="1033"/>
      <c r="E544" s="1033"/>
      <c r="F544" s="1033"/>
      <c r="G544" s="1033"/>
      <c r="H544" s="1033"/>
      <c r="I544" s="1033"/>
      <c r="J544" s="1033"/>
      <c r="K544" s="1033"/>
      <c r="L544" s="90"/>
      <c r="M544" s="51"/>
      <c r="N544" s="113">
        <f t="shared" si="62"/>
        <v>6464</v>
      </c>
      <c r="O544" s="575">
        <v>0</v>
      </c>
      <c r="P544" s="582">
        <v>0</v>
      </c>
      <c r="Q544" s="589"/>
      <c r="R544" s="576"/>
      <c r="S544" s="583">
        <f t="shared" si="64"/>
        <v>0</v>
      </c>
      <c r="T544" s="580">
        <f t="shared" ref="T544:T569" si="65">+IF(ABS(+O544+Q544)&lt;=ABS(P544+R544),-O544+P544-Q544+R544,0)</f>
        <v>0</v>
      </c>
      <c r="U544" s="51"/>
      <c r="V544" s="2119"/>
      <c r="W544" s="2116"/>
      <c r="X544" s="43"/>
      <c r="Y544" s="43"/>
      <c r="Z544" s="43"/>
    </row>
    <row r="545" spans="1:26" ht="15.75" customHeight="1">
      <c r="A545" s="88">
        <v>6465</v>
      </c>
      <c r="B545" s="1032" t="s">
        <v>538</v>
      </c>
      <c r="C545" s="1033"/>
      <c r="D545" s="1033"/>
      <c r="E545" s="1033"/>
      <c r="F545" s="1033"/>
      <c r="G545" s="1033"/>
      <c r="H545" s="1033"/>
      <c r="I545" s="1033"/>
      <c r="J545" s="1033"/>
      <c r="K545" s="1033"/>
      <c r="L545" s="90"/>
      <c r="M545" s="51"/>
      <c r="N545" s="113">
        <f t="shared" si="62"/>
        <v>6465</v>
      </c>
      <c r="O545" s="575">
        <v>0</v>
      </c>
      <c r="P545" s="582">
        <v>0</v>
      </c>
      <c r="Q545" s="589"/>
      <c r="R545" s="576"/>
      <c r="S545" s="583">
        <f t="shared" ref="S545:S565" si="66">+IF(ABS(+O545+Q545)&gt;=ABS(P545+R545),+O545-P545+Q545-R545,0)</f>
        <v>0</v>
      </c>
      <c r="T545" s="580">
        <f t="shared" si="65"/>
        <v>0</v>
      </c>
      <c r="U545" s="51"/>
      <c r="V545" s="2119"/>
      <c r="W545" s="2116"/>
      <c r="X545" s="43"/>
      <c r="Y545" s="43"/>
      <c r="Z545" s="43"/>
    </row>
    <row r="546" spans="1:26" ht="15.75" customHeight="1">
      <c r="A546" s="88">
        <v>6466</v>
      </c>
      <c r="B546" s="1032" t="s">
        <v>539</v>
      </c>
      <c r="C546" s="1033"/>
      <c r="D546" s="1033"/>
      <c r="E546" s="1033"/>
      <c r="F546" s="1033"/>
      <c r="G546" s="1033"/>
      <c r="H546" s="1033"/>
      <c r="I546" s="1033"/>
      <c r="J546" s="1033"/>
      <c r="K546" s="1033"/>
      <c r="L546" s="90"/>
      <c r="M546" s="51"/>
      <c r="N546" s="113">
        <f t="shared" si="62"/>
        <v>6466</v>
      </c>
      <c r="O546" s="575">
        <v>0</v>
      </c>
      <c r="P546" s="582">
        <v>0</v>
      </c>
      <c r="Q546" s="589"/>
      <c r="R546" s="576"/>
      <c r="S546" s="583">
        <f t="shared" si="66"/>
        <v>0</v>
      </c>
      <c r="T546" s="580">
        <f t="shared" si="65"/>
        <v>0</v>
      </c>
      <c r="U546" s="51"/>
      <c r="V546" s="2119"/>
      <c r="W546" s="2116"/>
      <c r="X546" s="43"/>
      <c r="Y546" s="43"/>
      <c r="Z546" s="43"/>
    </row>
    <row r="547" spans="1:26" ht="15.75" customHeight="1">
      <c r="A547" s="88">
        <v>6467</v>
      </c>
      <c r="B547" s="1032" t="s">
        <v>540</v>
      </c>
      <c r="C547" s="1033"/>
      <c r="D547" s="1033"/>
      <c r="E547" s="1033"/>
      <c r="F547" s="1033"/>
      <c r="G547" s="1033"/>
      <c r="H547" s="1033"/>
      <c r="I547" s="1033"/>
      <c r="J547" s="1033"/>
      <c r="K547" s="1033"/>
      <c r="L547" s="90"/>
      <c r="M547" s="51"/>
      <c r="N547" s="113">
        <f t="shared" si="62"/>
        <v>6467</v>
      </c>
      <c r="O547" s="575">
        <v>0</v>
      </c>
      <c r="P547" s="582">
        <v>0</v>
      </c>
      <c r="Q547" s="589"/>
      <c r="R547" s="576"/>
      <c r="S547" s="583">
        <f t="shared" si="66"/>
        <v>0</v>
      </c>
      <c r="T547" s="580">
        <f t="shared" si="65"/>
        <v>0</v>
      </c>
      <c r="U547" s="51"/>
      <c r="V547" s="2119"/>
      <c r="W547" s="2116"/>
      <c r="X547" s="43"/>
      <c r="Y547" s="43"/>
      <c r="Z547" s="43"/>
    </row>
    <row r="548" spans="1:26" ht="15.75" customHeight="1">
      <c r="A548" s="88">
        <v>6468</v>
      </c>
      <c r="B548" s="1032" t="s">
        <v>541</v>
      </c>
      <c r="C548" s="1033"/>
      <c r="D548" s="1033"/>
      <c r="E548" s="1033"/>
      <c r="F548" s="1033"/>
      <c r="G548" s="1033"/>
      <c r="H548" s="1033"/>
      <c r="I548" s="1033"/>
      <c r="J548" s="1033"/>
      <c r="K548" s="1033"/>
      <c r="L548" s="90"/>
      <c r="M548" s="51"/>
      <c r="N548" s="113">
        <f t="shared" si="62"/>
        <v>6468</v>
      </c>
      <c r="O548" s="575">
        <v>0</v>
      </c>
      <c r="P548" s="582">
        <v>0</v>
      </c>
      <c r="Q548" s="589"/>
      <c r="R548" s="576"/>
      <c r="S548" s="583">
        <f t="shared" si="66"/>
        <v>0</v>
      </c>
      <c r="T548" s="580">
        <f t="shared" si="65"/>
        <v>0</v>
      </c>
      <c r="U548" s="51"/>
      <c r="V548" s="2119"/>
      <c r="W548" s="2116"/>
      <c r="X548" s="43"/>
      <c r="Y548" s="43"/>
      <c r="Z548" s="43"/>
    </row>
    <row r="549" spans="1:26" ht="15.75" customHeight="1">
      <c r="A549" s="88">
        <v>6469</v>
      </c>
      <c r="B549" s="1032" t="s">
        <v>542</v>
      </c>
      <c r="C549" s="1033"/>
      <c r="D549" s="1033"/>
      <c r="E549" s="1033"/>
      <c r="F549" s="1033"/>
      <c r="G549" s="1033"/>
      <c r="H549" s="1033"/>
      <c r="I549" s="1033"/>
      <c r="J549" s="1033"/>
      <c r="K549" s="1033"/>
      <c r="L549" s="90"/>
      <c r="M549" s="51"/>
      <c r="N549" s="113">
        <f t="shared" si="62"/>
        <v>6469</v>
      </c>
      <c r="O549" s="575">
        <v>0</v>
      </c>
      <c r="P549" s="582">
        <v>0</v>
      </c>
      <c r="Q549" s="589"/>
      <c r="R549" s="576"/>
      <c r="S549" s="583">
        <f t="shared" si="66"/>
        <v>0</v>
      </c>
      <c r="T549" s="580">
        <f t="shared" si="65"/>
        <v>0</v>
      </c>
      <c r="U549" s="51"/>
      <c r="V549" s="2119"/>
      <c r="W549" s="2116"/>
      <c r="X549" s="43"/>
      <c r="Y549" s="43"/>
      <c r="Z549" s="43"/>
    </row>
    <row r="550" spans="1:26">
      <c r="A550" s="88">
        <v>6471</v>
      </c>
      <c r="B550" s="1033" t="s">
        <v>543</v>
      </c>
      <c r="C550" s="1033"/>
      <c r="D550" s="1033"/>
      <c r="E550" s="1033"/>
      <c r="F550" s="1033"/>
      <c r="G550" s="1033"/>
      <c r="H550" s="1033"/>
      <c r="I550" s="1033"/>
      <c r="J550" s="1033"/>
      <c r="K550" s="1033"/>
      <c r="L550" s="90"/>
      <c r="M550" s="51"/>
      <c r="N550" s="113">
        <f t="shared" si="62"/>
        <v>6471</v>
      </c>
      <c r="O550" s="575">
        <v>0</v>
      </c>
      <c r="P550" s="582">
        <v>0</v>
      </c>
      <c r="Q550" s="589"/>
      <c r="R550" s="576"/>
      <c r="S550" s="583">
        <f t="shared" si="66"/>
        <v>0</v>
      </c>
      <c r="T550" s="580">
        <f t="shared" si="65"/>
        <v>0</v>
      </c>
      <c r="U550" s="51"/>
      <c r="V550" s="2119"/>
      <c r="W550" s="2116"/>
      <c r="X550" s="43"/>
      <c r="Y550" s="43"/>
      <c r="Z550" s="43"/>
    </row>
    <row r="551" spans="1:26">
      <c r="A551" s="88">
        <f>2+A550</f>
        <v>6473</v>
      </c>
      <c r="B551" s="1033" t="s">
        <v>544</v>
      </c>
      <c r="C551" s="1033"/>
      <c r="D551" s="1033"/>
      <c r="E551" s="1033"/>
      <c r="F551" s="1033"/>
      <c r="G551" s="1033"/>
      <c r="H551" s="1033"/>
      <c r="I551" s="1033"/>
      <c r="J551" s="1033"/>
      <c r="K551" s="1033"/>
      <c r="L551" s="90"/>
      <c r="M551" s="51"/>
      <c r="N551" s="113">
        <f t="shared" si="62"/>
        <v>6473</v>
      </c>
      <c r="O551" s="575">
        <v>0</v>
      </c>
      <c r="P551" s="582">
        <v>0</v>
      </c>
      <c r="Q551" s="589"/>
      <c r="R551" s="576"/>
      <c r="S551" s="583">
        <f t="shared" si="66"/>
        <v>0</v>
      </c>
      <c r="T551" s="580">
        <f t="shared" si="65"/>
        <v>0</v>
      </c>
      <c r="U551" s="51"/>
      <c r="V551" s="2119"/>
      <c r="W551" s="2116"/>
      <c r="X551" s="43"/>
      <c r="Y551" s="43"/>
      <c r="Z551" s="43"/>
    </row>
    <row r="552" spans="1:26">
      <c r="A552" s="88">
        <f>2+A551</f>
        <v>6475</v>
      </c>
      <c r="B552" s="1033" t="s">
        <v>545</v>
      </c>
      <c r="C552" s="1033"/>
      <c r="D552" s="1033"/>
      <c r="E552" s="1033"/>
      <c r="F552" s="1033"/>
      <c r="G552" s="1033"/>
      <c r="H552" s="1033"/>
      <c r="I552" s="1033"/>
      <c r="J552" s="1033"/>
      <c r="K552" s="1033"/>
      <c r="L552" s="90"/>
      <c r="M552" s="51"/>
      <c r="N552" s="113">
        <f t="shared" si="62"/>
        <v>6475</v>
      </c>
      <c r="O552" s="575">
        <v>0</v>
      </c>
      <c r="P552" s="582">
        <v>0</v>
      </c>
      <c r="Q552" s="589"/>
      <c r="R552" s="576"/>
      <c r="S552" s="583">
        <f t="shared" si="66"/>
        <v>0</v>
      </c>
      <c r="T552" s="580">
        <f t="shared" si="65"/>
        <v>0</v>
      </c>
      <c r="U552" s="51"/>
      <c r="V552" s="2119"/>
      <c r="W552" s="2116"/>
      <c r="X552" s="43"/>
      <c r="Y552" s="43"/>
      <c r="Z552" s="43"/>
    </row>
    <row r="553" spans="1:26">
      <c r="A553" s="88">
        <f>2+A552</f>
        <v>6477</v>
      </c>
      <c r="B553" s="1033" t="s">
        <v>546</v>
      </c>
      <c r="C553" s="1033"/>
      <c r="D553" s="1033"/>
      <c r="E553" s="1033"/>
      <c r="F553" s="1033"/>
      <c r="G553" s="1033"/>
      <c r="H553" s="1033"/>
      <c r="I553" s="1033"/>
      <c r="J553" s="1033"/>
      <c r="K553" s="1033"/>
      <c r="L553" s="90"/>
      <c r="M553" s="51"/>
      <c r="N553" s="113">
        <f t="shared" si="62"/>
        <v>6477</v>
      </c>
      <c r="O553" s="575">
        <v>0</v>
      </c>
      <c r="P553" s="582">
        <v>0</v>
      </c>
      <c r="Q553" s="589"/>
      <c r="R553" s="576"/>
      <c r="S553" s="583">
        <f t="shared" si="66"/>
        <v>0</v>
      </c>
      <c r="T553" s="580">
        <f t="shared" si="65"/>
        <v>0</v>
      </c>
      <c r="U553" s="51"/>
      <c r="V553" s="2119"/>
      <c r="W553" s="2116"/>
      <c r="X553" s="43"/>
      <c r="Y553" s="43"/>
      <c r="Z553" s="43"/>
    </row>
    <row r="554" spans="1:26" ht="15.75" customHeight="1">
      <c r="A554" s="88">
        <v>6479</v>
      </c>
      <c r="B554" s="1033" t="s">
        <v>547</v>
      </c>
      <c r="C554" s="1033"/>
      <c r="D554" s="1033"/>
      <c r="E554" s="1033"/>
      <c r="F554" s="1033"/>
      <c r="G554" s="1033"/>
      <c r="H554" s="1033"/>
      <c r="I554" s="1033"/>
      <c r="J554" s="1033"/>
      <c r="K554" s="1033"/>
      <c r="L554" s="90"/>
      <c r="M554" s="51"/>
      <c r="N554" s="113">
        <f t="shared" si="62"/>
        <v>6479</v>
      </c>
      <c r="O554" s="575">
        <v>0</v>
      </c>
      <c r="P554" s="582">
        <v>0</v>
      </c>
      <c r="Q554" s="589"/>
      <c r="R554" s="576"/>
      <c r="S554" s="583">
        <f t="shared" si="66"/>
        <v>0</v>
      </c>
      <c r="T554" s="580">
        <f t="shared" si="65"/>
        <v>0</v>
      </c>
      <c r="U554" s="51"/>
      <c r="V554" s="2119"/>
      <c r="W554" s="2116"/>
      <c r="X554" s="43"/>
      <c r="Y554" s="43"/>
      <c r="Z554" s="43"/>
    </row>
    <row r="555" spans="1:26" ht="15.75" customHeight="1">
      <c r="A555" s="88">
        <v>6480</v>
      </c>
      <c r="B555" s="1033" t="s">
        <v>567</v>
      </c>
      <c r="C555" s="1033"/>
      <c r="D555" s="1033"/>
      <c r="E555" s="1033"/>
      <c r="F555" s="1033"/>
      <c r="G555" s="1033"/>
      <c r="H555" s="1033"/>
      <c r="I555" s="1033"/>
      <c r="J555" s="1033"/>
      <c r="K555" s="1033"/>
      <c r="L555" s="90"/>
      <c r="M555" s="51"/>
      <c r="N555" s="113">
        <f t="shared" si="62"/>
        <v>6480</v>
      </c>
      <c r="O555" s="575">
        <v>0</v>
      </c>
      <c r="P555" s="582">
        <v>0</v>
      </c>
      <c r="Q555" s="589"/>
      <c r="R555" s="576"/>
      <c r="S555" s="583">
        <f t="shared" si="66"/>
        <v>0</v>
      </c>
      <c r="T555" s="580">
        <f t="shared" si="65"/>
        <v>0</v>
      </c>
      <c r="U555" s="51"/>
      <c r="V555" s="2119"/>
      <c r="W555" s="2116"/>
      <c r="X555" s="43"/>
      <c r="Y555" s="43"/>
      <c r="Z555" s="43"/>
    </row>
    <row r="556" spans="1:26">
      <c r="A556" s="88">
        <v>6481</v>
      </c>
      <c r="B556" s="1033" t="s">
        <v>568</v>
      </c>
      <c r="C556" s="1033"/>
      <c r="D556" s="1033"/>
      <c r="E556" s="1033"/>
      <c r="F556" s="1033"/>
      <c r="G556" s="1033"/>
      <c r="H556" s="1033"/>
      <c r="I556" s="1033"/>
      <c r="J556" s="1033"/>
      <c r="K556" s="1033"/>
      <c r="L556" s="90"/>
      <c r="M556" s="51"/>
      <c r="N556" s="113">
        <f t="shared" si="62"/>
        <v>6481</v>
      </c>
      <c r="O556" s="575">
        <v>0</v>
      </c>
      <c r="P556" s="582">
        <v>0</v>
      </c>
      <c r="Q556" s="589"/>
      <c r="R556" s="576"/>
      <c r="S556" s="583">
        <f t="shared" si="66"/>
        <v>0</v>
      </c>
      <c r="T556" s="580">
        <f t="shared" si="65"/>
        <v>0</v>
      </c>
      <c r="U556" s="51"/>
      <c r="V556" s="2119"/>
      <c r="W556" s="2116"/>
      <c r="X556" s="43"/>
      <c r="Y556" s="43"/>
      <c r="Z556" s="43"/>
    </row>
    <row r="557" spans="1:26">
      <c r="A557" s="88">
        <f>2+A556</f>
        <v>6483</v>
      </c>
      <c r="B557" s="1033" t="s">
        <v>569</v>
      </c>
      <c r="C557" s="1033"/>
      <c r="D557" s="1033"/>
      <c r="E557" s="1033"/>
      <c r="F557" s="1033"/>
      <c r="G557" s="1033"/>
      <c r="H557" s="1033"/>
      <c r="I557" s="1033"/>
      <c r="J557" s="1033"/>
      <c r="K557" s="1033"/>
      <c r="L557" s="90"/>
      <c r="M557" s="51"/>
      <c r="N557" s="113">
        <f t="shared" si="62"/>
        <v>6483</v>
      </c>
      <c r="O557" s="575">
        <v>0</v>
      </c>
      <c r="P557" s="582">
        <v>0</v>
      </c>
      <c r="Q557" s="589"/>
      <c r="R557" s="576"/>
      <c r="S557" s="583">
        <f t="shared" si="66"/>
        <v>0</v>
      </c>
      <c r="T557" s="580">
        <f t="shared" si="65"/>
        <v>0</v>
      </c>
      <c r="U557" s="51"/>
      <c r="V557" s="2119"/>
      <c r="W557" s="2116"/>
      <c r="X557" s="43"/>
      <c r="Y557" s="43"/>
      <c r="Z557" s="43"/>
    </row>
    <row r="558" spans="1:26">
      <c r="A558" s="88">
        <f>2+A557</f>
        <v>6485</v>
      </c>
      <c r="B558" s="1033" t="s">
        <v>570</v>
      </c>
      <c r="C558" s="1033"/>
      <c r="D558" s="1033"/>
      <c r="E558" s="1033"/>
      <c r="F558" s="1033"/>
      <c r="G558" s="1033"/>
      <c r="H558" s="1033"/>
      <c r="I558" s="1033"/>
      <c r="J558" s="1033"/>
      <c r="K558" s="1033"/>
      <c r="L558" s="90"/>
      <c r="M558" s="51"/>
      <c r="N558" s="113">
        <f t="shared" si="62"/>
        <v>6485</v>
      </c>
      <c r="O558" s="575">
        <v>0</v>
      </c>
      <c r="P558" s="582">
        <v>0</v>
      </c>
      <c r="Q558" s="589"/>
      <c r="R558" s="576"/>
      <c r="S558" s="583">
        <f t="shared" si="66"/>
        <v>0</v>
      </c>
      <c r="T558" s="580">
        <f t="shared" si="65"/>
        <v>0</v>
      </c>
      <c r="U558" s="51"/>
      <c r="V558" s="2119"/>
      <c r="W558" s="2116"/>
      <c r="X558" s="43"/>
      <c r="Y558" s="43"/>
      <c r="Z558" s="43"/>
    </row>
    <row r="559" spans="1:26">
      <c r="A559" s="88">
        <f>2+A558</f>
        <v>6487</v>
      </c>
      <c r="B559" s="1033" t="s">
        <v>571</v>
      </c>
      <c r="C559" s="1033"/>
      <c r="D559" s="1033"/>
      <c r="E559" s="1033"/>
      <c r="F559" s="1033"/>
      <c r="G559" s="1033"/>
      <c r="H559" s="1033"/>
      <c r="I559" s="1033"/>
      <c r="J559" s="1033"/>
      <c r="K559" s="1033"/>
      <c r="L559" s="90"/>
      <c r="M559" s="51"/>
      <c r="N559" s="113">
        <f t="shared" si="62"/>
        <v>6487</v>
      </c>
      <c r="O559" s="575">
        <v>0</v>
      </c>
      <c r="P559" s="582">
        <v>0</v>
      </c>
      <c r="Q559" s="589"/>
      <c r="R559" s="576"/>
      <c r="S559" s="583">
        <f t="shared" si="66"/>
        <v>0</v>
      </c>
      <c r="T559" s="580">
        <f t="shared" si="65"/>
        <v>0</v>
      </c>
      <c r="U559" s="51"/>
      <c r="V559" s="2119"/>
      <c r="W559" s="2116"/>
      <c r="X559" s="43"/>
      <c r="Y559" s="43"/>
      <c r="Z559" s="43"/>
    </row>
    <row r="560" spans="1:26" ht="15.75" customHeight="1">
      <c r="A560" s="88">
        <v>6489</v>
      </c>
      <c r="B560" s="1033" t="s">
        <v>572</v>
      </c>
      <c r="C560" s="1033"/>
      <c r="D560" s="1033"/>
      <c r="E560" s="1033"/>
      <c r="F560" s="1033"/>
      <c r="G560" s="1033"/>
      <c r="H560" s="1033"/>
      <c r="I560" s="1033"/>
      <c r="J560" s="1033"/>
      <c r="K560" s="1033"/>
      <c r="L560" s="90"/>
      <c r="M560" s="51"/>
      <c r="N560" s="113">
        <f t="shared" si="62"/>
        <v>6489</v>
      </c>
      <c r="O560" s="575">
        <v>0</v>
      </c>
      <c r="P560" s="582">
        <v>0</v>
      </c>
      <c r="Q560" s="589"/>
      <c r="R560" s="576"/>
      <c r="S560" s="583">
        <f t="shared" si="66"/>
        <v>0</v>
      </c>
      <c r="T560" s="580">
        <f t="shared" si="65"/>
        <v>0</v>
      </c>
      <c r="U560" s="51"/>
      <c r="V560" s="2119"/>
      <c r="W560" s="2116"/>
      <c r="X560" s="43"/>
      <c r="Y560" s="43"/>
      <c r="Z560" s="43"/>
    </row>
    <row r="561" spans="1:26">
      <c r="A561" s="88">
        <v>6491</v>
      </c>
      <c r="B561" s="1033" t="s">
        <v>573</v>
      </c>
      <c r="C561" s="1033"/>
      <c r="D561" s="1033"/>
      <c r="E561" s="1033"/>
      <c r="F561" s="1033"/>
      <c r="G561" s="1033"/>
      <c r="H561" s="1033"/>
      <c r="I561" s="1033"/>
      <c r="J561" s="1033"/>
      <c r="K561" s="1033"/>
      <c r="L561" s="90"/>
      <c r="M561" s="51"/>
      <c r="N561" s="113">
        <f t="shared" si="62"/>
        <v>6491</v>
      </c>
      <c r="O561" s="575">
        <v>0</v>
      </c>
      <c r="P561" s="582">
        <v>0</v>
      </c>
      <c r="Q561" s="589"/>
      <c r="R561" s="576"/>
      <c r="S561" s="583">
        <f t="shared" si="66"/>
        <v>0</v>
      </c>
      <c r="T561" s="580">
        <f t="shared" si="65"/>
        <v>0</v>
      </c>
      <c r="U561" s="51"/>
      <c r="V561" s="2119"/>
      <c r="W561" s="2116"/>
      <c r="X561" s="43"/>
      <c r="Y561" s="43"/>
      <c r="Z561" s="43"/>
    </row>
    <row r="562" spans="1:26">
      <c r="A562" s="88">
        <f>2+A561</f>
        <v>6493</v>
      </c>
      <c r="B562" s="1033" t="s">
        <v>574</v>
      </c>
      <c r="C562" s="1033"/>
      <c r="D562" s="1033"/>
      <c r="E562" s="1033"/>
      <c r="F562" s="1033"/>
      <c r="G562" s="1033"/>
      <c r="H562" s="1033"/>
      <c r="I562" s="1033"/>
      <c r="J562" s="1033"/>
      <c r="K562" s="1033"/>
      <c r="L562" s="90"/>
      <c r="M562" s="51"/>
      <c r="N562" s="113">
        <f t="shared" si="62"/>
        <v>6493</v>
      </c>
      <c r="O562" s="575">
        <v>0</v>
      </c>
      <c r="P562" s="582">
        <v>0</v>
      </c>
      <c r="Q562" s="589"/>
      <c r="R562" s="576"/>
      <c r="S562" s="583">
        <f t="shared" si="66"/>
        <v>0</v>
      </c>
      <c r="T562" s="580">
        <f t="shared" si="65"/>
        <v>0</v>
      </c>
      <c r="U562" s="51"/>
      <c r="V562" s="2119"/>
      <c r="W562" s="2116"/>
      <c r="X562" s="43"/>
      <c r="Y562" s="43"/>
      <c r="Z562" s="43"/>
    </row>
    <row r="563" spans="1:26">
      <c r="A563" s="88">
        <f>2+A562</f>
        <v>6495</v>
      </c>
      <c r="B563" s="1033" t="s">
        <v>575</v>
      </c>
      <c r="C563" s="1033"/>
      <c r="D563" s="1033"/>
      <c r="E563" s="1033"/>
      <c r="F563" s="1033"/>
      <c r="G563" s="1033"/>
      <c r="H563" s="1033"/>
      <c r="I563" s="1033"/>
      <c r="J563" s="1033"/>
      <c r="K563" s="1033"/>
      <c r="L563" s="90"/>
      <c r="M563" s="51"/>
      <c r="N563" s="113">
        <f t="shared" si="62"/>
        <v>6495</v>
      </c>
      <c r="O563" s="575">
        <v>0</v>
      </c>
      <c r="P563" s="582">
        <v>0</v>
      </c>
      <c r="Q563" s="589"/>
      <c r="R563" s="576"/>
      <c r="S563" s="583">
        <f t="shared" si="66"/>
        <v>0</v>
      </c>
      <c r="T563" s="580">
        <f t="shared" si="65"/>
        <v>0</v>
      </c>
      <c r="U563" s="51"/>
      <c r="V563" s="2119"/>
      <c r="W563" s="2116"/>
      <c r="X563" s="43"/>
      <c r="Y563" s="43"/>
      <c r="Z563" s="43"/>
    </row>
    <row r="564" spans="1:26">
      <c r="A564" s="88">
        <f>2+A563</f>
        <v>6497</v>
      </c>
      <c r="B564" s="1033" t="s">
        <v>576</v>
      </c>
      <c r="C564" s="1033"/>
      <c r="D564" s="1033"/>
      <c r="E564" s="1033"/>
      <c r="F564" s="1033"/>
      <c r="G564" s="1033"/>
      <c r="H564" s="1033"/>
      <c r="I564" s="1033"/>
      <c r="J564" s="1033"/>
      <c r="K564" s="1033"/>
      <c r="L564" s="90"/>
      <c r="M564" s="51"/>
      <c r="N564" s="113">
        <f t="shared" si="62"/>
        <v>6497</v>
      </c>
      <c r="O564" s="575">
        <v>0</v>
      </c>
      <c r="P564" s="582">
        <v>0</v>
      </c>
      <c r="Q564" s="589"/>
      <c r="R564" s="576"/>
      <c r="S564" s="583">
        <f t="shared" si="66"/>
        <v>0</v>
      </c>
      <c r="T564" s="580">
        <f t="shared" si="65"/>
        <v>0</v>
      </c>
      <c r="U564" s="51"/>
      <c r="V564" s="2119"/>
      <c r="W564" s="2116"/>
      <c r="X564" s="43"/>
      <c r="Y564" s="43"/>
      <c r="Z564" s="43"/>
    </row>
    <row r="565" spans="1:26" ht="15.75" customHeight="1">
      <c r="A565" s="88">
        <v>6499</v>
      </c>
      <c r="B565" s="1033" t="s">
        <v>577</v>
      </c>
      <c r="C565" s="1033"/>
      <c r="D565" s="1033"/>
      <c r="E565" s="1033"/>
      <c r="F565" s="1033"/>
      <c r="G565" s="1033"/>
      <c r="H565" s="1033"/>
      <c r="I565" s="1033"/>
      <c r="J565" s="1033"/>
      <c r="K565" s="1033"/>
      <c r="L565" s="90"/>
      <c r="M565" s="51"/>
      <c r="N565" s="113">
        <f t="shared" si="62"/>
        <v>6499</v>
      </c>
      <c r="O565" s="575">
        <v>0</v>
      </c>
      <c r="P565" s="582">
        <v>0</v>
      </c>
      <c r="Q565" s="589"/>
      <c r="R565" s="576"/>
      <c r="S565" s="583">
        <f t="shared" si="66"/>
        <v>0</v>
      </c>
      <c r="T565" s="580">
        <f t="shared" si="65"/>
        <v>0</v>
      </c>
      <c r="U565" s="51"/>
      <c r="V565" s="2119"/>
      <c r="W565" s="2116"/>
      <c r="X565" s="43"/>
      <c r="Y565" s="43"/>
      <c r="Z565" s="43"/>
    </row>
    <row r="566" spans="1:26">
      <c r="A566" s="88">
        <v>6501</v>
      </c>
      <c r="B566" s="1032" t="s">
        <v>655</v>
      </c>
      <c r="C566" s="1033"/>
      <c r="D566" s="1033"/>
      <c r="E566" s="1033"/>
      <c r="F566" s="1033"/>
      <c r="G566" s="1033"/>
      <c r="H566" s="1033"/>
      <c r="I566" s="1033"/>
      <c r="J566" s="1033"/>
      <c r="K566" s="1033"/>
      <c r="L566" s="90"/>
      <c r="M566" s="51"/>
      <c r="N566" s="113">
        <f t="shared" si="62"/>
        <v>6501</v>
      </c>
      <c r="O566" s="575">
        <v>0</v>
      </c>
      <c r="P566" s="582">
        <v>0</v>
      </c>
      <c r="Q566" s="589">
        <v>0</v>
      </c>
      <c r="R566" s="121">
        <v>0</v>
      </c>
      <c r="S566" s="579">
        <v>0</v>
      </c>
      <c r="T566" s="588">
        <f t="shared" si="65"/>
        <v>0</v>
      </c>
      <c r="U566" s="51"/>
      <c r="V566" s="2119">
        <f>+IF(OR(+ROUND(O566,2)+ROUND(Q566,2)&gt;ROUND(P566,2)+ROUND(R566,2),+ABS(ROUND(O566,2)+ROUND(Q566,2))&gt;+ABS(ROUND(P566,2)+ROUND(R566,2))),+(ROUND(O566,2)+ROUND(Q566,2))-(ROUND(P566,2)+ROUND(R566,2)),0)</f>
        <v>0</v>
      </c>
      <c r="W566" s="2116"/>
      <c r="X566" s="43"/>
      <c r="Y566" s="43"/>
      <c r="Z566" s="43"/>
    </row>
    <row r="567" spans="1:26">
      <c r="A567" s="88">
        <v>6502</v>
      </c>
      <c r="B567" s="1032" t="s">
        <v>656</v>
      </c>
      <c r="C567" s="1033"/>
      <c r="D567" s="1033"/>
      <c r="E567" s="1033"/>
      <c r="F567" s="1033"/>
      <c r="G567" s="1033"/>
      <c r="H567" s="1033"/>
      <c r="I567" s="1033"/>
      <c r="J567" s="1033"/>
      <c r="K567" s="1033"/>
      <c r="L567" s="90"/>
      <c r="M567" s="51"/>
      <c r="N567" s="113">
        <f t="shared" si="62"/>
        <v>6502</v>
      </c>
      <c r="O567" s="575">
        <v>0</v>
      </c>
      <c r="P567" s="582">
        <v>0</v>
      </c>
      <c r="Q567" s="589"/>
      <c r="R567" s="121"/>
      <c r="S567" s="579">
        <v>0</v>
      </c>
      <c r="T567" s="588">
        <f t="shared" si="65"/>
        <v>0</v>
      </c>
      <c r="U567" s="51"/>
      <c r="V567" s="2119">
        <f>+IF(OR(+ROUND(O567,2)+ROUND(Q567,2)&gt;ROUND(P567,2)+ROUND(R567,2),+ABS(ROUND(O567,2)+ROUND(Q567,2))&gt;+ABS(ROUND(P567,2)+ROUND(R567,2))),+(ROUND(O567,2)+ROUND(Q567,2))-(ROUND(P567,2)+ROUND(R567,2)),0)</f>
        <v>0</v>
      </c>
      <c r="W567" s="2116"/>
      <c r="X567" s="43"/>
      <c r="Y567" s="43"/>
      <c r="Z567" s="43"/>
    </row>
    <row r="568" spans="1:26">
      <c r="A568" s="88">
        <v>6503</v>
      </c>
      <c r="B568" s="1032" t="s">
        <v>657</v>
      </c>
      <c r="C568" s="1033"/>
      <c r="D568" s="1033"/>
      <c r="E568" s="1033"/>
      <c r="F568" s="1033"/>
      <c r="G568" s="1033"/>
      <c r="H568" s="1033"/>
      <c r="I568" s="1033"/>
      <c r="J568" s="1033"/>
      <c r="K568" s="1033"/>
      <c r="L568" s="90"/>
      <c r="M568" s="51"/>
      <c r="N568" s="113">
        <f t="shared" si="62"/>
        <v>6503</v>
      </c>
      <c r="O568" s="575">
        <v>0</v>
      </c>
      <c r="P568" s="582">
        <v>0</v>
      </c>
      <c r="Q568" s="589">
        <v>0</v>
      </c>
      <c r="R568" s="121">
        <v>0</v>
      </c>
      <c r="S568" s="579">
        <v>0</v>
      </c>
      <c r="T568" s="588">
        <f t="shared" si="65"/>
        <v>0</v>
      </c>
      <c r="U568" s="51"/>
      <c r="V568" s="2119">
        <f>+IF(OR(+ROUND(O568,2)+ROUND(Q568,2)&gt;ROUND(P568,2)+ROUND(R568,2),+ABS(ROUND(O568,2)+ROUND(Q568,2))&gt;+ABS(ROUND(P568,2)+ROUND(R568,2))),+(ROUND(O568,2)+ROUND(Q568,2))-(ROUND(P568,2)+ROUND(R568,2)),0)</f>
        <v>0</v>
      </c>
      <c r="W568" s="2116"/>
      <c r="X568" s="43"/>
      <c r="Y568" s="43"/>
      <c r="Z568" s="43"/>
    </row>
    <row r="569" spans="1:26">
      <c r="A569" s="88">
        <v>6504</v>
      </c>
      <c r="B569" s="1032" t="s">
        <v>658</v>
      </c>
      <c r="C569" s="1033"/>
      <c r="D569" s="1033"/>
      <c r="E569" s="1033"/>
      <c r="F569" s="1033"/>
      <c r="G569" s="1033"/>
      <c r="H569" s="1033"/>
      <c r="I569" s="1033"/>
      <c r="J569" s="1033"/>
      <c r="K569" s="1033"/>
      <c r="L569" s="90"/>
      <c r="M569" s="51"/>
      <c r="N569" s="113">
        <f t="shared" si="62"/>
        <v>6504</v>
      </c>
      <c r="O569" s="575">
        <v>0</v>
      </c>
      <c r="P569" s="582">
        <v>0</v>
      </c>
      <c r="Q569" s="589"/>
      <c r="R569" s="121"/>
      <c r="S569" s="579">
        <v>0</v>
      </c>
      <c r="T569" s="588">
        <f t="shared" si="65"/>
        <v>0</v>
      </c>
      <c r="U569" s="51"/>
      <c r="V569" s="2119">
        <f>+IF(OR(+ROUND(O569,2)+ROUND(Q569,2)&gt;ROUND(P569,2)+ROUND(R569,2),+ABS(ROUND(O569,2)+ROUND(Q569,2))&gt;+ABS(ROUND(P569,2)+ROUND(R569,2))),+(ROUND(O569,2)+ROUND(Q569,2))-(ROUND(P569,2)+ROUND(R569,2)),0)</f>
        <v>0</v>
      </c>
      <c r="W569" s="2116"/>
      <c r="X569" s="43"/>
      <c r="Y569" s="43"/>
      <c r="Z569" s="43"/>
    </row>
    <row r="570" spans="1:26">
      <c r="A570" s="88">
        <v>6506</v>
      </c>
      <c r="B570" s="1032" t="s">
        <v>659</v>
      </c>
      <c r="C570" s="1033"/>
      <c r="D570" s="1033"/>
      <c r="E570" s="1033"/>
      <c r="F570" s="1033"/>
      <c r="G570" s="1033"/>
      <c r="H570" s="1033"/>
      <c r="I570" s="1033"/>
      <c r="J570" s="1033"/>
      <c r="K570" s="1033"/>
      <c r="L570" s="90"/>
      <c r="M570" s="51"/>
      <c r="N570" s="113">
        <f t="shared" si="62"/>
        <v>6506</v>
      </c>
      <c r="O570" s="575">
        <v>0</v>
      </c>
      <c r="P570" s="582">
        <v>0</v>
      </c>
      <c r="Q570" s="589">
        <v>0</v>
      </c>
      <c r="R570" s="576">
        <v>0</v>
      </c>
      <c r="S570" s="2114">
        <v>0</v>
      </c>
      <c r="T570" s="2115">
        <v>0</v>
      </c>
      <c r="U570" s="51"/>
      <c r="V570" s="2125">
        <f>+IF(Q570=R570,0,+Q570-R570)</f>
        <v>0</v>
      </c>
      <c r="W570" s="2116"/>
      <c r="X570" s="43"/>
      <c r="Y570" s="43"/>
      <c r="Z570" s="43"/>
    </row>
    <row r="571" spans="1:26">
      <c r="A571" s="88">
        <v>6507</v>
      </c>
      <c r="B571" s="1032" t="s">
        <v>660</v>
      </c>
      <c r="C571" s="1033"/>
      <c r="D571" s="1033"/>
      <c r="E571" s="1033"/>
      <c r="F571" s="1033"/>
      <c r="G571" s="1033"/>
      <c r="H571" s="1033"/>
      <c r="I571" s="1033"/>
      <c r="J571" s="1033"/>
      <c r="K571" s="1033"/>
      <c r="L571" s="90"/>
      <c r="M571" s="51"/>
      <c r="N571" s="113">
        <f t="shared" si="62"/>
        <v>6507</v>
      </c>
      <c r="O571" s="575">
        <v>0</v>
      </c>
      <c r="P571" s="582">
        <v>0</v>
      </c>
      <c r="Q571" s="589">
        <v>0</v>
      </c>
      <c r="R571" s="121">
        <v>0</v>
      </c>
      <c r="S571" s="579">
        <v>0</v>
      </c>
      <c r="T571" s="588">
        <f>+IF(ABS(+O571+Q571)&lt;=ABS(P571+R571),-O571+P571-Q571+R571,0)</f>
        <v>0</v>
      </c>
      <c r="U571" s="51"/>
      <c r="V571" s="2119">
        <f>+IF(OR(+ROUND(O571,2)+ROUND(Q571,2)&gt;ROUND(P571,2)+ROUND(R571,2),+ABS(ROUND(O571,2)+ROUND(Q571,2))&gt;+ABS(ROUND(P571,2)+ROUND(R571,2))),+(ROUND(O571,2)+ROUND(Q571,2))-(ROUND(P571,2)+ROUND(R571,2)),0)</f>
        <v>0</v>
      </c>
      <c r="W571" s="2116"/>
      <c r="X571" s="43"/>
      <c r="Y571" s="43"/>
      <c r="Z571" s="43"/>
    </row>
    <row r="572" spans="1:26">
      <c r="A572" s="88">
        <v>6508</v>
      </c>
      <c r="B572" s="1032" t="s">
        <v>661</v>
      </c>
      <c r="C572" s="1033"/>
      <c r="D572" s="1033"/>
      <c r="E572" s="1033"/>
      <c r="F572" s="1033"/>
      <c r="G572" s="1033"/>
      <c r="H572" s="1033"/>
      <c r="I572" s="1033"/>
      <c r="J572" s="1033"/>
      <c r="K572" s="1033"/>
      <c r="L572" s="90"/>
      <c r="M572" s="51"/>
      <c r="N572" s="113">
        <f t="shared" si="62"/>
        <v>6508</v>
      </c>
      <c r="O572" s="575">
        <v>0</v>
      </c>
      <c r="P572" s="582">
        <v>0</v>
      </c>
      <c r="Q572" s="589"/>
      <c r="R572" s="121"/>
      <c r="S572" s="579">
        <v>0</v>
      </c>
      <c r="T572" s="588">
        <f>+IF(ABS(+O572+Q572)&lt;=ABS(P572+R572),-O572+P572-Q572+R572,0)</f>
        <v>0</v>
      </c>
      <c r="U572" s="51"/>
      <c r="V572" s="2119">
        <f>+IF(OR(+ROUND(O572,2)+ROUND(Q572,2)&gt;ROUND(P572,2)+ROUND(R572,2),+ABS(ROUND(O572,2)+ROUND(Q572,2))&gt;+ABS(ROUND(P572,2)+ROUND(R572,2))),+(ROUND(O572,2)+ROUND(Q572,2))-(ROUND(P572,2)+ROUND(R572,2)),0)</f>
        <v>0</v>
      </c>
      <c r="W572" s="2116"/>
      <c r="X572" s="43"/>
      <c r="Y572" s="43"/>
      <c r="Z572" s="43"/>
    </row>
    <row r="573" spans="1:26">
      <c r="A573" s="88">
        <v>6711</v>
      </c>
      <c r="B573" s="1033" t="s">
        <v>662</v>
      </c>
      <c r="C573" s="1033"/>
      <c r="D573" s="1033"/>
      <c r="E573" s="1033"/>
      <c r="F573" s="1033"/>
      <c r="G573" s="1033"/>
      <c r="H573" s="1033"/>
      <c r="I573" s="1033"/>
      <c r="J573" s="1033"/>
      <c r="K573" s="1033"/>
      <c r="L573" s="90"/>
      <c r="M573" s="51"/>
      <c r="N573" s="113">
        <f t="shared" si="62"/>
        <v>6711</v>
      </c>
      <c r="O573" s="575">
        <v>0</v>
      </c>
      <c r="P573" s="582">
        <v>0</v>
      </c>
      <c r="Q573" s="589"/>
      <c r="R573" s="576"/>
      <c r="S573" s="583">
        <f>+IF(ABS(+O573+Q573)&gt;=ABS(P573+R573),+O573-P573+Q573-R573,0)</f>
        <v>0</v>
      </c>
      <c r="T573" s="584">
        <v>0</v>
      </c>
      <c r="U573" s="51"/>
      <c r="V573" s="2120">
        <f>+IF(OR(ROUND(P573,2)+ROUND(R573,2)&gt;+ROUND(O573,2)+ROUND(Q573,2),+ABS(ROUND(P573,2)+ROUND(R573,2))&gt;+ABS(ROUND(O573,2)+ROUND(Q573,2))),+(ROUND(P573,2)+ROUND(R573,2))-(ROUND(O573,2)+ROUND(Q573,2)),0)</f>
        <v>0</v>
      </c>
      <c r="W573" s="2116"/>
      <c r="X573" s="43"/>
      <c r="Y573" s="43"/>
      <c r="Z573" s="43"/>
    </row>
    <row r="574" spans="1:26">
      <c r="A574" s="88">
        <v>6713</v>
      </c>
      <c r="B574" s="1033" t="s">
        <v>663</v>
      </c>
      <c r="C574" s="1033"/>
      <c r="D574" s="1033"/>
      <c r="E574" s="1033"/>
      <c r="F574" s="1033"/>
      <c r="G574" s="1033"/>
      <c r="H574" s="1033"/>
      <c r="I574" s="1033"/>
      <c r="J574" s="1033"/>
      <c r="K574" s="1033"/>
      <c r="L574" s="90"/>
      <c r="M574" s="51"/>
      <c r="N574" s="113">
        <f t="shared" si="62"/>
        <v>6713</v>
      </c>
      <c r="O574" s="575">
        <v>0</v>
      </c>
      <c r="P574" s="582">
        <v>0</v>
      </c>
      <c r="Q574" s="589"/>
      <c r="R574" s="576"/>
      <c r="S574" s="583">
        <f>+IF(ABS(+O574+Q574)&gt;=ABS(P574+R574),+O574-P574+Q574-R574,0)</f>
        <v>0</v>
      </c>
      <c r="T574" s="584">
        <v>0</v>
      </c>
      <c r="U574" s="51"/>
      <c r="V574" s="2120">
        <f>+IF(OR(ROUND(P574,2)+ROUND(R574,2)&gt;+ROUND(O574,2)+ROUND(Q574,2),+ABS(ROUND(P574,2)+ROUND(R574,2))&gt;+ABS(ROUND(O574,2)+ROUND(Q574,2))),+(ROUND(P574,2)+ROUND(R574,2))-(ROUND(O574,2)+ROUND(Q574,2)),0)</f>
        <v>0</v>
      </c>
      <c r="W574" s="2116"/>
      <c r="X574" s="43"/>
      <c r="Y574" s="43"/>
      <c r="Z574" s="43"/>
    </row>
    <row r="575" spans="1:26">
      <c r="A575" s="88">
        <v>6717</v>
      </c>
      <c r="B575" s="1033" t="s">
        <v>9</v>
      </c>
      <c r="C575" s="1033"/>
      <c r="D575" s="1033"/>
      <c r="E575" s="1033"/>
      <c r="F575" s="1033"/>
      <c r="G575" s="1033"/>
      <c r="H575" s="1033"/>
      <c r="I575" s="1033"/>
      <c r="J575" s="1033"/>
      <c r="K575" s="1033"/>
      <c r="L575" s="90"/>
      <c r="M575" s="51"/>
      <c r="N575" s="113">
        <f t="shared" si="62"/>
        <v>6717</v>
      </c>
      <c r="O575" s="575">
        <v>0</v>
      </c>
      <c r="P575" s="582">
        <v>0</v>
      </c>
      <c r="Q575" s="589">
        <v>0</v>
      </c>
      <c r="R575" s="576">
        <v>0</v>
      </c>
      <c r="S575" s="583">
        <f>+IF(ABS(+O575+Q575)&gt;=ABS(P575+R575),+O575-P575+Q575-R575,0)</f>
        <v>0</v>
      </c>
      <c r="T575" s="584">
        <v>0</v>
      </c>
      <c r="U575" s="51"/>
      <c r="V575" s="2120">
        <f>+IF(OR(ROUND(P575,2)+ROUND(R575,2)&gt;+ROUND(O575,2)+ROUND(Q575,2),+ABS(ROUND(P575,2)+ROUND(R575,2))&gt;+ABS(ROUND(O575,2)+ROUND(Q575,2))),+(ROUND(P575,2)+ROUND(R575,2))-(ROUND(O575,2)+ROUND(Q575,2)),0)</f>
        <v>0</v>
      </c>
      <c r="W575" s="2116"/>
      <c r="X575" s="43"/>
      <c r="Y575" s="43"/>
      <c r="Z575" s="43"/>
    </row>
    <row r="576" spans="1:26">
      <c r="A576" s="88">
        <v>6721</v>
      </c>
      <c r="B576" s="1033" t="s">
        <v>10</v>
      </c>
      <c r="C576" s="1033"/>
      <c r="D576" s="1033"/>
      <c r="E576" s="1033"/>
      <c r="F576" s="1033"/>
      <c r="G576" s="1033"/>
      <c r="H576" s="1033"/>
      <c r="I576" s="1033"/>
      <c r="J576" s="1033"/>
      <c r="K576" s="1033"/>
      <c r="L576" s="90"/>
      <c r="M576" s="51"/>
      <c r="N576" s="113">
        <f t="shared" ref="N576:N600" si="67">+A576</f>
        <v>6721</v>
      </c>
      <c r="O576" s="575">
        <v>0</v>
      </c>
      <c r="P576" s="582">
        <v>0</v>
      </c>
      <c r="Q576" s="589"/>
      <c r="R576" s="121"/>
      <c r="S576" s="579">
        <v>0</v>
      </c>
      <c r="T576" s="580">
        <f>+IF(ABS(+O576+Q576)&lt;=ABS(P576+R576),-O576+P576-Q576+R576,0)</f>
        <v>0</v>
      </c>
      <c r="U576" s="51"/>
      <c r="V576" s="2119">
        <f>+IF(OR(+ROUND(O576,2)+ROUND(Q576,2)&gt;ROUND(P576,2)+ROUND(R576,2),+ABS(ROUND(O576,2)+ROUND(Q576,2))&gt;+ABS(ROUND(P576,2)+ROUND(R576,2))),+(ROUND(O576,2)+ROUND(Q576,2))-(ROUND(P576,2)+ROUND(R576,2)),0)</f>
        <v>0</v>
      </c>
      <c r="W576" s="2116"/>
      <c r="X576" s="43"/>
      <c r="Y576" s="43"/>
      <c r="Z576" s="43"/>
    </row>
    <row r="577" spans="1:26">
      <c r="A577" s="88">
        <v>6723</v>
      </c>
      <c r="B577" s="1033" t="s">
        <v>11</v>
      </c>
      <c r="C577" s="1033"/>
      <c r="D577" s="1033"/>
      <c r="E577" s="1033"/>
      <c r="F577" s="1033"/>
      <c r="G577" s="1033"/>
      <c r="H577" s="1033"/>
      <c r="I577" s="1033"/>
      <c r="J577" s="1033"/>
      <c r="K577" s="1033"/>
      <c r="L577" s="90"/>
      <c r="M577" s="51"/>
      <c r="N577" s="113">
        <f t="shared" si="67"/>
        <v>6723</v>
      </c>
      <c r="O577" s="575">
        <v>0</v>
      </c>
      <c r="P577" s="582">
        <v>0</v>
      </c>
      <c r="Q577" s="589"/>
      <c r="R577" s="121"/>
      <c r="S577" s="579">
        <v>0</v>
      </c>
      <c r="T577" s="580">
        <f>+IF(ABS(+O577+Q577)&lt;=ABS(P577+R577),-O577+P577-Q577+R577,0)</f>
        <v>0</v>
      </c>
      <c r="U577" s="51"/>
      <c r="V577" s="2119">
        <f>+IF(OR(+ROUND(O577,2)+ROUND(Q577,2)&gt;ROUND(P577,2)+ROUND(R577,2),+ABS(ROUND(O577,2)+ROUND(Q577,2))&gt;+ABS(ROUND(P577,2)+ROUND(R577,2))),+(ROUND(O577,2)+ROUND(Q577,2))-(ROUND(P577,2)+ROUND(R577,2)),0)</f>
        <v>0</v>
      </c>
      <c r="W577" s="2116"/>
      <c r="X577" s="43"/>
      <c r="Y577" s="43"/>
      <c r="Z577" s="43"/>
    </row>
    <row r="578" spans="1:26">
      <c r="A578" s="88">
        <v>6727</v>
      </c>
      <c r="B578" s="1033" t="s">
        <v>12</v>
      </c>
      <c r="C578" s="1033"/>
      <c r="D578" s="1033"/>
      <c r="E578" s="1033"/>
      <c r="F578" s="1033"/>
      <c r="G578" s="1033"/>
      <c r="H578" s="1033"/>
      <c r="I578" s="1033"/>
      <c r="J578" s="1033"/>
      <c r="K578" s="1033"/>
      <c r="L578" s="90"/>
      <c r="M578" s="51"/>
      <c r="N578" s="113">
        <f t="shared" si="67"/>
        <v>6727</v>
      </c>
      <c r="O578" s="575">
        <v>0</v>
      </c>
      <c r="P578" s="582">
        <v>0</v>
      </c>
      <c r="Q578" s="589">
        <v>0</v>
      </c>
      <c r="R578" s="121">
        <v>0</v>
      </c>
      <c r="S578" s="579">
        <v>0</v>
      </c>
      <c r="T578" s="580">
        <f>+IF(ABS(+O578+Q578)&lt;=ABS(P578+R578),-O578+P578-Q578+R578,0)</f>
        <v>0</v>
      </c>
      <c r="U578" s="51"/>
      <c r="V578" s="2119">
        <f>+IF(OR(+ROUND(O578,2)+ROUND(Q578,2)&gt;ROUND(P578,2)+ROUND(R578,2),+ABS(ROUND(O578,2)+ROUND(Q578,2))&gt;+ABS(ROUND(P578,2)+ROUND(R578,2))),+(ROUND(O578,2)+ROUND(Q578,2))-(ROUND(P578,2)+ROUND(R578,2)),0)</f>
        <v>0</v>
      </c>
      <c r="W578" s="2116"/>
      <c r="X578" s="43"/>
      <c r="Y578" s="43"/>
      <c r="Z578" s="43"/>
    </row>
    <row r="579" spans="1:26">
      <c r="A579" s="88">
        <v>6791</v>
      </c>
      <c r="B579" s="378" t="s">
        <v>13</v>
      </c>
      <c r="C579" s="1033"/>
      <c r="D579" s="1033"/>
      <c r="E579" s="1033"/>
      <c r="F579" s="1033"/>
      <c r="G579" s="1033"/>
      <c r="H579" s="1033"/>
      <c r="I579" s="1033"/>
      <c r="J579" s="1033"/>
      <c r="K579" s="1033"/>
      <c r="L579" s="90"/>
      <c r="M579" s="51"/>
      <c r="N579" s="113">
        <f t="shared" si="67"/>
        <v>6791</v>
      </c>
      <c r="O579" s="575">
        <v>0</v>
      </c>
      <c r="P579" s="582">
        <v>0</v>
      </c>
      <c r="Q579" s="589"/>
      <c r="R579" s="576"/>
      <c r="S579" s="583">
        <f>+IF(ABS(+O579+Q579)&gt;=ABS(P579+R579),+O579-P579+Q579-R579,0)</f>
        <v>0</v>
      </c>
      <c r="T579" s="584">
        <v>0</v>
      </c>
      <c r="U579" s="51"/>
      <c r="V579" s="2120">
        <f>+IF(OR(ROUND(P579,2)+ROUND(R579,2)&gt;+ROUND(O579,2)+ROUND(Q579,2),+ABS(ROUND(P579,2)+ROUND(R579,2))&gt;+ABS(ROUND(O579,2)+ROUND(Q579,2))),+(ROUND(P579,2)+ROUND(R579,2))-(ROUND(O579,2)+ROUND(Q579,2)),0)</f>
        <v>0</v>
      </c>
      <c r="W579" s="2116"/>
      <c r="X579" s="43"/>
      <c r="Y579" s="43"/>
      <c r="Z579" s="43"/>
    </row>
    <row r="580" spans="1:26">
      <c r="A580" s="88">
        <v>6799</v>
      </c>
      <c r="B580" s="378" t="s">
        <v>14</v>
      </c>
      <c r="C580" s="1033"/>
      <c r="D580" s="1033"/>
      <c r="E580" s="1033"/>
      <c r="F580" s="1033"/>
      <c r="G580" s="1033"/>
      <c r="H580" s="1033"/>
      <c r="I580" s="1033"/>
      <c r="J580" s="1033"/>
      <c r="K580" s="1033"/>
      <c r="L580" s="90"/>
      <c r="M580" s="51"/>
      <c r="N580" s="113">
        <f t="shared" si="67"/>
        <v>6799</v>
      </c>
      <c r="O580" s="575">
        <v>0</v>
      </c>
      <c r="P580" s="582">
        <v>0</v>
      </c>
      <c r="Q580" s="589"/>
      <c r="R580" s="121"/>
      <c r="S580" s="579">
        <v>0</v>
      </c>
      <c r="T580" s="580">
        <f>+IF(ABS(+O580+Q580)&lt;=ABS(P580+R580),-O580+P580-Q580+R580,0)</f>
        <v>0</v>
      </c>
      <c r="U580" s="51"/>
      <c r="V580" s="2119">
        <f>+IF(OR(+ROUND(O580,2)+ROUND(Q580,2)&gt;ROUND(P580,2)+ROUND(R580,2),+ABS(ROUND(O580,2)+ROUND(Q580,2))&gt;+ABS(ROUND(P580,2)+ROUND(R580,2))),+(ROUND(O580,2)+ROUND(Q580,2))-(ROUND(P580,2)+ROUND(R580,2)),0)</f>
        <v>0</v>
      </c>
      <c r="W580" s="2116"/>
      <c r="X580" s="43"/>
      <c r="Y580" s="43"/>
      <c r="Z580" s="43"/>
    </row>
    <row r="581" spans="1:26" ht="15.75" customHeight="1">
      <c r="A581" s="88">
        <v>6901</v>
      </c>
      <c r="B581" s="378" t="s">
        <v>15</v>
      </c>
      <c r="C581" s="1033"/>
      <c r="D581" s="1033"/>
      <c r="E581" s="1033"/>
      <c r="F581" s="1033"/>
      <c r="G581" s="1033"/>
      <c r="H581" s="1033"/>
      <c r="I581" s="1033"/>
      <c r="J581" s="1033"/>
      <c r="K581" s="1033"/>
      <c r="L581" s="90"/>
      <c r="M581" s="51"/>
      <c r="N581" s="113">
        <f t="shared" si="67"/>
        <v>6901</v>
      </c>
      <c r="O581" s="575">
        <v>0</v>
      </c>
      <c r="P581" s="582">
        <v>0</v>
      </c>
      <c r="Q581" s="589"/>
      <c r="R581" s="576"/>
      <c r="S581" s="583">
        <f t="shared" ref="S581:S600" si="68">+IF(ABS(+O581+Q581)&gt;=ABS(P581+R581),+O581-P581+Q581-R581,0)</f>
        <v>0</v>
      </c>
      <c r="T581" s="580">
        <f t="shared" ref="T581:T600" si="69">+IF(ABS(+O581+Q581)&lt;=ABS(P581+R581),-O581+P581-Q581+R581,0)</f>
        <v>0</v>
      </c>
      <c r="U581" s="51"/>
      <c r="V581" s="2119"/>
      <c r="W581" s="2116"/>
      <c r="X581" s="43"/>
      <c r="Y581" s="43"/>
      <c r="Z581" s="43"/>
    </row>
    <row r="582" spans="1:26" ht="15.75" customHeight="1">
      <c r="A582" s="88">
        <v>6902</v>
      </c>
      <c r="B582" s="378" t="s">
        <v>16</v>
      </c>
      <c r="C582" s="1033"/>
      <c r="D582" s="1033"/>
      <c r="E582" s="1033"/>
      <c r="F582" s="1033"/>
      <c r="G582" s="1033"/>
      <c r="H582" s="1033"/>
      <c r="I582" s="1033"/>
      <c r="J582" s="1033"/>
      <c r="K582" s="1033"/>
      <c r="L582" s="90"/>
      <c r="M582" s="51"/>
      <c r="N582" s="113">
        <f t="shared" si="67"/>
        <v>6902</v>
      </c>
      <c r="O582" s="575">
        <v>0</v>
      </c>
      <c r="P582" s="582">
        <v>0</v>
      </c>
      <c r="Q582" s="589"/>
      <c r="R582" s="576"/>
      <c r="S582" s="583">
        <f t="shared" si="68"/>
        <v>0</v>
      </c>
      <c r="T582" s="580">
        <f t="shared" si="69"/>
        <v>0</v>
      </c>
      <c r="U582" s="51"/>
      <c r="V582" s="2119"/>
      <c r="W582" s="2116"/>
      <c r="X582" s="43"/>
      <c r="Y582" s="43"/>
      <c r="Z582" s="43"/>
    </row>
    <row r="583" spans="1:26" ht="15.75" customHeight="1">
      <c r="A583" s="88">
        <v>6903</v>
      </c>
      <c r="B583" s="378" t="s">
        <v>17</v>
      </c>
      <c r="C583" s="1033"/>
      <c r="D583" s="1033"/>
      <c r="E583" s="1033"/>
      <c r="F583" s="1033"/>
      <c r="G583" s="1033"/>
      <c r="H583" s="1033"/>
      <c r="I583" s="1033"/>
      <c r="J583" s="1033"/>
      <c r="K583" s="1033"/>
      <c r="L583" s="90"/>
      <c r="M583" s="51"/>
      <c r="N583" s="113">
        <f t="shared" si="67"/>
        <v>6903</v>
      </c>
      <c r="O583" s="575">
        <v>0</v>
      </c>
      <c r="P583" s="582">
        <v>0</v>
      </c>
      <c r="Q583" s="589"/>
      <c r="R583" s="576"/>
      <c r="S583" s="583">
        <f t="shared" si="68"/>
        <v>0</v>
      </c>
      <c r="T583" s="580">
        <f t="shared" si="69"/>
        <v>0</v>
      </c>
      <c r="U583" s="51"/>
      <c r="V583" s="2119"/>
      <c r="W583" s="2116"/>
      <c r="X583" s="43"/>
      <c r="Y583" s="43"/>
      <c r="Z583" s="43"/>
    </row>
    <row r="584" spans="1:26" ht="15.75" customHeight="1">
      <c r="A584" s="88">
        <v>6904</v>
      </c>
      <c r="B584" s="378" t="s">
        <v>18</v>
      </c>
      <c r="C584" s="1033"/>
      <c r="D584" s="1033"/>
      <c r="E584" s="1033"/>
      <c r="F584" s="1033"/>
      <c r="G584" s="1033"/>
      <c r="H584" s="1033"/>
      <c r="I584" s="1033"/>
      <c r="J584" s="1033"/>
      <c r="K584" s="1033"/>
      <c r="L584" s="90"/>
      <c r="M584" s="51"/>
      <c r="N584" s="113">
        <f t="shared" si="67"/>
        <v>6904</v>
      </c>
      <c r="O584" s="575">
        <v>0</v>
      </c>
      <c r="P584" s="582">
        <v>0</v>
      </c>
      <c r="Q584" s="589"/>
      <c r="R584" s="576"/>
      <c r="S584" s="583">
        <f t="shared" si="68"/>
        <v>0</v>
      </c>
      <c r="T584" s="580">
        <f t="shared" si="69"/>
        <v>0</v>
      </c>
      <c r="U584" s="51"/>
      <c r="V584" s="2119"/>
      <c r="W584" s="2116"/>
      <c r="X584" s="43"/>
      <c r="Y584" s="43"/>
      <c r="Z584" s="43"/>
    </row>
    <row r="585" spans="1:26" ht="15.75" customHeight="1">
      <c r="A585" s="88">
        <v>6905</v>
      </c>
      <c r="B585" s="378" t="s">
        <v>19</v>
      </c>
      <c r="C585" s="1033"/>
      <c r="D585" s="1033"/>
      <c r="E585" s="1033"/>
      <c r="F585" s="1033"/>
      <c r="G585" s="1033"/>
      <c r="H585" s="1033"/>
      <c r="I585" s="1033"/>
      <c r="J585" s="1033"/>
      <c r="K585" s="1033"/>
      <c r="L585" s="90"/>
      <c r="M585" s="51"/>
      <c r="N585" s="113">
        <f t="shared" si="67"/>
        <v>6905</v>
      </c>
      <c r="O585" s="575">
        <v>0</v>
      </c>
      <c r="P585" s="582">
        <v>0</v>
      </c>
      <c r="Q585" s="589"/>
      <c r="R585" s="576"/>
      <c r="S585" s="583">
        <f t="shared" si="68"/>
        <v>0</v>
      </c>
      <c r="T585" s="580">
        <f t="shared" si="69"/>
        <v>0</v>
      </c>
      <c r="U585" s="51"/>
      <c r="V585" s="2119"/>
      <c r="W585" s="2116"/>
      <c r="X585" s="43"/>
      <c r="Y585" s="43"/>
      <c r="Z585" s="43"/>
    </row>
    <row r="586" spans="1:26" ht="15.75" customHeight="1">
      <c r="A586" s="88">
        <v>6906</v>
      </c>
      <c r="B586" s="378" t="s">
        <v>20</v>
      </c>
      <c r="C586" s="1033"/>
      <c r="D586" s="1033"/>
      <c r="E586" s="1033"/>
      <c r="F586" s="1033"/>
      <c r="G586" s="1033"/>
      <c r="H586" s="1033"/>
      <c r="I586" s="1033"/>
      <c r="J586" s="1033"/>
      <c r="K586" s="1033"/>
      <c r="L586" s="90"/>
      <c r="M586" s="51"/>
      <c r="N586" s="113">
        <f t="shared" si="67"/>
        <v>6906</v>
      </c>
      <c r="O586" s="575">
        <v>0</v>
      </c>
      <c r="P586" s="582">
        <v>0</v>
      </c>
      <c r="Q586" s="589"/>
      <c r="R586" s="576"/>
      <c r="S586" s="583">
        <f t="shared" si="68"/>
        <v>0</v>
      </c>
      <c r="T586" s="580">
        <f t="shared" si="69"/>
        <v>0</v>
      </c>
      <c r="U586" s="51"/>
      <c r="V586" s="2119"/>
      <c r="W586" s="2116"/>
      <c r="X586" s="43"/>
      <c r="Y586" s="43"/>
      <c r="Z586" s="43"/>
    </row>
    <row r="587" spans="1:26" ht="15.75" customHeight="1">
      <c r="A587" s="88">
        <v>6910</v>
      </c>
      <c r="B587" s="378" t="s">
        <v>21</v>
      </c>
      <c r="C587" s="1033"/>
      <c r="D587" s="1033"/>
      <c r="E587" s="1033"/>
      <c r="F587" s="1033"/>
      <c r="G587" s="1033"/>
      <c r="H587" s="1033"/>
      <c r="I587" s="1033"/>
      <c r="J587" s="1033"/>
      <c r="K587" s="1033"/>
      <c r="L587" s="90"/>
      <c r="M587" s="51"/>
      <c r="N587" s="113">
        <f t="shared" si="67"/>
        <v>6910</v>
      </c>
      <c r="O587" s="575">
        <v>0</v>
      </c>
      <c r="P587" s="582">
        <v>0</v>
      </c>
      <c r="Q587" s="589"/>
      <c r="R587" s="576"/>
      <c r="S587" s="583">
        <f t="shared" si="68"/>
        <v>0</v>
      </c>
      <c r="T587" s="580">
        <f t="shared" si="69"/>
        <v>0</v>
      </c>
      <c r="U587" s="51"/>
      <c r="V587" s="2119"/>
      <c r="W587" s="2116"/>
      <c r="X587" s="43"/>
      <c r="Y587" s="43"/>
      <c r="Z587" s="43"/>
    </row>
    <row r="588" spans="1:26">
      <c r="A588" s="88">
        <v>6911</v>
      </c>
      <c r="B588" s="1033" t="s">
        <v>22</v>
      </c>
      <c r="C588" s="1033"/>
      <c r="D588" s="1033"/>
      <c r="E588" s="1033"/>
      <c r="F588" s="1033"/>
      <c r="G588" s="1033"/>
      <c r="H588" s="1033"/>
      <c r="I588" s="1033"/>
      <c r="J588" s="1033"/>
      <c r="K588" s="1033"/>
      <c r="L588" s="90"/>
      <c r="M588" s="51"/>
      <c r="N588" s="113">
        <f t="shared" si="67"/>
        <v>6911</v>
      </c>
      <c r="O588" s="575">
        <v>0</v>
      </c>
      <c r="P588" s="582">
        <v>0</v>
      </c>
      <c r="Q588" s="589"/>
      <c r="R588" s="576"/>
      <c r="S588" s="583">
        <f t="shared" si="68"/>
        <v>0</v>
      </c>
      <c r="T588" s="580">
        <f t="shared" si="69"/>
        <v>0</v>
      </c>
      <c r="U588" s="51"/>
      <c r="V588" s="2119"/>
      <c r="W588" s="2116"/>
      <c r="X588" s="43"/>
      <c r="Y588" s="43"/>
      <c r="Z588" s="43"/>
    </row>
    <row r="589" spans="1:26">
      <c r="A589" s="88">
        <v>6912</v>
      </c>
      <c r="B589" s="1033" t="s">
        <v>23</v>
      </c>
      <c r="C589" s="1033"/>
      <c r="D589" s="1033"/>
      <c r="E589" s="1033"/>
      <c r="F589" s="1033"/>
      <c r="G589" s="1033"/>
      <c r="H589" s="1033"/>
      <c r="I589" s="1033"/>
      <c r="J589" s="1033"/>
      <c r="K589" s="1033"/>
      <c r="L589" s="90"/>
      <c r="M589" s="51"/>
      <c r="N589" s="113">
        <f t="shared" si="67"/>
        <v>6912</v>
      </c>
      <c r="O589" s="575">
        <v>0</v>
      </c>
      <c r="P589" s="582">
        <v>0</v>
      </c>
      <c r="Q589" s="589"/>
      <c r="R589" s="576"/>
      <c r="S589" s="583">
        <f t="shared" si="68"/>
        <v>0</v>
      </c>
      <c r="T589" s="580">
        <f t="shared" si="69"/>
        <v>0</v>
      </c>
      <c r="U589" s="51"/>
      <c r="V589" s="2119"/>
      <c r="W589" s="2116"/>
      <c r="X589" s="43"/>
      <c r="Y589" s="43"/>
      <c r="Z589" s="43"/>
    </row>
    <row r="590" spans="1:26" ht="15.75" customHeight="1">
      <c r="A590" s="88">
        <v>6915</v>
      </c>
      <c r="B590" s="1033" t="s">
        <v>24</v>
      </c>
      <c r="C590" s="1033"/>
      <c r="D590" s="1033"/>
      <c r="E590" s="1033"/>
      <c r="F590" s="1033"/>
      <c r="G590" s="1033"/>
      <c r="H590" s="1033"/>
      <c r="I590" s="1033"/>
      <c r="J590" s="1033"/>
      <c r="K590" s="1033"/>
      <c r="L590" s="90"/>
      <c r="M590" s="51"/>
      <c r="N590" s="113">
        <f t="shared" si="67"/>
        <v>6915</v>
      </c>
      <c r="O590" s="575">
        <v>0</v>
      </c>
      <c r="P590" s="582">
        <v>0</v>
      </c>
      <c r="Q590" s="589">
        <v>0</v>
      </c>
      <c r="R590" s="576">
        <v>0</v>
      </c>
      <c r="S590" s="583">
        <f t="shared" si="68"/>
        <v>0</v>
      </c>
      <c r="T590" s="580">
        <f t="shared" si="69"/>
        <v>0</v>
      </c>
      <c r="U590" s="51"/>
      <c r="V590" s="2119"/>
      <c r="W590" s="2116"/>
      <c r="X590" s="43"/>
      <c r="Y590" s="43"/>
      <c r="Z590" s="43"/>
    </row>
    <row r="591" spans="1:26" ht="15.75" customHeight="1">
      <c r="A591" s="88">
        <v>6916</v>
      </c>
      <c r="B591" s="1033" t="s">
        <v>25</v>
      </c>
      <c r="C591" s="1033"/>
      <c r="D591" s="1033"/>
      <c r="E591" s="1033"/>
      <c r="F591" s="1033"/>
      <c r="G591" s="1033"/>
      <c r="H591" s="1033"/>
      <c r="I591" s="1033"/>
      <c r="J591" s="1033"/>
      <c r="K591" s="1033"/>
      <c r="L591" s="90"/>
      <c r="M591" s="51"/>
      <c r="N591" s="113">
        <f t="shared" si="67"/>
        <v>6916</v>
      </c>
      <c r="O591" s="575">
        <v>0</v>
      </c>
      <c r="P591" s="582">
        <v>0</v>
      </c>
      <c r="Q591" s="589"/>
      <c r="R591" s="576"/>
      <c r="S591" s="583">
        <f t="shared" si="68"/>
        <v>0</v>
      </c>
      <c r="T591" s="580">
        <f t="shared" si="69"/>
        <v>0</v>
      </c>
      <c r="U591" s="51"/>
      <c r="V591" s="2119"/>
      <c r="W591" s="2116"/>
      <c r="X591" s="43"/>
      <c r="Y591" s="43"/>
      <c r="Z591" s="43"/>
    </row>
    <row r="592" spans="1:26">
      <c r="A592" s="88">
        <v>6917</v>
      </c>
      <c r="B592" s="1033" t="s">
        <v>26</v>
      </c>
      <c r="C592" s="1033"/>
      <c r="D592" s="1033"/>
      <c r="E592" s="1033"/>
      <c r="F592" s="1033"/>
      <c r="G592" s="1033"/>
      <c r="H592" s="1033"/>
      <c r="I592" s="1033"/>
      <c r="J592" s="1033"/>
      <c r="K592" s="1033"/>
      <c r="L592" s="90"/>
      <c r="M592" s="51"/>
      <c r="N592" s="113">
        <f t="shared" si="67"/>
        <v>6917</v>
      </c>
      <c r="O592" s="575">
        <v>0</v>
      </c>
      <c r="P592" s="582">
        <v>0</v>
      </c>
      <c r="Q592" s="589">
        <v>0</v>
      </c>
      <c r="R592" s="576">
        <v>0</v>
      </c>
      <c r="S592" s="583">
        <f t="shared" si="68"/>
        <v>0</v>
      </c>
      <c r="T592" s="580">
        <f t="shared" si="69"/>
        <v>0</v>
      </c>
      <c r="U592" s="51"/>
      <c r="V592" s="2119"/>
      <c r="W592" s="2116"/>
      <c r="X592" s="43"/>
      <c r="Y592" s="43"/>
      <c r="Z592" s="43"/>
    </row>
    <row r="593" spans="1:26">
      <c r="A593" s="88">
        <v>6918</v>
      </c>
      <c r="B593" s="1033" t="s">
        <v>27</v>
      </c>
      <c r="C593" s="1033"/>
      <c r="D593" s="1033"/>
      <c r="E593" s="1033"/>
      <c r="F593" s="1033"/>
      <c r="G593" s="1033"/>
      <c r="H593" s="1033"/>
      <c r="I593" s="1033"/>
      <c r="J593" s="1033"/>
      <c r="K593" s="1033"/>
      <c r="L593" s="90"/>
      <c r="M593" s="51"/>
      <c r="N593" s="113">
        <f t="shared" si="67"/>
        <v>6918</v>
      </c>
      <c r="O593" s="575">
        <v>0</v>
      </c>
      <c r="P593" s="582">
        <v>0</v>
      </c>
      <c r="Q593" s="589">
        <v>0</v>
      </c>
      <c r="R593" s="576">
        <v>0</v>
      </c>
      <c r="S593" s="583">
        <f t="shared" si="68"/>
        <v>0</v>
      </c>
      <c r="T593" s="580">
        <f t="shared" si="69"/>
        <v>0</v>
      </c>
      <c r="U593" s="51"/>
      <c r="V593" s="2119"/>
      <c r="W593" s="2116"/>
      <c r="X593" s="43"/>
      <c r="Y593" s="43"/>
      <c r="Z593" s="43"/>
    </row>
    <row r="594" spans="1:26" ht="15.75" customHeight="1">
      <c r="A594" s="88">
        <v>6992</v>
      </c>
      <c r="B594" s="1033" t="s">
        <v>28</v>
      </c>
      <c r="C594" s="1033"/>
      <c r="D594" s="1033"/>
      <c r="E594" s="1033"/>
      <c r="F594" s="1033"/>
      <c r="G594" s="1033"/>
      <c r="H594" s="1033"/>
      <c r="I594" s="1033"/>
      <c r="J594" s="1033"/>
      <c r="K594" s="1033"/>
      <c r="L594" s="90"/>
      <c r="M594" s="51"/>
      <c r="N594" s="113">
        <f t="shared" si="67"/>
        <v>6992</v>
      </c>
      <c r="O594" s="575">
        <v>0</v>
      </c>
      <c r="P594" s="582">
        <v>0</v>
      </c>
      <c r="Q594" s="589">
        <v>0</v>
      </c>
      <c r="R594" s="576">
        <v>0</v>
      </c>
      <c r="S594" s="583">
        <f t="shared" si="68"/>
        <v>0</v>
      </c>
      <c r="T594" s="580">
        <f t="shared" si="69"/>
        <v>0</v>
      </c>
      <c r="U594" s="51"/>
      <c r="V594" s="2119"/>
      <c r="W594" s="2116"/>
      <c r="X594" s="43"/>
      <c r="Y594" s="43"/>
      <c r="Z594" s="43"/>
    </row>
    <row r="595" spans="1:26" ht="15.75" customHeight="1">
      <c r="A595" s="88">
        <v>6993</v>
      </c>
      <c r="B595" s="1033" t="s">
        <v>29</v>
      </c>
      <c r="C595" s="1033"/>
      <c r="D595" s="1033"/>
      <c r="E595" s="1033"/>
      <c r="F595" s="1033"/>
      <c r="G595" s="1033"/>
      <c r="H595" s="1033"/>
      <c r="I595" s="1033"/>
      <c r="J595" s="1033"/>
      <c r="K595" s="1033"/>
      <c r="L595" s="90"/>
      <c r="M595" s="51"/>
      <c r="N595" s="113">
        <f t="shared" si="67"/>
        <v>6993</v>
      </c>
      <c r="O595" s="575">
        <v>0</v>
      </c>
      <c r="P595" s="582">
        <v>0</v>
      </c>
      <c r="Q595" s="589"/>
      <c r="R595" s="576"/>
      <c r="S595" s="583">
        <f t="shared" si="68"/>
        <v>0</v>
      </c>
      <c r="T595" s="580">
        <f t="shared" si="69"/>
        <v>0</v>
      </c>
      <c r="U595" s="51"/>
      <c r="V595" s="2119"/>
      <c r="W595" s="2116"/>
      <c r="X595" s="43"/>
      <c r="Y595" s="43"/>
      <c r="Z595" s="43"/>
    </row>
    <row r="596" spans="1:26" ht="15.75" customHeight="1">
      <c r="A596" s="88">
        <v>6994</v>
      </c>
      <c r="B596" s="1033" t="s">
        <v>30</v>
      </c>
      <c r="C596" s="1033"/>
      <c r="D596" s="1033"/>
      <c r="E596" s="1033"/>
      <c r="F596" s="1033"/>
      <c r="G596" s="1033"/>
      <c r="H596" s="1033"/>
      <c r="I596" s="1033"/>
      <c r="J596" s="1033"/>
      <c r="K596" s="1033"/>
      <c r="L596" s="90"/>
      <c r="M596" s="51"/>
      <c r="N596" s="113">
        <f t="shared" si="67"/>
        <v>6994</v>
      </c>
      <c r="O596" s="575">
        <v>0</v>
      </c>
      <c r="P596" s="582">
        <v>0</v>
      </c>
      <c r="Q596" s="589"/>
      <c r="R596" s="576"/>
      <c r="S596" s="583">
        <f t="shared" si="68"/>
        <v>0</v>
      </c>
      <c r="T596" s="580">
        <f t="shared" si="69"/>
        <v>0</v>
      </c>
      <c r="U596" s="51"/>
      <c r="V596" s="2119"/>
      <c r="W596" s="2116"/>
      <c r="X596" s="43"/>
      <c r="Y596" s="43"/>
      <c r="Z596" s="43"/>
    </row>
    <row r="597" spans="1:26" ht="15.75" customHeight="1">
      <c r="A597" s="88">
        <v>6995</v>
      </c>
      <c r="B597" s="1033" t="s">
        <v>31</v>
      </c>
      <c r="C597" s="1033"/>
      <c r="D597" s="1033"/>
      <c r="E597" s="1033"/>
      <c r="F597" s="1033"/>
      <c r="G597" s="1033"/>
      <c r="H597" s="1033"/>
      <c r="I597" s="1033"/>
      <c r="J597" s="1033"/>
      <c r="K597" s="1033"/>
      <c r="L597" s="90"/>
      <c r="M597" s="51"/>
      <c r="N597" s="113">
        <f t="shared" si="67"/>
        <v>6995</v>
      </c>
      <c r="O597" s="575">
        <v>0</v>
      </c>
      <c r="P597" s="582">
        <v>0</v>
      </c>
      <c r="Q597" s="589"/>
      <c r="R597" s="576"/>
      <c r="S597" s="583">
        <f t="shared" si="68"/>
        <v>0</v>
      </c>
      <c r="T597" s="580">
        <f t="shared" si="69"/>
        <v>0</v>
      </c>
      <c r="U597" s="51"/>
      <c r="V597" s="2119"/>
      <c r="W597" s="2116"/>
      <c r="X597" s="43"/>
      <c r="Y597" s="43"/>
      <c r="Z597" s="43"/>
    </row>
    <row r="598" spans="1:26" ht="15.75" customHeight="1">
      <c r="A598" s="88">
        <v>6996</v>
      </c>
      <c r="B598" s="1033" t="s">
        <v>32</v>
      </c>
      <c r="C598" s="1033"/>
      <c r="D598" s="1033"/>
      <c r="E598" s="1033"/>
      <c r="F598" s="1033"/>
      <c r="G598" s="1033"/>
      <c r="H598" s="1033"/>
      <c r="I598" s="1033"/>
      <c r="J598" s="1033"/>
      <c r="K598" s="1033"/>
      <c r="L598" s="90"/>
      <c r="M598" s="51"/>
      <c r="N598" s="113">
        <f t="shared" si="67"/>
        <v>6996</v>
      </c>
      <c r="O598" s="575">
        <v>0</v>
      </c>
      <c r="P598" s="582">
        <v>0</v>
      </c>
      <c r="Q598" s="589"/>
      <c r="R598" s="576"/>
      <c r="S598" s="583">
        <f t="shared" si="68"/>
        <v>0</v>
      </c>
      <c r="T598" s="580">
        <f t="shared" si="69"/>
        <v>0</v>
      </c>
      <c r="U598" s="51"/>
      <c r="V598" s="2119"/>
      <c r="W598" s="2116"/>
      <c r="X598" s="43"/>
      <c r="Y598" s="43"/>
      <c r="Z598" s="43"/>
    </row>
    <row r="599" spans="1:26" ht="15.75" customHeight="1">
      <c r="A599" s="88">
        <v>6997</v>
      </c>
      <c r="B599" s="1033" t="s">
        <v>33</v>
      </c>
      <c r="C599" s="1033"/>
      <c r="D599" s="1033"/>
      <c r="E599" s="1033"/>
      <c r="F599" s="1033"/>
      <c r="G599" s="1033"/>
      <c r="H599" s="1033"/>
      <c r="I599" s="1033"/>
      <c r="J599" s="1033"/>
      <c r="K599" s="1033"/>
      <c r="L599" s="90"/>
      <c r="M599" s="51"/>
      <c r="N599" s="113">
        <f t="shared" si="67"/>
        <v>6997</v>
      </c>
      <c r="O599" s="575">
        <v>0</v>
      </c>
      <c r="P599" s="582">
        <v>0</v>
      </c>
      <c r="Q599" s="589"/>
      <c r="R599" s="576"/>
      <c r="S599" s="583">
        <f t="shared" si="68"/>
        <v>0</v>
      </c>
      <c r="T599" s="580">
        <f t="shared" si="69"/>
        <v>0</v>
      </c>
      <c r="U599" s="51"/>
      <c r="V599" s="2119"/>
      <c r="W599" s="2116"/>
      <c r="X599" s="43"/>
      <c r="Y599" s="43"/>
      <c r="Z599" s="43"/>
    </row>
    <row r="600" spans="1:26" ht="15.75" customHeight="1">
      <c r="A600" s="88">
        <v>6998</v>
      </c>
      <c r="B600" s="1033" t="s">
        <v>34</v>
      </c>
      <c r="C600" s="1033"/>
      <c r="D600" s="1033"/>
      <c r="E600" s="1033"/>
      <c r="F600" s="1033"/>
      <c r="G600" s="1033"/>
      <c r="H600" s="1033"/>
      <c r="I600" s="1033"/>
      <c r="J600" s="1033"/>
      <c r="K600" s="1033"/>
      <c r="L600" s="90"/>
      <c r="M600" s="51"/>
      <c r="N600" s="113">
        <f t="shared" si="67"/>
        <v>6998</v>
      </c>
      <c r="O600" s="575">
        <v>0</v>
      </c>
      <c r="P600" s="582">
        <v>0</v>
      </c>
      <c r="Q600" s="589"/>
      <c r="R600" s="576"/>
      <c r="S600" s="583">
        <f t="shared" si="68"/>
        <v>0</v>
      </c>
      <c r="T600" s="580">
        <f t="shared" si="69"/>
        <v>0</v>
      </c>
      <c r="U600" s="51"/>
      <c r="V600" s="2119"/>
      <c r="W600" s="2116"/>
      <c r="X600" s="43"/>
      <c r="Y600" s="43"/>
      <c r="Z600" s="43"/>
    </row>
    <row r="601" spans="1:26">
      <c r="A601" s="1030" t="s">
        <v>1160</v>
      </c>
      <c r="B601" s="399"/>
      <c r="C601" s="399"/>
      <c r="D601" s="399"/>
      <c r="E601" s="399"/>
      <c r="F601" s="399"/>
      <c r="G601" s="399"/>
      <c r="H601" s="399"/>
      <c r="I601" s="399"/>
      <c r="J601" s="399"/>
      <c r="K601" s="399"/>
      <c r="L601" s="381"/>
      <c r="M601" s="51"/>
      <c r="N601" s="383">
        <v>7</v>
      </c>
      <c r="O601" s="384"/>
      <c r="P601" s="385"/>
      <c r="Q601" s="386"/>
      <c r="R601" s="385"/>
      <c r="S601" s="386"/>
      <c r="T601" s="387"/>
      <c r="U601" s="51"/>
      <c r="V601" s="2119"/>
      <c r="W601" s="2116"/>
      <c r="X601" s="43"/>
      <c r="Y601" s="43"/>
      <c r="Z601" s="43"/>
    </row>
    <row r="602" spans="1:26">
      <c r="A602" s="85">
        <v>7011</v>
      </c>
      <c r="B602" s="419" t="s">
        <v>667</v>
      </c>
      <c r="C602" s="86"/>
      <c r="D602" s="86"/>
      <c r="E602" s="86"/>
      <c r="F602" s="86"/>
      <c r="G602" s="86"/>
      <c r="H602" s="86"/>
      <c r="I602" s="86"/>
      <c r="J602" s="86"/>
      <c r="K602" s="86"/>
      <c r="L602" s="87"/>
      <c r="M602" s="51"/>
      <c r="N602" s="112">
        <f t="shared" ref="N602:N665" si="70">+A602</f>
        <v>7011</v>
      </c>
      <c r="O602" s="328">
        <v>0</v>
      </c>
      <c r="P602" s="329">
        <v>0</v>
      </c>
      <c r="Q602" s="325">
        <v>0</v>
      </c>
      <c r="R602" s="324">
        <v>0</v>
      </c>
      <c r="S602" s="326">
        <f t="shared" ref="S602:S640" si="71">+IF(ABS(+O602+Q602)&gt;=ABS(P602+R602),+O602-P602+Q602-R602,0)</f>
        <v>0</v>
      </c>
      <c r="T602" s="327">
        <f>+IF(ABS(+O602+Q602)&lt;=ABS(P602+R602),-O602+P602-Q602+R602,0)</f>
        <v>0</v>
      </c>
      <c r="U602" s="51"/>
      <c r="V602" s="2119"/>
      <c r="W602" s="2116"/>
      <c r="X602" s="43"/>
      <c r="Y602" s="43"/>
      <c r="Z602" s="43"/>
    </row>
    <row r="603" spans="1:26">
      <c r="A603" s="88">
        <v>7012</v>
      </c>
      <c r="B603" s="1032" t="s">
        <v>668</v>
      </c>
      <c r="C603" s="1033"/>
      <c r="D603" s="1033"/>
      <c r="E603" s="1033"/>
      <c r="F603" s="1033"/>
      <c r="G603" s="1033"/>
      <c r="H603" s="1033"/>
      <c r="I603" s="1033"/>
      <c r="J603" s="1033"/>
      <c r="K603" s="1033"/>
      <c r="L603" s="90"/>
      <c r="M603" s="51"/>
      <c r="N603" s="113">
        <f t="shared" si="70"/>
        <v>7012</v>
      </c>
      <c r="O603" s="8">
        <v>0</v>
      </c>
      <c r="P603" s="9">
        <v>0</v>
      </c>
      <c r="Q603" s="122"/>
      <c r="R603" s="121"/>
      <c r="S603" s="583">
        <f t="shared" si="71"/>
        <v>0</v>
      </c>
      <c r="T603" s="580">
        <f>+IF(ABS(+O603+Q603)&lt;=ABS(P603+R603),-O603+P603-Q603+R603,0)</f>
        <v>0</v>
      </c>
      <c r="U603" s="51"/>
      <c r="V603" s="2119"/>
      <c r="W603" s="2116"/>
      <c r="X603" s="43"/>
      <c r="Y603" s="43"/>
      <c r="Z603" s="43"/>
    </row>
    <row r="604" spans="1:26">
      <c r="A604" s="88">
        <v>7013</v>
      </c>
      <c r="B604" s="1032" t="s">
        <v>669</v>
      </c>
      <c r="C604" s="1033"/>
      <c r="D604" s="1033"/>
      <c r="E604" s="1033"/>
      <c r="F604" s="1033"/>
      <c r="G604" s="1033"/>
      <c r="H604" s="1033"/>
      <c r="I604" s="1033"/>
      <c r="J604" s="1033"/>
      <c r="K604" s="1033"/>
      <c r="L604" s="90"/>
      <c r="M604" s="51"/>
      <c r="N604" s="113">
        <f t="shared" si="70"/>
        <v>7013</v>
      </c>
      <c r="O604" s="8">
        <v>0</v>
      </c>
      <c r="P604" s="9">
        <v>0</v>
      </c>
      <c r="Q604" s="122"/>
      <c r="R604" s="576"/>
      <c r="S604" s="583">
        <f t="shared" si="71"/>
        <v>0</v>
      </c>
      <c r="T604" s="584">
        <v>0</v>
      </c>
      <c r="U604" s="51"/>
      <c r="V604" s="2120">
        <f>+IF(OR(ROUND(P604,2)+ROUND(R604,2)&gt;+ROUND(O604,2)+ROUND(Q604,2),+ABS(ROUND(P604,2)+ROUND(R604,2))&gt;+ABS(ROUND(O604,2)+ROUND(Q604,2))),+(ROUND(P604,2)+ROUND(R604,2))-(ROUND(O604,2)+ROUND(Q604,2)),0)</f>
        <v>0</v>
      </c>
      <c r="W604" s="2116"/>
      <c r="X604" s="43"/>
      <c r="Y604" s="43"/>
      <c r="Z604" s="43"/>
    </row>
    <row r="605" spans="1:26">
      <c r="A605" s="88">
        <v>7014</v>
      </c>
      <c r="B605" s="1032" t="s">
        <v>670</v>
      </c>
      <c r="C605" s="1033"/>
      <c r="D605" s="1033"/>
      <c r="E605" s="1033"/>
      <c r="F605" s="1033"/>
      <c r="G605" s="1033"/>
      <c r="H605" s="1033"/>
      <c r="I605" s="1033"/>
      <c r="J605" s="1033"/>
      <c r="K605" s="1033"/>
      <c r="L605" s="90"/>
      <c r="M605" s="51"/>
      <c r="N605" s="113">
        <f t="shared" si="70"/>
        <v>7014</v>
      </c>
      <c r="O605" s="8">
        <v>0</v>
      </c>
      <c r="P605" s="9">
        <v>0</v>
      </c>
      <c r="Q605" s="122">
        <v>0</v>
      </c>
      <c r="R605" s="121">
        <v>0</v>
      </c>
      <c r="S605" s="583">
        <f t="shared" si="71"/>
        <v>0</v>
      </c>
      <c r="T605" s="580">
        <f>+IF(ABS(+O605+Q605)&lt;=ABS(P605+R605),-O605+P605-Q605+R605,0)</f>
        <v>0</v>
      </c>
      <c r="U605" s="51"/>
      <c r="V605" s="2119"/>
      <c r="W605" s="2116"/>
      <c r="X605" s="43"/>
      <c r="Y605" s="43"/>
      <c r="Z605" s="43"/>
    </row>
    <row r="606" spans="1:26">
      <c r="A606" s="88">
        <v>7041</v>
      </c>
      <c r="B606" s="1032" t="s">
        <v>1936</v>
      </c>
      <c r="C606" s="1033"/>
      <c r="D606" s="1033"/>
      <c r="E606" s="1033"/>
      <c r="F606" s="1033"/>
      <c r="G606" s="1033"/>
      <c r="H606" s="1033"/>
      <c r="I606" s="1033"/>
      <c r="J606" s="1033"/>
      <c r="K606" s="1033"/>
      <c r="L606" s="90"/>
      <c r="M606" s="51"/>
      <c r="N606" s="113">
        <f t="shared" si="70"/>
        <v>7041</v>
      </c>
      <c r="O606" s="8">
        <v>0</v>
      </c>
      <c r="P606" s="9">
        <v>0</v>
      </c>
      <c r="Q606" s="122">
        <v>0</v>
      </c>
      <c r="R606" s="121">
        <v>0</v>
      </c>
      <c r="S606" s="583">
        <f t="shared" si="71"/>
        <v>0</v>
      </c>
      <c r="T606" s="580">
        <f>+IF(ABS(+O606+Q606)&lt;=ABS(P606+R606),-O606+P606-Q606+R606,0)</f>
        <v>0</v>
      </c>
      <c r="U606" s="51"/>
      <c r="V606" s="2119"/>
      <c r="W606" s="2116"/>
      <c r="X606" s="43"/>
      <c r="Y606" s="43"/>
      <c r="Z606" s="43"/>
    </row>
    <row r="607" spans="1:26">
      <c r="A607" s="88">
        <v>7042</v>
      </c>
      <c r="B607" s="1032" t="s">
        <v>1937</v>
      </c>
      <c r="C607" s="1033"/>
      <c r="D607" s="1033"/>
      <c r="E607" s="1033"/>
      <c r="F607" s="1033"/>
      <c r="G607" s="1033"/>
      <c r="H607" s="1033"/>
      <c r="I607" s="1033"/>
      <c r="J607" s="1033"/>
      <c r="K607" s="1033"/>
      <c r="L607" s="90"/>
      <c r="M607" s="51"/>
      <c r="N607" s="113">
        <f t="shared" si="70"/>
        <v>7042</v>
      </c>
      <c r="O607" s="8">
        <v>0</v>
      </c>
      <c r="P607" s="9">
        <v>0</v>
      </c>
      <c r="Q607" s="122"/>
      <c r="R607" s="121"/>
      <c r="S607" s="583">
        <f t="shared" si="71"/>
        <v>0</v>
      </c>
      <c r="T607" s="580">
        <f>+IF(ABS(+O607+Q607)&lt;=ABS(P607+R607),-O607+P607-Q607+R607,0)</f>
        <v>0</v>
      </c>
      <c r="U607" s="51"/>
      <c r="V607" s="2119"/>
      <c r="W607" s="2116"/>
      <c r="X607" s="43"/>
      <c r="Y607" s="43"/>
      <c r="Z607" s="43"/>
    </row>
    <row r="608" spans="1:26">
      <c r="A608" s="88">
        <v>7043</v>
      </c>
      <c r="B608" s="1032" t="s">
        <v>1938</v>
      </c>
      <c r="C608" s="1033"/>
      <c r="D608" s="1033"/>
      <c r="E608" s="1033"/>
      <c r="F608" s="1033"/>
      <c r="G608" s="1033"/>
      <c r="H608" s="1033"/>
      <c r="I608" s="1033"/>
      <c r="J608" s="1033"/>
      <c r="K608" s="1033"/>
      <c r="L608" s="90"/>
      <c r="M608" s="51"/>
      <c r="N608" s="113">
        <f t="shared" si="70"/>
        <v>7043</v>
      </c>
      <c r="O608" s="8">
        <v>0</v>
      </c>
      <c r="P608" s="9">
        <v>0</v>
      </c>
      <c r="Q608" s="122"/>
      <c r="R608" s="576"/>
      <c r="S608" s="583">
        <f t="shared" si="71"/>
        <v>0</v>
      </c>
      <c r="T608" s="584">
        <v>0</v>
      </c>
      <c r="U608" s="51"/>
      <c r="V608" s="2120">
        <f>+IF(OR(ROUND(P608,2)+ROUND(R608,2)&gt;+ROUND(O608,2)+ROUND(Q608,2),+ABS(ROUND(P608,2)+ROUND(R608,2))&gt;+ABS(ROUND(O608,2)+ROUND(Q608,2))),+(ROUND(P608,2)+ROUND(R608,2))-(ROUND(O608,2)+ROUND(Q608,2)),0)</f>
        <v>0</v>
      </c>
      <c r="W608" s="2116"/>
      <c r="X608" s="43"/>
      <c r="Y608" s="43"/>
      <c r="Z608" s="43"/>
    </row>
    <row r="609" spans="1:26">
      <c r="A609" s="88">
        <v>7044</v>
      </c>
      <c r="B609" s="1032" t="s">
        <v>1939</v>
      </c>
      <c r="C609" s="1033"/>
      <c r="D609" s="1033"/>
      <c r="E609" s="1033"/>
      <c r="F609" s="1033"/>
      <c r="G609" s="1033"/>
      <c r="H609" s="1033"/>
      <c r="I609" s="1033"/>
      <c r="J609" s="1033"/>
      <c r="K609" s="1033"/>
      <c r="L609" s="90"/>
      <c r="M609" s="51"/>
      <c r="N609" s="113">
        <f t="shared" si="70"/>
        <v>7044</v>
      </c>
      <c r="O609" s="8">
        <v>0</v>
      </c>
      <c r="P609" s="9">
        <v>0</v>
      </c>
      <c r="Q609" s="122"/>
      <c r="R609" s="121"/>
      <c r="S609" s="583">
        <f t="shared" si="71"/>
        <v>0</v>
      </c>
      <c r="T609" s="580">
        <f t="shared" ref="T609:T640" si="72">+IF(ABS(+O609+Q609)&lt;=ABS(P609+R609),-O609+P609-Q609+R609,0)</f>
        <v>0</v>
      </c>
      <c r="U609" s="51"/>
      <c r="V609" s="2119"/>
      <c r="W609" s="2116"/>
      <c r="X609" s="43"/>
      <c r="Y609" s="43"/>
      <c r="Z609" s="43"/>
    </row>
    <row r="610" spans="1:26">
      <c r="A610" s="88">
        <v>7051</v>
      </c>
      <c r="B610" s="1032" t="s">
        <v>671</v>
      </c>
      <c r="C610" s="1033"/>
      <c r="D610" s="1033"/>
      <c r="E610" s="1033"/>
      <c r="F610" s="1033"/>
      <c r="G610" s="1033"/>
      <c r="H610" s="1033"/>
      <c r="I610" s="1033"/>
      <c r="J610" s="1033"/>
      <c r="K610" s="1033"/>
      <c r="L610" s="90"/>
      <c r="M610" s="51"/>
      <c r="N610" s="113">
        <f t="shared" si="70"/>
        <v>7051</v>
      </c>
      <c r="O610" s="8">
        <v>0</v>
      </c>
      <c r="P610" s="9">
        <v>0</v>
      </c>
      <c r="Q610" s="122">
        <v>0</v>
      </c>
      <c r="R610" s="121">
        <v>0</v>
      </c>
      <c r="S610" s="583">
        <f t="shared" si="71"/>
        <v>0</v>
      </c>
      <c r="T610" s="580">
        <f t="shared" si="72"/>
        <v>0</v>
      </c>
      <c r="U610" s="51"/>
      <c r="V610" s="2119"/>
      <c r="W610" s="2116"/>
      <c r="X610" s="43"/>
      <c r="Y610" s="43"/>
      <c r="Z610" s="43"/>
    </row>
    <row r="611" spans="1:26">
      <c r="A611" s="88">
        <v>7052</v>
      </c>
      <c r="B611" s="1032" t="s">
        <v>672</v>
      </c>
      <c r="C611" s="1033"/>
      <c r="D611" s="1033"/>
      <c r="E611" s="1033"/>
      <c r="F611" s="1033"/>
      <c r="G611" s="1033"/>
      <c r="H611" s="1033"/>
      <c r="I611" s="1033"/>
      <c r="J611" s="1033"/>
      <c r="K611" s="1033"/>
      <c r="L611" s="90"/>
      <c r="M611" s="51"/>
      <c r="N611" s="113">
        <f t="shared" si="70"/>
        <v>7052</v>
      </c>
      <c r="O611" s="575">
        <v>0</v>
      </c>
      <c r="P611" s="582">
        <v>0</v>
      </c>
      <c r="Q611" s="589"/>
      <c r="R611" s="576"/>
      <c r="S611" s="583">
        <f t="shared" si="71"/>
        <v>0</v>
      </c>
      <c r="T611" s="580">
        <f t="shared" si="72"/>
        <v>0</v>
      </c>
      <c r="U611" s="51"/>
      <c r="V611" s="2119"/>
      <c r="W611" s="2116"/>
      <c r="X611" s="43"/>
      <c r="Y611" s="43"/>
      <c r="Z611" s="43"/>
    </row>
    <row r="612" spans="1:26">
      <c r="A612" s="88">
        <v>7090</v>
      </c>
      <c r="B612" s="1035" t="s">
        <v>673</v>
      </c>
      <c r="C612" s="1033"/>
      <c r="D612" s="1033"/>
      <c r="E612" s="1033"/>
      <c r="F612" s="1033"/>
      <c r="G612" s="1033"/>
      <c r="H612" s="1033"/>
      <c r="I612" s="1033"/>
      <c r="J612" s="1033"/>
      <c r="K612" s="1033"/>
      <c r="L612" s="90"/>
      <c r="M612" s="51"/>
      <c r="N612" s="113">
        <f t="shared" si="70"/>
        <v>7090</v>
      </c>
      <c r="O612" s="575">
        <v>0</v>
      </c>
      <c r="P612" s="582">
        <v>0</v>
      </c>
      <c r="Q612" s="589">
        <v>0</v>
      </c>
      <c r="R612" s="576">
        <v>0</v>
      </c>
      <c r="S612" s="583">
        <f t="shared" si="71"/>
        <v>0</v>
      </c>
      <c r="T612" s="580">
        <f t="shared" si="72"/>
        <v>0</v>
      </c>
      <c r="U612" s="51"/>
      <c r="V612" s="2119"/>
      <c r="W612" s="2116"/>
      <c r="X612" s="43"/>
      <c r="Y612" s="43"/>
      <c r="Z612" s="43"/>
    </row>
    <row r="613" spans="1:26">
      <c r="A613" s="88">
        <v>7110</v>
      </c>
      <c r="B613" s="1033" t="s">
        <v>674</v>
      </c>
      <c r="C613" s="1033"/>
      <c r="D613" s="1033"/>
      <c r="E613" s="1033"/>
      <c r="F613" s="1033"/>
      <c r="G613" s="1033"/>
      <c r="H613" s="1033"/>
      <c r="I613" s="1033"/>
      <c r="J613" s="1033"/>
      <c r="K613" s="1033"/>
      <c r="L613" s="90"/>
      <c r="M613" s="51"/>
      <c r="N613" s="113">
        <f t="shared" si="70"/>
        <v>7110</v>
      </c>
      <c r="O613" s="575">
        <v>0</v>
      </c>
      <c r="P613" s="582">
        <v>0</v>
      </c>
      <c r="Q613" s="589">
        <v>0</v>
      </c>
      <c r="R613" s="576">
        <v>0</v>
      </c>
      <c r="S613" s="583">
        <f t="shared" si="71"/>
        <v>0</v>
      </c>
      <c r="T613" s="580">
        <f t="shared" si="72"/>
        <v>0</v>
      </c>
      <c r="U613" s="51"/>
      <c r="V613" s="2119"/>
      <c r="W613" s="2116"/>
      <c r="X613" s="43"/>
      <c r="Y613" s="43"/>
      <c r="Z613" s="43"/>
    </row>
    <row r="614" spans="1:26">
      <c r="A614" s="88">
        <v>7111</v>
      </c>
      <c r="B614" s="1033" t="s">
        <v>675</v>
      </c>
      <c r="C614" s="1033"/>
      <c r="D614" s="1033"/>
      <c r="E614" s="1033"/>
      <c r="F614" s="1033"/>
      <c r="G614" s="1033"/>
      <c r="H614" s="1033"/>
      <c r="I614" s="1033"/>
      <c r="J614" s="1033"/>
      <c r="K614" s="1033"/>
      <c r="L614" s="90"/>
      <c r="M614" s="51"/>
      <c r="N614" s="113">
        <f t="shared" si="70"/>
        <v>7111</v>
      </c>
      <c r="O614" s="575">
        <v>0</v>
      </c>
      <c r="P614" s="582">
        <v>0</v>
      </c>
      <c r="Q614" s="589"/>
      <c r="R614" s="576"/>
      <c r="S614" s="583">
        <f t="shared" si="71"/>
        <v>0</v>
      </c>
      <c r="T614" s="580">
        <f t="shared" si="72"/>
        <v>0</v>
      </c>
      <c r="U614" s="51"/>
      <c r="V614" s="2119"/>
      <c r="W614" s="2116"/>
      <c r="X614" s="43"/>
      <c r="Y614" s="43"/>
      <c r="Z614" s="43"/>
    </row>
    <row r="615" spans="1:26">
      <c r="A615" s="88">
        <v>7112</v>
      </c>
      <c r="B615" s="1033" t="s">
        <v>676</v>
      </c>
      <c r="C615" s="1033"/>
      <c r="D615" s="1033"/>
      <c r="E615" s="1033"/>
      <c r="F615" s="1033"/>
      <c r="G615" s="1033"/>
      <c r="H615" s="1033"/>
      <c r="I615" s="1033"/>
      <c r="J615" s="1033"/>
      <c r="K615" s="1033"/>
      <c r="L615" s="90"/>
      <c r="M615" s="51"/>
      <c r="N615" s="113">
        <f t="shared" si="70"/>
        <v>7112</v>
      </c>
      <c r="O615" s="575">
        <v>0</v>
      </c>
      <c r="P615" s="582">
        <v>0</v>
      </c>
      <c r="Q615" s="589">
        <v>0</v>
      </c>
      <c r="R615" s="576">
        <v>0</v>
      </c>
      <c r="S615" s="583">
        <f t="shared" si="71"/>
        <v>0</v>
      </c>
      <c r="T615" s="580">
        <f t="shared" si="72"/>
        <v>0</v>
      </c>
      <c r="U615" s="51"/>
      <c r="V615" s="2119"/>
      <c r="W615" s="2116"/>
      <c r="X615" s="43"/>
      <c r="Y615" s="43"/>
      <c r="Z615" s="43"/>
    </row>
    <row r="616" spans="1:26">
      <c r="A616" s="88">
        <v>7113</v>
      </c>
      <c r="B616" s="1033" t="s">
        <v>677</v>
      </c>
      <c r="C616" s="1033"/>
      <c r="D616" s="1033"/>
      <c r="E616" s="1033"/>
      <c r="F616" s="1033"/>
      <c r="G616" s="1033"/>
      <c r="H616" s="1033"/>
      <c r="I616" s="1033"/>
      <c r="J616" s="1033"/>
      <c r="K616" s="1033"/>
      <c r="L616" s="90"/>
      <c r="M616" s="51"/>
      <c r="N616" s="113">
        <f t="shared" si="70"/>
        <v>7113</v>
      </c>
      <c r="O616" s="575">
        <v>0</v>
      </c>
      <c r="P616" s="582">
        <v>0</v>
      </c>
      <c r="Q616" s="589">
        <v>0</v>
      </c>
      <c r="R616" s="576">
        <v>0</v>
      </c>
      <c r="S616" s="583">
        <f t="shared" si="71"/>
        <v>0</v>
      </c>
      <c r="T616" s="580">
        <f t="shared" si="72"/>
        <v>0</v>
      </c>
      <c r="U616" s="51"/>
      <c r="V616" s="2119"/>
      <c r="W616" s="2116"/>
      <c r="X616" s="43"/>
      <c r="Y616" s="43"/>
      <c r="Z616" s="43"/>
    </row>
    <row r="617" spans="1:26">
      <c r="A617" s="88">
        <v>7114</v>
      </c>
      <c r="B617" s="1033" t="s">
        <v>678</v>
      </c>
      <c r="C617" s="1033"/>
      <c r="D617" s="1033"/>
      <c r="E617" s="1033"/>
      <c r="F617" s="1033"/>
      <c r="G617" s="1033"/>
      <c r="H617" s="1033"/>
      <c r="I617" s="1033"/>
      <c r="J617" s="1033"/>
      <c r="K617" s="1033"/>
      <c r="L617" s="90"/>
      <c r="M617" s="51"/>
      <c r="N617" s="113">
        <f t="shared" si="70"/>
        <v>7114</v>
      </c>
      <c r="O617" s="575">
        <v>0</v>
      </c>
      <c r="P617" s="582">
        <v>0</v>
      </c>
      <c r="Q617" s="589">
        <v>0</v>
      </c>
      <c r="R617" s="576">
        <v>0</v>
      </c>
      <c r="S617" s="583">
        <f t="shared" si="71"/>
        <v>0</v>
      </c>
      <c r="T617" s="580">
        <f t="shared" si="72"/>
        <v>0</v>
      </c>
      <c r="U617" s="51"/>
      <c r="V617" s="2119"/>
      <c r="W617" s="2116"/>
      <c r="X617" s="43"/>
      <c r="Y617" s="43"/>
      <c r="Z617" s="43"/>
    </row>
    <row r="618" spans="1:26">
      <c r="A618" s="88">
        <v>7115</v>
      </c>
      <c r="B618" s="1033" t="s">
        <v>679</v>
      </c>
      <c r="C618" s="1033"/>
      <c r="D618" s="1033"/>
      <c r="E618" s="1033"/>
      <c r="F618" s="1033"/>
      <c r="G618" s="1033"/>
      <c r="H618" s="1033"/>
      <c r="I618" s="1033"/>
      <c r="J618" s="1033"/>
      <c r="K618" s="1033"/>
      <c r="L618" s="90"/>
      <c r="M618" s="51"/>
      <c r="N618" s="113">
        <f t="shared" si="70"/>
        <v>7115</v>
      </c>
      <c r="O618" s="575">
        <v>0</v>
      </c>
      <c r="P618" s="582">
        <v>0</v>
      </c>
      <c r="Q618" s="589"/>
      <c r="R618" s="576"/>
      <c r="S618" s="583">
        <f t="shared" si="71"/>
        <v>0</v>
      </c>
      <c r="T618" s="580">
        <f t="shared" si="72"/>
        <v>0</v>
      </c>
      <c r="U618" s="51"/>
      <c r="V618" s="2119"/>
      <c r="W618" s="2116"/>
      <c r="X618" s="43"/>
      <c r="Y618" s="43"/>
      <c r="Z618" s="43"/>
    </row>
    <row r="619" spans="1:26">
      <c r="A619" s="88">
        <v>7121</v>
      </c>
      <c r="B619" s="1033" t="s">
        <v>680</v>
      </c>
      <c r="C619" s="1033"/>
      <c r="D619" s="1033"/>
      <c r="E619" s="1033"/>
      <c r="F619" s="1033"/>
      <c r="G619" s="1033"/>
      <c r="H619" s="1033"/>
      <c r="I619" s="1033"/>
      <c r="J619" s="1033"/>
      <c r="K619" s="1033"/>
      <c r="L619" s="90"/>
      <c r="M619" s="51"/>
      <c r="N619" s="113">
        <f t="shared" si="70"/>
        <v>7121</v>
      </c>
      <c r="O619" s="575">
        <v>0</v>
      </c>
      <c r="P619" s="582">
        <v>0</v>
      </c>
      <c r="Q619" s="589">
        <v>0</v>
      </c>
      <c r="R619" s="576">
        <v>0</v>
      </c>
      <c r="S619" s="583">
        <f t="shared" si="71"/>
        <v>0</v>
      </c>
      <c r="T619" s="580">
        <f t="shared" si="72"/>
        <v>0</v>
      </c>
      <c r="U619" s="51"/>
      <c r="V619" s="2119"/>
      <c r="W619" s="2116"/>
      <c r="X619" s="43"/>
      <c r="Y619" s="43"/>
      <c r="Z619" s="43"/>
    </row>
    <row r="620" spans="1:26">
      <c r="A620" s="88">
        <v>7122</v>
      </c>
      <c r="B620" s="1033" t="s">
        <v>681</v>
      </c>
      <c r="C620" s="1033"/>
      <c r="D620" s="1033"/>
      <c r="E620" s="1033"/>
      <c r="F620" s="1033"/>
      <c r="G620" s="1033"/>
      <c r="H620" s="1033"/>
      <c r="I620" s="1033"/>
      <c r="J620" s="1033"/>
      <c r="K620" s="1033"/>
      <c r="L620" s="90"/>
      <c r="M620" s="51"/>
      <c r="N620" s="113">
        <f t="shared" si="70"/>
        <v>7122</v>
      </c>
      <c r="O620" s="575">
        <v>0</v>
      </c>
      <c r="P620" s="582">
        <v>0</v>
      </c>
      <c r="Q620" s="589"/>
      <c r="R620" s="576"/>
      <c r="S620" s="583">
        <f t="shared" si="71"/>
        <v>0</v>
      </c>
      <c r="T620" s="580">
        <f t="shared" si="72"/>
        <v>0</v>
      </c>
      <c r="U620" s="51"/>
      <c r="V620" s="2119"/>
      <c r="W620" s="2116"/>
      <c r="X620" s="43"/>
      <c r="Y620" s="43"/>
      <c r="Z620" s="43"/>
    </row>
    <row r="621" spans="1:26">
      <c r="A621" s="88">
        <v>7123</v>
      </c>
      <c r="B621" s="1033" t="s">
        <v>682</v>
      </c>
      <c r="C621" s="1033"/>
      <c r="D621" s="1033"/>
      <c r="E621" s="1033"/>
      <c r="F621" s="1033"/>
      <c r="G621" s="1033"/>
      <c r="H621" s="1033"/>
      <c r="I621" s="1033"/>
      <c r="J621" s="1033"/>
      <c r="K621" s="1033"/>
      <c r="L621" s="90"/>
      <c r="M621" s="51"/>
      <c r="N621" s="113">
        <f t="shared" si="70"/>
        <v>7123</v>
      </c>
      <c r="O621" s="575">
        <v>0</v>
      </c>
      <c r="P621" s="582">
        <v>0</v>
      </c>
      <c r="Q621" s="589">
        <v>0</v>
      </c>
      <c r="R621" s="576">
        <v>0</v>
      </c>
      <c r="S621" s="583">
        <f t="shared" si="71"/>
        <v>0</v>
      </c>
      <c r="T621" s="580">
        <f t="shared" si="72"/>
        <v>0</v>
      </c>
      <c r="U621" s="51"/>
      <c r="V621" s="2119"/>
      <c r="W621" s="2116"/>
      <c r="X621" s="43"/>
      <c r="Y621" s="43"/>
      <c r="Z621" s="43"/>
    </row>
    <row r="622" spans="1:26">
      <c r="A622" s="88">
        <v>7124</v>
      </c>
      <c r="B622" s="1033" t="s">
        <v>683</v>
      </c>
      <c r="C622" s="1033"/>
      <c r="D622" s="1033"/>
      <c r="E622" s="1033"/>
      <c r="F622" s="1033"/>
      <c r="G622" s="1033"/>
      <c r="H622" s="1033"/>
      <c r="I622" s="1033"/>
      <c r="J622" s="1033"/>
      <c r="K622" s="1033"/>
      <c r="L622" s="90"/>
      <c r="M622" s="51"/>
      <c r="N622" s="113">
        <f t="shared" si="70"/>
        <v>7124</v>
      </c>
      <c r="O622" s="575">
        <v>0</v>
      </c>
      <c r="P622" s="582">
        <v>0</v>
      </c>
      <c r="Q622" s="589"/>
      <c r="R622" s="576"/>
      <c r="S622" s="583">
        <f t="shared" si="71"/>
        <v>0</v>
      </c>
      <c r="T622" s="580">
        <f t="shared" si="72"/>
        <v>0</v>
      </c>
      <c r="U622" s="51"/>
      <c r="V622" s="2119"/>
      <c r="W622" s="2116"/>
      <c r="X622" s="43"/>
      <c r="Y622" s="43"/>
      <c r="Z622" s="43"/>
    </row>
    <row r="623" spans="1:26">
      <c r="A623" s="88">
        <v>7131</v>
      </c>
      <c r="B623" s="1033" t="s">
        <v>684</v>
      </c>
      <c r="C623" s="1033"/>
      <c r="D623" s="1033"/>
      <c r="E623" s="1033"/>
      <c r="F623" s="1033"/>
      <c r="G623" s="1033"/>
      <c r="H623" s="1033"/>
      <c r="I623" s="1033"/>
      <c r="J623" s="1033"/>
      <c r="K623" s="1033"/>
      <c r="L623" s="90"/>
      <c r="M623" s="51"/>
      <c r="N623" s="113">
        <f t="shared" si="70"/>
        <v>7131</v>
      </c>
      <c r="O623" s="575">
        <v>0</v>
      </c>
      <c r="P623" s="582">
        <v>0</v>
      </c>
      <c r="Q623" s="589">
        <v>0</v>
      </c>
      <c r="R623" s="576">
        <v>0</v>
      </c>
      <c r="S623" s="583">
        <f t="shared" si="71"/>
        <v>0</v>
      </c>
      <c r="T623" s="580">
        <f t="shared" si="72"/>
        <v>0</v>
      </c>
      <c r="U623" s="51"/>
      <c r="V623" s="2119"/>
      <c r="W623" s="2116"/>
      <c r="X623" s="43"/>
      <c r="Y623" s="43"/>
      <c r="Z623" s="43"/>
    </row>
    <row r="624" spans="1:26">
      <c r="A624" s="88">
        <f>1+A623</f>
        <v>7132</v>
      </c>
      <c r="B624" s="1033" t="s">
        <v>685</v>
      </c>
      <c r="C624" s="1033"/>
      <c r="D624" s="1033"/>
      <c r="E624" s="1033"/>
      <c r="F624" s="1033"/>
      <c r="G624" s="1033"/>
      <c r="H624" s="1033"/>
      <c r="I624" s="1033"/>
      <c r="J624" s="1033"/>
      <c r="K624" s="1033"/>
      <c r="L624" s="90"/>
      <c r="M624" s="51"/>
      <c r="N624" s="113">
        <f t="shared" si="70"/>
        <v>7132</v>
      </c>
      <c r="O624" s="575">
        <v>0</v>
      </c>
      <c r="P624" s="582">
        <v>0</v>
      </c>
      <c r="Q624" s="589"/>
      <c r="R624" s="576"/>
      <c r="S624" s="583">
        <f t="shared" si="71"/>
        <v>0</v>
      </c>
      <c r="T624" s="580">
        <f t="shared" si="72"/>
        <v>0</v>
      </c>
      <c r="U624" s="51"/>
      <c r="V624" s="2119"/>
      <c r="W624" s="2116"/>
      <c r="X624" s="43"/>
      <c r="Y624" s="43"/>
      <c r="Z624" s="43"/>
    </row>
    <row r="625" spans="1:26">
      <c r="A625" s="88">
        <v>7133</v>
      </c>
      <c r="B625" s="1033" t="s">
        <v>686</v>
      </c>
      <c r="C625" s="1033"/>
      <c r="D625" s="1033"/>
      <c r="E625" s="1033"/>
      <c r="F625" s="1033"/>
      <c r="G625" s="1033"/>
      <c r="H625" s="1033"/>
      <c r="I625" s="1033"/>
      <c r="J625" s="1033"/>
      <c r="K625" s="1033"/>
      <c r="L625" s="90"/>
      <c r="M625" s="51"/>
      <c r="N625" s="113">
        <f t="shared" si="70"/>
        <v>7133</v>
      </c>
      <c r="O625" s="575">
        <v>0</v>
      </c>
      <c r="P625" s="582">
        <v>0</v>
      </c>
      <c r="Q625" s="589"/>
      <c r="R625" s="576"/>
      <c r="S625" s="583">
        <f t="shared" si="71"/>
        <v>0</v>
      </c>
      <c r="T625" s="580">
        <f t="shared" si="72"/>
        <v>0</v>
      </c>
      <c r="U625" s="51"/>
      <c r="V625" s="2119"/>
      <c r="W625" s="2116"/>
      <c r="X625" s="43"/>
      <c r="Y625" s="43"/>
      <c r="Z625" s="43"/>
    </row>
    <row r="626" spans="1:26">
      <c r="A626" s="88">
        <v>7140</v>
      </c>
      <c r="B626" s="1033" t="s">
        <v>687</v>
      </c>
      <c r="C626" s="1033"/>
      <c r="D626" s="1033"/>
      <c r="E626" s="1033"/>
      <c r="F626" s="1033"/>
      <c r="G626" s="1033"/>
      <c r="H626" s="1033"/>
      <c r="I626" s="1033"/>
      <c r="J626" s="1033"/>
      <c r="K626" s="1033"/>
      <c r="L626" s="90"/>
      <c r="M626" s="51"/>
      <c r="N626" s="113">
        <f t="shared" si="70"/>
        <v>7140</v>
      </c>
      <c r="O626" s="575">
        <v>0</v>
      </c>
      <c r="P626" s="582">
        <v>0</v>
      </c>
      <c r="Q626" s="589"/>
      <c r="R626" s="576"/>
      <c r="S626" s="583">
        <f t="shared" si="71"/>
        <v>0</v>
      </c>
      <c r="T626" s="580">
        <f t="shared" si="72"/>
        <v>0</v>
      </c>
      <c r="U626" s="51"/>
      <c r="V626" s="2119"/>
      <c r="W626" s="2116"/>
      <c r="X626" s="43"/>
      <c r="Y626" s="43"/>
      <c r="Z626" s="43"/>
    </row>
    <row r="627" spans="1:26" ht="15.75" customHeight="1">
      <c r="A627" s="88">
        <v>7141</v>
      </c>
      <c r="B627" s="1033" t="s">
        <v>688</v>
      </c>
      <c r="C627" s="1033"/>
      <c r="D627" s="1033"/>
      <c r="E627" s="1033"/>
      <c r="F627" s="1033"/>
      <c r="G627" s="1033"/>
      <c r="H627" s="1033"/>
      <c r="I627" s="1033"/>
      <c r="J627" s="1033"/>
      <c r="K627" s="1033"/>
      <c r="L627" s="90"/>
      <c r="M627" s="51"/>
      <c r="N627" s="113">
        <f t="shared" si="70"/>
        <v>7141</v>
      </c>
      <c r="O627" s="575">
        <v>0</v>
      </c>
      <c r="P627" s="582">
        <v>0</v>
      </c>
      <c r="Q627" s="589"/>
      <c r="R627" s="576"/>
      <c r="S627" s="583">
        <f t="shared" si="71"/>
        <v>0</v>
      </c>
      <c r="T627" s="580">
        <f t="shared" si="72"/>
        <v>0</v>
      </c>
      <c r="U627" s="51"/>
      <c r="V627" s="2119"/>
      <c r="W627" s="2116"/>
      <c r="X627" s="43"/>
      <c r="Y627" s="43"/>
      <c r="Z627" s="43"/>
    </row>
    <row r="628" spans="1:26">
      <c r="A628" s="88">
        <v>7142</v>
      </c>
      <c r="B628" s="1033" t="s">
        <v>689</v>
      </c>
      <c r="C628" s="1033"/>
      <c r="D628" s="1033"/>
      <c r="E628" s="1033"/>
      <c r="F628" s="1033"/>
      <c r="G628" s="1033"/>
      <c r="H628" s="1033"/>
      <c r="I628" s="1033"/>
      <c r="J628" s="1033"/>
      <c r="K628" s="1033"/>
      <c r="L628" s="90"/>
      <c r="M628" s="51"/>
      <c r="N628" s="113">
        <f t="shared" si="70"/>
        <v>7142</v>
      </c>
      <c r="O628" s="575">
        <v>0</v>
      </c>
      <c r="P628" s="582">
        <v>0</v>
      </c>
      <c r="Q628" s="589"/>
      <c r="R628" s="576"/>
      <c r="S628" s="583">
        <f t="shared" si="71"/>
        <v>0</v>
      </c>
      <c r="T628" s="580">
        <f t="shared" si="72"/>
        <v>0</v>
      </c>
      <c r="U628" s="51"/>
      <c r="V628" s="2119"/>
      <c r="W628" s="2116"/>
      <c r="X628" s="43"/>
      <c r="Y628" s="43"/>
      <c r="Z628" s="43"/>
    </row>
    <row r="629" spans="1:26">
      <c r="A629" s="88">
        <v>7143</v>
      </c>
      <c r="B629" s="1033" t="s">
        <v>690</v>
      </c>
      <c r="C629" s="1033"/>
      <c r="D629" s="1033"/>
      <c r="E629" s="1033"/>
      <c r="F629" s="1033"/>
      <c r="G629" s="1033"/>
      <c r="H629" s="1033"/>
      <c r="I629" s="1033"/>
      <c r="J629" s="1033"/>
      <c r="K629" s="1033"/>
      <c r="L629" s="90"/>
      <c r="M629" s="51"/>
      <c r="N629" s="113">
        <f t="shared" si="70"/>
        <v>7143</v>
      </c>
      <c r="O629" s="575">
        <v>0</v>
      </c>
      <c r="P629" s="582">
        <v>0</v>
      </c>
      <c r="Q629" s="589">
        <v>0</v>
      </c>
      <c r="R629" s="576">
        <v>0</v>
      </c>
      <c r="S629" s="583">
        <f t="shared" si="71"/>
        <v>0</v>
      </c>
      <c r="T629" s="580">
        <f t="shared" si="72"/>
        <v>0</v>
      </c>
      <c r="U629" s="51"/>
      <c r="V629" s="2119"/>
      <c r="W629" s="2116"/>
      <c r="X629" s="43"/>
      <c r="Y629" s="43"/>
      <c r="Z629" s="43"/>
    </row>
    <row r="630" spans="1:26">
      <c r="A630" s="88">
        <v>7144</v>
      </c>
      <c r="B630" s="1033" t="s">
        <v>615</v>
      </c>
      <c r="C630" s="1033"/>
      <c r="D630" s="1033"/>
      <c r="E630" s="1033"/>
      <c r="F630" s="1033"/>
      <c r="G630" s="1033"/>
      <c r="H630" s="1033"/>
      <c r="I630" s="1033"/>
      <c r="J630" s="1033"/>
      <c r="K630" s="1033"/>
      <c r="L630" s="90"/>
      <c r="M630" s="51"/>
      <c r="N630" s="113">
        <f t="shared" si="70"/>
        <v>7144</v>
      </c>
      <c r="O630" s="575">
        <v>0</v>
      </c>
      <c r="P630" s="582">
        <v>0</v>
      </c>
      <c r="Q630" s="589">
        <v>0</v>
      </c>
      <c r="R630" s="576">
        <v>0</v>
      </c>
      <c r="S630" s="583">
        <f t="shared" si="71"/>
        <v>0</v>
      </c>
      <c r="T630" s="580">
        <f t="shared" si="72"/>
        <v>0</v>
      </c>
      <c r="U630" s="51"/>
      <c r="V630" s="2119"/>
      <c r="W630" s="2116"/>
      <c r="X630" s="43"/>
      <c r="Y630" s="43"/>
      <c r="Z630" s="43"/>
    </row>
    <row r="631" spans="1:26">
      <c r="A631" s="88">
        <v>7145</v>
      </c>
      <c r="B631" s="1033" t="s">
        <v>616</v>
      </c>
      <c r="C631" s="1033"/>
      <c r="D631" s="1033"/>
      <c r="E631" s="1033"/>
      <c r="F631" s="1033"/>
      <c r="G631" s="1033"/>
      <c r="H631" s="1033"/>
      <c r="I631" s="1033"/>
      <c r="J631" s="1033"/>
      <c r="K631" s="1033"/>
      <c r="L631" s="90"/>
      <c r="M631" s="51"/>
      <c r="N631" s="113">
        <f t="shared" si="70"/>
        <v>7145</v>
      </c>
      <c r="O631" s="575">
        <v>0</v>
      </c>
      <c r="P631" s="582">
        <v>0</v>
      </c>
      <c r="Q631" s="589">
        <v>0</v>
      </c>
      <c r="R631" s="576">
        <v>0</v>
      </c>
      <c r="S631" s="583">
        <f t="shared" si="71"/>
        <v>0</v>
      </c>
      <c r="T631" s="580">
        <f t="shared" si="72"/>
        <v>0</v>
      </c>
      <c r="U631" s="51"/>
      <c r="V631" s="2119"/>
      <c r="W631" s="2116"/>
      <c r="X631" s="43"/>
      <c r="Y631" s="43"/>
      <c r="Z631" s="43"/>
    </row>
    <row r="632" spans="1:26">
      <c r="A632" s="88">
        <v>7146</v>
      </c>
      <c r="B632" s="1033" t="s">
        <v>617</v>
      </c>
      <c r="C632" s="1033"/>
      <c r="D632" s="1033"/>
      <c r="E632" s="1033"/>
      <c r="F632" s="1033"/>
      <c r="G632" s="1033"/>
      <c r="H632" s="1033"/>
      <c r="I632" s="1033"/>
      <c r="J632" s="1033"/>
      <c r="K632" s="1033"/>
      <c r="L632" s="90"/>
      <c r="M632" s="51"/>
      <c r="N632" s="113">
        <f t="shared" si="70"/>
        <v>7146</v>
      </c>
      <c r="O632" s="575">
        <v>0</v>
      </c>
      <c r="P632" s="582">
        <v>0</v>
      </c>
      <c r="Q632" s="589">
        <v>0</v>
      </c>
      <c r="R632" s="576">
        <v>0</v>
      </c>
      <c r="S632" s="583">
        <f t="shared" si="71"/>
        <v>0</v>
      </c>
      <c r="T632" s="580">
        <f t="shared" si="72"/>
        <v>0</v>
      </c>
      <c r="U632" s="51"/>
      <c r="V632" s="2119"/>
      <c r="W632" s="2116"/>
      <c r="X632" s="43"/>
      <c r="Y632" s="43"/>
      <c r="Z632" s="43"/>
    </row>
    <row r="633" spans="1:26">
      <c r="A633" s="88">
        <v>7147</v>
      </c>
      <c r="B633" s="1033" t="s">
        <v>618</v>
      </c>
      <c r="C633" s="1033"/>
      <c r="D633" s="1033"/>
      <c r="E633" s="1033"/>
      <c r="F633" s="1033"/>
      <c r="G633" s="1033"/>
      <c r="H633" s="1033"/>
      <c r="I633" s="1033"/>
      <c r="J633" s="1033"/>
      <c r="K633" s="1033"/>
      <c r="L633" s="90"/>
      <c r="M633" s="51"/>
      <c r="N633" s="113">
        <f t="shared" si="70"/>
        <v>7147</v>
      </c>
      <c r="O633" s="575">
        <v>0</v>
      </c>
      <c r="P633" s="582">
        <v>0</v>
      </c>
      <c r="Q633" s="589"/>
      <c r="R633" s="576"/>
      <c r="S633" s="583">
        <f t="shared" si="71"/>
        <v>0</v>
      </c>
      <c r="T633" s="580">
        <f t="shared" si="72"/>
        <v>0</v>
      </c>
      <c r="U633" s="51"/>
      <c r="V633" s="2119"/>
      <c r="W633" s="2116"/>
      <c r="X633" s="43"/>
      <c r="Y633" s="43"/>
      <c r="Z633" s="43"/>
    </row>
    <row r="634" spans="1:26">
      <c r="A634" s="88">
        <v>7149</v>
      </c>
      <c r="B634" s="1033" t="s">
        <v>619</v>
      </c>
      <c r="C634" s="1033"/>
      <c r="D634" s="1033"/>
      <c r="E634" s="1033"/>
      <c r="F634" s="1033"/>
      <c r="G634" s="1033"/>
      <c r="H634" s="1033"/>
      <c r="I634" s="1033"/>
      <c r="J634" s="1033"/>
      <c r="K634" s="1033"/>
      <c r="L634" s="90"/>
      <c r="M634" s="51"/>
      <c r="N634" s="113">
        <f t="shared" si="70"/>
        <v>7149</v>
      </c>
      <c r="O634" s="575">
        <v>0</v>
      </c>
      <c r="P634" s="582">
        <v>0</v>
      </c>
      <c r="Q634" s="589">
        <v>0</v>
      </c>
      <c r="R634" s="576">
        <v>0</v>
      </c>
      <c r="S634" s="583">
        <f t="shared" si="71"/>
        <v>0</v>
      </c>
      <c r="T634" s="580">
        <f t="shared" si="72"/>
        <v>0</v>
      </c>
      <c r="U634" s="51"/>
      <c r="V634" s="2119"/>
      <c r="W634" s="2116"/>
      <c r="X634" s="43"/>
      <c r="Y634" s="43"/>
      <c r="Z634" s="43"/>
    </row>
    <row r="635" spans="1:26">
      <c r="A635" s="88">
        <v>7151</v>
      </c>
      <c r="B635" s="1033" t="s">
        <v>620</v>
      </c>
      <c r="C635" s="1033"/>
      <c r="D635" s="1033"/>
      <c r="E635" s="1033"/>
      <c r="F635" s="1033"/>
      <c r="G635" s="1033"/>
      <c r="H635" s="1033"/>
      <c r="I635" s="1033"/>
      <c r="J635" s="1033"/>
      <c r="K635" s="1033"/>
      <c r="L635" s="90"/>
      <c r="M635" s="51"/>
      <c r="N635" s="113">
        <f t="shared" si="70"/>
        <v>7151</v>
      </c>
      <c r="O635" s="575">
        <v>0</v>
      </c>
      <c r="P635" s="582">
        <v>0</v>
      </c>
      <c r="Q635" s="589"/>
      <c r="R635" s="576"/>
      <c r="S635" s="583">
        <f t="shared" si="71"/>
        <v>0</v>
      </c>
      <c r="T635" s="580">
        <f t="shared" si="72"/>
        <v>0</v>
      </c>
      <c r="U635" s="51"/>
      <c r="V635" s="2119"/>
      <c r="W635" s="2116"/>
      <c r="X635" s="43"/>
      <c r="Y635" s="43"/>
      <c r="Z635" s="43"/>
    </row>
    <row r="636" spans="1:26">
      <c r="A636" s="88">
        <v>7159</v>
      </c>
      <c r="B636" s="1033" t="s">
        <v>621</v>
      </c>
      <c r="C636" s="1033"/>
      <c r="D636" s="1033"/>
      <c r="E636" s="1033"/>
      <c r="F636" s="1033"/>
      <c r="G636" s="1033"/>
      <c r="H636" s="1033"/>
      <c r="I636" s="1033"/>
      <c r="J636" s="1033"/>
      <c r="K636" s="1033"/>
      <c r="L636" s="90"/>
      <c r="M636" s="51"/>
      <c r="N636" s="113">
        <f t="shared" si="70"/>
        <v>7159</v>
      </c>
      <c r="O636" s="575">
        <v>0</v>
      </c>
      <c r="P636" s="582">
        <v>0</v>
      </c>
      <c r="Q636" s="589"/>
      <c r="R636" s="576"/>
      <c r="S636" s="583">
        <f t="shared" si="71"/>
        <v>0</v>
      </c>
      <c r="T636" s="580">
        <f t="shared" si="72"/>
        <v>0</v>
      </c>
      <c r="U636" s="51"/>
      <c r="V636" s="2119"/>
      <c r="W636" s="2116"/>
      <c r="X636" s="43"/>
      <c r="Y636" s="43"/>
      <c r="Z636" s="43"/>
    </row>
    <row r="637" spans="1:26">
      <c r="A637" s="88">
        <v>7161</v>
      </c>
      <c r="B637" s="1033" t="s">
        <v>622</v>
      </c>
      <c r="C637" s="1033"/>
      <c r="D637" s="1033"/>
      <c r="E637" s="1033"/>
      <c r="F637" s="1033"/>
      <c r="G637" s="1033"/>
      <c r="H637" s="1033"/>
      <c r="I637" s="1033"/>
      <c r="J637" s="1033"/>
      <c r="K637" s="1033"/>
      <c r="L637" s="90"/>
      <c r="M637" s="51"/>
      <c r="N637" s="113">
        <f t="shared" si="70"/>
        <v>7161</v>
      </c>
      <c r="O637" s="575">
        <v>0</v>
      </c>
      <c r="P637" s="582">
        <v>0</v>
      </c>
      <c r="Q637" s="589"/>
      <c r="R637" s="576"/>
      <c r="S637" s="583">
        <f t="shared" si="71"/>
        <v>0</v>
      </c>
      <c r="T637" s="580">
        <f t="shared" si="72"/>
        <v>0</v>
      </c>
      <c r="U637" s="51"/>
      <c r="V637" s="2119"/>
      <c r="W637" s="2116"/>
      <c r="X637" s="43"/>
      <c r="Y637" s="43"/>
      <c r="Z637" s="43"/>
    </row>
    <row r="638" spans="1:26">
      <c r="A638" s="88">
        <v>7162</v>
      </c>
      <c r="B638" s="1033" t="s">
        <v>623</v>
      </c>
      <c r="C638" s="1033"/>
      <c r="D638" s="1033"/>
      <c r="E638" s="1033"/>
      <c r="F638" s="1033"/>
      <c r="G638" s="1033"/>
      <c r="H638" s="1033"/>
      <c r="I638" s="1033"/>
      <c r="J638" s="1033"/>
      <c r="K638" s="1033"/>
      <c r="L638" s="90"/>
      <c r="M638" s="51"/>
      <c r="N638" s="113">
        <f t="shared" si="70"/>
        <v>7162</v>
      </c>
      <c r="O638" s="8">
        <v>0</v>
      </c>
      <c r="P638" s="9">
        <v>0</v>
      </c>
      <c r="Q638" s="122"/>
      <c r="R638" s="121"/>
      <c r="S638" s="583">
        <f t="shared" si="71"/>
        <v>0</v>
      </c>
      <c r="T638" s="580">
        <f t="shared" si="72"/>
        <v>0</v>
      </c>
      <c r="U638" s="51"/>
      <c r="V638" s="2119"/>
      <c r="W638" s="2116"/>
      <c r="X638" s="43"/>
      <c r="Y638" s="43"/>
      <c r="Z638" s="43"/>
    </row>
    <row r="639" spans="1:26">
      <c r="A639" s="88">
        <v>7163</v>
      </c>
      <c r="B639" s="1033" t="s">
        <v>624</v>
      </c>
      <c r="C639" s="1033"/>
      <c r="D639" s="1033"/>
      <c r="E639" s="1033"/>
      <c r="F639" s="1033"/>
      <c r="G639" s="1033"/>
      <c r="H639" s="1033"/>
      <c r="I639" s="1033"/>
      <c r="J639" s="1033"/>
      <c r="K639" s="1033"/>
      <c r="L639" s="90"/>
      <c r="M639" s="51"/>
      <c r="N639" s="113">
        <f t="shared" si="70"/>
        <v>7163</v>
      </c>
      <c r="O639" s="8">
        <v>0</v>
      </c>
      <c r="P639" s="9">
        <v>0</v>
      </c>
      <c r="Q639" s="122"/>
      <c r="R639" s="121"/>
      <c r="S639" s="583">
        <f t="shared" si="71"/>
        <v>0</v>
      </c>
      <c r="T639" s="580">
        <f t="shared" si="72"/>
        <v>0</v>
      </c>
      <c r="U639" s="51"/>
      <c r="V639" s="2119"/>
      <c r="W639" s="2116"/>
      <c r="X639" s="43"/>
      <c r="Y639" s="43"/>
      <c r="Z639" s="43"/>
    </row>
    <row r="640" spans="1:26">
      <c r="A640" s="91">
        <v>7170</v>
      </c>
      <c r="B640" s="1036" t="s">
        <v>625</v>
      </c>
      <c r="C640" s="92"/>
      <c r="D640" s="92"/>
      <c r="E640" s="92"/>
      <c r="F640" s="92"/>
      <c r="G640" s="92"/>
      <c r="H640" s="92"/>
      <c r="I640" s="92"/>
      <c r="J640" s="92"/>
      <c r="K640" s="92"/>
      <c r="L640" s="93"/>
      <c r="M640" s="51"/>
      <c r="N640" s="114">
        <f t="shared" si="70"/>
        <v>7170</v>
      </c>
      <c r="O640" s="10">
        <v>0</v>
      </c>
      <c r="P640" s="11">
        <v>0</v>
      </c>
      <c r="Q640" s="31">
        <v>0</v>
      </c>
      <c r="R640" s="11">
        <v>0</v>
      </c>
      <c r="S640" s="829">
        <f t="shared" si="71"/>
        <v>0</v>
      </c>
      <c r="T640" s="828">
        <f t="shared" si="72"/>
        <v>0</v>
      </c>
      <c r="U640" s="51"/>
      <c r="V640" s="2125">
        <f>+IF(OR(O640&lt;&gt;0,P640&lt;&gt;0,Q640&lt;&gt;0,R640&lt;&gt;0,S640&lt;&gt;0,T640&lt;&gt;0),+IF(ABS(O640+Q640)-ABS(P640+R640)&lt;&gt;0,ABS(O640+Q640)-ABS(P640+R640),1),0)</f>
        <v>0</v>
      </c>
      <c r="W640" s="2116"/>
      <c r="X640" s="43"/>
      <c r="Y640" s="43"/>
      <c r="Z640" s="43"/>
    </row>
    <row r="641" spans="1:26">
      <c r="A641" s="88">
        <v>7171</v>
      </c>
      <c r="B641" s="1033" t="s">
        <v>626</v>
      </c>
      <c r="C641" s="1033"/>
      <c r="D641" s="1033"/>
      <c r="E641" s="1033"/>
      <c r="F641" s="1033"/>
      <c r="G641" s="1033"/>
      <c r="H641" s="1033"/>
      <c r="I641" s="1033"/>
      <c r="J641" s="1033"/>
      <c r="K641" s="1033"/>
      <c r="L641" s="90"/>
      <c r="M641" s="51"/>
      <c r="N641" s="113">
        <f t="shared" si="70"/>
        <v>7171</v>
      </c>
      <c r="O641" s="8">
        <v>0</v>
      </c>
      <c r="P641" s="9">
        <v>0</v>
      </c>
      <c r="Q641" s="122"/>
      <c r="R641" s="121"/>
      <c r="S641" s="27">
        <f t="shared" ref="S641:S667" si="73">+IF(ABS(+O641+Q641)&gt;=ABS(P641+R641),+O641-P641+Q641-R641,0)</f>
        <v>0</v>
      </c>
      <c r="T641" s="28">
        <f t="shared" ref="T641:T667" si="74">+IF(ABS(+O641+Q641)&lt;=ABS(P641+R641),-O641+P641-Q641+R641,0)</f>
        <v>0</v>
      </c>
      <c r="U641" s="51"/>
      <c r="V641" s="2119"/>
      <c r="W641" s="2116"/>
      <c r="X641" s="43"/>
      <c r="Y641" s="43"/>
      <c r="Z641" s="43"/>
    </row>
    <row r="642" spans="1:26">
      <c r="A642" s="88">
        <v>7172</v>
      </c>
      <c r="B642" s="1033" t="s">
        <v>627</v>
      </c>
      <c r="C642" s="1033"/>
      <c r="D642" s="1033"/>
      <c r="E642" s="1033"/>
      <c r="F642" s="1033"/>
      <c r="G642" s="1033"/>
      <c r="H642" s="1033"/>
      <c r="I642" s="1033"/>
      <c r="J642" s="1033"/>
      <c r="K642" s="1033"/>
      <c r="L642" s="90"/>
      <c r="M642" s="51"/>
      <c r="N642" s="113">
        <f t="shared" si="70"/>
        <v>7172</v>
      </c>
      <c r="O642" s="8">
        <v>0</v>
      </c>
      <c r="P642" s="9">
        <v>0</v>
      </c>
      <c r="Q642" s="122"/>
      <c r="R642" s="121"/>
      <c r="S642" s="27">
        <f t="shared" si="73"/>
        <v>0</v>
      </c>
      <c r="T642" s="28">
        <f t="shared" si="74"/>
        <v>0</v>
      </c>
      <c r="U642" s="51"/>
      <c r="V642" s="2119"/>
      <c r="W642" s="2116"/>
      <c r="X642" s="43"/>
      <c r="Y642" s="43"/>
      <c r="Z642" s="43"/>
    </row>
    <row r="643" spans="1:26">
      <c r="A643" s="88">
        <v>7173</v>
      </c>
      <c r="B643" s="1035" t="s">
        <v>1169</v>
      </c>
      <c r="C643" s="1033"/>
      <c r="D643" s="1033"/>
      <c r="E643" s="1033"/>
      <c r="F643" s="1033"/>
      <c r="G643" s="1033"/>
      <c r="H643" s="1033"/>
      <c r="I643" s="1033"/>
      <c r="J643" s="1033"/>
      <c r="K643" s="1033"/>
      <c r="L643" s="90"/>
      <c r="M643" s="51"/>
      <c r="N643" s="113">
        <f t="shared" si="70"/>
        <v>7173</v>
      </c>
      <c r="O643" s="8">
        <v>0</v>
      </c>
      <c r="P643" s="9">
        <v>0</v>
      </c>
      <c r="Q643" s="122"/>
      <c r="R643" s="121"/>
      <c r="S643" s="583">
        <f t="shared" si="73"/>
        <v>0</v>
      </c>
      <c r="T643" s="580">
        <f t="shared" si="74"/>
        <v>0</v>
      </c>
      <c r="U643" s="51"/>
      <c r="V643" s="2119"/>
      <c r="W643" s="2116"/>
      <c r="X643" s="43"/>
      <c r="Y643" s="43"/>
      <c r="Z643" s="43"/>
    </row>
    <row r="644" spans="1:26">
      <c r="A644" s="88">
        <v>7174</v>
      </c>
      <c r="B644" s="1035" t="s">
        <v>1170</v>
      </c>
      <c r="C644" s="1033"/>
      <c r="D644" s="1033"/>
      <c r="E644" s="1033"/>
      <c r="F644" s="1033"/>
      <c r="G644" s="1033"/>
      <c r="H644" s="1033"/>
      <c r="I644" s="1033"/>
      <c r="J644" s="1033"/>
      <c r="K644" s="1033"/>
      <c r="L644" s="90"/>
      <c r="M644" s="51"/>
      <c r="N644" s="113">
        <f t="shared" si="70"/>
        <v>7174</v>
      </c>
      <c r="O644" s="575">
        <v>0</v>
      </c>
      <c r="P644" s="582">
        <v>0</v>
      </c>
      <c r="Q644" s="589"/>
      <c r="R644" s="576"/>
      <c r="S644" s="583">
        <f t="shared" si="73"/>
        <v>0</v>
      </c>
      <c r="T644" s="580">
        <f t="shared" si="74"/>
        <v>0</v>
      </c>
      <c r="U644" s="51"/>
      <c r="V644" s="2119"/>
      <c r="W644" s="2116"/>
      <c r="X644" s="43"/>
      <c r="Y644" s="43"/>
      <c r="Z644" s="43"/>
    </row>
    <row r="645" spans="1:26">
      <c r="A645" s="88">
        <v>7175</v>
      </c>
      <c r="B645" s="1035" t="s">
        <v>628</v>
      </c>
      <c r="C645" s="1033"/>
      <c r="D645" s="1033"/>
      <c r="E645" s="1033"/>
      <c r="F645" s="1033"/>
      <c r="G645" s="1033"/>
      <c r="H645" s="1033"/>
      <c r="I645" s="1033"/>
      <c r="J645" s="1033"/>
      <c r="K645" s="1033"/>
      <c r="L645" s="90"/>
      <c r="M645" s="51"/>
      <c r="N645" s="113">
        <f t="shared" si="70"/>
        <v>7175</v>
      </c>
      <c r="O645" s="575">
        <v>0</v>
      </c>
      <c r="P645" s="582">
        <v>0</v>
      </c>
      <c r="Q645" s="589"/>
      <c r="R645" s="576"/>
      <c r="S645" s="583">
        <f t="shared" si="73"/>
        <v>0</v>
      </c>
      <c r="T645" s="580">
        <f t="shared" si="74"/>
        <v>0</v>
      </c>
      <c r="U645" s="51"/>
      <c r="V645" s="2119"/>
      <c r="W645" s="2116"/>
      <c r="X645" s="43"/>
      <c r="Y645" s="43"/>
      <c r="Z645" s="43"/>
    </row>
    <row r="646" spans="1:26">
      <c r="A646" s="88">
        <v>7176</v>
      </c>
      <c r="B646" s="1035" t="s">
        <v>629</v>
      </c>
      <c r="C646" s="1033"/>
      <c r="D646" s="1033"/>
      <c r="E646" s="1033"/>
      <c r="F646" s="1033"/>
      <c r="G646" s="1033"/>
      <c r="H646" s="1033"/>
      <c r="I646" s="1033"/>
      <c r="J646" s="1033"/>
      <c r="K646" s="1033"/>
      <c r="L646" s="90"/>
      <c r="M646" s="51"/>
      <c r="N646" s="113">
        <f t="shared" si="70"/>
        <v>7176</v>
      </c>
      <c r="O646" s="575">
        <v>0</v>
      </c>
      <c r="P646" s="582">
        <v>0</v>
      </c>
      <c r="Q646" s="589"/>
      <c r="R646" s="576"/>
      <c r="S646" s="583">
        <f t="shared" si="73"/>
        <v>0</v>
      </c>
      <c r="T646" s="580">
        <f t="shared" si="74"/>
        <v>0</v>
      </c>
      <c r="U646" s="51"/>
      <c r="V646" s="2119"/>
      <c r="W646" s="2116"/>
      <c r="X646" s="43"/>
      <c r="Y646" s="43"/>
      <c r="Z646" s="43"/>
    </row>
    <row r="647" spans="1:26">
      <c r="A647" s="88">
        <v>7177</v>
      </c>
      <c r="B647" s="1035" t="s">
        <v>1171</v>
      </c>
      <c r="C647" s="1033"/>
      <c r="D647" s="1033"/>
      <c r="E647" s="1033"/>
      <c r="F647" s="1033"/>
      <c r="G647" s="1033"/>
      <c r="H647" s="1033"/>
      <c r="I647" s="1033"/>
      <c r="J647" s="1033"/>
      <c r="K647" s="1033"/>
      <c r="L647" s="90"/>
      <c r="M647" s="51"/>
      <c r="N647" s="113">
        <f t="shared" si="70"/>
        <v>7177</v>
      </c>
      <c r="O647" s="575">
        <v>0</v>
      </c>
      <c r="P647" s="582">
        <v>0</v>
      </c>
      <c r="Q647" s="589">
        <v>0</v>
      </c>
      <c r="R647" s="576">
        <v>0</v>
      </c>
      <c r="S647" s="583">
        <f t="shared" si="73"/>
        <v>0</v>
      </c>
      <c r="T647" s="580">
        <f t="shared" si="74"/>
        <v>0</v>
      </c>
      <c r="U647" s="51"/>
      <c r="V647" s="2119"/>
      <c r="W647" s="2116"/>
      <c r="X647" s="43"/>
      <c r="Y647" s="43"/>
      <c r="Z647" s="43"/>
    </row>
    <row r="648" spans="1:26">
      <c r="A648" s="88">
        <v>7178</v>
      </c>
      <c r="B648" s="1035" t="s">
        <v>1172</v>
      </c>
      <c r="C648" s="1033"/>
      <c r="D648" s="1033"/>
      <c r="E648" s="1033"/>
      <c r="F648" s="1033"/>
      <c r="G648" s="1033"/>
      <c r="H648" s="1033"/>
      <c r="I648" s="1033"/>
      <c r="J648" s="1033"/>
      <c r="K648" s="1033"/>
      <c r="L648" s="90"/>
      <c r="M648" s="51"/>
      <c r="N648" s="113">
        <f t="shared" si="70"/>
        <v>7178</v>
      </c>
      <c r="O648" s="575">
        <v>0</v>
      </c>
      <c r="P648" s="582">
        <v>0</v>
      </c>
      <c r="Q648" s="589"/>
      <c r="R648" s="576"/>
      <c r="S648" s="583">
        <f t="shared" si="73"/>
        <v>0</v>
      </c>
      <c r="T648" s="580">
        <f t="shared" si="74"/>
        <v>0</v>
      </c>
      <c r="U648" s="51"/>
      <c r="V648" s="2119"/>
      <c r="W648" s="2116"/>
      <c r="X648" s="43"/>
      <c r="Y648" s="43"/>
      <c r="Z648" s="43"/>
    </row>
    <row r="649" spans="1:26">
      <c r="A649" s="88">
        <v>7179</v>
      </c>
      <c r="B649" s="378" t="s">
        <v>630</v>
      </c>
      <c r="C649" s="1033"/>
      <c r="D649" s="1033"/>
      <c r="E649" s="1033"/>
      <c r="F649" s="1033"/>
      <c r="G649" s="1033"/>
      <c r="H649" s="1033"/>
      <c r="I649" s="1033"/>
      <c r="J649" s="1033"/>
      <c r="K649" s="1033"/>
      <c r="L649" s="90"/>
      <c r="M649" s="51"/>
      <c r="N649" s="113">
        <f t="shared" si="70"/>
        <v>7179</v>
      </c>
      <c r="O649" s="575">
        <v>0</v>
      </c>
      <c r="P649" s="582">
        <v>0</v>
      </c>
      <c r="Q649" s="589"/>
      <c r="R649" s="576"/>
      <c r="S649" s="583">
        <f t="shared" si="73"/>
        <v>0</v>
      </c>
      <c r="T649" s="580">
        <f t="shared" si="74"/>
        <v>0</v>
      </c>
      <c r="U649" s="51"/>
      <c r="V649" s="2119"/>
      <c r="W649" s="2116"/>
      <c r="X649" s="43"/>
      <c r="Y649" s="43"/>
      <c r="Z649" s="43"/>
    </row>
    <row r="650" spans="1:26" ht="15.75" customHeight="1">
      <c r="A650" s="88">
        <v>7180</v>
      </c>
      <c r="B650" s="378" t="s">
        <v>631</v>
      </c>
      <c r="C650" s="1033"/>
      <c r="D650" s="1033"/>
      <c r="E650" s="1033"/>
      <c r="F650" s="1033"/>
      <c r="G650" s="1033"/>
      <c r="H650" s="1033"/>
      <c r="I650" s="1033"/>
      <c r="J650" s="1033"/>
      <c r="K650" s="1033"/>
      <c r="L650" s="90"/>
      <c r="M650" s="51"/>
      <c r="N650" s="113">
        <f t="shared" si="70"/>
        <v>7180</v>
      </c>
      <c r="O650" s="575">
        <v>0</v>
      </c>
      <c r="P650" s="582">
        <v>0</v>
      </c>
      <c r="Q650" s="589"/>
      <c r="R650" s="576"/>
      <c r="S650" s="583">
        <f t="shared" si="73"/>
        <v>0</v>
      </c>
      <c r="T650" s="580">
        <f t="shared" si="74"/>
        <v>0</v>
      </c>
      <c r="U650" s="51"/>
      <c r="V650" s="2119"/>
      <c r="W650" s="2116"/>
      <c r="X650" s="43"/>
      <c r="Y650" s="43"/>
      <c r="Z650" s="43"/>
    </row>
    <row r="651" spans="1:26">
      <c r="A651" s="88">
        <v>7181</v>
      </c>
      <c r="B651" s="1033" t="s">
        <v>632</v>
      </c>
      <c r="C651" s="1033"/>
      <c r="D651" s="1033"/>
      <c r="E651" s="1033"/>
      <c r="F651" s="1033"/>
      <c r="G651" s="1033"/>
      <c r="H651" s="1033"/>
      <c r="I651" s="1033"/>
      <c r="J651" s="1033"/>
      <c r="K651" s="1033"/>
      <c r="L651" s="90"/>
      <c r="M651" s="51"/>
      <c r="N651" s="113">
        <f t="shared" si="70"/>
        <v>7181</v>
      </c>
      <c r="O651" s="575">
        <v>0</v>
      </c>
      <c r="P651" s="582">
        <v>0</v>
      </c>
      <c r="Q651" s="589">
        <v>0</v>
      </c>
      <c r="R651" s="576">
        <v>0</v>
      </c>
      <c r="S651" s="583">
        <f t="shared" si="73"/>
        <v>0</v>
      </c>
      <c r="T651" s="580">
        <f t="shared" si="74"/>
        <v>0</v>
      </c>
      <c r="U651" s="51"/>
      <c r="V651" s="2119"/>
      <c r="W651" s="2116"/>
      <c r="X651" s="43"/>
      <c r="Y651" s="43"/>
      <c r="Z651" s="43"/>
    </row>
    <row r="652" spans="1:26" ht="15.75" customHeight="1">
      <c r="A652" s="88">
        <v>7182</v>
      </c>
      <c r="B652" s="378" t="s">
        <v>633</v>
      </c>
      <c r="C652" s="1033"/>
      <c r="D652" s="1033"/>
      <c r="E652" s="1033"/>
      <c r="F652" s="1033"/>
      <c r="G652" s="1033"/>
      <c r="H652" s="1033"/>
      <c r="I652" s="1033"/>
      <c r="J652" s="1033"/>
      <c r="K652" s="1033"/>
      <c r="L652" s="90"/>
      <c r="M652" s="51"/>
      <c r="N652" s="113">
        <f t="shared" si="70"/>
        <v>7182</v>
      </c>
      <c r="O652" s="575">
        <v>0</v>
      </c>
      <c r="P652" s="582">
        <v>0</v>
      </c>
      <c r="Q652" s="589"/>
      <c r="R652" s="576"/>
      <c r="S652" s="583">
        <f t="shared" si="73"/>
        <v>0</v>
      </c>
      <c r="T652" s="580">
        <f t="shared" si="74"/>
        <v>0</v>
      </c>
      <c r="U652" s="51"/>
      <c r="V652" s="2119"/>
      <c r="W652" s="2116"/>
      <c r="X652" s="43"/>
      <c r="Y652" s="43"/>
      <c r="Z652" s="43"/>
    </row>
    <row r="653" spans="1:26">
      <c r="A653" s="88">
        <v>7189</v>
      </c>
      <c r="B653" s="1033" t="s">
        <v>634</v>
      </c>
      <c r="C653" s="1033"/>
      <c r="D653" s="1033"/>
      <c r="E653" s="1033"/>
      <c r="F653" s="1033"/>
      <c r="G653" s="1033"/>
      <c r="H653" s="1033"/>
      <c r="I653" s="1033"/>
      <c r="J653" s="1033"/>
      <c r="K653" s="1033"/>
      <c r="L653" s="90"/>
      <c r="M653" s="51"/>
      <c r="N653" s="113">
        <f t="shared" si="70"/>
        <v>7189</v>
      </c>
      <c r="O653" s="575">
        <v>0</v>
      </c>
      <c r="P653" s="582">
        <v>0</v>
      </c>
      <c r="Q653" s="589"/>
      <c r="R653" s="576"/>
      <c r="S653" s="583">
        <f t="shared" si="73"/>
        <v>0</v>
      </c>
      <c r="T653" s="580">
        <f t="shared" si="74"/>
        <v>0</v>
      </c>
      <c r="U653" s="51"/>
      <c r="V653" s="2119"/>
      <c r="W653" s="2116"/>
      <c r="X653" s="43"/>
      <c r="Y653" s="43"/>
      <c r="Z653" s="43"/>
    </row>
    <row r="654" spans="1:26">
      <c r="A654" s="88">
        <v>7190</v>
      </c>
      <c r="B654" s="1032" t="s">
        <v>635</v>
      </c>
      <c r="C654" s="1033"/>
      <c r="D654" s="1033"/>
      <c r="E654" s="1033"/>
      <c r="F654" s="1033"/>
      <c r="G654" s="1033"/>
      <c r="H654" s="1033"/>
      <c r="I654" s="1033"/>
      <c r="J654" s="1033"/>
      <c r="K654" s="1033"/>
      <c r="L654" s="90"/>
      <c r="M654" s="51"/>
      <c r="N654" s="113">
        <f t="shared" si="70"/>
        <v>7190</v>
      </c>
      <c r="O654" s="575">
        <v>0</v>
      </c>
      <c r="P654" s="582">
        <v>0</v>
      </c>
      <c r="Q654" s="589">
        <v>0</v>
      </c>
      <c r="R654" s="576">
        <v>0</v>
      </c>
      <c r="S654" s="583">
        <f t="shared" si="73"/>
        <v>0</v>
      </c>
      <c r="T654" s="580">
        <f t="shared" si="74"/>
        <v>0</v>
      </c>
      <c r="U654" s="51"/>
      <c r="V654" s="2119"/>
      <c r="W654" s="2116"/>
      <c r="X654" s="43"/>
      <c r="Y654" s="43"/>
      <c r="Z654" s="43"/>
    </row>
    <row r="655" spans="1:26">
      <c r="A655" s="88">
        <v>7191</v>
      </c>
      <c r="B655" s="1032" t="s">
        <v>636</v>
      </c>
      <c r="C655" s="1033"/>
      <c r="D655" s="1033"/>
      <c r="E655" s="1033"/>
      <c r="F655" s="1033"/>
      <c r="G655" s="1033"/>
      <c r="H655" s="1033"/>
      <c r="I655" s="1033"/>
      <c r="J655" s="1033"/>
      <c r="K655" s="1033"/>
      <c r="L655" s="90"/>
      <c r="M655" s="51"/>
      <c r="N655" s="113">
        <f t="shared" si="70"/>
        <v>7191</v>
      </c>
      <c r="O655" s="575">
        <v>0</v>
      </c>
      <c r="P655" s="582">
        <v>0</v>
      </c>
      <c r="Q655" s="589"/>
      <c r="R655" s="576"/>
      <c r="S655" s="583">
        <f t="shared" si="73"/>
        <v>0</v>
      </c>
      <c r="T655" s="580">
        <f t="shared" si="74"/>
        <v>0</v>
      </c>
      <c r="U655" s="51"/>
      <c r="V655" s="2119"/>
      <c r="W655" s="2116"/>
      <c r="X655" s="43"/>
      <c r="Y655" s="43"/>
      <c r="Z655" s="43"/>
    </row>
    <row r="656" spans="1:26">
      <c r="A656" s="88">
        <v>7192</v>
      </c>
      <c r="B656" s="1032" t="s">
        <v>637</v>
      </c>
      <c r="C656" s="1033"/>
      <c r="D656" s="1033"/>
      <c r="E656" s="1033"/>
      <c r="F656" s="1033"/>
      <c r="G656" s="1033"/>
      <c r="H656" s="1033"/>
      <c r="I656" s="1033"/>
      <c r="J656" s="1033"/>
      <c r="K656" s="1033"/>
      <c r="L656" s="90"/>
      <c r="M656" s="51"/>
      <c r="N656" s="113">
        <f t="shared" si="70"/>
        <v>7192</v>
      </c>
      <c r="O656" s="575">
        <v>0</v>
      </c>
      <c r="P656" s="582">
        <v>0</v>
      </c>
      <c r="Q656" s="589"/>
      <c r="R656" s="576"/>
      <c r="S656" s="583">
        <f t="shared" si="73"/>
        <v>0</v>
      </c>
      <c r="T656" s="580">
        <f t="shared" si="74"/>
        <v>0</v>
      </c>
      <c r="U656" s="51"/>
      <c r="V656" s="2119"/>
      <c r="W656" s="2116"/>
      <c r="X656" s="43"/>
      <c r="Y656" s="43"/>
      <c r="Z656" s="43"/>
    </row>
    <row r="657" spans="1:26">
      <c r="A657" s="88">
        <v>7198</v>
      </c>
      <c r="B657" s="1032" t="s">
        <v>638</v>
      </c>
      <c r="C657" s="1033"/>
      <c r="D657" s="1033"/>
      <c r="E657" s="1033"/>
      <c r="F657" s="1033"/>
      <c r="G657" s="1033"/>
      <c r="H657" s="1033"/>
      <c r="I657" s="1033"/>
      <c r="J657" s="1033"/>
      <c r="K657" s="1033"/>
      <c r="L657" s="90"/>
      <c r="M657" s="51"/>
      <c r="N657" s="113">
        <f t="shared" si="70"/>
        <v>7198</v>
      </c>
      <c r="O657" s="575">
        <v>0</v>
      </c>
      <c r="P657" s="582">
        <v>0</v>
      </c>
      <c r="Q657" s="589"/>
      <c r="R657" s="576"/>
      <c r="S657" s="583">
        <f t="shared" si="73"/>
        <v>0</v>
      </c>
      <c r="T657" s="580">
        <f t="shared" si="74"/>
        <v>0</v>
      </c>
      <c r="U657" s="51"/>
      <c r="V657" s="2119"/>
      <c r="W657" s="2116"/>
      <c r="X657" s="43"/>
      <c r="Y657" s="43"/>
      <c r="Z657" s="43"/>
    </row>
    <row r="658" spans="1:26">
      <c r="A658" s="88">
        <v>7199</v>
      </c>
      <c r="B658" s="1032" t="s">
        <v>639</v>
      </c>
      <c r="C658" s="1033"/>
      <c r="D658" s="1033"/>
      <c r="E658" s="1033"/>
      <c r="F658" s="1033"/>
      <c r="G658" s="1033"/>
      <c r="H658" s="1033"/>
      <c r="I658" s="1033"/>
      <c r="J658" s="1033"/>
      <c r="K658" s="1033"/>
      <c r="L658" s="90"/>
      <c r="M658" s="51"/>
      <c r="N658" s="113">
        <f t="shared" si="70"/>
        <v>7199</v>
      </c>
      <c r="O658" s="575">
        <v>0</v>
      </c>
      <c r="P658" s="582">
        <v>0</v>
      </c>
      <c r="Q658" s="589">
        <v>0</v>
      </c>
      <c r="R658" s="576">
        <v>0</v>
      </c>
      <c r="S658" s="583">
        <f t="shared" si="73"/>
        <v>0</v>
      </c>
      <c r="T658" s="580">
        <f t="shared" si="74"/>
        <v>0</v>
      </c>
      <c r="U658" s="51"/>
      <c r="V658" s="2119"/>
      <c r="W658" s="2116"/>
      <c r="X658" s="43"/>
      <c r="Y658" s="43"/>
      <c r="Z658" s="43"/>
    </row>
    <row r="659" spans="1:26">
      <c r="A659" s="88">
        <v>7200</v>
      </c>
      <c r="B659" s="1033" t="s">
        <v>692</v>
      </c>
      <c r="C659" s="1033"/>
      <c r="D659" s="1033"/>
      <c r="E659" s="1033"/>
      <c r="F659" s="1033"/>
      <c r="G659" s="1033"/>
      <c r="H659" s="1033"/>
      <c r="I659" s="1033"/>
      <c r="J659" s="1033"/>
      <c r="K659" s="1033"/>
      <c r="L659" s="90"/>
      <c r="M659" s="51"/>
      <c r="N659" s="113">
        <f t="shared" si="70"/>
        <v>7200</v>
      </c>
      <c r="O659" s="575">
        <v>0</v>
      </c>
      <c r="P659" s="582">
        <v>0</v>
      </c>
      <c r="Q659" s="589"/>
      <c r="R659" s="576"/>
      <c r="S659" s="583">
        <f t="shared" si="73"/>
        <v>0</v>
      </c>
      <c r="T659" s="580">
        <f t="shared" si="74"/>
        <v>0</v>
      </c>
      <c r="U659" s="51"/>
      <c r="V659" s="2119"/>
      <c r="W659" s="2116"/>
      <c r="X659" s="43"/>
      <c r="Y659" s="43"/>
      <c r="Z659" s="43"/>
    </row>
    <row r="660" spans="1:26">
      <c r="A660" s="88">
        <v>7211</v>
      </c>
      <c r="B660" s="1032" t="s">
        <v>640</v>
      </c>
      <c r="C660" s="1033"/>
      <c r="D660" s="1033"/>
      <c r="E660" s="1033"/>
      <c r="F660" s="1033"/>
      <c r="G660" s="1033"/>
      <c r="H660" s="1033"/>
      <c r="I660" s="1033"/>
      <c r="J660" s="1033"/>
      <c r="K660" s="1033"/>
      <c r="L660" s="90"/>
      <c r="M660" s="51"/>
      <c r="N660" s="113">
        <f t="shared" si="70"/>
        <v>7211</v>
      </c>
      <c r="O660" s="575">
        <v>0</v>
      </c>
      <c r="P660" s="582">
        <v>0</v>
      </c>
      <c r="Q660" s="589"/>
      <c r="R660" s="576"/>
      <c r="S660" s="583">
        <f t="shared" si="73"/>
        <v>0</v>
      </c>
      <c r="T660" s="580">
        <f t="shared" si="74"/>
        <v>0</v>
      </c>
      <c r="U660" s="51"/>
      <c r="V660" s="2119"/>
      <c r="W660" s="2116"/>
      <c r="X660" s="43"/>
      <c r="Y660" s="43"/>
      <c r="Z660" s="43"/>
    </row>
    <row r="661" spans="1:26">
      <c r="A661" s="88">
        <v>7212</v>
      </c>
      <c r="B661" s="1032" t="s">
        <v>641</v>
      </c>
      <c r="C661" s="1033"/>
      <c r="D661" s="1033"/>
      <c r="E661" s="1033"/>
      <c r="F661" s="1033"/>
      <c r="G661" s="1033"/>
      <c r="H661" s="1033"/>
      <c r="I661" s="1033"/>
      <c r="J661" s="1033"/>
      <c r="K661" s="1033"/>
      <c r="L661" s="90"/>
      <c r="M661" s="51"/>
      <c r="N661" s="113">
        <f t="shared" si="70"/>
        <v>7212</v>
      </c>
      <c r="O661" s="575">
        <v>0</v>
      </c>
      <c r="P661" s="582">
        <v>0</v>
      </c>
      <c r="Q661" s="589"/>
      <c r="R661" s="576"/>
      <c r="S661" s="583">
        <f t="shared" si="73"/>
        <v>0</v>
      </c>
      <c r="T661" s="580">
        <f t="shared" si="74"/>
        <v>0</v>
      </c>
      <c r="U661" s="51"/>
      <c r="V661" s="2119"/>
      <c r="W661" s="2116"/>
      <c r="X661" s="43"/>
      <c r="Y661" s="43"/>
      <c r="Z661" s="43"/>
    </row>
    <row r="662" spans="1:26">
      <c r="A662" s="88">
        <v>7215</v>
      </c>
      <c r="B662" s="1032" t="s">
        <v>642</v>
      </c>
      <c r="C662" s="1033"/>
      <c r="D662" s="1033"/>
      <c r="E662" s="1033"/>
      <c r="F662" s="1033"/>
      <c r="G662" s="1033"/>
      <c r="H662" s="1033"/>
      <c r="I662" s="1033"/>
      <c r="J662" s="1033"/>
      <c r="K662" s="1033"/>
      <c r="L662" s="90"/>
      <c r="M662" s="51"/>
      <c r="N662" s="113">
        <f t="shared" si="70"/>
        <v>7215</v>
      </c>
      <c r="O662" s="575">
        <v>0</v>
      </c>
      <c r="P662" s="582">
        <v>0</v>
      </c>
      <c r="Q662" s="589"/>
      <c r="R662" s="576"/>
      <c r="S662" s="583">
        <f t="shared" si="73"/>
        <v>0</v>
      </c>
      <c r="T662" s="580">
        <f t="shared" si="74"/>
        <v>0</v>
      </c>
      <c r="U662" s="51"/>
      <c r="V662" s="2119"/>
      <c r="W662" s="2116"/>
      <c r="X662" s="43"/>
      <c r="Y662" s="43"/>
      <c r="Z662" s="43"/>
    </row>
    <row r="663" spans="1:26">
      <c r="A663" s="88">
        <v>7216</v>
      </c>
      <c r="B663" s="1032" t="s">
        <v>643</v>
      </c>
      <c r="C663" s="1033"/>
      <c r="D663" s="1033"/>
      <c r="E663" s="1033"/>
      <c r="F663" s="1033"/>
      <c r="G663" s="1033"/>
      <c r="H663" s="1033"/>
      <c r="I663" s="1033"/>
      <c r="J663" s="1033"/>
      <c r="K663" s="1033"/>
      <c r="L663" s="90"/>
      <c r="M663" s="51"/>
      <c r="N663" s="113">
        <f t="shared" si="70"/>
        <v>7216</v>
      </c>
      <c r="O663" s="575">
        <v>0</v>
      </c>
      <c r="P663" s="582">
        <v>0</v>
      </c>
      <c r="Q663" s="589"/>
      <c r="R663" s="576"/>
      <c r="S663" s="583">
        <f t="shared" si="73"/>
        <v>0</v>
      </c>
      <c r="T663" s="580">
        <f t="shared" si="74"/>
        <v>0</v>
      </c>
      <c r="U663" s="51"/>
      <c r="V663" s="2119"/>
      <c r="W663" s="2116"/>
      <c r="X663" s="43"/>
      <c r="Y663" s="43"/>
      <c r="Z663" s="43"/>
    </row>
    <row r="664" spans="1:26">
      <c r="A664" s="88">
        <v>7217</v>
      </c>
      <c r="B664" s="1032" t="s">
        <v>644</v>
      </c>
      <c r="C664" s="1033"/>
      <c r="D664" s="1033"/>
      <c r="E664" s="1033"/>
      <c r="F664" s="1033"/>
      <c r="G664" s="1033"/>
      <c r="H664" s="1033"/>
      <c r="I664" s="1033"/>
      <c r="J664" s="1033"/>
      <c r="K664" s="1033"/>
      <c r="L664" s="90"/>
      <c r="M664" s="51"/>
      <c r="N664" s="113">
        <f t="shared" si="70"/>
        <v>7217</v>
      </c>
      <c r="O664" s="575">
        <v>0</v>
      </c>
      <c r="P664" s="582">
        <v>0</v>
      </c>
      <c r="Q664" s="589"/>
      <c r="R664" s="576"/>
      <c r="S664" s="583">
        <f t="shared" si="73"/>
        <v>0</v>
      </c>
      <c r="T664" s="580">
        <f t="shared" si="74"/>
        <v>0</v>
      </c>
      <c r="U664" s="51"/>
      <c r="V664" s="2119"/>
      <c r="W664" s="2116"/>
      <c r="X664" s="43"/>
      <c r="Y664" s="43"/>
      <c r="Z664" s="43"/>
    </row>
    <row r="665" spans="1:26">
      <c r="A665" s="88">
        <v>7218</v>
      </c>
      <c r="B665" s="1032" t="s">
        <v>645</v>
      </c>
      <c r="C665" s="1033"/>
      <c r="D665" s="1033"/>
      <c r="E665" s="1033"/>
      <c r="F665" s="1033"/>
      <c r="G665" s="1033"/>
      <c r="H665" s="1033"/>
      <c r="I665" s="1033"/>
      <c r="J665" s="1033"/>
      <c r="K665" s="1033"/>
      <c r="L665" s="90"/>
      <c r="M665" s="51"/>
      <c r="N665" s="113">
        <f t="shared" si="70"/>
        <v>7218</v>
      </c>
      <c r="O665" s="575">
        <v>0</v>
      </c>
      <c r="P665" s="582">
        <v>0</v>
      </c>
      <c r="Q665" s="589"/>
      <c r="R665" s="576"/>
      <c r="S665" s="583">
        <f t="shared" si="73"/>
        <v>0</v>
      </c>
      <c r="T665" s="580">
        <f t="shared" si="74"/>
        <v>0</v>
      </c>
      <c r="U665" s="51"/>
      <c r="V665" s="2119"/>
      <c r="W665" s="2116"/>
      <c r="X665" s="43"/>
      <c r="Y665" s="43"/>
      <c r="Z665" s="43"/>
    </row>
    <row r="666" spans="1:26">
      <c r="A666" s="88">
        <v>7219</v>
      </c>
      <c r="B666" s="1032" t="s">
        <v>646</v>
      </c>
      <c r="C666" s="1033"/>
      <c r="D666" s="1033"/>
      <c r="E666" s="1033"/>
      <c r="F666" s="1033"/>
      <c r="G666" s="1033"/>
      <c r="H666" s="1033"/>
      <c r="I666" s="1033"/>
      <c r="J666" s="1033"/>
      <c r="K666" s="1033"/>
      <c r="L666" s="90"/>
      <c r="M666" s="51"/>
      <c r="N666" s="113">
        <f t="shared" ref="N666:N729" si="75">+A666</f>
        <v>7219</v>
      </c>
      <c r="O666" s="8">
        <v>0</v>
      </c>
      <c r="P666" s="9">
        <v>0</v>
      </c>
      <c r="Q666" s="122"/>
      <c r="R666" s="121"/>
      <c r="S666" s="583">
        <f t="shared" si="73"/>
        <v>0</v>
      </c>
      <c r="T666" s="580">
        <f t="shared" si="74"/>
        <v>0</v>
      </c>
      <c r="U666" s="51"/>
      <c r="V666" s="2119"/>
      <c r="W666" s="2116"/>
      <c r="X666" s="43"/>
      <c r="Y666" s="43"/>
      <c r="Z666" s="43"/>
    </row>
    <row r="667" spans="1:26">
      <c r="A667" s="91">
        <v>7220</v>
      </c>
      <c r="B667" s="92" t="s">
        <v>647</v>
      </c>
      <c r="C667" s="92"/>
      <c r="D667" s="92"/>
      <c r="E667" s="92"/>
      <c r="F667" s="92"/>
      <c r="G667" s="92"/>
      <c r="H667" s="92"/>
      <c r="I667" s="92"/>
      <c r="J667" s="92"/>
      <c r="K667" s="92"/>
      <c r="L667" s="93"/>
      <c r="M667" s="51"/>
      <c r="N667" s="114">
        <f t="shared" si="75"/>
        <v>7220</v>
      </c>
      <c r="O667" s="10">
        <v>0</v>
      </c>
      <c r="P667" s="11">
        <v>0</v>
      </c>
      <c r="Q667" s="31">
        <v>0</v>
      </c>
      <c r="R667" s="11">
        <v>0</v>
      </c>
      <c r="S667" s="829">
        <f t="shared" si="73"/>
        <v>0</v>
      </c>
      <c r="T667" s="828">
        <f t="shared" si="74"/>
        <v>0</v>
      </c>
      <c r="U667" s="51"/>
      <c r="V667" s="2125">
        <f>+IF(OR(O667&lt;&gt;0,P667&lt;&gt;0,Q667&lt;&gt;0,R667&lt;&gt;0,S667&lt;&gt;0,T667&lt;&gt;0),+IF(ABS(O667+Q667)-ABS(P667+R667)&lt;&gt;0,ABS(O667+Q667)-ABS(P667+R667),1),0)</f>
        <v>0</v>
      </c>
      <c r="W667" s="2116"/>
      <c r="X667" s="43"/>
      <c r="Y667" s="43"/>
      <c r="Z667" s="43"/>
    </row>
    <row r="668" spans="1:26">
      <c r="A668" s="88">
        <v>7221</v>
      </c>
      <c r="B668" s="1033" t="s">
        <v>648</v>
      </c>
      <c r="C668" s="1033"/>
      <c r="D668" s="1033"/>
      <c r="E668" s="1033"/>
      <c r="F668" s="1033"/>
      <c r="G668" s="1033"/>
      <c r="H668" s="1033"/>
      <c r="I668" s="1033"/>
      <c r="J668" s="1033"/>
      <c r="K668" s="1033"/>
      <c r="L668" s="90"/>
      <c r="M668" s="51"/>
      <c r="N668" s="113">
        <f t="shared" si="75"/>
        <v>7221</v>
      </c>
      <c r="O668" s="8">
        <v>0</v>
      </c>
      <c r="P668" s="9">
        <v>0</v>
      </c>
      <c r="Q668" s="122"/>
      <c r="R668" s="121"/>
      <c r="S668" s="27">
        <f t="shared" ref="S668:S696" si="76">+IF(ABS(+O668+Q668)&gt;=ABS(P668+R668),+O668-P668+Q668-R668,0)</f>
        <v>0</v>
      </c>
      <c r="T668" s="28">
        <f t="shared" ref="T668:T697" si="77">+IF(ABS(+O668+Q668)&lt;=ABS(P668+R668),-O668+P668-Q668+R668,0)</f>
        <v>0</v>
      </c>
      <c r="U668" s="51"/>
      <c r="V668" s="2119"/>
      <c r="W668" s="2116"/>
      <c r="X668" s="43"/>
      <c r="Y668" s="43"/>
      <c r="Z668" s="43"/>
    </row>
    <row r="669" spans="1:26">
      <c r="A669" s="88">
        <v>7222</v>
      </c>
      <c r="B669" s="1033" t="s">
        <v>649</v>
      </c>
      <c r="C669" s="1033"/>
      <c r="D669" s="1033"/>
      <c r="E669" s="1033"/>
      <c r="F669" s="1033"/>
      <c r="G669" s="1033"/>
      <c r="H669" s="1033"/>
      <c r="I669" s="1033"/>
      <c r="J669" s="1033"/>
      <c r="K669" s="1033"/>
      <c r="L669" s="90"/>
      <c r="M669" s="51"/>
      <c r="N669" s="113">
        <f t="shared" si="75"/>
        <v>7222</v>
      </c>
      <c r="O669" s="575">
        <v>0</v>
      </c>
      <c r="P669" s="582">
        <v>0</v>
      </c>
      <c r="Q669" s="589"/>
      <c r="R669" s="576"/>
      <c r="S669" s="27">
        <f t="shared" si="76"/>
        <v>0</v>
      </c>
      <c r="T669" s="28">
        <f t="shared" si="77"/>
        <v>0</v>
      </c>
      <c r="U669" s="51"/>
      <c r="V669" s="2119"/>
      <c r="W669" s="2116"/>
      <c r="X669" s="43"/>
      <c r="Y669" s="43"/>
      <c r="Z669" s="43"/>
    </row>
    <row r="670" spans="1:26">
      <c r="A670" s="88">
        <v>7223</v>
      </c>
      <c r="B670" s="1033" t="s">
        <v>650</v>
      </c>
      <c r="C670" s="1033"/>
      <c r="D670" s="1033"/>
      <c r="E670" s="1033"/>
      <c r="F670" s="1033"/>
      <c r="G670" s="1033"/>
      <c r="H670" s="1033"/>
      <c r="I670" s="1033"/>
      <c r="J670" s="1033"/>
      <c r="K670" s="1033"/>
      <c r="L670" s="90"/>
      <c r="M670" s="51"/>
      <c r="N670" s="113">
        <f t="shared" si="75"/>
        <v>7223</v>
      </c>
      <c r="O670" s="575">
        <v>0</v>
      </c>
      <c r="P670" s="582">
        <v>0</v>
      </c>
      <c r="Q670" s="589"/>
      <c r="R670" s="576"/>
      <c r="S670" s="583">
        <f t="shared" si="76"/>
        <v>0</v>
      </c>
      <c r="T670" s="580">
        <f t="shared" si="77"/>
        <v>0</v>
      </c>
      <c r="U670" s="51"/>
      <c r="V670" s="2119"/>
      <c r="W670" s="2116"/>
      <c r="X670" s="43"/>
      <c r="Y670" s="43"/>
      <c r="Z670" s="43"/>
    </row>
    <row r="671" spans="1:26">
      <c r="A671" s="88">
        <v>7224</v>
      </c>
      <c r="B671" s="1033" t="s">
        <v>651</v>
      </c>
      <c r="C671" s="1033"/>
      <c r="D671" s="1033"/>
      <c r="E671" s="1033"/>
      <c r="F671" s="1033"/>
      <c r="G671" s="1033"/>
      <c r="H671" s="1033"/>
      <c r="I671" s="1033"/>
      <c r="J671" s="1033"/>
      <c r="K671" s="1033"/>
      <c r="L671" s="90"/>
      <c r="M671" s="51"/>
      <c r="N671" s="113">
        <f t="shared" si="75"/>
        <v>7224</v>
      </c>
      <c r="O671" s="575">
        <v>0</v>
      </c>
      <c r="P671" s="582">
        <v>0</v>
      </c>
      <c r="Q671" s="589"/>
      <c r="R671" s="576"/>
      <c r="S671" s="583">
        <f t="shared" si="76"/>
        <v>0</v>
      </c>
      <c r="T671" s="580">
        <f t="shared" si="77"/>
        <v>0</v>
      </c>
      <c r="U671" s="51"/>
      <c r="V671" s="2119"/>
      <c r="W671" s="2116"/>
      <c r="X671" s="43"/>
      <c r="Y671" s="43"/>
      <c r="Z671" s="43"/>
    </row>
    <row r="672" spans="1:26">
      <c r="A672" s="88">
        <v>7226</v>
      </c>
      <c r="B672" s="1033" t="s">
        <v>652</v>
      </c>
      <c r="C672" s="1033"/>
      <c r="D672" s="1033"/>
      <c r="E672" s="1033"/>
      <c r="F672" s="1033"/>
      <c r="G672" s="1033"/>
      <c r="H672" s="1033"/>
      <c r="I672" s="1033"/>
      <c r="J672" s="1033"/>
      <c r="K672" s="1033"/>
      <c r="L672" s="90"/>
      <c r="M672" s="51"/>
      <c r="N672" s="113">
        <f t="shared" si="75"/>
        <v>7226</v>
      </c>
      <c r="O672" s="575">
        <v>0</v>
      </c>
      <c r="P672" s="582">
        <v>0</v>
      </c>
      <c r="Q672" s="589"/>
      <c r="R672" s="576"/>
      <c r="S672" s="583">
        <f t="shared" si="76"/>
        <v>0</v>
      </c>
      <c r="T672" s="580">
        <f t="shared" si="77"/>
        <v>0</v>
      </c>
      <c r="U672" s="51"/>
      <c r="V672" s="2119"/>
      <c r="W672" s="2116"/>
      <c r="X672" s="43"/>
      <c r="Y672" s="43"/>
      <c r="Z672" s="43"/>
    </row>
    <row r="673" spans="1:26">
      <c r="A673" s="88">
        <v>7229</v>
      </c>
      <c r="B673" s="1033" t="s">
        <v>653</v>
      </c>
      <c r="C673" s="1033"/>
      <c r="D673" s="1033"/>
      <c r="E673" s="1033"/>
      <c r="F673" s="1033"/>
      <c r="G673" s="1033"/>
      <c r="H673" s="1033"/>
      <c r="I673" s="1033"/>
      <c r="J673" s="1033"/>
      <c r="K673" s="1033"/>
      <c r="L673" s="90"/>
      <c r="M673" s="51"/>
      <c r="N673" s="113">
        <f t="shared" si="75"/>
        <v>7229</v>
      </c>
      <c r="O673" s="575">
        <v>0</v>
      </c>
      <c r="P673" s="582">
        <v>0</v>
      </c>
      <c r="Q673" s="589"/>
      <c r="R673" s="576"/>
      <c r="S673" s="583">
        <f t="shared" si="76"/>
        <v>0</v>
      </c>
      <c r="T673" s="580">
        <f t="shared" si="77"/>
        <v>0</v>
      </c>
      <c r="U673" s="51"/>
      <c r="V673" s="2119"/>
      <c r="W673" s="2116"/>
      <c r="X673" s="43"/>
      <c r="Y673" s="43"/>
      <c r="Z673" s="43"/>
    </row>
    <row r="674" spans="1:26">
      <c r="A674" s="88">
        <v>7231</v>
      </c>
      <c r="B674" s="1033" t="s">
        <v>654</v>
      </c>
      <c r="C674" s="1033"/>
      <c r="D674" s="1033"/>
      <c r="E674" s="1033"/>
      <c r="F674" s="1033"/>
      <c r="G674" s="1033"/>
      <c r="H674" s="1033"/>
      <c r="I674" s="1033"/>
      <c r="J674" s="1033"/>
      <c r="K674" s="1033"/>
      <c r="L674" s="90"/>
      <c r="M674" s="51"/>
      <c r="N674" s="113">
        <f t="shared" si="75"/>
        <v>7231</v>
      </c>
      <c r="O674" s="575">
        <v>0</v>
      </c>
      <c r="P674" s="582">
        <v>0</v>
      </c>
      <c r="Q674" s="589"/>
      <c r="R674" s="576"/>
      <c r="S674" s="583">
        <f t="shared" si="76"/>
        <v>0</v>
      </c>
      <c r="T674" s="580">
        <f t="shared" si="77"/>
        <v>0</v>
      </c>
      <c r="U674" s="51"/>
      <c r="V674" s="2119"/>
      <c r="W674" s="2116"/>
      <c r="X674" s="43"/>
      <c r="Y674" s="43"/>
      <c r="Z674" s="43"/>
    </row>
    <row r="675" spans="1:26">
      <c r="A675" s="88">
        <v>7232</v>
      </c>
      <c r="B675" s="1033" t="s">
        <v>0</v>
      </c>
      <c r="C675" s="1033"/>
      <c r="D675" s="1033"/>
      <c r="E675" s="1033"/>
      <c r="F675" s="1033"/>
      <c r="G675" s="1033"/>
      <c r="H675" s="1033"/>
      <c r="I675" s="1033"/>
      <c r="J675" s="1033"/>
      <c r="K675" s="1033"/>
      <c r="L675" s="90"/>
      <c r="M675" s="51"/>
      <c r="N675" s="113">
        <f t="shared" si="75"/>
        <v>7232</v>
      </c>
      <c r="O675" s="575">
        <v>0</v>
      </c>
      <c r="P675" s="582">
        <v>0</v>
      </c>
      <c r="Q675" s="589"/>
      <c r="R675" s="576"/>
      <c r="S675" s="583">
        <f t="shared" si="76"/>
        <v>0</v>
      </c>
      <c r="T675" s="580">
        <f t="shared" si="77"/>
        <v>0</v>
      </c>
      <c r="U675" s="51"/>
      <c r="V675" s="2119"/>
      <c r="W675" s="2116"/>
      <c r="X675" s="43"/>
      <c r="Y675" s="43"/>
      <c r="Z675" s="43"/>
    </row>
    <row r="676" spans="1:26">
      <c r="A676" s="88">
        <v>7241</v>
      </c>
      <c r="B676" s="1033" t="s">
        <v>1</v>
      </c>
      <c r="C676" s="1033"/>
      <c r="D676" s="1033"/>
      <c r="E676" s="1033"/>
      <c r="F676" s="1033"/>
      <c r="G676" s="1033"/>
      <c r="H676" s="1033"/>
      <c r="I676" s="1033"/>
      <c r="J676" s="1033"/>
      <c r="K676" s="1033"/>
      <c r="L676" s="90"/>
      <c r="M676" s="51"/>
      <c r="N676" s="113">
        <f t="shared" si="75"/>
        <v>7241</v>
      </c>
      <c r="O676" s="575">
        <v>0</v>
      </c>
      <c r="P676" s="582">
        <v>0</v>
      </c>
      <c r="Q676" s="589"/>
      <c r="R676" s="576"/>
      <c r="S676" s="583">
        <f t="shared" si="76"/>
        <v>0</v>
      </c>
      <c r="T676" s="580">
        <f t="shared" si="77"/>
        <v>0</v>
      </c>
      <c r="U676" s="51"/>
      <c r="V676" s="2119"/>
      <c r="W676" s="2116"/>
      <c r="X676" s="43"/>
      <c r="Y676" s="43"/>
      <c r="Z676" s="43"/>
    </row>
    <row r="677" spans="1:26">
      <c r="A677" s="88">
        <v>7242</v>
      </c>
      <c r="B677" s="1033" t="s">
        <v>2</v>
      </c>
      <c r="C677" s="1033"/>
      <c r="D677" s="1033"/>
      <c r="E677" s="1033"/>
      <c r="F677" s="1033"/>
      <c r="G677" s="1033"/>
      <c r="H677" s="1033"/>
      <c r="I677" s="1033"/>
      <c r="J677" s="1033"/>
      <c r="K677" s="1033"/>
      <c r="L677" s="90"/>
      <c r="M677" s="51"/>
      <c r="N677" s="113">
        <f t="shared" si="75"/>
        <v>7242</v>
      </c>
      <c r="O677" s="575">
        <v>0</v>
      </c>
      <c r="P677" s="582">
        <v>0</v>
      </c>
      <c r="Q677" s="589"/>
      <c r="R677" s="576"/>
      <c r="S677" s="583">
        <f t="shared" si="76"/>
        <v>0</v>
      </c>
      <c r="T677" s="580">
        <f t="shared" si="77"/>
        <v>0</v>
      </c>
      <c r="U677" s="51"/>
      <c r="V677" s="2119"/>
      <c r="W677" s="2116"/>
      <c r="X677" s="43"/>
      <c r="Y677" s="43"/>
      <c r="Z677" s="43"/>
    </row>
    <row r="678" spans="1:26" ht="15.75" customHeight="1">
      <c r="A678" s="88">
        <v>7250</v>
      </c>
      <c r="B678" s="378" t="s">
        <v>3</v>
      </c>
      <c r="C678" s="1033"/>
      <c r="D678" s="1033"/>
      <c r="E678" s="1033"/>
      <c r="F678" s="1033"/>
      <c r="G678" s="1033"/>
      <c r="H678" s="1033"/>
      <c r="I678" s="1033"/>
      <c r="J678" s="1033"/>
      <c r="K678" s="1033"/>
      <c r="L678" s="90"/>
      <c r="M678" s="51"/>
      <c r="N678" s="113">
        <f t="shared" si="75"/>
        <v>7250</v>
      </c>
      <c r="O678" s="575">
        <v>0</v>
      </c>
      <c r="P678" s="582">
        <v>0</v>
      </c>
      <c r="Q678" s="589"/>
      <c r="R678" s="576"/>
      <c r="S678" s="583">
        <f t="shared" si="76"/>
        <v>0</v>
      </c>
      <c r="T678" s="580">
        <f t="shared" si="77"/>
        <v>0</v>
      </c>
      <c r="U678" s="51"/>
      <c r="V678" s="2119"/>
      <c r="W678" s="2116"/>
      <c r="X678" s="43"/>
      <c r="Y678" s="43"/>
      <c r="Z678" s="43"/>
    </row>
    <row r="679" spans="1:26">
      <c r="A679" s="88">
        <v>7251</v>
      </c>
      <c r="B679" s="1033" t="s">
        <v>4</v>
      </c>
      <c r="C679" s="1033"/>
      <c r="D679" s="1033"/>
      <c r="E679" s="1033"/>
      <c r="F679" s="1033"/>
      <c r="G679" s="1033"/>
      <c r="H679" s="1033"/>
      <c r="I679" s="1033"/>
      <c r="J679" s="1033"/>
      <c r="K679" s="1033"/>
      <c r="L679" s="90"/>
      <c r="M679" s="51"/>
      <c r="N679" s="113">
        <f t="shared" si="75"/>
        <v>7251</v>
      </c>
      <c r="O679" s="575">
        <v>0</v>
      </c>
      <c r="P679" s="582">
        <v>0</v>
      </c>
      <c r="Q679" s="589">
        <v>0</v>
      </c>
      <c r="R679" s="576">
        <v>0</v>
      </c>
      <c r="S679" s="583">
        <f t="shared" si="76"/>
        <v>0</v>
      </c>
      <c r="T679" s="580">
        <f t="shared" si="77"/>
        <v>0</v>
      </c>
      <c r="U679" s="51"/>
      <c r="V679" s="2119"/>
      <c r="W679" s="2116"/>
      <c r="X679" s="43"/>
      <c r="Y679" s="43"/>
      <c r="Z679" s="43"/>
    </row>
    <row r="680" spans="1:26">
      <c r="A680" s="88">
        <v>7252</v>
      </c>
      <c r="B680" s="1033" t="s">
        <v>5</v>
      </c>
      <c r="C680" s="1033"/>
      <c r="D680" s="1033"/>
      <c r="E680" s="1033"/>
      <c r="F680" s="1033"/>
      <c r="G680" s="1033"/>
      <c r="H680" s="1033"/>
      <c r="I680" s="1033"/>
      <c r="J680" s="1033"/>
      <c r="K680" s="1033"/>
      <c r="L680" s="90"/>
      <c r="M680" s="51"/>
      <c r="N680" s="113">
        <f t="shared" si="75"/>
        <v>7252</v>
      </c>
      <c r="O680" s="575">
        <v>0</v>
      </c>
      <c r="P680" s="582">
        <v>0</v>
      </c>
      <c r="Q680" s="589">
        <v>0</v>
      </c>
      <c r="R680" s="576">
        <v>0</v>
      </c>
      <c r="S680" s="583">
        <f t="shared" si="76"/>
        <v>0</v>
      </c>
      <c r="T680" s="580">
        <f t="shared" si="77"/>
        <v>0</v>
      </c>
      <c r="U680" s="51"/>
      <c r="V680" s="2119"/>
      <c r="W680" s="2116"/>
      <c r="X680" s="43"/>
      <c r="Y680" s="43"/>
      <c r="Z680" s="43"/>
    </row>
    <row r="681" spans="1:26">
      <c r="A681" s="88">
        <v>7258</v>
      </c>
      <c r="B681" s="1033" t="s">
        <v>6</v>
      </c>
      <c r="C681" s="1033"/>
      <c r="D681" s="1033"/>
      <c r="E681" s="1033"/>
      <c r="F681" s="1033"/>
      <c r="G681" s="1033"/>
      <c r="H681" s="1033"/>
      <c r="I681" s="1033"/>
      <c r="J681" s="1033"/>
      <c r="K681" s="1033"/>
      <c r="L681" s="90"/>
      <c r="M681" s="51"/>
      <c r="N681" s="113">
        <f t="shared" si="75"/>
        <v>7258</v>
      </c>
      <c r="O681" s="575">
        <v>0</v>
      </c>
      <c r="P681" s="582">
        <v>0</v>
      </c>
      <c r="Q681" s="589"/>
      <c r="R681" s="576"/>
      <c r="S681" s="583">
        <f t="shared" si="76"/>
        <v>0</v>
      </c>
      <c r="T681" s="580">
        <f t="shared" si="77"/>
        <v>0</v>
      </c>
      <c r="U681" s="51"/>
      <c r="V681" s="2119"/>
      <c r="W681" s="2116"/>
      <c r="X681" s="43"/>
      <c r="Y681" s="43"/>
      <c r="Z681" s="43"/>
    </row>
    <row r="682" spans="1:26" ht="15.75" customHeight="1">
      <c r="A682" s="88">
        <v>7270</v>
      </c>
      <c r="B682" s="378" t="s">
        <v>7</v>
      </c>
      <c r="C682" s="1033"/>
      <c r="D682" s="1033"/>
      <c r="E682" s="1033"/>
      <c r="F682" s="1033"/>
      <c r="G682" s="1033"/>
      <c r="H682" s="1033"/>
      <c r="I682" s="1033"/>
      <c r="J682" s="1033"/>
      <c r="K682" s="1033"/>
      <c r="L682" s="90"/>
      <c r="M682" s="51"/>
      <c r="N682" s="113">
        <f t="shared" si="75"/>
        <v>7270</v>
      </c>
      <c r="O682" s="575">
        <v>0</v>
      </c>
      <c r="P682" s="582">
        <v>0</v>
      </c>
      <c r="Q682" s="589"/>
      <c r="R682" s="576"/>
      <c r="S682" s="583">
        <f t="shared" si="76"/>
        <v>0</v>
      </c>
      <c r="T682" s="580">
        <f t="shared" si="77"/>
        <v>0</v>
      </c>
      <c r="U682" s="51"/>
      <c r="V682" s="2119"/>
      <c r="W682" s="2116"/>
      <c r="X682" s="43"/>
      <c r="Y682" s="43"/>
      <c r="Z682" s="43"/>
    </row>
    <row r="683" spans="1:26">
      <c r="A683" s="88">
        <v>7271</v>
      </c>
      <c r="B683" s="1033" t="s">
        <v>8</v>
      </c>
      <c r="C683" s="1033"/>
      <c r="D683" s="1033"/>
      <c r="E683" s="1033"/>
      <c r="F683" s="1033"/>
      <c r="G683" s="1033"/>
      <c r="H683" s="1033"/>
      <c r="I683" s="1033"/>
      <c r="J683" s="1033"/>
      <c r="K683" s="1033"/>
      <c r="L683" s="90"/>
      <c r="M683" s="51"/>
      <c r="N683" s="113">
        <f t="shared" si="75"/>
        <v>7271</v>
      </c>
      <c r="O683" s="575">
        <v>0</v>
      </c>
      <c r="P683" s="582">
        <v>0</v>
      </c>
      <c r="Q683" s="589"/>
      <c r="R683" s="576"/>
      <c r="S683" s="583">
        <f t="shared" si="76"/>
        <v>0</v>
      </c>
      <c r="T683" s="580">
        <f t="shared" si="77"/>
        <v>0</v>
      </c>
      <c r="U683" s="51"/>
      <c r="V683" s="2119"/>
      <c r="W683" s="2116"/>
      <c r="X683" s="43"/>
      <c r="Y683" s="43"/>
      <c r="Z683" s="43"/>
    </row>
    <row r="684" spans="1:26" ht="15.75" customHeight="1">
      <c r="A684" s="88">
        <v>7274</v>
      </c>
      <c r="B684" s="378" t="s">
        <v>725</v>
      </c>
      <c r="C684" s="1033"/>
      <c r="D684" s="1033"/>
      <c r="E684" s="1033"/>
      <c r="F684" s="1033"/>
      <c r="G684" s="1033"/>
      <c r="H684" s="1033"/>
      <c r="I684" s="1033"/>
      <c r="J684" s="1033"/>
      <c r="K684" s="1033"/>
      <c r="L684" s="90"/>
      <c r="M684" s="51"/>
      <c r="N684" s="113">
        <f t="shared" si="75"/>
        <v>7274</v>
      </c>
      <c r="O684" s="575">
        <v>0</v>
      </c>
      <c r="P684" s="582">
        <v>0</v>
      </c>
      <c r="Q684" s="589"/>
      <c r="R684" s="576"/>
      <c r="S684" s="583">
        <f t="shared" si="76"/>
        <v>0</v>
      </c>
      <c r="T684" s="580">
        <f t="shared" si="77"/>
        <v>0</v>
      </c>
      <c r="U684" s="51"/>
      <c r="V684" s="2119"/>
      <c r="W684" s="2116"/>
      <c r="X684" s="43"/>
      <c r="Y684" s="43"/>
      <c r="Z684" s="43"/>
    </row>
    <row r="685" spans="1:26" ht="15.75" customHeight="1">
      <c r="A685" s="88">
        <v>7275</v>
      </c>
      <c r="B685" s="378" t="s">
        <v>726</v>
      </c>
      <c r="C685" s="1033"/>
      <c r="D685" s="1033"/>
      <c r="E685" s="1033"/>
      <c r="F685" s="1033"/>
      <c r="G685" s="1033"/>
      <c r="H685" s="1033"/>
      <c r="I685" s="1033"/>
      <c r="J685" s="1033"/>
      <c r="K685" s="1033"/>
      <c r="L685" s="90"/>
      <c r="M685" s="51"/>
      <c r="N685" s="113">
        <f t="shared" si="75"/>
        <v>7275</v>
      </c>
      <c r="O685" s="575">
        <v>0</v>
      </c>
      <c r="P685" s="582">
        <v>0</v>
      </c>
      <c r="Q685" s="589"/>
      <c r="R685" s="576"/>
      <c r="S685" s="583">
        <f t="shared" si="76"/>
        <v>0</v>
      </c>
      <c r="T685" s="580">
        <f t="shared" si="77"/>
        <v>0</v>
      </c>
      <c r="U685" s="51"/>
      <c r="V685" s="2119"/>
      <c r="W685" s="2116"/>
      <c r="X685" s="43"/>
      <c r="Y685" s="43"/>
      <c r="Z685" s="43"/>
    </row>
    <row r="686" spans="1:26">
      <c r="A686" s="88">
        <v>7277</v>
      </c>
      <c r="B686" s="1033" t="s">
        <v>727</v>
      </c>
      <c r="C686" s="1033"/>
      <c r="D686" s="1033"/>
      <c r="E686" s="1033"/>
      <c r="F686" s="1033"/>
      <c r="G686" s="1033"/>
      <c r="H686" s="1033"/>
      <c r="I686" s="1033"/>
      <c r="J686" s="1033"/>
      <c r="K686" s="1033"/>
      <c r="L686" s="90"/>
      <c r="M686" s="51"/>
      <c r="N686" s="113">
        <f t="shared" si="75"/>
        <v>7277</v>
      </c>
      <c r="O686" s="575">
        <v>0</v>
      </c>
      <c r="P686" s="582">
        <v>0</v>
      </c>
      <c r="Q686" s="589"/>
      <c r="R686" s="576"/>
      <c r="S686" s="583">
        <f t="shared" si="76"/>
        <v>0</v>
      </c>
      <c r="T686" s="580">
        <f t="shared" si="77"/>
        <v>0</v>
      </c>
      <c r="U686" s="51"/>
      <c r="V686" s="2119"/>
      <c r="W686" s="2116"/>
      <c r="X686" s="43"/>
      <c r="Y686" s="43"/>
      <c r="Z686" s="43"/>
    </row>
    <row r="687" spans="1:26">
      <c r="A687" s="88">
        <v>7278</v>
      </c>
      <c r="B687" s="1033" t="s">
        <v>728</v>
      </c>
      <c r="C687" s="1033"/>
      <c r="D687" s="1033"/>
      <c r="E687" s="1033"/>
      <c r="F687" s="1033"/>
      <c r="G687" s="1033"/>
      <c r="H687" s="1033"/>
      <c r="I687" s="1033"/>
      <c r="J687" s="1033"/>
      <c r="K687" s="1033"/>
      <c r="L687" s="90"/>
      <c r="M687" s="51"/>
      <c r="N687" s="113">
        <f t="shared" si="75"/>
        <v>7278</v>
      </c>
      <c r="O687" s="575">
        <v>0</v>
      </c>
      <c r="P687" s="582">
        <v>0</v>
      </c>
      <c r="Q687" s="589"/>
      <c r="R687" s="576"/>
      <c r="S687" s="583">
        <f t="shared" si="76"/>
        <v>0</v>
      </c>
      <c r="T687" s="580">
        <f t="shared" si="77"/>
        <v>0</v>
      </c>
      <c r="U687" s="51"/>
      <c r="V687" s="2119"/>
      <c r="W687" s="2116"/>
      <c r="X687" s="43"/>
      <c r="Y687" s="43"/>
      <c r="Z687" s="43"/>
    </row>
    <row r="688" spans="1:26">
      <c r="A688" s="88">
        <v>7282</v>
      </c>
      <c r="B688" s="1033" t="s">
        <v>729</v>
      </c>
      <c r="C688" s="1033"/>
      <c r="D688" s="1033"/>
      <c r="E688" s="1033"/>
      <c r="F688" s="1033"/>
      <c r="G688" s="1033"/>
      <c r="H688" s="1033"/>
      <c r="I688" s="1033"/>
      <c r="J688" s="1033"/>
      <c r="K688" s="1033"/>
      <c r="L688" s="90"/>
      <c r="M688" s="51"/>
      <c r="N688" s="113">
        <f t="shared" si="75"/>
        <v>7282</v>
      </c>
      <c r="O688" s="575">
        <v>0</v>
      </c>
      <c r="P688" s="582">
        <v>0</v>
      </c>
      <c r="Q688" s="589"/>
      <c r="R688" s="576"/>
      <c r="S688" s="583">
        <f t="shared" si="76"/>
        <v>0</v>
      </c>
      <c r="T688" s="580">
        <f t="shared" si="77"/>
        <v>0</v>
      </c>
      <c r="U688" s="51"/>
      <c r="V688" s="2119"/>
      <c r="W688" s="2116"/>
      <c r="X688" s="43"/>
      <c r="Y688" s="43"/>
      <c r="Z688" s="43"/>
    </row>
    <row r="689" spans="1:26">
      <c r="A689" s="88">
        <v>7289</v>
      </c>
      <c r="B689" s="1033" t="s">
        <v>730</v>
      </c>
      <c r="C689" s="1033"/>
      <c r="D689" s="1033"/>
      <c r="E689" s="1033"/>
      <c r="F689" s="1033"/>
      <c r="G689" s="1033"/>
      <c r="H689" s="1033"/>
      <c r="I689" s="1033"/>
      <c r="J689" s="1033"/>
      <c r="K689" s="1033"/>
      <c r="L689" s="90"/>
      <c r="M689" s="51"/>
      <c r="N689" s="113">
        <f t="shared" si="75"/>
        <v>7289</v>
      </c>
      <c r="O689" s="575">
        <v>0</v>
      </c>
      <c r="P689" s="582">
        <v>0</v>
      </c>
      <c r="Q689" s="589"/>
      <c r="R689" s="576"/>
      <c r="S689" s="583">
        <f t="shared" si="76"/>
        <v>0</v>
      </c>
      <c r="T689" s="580">
        <f t="shared" si="77"/>
        <v>0</v>
      </c>
      <c r="U689" s="51"/>
      <c r="V689" s="2119"/>
      <c r="W689" s="2116"/>
      <c r="X689" s="43"/>
      <c r="Y689" s="43"/>
      <c r="Z689" s="43"/>
    </row>
    <row r="690" spans="1:26">
      <c r="A690" s="88">
        <v>7291</v>
      </c>
      <c r="B690" s="1033" t="s">
        <v>731</v>
      </c>
      <c r="C690" s="1033"/>
      <c r="D690" s="1033"/>
      <c r="E690" s="1033"/>
      <c r="F690" s="1033"/>
      <c r="G690" s="1033"/>
      <c r="H690" s="1033"/>
      <c r="I690" s="1033"/>
      <c r="J690" s="1033"/>
      <c r="K690" s="1033"/>
      <c r="L690" s="90"/>
      <c r="M690" s="51"/>
      <c r="N690" s="113">
        <f t="shared" si="75"/>
        <v>7291</v>
      </c>
      <c r="O690" s="575">
        <v>0</v>
      </c>
      <c r="P690" s="582">
        <v>0</v>
      </c>
      <c r="Q690" s="589"/>
      <c r="R690" s="576"/>
      <c r="S690" s="583">
        <f t="shared" si="76"/>
        <v>0</v>
      </c>
      <c r="T690" s="580">
        <f t="shared" si="77"/>
        <v>0</v>
      </c>
      <c r="U690" s="51"/>
      <c r="V690" s="2119"/>
      <c r="W690" s="2116"/>
      <c r="X690" s="43"/>
      <c r="Y690" s="43"/>
      <c r="Z690" s="43"/>
    </row>
    <row r="691" spans="1:26">
      <c r="A691" s="88">
        <v>7292</v>
      </c>
      <c r="B691" s="1033" t="s">
        <v>732</v>
      </c>
      <c r="C691" s="1033"/>
      <c r="D691" s="1033"/>
      <c r="E691" s="1033"/>
      <c r="F691" s="1033"/>
      <c r="G691" s="1033"/>
      <c r="H691" s="1033"/>
      <c r="I691" s="1033"/>
      <c r="J691" s="1033"/>
      <c r="K691" s="1033"/>
      <c r="L691" s="90"/>
      <c r="M691" s="51"/>
      <c r="N691" s="113">
        <f t="shared" si="75"/>
        <v>7292</v>
      </c>
      <c r="O691" s="575">
        <v>0</v>
      </c>
      <c r="P691" s="582">
        <v>0</v>
      </c>
      <c r="Q691" s="589"/>
      <c r="R691" s="576"/>
      <c r="S691" s="583">
        <f t="shared" si="76"/>
        <v>0</v>
      </c>
      <c r="T691" s="580">
        <f t="shared" si="77"/>
        <v>0</v>
      </c>
      <c r="U691" s="51"/>
      <c r="V691" s="2119"/>
      <c r="W691" s="2116"/>
      <c r="X691" s="43"/>
      <c r="Y691" s="43"/>
      <c r="Z691" s="43"/>
    </row>
    <row r="692" spans="1:26" ht="15.75" customHeight="1">
      <c r="A692" s="88">
        <v>7298</v>
      </c>
      <c r="B692" s="1033" t="s">
        <v>733</v>
      </c>
      <c r="C692" s="1033"/>
      <c r="D692" s="1033"/>
      <c r="E692" s="1033"/>
      <c r="F692" s="1033"/>
      <c r="G692" s="1033"/>
      <c r="H692" s="1033"/>
      <c r="I692" s="1033"/>
      <c r="J692" s="1033"/>
      <c r="K692" s="1033"/>
      <c r="L692" s="90"/>
      <c r="M692" s="51"/>
      <c r="N692" s="113">
        <f t="shared" si="75"/>
        <v>7298</v>
      </c>
      <c r="O692" s="575">
        <v>0</v>
      </c>
      <c r="P692" s="582">
        <v>0</v>
      </c>
      <c r="Q692" s="589"/>
      <c r="R692" s="576"/>
      <c r="S692" s="583">
        <f t="shared" si="76"/>
        <v>0</v>
      </c>
      <c r="T692" s="580">
        <f t="shared" si="77"/>
        <v>0</v>
      </c>
      <c r="U692" s="51"/>
      <c r="V692" s="2119"/>
      <c r="W692" s="2116"/>
      <c r="X692" s="43"/>
      <c r="Y692" s="43"/>
      <c r="Z692" s="43"/>
    </row>
    <row r="693" spans="1:26">
      <c r="A693" s="88">
        <v>7311</v>
      </c>
      <c r="B693" s="1035" t="s">
        <v>1173</v>
      </c>
      <c r="C693" s="1033"/>
      <c r="D693" s="1033"/>
      <c r="E693" s="1033"/>
      <c r="F693" s="1033"/>
      <c r="G693" s="1033"/>
      <c r="H693" s="1033"/>
      <c r="I693" s="1033"/>
      <c r="J693" s="1033"/>
      <c r="K693" s="1033"/>
      <c r="L693" s="90"/>
      <c r="M693" s="51"/>
      <c r="N693" s="113">
        <f t="shared" si="75"/>
        <v>7311</v>
      </c>
      <c r="O693" s="575">
        <v>0</v>
      </c>
      <c r="P693" s="582">
        <v>0</v>
      </c>
      <c r="Q693" s="589">
        <v>0</v>
      </c>
      <c r="R693" s="576">
        <v>0</v>
      </c>
      <c r="S693" s="583">
        <f t="shared" si="76"/>
        <v>0</v>
      </c>
      <c r="T693" s="580">
        <f t="shared" si="77"/>
        <v>0</v>
      </c>
      <c r="U693" s="51"/>
      <c r="V693" s="2119"/>
      <c r="W693" s="2116"/>
      <c r="X693" s="43"/>
      <c r="Y693" s="43"/>
      <c r="Z693" s="43"/>
    </row>
    <row r="694" spans="1:26" ht="15.75" customHeight="1">
      <c r="A694" s="88">
        <v>7313</v>
      </c>
      <c r="B694" s="1035" t="s">
        <v>1174</v>
      </c>
      <c r="C694" s="1033"/>
      <c r="D694" s="1033"/>
      <c r="E694" s="1033"/>
      <c r="F694" s="1033"/>
      <c r="G694" s="1033"/>
      <c r="H694" s="1033"/>
      <c r="I694" s="1033"/>
      <c r="J694" s="1033"/>
      <c r="K694" s="1033"/>
      <c r="L694" s="90"/>
      <c r="M694" s="51"/>
      <c r="N694" s="113">
        <f t="shared" si="75"/>
        <v>7313</v>
      </c>
      <c r="O694" s="575">
        <v>0</v>
      </c>
      <c r="P694" s="582">
        <v>0</v>
      </c>
      <c r="Q694" s="589"/>
      <c r="R694" s="576"/>
      <c r="S694" s="583">
        <f t="shared" si="76"/>
        <v>0</v>
      </c>
      <c r="T694" s="580">
        <f t="shared" si="77"/>
        <v>0</v>
      </c>
      <c r="U694" s="51"/>
      <c r="V694" s="2119"/>
      <c r="W694" s="2116"/>
      <c r="X694" s="43"/>
      <c r="Y694" s="43"/>
      <c r="Z694" s="43"/>
    </row>
    <row r="695" spans="1:26">
      <c r="A695" s="88">
        <v>7319</v>
      </c>
      <c r="B695" s="1035" t="s">
        <v>1175</v>
      </c>
      <c r="C695" s="1033"/>
      <c r="D695" s="1033"/>
      <c r="E695" s="1033"/>
      <c r="F695" s="1033"/>
      <c r="G695" s="1033"/>
      <c r="H695" s="1033"/>
      <c r="I695" s="1033"/>
      <c r="J695" s="1033"/>
      <c r="K695" s="1033"/>
      <c r="L695" s="90"/>
      <c r="M695" s="51"/>
      <c r="N695" s="113">
        <f t="shared" si="75"/>
        <v>7319</v>
      </c>
      <c r="O695" s="575">
        <v>0</v>
      </c>
      <c r="P695" s="582">
        <v>0</v>
      </c>
      <c r="Q695" s="589">
        <v>0</v>
      </c>
      <c r="R695" s="576">
        <v>0</v>
      </c>
      <c r="S695" s="583">
        <f t="shared" si="76"/>
        <v>0</v>
      </c>
      <c r="T695" s="580">
        <f t="shared" si="77"/>
        <v>0</v>
      </c>
      <c r="U695" s="51"/>
      <c r="V695" s="2119"/>
      <c r="W695" s="2116"/>
      <c r="X695" s="43"/>
      <c r="Y695" s="43"/>
      <c r="Z695" s="43"/>
    </row>
    <row r="696" spans="1:26">
      <c r="A696" s="88">
        <v>7381</v>
      </c>
      <c r="B696" s="1033" t="s">
        <v>734</v>
      </c>
      <c r="C696" s="1033"/>
      <c r="D696" s="1033"/>
      <c r="E696" s="1033"/>
      <c r="F696" s="1033"/>
      <c r="G696" s="1033"/>
      <c r="H696" s="1033"/>
      <c r="I696" s="1033"/>
      <c r="J696" s="1033"/>
      <c r="K696" s="1033"/>
      <c r="L696" s="90"/>
      <c r="M696" s="51"/>
      <c r="N696" s="113">
        <f t="shared" si="75"/>
        <v>7381</v>
      </c>
      <c r="O696" s="575">
        <v>0</v>
      </c>
      <c r="P696" s="582">
        <v>0</v>
      </c>
      <c r="Q696" s="589"/>
      <c r="R696" s="576"/>
      <c r="S696" s="583">
        <f t="shared" si="76"/>
        <v>0</v>
      </c>
      <c r="T696" s="580">
        <f t="shared" si="77"/>
        <v>0</v>
      </c>
      <c r="U696" s="51"/>
      <c r="V696" s="2119"/>
      <c r="W696" s="2116"/>
      <c r="X696" s="43"/>
      <c r="Y696" s="43"/>
      <c r="Z696" s="43"/>
    </row>
    <row r="697" spans="1:26">
      <c r="A697" s="88">
        <v>7382</v>
      </c>
      <c r="B697" s="1033" t="s">
        <v>735</v>
      </c>
      <c r="C697" s="1033"/>
      <c r="D697" s="1033"/>
      <c r="E697" s="1033"/>
      <c r="F697" s="1033"/>
      <c r="G697" s="1033"/>
      <c r="H697" s="1033"/>
      <c r="I697" s="1033"/>
      <c r="J697" s="1033"/>
      <c r="K697" s="1033"/>
      <c r="L697" s="90"/>
      <c r="M697" s="51"/>
      <c r="N697" s="113">
        <f t="shared" si="75"/>
        <v>7382</v>
      </c>
      <c r="O697" s="575">
        <v>0</v>
      </c>
      <c r="P697" s="582">
        <v>0</v>
      </c>
      <c r="Q697" s="589"/>
      <c r="R697" s="576"/>
      <c r="S697" s="583">
        <f t="shared" ref="S697:S705" si="78">+IF(ABS(+O697+Q697)&gt;=ABS(P697+R697),+O697-P697+Q697-R697,0)</f>
        <v>0</v>
      </c>
      <c r="T697" s="580">
        <f t="shared" si="77"/>
        <v>0</v>
      </c>
      <c r="U697" s="51"/>
      <c r="V697" s="2119"/>
      <c r="W697" s="2116"/>
      <c r="X697" s="43"/>
      <c r="Y697" s="43"/>
      <c r="Z697" s="43"/>
    </row>
    <row r="698" spans="1:26" ht="15.75" customHeight="1">
      <c r="A698" s="88">
        <v>7383</v>
      </c>
      <c r="B698" s="1033" t="s">
        <v>736</v>
      </c>
      <c r="C698" s="1033"/>
      <c r="D698" s="1033"/>
      <c r="E698" s="1033"/>
      <c r="F698" s="1033"/>
      <c r="G698" s="1033"/>
      <c r="H698" s="1033"/>
      <c r="I698" s="1033"/>
      <c r="J698" s="1033"/>
      <c r="K698" s="1033"/>
      <c r="L698" s="90"/>
      <c r="M698" s="51"/>
      <c r="N698" s="113">
        <f t="shared" si="75"/>
        <v>7383</v>
      </c>
      <c r="O698" s="575">
        <v>0</v>
      </c>
      <c r="P698" s="582">
        <v>0</v>
      </c>
      <c r="Q698" s="589"/>
      <c r="R698" s="576"/>
      <c r="S698" s="583">
        <f t="shared" si="78"/>
        <v>0</v>
      </c>
      <c r="T698" s="580">
        <f t="shared" ref="T698:T705" si="79">+IF(ABS(+O698+Q698)&lt;=ABS(P698+R698),-O698+P698-Q698+R698,0)</f>
        <v>0</v>
      </c>
      <c r="U698" s="51"/>
      <c r="V698" s="2119"/>
      <c r="W698" s="2116"/>
      <c r="X698" s="43"/>
      <c r="Y698" s="43"/>
      <c r="Z698" s="43"/>
    </row>
    <row r="699" spans="1:26" ht="15.75" customHeight="1">
      <c r="A699" s="88">
        <v>7384</v>
      </c>
      <c r="B699" s="1033" t="s">
        <v>737</v>
      </c>
      <c r="C699" s="1033"/>
      <c r="D699" s="1033"/>
      <c r="E699" s="1033"/>
      <c r="F699" s="1033"/>
      <c r="G699" s="1033"/>
      <c r="H699" s="1033"/>
      <c r="I699" s="1033"/>
      <c r="J699" s="1033"/>
      <c r="K699" s="1033"/>
      <c r="L699" s="90"/>
      <c r="M699" s="51"/>
      <c r="N699" s="113">
        <f t="shared" si="75"/>
        <v>7384</v>
      </c>
      <c r="O699" s="575">
        <v>0</v>
      </c>
      <c r="P699" s="582">
        <v>0</v>
      </c>
      <c r="Q699" s="589"/>
      <c r="R699" s="576"/>
      <c r="S699" s="583">
        <f t="shared" si="78"/>
        <v>0</v>
      </c>
      <c r="T699" s="580">
        <f t="shared" si="79"/>
        <v>0</v>
      </c>
      <c r="U699" s="51"/>
      <c r="V699" s="2119"/>
      <c r="W699" s="2116"/>
      <c r="X699" s="43"/>
      <c r="Y699" s="43"/>
      <c r="Z699" s="43"/>
    </row>
    <row r="700" spans="1:26" ht="15.75" customHeight="1">
      <c r="A700" s="88">
        <v>7385</v>
      </c>
      <c r="B700" s="1033" t="s">
        <v>738</v>
      </c>
      <c r="C700" s="1033"/>
      <c r="D700" s="1033"/>
      <c r="E700" s="1033"/>
      <c r="F700" s="1033"/>
      <c r="G700" s="1033"/>
      <c r="H700" s="1033"/>
      <c r="I700" s="1033"/>
      <c r="J700" s="1033"/>
      <c r="K700" s="1033"/>
      <c r="L700" s="90"/>
      <c r="M700" s="51"/>
      <c r="N700" s="113">
        <f t="shared" si="75"/>
        <v>7385</v>
      </c>
      <c r="O700" s="575">
        <v>0</v>
      </c>
      <c r="P700" s="582">
        <v>0</v>
      </c>
      <c r="Q700" s="589"/>
      <c r="R700" s="576"/>
      <c r="S700" s="583">
        <f t="shared" si="78"/>
        <v>0</v>
      </c>
      <c r="T700" s="580">
        <f t="shared" si="79"/>
        <v>0</v>
      </c>
      <c r="U700" s="51"/>
      <c r="V700" s="2119"/>
      <c r="W700" s="2116"/>
      <c r="X700" s="43"/>
      <c r="Y700" s="43"/>
      <c r="Z700" s="43"/>
    </row>
    <row r="701" spans="1:26" ht="15.75" customHeight="1">
      <c r="A701" s="88">
        <v>7386</v>
      </c>
      <c r="B701" s="1033" t="s">
        <v>739</v>
      </c>
      <c r="C701" s="1033"/>
      <c r="D701" s="1033"/>
      <c r="E701" s="1033"/>
      <c r="F701" s="1033"/>
      <c r="G701" s="1033"/>
      <c r="H701" s="1033"/>
      <c r="I701" s="1033"/>
      <c r="J701" s="1033"/>
      <c r="K701" s="1033"/>
      <c r="L701" s="90"/>
      <c r="M701" s="51"/>
      <c r="N701" s="113">
        <f t="shared" si="75"/>
        <v>7386</v>
      </c>
      <c r="O701" s="575">
        <v>0</v>
      </c>
      <c r="P701" s="582">
        <v>0</v>
      </c>
      <c r="Q701" s="589"/>
      <c r="R701" s="576"/>
      <c r="S701" s="583">
        <f t="shared" si="78"/>
        <v>0</v>
      </c>
      <c r="T701" s="580">
        <f t="shared" si="79"/>
        <v>0</v>
      </c>
      <c r="U701" s="51"/>
      <c r="V701" s="2119"/>
      <c r="W701" s="2116"/>
      <c r="X701" s="43"/>
      <c r="Y701" s="43"/>
      <c r="Z701" s="43"/>
    </row>
    <row r="702" spans="1:26" ht="15.75" customHeight="1">
      <c r="A702" s="88">
        <v>7387</v>
      </c>
      <c r="B702" s="1033" t="s">
        <v>740</v>
      </c>
      <c r="C702" s="1033"/>
      <c r="D702" s="1033"/>
      <c r="E702" s="1033"/>
      <c r="F702" s="1033"/>
      <c r="G702" s="1033"/>
      <c r="H702" s="1033"/>
      <c r="I702" s="1033"/>
      <c r="J702" s="1033"/>
      <c r="K702" s="1033"/>
      <c r="L702" s="90"/>
      <c r="M702" s="51"/>
      <c r="N702" s="113">
        <f t="shared" si="75"/>
        <v>7387</v>
      </c>
      <c r="O702" s="575">
        <v>0</v>
      </c>
      <c r="P702" s="582">
        <v>0</v>
      </c>
      <c r="Q702" s="589"/>
      <c r="R702" s="576"/>
      <c r="S702" s="583">
        <f t="shared" si="78"/>
        <v>0</v>
      </c>
      <c r="T702" s="580">
        <f t="shared" si="79"/>
        <v>0</v>
      </c>
      <c r="U702" s="51"/>
      <c r="V702" s="2119"/>
      <c r="W702" s="2116"/>
      <c r="X702" s="43"/>
      <c r="Y702" s="43"/>
      <c r="Z702" s="43"/>
    </row>
    <row r="703" spans="1:26" ht="15.75" customHeight="1">
      <c r="A703" s="88">
        <v>7388</v>
      </c>
      <c r="B703" s="1033" t="s">
        <v>741</v>
      </c>
      <c r="C703" s="1033"/>
      <c r="D703" s="1033"/>
      <c r="E703" s="1033"/>
      <c r="F703" s="1033"/>
      <c r="G703" s="1033"/>
      <c r="H703" s="1033"/>
      <c r="I703" s="1033"/>
      <c r="J703" s="1033"/>
      <c r="K703" s="1033"/>
      <c r="L703" s="90"/>
      <c r="M703" s="51"/>
      <c r="N703" s="113">
        <f t="shared" si="75"/>
        <v>7388</v>
      </c>
      <c r="O703" s="575">
        <v>0</v>
      </c>
      <c r="P703" s="582">
        <v>0</v>
      </c>
      <c r="Q703" s="589"/>
      <c r="R703" s="576"/>
      <c r="S703" s="583">
        <f t="shared" si="78"/>
        <v>0</v>
      </c>
      <c r="T703" s="580">
        <f t="shared" si="79"/>
        <v>0</v>
      </c>
      <c r="U703" s="51"/>
      <c r="V703" s="2119"/>
      <c r="W703" s="2116"/>
      <c r="X703" s="43"/>
      <c r="Y703" s="43"/>
      <c r="Z703" s="43"/>
    </row>
    <row r="704" spans="1:26">
      <c r="A704" s="88">
        <v>7391</v>
      </c>
      <c r="B704" s="1035" t="s">
        <v>1176</v>
      </c>
      <c r="C704" s="1033"/>
      <c r="D704" s="1033"/>
      <c r="E704" s="1033"/>
      <c r="F704" s="1033"/>
      <c r="G704" s="1033"/>
      <c r="H704" s="1033"/>
      <c r="I704" s="1033"/>
      <c r="J704" s="1033"/>
      <c r="K704" s="1033"/>
      <c r="L704" s="90"/>
      <c r="M704" s="51"/>
      <c r="N704" s="113">
        <f t="shared" si="75"/>
        <v>7391</v>
      </c>
      <c r="O704" s="575">
        <v>0</v>
      </c>
      <c r="P704" s="582">
        <v>0</v>
      </c>
      <c r="Q704" s="589">
        <v>0</v>
      </c>
      <c r="R704" s="576">
        <v>0</v>
      </c>
      <c r="S704" s="583">
        <f t="shared" si="78"/>
        <v>0</v>
      </c>
      <c r="T704" s="580">
        <f t="shared" si="79"/>
        <v>0</v>
      </c>
      <c r="U704" s="51"/>
      <c r="V704" s="2119"/>
      <c r="W704" s="2116"/>
      <c r="X704" s="43"/>
      <c r="Y704" s="43"/>
      <c r="Z704" s="43"/>
    </row>
    <row r="705" spans="1:26">
      <c r="A705" s="88">
        <v>7392</v>
      </c>
      <c r="B705" s="1035" t="s">
        <v>1177</v>
      </c>
      <c r="C705" s="1033"/>
      <c r="D705" s="1033"/>
      <c r="E705" s="1033"/>
      <c r="F705" s="1033"/>
      <c r="G705" s="1033"/>
      <c r="H705" s="1033"/>
      <c r="I705" s="1033"/>
      <c r="J705" s="1033"/>
      <c r="K705" s="1033"/>
      <c r="L705" s="90"/>
      <c r="M705" s="51"/>
      <c r="N705" s="113">
        <f t="shared" si="75"/>
        <v>7392</v>
      </c>
      <c r="O705" s="575">
        <v>0</v>
      </c>
      <c r="P705" s="582">
        <v>0</v>
      </c>
      <c r="Q705" s="589">
        <v>0</v>
      </c>
      <c r="R705" s="576">
        <v>0</v>
      </c>
      <c r="S705" s="583">
        <f t="shared" si="78"/>
        <v>0</v>
      </c>
      <c r="T705" s="580">
        <f t="shared" si="79"/>
        <v>0</v>
      </c>
      <c r="U705" s="51"/>
      <c r="V705" s="2119"/>
      <c r="W705" s="2116"/>
      <c r="X705" s="43"/>
      <c r="Y705" s="43"/>
      <c r="Z705" s="43"/>
    </row>
    <row r="706" spans="1:26" ht="15.75" customHeight="1">
      <c r="A706" s="88">
        <v>7400</v>
      </c>
      <c r="B706" s="1033" t="s">
        <v>742</v>
      </c>
      <c r="C706" s="1033"/>
      <c r="D706" s="1033"/>
      <c r="E706" s="1033"/>
      <c r="F706" s="1033"/>
      <c r="G706" s="1033"/>
      <c r="H706" s="1033"/>
      <c r="I706" s="1033"/>
      <c r="J706" s="1033"/>
      <c r="K706" s="1033"/>
      <c r="L706" s="90"/>
      <c r="M706" s="51"/>
      <c r="N706" s="113">
        <f t="shared" si="75"/>
        <v>7400</v>
      </c>
      <c r="O706" s="575">
        <v>0</v>
      </c>
      <c r="P706" s="582">
        <v>0</v>
      </c>
      <c r="Q706" s="589"/>
      <c r="R706" s="576"/>
      <c r="S706" s="583">
        <f t="shared" ref="S706:S736" si="80">+IF(ABS(+O706+Q706)&gt;=ABS(P706+R706),+O706-P706+Q706-R706,0)</f>
        <v>0</v>
      </c>
      <c r="T706" s="580">
        <f t="shared" ref="T706:T737" si="81">+IF(ABS(+O706+Q706)&lt;=ABS(P706+R706),-O706+P706-Q706+R706,0)</f>
        <v>0</v>
      </c>
      <c r="U706" s="51"/>
      <c r="V706" s="2119"/>
      <c r="W706" s="2116"/>
      <c r="X706" s="43"/>
      <c r="Y706" s="43"/>
      <c r="Z706" s="43"/>
    </row>
    <row r="707" spans="1:26" ht="15.75" customHeight="1">
      <c r="A707" s="88">
        <v>7401</v>
      </c>
      <c r="B707" s="1033" t="s">
        <v>743</v>
      </c>
      <c r="C707" s="1033"/>
      <c r="D707" s="1033"/>
      <c r="E707" s="1033"/>
      <c r="F707" s="1033"/>
      <c r="G707" s="1033"/>
      <c r="H707" s="1033"/>
      <c r="I707" s="1033"/>
      <c r="J707" s="1033"/>
      <c r="K707" s="1033"/>
      <c r="L707" s="90"/>
      <c r="M707" s="51"/>
      <c r="N707" s="113">
        <f t="shared" si="75"/>
        <v>7401</v>
      </c>
      <c r="O707" s="575">
        <v>0</v>
      </c>
      <c r="P707" s="582">
        <v>0</v>
      </c>
      <c r="Q707" s="589"/>
      <c r="R707" s="576"/>
      <c r="S707" s="583">
        <f t="shared" si="80"/>
        <v>0</v>
      </c>
      <c r="T707" s="580">
        <f t="shared" si="81"/>
        <v>0</v>
      </c>
      <c r="U707" s="51"/>
      <c r="V707" s="2119"/>
      <c r="W707" s="2116"/>
      <c r="X707" s="43"/>
      <c r="Y707" s="43"/>
      <c r="Z707" s="43"/>
    </row>
    <row r="708" spans="1:26" ht="15.75" customHeight="1">
      <c r="A708" s="88">
        <v>7402</v>
      </c>
      <c r="B708" s="1033" t="s">
        <v>744</v>
      </c>
      <c r="C708" s="1033"/>
      <c r="D708" s="1033"/>
      <c r="E708" s="1033"/>
      <c r="F708" s="1033"/>
      <c r="G708" s="1033"/>
      <c r="H708" s="1033"/>
      <c r="I708" s="1033"/>
      <c r="J708" s="1033"/>
      <c r="K708" s="1033"/>
      <c r="L708" s="90"/>
      <c r="M708" s="51"/>
      <c r="N708" s="113">
        <f t="shared" si="75"/>
        <v>7402</v>
      </c>
      <c r="O708" s="575">
        <v>0</v>
      </c>
      <c r="P708" s="582">
        <v>0</v>
      </c>
      <c r="Q708" s="589"/>
      <c r="R708" s="576"/>
      <c r="S708" s="583">
        <f t="shared" si="80"/>
        <v>0</v>
      </c>
      <c r="T708" s="580">
        <f t="shared" si="81"/>
        <v>0</v>
      </c>
      <c r="U708" s="51"/>
      <c r="V708" s="2119"/>
      <c r="W708" s="2116"/>
      <c r="X708" s="43"/>
      <c r="Y708" s="43"/>
      <c r="Z708" s="43"/>
    </row>
    <row r="709" spans="1:26" ht="15.75" customHeight="1">
      <c r="A709" s="88">
        <v>7403</v>
      </c>
      <c r="B709" s="1033" t="s">
        <v>745</v>
      </c>
      <c r="C709" s="1033"/>
      <c r="D709" s="1033"/>
      <c r="E709" s="1033"/>
      <c r="F709" s="1033"/>
      <c r="G709" s="1033"/>
      <c r="H709" s="1033"/>
      <c r="I709" s="1033"/>
      <c r="J709" s="1033"/>
      <c r="K709" s="1033"/>
      <c r="L709" s="90"/>
      <c r="M709" s="51"/>
      <c r="N709" s="113">
        <f t="shared" si="75"/>
        <v>7403</v>
      </c>
      <c r="O709" s="575">
        <v>0</v>
      </c>
      <c r="P709" s="582">
        <v>0</v>
      </c>
      <c r="Q709" s="589"/>
      <c r="R709" s="576"/>
      <c r="S709" s="583">
        <f t="shared" si="80"/>
        <v>0</v>
      </c>
      <c r="T709" s="580">
        <f t="shared" si="81"/>
        <v>0</v>
      </c>
      <c r="U709" s="51"/>
      <c r="V709" s="2119"/>
      <c r="W709" s="2116"/>
      <c r="X709" s="43"/>
      <c r="Y709" s="43"/>
      <c r="Z709" s="43"/>
    </row>
    <row r="710" spans="1:26" ht="15.75" customHeight="1">
      <c r="A710" s="88">
        <v>7404</v>
      </c>
      <c r="B710" s="1033" t="s">
        <v>746</v>
      </c>
      <c r="C710" s="1033"/>
      <c r="D710" s="1033"/>
      <c r="E710" s="1033"/>
      <c r="F710" s="1033"/>
      <c r="G710" s="1033"/>
      <c r="H710" s="1033"/>
      <c r="I710" s="1033"/>
      <c r="J710" s="1033"/>
      <c r="K710" s="1033"/>
      <c r="L710" s="90"/>
      <c r="M710" s="51"/>
      <c r="N710" s="113">
        <f t="shared" si="75"/>
        <v>7404</v>
      </c>
      <c r="O710" s="575">
        <v>0</v>
      </c>
      <c r="P710" s="582">
        <v>0</v>
      </c>
      <c r="Q710" s="589"/>
      <c r="R710" s="576"/>
      <c r="S710" s="583">
        <f t="shared" si="80"/>
        <v>0</v>
      </c>
      <c r="T710" s="580">
        <f t="shared" si="81"/>
        <v>0</v>
      </c>
      <c r="U710" s="51"/>
      <c r="V710" s="2119"/>
      <c r="W710" s="2116"/>
      <c r="X710" s="43"/>
      <c r="Y710" s="43"/>
      <c r="Z710" s="43"/>
    </row>
    <row r="711" spans="1:26" ht="15.75" customHeight="1">
      <c r="A711" s="88">
        <v>7405</v>
      </c>
      <c r="B711" s="1033" t="s">
        <v>747</v>
      </c>
      <c r="C711" s="1033"/>
      <c r="D711" s="1033"/>
      <c r="E711" s="1033"/>
      <c r="F711" s="1033"/>
      <c r="G711" s="1033"/>
      <c r="H711" s="1033"/>
      <c r="I711" s="1033"/>
      <c r="J711" s="1033"/>
      <c r="K711" s="1033"/>
      <c r="L711" s="90"/>
      <c r="M711" s="51"/>
      <c r="N711" s="113">
        <f t="shared" si="75"/>
        <v>7405</v>
      </c>
      <c r="O711" s="575">
        <v>0</v>
      </c>
      <c r="P711" s="582">
        <v>0</v>
      </c>
      <c r="Q711" s="589"/>
      <c r="R711" s="576"/>
      <c r="S711" s="583">
        <f t="shared" si="80"/>
        <v>0</v>
      </c>
      <c r="T711" s="580">
        <f t="shared" si="81"/>
        <v>0</v>
      </c>
      <c r="U711" s="51"/>
      <c r="V711" s="2119"/>
      <c r="W711" s="2116"/>
      <c r="X711" s="43"/>
      <c r="Y711" s="43"/>
      <c r="Z711" s="43"/>
    </row>
    <row r="712" spans="1:26" ht="15.75" customHeight="1">
      <c r="A712" s="88">
        <v>7406</v>
      </c>
      <c r="B712" s="1033" t="s">
        <v>748</v>
      </c>
      <c r="C712" s="1033"/>
      <c r="D712" s="1033"/>
      <c r="E712" s="1033"/>
      <c r="F712" s="1033"/>
      <c r="G712" s="1033"/>
      <c r="H712" s="1033"/>
      <c r="I712" s="1033"/>
      <c r="J712" s="1033"/>
      <c r="K712" s="1033"/>
      <c r="L712" s="90"/>
      <c r="M712" s="51"/>
      <c r="N712" s="113">
        <f t="shared" si="75"/>
        <v>7406</v>
      </c>
      <c r="O712" s="575">
        <v>0</v>
      </c>
      <c r="P712" s="582">
        <v>0</v>
      </c>
      <c r="Q712" s="589"/>
      <c r="R712" s="576"/>
      <c r="S712" s="583">
        <f t="shared" si="80"/>
        <v>0</v>
      </c>
      <c r="T712" s="580">
        <f t="shared" si="81"/>
        <v>0</v>
      </c>
      <c r="U712" s="51"/>
      <c r="V712" s="2119"/>
      <c r="W712" s="2116"/>
      <c r="X712" s="43"/>
      <c r="Y712" s="43"/>
      <c r="Z712" s="43"/>
    </row>
    <row r="713" spans="1:26" ht="15.75" customHeight="1">
      <c r="A713" s="88">
        <v>7407</v>
      </c>
      <c r="B713" s="1033" t="s">
        <v>749</v>
      </c>
      <c r="C713" s="1033"/>
      <c r="D713" s="1033"/>
      <c r="E713" s="1033"/>
      <c r="F713" s="1033"/>
      <c r="G713" s="1033"/>
      <c r="H713" s="1033"/>
      <c r="I713" s="1033"/>
      <c r="J713" s="1033"/>
      <c r="K713" s="1033"/>
      <c r="L713" s="90"/>
      <c r="M713" s="51"/>
      <c r="N713" s="113">
        <f t="shared" si="75"/>
        <v>7407</v>
      </c>
      <c r="O713" s="575">
        <v>0</v>
      </c>
      <c r="P713" s="582">
        <v>0</v>
      </c>
      <c r="Q713" s="589"/>
      <c r="R713" s="576"/>
      <c r="S713" s="583">
        <f t="shared" si="80"/>
        <v>0</v>
      </c>
      <c r="T713" s="580">
        <f t="shared" si="81"/>
        <v>0</v>
      </c>
      <c r="U713" s="51"/>
      <c r="V713" s="2119"/>
      <c r="W713" s="2116"/>
      <c r="X713" s="43"/>
      <c r="Y713" s="43"/>
      <c r="Z713" s="43"/>
    </row>
    <row r="714" spans="1:26" ht="15.75" customHeight="1">
      <c r="A714" s="88">
        <v>7408</v>
      </c>
      <c r="B714" s="1033" t="s">
        <v>750</v>
      </c>
      <c r="C714" s="1033"/>
      <c r="D714" s="1033"/>
      <c r="E714" s="1033"/>
      <c r="F714" s="1033"/>
      <c r="G714" s="1033"/>
      <c r="H714" s="1033"/>
      <c r="I714" s="1033"/>
      <c r="J714" s="1033"/>
      <c r="K714" s="1033"/>
      <c r="L714" s="90"/>
      <c r="M714" s="51"/>
      <c r="N714" s="113">
        <f t="shared" si="75"/>
        <v>7408</v>
      </c>
      <c r="O714" s="575">
        <v>0</v>
      </c>
      <c r="P714" s="582">
        <v>0</v>
      </c>
      <c r="Q714" s="589"/>
      <c r="R714" s="576"/>
      <c r="S714" s="583">
        <f t="shared" si="80"/>
        <v>0</v>
      </c>
      <c r="T714" s="580">
        <f t="shared" si="81"/>
        <v>0</v>
      </c>
      <c r="U714" s="51"/>
      <c r="V714" s="2119"/>
      <c r="W714" s="2116"/>
      <c r="X714" s="43"/>
      <c r="Y714" s="43"/>
      <c r="Z714" s="43"/>
    </row>
    <row r="715" spans="1:26" ht="15.75" customHeight="1">
      <c r="A715" s="88">
        <v>7409</v>
      </c>
      <c r="B715" s="1033" t="s">
        <v>751</v>
      </c>
      <c r="C715" s="1033"/>
      <c r="D715" s="1033"/>
      <c r="E715" s="1033"/>
      <c r="F715" s="1033"/>
      <c r="G715" s="1033"/>
      <c r="H715" s="1033"/>
      <c r="I715" s="1033"/>
      <c r="J715" s="1033"/>
      <c r="K715" s="1033"/>
      <c r="L715" s="90"/>
      <c r="M715" s="51"/>
      <c r="N715" s="113">
        <f t="shared" si="75"/>
        <v>7409</v>
      </c>
      <c r="O715" s="575">
        <v>0</v>
      </c>
      <c r="P715" s="582">
        <v>0</v>
      </c>
      <c r="Q715" s="589"/>
      <c r="R715" s="576"/>
      <c r="S715" s="583">
        <f t="shared" si="80"/>
        <v>0</v>
      </c>
      <c r="T715" s="580">
        <f t="shared" si="81"/>
        <v>0</v>
      </c>
      <c r="U715" s="51"/>
      <c r="V715" s="2119"/>
      <c r="W715" s="2116"/>
      <c r="X715" s="43"/>
      <c r="Y715" s="43"/>
      <c r="Z715" s="43"/>
    </row>
    <row r="716" spans="1:26">
      <c r="A716" s="88">
        <v>7411</v>
      </c>
      <c r="B716" s="1032" t="s">
        <v>752</v>
      </c>
      <c r="C716" s="1033"/>
      <c r="D716" s="1033"/>
      <c r="E716" s="1033"/>
      <c r="F716" s="1033"/>
      <c r="G716" s="1033"/>
      <c r="H716" s="1033"/>
      <c r="I716" s="1033"/>
      <c r="J716" s="1033"/>
      <c r="K716" s="1033"/>
      <c r="L716" s="90"/>
      <c r="M716" s="51"/>
      <c r="N716" s="113">
        <f t="shared" si="75"/>
        <v>7411</v>
      </c>
      <c r="O716" s="575">
        <v>0</v>
      </c>
      <c r="P716" s="582">
        <v>0</v>
      </c>
      <c r="Q716" s="589">
        <v>0</v>
      </c>
      <c r="R716" s="576">
        <v>0</v>
      </c>
      <c r="S716" s="583">
        <f t="shared" si="80"/>
        <v>0</v>
      </c>
      <c r="T716" s="580">
        <f t="shared" si="81"/>
        <v>0</v>
      </c>
      <c r="U716" s="51"/>
      <c r="V716" s="2119"/>
      <c r="W716" s="2116"/>
      <c r="X716" s="43"/>
      <c r="Y716" s="43"/>
      <c r="Z716" s="43"/>
    </row>
    <row r="717" spans="1:26">
      <c r="A717" s="88">
        <v>7412</v>
      </c>
      <c r="B717" s="1032" t="s">
        <v>753</v>
      </c>
      <c r="C717" s="1033"/>
      <c r="D717" s="1033"/>
      <c r="E717" s="1033"/>
      <c r="F717" s="1033"/>
      <c r="G717" s="1033"/>
      <c r="H717" s="1033"/>
      <c r="I717" s="1033"/>
      <c r="J717" s="1033"/>
      <c r="K717" s="1033"/>
      <c r="L717" s="90"/>
      <c r="M717" s="51"/>
      <c r="N717" s="113">
        <f t="shared" si="75"/>
        <v>7412</v>
      </c>
      <c r="O717" s="575">
        <v>0</v>
      </c>
      <c r="P717" s="582">
        <v>0</v>
      </c>
      <c r="Q717" s="589">
        <v>0</v>
      </c>
      <c r="R717" s="576">
        <v>0</v>
      </c>
      <c r="S717" s="583">
        <f t="shared" si="80"/>
        <v>0</v>
      </c>
      <c r="T717" s="580">
        <f t="shared" si="81"/>
        <v>0</v>
      </c>
      <c r="U717" s="51"/>
      <c r="V717" s="2119"/>
      <c r="W717" s="2116"/>
      <c r="X717" s="43"/>
      <c r="Y717" s="43"/>
      <c r="Z717" s="43"/>
    </row>
    <row r="718" spans="1:26">
      <c r="A718" s="88">
        <v>7413</v>
      </c>
      <c r="B718" s="1032" t="s">
        <v>754</v>
      </c>
      <c r="C718" s="1033"/>
      <c r="D718" s="1033"/>
      <c r="E718" s="1033"/>
      <c r="F718" s="1033"/>
      <c r="G718" s="1033"/>
      <c r="H718" s="1033"/>
      <c r="I718" s="1033"/>
      <c r="J718" s="1033"/>
      <c r="K718" s="1033"/>
      <c r="L718" s="90"/>
      <c r="M718" s="51"/>
      <c r="N718" s="113">
        <f t="shared" si="75"/>
        <v>7413</v>
      </c>
      <c r="O718" s="575">
        <v>0</v>
      </c>
      <c r="P718" s="582">
        <v>0</v>
      </c>
      <c r="Q718" s="589">
        <v>0</v>
      </c>
      <c r="R718" s="576">
        <v>0</v>
      </c>
      <c r="S718" s="583">
        <f t="shared" si="80"/>
        <v>0</v>
      </c>
      <c r="T718" s="580">
        <f t="shared" si="81"/>
        <v>0</v>
      </c>
      <c r="U718" s="51"/>
      <c r="V718" s="2119"/>
      <c r="W718" s="2116"/>
      <c r="X718" s="43"/>
      <c r="Y718" s="43"/>
      <c r="Z718" s="43"/>
    </row>
    <row r="719" spans="1:26">
      <c r="A719" s="88">
        <v>7414</v>
      </c>
      <c r="B719" s="1032" t="s">
        <v>755</v>
      </c>
      <c r="C719" s="1033"/>
      <c r="D719" s="1033"/>
      <c r="E719" s="1033"/>
      <c r="F719" s="1033"/>
      <c r="G719" s="1033"/>
      <c r="H719" s="1033"/>
      <c r="I719" s="1033"/>
      <c r="J719" s="1033"/>
      <c r="K719" s="1033"/>
      <c r="L719" s="90"/>
      <c r="M719" s="51"/>
      <c r="N719" s="113">
        <f t="shared" si="75"/>
        <v>7414</v>
      </c>
      <c r="O719" s="575">
        <v>0</v>
      </c>
      <c r="P719" s="582">
        <v>0</v>
      </c>
      <c r="Q719" s="589">
        <v>0</v>
      </c>
      <c r="R719" s="576">
        <v>0</v>
      </c>
      <c r="S719" s="583">
        <f t="shared" si="80"/>
        <v>0</v>
      </c>
      <c r="T719" s="580">
        <f t="shared" si="81"/>
        <v>0</v>
      </c>
      <c r="U719" s="51"/>
      <c r="V719" s="2119"/>
      <c r="W719" s="2116"/>
      <c r="X719" s="43"/>
      <c r="Y719" s="43"/>
      <c r="Z719" s="43"/>
    </row>
    <row r="720" spans="1:26" ht="15.75" customHeight="1">
      <c r="A720" s="88">
        <v>7419</v>
      </c>
      <c r="B720" s="1032" t="s">
        <v>756</v>
      </c>
      <c r="C720" s="1033"/>
      <c r="D720" s="1033"/>
      <c r="E720" s="1033"/>
      <c r="F720" s="1033"/>
      <c r="G720" s="1033"/>
      <c r="H720" s="1033"/>
      <c r="I720" s="1033"/>
      <c r="J720" s="1033"/>
      <c r="K720" s="1033"/>
      <c r="L720" s="90"/>
      <c r="M720" s="51"/>
      <c r="N720" s="113">
        <f t="shared" si="75"/>
        <v>7419</v>
      </c>
      <c r="O720" s="575">
        <v>0</v>
      </c>
      <c r="P720" s="582">
        <v>0</v>
      </c>
      <c r="Q720" s="589"/>
      <c r="R720" s="576"/>
      <c r="S720" s="583">
        <f t="shared" si="80"/>
        <v>0</v>
      </c>
      <c r="T720" s="580">
        <f t="shared" si="81"/>
        <v>0</v>
      </c>
      <c r="U720" s="51"/>
      <c r="V720" s="2119"/>
      <c r="W720" s="2116"/>
      <c r="X720" s="43"/>
      <c r="Y720" s="43"/>
      <c r="Z720" s="43"/>
    </row>
    <row r="721" spans="1:26" ht="15.75" customHeight="1">
      <c r="A721" s="88">
        <v>7450</v>
      </c>
      <c r="B721" s="2181" t="s">
        <v>2088</v>
      </c>
      <c r="C721" s="1033"/>
      <c r="D721" s="1033"/>
      <c r="E721" s="1033"/>
      <c r="F721" s="1033"/>
      <c r="G721" s="1033"/>
      <c r="H721" s="1033"/>
      <c r="I721" s="1033"/>
      <c r="J721" s="1033"/>
      <c r="K721" s="1033"/>
      <c r="L721" s="90"/>
      <c r="M721" s="51"/>
      <c r="N721" s="113">
        <f t="shared" si="75"/>
        <v>7450</v>
      </c>
      <c r="O721" s="575">
        <v>0</v>
      </c>
      <c r="P721" s="582">
        <v>0</v>
      </c>
      <c r="Q721" s="589"/>
      <c r="R721" s="576"/>
      <c r="S721" s="583">
        <f t="shared" si="80"/>
        <v>0</v>
      </c>
      <c r="T721" s="580">
        <f t="shared" si="81"/>
        <v>0</v>
      </c>
      <c r="U721" s="51"/>
      <c r="V721" s="2119"/>
      <c r="W721" s="2116"/>
      <c r="X721" s="43"/>
      <c r="Y721" s="43"/>
      <c r="Z721" s="43"/>
    </row>
    <row r="722" spans="1:26">
      <c r="A722" s="88">
        <v>7471</v>
      </c>
      <c r="B722" s="1033" t="s">
        <v>757</v>
      </c>
      <c r="C722" s="1033"/>
      <c r="D722" s="1033"/>
      <c r="E722" s="1033"/>
      <c r="F722" s="1033"/>
      <c r="G722" s="1033"/>
      <c r="H722" s="1033"/>
      <c r="I722" s="1033"/>
      <c r="J722" s="1033"/>
      <c r="K722" s="1033"/>
      <c r="L722" s="90"/>
      <c r="M722" s="51"/>
      <c r="N722" s="113">
        <f t="shared" si="75"/>
        <v>7471</v>
      </c>
      <c r="O722" s="575">
        <v>0</v>
      </c>
      <c r="P722" s="582">
        <v>0</v>
      </c>
      <c r="Q722" s="589"/>
      <c r="R722" s="576"/>
      <c r="S722" s="583">
        <f t="shared" si="80"/>
        <v>0</v>
      </c>
      <c r="T722" s="580">
        <f t="shared" si="81"/>
        <v>0</v>
      </c>
      <c r="U722" s="51"/>
      <c r="V722" s="2119"/>
      <c r="W722" s="2116"/>
      <c r="X722" s="43"/>
      <c r="Y722" s="43"/>
      <c r="Z722" s="43"/>
    </row>
    <row r="723" spans="1:26">
      <c r="A723" s="88">
        <v>7472</v>
      </c>
      <c r="B723" s="1033" t="s">
        <v>758</v>
      </c>
      <c r="C723" s="1033"/>
      <c r="D723" s="1033"/>
      <c r="E723" s="1033"/>
      <c r="F723" s="1033"/>
      <c r="G723" s="1033"/>
      <c r="H723" s="1033"/>
      <c r="I723" s="1033"/>
      <c r="J723" s="1033"/>
      <c r="K723" s="1033"/>
      <c r="L723" s="90"/>
      <c r="M723" s="51"/>
      <c r="N723" s="113">
        <f t="shared" si="75"/>
        <v>7472</v>
      </c>
      <c r="O723" s="575">
        <v>0</v>
      </c>
      <c r="P723" s="582">
        <v>0</v>
      </c>
      <c r="Q723" s="589"/>
      <c r="R723" s="576"/>
      <c r="S723" s="583">
        <f t="shared" si="80"/>
        <v>0</v>
      </c>
      <c r="T723" s="580">
        <f t="shared" si="81"/>
        <v>0</v>
      </c>
      <c r="U723" s="51"/>
      <c r="V723" s="2119"/>
      <c r="W723" s="2116"/>
      <c r="X723" s="43"/>
      <c r="Y723" s="43"/>
      <c r="Z723" s="43"/>
    </row>
    <row r="724" spans="1:26">
      <c r="A724" s="88">
        <v>7473</v>
      </c>
      <c r="B724" s="1033" t="s">
        <v>759</v>
      </c>
      <c r="C724" s="1033"/>
      <c r="D724" s="1033"/>
      <c r="E724" s="1033"/>
      <c r="F724" s="1033"/>
      <c r="G724" s="1033"/>
      <c r="H724" s="1033"/>
      <c r="I724" s="1033"/>
      <c r="J724" s="1033"/>
      <c r="K724" s="1033"/>
      <c r="L724" s="90"/>
      <c r="M724" s="51"/>
      <c r="N724" s="113">
        <f t="shared" si="75"/>
        <v>7473</v>
      </c>
      <c r="O724" s="575">
        <v>0</v>
      </c>
      <c r="P724" s="582">
        <v>0</v>
      </c>
      <c r="Q724" s="589"/>
      <c r="R724" s="576"/>
      <c r="S724" s="583">
        <f t="shared" si="80"/>
        <v>0</v>
      </c>
      <c r="T724" s="580">
        <f t="shared" si="81"/>
        <v>0</v>
      </c>
      <c r="U724" s="51"/>
      <c r="V724" s="2119"/>
      <c r="W724" s="2116"/>
      <c r="X724" s="43"/>
      <c r="Y724" s="43"/>
      <c r="Z724" s="43"/>
    </row>
    <row r="725" spans="1:26">
      <c r="A725" s="88">
        <v>7474</v>
      </c>
      <c r="B725" s="1033" t="s">
        <v>760</v>
      </c>
      <c r="C725" s="1033"/>
      <c r="D725" s="1033"/>
      <c r="E725" s="1033"/>
      <c r="F725" s="1033"/>
      <c r="G725" s="1033"/>
      <c r="H725" s="1033"/>
      <c r="I725" s="1033"/>
      <c r="J725" s="1033"/>
      <c r="K725" s="1033"/>
      <c r="L725" s="90"/>
      <c r="M725" s="51"/>
      <c r="N725" s="113">
        <f t="shared" si="75"/>
        <v>7474</v>
      </c>
      <c r="O725" s="575">
        <v>0</v>
      </c>
      <c r="P725" s="582">
        <v>0</v>
      </c>
      <c r="Q725" s="589"/>
      <c r="R725" s="576"/>
      <c r="S725" s="583">
        <f t="shared" si="80"/>
        <v>0</v>
      </c>
      <c r="T725" s="580">
        <f t="shared" si="81"/>
        <v>0</v>
      </c>
      <c r="U725" s="51"/>
      <c r="V725" s="2119"/>
      <c r="W725" s="2116"/>
      <c r="X725" s="43"/>
      <c r="Y725" s="43"/>
      <c r="Z725" s="43"/>
    </row>
    <row r="726" spans="1:26">
      <c r="A726" s="88">
        <v>7481</v>
      </c>
      <c r="B726" s="1033" t="s">
        <v>761</v>
      </c>
      <c r="C726" s="1033"/>
      <c r="D726" s="1033"/>
      <c r="E726" s="1033"/>
      <c r="F726" s="1033"/>
      <c r="G726" s="1033"/>
      <c r="H726" s="1033"/>
      <c r="I726" s="1033"/>
      <c r="J726" s="1033"/>
      <c r="K726" s="1033"/>
      <c r="L726" s="90"/>
      <c r="M726" s="51"/>
      <c r="N726" s="113">
        <f t="shared" si="75"/>
        <v>7481</v>
      </c>
      <c r="O726" s="575">
        <v>0</v>
      </c>
      <c r="P726" s="582">
        <v>0</v>
      </c>
      <c r="Q726" s="589"/>
      <c r="R726" s="576"/>
      <c r="S726" s="583">
        <f t="shared" si="80"/>
        <v>0</v>
      </c>
      <c r="T726" s="580">
        <f t="shared" si="81"/>
        <v>0</v>
      </c>
      <c r="U726" s="51"/>
      <c r="V726" s="2119"/>
      <c r="W726" s="2116"/>
      <c r="X726" s="43"/>
      <c r="Y726" s="43"/>
      <c r="Z726" s="43"/>
    </row>
    <row r="727" spans="1:26">
      <c r="A727" s="88">
        <v>7482</v>
      </c>
      <c r="B727" s="1033" t="s">
        <v>762</v>
      </c>
      <c r="C727" s="1033"/>
      <c r="D727" s="1033"/>
      <c r="E727" s="1033"/>
      <c r="F727" s="1033"/>
      <c r="G727" s="1033"/>
      <c r="H727" s="1033"/>
      <c r="I727" s="1033"/>
      <c r="J727" s="1033"/>
      <c r="K727" s="1033"/>
      <c r="L727" s="90"/>
      <c r="M727" s="51"/>
      <c r="N727" s="113">
        <f t="shared" si="75"/>
        <v>7482</v>
      </c>
      <c r="O727" s="575">
        <v>0</v>
      </c>
      <c r="P727" s="582">
        <v>0</v>
      </c>
      <c r="Q727" s="589"/>
      <c r="R727" s="576"/>
      <c r="S727" s="583">
        <f t="shared" si="80"/>
        <v>0</v>
      </c>
      <c r="T727" s="580">
        <f t="shared" si="81"/>
        <v>0</v>
      </c>
      <c r="U727" s="51"/>
      <c r="V727" s="2119"/>
      <c r="W727" s="2116"/>
      <c r="X727" s="43"/>
      <c r="Y727" s="43"/>
      <c r="Z727" s="43"/>
    </row>
    <row r="728" spans="1:26">
      <c r="A728" s="88">
        <v>7483</v>
      </c>
      <c r="B728" s="1033" t="s">
        <v>763</v>
      </c>
      <c r="C728" s="1033"/>
      <c r="D728" s="1033"/>
      <c r="E728" s="1033"/>
      <c r="F728" s="1033"/>
      <c r="G728" s="1033"/>
      <c r="H728" s="1033"/>
      <c r="I728" s="1033"/>
      <c r="J728" s="1033"/>
      <c r="K728" s="1033"/>
      <c r="L728" s="90"/>
      <c r="M728" s="51"/>
      <c r="N728" s="113">
        <f t="shared" si="75"/>
        <v>7483</v>
      </c>
      <c r="O728" s="575">
        <v>0</v>
      </c>
      <c r="P728" s="582">
        <v>0</v>
      </c>
      <c r="Q728" s="589"/>
      <c r="R728" s="576"/>
      <c r="S728" s="583">
        <f t="shared" si="80"/>
        <v>0</v>
      </c>
      <c r="T728" s="580">
        <f t="shared" si="81"/>
        <v>0</v>
      </c>
      <c r="U728" s="51"/>
      <c r="V728" s="2119"/>
      <c r="W728" s="2116"/>
      <c r="X728" s="43"/>
      <c r="Y728" s="43"/>
      <c r="Z728" s="43"/>
    </row>
    <row r="729" spans="1:26">
      <c r="A729" s="88">
        <v>7484</v>
      </c>
      <c r="B729" s="1033" t="s">
        <v>764</v>
      </c>
      <c r="C729" s="1033"/>
      <c r="D729" s="1033"/>
      <c r="E729" s="1033"/>
      <c r="F729" s="1033"/>
      <c r="G729" s="1033"/>
      <c r="H729" s="1033"/>
      <c r="I729" s="1033"/>
      <c r="J729" s="1033"/>
      <c r="K729" s="1033"/>
      <c r="L729" s="90"/>
      <c r="M729" s="51"/>
      <c r="N729" s="113">
        <f t="shared" si="75"/>
        <v>7484</v>
      </c>
      <c r="O729" s="575">
        <v>0</v>
      </c>
      <c r="P729" s="582">
        <v>0</v>
      </c>
      <c r="Q729" s="589"/>
      <c r="R729" s="576"/>
      <c r="S729" s="583">
        <f t="shared" si="80"/>
        <v>0</v>
      </c>
      <c r="T729" s="580">
        <f t="shared" si="81"/>
        <v>0</v>
      </c>
      <c r="U729" s="51"/>
      <c r="V729" s="2119"/>
      <c r="W729" s="2116"/>
      <c r="X729" s="43"/>
      <c r="Y729" s="43"/>
      <c r="Z729" s="43"/>
    </row>
    <row r="730" spans="1:26" ht="15.75" customHeight="1">
      <c r="A730" s="88">
        <v>7485</v>
      </c>
      <c r="B730" s="1032" t="s">
        <v>765</v>
      </c>
      <c r="C730" s="1033"/>
      <c r="D730" s="1033"/>
      <c r="E730" s="1033"/>
      <c r="F730" s="1033"/>
      <c r="G730" s="1033"/>
      <c r="H730" s="1033"/>
      <c r="I730" s="1033"/>
      <c r="J730" s="1033"/>
      <c r="K730" s="1033"/>
      <c r="L730" s="90"/>
      <c r="M730" s="51"/>
      <c r="N730" s="113">
        <f t="shared" ref="N730:N793" si="82">+A730</f>
        <v>7485</v>
      </c>
      <c r="O730" s="575">
        <v>0</v>
      </c>
      <c r="P730" s="582">
        <v>0</v>
      </c>
      <c r="Q730" s="589"/>
      <c r="R730" s="576"/>
      <c r="S730" s="583">
        <f t="shared" si="80"/>
        <v>0</v>
      </c>
      <c r="T730" s="580">
        <f t="shared" si="81"/>
        <v>0</v>
      </c>
      <c r="U730" s="51"/>
      <c r="V730" s="2119"/>
      <c r="W730" s="2116"/>
      <c r="X730" s="43"/>
      <c r="Y730" s="43"/>
      <c r="Z730" s="43"/>
    </row>
    <row r="731" spans="1:26" ht="15.75" customHeight="1">
      <c r="A731" s="88">
        <v>7486</v>
      </c>
      <c r="B731" s="1032" t="s">
        <v>766</v>
      </c>
      <c r="C731" s="1033"/>
      <c r="D731" s="1033"/>
      <c r="E731" s="1033"/>
      <c r="F731" s="1033"/>
      <c r="G731" s="1033"/>
      <c r="H731" s="1033"/>
      <c r="I731" s="1033"/>
      <c r="J731" s="1033"/>
      <c r="K731" s="1033"/>
      <c r="L731" s="90"/>
      <c r="M731" s="51"/>
      <c r="N731" s="113">
        <f t="shared" si="82"/>
        <v>7486</v>
      </c>
      <c r="O731" s="575">
        <v>0</v>
      </c>
      <c r="P731" s="582">
        <v>0</v>
      </c>
      <c r="Q731" s="589"/>
      <c r="R731" s="576"/>
      <c r="S731" s="583">
        <f t="shared" si="80"/>
        <v>0</v>
      </c>
      <c r="T731" s="580">
        <f t="shared" si="81"/>
        <v>0</v>
      </c>
      <c r="U731" s="51"/>
      <c r="V731" s="2119"/>
      <c r="W731" s="2116"/>
      <c r="X731" s="43"/>
      <c r="Y731" s="43"/>
      <c r="Z731" s="43"/>
    </row>
    <row r="732" spans="1:26" ht="15.75" customHeight="1">
      <c r="A732" s="88">
        <v>7487</v>
      </c>
      <c r="B732" s="1032" t="s">
        <v>767</v>
      </c>
      <c r="C732" s="1033"/>
      <c r="D732" s="1033"/>
      <c r="E732" s="1033"/>
      <c r="F732" s="1033"/>
      <c r="G732" s="1033"/>
      <c r="H732" s="1033"/>
      <c r="I732" s="1033"/>
      <c r="J732" s="1033"/>
      <c r="K732" s="1033"/>
      <c r="L732" s="90"/>
      <c r="M732" s="51"/>
      <c r="N732" s="113">
        <f t="shared" si="82"/>
        <v>7487</v>
      </c>
      <c r="O732" s="575">
        <v>0</v>
      </c>
      <c r="P732" s="582">
        <v>0</v>
      </c>
      <c r="Q732" s="589"/>
      <c r="R732" s="576"/>
      <c r="S732" s="583">
        <f t="shared" si="80"/>
        <v>0</v>
      </c>
      <c r="T732" s="580">
        <f t="shared" si="81"/>
        <v>0</v>
      </c>
      <c r="U732" s="51"/>
      <c r="V732" s="2119"/>
      <c r="W732" s="2116"/>
      <c r="X732" s="43"/>
      <c r="Y732" s="43"/>
      <c r="Z732" s="43"/>
    </row>
    <row r="733" spans="1:26" ht="15.75" customHeight="1">
      <c r="A733" s="88">
        <v>7488</v>
      </c>
      <c r="B733" s="1032" t="s">
        <v>768</v>
      </c>
      <c r="C733" s="1033"/>
      <c r="D733" s="1033"/>
      <c r="E733" s="1033"/>
      <c r="F733" s="1033"/>
      <c r="G733" s="1033"/>
      <c r="H733" s="1033"/>
      <c r="I733" s="1033"/>
      <c r="J733" s="1033"/>
      <c r="K733" s="1033"/>
      <c r="L733" s="90"/>
      <c r="M733" s="51"/>
      <c r="N733" s="113">
        <f t="shared" si="82"/>
        <v>7488</v>
      </c>
      <c r="O733" s="575">
        <v>0</v>
      </c>
      <c r="P733" s="582">
        <v>0</v>
      </c>
      <c r="Q733" s="589"/>
      <c r="R733" s="576"/>
      <c r="S733" s="583">
        <f t="shared" si="80"/>
        <v>0</v>
      </c>
      <c r="T733" s="580">
        <f t="shared" si="81"/>
        <v>0</v>
      </c>
      <c r="U733" s="51"/>
      <c r="V733" s="2119"/>
      <c r="W733" s="2116"/>
      <c r="X733" s="43"/>
      <c r="Y733" s="43"/>
      <c r="Z733" s="43"/>
    </row>
    <row r="734" spans="1:26">
      <c r="A734" s="88">
        <v>7491</v>
      </c>
      <c r="B734" s="1033" t="s">
        <v>769</v>
      </c>
      <c r="C734" s="1033"/>
      <c r="D734" s="1033"/>
      <c r="E734" s="1033"/>
      <c r="F734" s="1033"/>
      <c r="G734" s="1033"/>
      <c r="H734" s="1033"/>
      <c r="I734" s="1033"/>
      <c r="J734" s="1033"/>
      <c r="K734" s="1033"/>
      <c r="L734" s="90"/>
      <c r="M734" s="51"/>
      <c r="N734" s="113">
        <f t="shared" si="82"/>
        <v>7491</v>
      </c>
      <c r="O734" s="575">
        <v>0</v>
      </c>
      <c r="P734" s="582">
        <v>0</v>
      </c>
      <c r="Q734" s="589"/>
      <c r="R734" s="576"/>
      <c r="S734" s="583">
        <f t="shared" si="80"/>
        <v>0</v>
      </c>
      <c r="T734" s="580">
        <f t="shared" si="81"/>
        <v>0</v>
      </c>
      <c r="U734" s="51"/>
      <c r="V734" s="2119"/>
      <c r="W734" s="2116"/>
      <c r="X734" s="43"/>
      <c r="Y734" s="43"/>
      <c r="Z734" s="43"/>
    </row>
    <row r="735" spans="1:26">
      <c r="A735" s="88">
        <v>7492</v>
      </c>
      <c r="B735" s="1033" t="s">
        <v>770</v>
      </c>
      <c r="C735" s="1033"/>
      <c r="D735" s="1033"/>
      <c r="E735" s="1033"/>
      <c r="F735" s="1033"/>
      <c r="G735" s="1033"/>
      <c r="H735" s="1033"/>
      <c r="I735" s="1033"/>
      <c r="J735" s="1033"/>
      <c r="K735" s="1033"/>
      <c r="L735" s="90"/>
      <c r="M735" s="51"/>
      <c r="N735" s="113">
        <f t="shared" si="82"/>
        <v>7492</v>
      </c>
      <c r="O735" s="575">
        <v>0</v>
      </c>
      <c r="P735" s="582">
        <v>0</v>
      </c>
      <c r="Q735" s="589"/>
      <c r="R735" s="576"/>
      <c r="S735" s="583">
        <f t="shared" si="80"/>
        <v>0</v>
      </c>
      <c r="T735" s="580">
        <f t="shared" si="81"/>
        <v>0</v>
      </c>
      <c r="U735" s="51"/>
      <c r="V735" s="2119"/>
      <c r="W735" s="2116"/>
      <c r="X735" s="43"/>
      <c r="Y735" s="43"/>
      <c r="Z735" s="43"/>
    </row>
    <row r="736" spans="1:26">
      <c r="A736" s="88">
        <v>7493</v>
      </c>
      <c r="B736" s="1033" t="s">
        <v>771</v>
      </c>
      <c r="C736" s="1033"/>
      <c r="D736" s="1033"/>
      <c r="E736" s="1033"/>
      <c r="F736" s="1033"/>
      <c r="G736" s="1033"/>
      <c r="H736" s="1033"/>
      <c r="I736" s="1033"/>
      <c r="J736" s="1033"/>
      <c r="K736" s="1033"/>
      <c r="L736" s="90"/>
      <c r="M736" s="51"/>
      <c r="N736" s="113">
        <f t="shared" si="82"/>
        <v>7493</v>
      </c>
      <c r="O736" s="575">
        <v>0</v>
      </c>
      <c r="P736" s="582">
        <v>0</v>
      </c>
      <c r="Q736" s="589"/>
      <c r="R736" s="576"/>
      <c r="S736" s="583">
        <f t="shared" si="80"/>
        <v>0</v>
      </c>
      <c r="T736" s="580">
        <f t="shared" si="81"/>
        <v>0</v>
      </c>
      <c r="U736" s="51"/>
      <c r="V736" s="2119"/>
      <c r="W736" s="2116"/>
      <c r="X736" s="43"/>
      <c r="Y736" s="43"/>
      <c r="Z736" s="43"/>
    </row>
    <row r="737" spans="1:26">
      <c r="A737" s="88">
        <v>7494</v>
      </c>
      <c r="B737" s="1033" t="s">
        <v>772</v>
      </c>
      <c r="C737" s="1033"/>
      <c r="D737" s="1033"/>
      <c r="E737" s="1033"/>
      <c r="F737" s="1033"/>
      <c r="G737" s="1033"/>
      <c r="H737" s="1033"/>
      <c r="I737" s="1033"/>
      <c r="J737" s="1033"/>
      <c r="K737" s="1033"/>
      <c r="L737" s="90"/>
      <c r="M737" s="51"/>
      <c r="N737" s="113">
        <f t="shared" si="82"/>
        <v>7494</v>
      </c>
      <c r="O737" s="575">
        <v>0</v>
      </c>
      <c r="P737" s="582">
        <v>0</v>
      </c>
      <c r="Q737" s="589"/>
      <c r="R737" s="576"/>
      <c r="S737" s="583">
        <f t="shared" ref="S737:S764" si="83">+IF(ABS(+O737+Q737)&gt;=ABS(P737+R737),+O737-P737+Q737-R737,0)</f>
        <v>0</v>
      </c>
      <c r="T737" s="580">
        <f t="shared" si="81"/>
        <v>0</v>
      </c>
      <c r="U737" s="51"/>
      <c r="V737" s="2119"/>
      <c r="W737" s="2116"/>
      <c r="X737" s="43"/>
      <c r="Y737" s="43"/>
      <c r="Z737" s="43"/>
    </row>
    <row r="738" spans="1:26" ht="15.75" customHeight="1">
      <c r="A738" s="88">
        <v>7499</v>
      </c>
      <c r="B738" s="1033" t="s">
        <v>47</v>
      </c>
      <c r="C738" s="1033"/>
      <c r="D738" s="1033"/>
      <c r="E738" s="1033"/>
      <c r="F738" s="1033"/>
      <c r="G738" s="1033"/>
      <c r="H738" s="1033"/>
      <c r="I738" s="1033"/>
      <c r="J738" s="1033"/>
      <c r="K738" s="1033"/>
      <c r="L738" s="90"/>
      <c r="M738" s="51"/>
      <c r="N738" s="113">
        <f t="shared" si="82"/>
        <v>7499</v>
      </c>
      <c r="O738" s="575">
        <v>0</v>
      </c>
      <c r="P738" s="582">
        <v>0</v>
      </c>
      <c r="Q738" s="589"/>
      <c r="R738" s="576"/>
      <c r="S738" s="583">
        <f t="shared" si="83"/>
        <v>0</v>
      </c>
      <c r="T738" s="580">
        <f t="shared" ref="T738:T769" si="84">+IF(ABS(+O738+Q738)&lt;=ABS(P738+R738),-O738+P738-Q738+R738,0)</f>
        <v>0</v>
      </c>
      <c r="U738" s="51"/>
      <c r="V738" s="2119"/>
      <c r="W738" s="2116"/>
      <c r="X738" s="43"/>
      <c r="Y738" s="43"/>
      <c r="Z738" s="43"/>
    </row>
    <row r="739" spans="1:26">
      <c r="A739" s="88">
        <v>7500</v>
      </c>
      <c r="B739" s="378" t="s">
        <v>48</v>
      </c>
      <c r="C739" s="1033"/>
      <c r="D739" s="1033"/>
      <c r="E739" s="1033"/>
      <c r="F739" s="1033"/>
      <c r="G739" s="1033"/>
      <c r="H739" s="1033"/>
      <c r="I739" s="1033"/>
      <c r="J739" s="1033"/>
      <c r="K739" s="1033"/>
      <c r="L739" s="90"/>
      <c r="M739" s="51"/>
      <c r="N739" s="113">
        <f t="shared" si="82"/>
        <v>7500</v>
      </c>
      <c r="O739" s="575">
        <v>0</v>
      </c>
      <c r="P739" s="582">
        <v>0</v>
      </c>
      <c r="Q739" s="589">
        <v>0</v>
      </c>
      <c r="R739" s="576">
        <v>0</v>
      </c>
      <c r="S739" s="583">
        <f t="shared" si="83"/>
        <v>0</v>
      </c>
      <c r="T739" s="580">
        <f t="shared" si="84"/>
        <v>0</v>
      </c>
      <c r="U739" s="51"/>
      <c r="V739" s="2119"/>
      <c r="W739" s="2116"/>
      <c r="X739" s="43"/>
      <c r="Y739" s="43"/>
      <c r="Z739" s="43"/>
    </row>
    <row r="740" spans="1:26">
      <c r="A740" s="88">
        <v>7501</v>
      </c>
      <c r="B740" s="378" t="s">
        <v>49</v>
      </c>
      <c r="C740" s="1033"/>
      <c r="D740" s="1033"/>
      <c r="E740" s="1033"/>
      <c r="F740" s="1033"/>
      <c r="G740" s="1033"/>
      <c r="H740" s="1033"/>
      <c r="I740" s="1033"/>
      <c r="J740" s="1033"/>
      <c r="K740" s="1033"/>
      <c r="L740" s="90"/>
      <c r="M740" s="51"/>
      <c r="N740" s="113">
        <f t="shared" si="82"/>
        <v>7501</v>
      </c>
      <c r="O740" s="575">
        <v>0</v>
      </c>
      <c r="P740" s="582">
        <v>0</v>
      </c>
      <c r="Q740" s="589">
        <v>0</v>
      </c>
      <c r="R740" s="576">
        <v>0</v>
      </c>
      <c r="S740" s="583">
        <f t="shared" si="83"/>
        <v>0</v>
      </c>
      <c r="T740" s="580">
        <f t="shared" si="84"/>
        <v>0</v>
      </c>
      <c r="U740" s="51"/>
      <c r="V740" s="2119"/>
      <c r="W740" s="2116"/>
      <c r="X740" s="43"/>
      <c r="Y740" s="43"/>
      <c r="Z740" s="43"/>
    </row>
    <row r="741" spans="1:26">
      <c r="A741" s="88">
        <v>7502</v>
      </c>
      <c r="B741" s="378" t="s">
        <v>50</v>
      </c>
      <c r="C741" s="1033"/>
      <c r="D741" s="1033"/>
      <c r="E741" s="1033"/>
      <c r="F741" s="1033"/>
      <c r="G741" s="1033"/>
      <c r="H741" s="1033"/>
      <c r="I741" s="1033"/>
      <c r="J741" s="1033"/>
      <c r="K741" s="1033"/>
      <c r="L741" s="90"/>
      <c r="M741" s="51"/>
      <c r="N741" s="113">
        <f t="shared" si="82"/>
        <v>7502</v>
      </c>
      <c r="O741" s="575">
        <v>0</v>
      </c>
      <c r="P741" s="582">
        <v>0</v>
      </c>
      <c r="Q741" s="589"/>
      <c r="R741" s="576"/>
      <c r="S741" s="583">
        <f t="shared" si="83"/>
        <v>0</v>
      </c>
      <c r="T741" s="580">
        <f t="shared" si="84"/>
        <v>0</v>
      </c>
      <c r="U741" s="51"/>
      <c r="V741" s="2119"/>
      <c r="W741" s="2116"/>
      <c r="X741" s="43"/>
      <c r="Y741" s="43"/>
      <c r="Z741" s="43"/>
    </row>
    <row r="742" spans="1:26">
      <c r="A742" s="88">
        <v>7511</v>
      </c>
      <c r="B742" s="1033" t="s">
        <v>302</v>
      </c>
      <c r="C742" s="1033"/>
      <c r="D742" s="1033"/>
      <c r="E742" s="1033"/>
      <c r="F742" s="1033"/>
      <c r="G742" s="1033"/>
      <c r="H742" s="1033"/>
      <c r="I742" s="1033"/>
      <c r="J742" s="1033"/>
      <c r="K742" s="1033"/>
      <c r="L742" s="90"/>
      <c r="M742" s="51"/>
      <c r="N742" s="113">
        <f t="shared" si="82"/>
        <v>7511</v>
      </c>
      <c r="O742" s="575">
        <v>0</v>
      </c>
      <c r="P742" s="582">
        <v>0</v>
      </c>
      <c r="Q742" s="589">
        <v>0</v>
      </c>
      <c r="R742" s="576">
        <v>0</v>
      </c>
      <c r="S742" s="583">
        <f t="shared" si="83"/>
        <v>0</v>
      </c>
      <c r="T742" s="580">
        <f t="shared" si="84"/>
        <v>0</v>
      </c>
      <c r="U742" s="51"/>
      <c r="V742" s="2119"/>
      <c r="W742" s="2116"/>
      <c r="X742" s="43"/>
      <c r="Y742" s="43"/>
      <c r="Z742" s="43"/>
    </row>
    <row r="743" spans="1:26">
      <c r="A743" s="88">
        <v>7519</v>
      </c>
      <c r="B743" s="1033" t="s">
        <v>51</v>
      </c>
      <c r="C743" s="1033"/>
      <c r="D743" s="1033"/>
      <c r="E743" s="1033"/>
      <c r="F743" s="1033"/>
      <c r="G743" s="1033"/>
      <c r="H743" s="1033"/>
      <c r="I743" s="1033"/>
      <c r="J743" s="1033"/>
      <c r="K743" s="1033"/>
      <c r="L743" s="90"/>
      <c r="M743" s="51"/>
      <c r="N743" s="113">
        <f t="shared" si="82"/>
        <v>7519</v>
      </c>
      <c r="O743" s="575">
        <v>0</v>
      </c>
      <c r="P743" s="582">
        <v>0</v>
      </c>
      <c r="Q743" s="589"/>
      <c r="R743" s="576"/>
      <c r="S743" s="583">
        <f t="shared" si="83"/>
        <v>0</v>
      </c>
      <c r="T743" s="580">
        <f t="shared" si="84"/>
        <v>0</v>
      </c>
      <c r="U743" s="51"/>
      <c r="V743" s="2119"/>
      <c r="W743" s="2116"/>
      <c r="X743" s="43"/>
      <c r="Y743" s="43"/>
      <c r="Z743" s="43"/>
    </row>
    <row r="744" spans="1:26">
      <c r="A744" s="88">
        <v>7522</v>
      </c>
      <c r="B744" s="1033" t="s">
        <v>52</v>
      </c>
      <c r="C744" s="1033"/>
      <c r="D744" s="1033"/>
      <c r="E744" s="1033"/>
      <c r="F744" s="1033"/>
      <c r="G744" s="1033"/>
      <c r="H744" s="1033"/>
      <c r="I744" s="1033"/>
      <c r="J744" s="1033"/>
      <c r="K744" s="1033"/>
      <c r="L744" s="90"/>
      <c r="M744" s="51"/>
      <c r="N744" s="113">
        <f t="shared" si="82"/>
        <v>7522</v>
      </c>
      <c r="O744" s="575">
        <v>0</v>
      </c>
      <c r="P744" s="582">
        <v>0</v>
      </c>
      <c r="Q744" s="589">
        <v>0</v>
      </c>
      <c r="R744" s="576">
        <v>0</v>
      </c>
      <c r="S744" s="583">
        <f t="shared" si="83"/>
        <v>0</v>
      </c>
      <c r="T744" s="580">
        <f t="shared" si="84"/>
        <v>0</v>
      </c>
      <c r="U744" s="51"/>
      <c r="V744" s="2119"/>
      <c r="W744" s="2116"/>
      <c r="X744" s="43"/>
      <c r="Y744" s="43"/>
      <c r="Z744" s="43"/>
    </row>
    <row r="745" spans="1:26" ht="15.75" customHeight="1">
      <c r="A745" s="88">
        <v>7524</v>
      </c>
      <c r="B745" s="1033" t="s">
        <v>53</v>
      </c>
      <c r="C745" s="1033"/>
      <c r="D745" s="1033"/>
      <c r="E745" s="1033"/>
      <c r="F745" s="1033"/>
      <c r="G745" s="1033"/>
      <c r="H745" s="1033"/>
      <c r="I745" s="1033"/>
      <c r="J745" s="1033"/>
      <c r="K745" s="1033"/>
      <c r="L745" s="90"/>
      <c r="M745" s="51"/>
      <c r="N745" s="113">
        <f t="shared" si="82"/>
        <v>7524</v>
      </c>
      <c r="O745" s="575">
        <v>0</v>
      </c>
      <c r="P745" s="582">
        <v>0</v>
      </c>
      <c r="Q745" s="589"/>
      <c r="R745" s="576"/>
      <c r="S745" s="583">
        <f t="shared" si="83"/>
        <v>0</v>
      </c>
      <c r="T745" s="580">
        <f t="shared" si="84"/>
        <v>0</v>
      </c>
      <c r="U745" s="51"/>
      <c r="V745" s="2119"/>
      <c r="W745" s="2116"/>
      <c r="X745" s="43"/>
      <c r="Y745" s="43"/>
      <c r="Z745" s="43"/>
    </row>
    <row r="746" spans="1:26" ht="15.75" customHeight="1">
      <c r="A746" s="88">
        <v>7525</v>
      </c>
      <c r="B746" s="1033" t="s">
        <v>54</v>
      </c>
      <c r="C746" s="1033"/>
      <c r="D746" s="1033"/>
      <c r="E746" s="1033"/>
      <c r="F746" s="1033"/>
      <c r="G746" s="1033"/>
      <c r="H746" s="1033"/>
      <c r="I746" s="1033"/>
      <c r="J746" s="1033"/>
      <c r="K746" s="1033"/>
      <c r="L746" s="90"/>
      <c r="M746" s="51"/>
      <c r="N746" s="113">
        <f t="shared" si="82"/>
        <v>7525</v>
      </c>
      <c r="O746" s="575">
        <v>0</v>
      </c>
      <c r="P746" s="582">
        <v>0</v>
      </c>
      <c r="Q746" s="589"/>
      <c r="R746" s="576"/>
      <c r="S746" s="583">
        <f t="shared" si="83"/>
        <v>0</v>
      </c>
      <c r="T746" s="580">
        <f t="shared" si="84"/>
        <v>0</v>
      </c>
      <c r="U746" s="51"/>
      <c r="V746" s="2119"/>
      <c r="W746" s="2116"/>
      <c r="X746" s="43"/>
      <c r="Y746" s="43"/>
      <c r="Z746" s="43"/>
    </row>
    <row r="747" spans="1:26" ht="15.75" customHeight="1">
      <c r="A747" s="88">
        <v>7532</v>
      </c>
      <c r="B747" s="1033" t="s">
        <v>55</v>
      </c>
      <c r="C747" s="1033"/>
      <c r="D747" s="1033"/>
      <c r="E747" s="1033"/>
      <c r="F747" s="1033"/>
      <c r="G747" s="1033"/>
      <c r="H747" s="1033"/>
      <c r="I747" s="1033"/>
      <c r="J747" s="1033"/>
      <c r="K747" s="1033"/>
      <c r="L747" s="90"/>
      <c r="M747" s="51"/>
      <c r="N747" s="113">
        <f t="shared" si="82"/>
        <v>7532</v>
      </c>
      <c r="O747" s="575">
        <v>0</v>
      </c>
      <c r="P747" s="582">
        <v>0</v>
      </c>
      <c r="Q747" s="589"/>
      <c r="R747" s="576"/>
      <c r="S747" s="583">
        <f t="shared" si="83"/>
        <v>0</v>
      </c>
      <c r="T747" s="580">
        <f t="shared" si="84"/>
        <v>0</v>
      </c>
      <c r="U747" s="51"/>
      <c r="V747" s="2119"/>
      <c r="W747" s="2116"/>
      <c r="X747" s="43"/>
      <c r="Y747" s="43"/>
      <c r="Z747" s="43"/>
    </row>
    <row r="748" spans="1:26" ht="15.75" customHeight="1">
      <c r="A748" s="88">
        <v>7534</v>
      </c>
      <c r="B748" s="1033" t="s">
        <v>56</v>
      </c>
      <c r="C748" s="1033"/>
      <c r="D748" s="1033"/>
      <c r="E748" s="1033"/>
      <c r="F748" s="1033"/>
      <c r="G748" s="1033"/>
      <c r="H748" s="1033"/>
      <c r="I748" s="1033"/>
      <c r="J748" s="1033"/>
      <c r="K748" s="1033"/>
      <c r="L748" s="90"/>
      <c r="M748" s="51"/>
      <c r="N748" s="113">
        <f t="shared" si="82"/>
        <v>7534</v>
      </c>
      <c r="O748" s="575">
        <v>0</v>
      </c>
      <c r="P748" s="582">
        <v>0</v>
      </c>
      <c r="Q748" s="589">
        <v>0</v>
      </c>
      <c r="R748" s="576">
        <v>0</v>
      </c>
      <c r="S748" s="583">
        <f t="shared" si="83"/>
        <v>0</v>
      </c>
      <c r="T748" s="580">
        <f t="shared" si="84"/>
        <v>0</v>
      </c>
      <c r="U748" s="51"/>
      <c r="V748" s="2119"/>
      <c r="W748" s="2116"/>
      <c r="X748" s="43"/>
      <c r="Y748" s="43"/>
      <c r="Z748" s="43"/>
    </row>
    <row r="749" spans="1:26" ht="15.75" customHeight="1">
      <c r="A749" s="88">
        <v>7535</v>
      </c>
      <c r="B749" s="1033" t="s">
        <v>57</v>
      </c>
      <c r="C749" s="1033"/>
      <c r="D749" s="1033"/>
      <c r="E749" s="1033"/>
      <c r="F749" s="1033"/>
      <c r="G749" s="1033"/>
      <c r="H749" s="1033"/>
      <c r="I749" s="1033"/>
      <c r="J749" s="1033"/>
      <c r="K749" s="1033"/>
      <c r="L749" s="90"/>
      <c r="M749" s="51"/>
      <c r="N749" s="113">
        <f t="shared" si="82"/>
        <v>7535</v>
      </c>
      <c r="O749" s="575">
        <v>0</v>
      </c>
      <c r="P749" s="582">
        <v>0</v>
      </c>
      <c r="Q749" s="589"/>
      <c r="R749" s="576"/>
      <c r="S749" s="583">
        <f t="shared" si="83"/>
        <v>0</v>
      </c>
      <c r="T749" s="580">
        <f t="shared" si="84"/>
        <v>0</v>
      </c>
      <c r="U749" s="51"/>
      <c r="V749" s="2119"/>
      <c r="W749" s="2116"/>
      <c r="X749" s="43"/>
      <c r="Y749" s="43"/>
      <c r="Z749" s="43"/>
    </row>
    <row r="750" spans="1:26" ht="15.75" customHeight="1">
      <c r="A750" s="88">
        <v>7582</v>
      </c>
      <c r="B750" s="1033" t="s">
        <v>58</v>
      </c>
      <c r="C750" s="1033"/>
      <c r="D750" s="1033"/>
      <c r="E750" s="1033"/>
      <c r="F750" s="1033"/>
      <c r="G750" s="1033"/>
      <c r="H750" s="1033"/>
      <c r="I750" s="1033"/>
      <c r="J750" s="1033"/>
      <c r="K750" s="1033"/>
      <c r="L750" s="90"/>
      <c r="M750" s="51"/>
      <c r="N750" s="113">
        <f t="shared" si="82"/>
        <v>7582</v>
      </c>
      <c r="O750" s="575">
        <v>0</v>
      </c>
      <c r="P750" s="582">
        <v>0</v>
      </c>
      <c r="Q750" s="589"/>
      <c r="R750" s="576"/>
      <c r="S750" s="583">
        <f t="shared" si="83"/>
        <v>0</v>
      </c>
      <c r="T750" s="580">
        <f t="shared" si="84"/>
        <v>0</v>
      </c>
      <c r="U750" s="51"/>
      <c r="V750" s="2119"/>
      <c r="W750" s="2116"/>
      <c r="X750" s="43"/>
      <c r="Y750" s="43"/>
      <c r="Z750" s="43"/>
    </row>
    <row r="751" spans="1:26" ht="15.75" customHeight="1">
      <c r="A751" s="88">
        <v>7584</v>
      </c>
      <c r="B751" s="1033" t="s">
        <v>59</v>
      </c>
      <c r="C751" s="1033"/>
      <c r="D751" s="1033"/>
      <c r="E751" s="1033"/>
      <c r="F751" s="1033"/>
      <c r="G751" s="1033"/>
      <c r="H751" s="1033"/>
      <c r="I751" s="1033"/>
      <c r="J751" s="1033"/>
      <c r="K751" s="1033"/>
      <c r="L751" s="90"/>
      <c r="M751" s="51"/>
      <c r="N751" s="113">
        <f t="shared" si="82"/>
        <v>7584</v>
      </c>
      <c r="O751" s="575">
        <v>0</v>
      </c>
      <c r="P751" s="582">
        <v>0</v>
      </c>
      <c r="Q751" s="589"/>
      <c r="R751" s="576"/>
      <c r="S751" s="583">
        <f t="shared" si="83"/>
        <v>0</v>
      </c>
      <c r="T751" s="580">
        <f t="shared" si="84"/>
        <v>0</v>
      </c>
      <c r="U751" s="51"/>
      <c r="V751" s="2119"/>
      <c r="W751" s="2116"/>
      <c r="X751" s="43"/>
      <c r="Y751" s="43"/>
      <c r="Z751" s="43"/>
    </row>
    <row r="752" spans="1:26" ht="15.75" customHeight="1">
      <c r="A752" s="88">
        <v>7585</v>
      </c>
      <c r="B752" s="1033" t="s">
        <v>60</v>
      </c>
      <c r="C752" s="1033"/>
      <c r="D752" s="1033"/>
      <c r="E752" s="1033"/>
      <c r="F752" s="1033"/>
      <c r="G752" s="1033"/>
      <c r="H752" s="1033"/>
      <c r="I752" s="1033"/>
      <c r="J752" s="1033"/>
      <c r="K752" s="1033"/>
      <c r="L752" s="90"/>
      <c r="M752" s="51"/>
      <c r="N752" s="113">
        <f t="shared" si="82"/>
        <v>7585</v>
      </c>
      <c r="O752" s="575">
        <v>0</v>
      </c>
      <c r="P752" s="582">
        <v>0</v>
      </c>
      <c r="Q752" s="589"/>
      <c r="R752" s="576"/>
      <c r="S752" s="583">
        <f t="shared" si="83"/>
        <v>0</v>
      </c>
      <c r="T752" s="580">
        <f t="shared" si="84"/>
        <v>0</v>
      </c>
      <c r="U752" s="51"/>
      <c r="V752" s="2119"/>
      <c r="W752" s="2116"/>
      <c r="X752" s="43"/>
      <c r="Y752" s="43"/>
      <c r="Z752" s="43"/>
    </row>
    <row r="753" spans="1:26">
      <c r="A753" s="88">
        <v>7591</v>
      </c>
      <c r="B753" s="1042" t="s">
        <v>61</v>
      </c>
      <c r="C753" s="1051"/>
      <c r="D753" s="1051"/>
      <c r="E753" s="1051"/>
      <c r="F753" s="1051"/>
      <c r="G753" s="1051"/>
      <c r="H753" s="1051"/>
      <c r="I753" s="1051"/>
      <c r="J753" s="1051"/>
      <c r="K753" s="1051"/>
      <c r="L753" s="90"/>
      <c r="M753" s="51"/>
      <c r="N753" s="113">
        <f t="shared" si="82"/>
        <v>7591</v>
      </c>
      <c r="O753" s="575">
        <v>0</v>
      </c>
      <c r="P753" s="582">
        <v>0</v>
      </c>
      <c r="Q753" s="589"/>
      <c r="R753" s="576"/>
      <c r="S753" s="583">
        <f t="shared" si="83"/>
        <v>0</v>
      </c>
      <c r="T753" s="580">
        <f t="shared" si="84"/>
        <v>0</v>
      </c>
      <c r="U753" s="51"/>
      <c r="V753" s="2119"/>
      <c r="W753" s="2116"/>
      <c r="X753" s="43"/>
      <c r="Y753" s="43"/>
      <c r="Z753" s="43"/>
    </row>
    <row r="754" spans="1:26">
      <c r="A754" s="88">
        <v>7595</v>
      </c>
      <c r="B754" s="1042" t="s">
        <v>62</v>
      </c>
      <c r="C754" s="1051"/>
      <c r="D754" s="1051"/>
      <c r="E754" s="1051"/>
      <c r="F754" s="1051"/>
      <c r="G754" s="1051"/>
      <c r="H754" s="1051"/>
      <c r="I754" s="1051"/>
      <c r="J754" s="1051"/>
      <c r="K754" s="1051"/>
      <c r="L754" s="90"/>
      <c r="M754" s="51"/>
      <c r="N754" s="113">
        <f t="shared" si="82"/>
        <v>7595</v>
      </c>
      <c r="O754" s="575">
        <v>0</v>
      </c>
      <c r="P754" s="582">
        <v>0</v>
      </c>
      <c r="Q754" s="589"/>
      <c r="R754" s="576"/>
      <c r="S754" s="583">
        <f t="shared" si="83"/>
        <v>0</v>
      </c>
      <c r="T754" s="580">
        <f t="shared" si="84"/>
        <v>0</v>
      </c>
      <c r="U754" s="51"/>
      <c r="V754" s="2119"/>
      <c r="W754" s="2116"/>
      <c r="X754" s="43"/>
      <c r="Y754" s="43"/>
      <c r="Z754" s="43"/>
    </row>
    <row r="755" spans="1:26">
      <c r="A755" s="88">
        <v>7596</v>
      </c>
      <c r="B755" s="1042" t="s">
        <v>63</v>
      </c>
      <c r="C755" s="1051"/>
      <c r="D755" s="1051"/>
      <c r="E755" s="1051"/>
      <c r="F755" s="1051"/>
      <c r="G755" s="1051"/>
      <c r="H755" s="1051"/>
      <c r="I755" s="1051"/>
      <c r="J755" s="1051"/>
      <c r="K755" s="1051"/>
      <c r="L755" s="90"/>
      <c r="M755" s="51"/>
      <c r="N755" s="113">
        <f t="shared" si="82"/>
        <v>7596</v>
      </c>
      <c r="O755" s="575">
        <v>0</v>
      </c>
      <c r="P755" s="582">
        <v>0</v>
      </c>
      <c r="Q755" s="589"/>
      <c r="R755" s="576"/>
      <c r="S755" s="583">
        <f t="shared" si="83"/>
        <v>0</v>
      </c>
      <c r="T755" s="580">
        <f t="shared" si="84"/>
        <v>0</v>
      </c>
      <c r="U755" s="51"/>
      <c r="V755" s="2119"/>
      <c r="W755" s="2116"/>
      <c r="X755" s="43"/>
      <c r="Y755" s="43"/>
      <c r="Z755" s="43"/>
    </row>
    <row r="756" spans="1:26" ht="15.75" customHeight="1">
      <c r="A756" s="88">
        <v>7597</v>
      </c>
      <c r="B756" s="1042" t="s">
        <v>64</v>
      </c>
      <c r="C756" s="1042"/>
      <c r="D756" s="1042"/>
      <c r="E756" s="1042"/>
      <c r="F756" s="1042"/>
      <c r="G756" s="1042"/>
      <c r="H756" s="1042"/>
      <c r="I756" s="1042"/>
      <c r="J756" s="1042"/>
      <c r="K756" s="1042"/>
      <c r="L756" s="90"/>
      <c r="M756" s="51"/>
      <c r="N756" s="113">
        <f t="shared" si="82"/>
        <v>7597</v>
      </c>
      <c r="O756" s="575">
        <v>0</v>
      </c>
      <c r="P756" s="582">
        <v>0</v>
      </c>
      <c r="Q756" s="589"/>
      <c r="R756" s="576"/>
      <c r="S756" s="583">
        <f t="shared" si="83"/>
        <v>0</v>
      </c>
      <c r="T756" s="580">
        <f t="shared" si="84"/>
        <v>0</v>
      </c>
      <c r="U756" s="51"/>
      <c r="V756" s="2119"/>
      <c r="W756" s="2116"/>
      <c r="X756" s="43"/>
      <c r="Y756" s="43"/>
      <c r="Z756" s="43"/>
    </row>
    <row r="757" spans="1:26">
      <c r="A757" s="88">
        <v>7598</v>
      </c>
      <c r="B757" s="1042" t="s">
        <v>65</v>
      </c>
      <c r="C757" s="1051"/>
      <c r="D757" s="1051"/>
      <c r="E757" s="1051"/>
      <c r="F757" s="1051"/>
      <c r="G757" s="1051"/>
      <c r="H757" s="1051"/>
      <c r="I757" s="1051"/>
      <c r="J757" s="1051"/>
      <c r="K757" s="1051"/>
      <c r="L757" s="90"/>
      <c r="M757" s="51"/>
      <c r="N757" s="113">
        <f t="shared" si="82"/>
        <v>7598</v>
      </c>
      <c r="O757" s="575">
        <v>0</v>
      </c>
      <c r="P757" s="582">
        <v>0</v>
      </c>
      <c r="Q757" s="589"/>
      <c r="R757" s="576"/>
      <c r="S757" s="583">
        <f t="shared" si="83"/>
        <v>0</v>
      </c>
      <c r="T757" s="580">
        <f t="shared" si="84"/>
        <v>0</v>
      </c>
      <c r="U757" s="51"/>
      <c r="V757" s="2119"/>
      <c r="W757" s="2116"/>
      <c r="X757" s="43"/>
      <c r="Y757" s="43"/>
      <c r="Z757" s="43"/>
    </row>
    <row r="758" spans="1:26">
      <c r="A758" s="88">
        <v>7599</v>
      </c>
      <c r="B758" s="1042" t="s">
        <v>66</v>
      </c>
      <c r="C758" s="1051"/>
      <c r="D758" s="1051"/>
      <c r="E758" s="1051"/>
      <c r="F758" s="1051"/>
      <c r="G758" s="1051"/>
      <c r="H758" s="1051"/>
      <c r="I758" s="1051"/>
      <c r="J758" s="1051"/>
      <c r="K758" s="1051"/>
      <c r="L758" s="90"/>
      <c r="M758" s="51"/>
      <c r="N758" s="113">
        <f t="shared" si="82"/>
        <v>7599</v>
      </c>
      <c r="O758" s="575">
        <v>0</v>
      </c>
      <c r="P758" s="582">
        <v>0</v>
      </c>
      <c r="Q758" s="589"/>
      <c r="R758" s="576"/>
      <c r="S758" s="583">
        <f t="shared" si="83"/>
        <v>0</v>
      </c>
      <c r="T758" s="580">
        <f t="shared" si="84"/>
        <v>0</v>
      </c>
      <c r="U758" s="51"/>
      <c r="V758" s="2119"/>
      <c r="W758" s="2116"/>
      <c r="X758" s="43"/>
      <c r="Y758" s="43"/>
      <c r="Z758" s="43"/>
    </row>
    <row r="759" spans="1:26" ht="15.75" customHeight="1">
      <c r="A759" s="88">
        <v>7600</v>
      </c>
      <c r="B759" s="1045" t="s">
        <v>2192</v>
      </c>
      <c r="C759" s="1035"/>
      <c r="D759" s="1035"/>
      <c r="E759" s="1035"/>
      <c r="F759" s="1035"/>
      <c r="G759" s="1035"/>
      <c r="H759" s="1035"/>
      <c r="I759" s="1035"/>
      <c r="J759" s="1035"/>
      <c r="K759" s="1035"/>
      <c r="L759" s="90"/>
      <c r="M759" s="51"/>
      <c r="N759" s="113">
        <f t="shared" si="82"/>
        <v>7600</v>
      </c>
      <c r="O759" s="575">
        <v>0</v>
      </c>
      <c r="P759" s="582">
        <v>0</v>
      </c>
      <c r="Q759" s="589"/>
      <c r="R759" s="576"/>
      <c r="S759" s="583">
        <f t="shared" si="83"/>
        <v>0</v>
      </c>
      <c r="T759" s="580">
        <f t="shared" si="84"/>
        <v>0</v>
      </c>
      <c r="U759" s="51"/>
      <c r="V759" s="2119"/>
      <c r="W759" s="2116"/>
      <c r="X759" s="43"/>
      <c r="Y759" s="43"/>
      <c r="Z759" s="43"/>
    </row>
    <row r="760" spans="1:26" ht="15.75" customHeight="1">
      <c r="A760" s="88">
        <v>7601</v>
      </c>
      <c r="B760" s="2417" t="s">
        <v>2193</v>
      </c>
      <c r="C760" s="2418"/>
      <c r="D760" s="2418"/>
      <c r="E760" s="2418"/>
      <c r="F760" s="2418"/>
      <c r="G760" s="2418"/>
      <c r="H760" s="2418"/>
      <c r="I760" s="2418"/>
      <c r="J760" s="2418"/>
      <c r="K760" s="1035"/>
      <c r="L760" s="90"/>
      <c r="M760" s="51"/>
      <c r="N760" s="113">
        <f t="shared" si="82"/>
        <v>7601</v>
      </c>
      <c r="O760" s="575">
        <v>0</v>
      </c>
      <c r="P760" s="582">
        <v>0</v>
      </c>
      <c r="Q760" s="589">
        <v>0</v>
      </c>
      <c r="R760" s="576">
        <v>0</v>
      </c>
      <c r="S760" s="583">
        <f t="shared" si="83"/>
        <v>0</v>
      </c>
      <c r="T760" s="580">
        <f t="shared" si="84"/>
        <v>0</v>
      </c>
      <c r="U760" s="51"/>
      <c r="V760" s="2119"/>
      <c r="W760" s="2116"/>
      <c r="X760" s="43"/>
      <c r="Y760" s="43"/>
      <c r="Z760" s="43"/>
    </row>
    <row r="761" spans="1:26" ht="15.75" customHeight="1">
      <c r="A761" s="88">
        <v>7602</v>
      </c>
      <c r="B761" s="1045" t="s">
        <v>2194</v>
      </c>
      <c r="C761" s="1035"/>
      <c r="D761" s="1035"/>
      <c r="E761" s="1035"/>
      <c r="F761" s="1035"/>
      <c r="G761" s="1035"/>
      <c r="H761" s="1035"/>
      <c r="I761" s="1035"/>
      <c r="J761" s="1035"/>
      <c r="K761" s="1035"/>
      <c r="L761" s="90"/>
      <c r="M761" s="51"/>
      <c r="N761" s="113">
        <f t="shared" si="82"/>
        <v>7602</v>
      </c>
      <c r="O761" s="575">
        <v>0</v>
      </c>
      <c r="P761" s="582">
        <v>0</v>
      </c>
      <c r="Q761" s="579">
        <v>0</v>
      </c>
      <c r="R761" s="582">
        <v>0</v>
      </c>
      <c r="S761" s="583">
        <f t="shared" si="83"/>
        <v>0</v>
      </c>
      <c r="T761" s="580">
        <f t="shared" si="84"/>
        <v>0</v>
      </c>
      <c r="U761" s="51"/>
      <c r="V761" s="2125">
        <f>+IF(OR(O761&lt;&gt;0,P761&lt;&gt;0,Q761&lt;&gt;0,R761&lt;&gt;0,S761&lt;&gt;0,T761&lt;&gt;0),+IF(ABS(O761+Q761)-ABS(P761+R761)&lt;&gt;0,ABS(O761+Q761)-ABS(P761+R761),1),0)</f>
        <v>0</v>
      </c>
      <c r="W761" s="2116"/>
      <c r="X761" s="43"/>
      <c r="Y761" s="43"/>
      <c r="Z761" s="43"/>
    </row>
    <row r="762" spans="1:26" ht="15.75" customHeight="1">
      <c r="A762" s="88">
        <v>7603</v>
      </c>
      <c r="B762" s="2417" t="s">
        <v>2195</v>
      </c>
      <c r="C762" s="2419"/>
      <c r="D762" s="2419"/>
      <c r="E762" s="2419"/>
      <c r="F762" s="2419"/>
      <c r="G762" s="2419"/>
      <c r="H762" s="2419"/>
      <c r="I762" s="2419"/>
      <c r="J762" s="2419"/>
      <c r="K762" s="2419"/>
      <c r="L762" s="90"/>
      <c r="M762" s="51"/>
      <c r="N762" s="113">
        <f t="shared" si="82"/>
        <v>7603</v>
      </c>
      <c r="O762" s="575">
        <v>0</v>
      </c>
      <c r="P762" s="582">
        <v>0</v>
      </c>
      <c r="Q762" s="589"/>
      <c r="R762" s="576"/>
      <c r="S762" s="583">
        <f t="shared" si="83"/>
        <v>0</v>
      </c>
      <c r="T762" s="580">
        <f t="shared" si="84"/>
        <v>0</v>
      </c>
      <c r="U762" s="51"/>
      <c r="V762" s="2119"/>
      <c r="W762" s="2116"/>
      <c r="X762" s="43"/>
      <c r="Y762" s="43"/>
      <c r="Z762" s="43"/>
    </row>
    <row r="763" spans="1:26" ht="15.75" customHeight="1">
      <c r="A763" s="88">
        <v>7609</v>
      </c>
      <c r="B763" s="1042" t="s">
        <v>67</v>
      </c>
      <c r="C763" s="1051"/>
      <c r="D763" s="1051"/>
      <c r="E763" s="1051"/>
      <c r="F763" s="1051"/>
      <c r="G763" s="1051"/>
      <c r="H763" s="1051"/>
      <c r="I763" s="1051"/>
      <c r="J763" s="1051"/>
      <c r="K763" s="1051"/>
      <c r="L763" s="90"/>
      <c r="M763" s="51"/>
      <c r="N763" s="113">
        <f t="shared" si="82"/>
        <v>7609</v>
      </c>
      <c r="O763" s="575">
        <v>0</v>
      </c>
      <c r="P763" s="582">
        <v>0</v>
      </c>
      <c r="Q763" s="579">
        <v>0</v>
      </c>
      <c r="R763" s="582">
        <v>0</v>
      </c>
      <c r="S763" s="583">
        <f t="shared" si="83"/>
        <v>0</v>
      </c>
      <c r="T763" s="580">
        <f t="shared" si="84"/>
        <v>0</v>
      </c>
      <c r="U763" s="51"/>
      <c r="V763" s="2125">
        <f>+IF(OR(O763&lt;&gt;0,P763&lt;&gt;0,Q763&lt;&gt;0,R763&lt;&gt;0,S763&lt;&gt;0,T763&lt;&gt;0),+IF(ABS(O763+Q763)-ABS(P763+R763)&lt;&gt;0,ABS(O763+Q763)-ABS(P763+R763),1),0)</f>
        <v>0</v>
      </c>
      <c r="W763" s="2116"/>
      <c r="X763" s="43"/>
      <c r="Y763" s="43"/>
      <c r="Z763" s="43"/>
    </row>
    <row r="764" spans="1:26">
      <c r="A764" s="88">
        <v>7612</v>
      </c>
      <c r="B764" s="1033" t="s">
        <v>68</v>
      </c>
      <c r="C764" s="1033"/>
      <c r="D764" s="1033"/>
      <c r="E764" s="1033"/>
      <c r="F764" s="1033"/>
      <c r="G764" s="1033"/>
      <c r="H764" s="1033"/>
      <c r="I764" s="1033"/>
      <c r="J764" s="1033"/>
      <c r="K764" s="1033"/>
      <c r="L764" s="90"/>
      <c r="M764" s="51"/>
      <c r="N764" s="113">
        <f t="shared" si="82"/>
        <v>7612</v>
      </c>
      <c r="O764" s="575">
        <v>0</v>
      </c>
      <c r="P764" s="582">
        <v>0</v>
      </c>
      <c r="Q764" s="589">
        <v>0</v>
      </c>
      <c r="R764" s="576">
        <v>0</v>
      </c>
      <c r="S764" s="583">
        <f t="shared" si="83"/>
        <v>0</v>
      </c>
      <c r="T764" s="580">
        <f t="shared" si="84"/>
        <v>0</v>
      </c>
      <c r="U764" s="51"/>
      <c r="V764" s="2119"/>
      <c r="W764" s="2116"/>
      <c r="X764" s="43"/>
      <c r="Y764" s="43"/>
      <c r="Z764" s="43"/>
    </row>
    <row r="765" spans="1:26" ht="15.75" customHeight="1">
      <c r="A765" s="88">
        <v>7613</v>
      </c>
      <c r="B765" s="1042" t="s">
        <v>69</v>
      </c>
      <c r="C765" s="1051"/>
      <c r="D765" s="1051"/>
      <c r="E765" s="1051"/>
      <c r="F765" s="1051"/>
      <c r="G765" s="1051"/>
      <c r="H765" s="1051"/>
      <c r="I765" s="1051"/>
      <c r="J765" s="1051"/>
      <c r="K765" s="1051"/>
      <c r="L765" s="90"/>
      <c r="M765" s="51"/>
      <c r="N765" s="113">
        <f t="shared" si="82"/>
        <v>7613</v>
      </c>
      <c r="O765" s="575">
        <v>0</v>
      </c>
      <c r="P765" s="582">
        <v>0</v>
      </c>
      <c r="Q765" s="589">
        <v>0</v>
      </c>
      <c r="R765" s="576">
        <v>0</v>
      </c>
      <c r="S765" s="583">
        <f>+IF(ABS(+O765+Q765)&gt;=ABS(P765+R765),+O765-P765+Q765-R765,0)</f>
        <v>0</v>
      </c>
      <c r="T765" s="580">
        <f t="shared" si="84"/>
        <v>0</v>
      </c>
      <c r="U765" s="51"/>
      <c r="V765" s="2119"/>
      <c r="W765" s="2116"/>
      <c r="X765" s="43"/>
      <c r="Y765" s="43"/>
      <c r="Z765" s="43"/>
    </row>
    <row r="766" spans="1:26" ht="15.75" customHeight="1">
      <c r="A766" s="88">
        <v>7614</v>
      </c>
      <c r="B766" s="1042" t="s">
        <v>70</v>
      </c>
      <c r="C766" s="1051"/>
      <c r="D766" s="1051"/>
      <c r="E766" s="1051"/>
      <c r="F766" s="1051"/>
      <c r="G766" s="1051"/>
      <c r="H766" s="1051"/>
      <c r="I766" s="1051"/>
      <c r="J766" s="1051"/>
      <c r="K766" s="1051"/>
      <c r="L766" s="90"/>
      <c r="M766" s="51"/>
      <c r="N766" s="113">
        <f t="shared" si="82"/>
        <v>7614</v>
      </c>
      <c r="O766" s="575">
        <v>0</v>
      </c>
      <c r="P766" s="582">
        <v>0</v>
      </c>
      <c r="Q766" s="589"/>
      <c r="R766" s="576"/>
      <c r="S766" s="583">
        <f>+IF(ABS(+O766+Q766)&gt;=ABS(P766+R766),+O766-P766+Q766-R766,0)</f>
        <v>0</v>
      </c>
      <c r="T766" s="580">
        <f t="shared" si="84"/>
        <v>0</v>
      </c>
      <c r="U766" s="51"/>
      <c r="V766" s="2119"/>
      <c r="W766" s="2116"/>
      <c r="X766" s="43"/>
      <c r="Y766" s="43"/>
      <c r="Z766" s="43"/>
    </row>
    <row r="767" spans="1:26" ht="15.75" customHeight="1">
      <c r="A767" s="88">
        <v>7615</v>
      </c>
      <c r="B767" s="1042" t="s">
        <v>71</v>
      </c>
      <c r="C767" s="1051"/>
      <c r="D767" s="1051"/>
      <c r="E767" s="1051"/>
      <c r="F767" s="1051"/>
      <c r="G767" s="1051"/>
      <c r="H767" s="1051"/>
      <c r="I767" s="1051"/>
      <c r="J767" s="1051"/>
      <c r="K767" s="1051"/>
      <c r="L767" s="90"/>
      <c r="M767" s="51"/>
      <c r="N767" s="113">
        <f t="shared" si="82"/>
        <v>7615</v>
      </c>
      <c r="O767" s="575">
        <v>0</v>
      </c>
      <c r="P767" s="582">
        <v>0</v>
      </c>
      <c r="Q767" s="589"/>
      <c r="R767" s="576"/>
      <c r="S767" s="583">
        <f>+IF(ABS(+O767+Q767)&gt;=ABS(P767+R767),+O767-P767+Q767-R767,0)</f>
        <v>0</v>
      </c>
      <c r="T767" s="580">
        <f t="shared" si="84"/>
        <v>0</v>
      </c>
      <c r="U767" s="51"/>
      <c r="V767" s="2119"/>
      <c r="W767" s="2116"/>
      <c r="X767" s="43"/>
      <c r="Y767" s="43"/>
      <c r="Z767" s="43"/>
    </row>
    <row r="768" spans="1:26">
      <c r="A768" s="88">
        <v>7617</v>
      </c>
      <c r="B768" s="1033" t="s">
        <v>72</v>
      </c>
      <c r="C768" s="1033"/>
      <c r="D768" s="1033"/>
      <c r="E768" s="1033"/>
      <c r="F768" s="1033"/>
      <c r="G768" s="1033"/>
      <c r="H768" s="1033"/>
      <c r="I768" s="1033"/>
      <c r="J768" s="1033"/>
      <c r="K768" s="1033"/>
      <c r="L768" s="90"/>
      <c r="M768" s="51"/>
      <c r="N768" s="113">
        <f t="shared" si="82"/>
        <v>7617</v>
      </c>
      <c r="O768" s="575">
        <v>0</v>
      </c>
      <c r="P768" s="582">
        <v>0</v>
      </c>
      <c r="Q768" s="589">
        <v>0</v>
      </c>
      <c r="R768" s="576">
        <v>0</v>
      </c>
      <c r="S768" s="583">
        <f t="shared" ref="S768:S791" si="85">+IF(ABS(+O768+Q768)&gt;=ABS(P768+R768),+O768-P768+Q768-R768,0)</f>
        <v>0</v>
      </c>
      <c r="T768" s="580">
        <f t="shared" si="84"/>
        <v>0</v>
      </c>
      <c r="U768" s="51"/>
      <c r="V768" s="2119"/>
      <c r="W768" s="2116"/>
      <c r="X768" s="43"/>
      <c r="Y768" s="43"/>
      <c r="Z768" s="43"/>
    </row>
    <row r="769" spans="1:26">
      <c r="A769" s="88">
        <v>7618</v>
      </c>
      <c r="B769" s="1033" t="s">
        <v>73</v>
      </c>
      <c r="C769" s="1033"/>
      <c r="D769" s="1033"/>
      <c r="E769" s="1033"/>
      <c r="F769" s="1033"/>
      <c r="G769" s="1033"/>
      <c r="H769" s="1033"/>
      <c r="I769" s="1033"/>
      <c r="J769" s="1033"/>
      <c r="K769" s="1033"/>
      <c r="L769" s="90"/>
      <c r="M769" s="51"/>
      <c r="N769" s="113">
        <f t="shared" si="82"/>
        <v>7618</v>
      </c>
      <c r="O769" s="575">
        <v>0</v>
      </c>
      <c r="P769" s="582">
        <v>0</v>
      </c>
      <c r="Q769" s="589"/>
      <c r="R769" s="576"/>
      <c r="S769" s="583">
        <f t="shared" si="85"/>
        <v>0</v>
      </c>
      <c r="T769" s="580">
        <f t="shared" si="84"/>
        <v>0</v>
      </c>
      <c r="U769" s="51"/>
      <c r="V769" s="2119"/>
      <c r="W769" s="2116"/>
      <c r="X769" s="43"/>
      <c r="Y769" s="43"/>
      <c r="Z769" s="43"/>
    </row>
    <row r="770" spans="1:26">
      <c r="A770" s="88">
        <v>7642</v>
      </c>
      <c r="B770" s="1033" t="s">
        <v>74</v>
      </c>
      <c r="C770" s="1033"/>
      <c r="D770" s="1033"/>
      <c r="E770" s="1033"/>
      <c r="F770" s="1033"/>
      <c r="G770" s="1033"/>
      <c r="H770" s="1033"/>
      <c r="I770" s="1033"/>
      <c r="J770" s="1033"/>
      <c r="K770" s="1033"/>
      <c r="L770" s="90"/>
      <c r="M770" s="51"/>
      <c r="N770" s="113">
        <f t="shared" si="82"/>
        <v>7642</v>
      </c>
      <c r="O770" s="575">
        <v>0</v>
      </c>
      <c r="P770" s="582">
        <v>0</v>
      </c>
      <c r="Q770" s="589"/>
      <c r="R770" s="576"/>
      <c r="S770" s="583">
        <f t="shared" si="85"/>
        <v>0</v>
      </c>
      <c r="T770" s="580">
        <f t="shared" ref="T770:T797" si="86">+IF(ABS(+O770+Q770)&lt;=ABS(P770+R770),-O770+P770-Q770+R770,0)</f>
        <v>0</v>
      </c>
      <c r="U770" s="51"/>
      <c r="V770" s="2119"/>
      <c r="W770" s="2116"/>
      <c r="X770" s="43"/>
      <c r="Y770" s="43"/>
      <c r="Z770" s="43"/>
    </row>
    <row r="771" spans="1:26" ht="15.75" customHeight="1">
      <c r="A771" s="88">
        <v>7643</v>
      </c>
      <c r="B771" s="1033" t="s">
        <v>75</v>
      </c>
      <c r="C771" s="1033"/>
      <c r="D771" s="1033"/>
      <c r="E771" s="1033"/>
      <c r="F771" s="1033"/>
      <c r="G771" s="1033"/>
      <c r="H771" s="1033"/>
      <c r="I771" s="1033"/>
      <c r="J771" s="1033"/>
      <c r="K771" s="1033"/>
      <c r="L771" s="90"/>
      <c r="M771" s="51"/>
      <c r="N771" s="113">
        <f t="shared" si="82"/>
        <v>7643</v>
      </c>
      <c r="O771" s="575">
        <v>0</v>
      </c>
      <c r="P771" s="582">
        <v>0</v>
      </c>
      <c r="Q771" s="589">
        <v>0</v>
      </c>
      <c r="R771" s="576">
        <v>0</v>
      </c>
      <c r="S771" s="583">
        <f t="shared" si="85"/>
        <v>0</v>
      </c>
      <c r="T771" s="580">
        <f t="shared" si="86"/>
        <v>0</v>
      </c>
      <c r="U771" s="51"/>
      <c r="V771" s="2119"/>
      <c r="W771" s="2116"/>
      <c r="X771" s="43"/>
      <c r="Y771" s="43"/>
      <c r="Z771" s="43"/>
    </row>
    <row r="772" spans="1:26" ht="15.75" customHeight="1">
      <c r="A772" s="88">
        <v>7644</v>
      </c>
      <c r="B772" s="1033" t="s">
        <v>76</v>
      </c>
      <c r="C772" s="1033"/>
      <c r="D772" s="1033"/>
      <c r="E772" s="1033"/>
      <c r="F772" s="1033"/>
      <c r="G772" s="1033"/>
      <c r="H772" s="1033"/>
      <c r="I772" s="1033"/>
      <c r="J772" s="1033"/>
      <c r="K772" s="1033"/>
      <c r="L772" s="90"/>
      <c r="M772" s="51"/>
      <c r="N772" s="113">
        <f t="shared" si="82"/>
        <v>7644</v>
      </c>
      <c r="O772" s="575">
        <v>0</v>
      </c>
      <c r="P772" s="582">
        <v>0</v>
      </c>
      <c r="Q772" s="589"/>
      <c r="R772" s="576"/>
      <c r="S772" s="583">
        <f t="shared" si="85"/>
        <v>0</v>
      </c>
      <c r="T772" s="580">
        <f t="shared" si="86"/>
        <v>0</v>
      </c>
      <c r="U772" s="51"/>
      <c r="V772" s="2119"/>
      <c r="W772" s="2116"/>
      <c r="X772" s="43"/>
      <c r="Y772" s="43"/>
      <c r="Z772" s="43"/>
    </row>
    <row r="773" spans="1:26" ht="15.75" customHeight="1">
      <c r="A773" s="88">
        <v>7645</v>
      </c>
      <c r="B773" s="1033" t="s">
        <v>77</v>
      </c>
      <c r="C773" s="1033"/>
      <c r="D773" s="1033"/>
      <c r="E773" s="1033"/>
      <c r="F773" s="1033"/>
      <c r="G773" s="1033"/>
      <c r="H773" s="1033"/>
      <c r="I773" s="1033"/>
      <c r="J773" s="1033"/>
      <c r="K773" s="1033"/>
      <c r="L773" s="90"/>
      <c r="M773" s="51"/>
      <c r="N773" s="113">
        <f t="shared" si="82"/>
        <v>7645</v>
      </c>
      <c r="O773" s="575">
        <v>0</v>
      </c>
      <c r="P773" s="582">
        <v>0</v>
      </c>
      <c r="Q773" s="589"/>
      <c r="R773" s="576"/>
      <c r="S773" s="583">
        <f t="shared" si="85"/>
        <v>0</v>
      </c>
      <c r="T773" s="580">
        <f t="shared" si="86"/>
        <v>0</v>
      </c>
      <c r="U773" s="51"/>
      <c r="V773" s="2119"/>
      <c r="W773" s="2116"/>
      <c r="X773" s="43"/>
      <c r="Y773" s="43"/>
      <c r="Z773" s="43"/>
    </row>
    <row r="774" spans="1:26" ht="15.75" customHeight="1">
      <c r="A774" s="88">
        <v>7647</v>
      </c>
      <c r="B774" s="1033" t="s">
        <v>78</v>
      </c>
      <c r="C774" s="1033"/>
      <c r="D774" s="1033"/>
      <c r="E774" s="1033"/>
      <c r="F774" s="1033"/>
      <c r="G774" s="1033"/>
      <c r="H774" s="1033"/>
      <c r="I774" s="1033"/>
      <c r="J774" s="1033"/>
      <c r="K774" s="1033"/>
      <c r="L774" s="90"/>
      <c r="M774" s="51"/>
      <c r="N774" s="113">
        <f t="shared" si="82"/>
        <v>7647</v>
      </c>
      <c r="O774" s="575">
        <v>0</v>
      </c>
      <c r="P774" s="582">
        <v>0</v>
      </c>
      <c r="Q774" s="589"/>
      <c r="R774" s="576"/>
      <c r="S774" s="583">
        <f t="shared" si="85"/>
        <v>0</v>
      </c>
      <c r="T774" s="580">
        <f t="shared" si="86"/>
        <v>0</v>
      </c>
      <c r="U774" s="51"/>
      <c r="V774" s="2119"/>
      <c r="W774" s="2116"/>
      <c r="X774" s="43"/>
      <c r="Y774" s="43"/>
      <c r="Z774" s="43"/>
    </row>
    <row r="775" spans="1:26" ht="15.75" customHeight="1">
      <c r="A775" s="88">
        <v>7648</v>
      </c>
      <c r="B775" s="1033" t="s">
        <v>79</v>
      </c>
      <c r="C775" s="1033"/>
      <c r="D775" s="1033"/>
      <c r="E775" s="1033"/>
      <c r="F775" s="1033"/>
      <c r="G775" s="1033"/>
      <c r="H775" s="1033"/>
      <c r="I775" s="1033"/>
      <c r="J775" s="1033"/>
      <c r="K775" s="1033"/>
      <c r="L775" s="90"/>
      <c r="M775" s="51"/>
      <c r="N775" s="113">
        <f t="shared" si="82"/>
        <v>7648</v>
      </c>
      <c r="O775" s="575">
        <v>0</v>
      </c>
      <c r="P775" s="582">
        <v>0</v>
      </c>
      <c r="Q775" s="589"/>
      <c r="R775" s="576"/>
      <c r="S775" s="583">
        <f t="shared" si="85"/>
        <v>0</v>
      </c>
      <c r="T775" s="580">
        <f t="shared" si="86"/>
        <v>0</v>
      </c>
      <c r="U775" s="51"/>
      <c r="V775" s="2119"/>
      <c r="W775" s="2116"/>
      <c r="X775" s="43"/>
      <c r="Y775" s="43"/>
      <c r="Z775" s="43"/>
    </row>
    <row r="776" spans="1:26" ht="15.75" customHeight="1">
      <c r="A776" s="88">
        <v>7652</v>
      </c>
      <c r="B776" s="1033" t="s">
        <v>80</v>
      </c>
      <c r="C776" s="1033"/>
      <c r="D776" s="1033"/>
      <c r="E776" s="1033"/>
      <c r="F776" s="1033"/>
      <c r="G776" s="1033"/>
      <c r="H776" s="1033"/>
      <c r="I776" s="1033"/>
      <c r="J776" s="1033"/>
      <c r="K776" s="1033"/>
      <c r="L776" s="90"/>
      <c r="M776" s="51"/>
      <c r="N776" s="113">
        <f t="shared" si="82"/>
        <v>7652</v>
      </c>
      <c r="O776" s="575">
        <v>0</v>
      </c>
      <c r="P776" s="582">
        <v>0</v>
      </c>
      <c r="Q776" s="589"/>
      <c r="R776" s="576"/>
      <c r="S776" s="583">
        <f t="shared" si="85"/>
        <v>0</v>
      </c>
      <c r="T776" s="580">
        <f t="shared" si="86"/>
        <v>0</v>
      </c>
      <c r="U776" s="51"/>
      <c r="V776" s="2119"/>
      <c r="W776" s="2116"/>
      <c r="X776" s="43"/>
      <c r="Y776" s="43"/>
      <c r="Z776" s="43"/>
    </row>
    <row r="777" spans="1:26" ht="15.75" customHeight="1">
      <c r="A777" s="88">
        <v>7653</v>
      </c>
      <c r="B777" s="1033" t="s">
        <v>81</v>
      </c>
      <c r="C777" s="1033"/>
      <c r="D777" s="1033"/>
      <c r="E777" s="1033"/>
      <c r="F777" s="1033"/>
      <c r="G777" s="1033"/>
      <c r="H777" s="1033"/>
      <c r="I777" s="1033"/>
      <c r="J777" s="1033"/>
      <c r="K777" s="1033"/>
      <c r="L777" s="90"/>
      <c r="M777" s="51"/>
      <c r="N777" s="113">
        <f t="shared" si="82"/>
        <v>7653</v>
      </c>
      <c r="O777" s="575">
        <v>0</v>
      </c>
      <c r="P777" s="582">
        <v>0</v>
      </c>
      <c r="Q777" s="589"/>
      <c r="R777" s="576"/>
      <c r="S777" s="583">
        <f t="shared" si="85"/>
        <v>0</v>
      </c>
      <c r="T777" s="580">
        <f t="shared" si="86"/>
        <v>0</v>
      </c>
      <c r="U777" s="51"/>
      <c r="V777" s="2119"/>
      <c r="W777" s="2116"/>
      <c r="X777" s="43"/>
      <c r="Y777" s="43"/>
      <c r="Z777" s="43"/>
    </row>
    <row r="778" spans="1:26" ht="15.75" customHeight="1">
      <c r="A778" s="88">
        <v>7654</v>
      </c>
      <c r="B778" s="1033" t="s">
        <v>82</v>
      </c>
      <c r="C778" s="1033"/>
      <c r="D778" s="1033"/>
      <c r="E778" s="1033"/>
      <c r="F778" s="1033"/>
      <c r="G778" s="1033"/>
      <c r="H778" s="1033"/>
      <c r="I778" s="1033"/>
      <c r="J778" s="1033"/>
      <c r="K778" s="1033"/>
      <c r="L778" s="90"/>
      <c r="M778" s="51"/>
      <c r="N778" s="113">
        <f t="shared" si="82"/>
        <v>7654</v>
      </c>
      <c r="O778" s="575">
        <v>0</v>
      </c>
      <c r="P778" s="582">
        <v>0</v>
      </c>
      <c r="Q778" s="589"/>
      <c r="R778" s="576"/>
      <c r="S778" s="583">
        <f t="shared" si="85"/>
        <v>0</v>
      </c>
      <c r="T778" s="580">
        <f t="shared" si="86"/>
        <v>0</v>
      </c>
      <c r="U778" s="51"/>
      <c r="V778" s="2119"/>
      <c r="W778" s="2116"/>
      <c r="X778" s="43"/>
      <c r="Y778" s="43"/>
      <c r="Z778" s="43"/>
    </row>
    <row r="779" spans="1:26" ht="15.75" customHeight="1">
      <c r="A779" s="88">
        <v>7655</v>
      </c>
      <c r="B779" s="1033" t="s">
        <v>83</v>
      </c>
      <c r="C779" s="1033"/>
      <c r="D779" s="1033"/>
      <c r="E779" s="1033"/>
      <c r="F779" s="1033"/>
      <c r="G779" s="1033"/>
      <c r="H779" s="1033"/>
      <c r="I779" s="1033"/>
      <c r="J779" s="1033"/>
      <c r="K779" s="1033"/>
      <c r="L779" s="90"/>
      <c r="M779" s="51"/>
      <c r="N779" s="113">
        <f t="shared" si="82"/>
        <v>7655</v>
      </c>
      <c r="O779" s="575">
        <v>0</v>
      </c>
      <c r="P779" s="582">
        <v>0</v>
      </c>
      <c r="Q779" s="589"/>
      <c r="R779" s="576"/>
      <c r="S779" s="583">
        <f t="shared" si="85"/>
        <v>0</v>
      </c>
      <c r="T779" s="580">
        <f t="shared" si="86"/>
        <v>0</v>
      </c>
      <c r="U779" s="51"/>
      <c r="V779" s="2119"/>
      <c r="W779" s="2116"/>
      <c r="X779" s="43"/>
      <c r="Y779" s="43"/>
      <c r="Z779" s="43"/>
    </row>
    <row r="780" spans="1:26" ht="15.75" customHeight="1">
      <c r="A780" s="88">
        <v>7657</v>
      </c>
      <c r="B780" s="1033" t="s">
        <v>84</v>
      </c>
      <c r="C780" s="1033"/>
      <c r="D780" s="1033"/>
      <c r="E780" s="1033"/>
      <c r="F780" s="1033"/>
      <c r="G780" s="1033"/>
      <c r="H780" s="1033"/>
      <c r="I780" s="1033"/>
      <c r="J780" s="1033"/>
      <c r="K780" s="1033"/>
      <c r="L780" s="90"/>
      <c r="M780" s="51"/>
      <c r="N780" s="113">
        <f t="shared" si="82"/>
        <v>7657</v>
      </c>
      <c r="O780" s="575">
        <v>0</v>
      </c>
      <c r="P780" s="582">
        <v>0</v>
      </c>
      <c r="Q780" s="589"/>
      <c r="R780" s="576"/>
      <c r="S780" s="583">
        <f t="shared" si="85"/>
        <v>0</v>
      </c>
      <c r="T780" s="580">
        <f t="shared" si="86"/>
        <v>0</v>
      </c>
      <c r="U780" s="51"/>
      <c r="V780" s="2119"/>
      <c r="W780" s="2116"/>
      <c r="X780" s="43"/>
      <c r="Y780" s="43"/>
      <c r="Z780" s="43"/>
    </row>
    <row r="781" spans="1:26" ht="15.75" customHeight="1">
      <c r="A781" s="88">
        <v>7658</v>
      </c>
      <c r="B781" s="1033" t="s">
        <v>85</v>
      </c>
      <c r="C781" s="1033"/>
      <c r="D781" s="1033"/>
      <c r="E781" s="1033"/>
      <c r="F781" s="1033"/>
      <c r="G781" s="1033"/>
      <c r="H781" s="1033"/>
      <c r="I781" s="1033"/>
      <c r="J781" s="1033"/>
      <c r="K781" s="1033"/>
      <c r="L781" s="90"/>
      <c r="M781" s="51"/>
      <c r="N781" s="113">
        <f t="shared" si="82"/>
        <v>7658</v>
      </c>
      <c r="O781" s="575">
        <v>0</v>
      </c>
      <c r="P781" s="582">
        <v>0</v>
      </c>
      <c r="Q781" s="589"/>
      <c r="R781" s="576"/>
      <c r="S781" s="583">
        <f t="shared" si="85"/>
        <v>0</v>
      </c>
      <c r="T781" s="580">
        <f t="shared" si="86"/>
        <v>0</v>
      </c>
      <c r="U781" s="51"/>
      <c r="V781" s="2119"/>
      <c r="W781" s="2116"/>
      <c r="X781" s="43"/>
      <c r="Y781" s="43"/>
      <c r="Z781" s="43"/>
    </row>
    <row r="782" spans="1:26" ht="15.75" customHeight="1">
      <c r="A782" s="88">
        <v>7672</v>
      </c>
      <c r="B782" s="1033" t="s">
        <v>86</v>
      </c>
      <c r="C782" s="1033"/>
      <c r="D782" s="1033"/>
      <c r="E782" s="1033"/>
      <c r="F782" s="1033"/>
      <c r="G782" s="1033"/>
      <c r="H782" s="1033"/>
      <c r="I782" s="1033"/>
      <c r="J782" s="1033"/>
      <c r="K782" s="1033"/>
      <c r="L782" s="90"/>
      <c r="M782" s="51"/>
      <c r="N782" s="113">
        <f t="shared" si="82"/>
        <v>7672</v>
      </c>
      <c r="O782" s="575">
        <v>0</v>
      </c>
      <c r="P782" s="582">
        <v>0</v>
      </c>
      <c r="Q782" s="589"/>
      <c r="R782" s="576"/>
      <c r="S782" s="583">
        <f t="shared" si="85"/>
        <v>0</v>
      </c>
      <c r="T782" s="580">
        <f t="shared" si="86"/>
        <v>0</v>
      </c>
      <c r="U782" s="51"/>
      <c r="V782" s="2119"/>
      <c r="W782" s="2116"/>
      <c r="X782" s="43"/>
      <c r="Y782" s="43"/>
      <c r="Z782" s="43"/>
    </row>
    <row r="783" spans="1:26" ht="15.75" customHeight="1">
      <c r="A783" s="88">
        <v>7673</v>
      </c>
      <c r="B783" s="1033" t="s">
        <v>813</v>
      </c>
      <c r="C783" s="1033"/>
      <c r="D783" s="1033"/>
      <c r="E783" s="1033"/>
      <c r="F783" s="1033"/>
      <c r="G783" s="1033"/>
      <c r="H783" s="1033"/>
      <c r="I783" s="1033"/>
      <c r="J783" s="1033"/>
      <c r="K783" s="1033"/>
      <c r="L783" s="90"/>
      <c r="M783" s="51"/>
      <c r="N783" s="113">
        <f t="shared" si="82"/>
        <v>7673</v>
      </c>
      <c r="O783" s="575">
        <v>0</v>
      </c>
      <c r="P783" s="582">
        <v>0</v>
      </c>
      <c r="Q783" s="589"/>
      <c r="R783" s="576"/>
      <c r="S783" s="583">
        <f t="shared" si="85"/>
        <v>0</v>
      </c>
      <c r="T783" s="580">
        <f t="shared" si="86"/>
        <v>0</v>
      </c>
      <c r="U783" s="51"/>
      <c r="V783" s="2119"/>
      <c r="W783" s="2116"/>
      <c r="X783" s="43"/>
      <c r="Y783" s="43"/>
      <c r="Z783" s="43"/>
    </row>
    <row r="784" spans="1:26" ht="15.75" customHeight="1">
      <c r="A784" s="88">
        <v>7674</v>
      </c>
      <c r="B784" s="1033" t="s">
        <v>814</v>
      </c>
      <c r="C784" s="1033"/>
      <c r="D784" s="1033"/>
      <c r="E784" s="1033"/>
      <c r="F784" s="1033"/>
      <c r="G784" s="1033"/>
      <c r="H784" s="1033"/>
      <c r="I784" s="1033"/>
      <c r="J784" s="1033"/>
      <c r="K784" s="1033"/>
      <c r="L784" s="90"/>
      <c r="M784" s="51"/>
      <c r="N784" s="113">
        <f t="shared" si="82"/>
        <v>7674</v>
      </c>
      <c r="O784" s="575">
        <v>0</v>
      </c>
      <c r="P784" s="582">
        <v>0</v>
      </c>
      <c r="Q784" s="589"/>
      <c r="R784" s="576"/>
      <c r="S784" s="583">
        <f t="shared" si="85"/>
        <v>0</v>
      </c>
      <c r="T784" s="580">
        <f t="shared" si="86"/>
        <v>0</v>
      </c>
      <c r="U784" s="51"/>
      <c r="V784" s="2119"/>
      <c r="W784" s="2116"/>
      <c r="X784" s="43"/>
      <c r="Y784" s="43"/>
      <c r="Z784" s="43"/>
    </row>
    <row r="785" spans="1:26" ht="15.75" customHeight="1">
      <c r="A785" s="88">
        <v>7675</v>
      </c>
      <c r="B785" s="1033" t="s">
        <v>815</v>
      </c>
      <c r="C785" s="1033"/>
      <c r="D785" s="1033"/>
      <c r="E785" s="1033"/>
      <c r="F785" s="1033"/>
      <c r="G785" s="1033"/>
      <c r="H785" s="1033"/>
      <c r="I785" s="1033"/>
      <c r="J785" s="1033"/>
      <c r="K785" s="1033"/>
      <c r="L785" s="90"/>
      <c r="M785" s="51"/>
      <c r="N785" s="113">
        <f t="shared" si="82"/>
        <v>7675</v>
      </c>
      <c r="O785" s="575">
        <v>0</v>
      </c>
      <c r="P785" s="582">
        <v>0</v>
      </c>
      <c r="Q785" s="589"/>
      <c r="R785" s="576"/>
      <c r="S785" s="583">
        <f t="shared" si="85"/>
        <v>0</v>
      </c>
      <c r="T785" s="580">
        <f t="shared" si="86"/>
        <v>0</v>
      </c>
      <c r="U785" s="51"/>
      <c r="V785" s="2119"/>
      <c r="W785" s="2116"/>
      <c r="X785" s="43"/>
      <c r="Y785" s="43"/>
      <c r="Z785" s="43"/>
    </row>
    <row r="786" spans="1:26" ht="15.75" customHeight="1">
      <c r="A786" s="88">
        <v>7677</v>
      </c>
      <c r="B786" s="1033" t="s">
        <v>816</v>
      </c>
      <c r="C786" s="1033"/>
      <c r="D786" s="1033"/>
      <c r="E786" s="1033"/>
      <c r="F786" s="1033"/>
      <c r="G786" s="1033"/>
      <c r="H786" s="1033"/>
      <c r="I786" s="1033"/>
      <c r="J786" s="1033"/>
      <c r="K786" s="1033"/>
      <c r="L786" s="90"/>
      <c r="M786" s="51"/>
      <c r="N786" s="113">
        <f t="shared" si="82"/>
        <v>7677</v>
      </c>
      <c r="O786" s="575">
        <v>0</v>
      </c>
      <c r="P786" s="582">
        <v>0</v>
      </c>
      <c r="Q786" s="589"/>
      <c r="R786" s="576"/>
      <c r="S786" s="583">
        <f t="shared" si="85"/>
        <v>0</v>
      </c>
      <c r="T786" s="580">
        <f t="shared" si="86"/>
        <v>0</v>
      </c>
      <c r="U786" s="51"/>
      <c r="V786" s="2119"/>
      <c r="W786" s="2116"/>
      <c r="X786" s="43"/>
      <c r="Y786" s="43"/>
      <c r="Z786" s="43"/>
    </row>
    <row r="787" spans="1:26" ht="15.75" customHeight="1">
      <c r="A787" s="88">
        <v>7678</v>
      </c>
      <c r="B787" s="1033" t="s">
        <v>817</v>
      </c>
      <c r="C787" s="1033"/>
      <c r="D787" s="1033"/>
      <c r="E787" s="1033"/>
      <c r="F787" s="1033"/>
      <c r="G787" s="1033"/>
      <c r="H787" s="1033"/>
      <c r="I787" s="1033"/>
      <c r="J787" s="1033"/>
      <c r="K787" s="1033"/>
      <c r="L787" s="90"/>
      <c r="M787" s="51"/>
      <c r="N787" s="113">
        <f t="shared" si="82"/>
        <v>7678</v>
      </c>
      <c r="O787" s="575">
        <v>0</v>
      </c>
      <c r="P787" s="582">
        <v>0</v>
      </c>
      <c r="Q787" s="589"/>
      <c r="R787" s="576"/>
      <c r="S787" s="583">
        <f t="shared" si="85"/>
        <v>0</v>
      </c>
      <c r="T787" s="580">
        <f t="shared" si="86"/>
        <v>0</v>
      </c>
      <c r="U787" s="51"/>
      <c r="V787" s="2119"/>
      <c r="W787" s="2116"/>
      <c r="X787" s="43"/>
      <c r="Y787" s="43"/>
      <c r="Z787" s="43"/>
    </row>
    <row r="788" spans="1:26">
      <c r="A788" s="88">
        <v>7682</v>
      </c>
      <c r="B788" s="1042" t="s">
        <v>818</v>
      </c>
      <c r="C788" s="1033"/>
      <c r="D788" s="1033"/>
      <c r="E788" s="1033"/>
      <c r="F788" s="1033"/>
      <c r="G788" s="1033"/>
      <c r="H788" s="1033"/>
      <c r="I788" s="1033"/>
      <c r="J788" s="1033"/>
      <c r="K788" s="1033"/>
      <c r="L788" s="90"/>
      <c r="M788" s="51"/>
      <c r="N788" s="113">
        <f t="shared" si="82"/>
        <v>7682</v>
      </c>
      <c r="O788" s="575">
        <v>0</v>
      </c>
      <c r="P788" s="582">
        <v>0</v>
      </c>
      <c r="Q788" s="589"/>
      <c r="R788" s="576"/>
      <c r="S788" s="583">
        <f t="shared" si="85"/>
        <v>0</v>
      </c>
      <c r="T788" s="580">
        <f t="shared" si="86"/>
        <v>0</v>
      </c>
      <c r="U788" s="51"/>
      <c r="V788" s="2119"/>
      <c r="W788" s="2116"/>
      <c r="X788" s="43"/>
      <c r="Y788" s="43"/>
      <c r="Z788" s="43"/>
    </row>
    <row r="789" spans="1:26">
      <c r="A789" s="88">
        <v>7684</v>
      </c>
      <c r="B789" s="1042" t="s">
        <v>819</v>
      </c>
      <c r="C789" s="1033"/>
      <c r="D789" s="1033"/>
      <c r="E789" s="1033"/>
      <c r="F789" s="1033"/>
      <c r="G789" s="1033"/>
      <c r="H789" s="1033"/>
      <c r="I789" s="1033"/>
      <c r="J789" s="1033"/>
      <c r="K789" s="1033"/>
      <c r="L789" s="90"/>
      <c r="M789" s="51"/>
      <c r="N789" s="113">
        <f t="shared" si="82"/>
        <v>7684</v>
      </c>
      <c r="O789" s="575">
        <v>0</v>
      </c>
      <c r="P789" s="582">
        <v>0</v>
      </c>
      <c r="Q789" s="589">
        <v>0</v>
      </c>
      <c r="R789" s="576">
        <v>0</v>
      </c>
      <c r="S789" s="583">
        <f t="shared" si="85"/>
        <v>0</v>
      </c>
      <c r="T789" s="580">
        <f t="shared" si="86"/>
        <v>0</v>
      </c>
      <c r="U789" s="51"/>
      <c r="V789" s="2119"/>
      <c r="W789" s="2116"/>
      <c r="X789" s="43"/>
      <c r="Y789" s="43"/>
      <c r="Z789" s="43"/>
    </row>
    <row r="790" spans="1:26" ht="15.75" customHeight="1">
      <c r="A790" s="88">
        <v>7685</v>
      </c>
      <c r="B790" s="1042" t="s">
        <v>820</v>
      </c>
      <c r="C790" s="1033"/>
      <c r="D790" s="1033"/>
      <c r="E790" s="1033"/>
      <c r="F790" s="1033"/>
      <c r="G790" s="1033"/>
      <c r="H790" s="1033"/>
      <c r="I790" s="1033"/>
      <c r="J790" s="1033"/>
      <c r="K790" s="1033"/>
      <c r="L790" s="90"/>
      <c r="M790" s="51"/>
      <c r="N790" s="113">
        <f t="shared" si="82"/>
        <v>7685</v>
      </c>
      <c r="O790" s="575">
        <v>0</v>
      </c>
      <c r="P790" s="582">
        <v>0</v>
      </c>
      <c r="Q790" s="589"/>
      <c r="R790" s="576"/>
      <c r="S790" s="583">
        <f t="shared" si="85"/>
        <v>0</v>
      </c>
      <c r="T790" s="580">
        <f t="shared" si="86"/>
        <v>0</v>
      </c>
      <c r="U790" s="51"/>
      <c r="V790" s="2119"/>
      <c r="W790" s="2116"/>
      <c r="X790" s="43"/>
      <c r="Y790" s="43"/>
      <c r="Z790" s="43"/>
    </row>
    <row r="791" spans="1:26" ht="15.75" customHeight="1">
      <c r="A791" s="88">
        <v>7689</v>
      </c>
      <c r="B791" s="1042" t="s">
        <v>821</v>
      </c>
      <c r="C791" s="1033"/>
      <c r="D791" s="1033"/>
      <c r="E791" s="1033"/>
      <c r="F791" s="1033"/>
      <c r="G791" s="1033"/>
      <c r="H791" s="1033"/>
      <c r="I791" s="1033"/>
      <c r="J791" s="1033"/>
      <c r="K791" s="1033"/>
      <c r="L791" s="90"/>
      <c r="M791" s="51"/>
      <c r="N791" s="113">
        <f t="shared" si="82"/>
        <v>7689</v>
      </c>
      <c r="O791" s="575">
        <v>0</v>
      </c>
      <c r="P791" s="582">
        <v>0</v>
      </c>
      <c r="Q791" s="589"/>
      <c r="R791" s="576"/>
      <c r="S791" s="583">
        <f t="shared" si="85"/>
        <v>0</v>
      </c>
      <c r="T791" s="580">
        <f t="shared" si="86"/>
        <v>0</v>
      </c>
      <c r="U791" s="51"/>
      <c r="V791" s="2119"/>
      <c r="W791" s="2116"/>
      <c r="X791" s="43"/>
      <c r="Y791" s="43"/>
      <c r="Z791" s="43"/>
    </row>
    <row r="792" spans="1:26">
      <c r="A792" s="88">
        <v>7692</v>
      </c>
      <c r="B792" s="378" t="s">
        <v>822</v>
      </c>
      <c r="C792" s="1033"/>
      <c r="D792" s="1033"/>
      <c r="E792" s="1033"/>
      <c r="F792" s="1033"/>
      <c r="G792" s="1033"/>
      <c r="H792" s="1033"/>
      <c r="I792" s="1033"/>
      <c r="J792" s="1033"/>
      <c r="K792" s="1033"/>
      <c r="L792" s="90"/>
      <c r="M792" s="51"/>
      <c r="N792" s="113">
        <f t="shared" si="82"/>
        <v>7692</v>
      </c>
      <c r="O792" s="575">
        <v>0</v>
      </c>
      <c r="P792" s="582">
        <v>0</v>
      </c>
      <c r="Q792" s="589"/>
      <c r="R792" s="576"/>
      <c r="S792" s="583">
        <f t="shared" ref="S792:S803" si="87">+IF(ABS(+O792+Q792)&gt;=ABS(P792+R792),+O792-P792+Q792-R792,0)</f>
        <v>0</v>
      </c>
      <c r="T792" s="580">
        <f t="shared" si="86"/>
        <v>0</v>
      </c>
      <c r="U792" s="51"/>
      <c r="V792" s="2119"/>
      <c r="W792" s="2116"/>
      <c r="X792" s="43"/>
      <c r="Y792" s="43"/>
      <c r="Z792" s="43"/>
    </row>
    <row r="793" spans="1:26" ht="15.75" customHeight="1">
      <c r="A793" s="88">
        <v>7693</v>
      </c>
      <c r="B793" s="1042" t="s">
        <v>823</v>
      </c>
      <c r="C793" s="1033"/>
      <c r="D793" s="1033"/>
      <c r="E793" s="1033"/>
      <c r="F793" s="1033"/>
      <c r="G793" s="1033"/>
      <c r="H793" s="1033"/>
      <c r="I793" s="1033"/>
      <c r="J793" s="1033"/>
      <c r="K793" s="1033"/>
      <c r="L793" s="90"/>
      <c r="M793" s="51"/>
      <c r="N793" s="113">
        <f t="shared" si="82"/>
        <v>7693</v>
      </c>
      <c r="O793" s="575">
        <v>0</v>
      </c>
      <c r="P793" s="582">
        <v>0</v>
      </c>
      <c r="Q793" s="589"/>
      <c r="R793" s="576"/>
      <c r="S793" s="583">
        <f t="shared" si="87"/>
        <v>0</v>
      </c>
      <c r="T793" s="580">
        <f t="shared" si="86"/>
        <v>0</v>
      </c>
      <c r="U793" s="51"/>
      <c r="V793" s="2119"/>
      <c r="W793" s="2116"/>
      <c r="X793" s="43"/>
      <c r="Y793" s="43"/>
      <c r="Z793" s="43"/>
    </row>
    <row r="794" spans="1:26" ht="15.75" customHeight="1">
      <c r="A794" s="88">
        <v>7694</v>
      </c>
      <c r="B794" s="1042" t="s">
        <v>824</v>
      </c>
      <c r="C794" s="1033"/>
      <c r="D794" s="1033"/>
      <c r="E794" s="1033"/>
      <c r="F794" s="1033"/>
      <c r="G794" s="1033"/>
      <c r="H794" s="1033"/>
      <c r="I794" s="1033"/>
      <c r="J794" s="1033"/>
      <c r="K794" s="1033"/>
      <c r="L794" s="90"/>
      <c r="M794" s="51"/>
      <c r="N794" s="113">
        <f t="shared" ref="N794:N828" si="88">+A794</f>
        <v>7694</v>
      </c>
      <c r="O794" s="575">
        <v>0</v>
      </c>
      <c r="P794" s="582">
        <v>0</v>
      </c>
      <c r="Q794" s="589"/>
      <c r="R794" s="576"/>
      <c r="S794" s="583">
        <f t="shared" si="87"/>
        <v>0</v>
      </c>
      <c r="T794" s="580">
        <f t="shared" si="86"/>
        <v>0</v>
      </c>
      <c r="U794" s="51"/>
      <c r="V794" s="2119"/>
      <c r="W794" s="2116"/>
      <c r="X794" s="43"/>
      <c r="Y794" s="43"/>
      <c r="Z794" s="43"/>
    </row>
    <row r="795" spans="1:26" ht="15.75" customHeight="1">
      <c r="A795" s="88">
        <v>7695</v>
      </c>
      <c r="B795" s="1042" t="s">
        <v>2108</v>
      </c>
      <c r="C795" s="1033"/>
      <c r="D795" s="1033"/>
      <c r="E795" s="1033"/>
      <c r="F795" s="1033"/>
      <c r="G795" s="1033"/>
      <c r="H795" s="1033"/>
      <c r="I795" s="1033"/>
      <c r="J795" s="1033"/>
      <c r="K795" s="1033"/>
      <c r="L795" s="90"/>
      <c r="M795" s="51"/>
      <c r="N795" s="113">
        <f t="shared" si="88"/>
        <v>7695</v>
      </c>
      <c r="O795" s="575">
        <v>0</v>
      </c>
      <c r="P795" s="582">
        <v>0</v>
      </c>
      <c r="Q795" s="589"/>
      <c r="R795" s="576"/>
      <c r="S795" s="583">
        <f t="shared" si="87"/>
        <v>0</v>
      </c>
      <c r="T795" s="580">
        <f t="shared" si="86"/>
        <v>0</v>
      </c>
      <c r="U795" s="51"/>
      <c r="V795" s="2119"/>
      <c r="W795" s="2116"/>
      <c r="X795" s="43"/>
      <c r="Y795" s="43"/>
      <c r="Z795" s="43"/>
    </row>
    <row r="796" spans="1:26">
      <c r="A796" s="88">
        <v>7697</v>
      </c>
      <c r="B796" s="378" t="s">
        <v>825</v>
      </c>
      <c r="C796" s="1033"/>
      <c r="D796" s="1033"/>
      <c r="E796" s="1033"/>
      <c r="F796" s="1033"/>
      <c r="G796" s="1033"/>
      <c r="H796" s="1033"/>
      <c r="I796" s="1033"/>
      <c r="J796" s="1033"/>
      <c r="K796" s="1033"/>
      <c r="L796" s="90"/>
      <c r="M796" s="51"/>
      <c r="N796" s="113">
        <f t="shared" si="88"/>
        <v>7697</v>
      </c>
      <c r="O796" s="575">
        <v>0</v>
      </c>
      <c r="P796" s="582">
        <v>0</v>
      </c>
      <c r="Q796" s="589"/>
      <c r="R796" s="576"/>
      <c r="S796" s="583">
        <f t="shared" si="87"/>
        <v>0</v>
      </c>
      <c r="T796" s="580">
        <f t="shared" si="86"/>
        <v>0</v>
      </c>
      <c r="U796" s="51"/>
      <c r="V796" s="2119"/>
      <c r="W796" s="2116"/>
      <c r="X796" s="43"/>
      <c r="Y796" s="43"/>
      <c r="Z796" s="43"/>
    </row>
    <row r="797" spans="1:26">
      <c r="A797" s="88">
        <v>7698</v>
      </c>
      <c r="B797" s="378" t="s">
        <v>826</v>
      </c>
      <c r="C797" s="1033"/>
      <c r="D797" s="1033"/>
      <c r="E797" s="1033"/>
      <c r="F797" s="1033"/>
      <c r="G797" s="1033"/>
      <c r="H797" s="1033"/>
      <c r="I797" s="1033"/>
      <c r="J797" s="1033"/>
      <c r="K797" s="1033"/>
      <c r="L797" s="90"/>
      <c r="M797" s="51"/>
      <c r="N797" s="113">
        <f t="shared" si="88"/>
        <v>7698</v>
      </c>
      <c r="O797" s="575">
        <v>0</v>
      </c>
      <c r="P797" s="582">
        <v>0</v>
      </c>
      <c r="Q797" s="589"/>
      <c r="R797" s="576"/>
      <c r="S797" s="583">
        <f t="shared" si="87"/>
        <v>0</v>
      </c>
      <c r="T797" s="580">
        <f t="shared" si="86"/>
        <v>0</v>
      </c>
      <c r="U797" s="51"/>
      <c r="V797" s="2119"/>
      <c r="W797" s="2116"/>
      <c r="X797" s="43"/>
      <c r="Y797" s="43"/>
      <c r="Z797" s="43"/>
    </row>
    <row r="798" spans="1:26">
      <c r="A798" s="88">
        <v>7699</v>
      </c>
      <c r="B798" s="1032" t="s">
        <v>827</v>
      </c>
      <c r="C798" s="1033"/>
      <c r="D798" s="1033"/>
      <c r="E798" s="1033"/>
      <c r="F798" s="1033"/>
      <c r="G798" s="1033"/>
      <c r="H798" s="1033"/>
      <c r="I798" s="1033"/>
      <c r="J798" s="1033"/>
      <c r="K798" s="1033"/>
      <c r="L798" s="90"/>
      <c r="M798" s="51"/>
      <c r="N798" s="113">
        <f t="shared" si="88"/>
        <v>7699</v>
      </c>
      <c r="O798" s="575">
        <v>0</v>
      </c>
      <c r="P798" s="582">
        <v>0</v>
      </c>
      <c r="Q798" s="589"/>
      <c r="R798" s="576"/>
      <c r="S798" s="583">
        <f t="shared" si="87"/>
        <v>0</v>
      </c>
      <c r="T798" s="580">
        <f t="shared" ref="T798:T804" si="89">+IF(ABS(+O798+Q798)&lt;=ABS(P798+R798),-O798+P798-Q798+R798,0)</f>
        <v>0</v>
      </c>
      <c r="U798" s="51"/>
      <c r="V798" s="2119"/>
      <c r="W798" s="2116"/>
      <c r="X798" s="43"/>
      <c r="Y798" s="43"/>
      <c r="Z798" s="43"/>
    </row>
    <row r="799" spans="1:26">
      <c r="A799" s="88">
        <v>7801</v>
      </c>
      <c r="B799" s="378" t="s">
        <v>828</v>
      </c>
      <c r="C799" s="1033"/>
      <c r="D799" s="1033"/>
      <c r="E799" s="1033"/>
      <c r="F799" s="1033"/>
      <c r="G799" s="1033"/>
      <c r="H799" s="1033"/>
      <c r="I799" s="1033"/>
      <c r="J799" s="1033"/>
      <c r="K799" s="1033"/>
      <c r="L799" s="90"/>
      <c r="M799" s="51"/>
      <c r="N799" s="113">
        <f t="shared" si="88"/>
        <v>7801</v>
      </c>
      <c r="O799" s="575">
        <v>0</v>
      </c>
      <c r="P799" s="582">
        <v>0</v>
      </c>
      <c r="Q799" s="589">
        <v>0</v>
      </c>
      <c r="R799" s="576">
        <v>0</v>
      </c>
      <c r="S799" s="583">
        <f t="shared" si="87"/>
        <v>0</v>
      </c>
      <c r="T799" s="580">
        <f t="shared" si="89"/>
        <v>0</v>
      </c>
      <c r="U799" s="51"/>
      <c r="V799" s="2119"/>
      <c r="W799" s="2116"/>
      <c r="X799" s="43"/>
      <c r="Y799" s="43"/>
      <c r="Z799" s="43"/>
    </row>
    <row r="800" spans="1:26">
      <c r="A800" s="88">
        <v>7802</v>
      </c>
      <c r="B800" s="378" t="s">
        <v>829</v>
      </c>
      <c r="C800" s="1033"/>
      <c r="D800" s="1033"/>
      <c r="E800" s="1033"/>
      <c r="F800" s="1033"/>
      <c r="G800" s="1033"/>
      <c r="H800" s="1033"/>
      <c r="I800" s="1033"/>
      <c r="J800" s="1033"/>
      <c r="K800" s="1033"/>
      <c r="L800" s="90"/>
      <c r="M800" s="51"/>
      <c r="N800" s="113">
        <f t="shared" si="88"/>
        <v>7802</v>
      </c>
      <c r="O800" s="575">
        <v>0</v>
      </c>
      <c r="P800" s="582">
        <v>0</v>
      </c>
      <c r="Q800" s="589">
        <v>0</v>
      </c>
      <c r="R800" s="576">
        <v>0</v>
      </c>
      <c r="S800" s="583">
        <f t="shared" si="87"/>
        <v>0</v>
      </c>
      <c r="T800" s="580">
        <f t="shared" si="89"/>
        <v>0</v>
      </c>
      <c r="U800" s="51"/>
      <c r="V800" s="2119"/>
      <c r="W800" s="2116"/>
      <c r="X800" s="43"/>
      <c r="Y800" s="43"/>
      <c r="Z800" s="43"/>
    </row>
    <row r="801" spans="1:26" ht="15.75" customHeight="1">
      <c r="A801" s="88">
        <v>7803</v>
      </c>
      <c r="B801" s="1042" t="s">
        <v>830</v>
      </c>
      <c r="C801" s="1033"/>
      <c r="D801" s="1033"/>
      <c r="E801" s="1033"/>
      <c r="F801" s="1033"/>
      <c r="G801" s="1033"/>
      <c r="H801" s="1033"/>
      <c r="I801" s="1033"/>
      <c r="J801" s="1033"/>
      <c r="K801" s="1033"/>
      <c r="L801" s="90"/>
      <c r="M801" s="51"/>
      <c r="N801" s="113">
        <f t="shared" si="88"/>
        <v>7803</v>
      </c>
      <c r="O801" s="575">
        <v>0</v>
      </c>
      <c r="P801" s="582">
        <v>0</v>
      </c>
      <c r="Q801" s="589"/>
      <c r="R801" s="576"/>
      <c r="S801" s="583">
        <f t="shared" si="87"/>
        <v>0</v>
      </c>
      <c r="T801" s="580">
        <f t="shared" si="89"/>
        <v>0</v>
      </c>
      <c r="U801" s="51"/>
      <c r="V801" s="2119"/>
      <c r="W801" s="2116"/>
      <c r="X801" s="43"/>
      <c r="Y801" s="43"/>
      <c r="Z801" s="43"/>
    </row>
    <row r="802" spans="1:26" ht="15.75" customHeight="1">
      <c r="A802" s="88">
        <v>7804</v>
      </c>
      <c r="B802" s="1042" t="s">
        <v>831</v>
      </c>
      <c r="C802" s="1033"/>
      <c r="D802" s="1033"/>
      <c r="E802" s="1033"/>
      <c r="F802" s="1033"/>
      <c r="G802" s="1033"/>
      <c r="H802" s="1033"/>
      <c r="I802" s="1033"/>
      <c r="J802" s="1033"/>
      <c r="K802" s="1033"/>
      <c r="L802" s="90"/>
      <c r="M802" s="51"/>
      <c r="N802" s="113">
        <f t="shared" si="88"/>
        <v>7804</v>
      </c>
      <c r="O802" s="575">
        <v>0</v>
      </c>
      <c r="P802" s="582">
        <v>0</v>
      </c>
      <c r="Q802" s="589"/>
      <c r="R802" s="576"/>
      <c r="S802" s="583">
        <f t="shared" si="87"/>
        <v>0</v>
      </c>
      <c r="T802" s="580">
        <f t="shared" si="89"/>
        <v>0</v>
      </c>
      <c r="U802" s="51"/>
      <c r="V802" s="2119"/>
      <c r="W802" s="2116"/>
      <c r="X802" s="43"/>
      <c r="Y802" s="43"/>
      <c r="Z802" s="43"/>
    </row>
    <row r="803" spans="1:26">
      <c r="A803" s="88">
        <v>7807</v>
      </c>
      <c r="B803" s="378" t="s">
        <v>832</v>
      </c>
      <c r="C803" s="1033"/>
      <c r="D803" s="1033"/>
      <c r="E803" s="1033"/>
      <c r="F803" s="1033"/>
      <c r="G803" s="1033"/>
      <c r="H803" s="1033"/>
      <c r="I803" s="1033"/>
      <c r="J803" s="1033"/>
      <c r="K803" s="1033"/>
      <c r="L803" s="90"/>
      <c r="M803" s="51"/>
      <c r="N803" s="113">
        <f t="shared" si="88"/>
        <v>7807</v>
      </c>
      <c r="O803" s="575">
        <v>0</v>
      </c>
      <c r="P803" s="582">
        <v>0</v>
      </c>
      <c r="Q803" s="589"/>
      <c r="R803" s="576"/>
      <c r="S803" s="583">
        <f t="shared" si="87"/>
        <v>0</v>
      </c>
      <c r="T803" s="580">
        <f t="shared" si="89"/>
        <v>0</v>
      </c>
      <c r="U803" s="51"/>
      <c r="V803" s="2119"/>
      <c r="W803" s="2116"/>
      <c r="X803" s="43"/>
      <c r="Y803" s="43"/>
      <c r="Z803" s="43"/>
    </row>
    <row r="804" spans="1:26">
      <c r="A804" s="88">
        <v>7808</v>
      </c>
      <c r="B804" s="378" t="s">
        <v>833</v>
      </c>
      <c r="C804" s="1033"/>
      <c r="D804" s="1033"/>
      <c r="E804" s="1033"/>
      <c r="F804" s="1033"/>
      <c r="G804" s="1033"/>
      <c r="H804" s="1033"/>
      <c r="I804" s="1033"/>
      <c r="J804" s="1033"/>
      <c r="K804" s="1033"/>
      <c r="L804" s="90"/>
      <c r="M804" s="51"/>
      <c r="N804" s="113">
        <f t="shared" si="88"/>
        <v>7808</v>
      </c>
      <c r="O804" s="575">
        <v>0</v>
      </c>
      <c r="P804" s="582">
        <v>0</v>
      </c>
      <c r="Q804" s="589"/>
      <c r="R804" s="576"/>
      <c r="S804" s="583">
        <f t="shared" ref="S804:S828" si="90">+IF(ABS(+O804+Q804)&gt;=ABS(P804+R804),+O804-P804+Q804-R804,0)</f>
        <v>0</v>
      </c>
      <c r="T804" s="580">
        <f t="shared" si="89"/>
        <v>0</v>
      </c>
      <c r="U804" s="51"/>
      <c r="V804" s="2119"/>
      <c r="W804" s="2116"/>
      <c r="X804" s="43"/>
      <c r="Y804" s="43"/>
      <c r="Z804" s="43"/>
    </row>
    <row r="805" spans="1:26" ht="15.75" customHeight="1">
      <c r="A805" s="88">
        <v>7901</v>
      </c>
      <c r="B805" s="1042" t="s">
        <v>834</v>
      </c>
      <c r="C805" s="1033"/>
      <c r="D805" s="1033"/>
      <c r="E805" s="1033"/>
      <c r="F805" s="1033"/>
      <c r="G805" s="1033"/>
      <c r="H805" s="1033"/>
      <c r="I805" s="1033"/>
      <c r="J805" s="1033"/>
      <c r="K805" s="1033"/>
      <c r="L805" s="90"/>
      <c r="M805" s="51"/>
      <c r="N805" s="113">
        <f t="shared" si="88"/>
        <v>7901</v>
      </c>
      <c r="O805" s="575">
        <v>0</v>
      </c>
      <c r="P805" s="582">
        <v>0</v>
      </c>
      <c r="Q805" s="589"/>
      <c r="R805" s="576"/>
      <c r="S805" s="583">
        <f t="shared" si="90"/>
        <v>0</v>
      </c>
      <c r="T805" s="580">
        <f t="shared" ref="T805:T828" si="91">+IF(ABS(+O805+Q805)&lt;=ABS(P805+R805),-O805+P805-Q805+R805,0)</f>
        <v>0</v>
      </c>
      <c r="U805" s="51"/>
      <c r="V805" s="2119"/>
      <c r="W805" s="2116"/>
      <c r="X805" s="43"/>
      <c r="Y805" s="43"/>
      <c r="Z805" s="43"/>
    </row>
    <row r="806" spans="1:26" ht="15.75" customHeight="1">
      <c r="A806" s="88">
        <v>7902</v>
      </c>
      <c r="B806" s="1042" t="s">
        <v>835</v>
      </c>
      <c r="C806" s="1033"/>
      <c r="D806" s="1033"/>
      <c r="E806" s="1033"/>
      <c r="F806" s="1033"/>
      <c r="G806" s="1033"/>
      <c r="H806" s="1033"/>
      <c r="I806" s="1033"/>
      <c r="J806" s="1033"/>
      <c r="K806" s="1033"/>
      <c r="L806" s="90"/>
      <c r="M806" s="51"/>
      <c r="N806" s="113">
        <f t="shared" si="88"/>
        <v>7902</v>
      </c>
      <c r="O806" s="575">
        <v>0</v>
      </c>
      <c r="P806" s="582">
        <v>0</v>
      </c>
      <c r="Q806" s="589"/>
      <c r="R806" s="576"/>
      <c r="S806" s="583">
        <f t="shared" si="90"/>
        <v>0</v>
      </c>
      <c r="T806" s="580">
        <f t="shared" si="91"/>
        <v>0</v>
      </c>
      <c r="U806" s="51"/>
      <c r="V806" s="2119"/>
      <c r="W806" s="2116"/>
      <c r="X806" s="43"/>
      <c r="Y806" s="43"/>
      <c r="Z806" s="43"/>
    </row>
    <row r="807" spans="1:26" ht="15.75" customHeight="1">
      <c r="A807" s="88">
        <v>7903</v>
      </c>
      <c r="B807" s="1042" t="s">
        <v>836</v>
      </c>
      <c r="C807" s="1033"/>
      <c r="D807" s="1033"/>
      <c r="E807" s="1033"/>
      <c r="F807" s="1033"/>
      <c r="G807" s="1033"/>
      <c r="H807" s="1033"/>
      <c r="I807" s="1033"/>
      <c r="J807" s="1033"/>
      <c r="K807" s="1033"/>
      <c r="L807" s="90"/>
      <c r="M807" s="51"/>
      <c r="N807" s="113">
        <f t="shared" si="88"/>
        <v>7903</v>
      </c>
      <c r="O807" s="575">
        <v>0</v>
      </c>
      <c r="P807" s="582">
        <v>0</v>
      </c>
      <c r="Q807" s="589"/>
      <c r="R807" s="576"/>
      <c r="S807" s="583">
        <f t="shared" si="90"/>
        <v>0</v>
      </c>
      <c r="T807" s="580">
        <f t="shared" si="91"/>
        <v>0</v>
      </c>
      <c r="U807" s="51"/>
      <c r="V807" s="2119"/>
      <c r="W807" s="2116"/>
      <c r="X807" s="43"/>
      <c r="Y807" s="43"/>
      <c r="Z807" s="43"/>
    </row>
    <row r="808" spans="1:26" ht="15.75" customHeight="1">
      <c r="A808" s="88">
        <v>7904</v>
      </c>
      <c r="B808" s="1042" t="s">
        <v>837</v>
      </c>
      <c r="C808" s="1033"/>
      <c r="D808" s="1033"/>
      <c r="E808" s="1033"/>
      <c r="F808" s="1033"/>
      <c r="G808" s="1033"/>
      <c r="H808" s="1033"/>
      <c r="I808" s="1033"/>
      <c r="J808" s="1033"/>
      <c r="K808" s="1033"/>
      <c r="L808" s="90"/>
      <c r="M808" s="51"/>
      <c r="N808" s="113">
        <f t="shared" si="88"/>
        <v>7904</v>
      </c>
      <c r="O808" s="575">
        <v>0</v>
      </c>
      <c r="P808" s="582">
        <v>0</v>
      </c>
      <c r="Q808" s="589"/>
      <c r="R808" s="576"/>
      <c r="S808" s="583">
        <f t="shared" si="90"/>
        <v>0</v>
      </c>
      <c r="T808" s="580">
        <f t="shared" si="91"/>
        <v>0</v>
      </c>
      <c r="U808" s="51"/>
      <c r="V808" s="2119"/>
      <c r="W808" s="2116"/>
      <c r="X808" s="43"/>
      <c r="Y808" s="43"/>
      <c r="Z808" s="43"/>
    </row>
    <row r="809" spans="1:26" ht="15.75" customHeight="1">
      <c r="A809" s="88">
        <v>7905</v>
      </c>
      <c r="B809" s="1042" t="s">
        <v>838</v>
      </c>
      <c r="C809" s="1033"/>
      <c r="D809" s="1033"/>
      <c r="E809" s="1033"/>
      <c r="F809" s="1033"/>
      <c r="G809" s="1033"/>
      <c r="H809" s="1033"/>
      <c r="I809" s="1033"/>
      <c r="J809" s="1033"/>
      <c r="K809" s="1033"/>
      <c r="L809" s="90"/>
      <c r="M809" s="51"/>
      <c r="N809" s="113">
        <f t="shared" si="88"/>
        <v>7905</v>
      </c>
      <c r="O809" s="575">
        <v>0</v>
      </c>
      <c r="P809" s="582">
        <v>0</v>
      </c>
      <c r="Q809" s="589"/>
      <c r="R809" s="576"/>
      <c r="S809" s="583">
        <f t="shared" si="90"/>
        <v>0</v>
      </c>
      <c r="T809" s="580">
        <f t="shared" si="91"/>
        <v>0</v>
      </c>
      <c r="U809" s="51"/>
      <c r="V809" s="2119"/>
      <c r="W809" s="2116"/>
      <c r="X809" s="43"/>
      <c r="Y809" s="43"/>
      <c r="Z809" s="43"/>
    </row>
    <row r="810" spans="1:26" ht="15.75" customHeight="1">
      <c r="A810" s="88">
        <v>7906</v>
      </c>
      <c r="B810" s="1042" t="s">
        <v>839</v>
      </c>
      <c r="C810" s="1033"/>
      <c r="D810" s="1033"/>
      <c r="E810" s="1033"/>
      <c r="F810" s="1033"/>
      <c r="G810" s="1033"/>
      <c r="H810" s="1033"/>
      <c r="I810" s="1033"/>
      <c r="J810" s="1033"/>
      <c r="K810" s="1033"/>
      <c r="L810" s="90"/>
      <c r="M810" s="51"/>
      <c r="N810" s="113">
        <f t="shared" si="88"/>
        <v>7906</v>
      </c>
      <c r="O810" s="575">
        <v>0</v>
      </c>
      <c r="P810" s="582">
        <v>0</v>
      </c>
      <c r="Q810" s="589"/>
      <c r="R810" s="576"/>
      <c r="S810" s="583">
        <f t="shared" si="90"/>
        <v>0</v>
      </c>
      <c r="T810" s="580">
        <f t="shared" si="91"/>
        <v>0</v>
      </c>
      <c r="U810" s="51"/>
      <c r="V810" s="2119"/>
      <c r="W810" s="2116"/>
      <c r="X810" s="43"/>
      <c r="Y810" s="43"/>
      <c r="Z810" s="43"/>
    </row>
    <row r="811" spans="1:26">
      <c r="A811" s="88">
        <v>7911</v>
      </c>
      <c r="B811" s="1042" t="s">
        <v>840</v>
      </c>
      <c r="C811" s="1033"/>
      <c r="D811" s="1033"/>
      <c r="E811" s="1033"/>
      <c r="F811" s="1033"/>
      <c r="G811" s="1033"/>
      <c r="H811" s="1033"/>
      <c r="I811" s="1033"/>
      <c r="J811" s="1033"/>
      <c r="K811" s="1033"/>
      <c r="L811" s="90"/>
      <c r="M811" s="51"/>
      <c r="N811" s="113">
        <f t="shared" si="88"/>
        <v>7911</v>
      </c>
      <c r="O811" s="575">
        <v>0</v>
      </c>
      <c r="P811" s="582">
        <v>0</v>
      </c>
      <c r="Q811" s="589"/>
      <c r="R811" s="576"/>
      <c r="S811" s="583">
        <f t="shared" si="90"/>
        <v>0</v>
      </c>
      <c r="T811" s="580">
        <f t="shared" si="91"/>
        <v>0</v>
      </c>
      <c r="U811" s="51"/>
      <c r="V811" s="2119"/>
      <c r="W811" s="2116"/>
      <c r="X811" s="43"/>
      <c r="Y811" s="43"/>
      <c r="Z811" s="43"/>
    </row>
    <row r="812" spans="1:26">
      <c r="A812" s="88">
        <v>7912</v>
      </c>
      <c r="B812" s="1042" t="s">
        <v>841</v>
      </c>
      <c r="C812" s="1033"/>
      <c r="D812" s="1033"/>
      <c r="E812" s="1033"/>
      <c r="F812" s="1033"/>
      <c r="G812" s="1033"/>
      <c r="H812" s="1033"/>
      <c r="I812" s="1033"/>
      <c r="J812" s="1033"/>
      <c r="K812" s="1033"/>
      <c r="L812" s="90"/>
      <c r="M812" s="51"/>
      <c r="N812" s="113">
        <f t="shared" si="88"/>
        <v>7912</v>
      </c>
      <c r="O812" s="575">
        <v>0</v>
      </c>
      <c r="P812" s="582">
        <v>0</v>
      </c>
      <c r="Q812" s="589"/>
      <c r="R812" s="576"/>
      <c r="S812" s="583">
        <f t="shared" si="90"/>
        <v>0</v>
      </c>
      <c r="T812" s="580">
        <f t="shared" si="91"/>
        <v>0</v>
      </c>
      <c r="U812" s="51"/>
      <c r="V812" s="2119"/>
      <c r="W812" s="2116"/>
      <c r="X812" s="43"/>
      <c r="Y812" s="43"/>
      <c r="Z812" s="43"/>
    </row>
    <row r="813" spans="1:26" ht="15.75" customHeight="1">
      <c r="A813" s="88">
        <v>7915</v>
      </c>
      <c r="B813" s="1042" t="s">
        <v>842</v>
      </c>
      <c r="C813" s="1033"/>
      <c r="D813" s="1033"/>
      <c r="E813" s="1033"/>
      <c r="F813" s="1033"/>
      <c r="G813" s="1033"/>
      <c r="H813" s="1033"/>
      <c r="I813" s="1033"/>
      <c r="J813" s="1033"/>
      <c r="K813" s="1033"/>
      <c r="L813" s="90"/>
      <c r="M813" s="51"/>
      <c r="N813" s="113">
        <f t="shared" si="88"/>
        <v>7915</v>
      </c>
      <c r="O813" s="575">
        <v>0</v>
      </c>
      <c r="P813" s="582">
        <v>0</v>
      </c>
      <c r="Q813" s="589"/>
      <c r="R813" s="576"/>
      <c r="S813" s="583">
        <f t="shared" si="90"/>
        <v>0</v>
      </c>
      <c r="T813" s="580">
        <f t="shared" si="91"/>
        <v>0</v>
      </c>
      <c r="U813" s="51"/>
      <c r="V813" s="2119"/>
      <c r="W813" s="2116"/>
      <c r="X813" s="43"/>
      <c r="Y813" s="43"/>
      <c r="Z813" s="43"/>
    </row>
    <row r="814" spans="1:26" ht="15.75" customHeight="1">
      <c r="A814" s="88">
        <v>7916</v>
      </c>
      <c r="B814" s="1042" t="s">
        <v>843</v>
      </c>
      <c r="C814" s="1033"/>
      <c r="D814" s="1033"/>
      <c r="E814" s="1033"/>
      <c r="F814" s="1033"/>
      <c r="G814" s="1033"/>
      <c r="H814" s="1033"/>
      <c r="I814" s="1033"/>
      <c r="J814" s="1033"/>
      <c r="K814" s="1033"/>
      <c r="L814" s="90"/>
      <c r="M814" s="51"/>
      <c r="N814" s="113">
        <f t="shared" si="88"/>
        <v>7916</v>
      </c>
      <c r="O814" s="575">
        <v>0</v>
      </c>
      <c r="P814" s="582">
        <v>0</v>
      </c>
      <c r="Q814" s="589"/>
      <c r="R814" s="576"/>
      <c r="S814" s="583">
        <f t="shared" si="90"/>
        <v>0</v>
      </c>
      <c r="T814" s="580">
        <f t="shared" si="91"/>
        <v>0</v>
      </c>
      <c r="U814" s="51"/>
      <c r="V814" s="2119"/>
      <c r="W814" s="2116"/>
      <c r="X814" s="43"/>
      <c r="Y814" s="43"/>
      <c r="Z814" s="43"/>
    </row>
    <row r="815" spans="1:26">
      <c r="A815" s="88">
        <v>7917</v>
      </c>
      <c r="B815" s="1033" t="s">
        <v>844</v>
      </c>
      <c r="C815" s="1033"/>
      <c r="D815" s="1033"/>
      <c r="E815" s="1033"/>
      <c r="F815" s="1033"/>
      <c r="G815" s="1033"/>
      <c r="H815" s="1033"/>
      <c r="I815" s="1033"/>
      <c r="J815" s="1033"/>
      <c r="K815" s="1033"/>
      <c r="L815" s="90"/>
      <c r="M815" s="51"/>
      <c r="N815" s="113">
        <f t="shared" si="88"/>
        <v>7917</v>
      </c>
      <c r="O815" s="575">
        <v>0</v>
      </c>
      <c r="P815" s="582">
        <v>0</v>
      </c>
      <c r="Q815" s="589"/>
      <c r="R815" s="576"/>
      <c r="S815" s="583">
        <f t="shared" si="90"/>
        <v>0</v>
      </c>
      <c r="T815" s="580">
        <f t="shared" si="91"/>
        <v>0</v>
      </c>
      <c r="U815" s="51"/>
      <c r="V815" s="2119"/>
      <c r="W815" s="2116"/>
      <c r="X815" s="43"/>
      <c r="Y815" s="43"/>
      <c r="Z815" s="43"/>
    </row>
    <row r="816" spans="1:26">
      <c r="A816" s="88">
        <v>7918</v>
      </c>
      <c r="B816" s="1033" t="s">
        <v>845</v>
      </c>
      <c r="C816" s="1033"/>
      <c r="D816" s="1033"/>
      <c r="E816" s="1033"/>
      <c r="F816" s="1033"/>
      <c r="G816" s="1033"/>
      <c r="H816" s="1033"/>
      <c r="I816" s="1033"/>
      <c r="J816" s="1033"/>
      <c r="K816" s="1033"/>
      <c r="L816" s="90"/>
      <c r="M816" s="51"/>
      <c r="N816" s="113">
        <f t="shared" si="88"/>
        <v>7918</v>
      </c>
      <c r="O816" s="575">
        <v>0</v>
      </c>
      <c r="P816" s="582">
        <v>0</v>
      </c>
      <c r="Q816" s="589"/>
      <c r="R816" s="576"/>
      <c r="S816" s="583">
        <f t="shared" si="90"/>
        <v>0</v>
      </c>
      <c r="T816" s="580">
        <f t="shared" si="91"/>
        <v>0</v>
      </c>
      <c r="U816" s="51"/>
      <c r="V816" s="2119"/>
      <c r="W816" s="2116"/>
      <c r="X816" s="43"/>
      <c r="Y816" s="43"/>
      <c r="Z816" s="43"/>
    </row>
    <row r="817" spans="1:26">
      <c r="A817" s="88">
        <v>7922</v>
      </c>
      <c r="B817" s="1033" t="s">
        <v>846</v>
      </c>
      <c r="C817" s="1033"/>
      <c r="D817" s="1033"/>
      <c r="E817" s="1033"/>
      <c r="F817" s="1033"/>
      <c r="G817" s="1033"/>
      <c r="H817" s="1033"/>
      <c r="I817" s="1033"/>
      <c r="J817" s="1033"/>
      <c r="K817" s="1033"/>
      <c r="L817" s="90"/>
      <c r="M817" s="51"/>
      <c r="N817" s="113">
        <f t="shared" si="88"/>
        <v>7922</v>
      </c>
      <c r="O817" s="575">
        <v>0</v>
      </c>
      <c r="P817" s="582">
        <v>0</v>
      </c>
      <c r="Q817" s="589"/>
      <c r="R817" s="576"/>
      <c r="S817" s="583">
        <f t="shared" si="90"/>
        <v>0</v>
      </c>
      <c r="T817" s="580">
        <f t="shared" si="91"/>
        <v>0</v>
      </c>
      <c r="U817" s="51"/>
      <c r="V817" s="2119"/>
      <c r="W817" s="2116"/>
      <c r="X817" s="43"/>
      <c r="Y817" s="43"/>
      <c r="Z817" s="43"/>
    </row>
    <row r="818" spans="1:26">
      <c r="A818" s="88">
        <v>7923</v>
      </c>
      <c r="B818" s="1033" t="s">
        <v>847</v>
      </c>
      <c r="C818" s="1033"/>
      <c r="D818" s="1033"/>
      <c r="E818" s="1033"/>
      <c r="F818" s="1033"/>
      <c r="G818" s="1033"/>
      <c r="H818" s="1033"/>
      <c r="I818" s="1033"/>
      <c r="J818" s="1033"/>
      <c r="K818" s="1033"/>
      <c r="L818" s="90"/>
      <c r="M818" s="51"/>
      <c r="N818" s="113">
        <f t="shared" si="88"/>
        <v>7923</v>
      </c>
      <c r="O818" s="575">
        <v>0</v>
      </c>
      <c r="P818" s="582">
        <v>0</v>
      </c>
      <c r="Q818" s="589"/>
      <c r="R818" s="576"/>
      <c r="S818" s="583">
        <f t="shared" si="90"/>
        <v>0</v>
      </c>
      <c r="T818" s="580">
        <f t="shared" si="91"/>
        <v>0</v>
      </c>
      <c r="U818" s="51"/>
      <c r="V818" s="2119"/>
      <c r="W818" s="2116"/>
      <c r="X818" s="43"/>
      <c r="Y818" s="43"/>
      <c r="Z818" s="43"/>
    </row>
    <row r="819" spans="1:26">
      <c r="A819" s="88">
        <v>7924</v>
      </c>
      <c r="B819" s="1033" t="s">
        <v>848</v>
      </c>
      <c r="C819" s="1033"/>
      <c r="D819" s="1033"/>
      <c r="E819" s="1033"/>
      <c r="F819" s="1033"/>
      <c r="G819" s="1033"/>
      <c r="H819" s="1033"/>
      <c r="I819" s="1033"/>
      <c r="J819" s="1033"/>
      <c r="K819" s="1033"/>
      <c r="L819" s="90"/>
      <c r="M819" s="51"/>
      <c r="N819" s="113">
        <f t="shared" si="88"/>
        <v>7924</v>
      </c>
      <c r="O819" s="575">
        <v>0</v>
      </c>
      <c r="P819" s="582">
        <v>0</v>
      </c>
      <c r="Q819" s="589"/>
      <c r="R819" s="576"/>
      <c r="S819" s="583">
        <f t="shared" si="90"/>
        <v>0</v>
      </c>
      <c r="T819" s="580">
        <f t="shared" si="91"/>
        <v>0</v>
      </c>
      <c r="U819" s="51"/>
      <c r="V819" s="2119"/>
      <c r="W819" s="2116"/>
      <c r="X819" s="43"/>
      <c r="Y819" s="43"/>
      <c r="Z819" s="43"/>
    </row>
    <row r="820" spans="1:26">
      <c r="A820" s="88">
        <v>7925</v>
      </c>
      <c r="B820" s="1033" t="s">
        <v>849</v>
      </c>
      <c r="C820" s="1033"/>
      <c r="D820" s="1033"/>
      <c r="E820" s="1033"/>
      <c r="F820" s="1033"/>
      <c r="G820" s="1033"/>
      <c r="H820" s="1033"/>
      <c r="I820" s="1033"/>
      <c r="J820" s="1033"/>
      <c r="K820" s="1033"/>
      <c r="L820" s="90"/>
      <c r="M820" s="51"/>
      <c r="N820" s="113">
        <f t="shared" si="88"/>
        <v>7925</v>
      </c>
      <c r="O820" s="575">
        <v>0</v>
      </c>
      <c r="P820" s="582">
        <v>0</v>
      </c>
      <c r="Q820" s="589"/>
      <c r="R820" s="576"/>
      <c r="S820" s="583">
        <f t="shared" si="90"/>
        <v>0</v>
      </c>
      <c r="T820" s="580">
        <f t="shared" si="91"/>
        <v>0</v>
      </c>
      <c r="U820" s="51"/>
      <c r="V820" s="2119"/>
      <c r="W820" s="2116"/>
      <c r="X820" s="43"/>
      <c r="Y820" s="43"/>
      <c r="Z820" s="43"/>
    </row>
    <row r="821" spans="1:26" ht="15.75" customHeight="1">
      <c r="A821" s="88">
        <v>7926</v>
      </c>
      <c r="B821" s="1033" t="s">
        <v>850</v>
      </c>
      <c r="C821" s="1033"/>
      <c r="D821" s="1033"/>
      <c r="E821" s="1033"/>
      <c r="F821" s="1033"/>
      <c r="G821" s="1033"/>
      <c r="H821" s="1033"/>
      <c r="I821" s="1033"/>
      <c r="J821" s="1033"/>
      <c r="K821" s="1033"/>
      <c r="L821" s="90"/>
      <c r="M821" s="51"/>
      <c r="N821" s="113">
        <f t="shared" si="88"/>
        <v>7926</v>
      </c>
      <c r="O821" s="575">
        <v>0</v>
      </c>
      <c r="P821" s="582">
        <v>0</v>
      </c>
      <c r="Q821" s="589"/>
      <c r="R821" s="576"/>
      <c r="S821" s="583">
        <f t="shared" si="90"/>
        <v>0</v>
      </c>
      <c r="T821" s="580">
        <f t="shared" si="91"/>
        <v>0</v>
      </c>
      <c r="U821" s="51"/>
      <c r="V821" s="2119"/>
      <c r="W821" s="2116"/>
      <c r="X821" s="43"/>
      <c r="Y821" s="43"/>
      <c r="Z821" s="43"/>
    </row>
    <row r="822" spans="1:26" ht="15.75" customHeight="1">
      <c r="A822" s="88">
        <v>7992</v>
      </c>
      <c r="B822" s="1033" t="s">
        <v>851</v>
      </c>
      <c r="C822" s="1033"/>
      <c r="D822" s="1033"/>
      <c r="E822" s="1033"/>
      <c r="F822" s="1033"/>
      <c r="G822" s="1033"/>
      <c r="H822" s="1033"/>
      <c r="I822" s="1033"/>
      <c r="J822" s="1033"/>
      <c r="K822" s="1033"/>
      <c r="L822" s="90"/>
      <c r="M822" s="51"/>
      <c r="N822" s="113">
        <f t="shared" si="88"/>
        <v>7992</v>
      </c>
      <c r="O822" s="575">
        <v>0</v>
      </c>
      <c r="P822" s="582">
        <v>0</v>
      </c>
      <c r="Q822" s="589">
        <v>0</v>
      </c>
      <c r="R822" s="576">
        <v>0</v>
      </c>
      <c r="S822" s="583">
        <f t="shared" si="90"/>
        <v>0</v>
      </c>
      <c r="T822" s="580">
        <f t="shared" si="91"/>
        <v>0</v>
      </c>
      <c r="U822" s="51"/>
      <c r="V822" s="2119"/>
      <c r="W822" s="2116"/>
      <c r="X822" s="43"/>
      <c r="Y822" s="43"/>
      <c r="Z822" s="43"/>
    </row>
    <row r="823" spans="1:26" ht="15.75" customHeight="1">
      <c r="A823" s="88">
        <v>7993</v>
      </c>
      <c r="B823" s="1033" t="s">
        <v>852</v>
      </c>
      <c r="C823" s="1033"/>
      <c r="D823" s="1033"/>
      <c r="E823" s="1033"/>
      <c r="F823" s="1033"/>
      <c r="G823" s="1033"/>
      <c r="H823" s="1033"/>
      <c r="I823" s="1033"/>
      <c r="J823" s="1033"/>
      <c r="K823" s="1033"/>
      <c r="L823" s="90"/>
      <c r="M823" s="51"/>
      <c r="N823" s="113">
        <f t="shared" si="88"/>
        <v>7993</v>
      </c>
      <c r="O823" s="575">
        <v>0</v>
      </c>
      <c r="P823" s="582">
        <v>0</v>
      </c>
      <c r="Q823" s="589"/>
      <c r="R823" s="576"/>
      <c r="S823" s="583">
        <f t="shared" si="90"/>
        <v>0</v>
      </c>
      <c r="T823" s="580">
        <f t="shared" si="91"/>
        <v>0</v>
      </c>
      <c r="U823" s="51"/>
      <c r="V823" s="2119"/>
      <c r="W823" s="2116"/>
      <c r="X823" s="43"/>
      <c r="Y823" s="43"/>
      <c r="Z823" s="43"/>
    </row>
    <row r="824" spans="1:26" ht="15.75" customHeight="1">
      <c r="A824" s="88">
        <v>7994</v>
      </c>
      <c r="B824" s="1033" t="s">
        <v>853</v>
      </c>
      <c r="C824" s="1033"/>
      <c r="D824" s="1033"/>
      <c r="E824" s="1033"/>
      <c r="F824" s="1033"/>
      <c r="G824" s="1033"/>
      <c r="H824" s="1033"/>
      <c r="I824" s="1033"/>
      <c r="J824" s="1033"/>
      <c r="K824" s="1033"/>
      <c r="L824" s="90"/>
      <c r="M824" s="51"/>
      <c r="N824" s="113">
        <f t="shared" si="88"/>
        <v>7994</v>
      </c>
      <c r="O824" s="575">
        <v>0</v>
      </c>
      <c r="P824" s="582">
        <v>0</v>
      </c>
      <c r="Q824" s="589"/>
      <c r="R824" s="576"/>
      <c r="S824" s="583">
        <f t="shared" si="90"/>
        <v>0</v>
      </c>
      <c r="T824" s="580">
        <f t="shared" si="91"/>
        <v>0</v>
      </c>
      <c r="U824" s="51"/>
      <c r="V824" s="2119"/>
      <c r="W824" s="2116"/>
      <c r="X824" s="43"/>
      <c r="Y824" s="43"/>
      <c r="Z824" s="43"/>
    </row>
    <row r="825" spans="1:26" ht="15.75" customHeight="1">
      <c r="A825" s="88">
        <v>7995</v>
      </c>
      <c r="B825" s="1033" t="s">
        <v>854</v>
      </c>
      <c r="C825" s="1033"/>
      <c r="D825" s="1033"/>
      <c r="E825" s="1033"/>
      <c r="F825" s="1033"/>
      <c r="G825" s="1033"/>
      <c r="H825" s="1033"/>
      <c r="I825" s="1033"/>
      <c r="J825" s="1033"/>
      <c r="K825" s="1033"/>
      <c r="L825" s="90"/>
      <c r="M825" s="51"/>
      <c r="N825" s="113">
        <f t="shared" si="88"/>
        <v>7995</v>
      </c>
      <c r="O825" s="575">
        <v>0</v>
      </c>
      <c r="P825" s="582">
        <v>0</v>
      </c>
      <c r="Q825" s="589"/>
      <c r="R825" s="576"/>
      <c r="S825" s="583">
        <f t="shared" si="90"/>
        <v>0</v>
      </c>
      <c r="T825" s="580">
        <f t="shared" si="91"/>
        <v>0</v>
      </c>
      <c r="U825" s="51"/>
      <c r="V825" s="2119"/>
      <c r="W825" s="2116"/>
      <c r="X825" s="43"/>
      <c r="Y825" s="43"/>
      <c r="Z825" s="43"/>
    </row>
    <row r="826" spans="1:26" ht="15.75" customHeight="1">
      <c r="A826" s="88">
        <v>7996</v>
      </c>
      <c r="B826" s="1033" t="s">
        <v>142</v>
      </c>
      <c r="C826" s="1033"/>
      <c r="D826" s="1033"/>
      <c r="E826" s="1033"/>
      <c r="F826" s="1033"/>
      <c r="G826" s="1033"/>
      <c r="H826" s="1033"/>
      <c r="I826" s="1033"/>
      <c r="J826" s="1033"/>
      <c r="K826" s="1033"/>
      <c r="L826" s="90"/>
      <c r="M826" s="51"/>
      <c r="N826" s="113">
        <f t="shared" si="88"/>
        <v>7996</v>
      </c>
      <c r="O826" s="575">
        <v>0</v>
      </c>
      <c r="P826" s="582">
        <v>0</v>
      </c>
      <c r="Q826" s="589"/>
      <c r="R826" s="576"/>
      <c r="S826" s="583">
        <f t="shared" si="90"/>
        <v>0</v>
      </c>
      <c r="T826" s="580">
        <f t="shared" si="91"/>
        <v>0</v>
      </c>
      <c r="U826" s="51"/>
      <c r="V826" s="2119"/>
      <c r="W826" s="2116"/>
      <c r="X826" s="43"/>
      <c r="Y826" s="43"/>
      <c r="Z826" s="43"/>
    </row>
    <row r="827" spans="1:26" ht="15.75" customHeight="1">
      <c r="A827" s="88">
        <v>7997</v>
      </c>
      <c r="B827" s="1033" t="s">
        <v>143</v>
      </c>
      <c r="C827" s="1033"/>
      <c r="D827" s="1033"/>
      <c r="E827" s="1033"/>
      <c r="F827" s="1033"/>
      <c r="G827" s="1033"/>
      <c r="H827" s="1033"/>
      <c r="I827" s="1033"/>
      <c r="J827" s="1033"/>
      <c r="K827" s="1033"/>
      <c r="L827" s="90"/>
      <c r="M827" s="51"/>
      <c r="N827" s="113">
        <f t="shared" si="88"/>
        <v>7997</v>
      </c>
      <c r="O827" s="575">
        <v>0</v>
      </c>
      <c r="P827" s="582">
        <v>0</v>
      </c>
      <c r="Q827" s="589"/>
      <c r="R827" s="576"/>
      <c r="S827" s="583">
        <f t="shared" si="90"/>
        <v>0</v>
      </c>
      <c r="T827" s="580">
        <f t="shared" si="91"/>
        <v>0</v>
      </c>
      <c r="U827" s="51"/>
      <c r="V827" s="2119"/>
      <c r="W827" s="2116"/>
      <c r="X827" s="43"/>
      <c r="Y827" s="43"/>
      <c r="Z827" s="43"/>
    </row>
    <row r="828" spans="1:26" ht="15.75" customHeight="1" thickBot="1">
      <c r="A828" s="88">
        <v>7998</v>
      </c>
      <c r="B828" s="1033" t="s">
        <v>144</v>
      </c>
      <c r="C828" s="1033"/>
      <c r="D828" s="1033"/>
      <c r="E828" s="1033"/>
      <c r="F828" s="1033"/>
      <c r="G828" s="1033"/>
      <c r="H828" s="1033"/>
      <c r="I828" s="1033"/>
      <c r="J828" s="1033"/>
      <c r="K828" s="1033"/>
      <c r="L828" s="90"/>
      <c r="M828" s="51"/>
      <c r="N828" s="113">
        <f t="shared" si="88"/>
        <v>7998</v>
      </c>
      <c r="O828" s="575">
        <v>0</v>
      </c>
      <c r="P828" s="582">
        <v>0</v>
      </c>
      <c r="Q828" s="589"/>
      <c r="R828" s="576"/>
      <c r="S828" s="583">
        <f t="shared" si="90"/>
        <v>0</v>
      </c>
      <c r="T828" s="580">
        <f t="shared" si="91"/>
        <v>0</v>
      </c>
      <c r="U828" s="51"/>
      <c r="V828" s="2119"/>
      <c r="W828" s="2116"/>
      <c r="X828" s="43"/>
      <c r="Y828" s="43"/>
      <c r="Z828" s="43"/>
    </row>
    <row r="829" spans="1:26" ht="16.5" thickBot="1">
      <c r="A829" s="94" t="s">
        <v>592</v>
      </c>
      <c r="B829" s="95"/>
      <c r="C829" s="95"/>
      <c r="D829" s="95"/>
      <c r="E829" s="95"/>
      <c r="F829" s="95"/>
      <c r="G829" s="95"/>
      <c r="H829" s="95"/>
      <c r="I829" s="2637" t="str">
        <f>+E12</f>
        <v>D M P</v>
      </c>
      <c r="J829" s="2637"/>
      <c r="K829" s="2637"/>
      <c r="L829" s="96"/>
      <c r="M829" s="51"/>
      <c r="N829" s="128" t="s">
        <v>666</v>
      </c>
      <c r="O829" s="867">
        <f t="shared" ref="O829:T829" si="92">+ROUND(+SUM(O14:O828),2)</f>
        <v>0</v>
      </c>
      <c r="P829" s="868">
        <f t="shared" si="92"/>
        <v>0</v>
      </c>
      <c r="Q829" s="869">
        <f t="shared" si="92"/>
        <v>0</v>
      </c>
      <c r="R829" s="870">
        <f t="shared" si="92"/>
        <v>0</v>
      </c>
      <c r="S829" s="871">
        <f t="shared" si="92"/>
        <v>0</v>
      </c>
      <c r="T829" s="872">
        <f t="shared" si="92"/>
        <v>0</v>
      </c>
      <c r="U829" s="51"/>
      <c r="V829" s="2119"/>
      <c r="W829" s="2116"/>
      <c r="X829" s="43"/>
      <c r="Y829" s="43"/>
      <c r="Z829" s="43"/>
    </row>
    <row r="830" spans="1:26" ht="7.5" customHeight="1" thickBot="1">
      <c r="A830" s="100"/>
      <c r="B830" s="100"/>
      <c r="C830" s="100"/>
      <c r="D830" s="100"/>
      <c r="E830" s="100"/>
      <c r="F830" s="100"/>
      <c r="G830" s="100"/>
      <c r="H830" s="100"/>
      <c r="I830" s="100"/>
      <c r="J830" s="100"/>
      <c r="K830" s="100"/>
      <c r="L830" s="100"/>
      <c r="M830" s="51"/>
      <c r="N830" s="115"/>
      <c r="O830" s="16"/>
      <c r="P830" s="16"/>
      <c r="Q830" s="16"/>
      <c r="R830" s="16"/>
      <c r="S830" s="16"/>
      <c r="T830" s="16"/>
      <c r="U830" s="44"/>
      <c r="V830" s="2119"/>
      <c r="W830" s="2116"/>
      <c r="X830" s="43"/>
      <c r="Y830" s="43"/>
      <c r="Z830" s="43"/>
    </row>
    <row r="831" spans="1:26">
      <c r="A831" s="405" t="s">
        <v>375</v>
      </c>
      <c r="B831" s="406"/>
      <c r="C831" s="406"/>
      <c r="D831" s="406"/>
      <c r="E831" s="406"/>
      <c r="F831" s="406"/>
      <c r="G831" s="406"/>
      <c r="H831" s="406"/>
      <c r="I831" s="2638" t="str">
        <f>+I829</f>
        <v>D M P</v>
      </c>
      <c r="J831" s="2638"/>
      <c r="K831" s="2638"/>
      <c r="L831" s="407"/>
      <c r="M831" s="51"/>
      <c r="N831" s="408">
        <v>9</v>
      </c>
      <c r="O831" s="409"/>
      <c r="P831" s="410"/>
      <c r="Q831" s="411"/>
      <c r="R831" s="410"/>
      <c r="S831" s="411"/>
      <c r="T831" s="412"/>
      <c r="U831" s="51"/>
      <c r="V831" s="2119"/>
      <c r="W831" s="2116"/>
      <c r="X831" s="43"/>
      <c r="Y831" s="43"/>
      <c r="Z831" s="43"/>
    </row>
    <row r="832" spans="1:26">
      <c r="A832" s="85">
        <v>9110</v>
      </c>
      <c r="B832" s="404" t="s">
        <v>914</v>
      </c>
      <c r="C832" s="86"/>
      <c r="D832" s="86"/>
      <c r="E832" s="86"/>
      <c r="F832" s="86"/>
      <c r="G832" s="86"/>
      <c r="H832" s="86"/>
      <c r="I832" s="86"/>
      <c r="J832" s="86"/>
      <c r="K832" s="86"/>
      <c r="L832" s="87"/>
      <c r="M832" s="51"/>
      <c r="N832" s="112">
        <f t="shared" ref="N832:N857" si="93">+A832</f>
        <v>9110</v>
      </c>
      <c r="O832" s="835">
        <v>0</v>
      </c>
      <c r="P832" s="836">
        <v>0</v>
      </c>
      <c r="Q832" s="577">
        <v>0</v>
      </c>
      <c r="R832" s="578">
        <v>0</v>
      </c>
      <c r="S832" s="326">
        <f>+IF(ABS(+O832+Q832)&gt;=ABS(P832+R832),+O832-P832+Q832-R832,0)</f>
        <v>0</v>
      </c>
      <c r="T832" s="331">
        <v>0</v>
      </c>
      <c r="U832" s="51"/>
      <c r="V832" s="2120">
        <f>+IF(OR(ROUND(P832,2)+ROUND(R832,2)&gt;+ROUND(O832,2)+ROUND(Q832,2),+ABS(ROUND(P832,2)+ROUND(R832,2))&gt;+ABS(ROUND(O832,2)+ROUND(Q832,2))),+(ROUND(P832,2)+ROUND(R832,2))-(ROUND(O832,2)+ROUND(Q832,2)),0)</f>
        <v>0</v>
      </c>
      <c r="W832" s="2116"/>
      <c r="X832" s="43"/>
      <c r="Y832" s="43"/>
      <c r="Z832" s="43"/>
    </row>
    <row r="833" spans="1:26">
      <c r="A833" s="88">
        <v>9120</v>
      </c>
      <c r="B833" s="1042" t="s">
        <v>709</v>
      </c>
      <c r="C833" s="1033"/>
      <c r="D833" s="1033"/>
      <c r="E833" s="1033"/>
      <c r="F833" s="1033"/>
      <c r="G833" s="1033"/>
      <c r="H833" s="1033"/>
      <c r="I833" s="1033"/>
      <c r="J833" s="1033"/>
      <c r="K833" s="1033"/>
      <c r="L833" s="90"/>
      <c r="M833" s="51"/>
      <c r="N833" s="113">
        <f t="shared" si="93"/>
        <v>9120</v>
      </c>
      <c r="O833" s="581">
        <v>0</v>
      </c>
      <c r="P833" s="582">
        <v>0</v>
      </c>
      <c r="Q833" s="589">
        <v>0</v>
      </c>
      <c r="R833" s="576">
        <v>0</v>
      </c>
      <c r="S833" s="27">
        <f>+IF(ABS(+O833+Q833)&gt;=ABS(P833+R833),+O833-P833+Q833-R833,0)</f>
        <v>0</v>
      </c>
      <c r="T833" s="30">
        <v>0</v>
      </c>
      <c r="U833" s="51"/>
      <c r="V833" s="2120">
        <f>+IF(OR(ROUND(P833,2)+ROUND(R833,2)&gt;+ROUND(O833,2)+ROUND(Q833,2),+ABS(ROUND(P833,2)+ROUND(R833,2))&gt;+ABS(ROUND(O833,2)+ROUND(Q833,2))),+(ROUND(P833,2)+ROUND(R833,2))-(ROUND(O833,2)+ROUND(Q833,2)),0)</f>
        <v>0</v>
      </c>
      <c r="W833" s="2116"/>
      <c r="X833" s="43"/>
      <c r="Y833" s="43"/>
      <c r="Z833" s="43"/>
    </row>
    <row r="834" spans="1:26">
      <c r="A834" s="88">
        <v>9130</v>
      </c>
      <c r="B834" s="1033" t="s">
        <v>376</v>
      </c>
      <c r="C834" s="1033"/>
      <c r="D834" s="1033"/>
      <c r="E834" s="1033"/>
      <c r="F834" s="1033"/>
      <c r="G834" s="1033"/>
      <c r="H834" s="1033"/>
      <c r="I834" s="1033"/>
      <c r="J834" s="1033"/>
      <c r="K834" s="1033"/>
      <c r="L834" s="90"/>
      <c r="M834" s="51"/>
      <c r="N834" s="113">
        <f t="shared" si="93"/>
        <v>9130</v>
      </c>
      <c r="O834" s="581"/>
      <c r="P834" s="582">
        <v>0</v>
      </c>
      <c r="Q834" s="589"/>
      <c r="R834" s="576"/>
      <c r="S834" s="27">
        <f>+IF(ABS(+O834+Q834)&gt;=ABS(P834+R834),+O834-P834+Q834-R834,0)</f>
        <v>0</v>
      </c>
      <c r="T834" s="30">
        <v>0</v>
      </c>
      <c r="U834" s="51"/>
      <c r="V834" s="2120">
        <f>+IF(OR(ROUND(P834,2)+ROUND(R834,2)&gt;+ROUND(O834,2)+ROUND(Q834,2),+ABS(ROUND(P834,2)+ROUND(R834,2))&gt;+ABS(ROUND(O834,2)+ROUND(Q834,2))),+(ROUND(P834,2)+ROUND(R834,2))-(ROUND(O834,2)+ROUND(Q834,2)),0)</f>
        <v>0</v>
      </c>
      <c r="W834" s="2116"/>
      <c r="X834" s="43"/>
      <c r="Y834" s="43"/>
      <c r="Z834" s="43"/>
    </row>
    <row r="835" spans="1:26">
      <c r="A835" s="88">
        <v>9200</v>
      </c>
      <c r="B835" s="1033" t="s">
        <v>710</v>
      </c>
      <c r="C835" s="1033"/>
      <c r="D835" s="1033"/>
      <c r="E835" s="1033"/>
      <c r="F835" s="1033"/>
      <c r="G835" s="1033"/>
      <c r="H835" s="1033"/>
      <c r="I835" s="1033"/>
      <c r="J835" s="1033"/>
      <c r="K835" s="1033"/>
      <c r="L835" s="90"/>
      <c r="M835" s="51"/>
      <c r="N835" s="113">
        <f t="shared" si="93"/>
        <v>9200</v>
      </c>
      <c r="O835" s="575">
        <v>0</v>
      </c>
      <c r="P835" s="576">
        <v>0</v>
      </c>
      <c r="Q835" s="589">
        <v>0</v>
      </c>
      <c r="R835" s="121">
        <v>0</v>
      </c>
      <c r="S835" s="29">
        <v>0</v>
      </c>
      <c r="T835" s="28">
        <f>+IF(ABS(+O835+Q835)&lt;=ABS(P835+R835),-O835+P835-Q835+R835,0)</f>
        <v>0</v>
      </c>
      <c r="U835" s="51"/>
      <c r="V835" s="2119">
        <f>+IF(OR(+ROUND(O835,2)+ROUND(Q835,2)&gt;ROUND(P835,2)+ROUND(R835,2),+ABS(ROUND(O835,2)+ROUND(Q835,2))&gt;+ABS(ROUND(P835,2)+ROUND(R835,2))),+(ROUND(O835,2)+ROUND(Q835,2))-(ROUND(P835,2)+ROUND(R835,2)),0)</f>
        <v>0</v>
      </c>
      <c r="W835" s="2116"/>
      <c r="X835" s="43"/>
      <c r="Y835" s="43"/>
      <c r="Z835" s="43"/>
    </row>
    <row r="836" spans="1:26">
      <c r="A836" s="346">
        <v>9208</v>
      </c>
      <c r="B836" s="1042" t="s">
        <v>711</v>
      </c>
      <c r="C836" s="1033"/>
      <c r="D836" s="1033"/>
      <c r="E836" s="1033"/>
      <c r="F836" s="1033"/>
      <c r="G836" s="1033"/>
      <c r="H836" s="1033"/>
      <c r="I836" s="1033"/>
      <c r="J836" s="1033"/>
      <c r="K836" s="1033"/>
      <c r="L836" s="90"/>
      <c r="M836" s="51"/>
      <c r="N836" s="113">
        <f t="shared" si="93"/>
        <v>9208</v>
      </c>
      <c r="O836" s="575">
        <v>0</v>
      </c>
      <c r="P836" s="576"/>
      <c r="Q836" s="589"/>
      <c r="R836" s="121"/>
      <c r="S836" s="579">
        <v>0</v>
      </c>
      <c r="T836" s="580">
        <f>+IF(ABS(+O836+Q836)&lt;=ABS(P836+R836),-O836+P836-Q836+R836,0)</f>
        <v>0</v>
      </c>
      <c r="U836" s="51"/>
      <c r="V836" s="2119">
        <f>+IF(OR(+ROUND(O836,2)+ROUND(Q836,2)&gt;ROUND(P836,2)+ROUND(R836,2),+ABS(ROUND(O836,2)+ROUND(Q836,2))&gt;+ABS(ROUND(P836,2)+ROUND(R836,2))),+(ROUND(O836,2)+ROUND(Q836,2))-(ROUND(P836,2)+ROUND(R836,2)),0)</f>
        <v>0</v>
      </c>
      <c r="W836" s="2116"/>
      <c r="X836" s="43"/>
      <c r="Y836" s="43"/>
      <c r="Z836" s="43"/>
    </row>
    <row r="837" spans="1:26">
      <c r="A837" s="88">
        <v>9211</v>
      </c>
      <c r="B837" s="378" t="s">
        <v>712</v>
      </c>
      <c r="C837" s="1033"/>
      <c r="D837" s="1033"/>
      <c r="E837" s="1033"/>
      <c r="F837" s="1033"/>
      <c r="G837" s="1033"/>
      <c r="H837" s="1033"/>
      <c r="I837" s="1033"/>
      <c r="J837" s="1033"/>
      <c r="K837" s="1033"/>
      <c r="L837" s="90"/>
      <c r="M837" s="51"/>
      <c r="N837" s="113">
        <f t="shared" si="93"/>
        <v>9211</v>
      </c>
      <c r="O837" s="581"/>
      <c r="P837" s="582">
        <v>0</v>
      </c>
      <c r="Q837" s="589"/>
      <c r="R837" s="576"/>
      <c r="S837" s="583">
        <f>+IF(ABS(+O837+Q837)&gt;=ABS(P837+R837),+O837-P837+Q837-R837,0)</f>
        <v>0</v>
      </c>
      <c r="T837" s="584">
        <v>0</v>
      </c>
      <c r="U837" s="51"/>
      <c r="V837" s="2120">
        <f>+IF(OR(ROUND(P837,2)+ROUND(R837,2)&gt;+ROUND(O837,2)+ROUND(Q837,2),+ABS(ROUND(P837,2)+ROUND(R837,2))&gt;+ABS(ROUND(O837,2)+ROUND(Q837,2))),+(ROUND(P837,2)+ROUND(R837,2))-(ROUND(O837,2)+ROUND(Q837,2)),0)</f>
        <v>0</v>
      </c>
      <c r="W837" s="2116"/>
      <c r="X837" s="43"/>
      <c r="Y837" s="43"/>
      <c r="Z837" s="43"/>
    </row>
    <row r="838" spans="1:26">
      <c r="A838" s="88">
        <v>9212</v>
      </c>
      <c r="B838" s="378" t="s">
        <v>713</v>
      </c>
      <c r="C838" s="1033"/>
      <c r="D838" s="1033"/>
      <c r="E838" s="1033"/>
      <c r="F838" s="1033"/>
      <c r="G838" s="1033"/>
      <c r="H838" s="1033"/>
      <c r="I838" s="1033"/>
      <c r="J838" s="1033"/>
      <c r="K838" s="1033"/>
      <c r="L838" s="90"/>
      <c r="M838" s="51"/>
      <c r="N838" s="113">
        <f t="shared" si="93"/>
        <v>9212</v>
      </c>
      <c r="O838" s="581"/>
      <c r="P838" s="582">
        <v>0</v>
      </c>
      <c r="Q838" s="589"/>
      <c r="R838" s="576"/>
      <c r="S838" s="583">
        <f>+IF(ABS(+O838+Q838)&gt;=ABS(P838+R838),+O838-P838+Q838-R838,0)</f>
        <v>0</v>
      </c>
      <c r="T838" s="584">
        <v>0</v>
      </c>
      <c r="U838" s="51"/>
      <c r="V838" s="2120">
        <f>+IF(OR(ROUND(P838,2)+ROUND(R838,2)&gt;+ROUND(O838,2)+ROUND(Q838,2),+ABS(ROUND(P838,2)+ROUND(R838,2))&gt;+ABS(ROUND(O838,2)+ROUND(Q838,2))),+(ROUND(P838,2)+ROUND(R838,2))-(ROUND(O838,2)+ROUND(Q838,2)),0)</f>
        <v>0</v>
      </c>
      <c r="W838" s="2116"/>
      <c r="X838" s="43"/>
      <c r="Y838" s="43"/>
      <c r="Z838" s="43"/>
    </row>
    <row r="839" spans="1:26">
      <c r="A839" s="88">
        <v>9214</v>
      </c>
      <c r="B839" s="1033" t="s">
        <v>714</v>
      </c>
      <c r="C839" s="1033"/>
      <c r="D839" s="1033"/>
      <c r="E839" s="1033"/>
      <c r="F839" s="1033"/>
      <c r="G839" s="1033"/>
      <c r="H839" s="1033"/>
      <c r="I839" s="1033"/>
      <c r="J839" s="1033"/>
      <c r="K839" s="1033"/>
      <c r="L839" s="90"/>
      <c r="M839" s="51"/>
      <c r="N839" s="113">
        <f t="shared" si="93"/>
        <v>9214</v>
      </c>
      <c r="O839" s="581"/>
      <c r="P839" s="582">
        <v>0</v>
      </c>
      <c r="Q839" s="589"/>
      <c r="R839" s="576"/>
      <c r="S839" s="583">
        <f>+IF(ABS(+O839+Q839)&gt;=ABS(P839+R839),+O839-P839+Q839-R839,0)</f>
        <v>0</v>
      </c>
      <c r="T839" s="584">
        <v>0</v>
      </c>
      <c r="U839" s="51"/>
      <c r="V839" s="2120">
        <f>+IF(OR(ROUND(P839,2)+ROUND(R839,2)&gt;+ROUND(O839,2)+ROUND(Q839,2),+ABS(ROUND(P839,2)+ROUND(R839,2))&gt;+ABS(ROUND(O839,2)+ROUND(Q839,2))),+(ROUND(P839,2)+ROUND(R839,2))-(ROUND(O839,2)+ROUND(Q839,2)),0)</f>
        <v>0</v>
      </c>
      <c r="W839" s="2116"/>
      <c r="X839" s="43"/>
      <c r="Y839" s="43"/>
      <c r="Z839" s="43"/>
    </row>
    <row r="840" spans="1:26">
      <c r="A840" s="88">
        <v>9215</v>
      </c>
      <c r="B840" s="1033" t="s">
        <v>715</v>
      </c>
      <c r="C840" s="1033"/>
      <c r="D840" s="1033"/>
      <c r="E840" s="1033"/>
      <c r="F840" s="1033"/>
      <c r="G840" s="1033"/>
      <c r="H840" s="1033"/>
      <c r="I840" s="1033"/>
      <c r="J840" s="1033"/>
      <c r="K840" s="1033"/>
      <c r="L840" s="90"/>
      <c r="M840" s="51"/>
      <c r="N840" s="113">
        <f t="shared" si="93"/>
        <v>9215</v>
      </c>
      <c r="O840" s="581"/>
      <c r="P840" s="582">
        <v>0</v>
      </c>
      <c r="Q840" s="589"/>
      <c r="R840" s="576"/>
      <c r="S840" s="583">
        <f>+IF(ABS(+O840+Q840)&gt;=ABS(P840+R840),+O840-P840+Q840-R840,0)</f>
        <v>0</v>
      </c>
      <c r="T840" s="584">
        <v>0</v>
      </c>
      <c r="U840" s="51"/>
      <c r="V840" s="2120">
        <f>+IF(OR(ROUND(P840,2)+ROUND(R840,2)&gt;+ROUND(O840,2)+ROUND(Q840,2),+ABS(ROUND(P840,2)+ROUND(R840,2))&gt;+ABS(ROUND(O840,2)+ROUND(Q840,2))),+(ROUND(P840,2)+ROUND(R840,2))-(ROUND(O840,2)+ROUND(Q840,2)),0)</f>
        <v>0</v>
      </c>
      <c r="W840" s="2116"/>
      <c r="X840" s="43"/>
      <c r="Y840" s="43"/>
      <c r="Z840" s="43"/>
    </row>
    <row r="841" spans="1:26">
      <c r="A841" s="88">
        <v>9216</v>
      </c>
      <c r="B841" s="1033" t="s">
        <v>716</v>
      </c>
      <c r="C841" s="1033"/>
      <c r="D841" s="1033"/>
      <c r="E841" s="1033"/>
      <c r="F841" s="1033"/>
      <c r="G841" s="1033"/>
      <c r="H841" s="1033"/>
      <c r="I841" s="1033"/>
      <c r="J841" s="1033"/>
      <c r="K841" s="1033"/>
      <c r="L841" s="90"/>
      <c r="M841" s="51"/>
      <c r="N841" s="113">
        <f t="shared" si="93"/>
        <v>9216</v>
      </c>
      <c r="O841" s="581"/>
      <c r="P841" s="582">
        <v>0</v>
      </c>
      <c r="Q841" s="589"/>
      <c r="R841" s="576"/>
      <c r="S841" s="583">
        <f>+IF(ABS(+O841+Q841)&gt;=ABS(P841+R841),+O841-P841+Q841-R841,0)</f>
        <v>0</v>
      </c>
      <c r="T841" s="584">
        <v>0</v>
      </c>
      <c r="U841" s="51"/>
      <c r="V841" s="2120">
        <f>+IF(OR(ROUND(P841,2)+ROUND(R841,2)&gt;+ROUND(O841,2)+ROUND(Q841,2),+ABS(ROUND(P841,2)+ROUND(R841,2))&gt;+ABS(ROUND(O841,2)+ROUND(Q841,2))),+(ROUND(P841,2)+ROUND(R841,2))-(ROUND(O841,2)+ROUND(Q841,2)),0)</f>
        <v>0</v>
      </c>
      <c r="W841" s="2116"/>
      <c r="X841" s="43"/>
      <c r="Y841" s="43"/>
      <c r="Z841" s="43"/>
    </row>
    <row r="842" spans="1:26">
      <c r="A842" s="88">
        <v>9221</v>
      </c>
      <c r="B842" s="1033" t="s">
        <v>717</v>
      </c>
      <c r="C842" s="1033"/>
      <c r="D842" s="1033"/>
      <c r="E842" s="1033"/>
      <c r="F842" s="1033"/>
      <c r="G842" s="1033"/>
      <c r="H842" s="1033"/>
      <c r="I842" s="1033"/>
      <c r="J842" s="1033"/>
      <c r="K842" s="1033"/>
      <c r="L842" s="90"/>
      <c r="M842" s="51"/>
      <c r="N842" s="113">
        <f t="shared" si="93"/>
        <v>9221</v>
      </c>
      <c r="O842" s="575">
        <v>0</v>
      </c>
      <c r="P842" s="576"/>
      <c r="Q842" s="589"/>
      <c r="R842" s="121"/>
      <c r="S842" s="579">
        <v>0</v>
      </c>
      <c r="T842" s="580">
        <f>+IF(ABS(+O842+Q842)&lt;=ABS(P842+R842),-O842+P842-Q842+R842,0)</f>
        <v>0</v>
      </c>
      <c r="U842" s="51"/>
      <c r="V842" s="2119">
        <f>+IF(OR(+ROUND(O842,2)+ROUND(Q842,2)&gt;ROUND(P842,2)+ROUND(R842,2),+ABS(ROUND(O842,2)+ROUND(Q842,2))&gt;+ABS(ROUND(P842,2)+ROUND(R842,2))),+(ROUND(O842,2)+ROUND(Q842,2))-(ROUND(P842,2)+ROUND(R842,2)),0)</f>
        <v>0</v>
      </c>
      <c r="W842" s="2116"/>
      <c r="X842" s="43"/>
      <c r="Y842" s="43"/>
      <c r="Z842" s="43"/>
    </row>
    <row r="843" spans="1:26">
      <c r="A843" s="88">
        <v>9222</v>
      </c>
      <c r="B843" s="1033" t="s">
        <v>718</v>
      </c>
      <c r="C843" s="1033"/>
      <c r="D843" s="1033"/>
      <c r="E843" s="1033"/>
      <c r="F843" s="1033"/>
      <c r="G843" s="1033"/>
      <c r="H843" s="1033"/>
      <c r="I843" s="1033"/>
      <c r="J843" s="1033"/>
      <c r="K843" s="1033"/>
      <c r="L843" s="90"/>
      <c r="M843" s="51"/>
      <c r="N843" s="113">
        <f t="shared" si="93"/>
        <v>9222</v>
      </c>
      <c r="O843" s="575">
        <v>0</v>
      </c>
      <c r="P843" s="576"/>
      <c r="Q843" s="589"/>
      <c r="R843" s="121"/>
      <c r="S843" s="579">
        <v>0</v>
      </c>
      <c r="T843" s="580">
        <f>+IF(ABS(+O843+Q843)&lt;=ABS(P843+R843),-O843+P843-Q843+R843,0)</f>
        <v>0</v>
      </c>
      <c r="U843" s="51"/>
      <c r="V843" s="2119">
        <f>+IF(OR(+ROUND(O843,2)+ROUND(Q843,2)&gt;ROUND(P843,2)+ROUND(R843,2),+ABS(ROUND(O843,2)+ROUND(Q843,2))&gt;+ABS(ROUND(P843,2)+ROUND(R843,2))),+(ROUND(O843,2)+ROUND(Q843,2))-(ROUND(P843,2)+ROUND(R843,2)),0)</f>
        <v>0</v>
      </c>
      <c r="W843" s="2116"/>
      <c r="X843" s="43"/>
      <c r="Y843" s="43"/>
      <c r="Z843" s="43"/>
    </row>
    <row r="844" spans="1:26">
      <c r="A844" s="88">
        <v>9231</v>
      </c>
      <c r="B844" s="1033" t="s">
        <v>719</v>
      </c>
      <c r="C844" s="1033"/>
      <c r="D844" s="1033"/>
      <c r="E844" s="1033"/>
      <c r="F844" s="1033"/>
      <c r="G844" s="1033"/>
      <c r="H844" s="1033"/>
      <c r="I844" s="1033"/>
      <c r="J844" s="1033"/>
      <c r="K844" s="1033"/>
      <c r="L844" s="90"/>
      <c r="M844" s="51"/>
      <c r="N844" s="113">
        <f t="shared" si="93"/>
        <v>9231</v>
      </c>
      <c r="O844" s="575">
        <v>0</v>
      </c>
      <c r="P844" s="576"/>
      <c r="Q844" s="589"/>
      <c r="R844" s="121"/>
      <c r="S844" s="579">
        <v>0</v>
      </c>
      <c r="T844" s="580">
        <f>+IF(ABS(+O844+Q844)&lt;=ABS(P844+R844),-O844+P844-Q844+R844,0)</f>
        <v>0</v>
      </c>
      <c r="U844" s="51"/>
      <c r="V844" s="2119">
        <f>+IF(OR(+ROUND(O844,2)+ROUND(Q844,2)&gt;ROUND(P844,2)+ROUND(R844,2),+ABS(ROUND(O844,2)+ROUND(Q844,2))&gt;+ABS(ROUND(P844,2)+ROUND(R844,2))),+(ROUND(O844,2)+ROUND(Q844,2))-(ROUND(P844,2)+ROUND(R844,2)),0)</f>
        <v>0</v>
      </c>
      <c r="W844" s="2116"/>
      <c r="X844" s="43"/>
      <c r="Y844" s="43"/>
      <c r="Z844" s="43"/>
    </row>
    <row r="845" spans="1:26">
      <c r="A845" s="88">
        <v>9233</v>
      </c>
      <c r="B845" s="1033" t="s">
        <v>720</v>
      </c>
      <c r="C845" s="1033"/>
      <c r="D845" s="1033"/>
      <c r="E845" s="1033"/>
      <c r="F845" s="1033"/>
      <c r="G845" s="1033"/>
      <c r="H845" s="1033"/>
      <c r="I845" s="1033"/>
      <c r="J845" s="1033"/>
      <c r="K845" s="1033"/>
      <c r="L845" s="90"/>
      <c r="M845" s="51"/>
      <c r="N845" s="113">
        <f t="shared" si="93"/>
        <v>9233</v>
      </c>
      <c r="O845" s="575">
        <v>0</v>
      </c>
      <c r="P845" s="576"/>
      <c r="Q845" s="589"/>
      <c r="R845" s="121"/>
      <c r="S845" s="579">
        <v>0</v>
      </c>
      <c r="T845" s="580">
        <f>+IF(ABS(+O845+Q845)&lt;=ABS(P845+R845),-O845+P845-Q845+R845,0)</f>
        <v>0</v>
      </c>
      <c r="U845" s="51"/>
      <c r="V845" s="2119">
        <f>+IF(OR(+ROUND(O845,2)+ROUND(Q845,2)&gt;ROUND(P845,2)+ROUND(R845,2),+ABS(ROUND(O845,2)+ROUND(Q845,2))&gt;+ABS(ROUND(P845,2)+ROUND(R845,2))),+(ROUND(O845,2)+ROUND(Q845,2))-(ROUND(P845,2)+ROUND(R845,2)),0)</f>
        <v>0</v>
      </c>
      <c r="W845" s="2116"/>
      <c r="X845" s="43"/>
      <c r="Y845" s="43"/>
      <c r="Z845" s="43"/>
    </row>
    <row r="846" spans="1:26">
      <c r="A846" s="88">
        <v>9289</v>
      </c>
      <c r="B846" s="1033" t="s">
        <v>381</v>
      </c>
      <c r="C846" s="1033"/>
      <c r="D846" s="1033"/>
      <c r="E846" s="1033"/>
      <c r="F846" s="1033"/>
      <c r="G846" s="1033"/>
      <c r="H846" s="1033"/>
      <c r="I846" s="1033"/>
      <c r="J846" s="1033"/>
      <c r="K846" s="1033"/>
      <c r="L846" s="90"/>
      <c r="M846" s="51"/>
      <c r="N846" s="113">
        <f t="shared" si="93"/>
        <v>9289</v>
      </c>
      <c r="O846" s="581"/>
      <c r="P846" s="582">
        <v>0</v>
      </c>
      <c r="Q846" s="589"/>
      <c r="R846" s="576"/>
      <c r="S846" s="583">
        <f>+IF(ABS(+O846+Q846)&gt;=ABS(P846+R846),+O846-P846+Q846-R846,0)</f>
        <v>0</v>
      </c>
      <c r="T846" s="584">
        <v>0</v>
      </c>
      <c r="U846" s="51"/>
      <c r="V846" s="2120">
        <f>+IF(OR(ROUND(P846,2)+ROUND(R846,2)&gt;+ROUND(O846,2)+ROUND(Q846,2),+ABS(ROUND(P846,2)+ROUND(R846,2))&gt;+ABS(ROUND(O846,2)+ROUND(Q846,2))),+(ROUND(P846,2)+ROUND(R846,2))-(ROUND(O846,2)+ROUND(Q846,2)),0)</f>
        <v>0</v>
      </c>
      <c r="W846" s="2116"/>
      <c r="X846" s="43"/>
      <c r="Y846" s="43"/>
      <c r="Z846" s="43"/>
    </row>
    <row r="847" spans="1:26">
      <c r="A847" s="88">
        <v>9295</v>
      </c>
      <c r="B847" s="1033" t="s">
        <v>721</v>
      </c>
      <c r="C847" s="1039"/>
      <c r="D847" s="1039"/>
      <c r="E847" s="1039"/>
      <c r="F847" s="1039"/>
      <c r="G847" s="1039"/>
      <c r="H847" s="1039"/>
      <c r="I847" s="1039"/>
      <c r="J847" s="1039"/>
      <c r="K847" s="1039"/>
      <c r="L847" s="574"/>
      <c r="M847" s="51"/>
      <c r="N847" s="113">
        <f t="shared" si="93"/>
        <v>9295</v>
      </c>
      <c r="O847" s="575">
        <v>0</v>
      </c>
      <c r="P847" s="582">
        <v>0</v>
      </c>
      <c r="Q847" s="579">
        <v>0</v>
      </c>
      <c r="R847" s="582">
        <v>0</v>
      </c>
      <c r="S847" s="579">
        <v>0</v>
      </c>
      <c r="T847" s="584">
        <v>0</v>
      </c>
      <c r="U847" s="51"/>
      <c r="V847" s="2125">
        <f>+IF(OR(O847&lt;&gt;0,P847&lt;&gt;0,Q847&lt;&gt;0,R847&lt;&gt;0,S847&lt;&gt;0,T847&lt;&gt;0),+IF(ABS(O847+Q847)-ABS(P847+R847)&lt;&gt;0,ABS(O847+Q847)-ABS(P847+R847),1),0)</f>
        <v>0</v>
      </c>
      <c r="W847" s="2116"/>
      <c r="X847" s="43"/>
      <c r="Y847" s="43"/>
      <c r="Z847" s="43"/>
    </row>
    <row r="848" spans="1:26">
      <c r="A848" s="88">
        <v>9299</v>
      </c>
      <c r="B848" s="1033" t="s">
        <v>382</v>
      </c>
      <c r="C848" s="1033"/>
      <c r="D848" s="1033"/>
      <c r="E848" s="1033"/>
      <c r="F848" s="1033"/>
      <c r="G848" s="1033"/>
      <c r="H848" s="1033"/>
      <c r="I848" s="1033"/>
      <c r="J848" s="1033"/>
      <c r="K848" s="1033"/>
      <c r="L848" s="90"/>
      <c r="M848" s="51"/>
      <c r="N848" s="113">
        <f t="shared" si="93"/>
        <v>9299</v>
      </c>
      <c r="O848" s="575">
        <v>0</v>
      </c>
      <c r="P848" s="576"/>
      <c r="Q848" s="589"/>
      <c r="R848" s="121"/>
      <c r="S848" s="579">
        <v>0</v>
      </c>
      <c r="T848" s="580">
        <f t="shared" ref="T848:T857" si="94">+IF(ABS(+O848+Q848)&lt;=ABS(P848+R848),-O848+P848-Q848+R848,0)</f>
        <v>0</v>
      </c>
      <c r="U848" s="51"/>
      <c r="V848" s="2119">
        <f>+IF(OR(+ROUND(O848,2)+ROUND(Q848,2)&gt;ROUND(P848,2)+ROUND(R848,2),+ABS(ROUND(O848,2)+ROUND(Q848,2))&gt;+ABS(ROUND(P848,2)+ROUND(R848,2))),+(ROUND(O848,2)+ROUND(Q848,2))-(ROUND(P848,2)+ROUND(R848,2)),0)</f>
        <v>0</v>
      </c>
      <c r="W848" s="2116"/>
      <c r="X848" s="43"/>
      <c r="Y848" s="43"/>
      <c r="Z848" s="43"/>
    </row>
    <row r="849" spans="1:26" ht="15.75" customHeight="1">
      <c r="A849" s="88">
        <v>9800</v>
      </c>
      <c r="B849" s="1033" t="s">
        <v>722</v>
      </c>
      <c r="C849" s="1038"/>
      <c r="D849" s="1038"/>
      <c r="E849" s="1038"/>
      <c r="F849" s="1038"/>
      <c r="G849" s="1038"/>
      <c r="H849" s="1038"/>
      <c r="I849" s="1038"/>
      <c r="J849" s="1038"/>
      <c r="K849" s="1038"/>
      <c r="L849" s="590"/>
      <c r="M849" s="51"/>
      <c r="N849" s="113">
        <f t="shared" si="93"/>
        <v>9800</v>
      </c>
      <c r="O849" s="575">
        <v>0</v>
      </c>
      <c r="P849" s="582">
        <v>0</v>
      </c>
      <c r="Q849" s="589">
        <v>0</v>
      </c>
      <c r="R849" s="576">
        <v>0</v>
      </c>
      <c r="S849" s="583">
        <f t="shared" ref="S849:S867" si="95">+IF(ABS(+O849+Q849)&gt;=ABS(P849+R849),+O849-P849+Q849-R849,0)</f>
        <v>0</v>
      </c>
      <c r="T849" s="580">
        <f t="shared" si="94"/>
        <v>0</v>
      </c>
      <c r="U849" s="51"/>
      <c r="V849" s="2119"/>
      <c r="W849" s="2116"/>
      <c r="X849" s="43"/>
      <c r="Y849" s="43"/>
      <c r="Z849" s="43"/>
    </row>
    <row r="850" spans="1:26" ht="15.75" customHeight="1">
      <c r="A850" s="88">
        <v>9801</v>
      </c>
      <c r="B850" s="1033" t="s">
        <v>723</v>
      </c>
      <c r="C850" s="1038"/>
      <c r="D850" s="1038"/>
      <c r="E850" s="1038"/>
      <c r="F850" s="1038"/>
      <c r="G850" s="1038"/>
      <c r="H850" s="1038"/>
      <c r="I850" s="1038"/>
      <c r="J850" s="1038"/>
      <c r="K850" s="1038"/>
      <c r="L850" s="590"/>
      <c r="M850" s="51"/>
      <c r="N850" s="113">
        <f t="shared" si="93"/>
        <v>9801</v>
      </c>
      <c r="O850" s="575">
        <v>0</v>
      </c>
      <c r="P850" s="582">
        <v>0</v>
      </c>
      <c r="Q850" s="589">
        <v>0</v>
      </c>
      <c r="R850" s="576">
        <v>0</v>
      </c>
      <c r="S850" s="583">
        <f t="shared" si="95"/>
        <v>0</v>
      </c>
      <c r="T850" s="580">
        <f t="shared" si="94"/>
        <v>0</v>
      </c>
      <c r="U850" s="51"/>
      <c r="V850" s="2119"/>
      <c r="W850" s="2116"/>
      <c r="X850" s="43"/>
      <c r="Y850" s="43"/>
      <c r="Z850" s="43"/>
    </row>
    <row r="851" spans="1:26" ht="15.75" customHeight="1">
      <c r="A851" s="88">
        <v>9803</v>
      </c>
      <c r="B851" s="1033" t="s">
        <v>724</v>
      </c>
      <c r="C851" s="1038"/>
      <c r="D851" s="1038"/>
      <c r="E851" s="1038"/>
      <c r="F851" s="1038"/>
      <c r="G851" s="1038"/>
      <c r="H851" s="1038"/>
      <c r="I851" s="1038"/>
      <c r="J851" s="1038"/>
      <c r="K851" s="1038"/>
      <c r="L851" s="590"/>
      <c r="M851" s="51"/>
      <c r="N851" s="113">
        <f t="shared" si="93"/>
        <v>9803</v>
      </c>
      <c r="O851" s="575">
        <v>0</v>
      </c>
      <c r="P851" s="582">
        <v>0</v>
      </c>
      <c r="Q851" s="589">
        <v>0</v>
      </c>
      <c r="R851" s="576">
        <v>0</v>
      </c>
      <c r="S851" s="583">
        <f t="shared" si="95"/>
        <v>0</v>
      </c>
      <c r="T851" s="580">
        <f t="shared" si="94"/>
        <v>0</v>
      </c>
      <c r="U851" s="51"/>
      <c r="V851" s="2119"/>
      <c r="W851" s="2116"/>
      <c r="X851" s="43"/>
      <c r="Y851" s="43"/>
      <c r="Z851" s="43"/>
    </row>
    <row r="852" spans="1:26" ht="15.75" customHeight="1">
      <c r="A852" s="88">
        <v>9804</v>
      </c>
      <c r="B852" s="1033" t="s">
        <v>87</v>
      </c>
      <c r="C852" s="1038"/>
      <c r="D852" s="1038"/>
      <c r="E852" s="1038"/>
      <c r="F852" s="1038"/>
      <c r="G852" s="1038"/>
      <c r="H852" s="1038"/>
      <c r="I852" s="1038"/>
      <c r="J852" s="1038"/>
      <c r="K852" s="1038"/>
      <c r="L852" s="590"/>
      <c r="M852" s="51"/>
      <c r="N852" s="113">
        <f t="shared" si="93"/>
        <v>9804</v>
      </c>
      <c r="O852" s="575">
        <v>0</v>
      </c>
      <c r="P852" s="582">
        <v>0</v>
      </c>
      <c r="Q852" s="589"/>
      <c r="R852" s="576"/>
      <c r="S852" s="583">
        <f t="shared" si="95"/>
        <v>0</v>
      </c>
      <c r="T852" s="580">
        <f t="shared" si="94"/>
        <v>0</v>
      </c>
      <c r="U852" s="51"/>
      <c r="V852" s="2119"/>
      <c r="W852" s="2116"/>
      <c r="X852" s="43"/>
      <c r="Y852" s="43"/>
      <c r="Z852" s="43"/>
    </row>
    <row r="853" spans="1:26" ht="15.75" customHeight="1">
      <c r="A853" s="88">
        <v>9805</v>
      </c>
      <c r="B853" s="1033" t="s">
        <v>88</v>
      </c>
      <c r="C853" s="1038"/>
      <c r="D853" s="1038"/>
      <c r="E853" s="1038"/>
      <c r="F853" s="1038"/>
      <c r="G853" s="1038"/>
      <c r="H853" s="1038"/>
      <c r="I853" s="1038"/>
      <c r="J853" s="1038"/>
      <c r="K853" s="1038"/>
      <c r="L853" s="590"/>
      <c r="M853" s="51"/>
      <c r="N853" s="113">
        <f t="shared" si="93"/>
        <v>9805</v>
      </c>
      <c r="O853" s="575">
        <v>0</v>
      </c>
      <c r="P853" s="582">
        <v>0</v>
      </c>
      <c r="Q853" s="589"/>
      <c r="R853" s="576"/>
      <c r="S853" s="583">
        <f t="shared" si="95"/>
        <v>0</v>
      </c>
      <c r="T853" s="580">
        <f t="shared" si="94"/>
        <v>0</v>
      </c>
      <c r="U853" s="51"/>
      <c r="V853" s="2119"/>
      <c r="W853" s="2116"/>
      <c r="X853" s="43"/>
      <c r="Y853" s="43"/>
      <c r="Z853" s="43"/>
    </row>
    <row r="854" spans="1:26" ht="15.75" customHeight="1">
      <c r="A854" s="88">
        <v>9806</v>
      </c>
      <c r="B854" s="1033" t="s">
        <v>89</v>
      </c>
      <c r="C854" s="1038"/>
      <c r="D854" s="1038"/>
      <c r="E854" s="1038"/>
      <c r="F854" s="1038"/>
      <c r="G854" s="1038"/>
      <c r="H854" s="1038"/>
      <c r="I854" s="1038"/>
      <c r="J854" s="1038"/>
      <c r="K854" s="1038"/>
      <c r="L854" s="590"/>
      <c r="M854" s="51"/>
      <c r="N854" s="113">
        <f t="shared" si="93"/>
        <v>9806</v>
      </c>
      <c r="O854" s="575">
        <v>0</v>
      </c>
      <c r="P854" s="582">
        <v>0</v>
      </c>
      <c r="Q854" s="589"/>
      <c r="R854" s="576"/>
      <c r="S854" s="583">
        <f t="shared" si="95"/>
        <v>0</v>
      </c>
      <c r="T854" s="580">
        <f t="shared" si="94"/>
        <v>0</v>
      </c>
      <c r="U854" s="51"/>
      <c r="V854" s="2119"/>
      <c r="W854" s="2116"/>
      <c r="X854" s="43"/>
      <c r="Y854" s="43"/>
      <c r="Z854" s="43"/>
    </row>
    <row r="855" spans="1:26" ht="15.75" customHeight="1">
      <c r="A855" s="88">
        <v>9808</v>
      </c>
      <c r="B855" s="1033" t="s">
        <v>90</v>
      </c>
      <c r="C855" s="1038"/>
      <c r="D855" s="1038"/>
      <c r="E855" s="1038"/>
      <c r="F855" s="1038"/>
      <c r="G855" s="1038"/>
      <c r="H855" s="1038"/>
      <c r="I855" s="1038"/>
      <c r="J855" s="1038"/>
      <c r="K855" s="1038"/>
      <c r="L855" s="590"/>
      <c r="M855" s="51"/>
      <c r="N855" s="113">
        <f t="shared" si="93"/>
        <v>9808</v>
      </c>
      <c r="O855" s="575">
        <v>0</v>
      </c>
      <c r="P855" s="582">
        <v>0</v>
      </c>
      <c r="Q855" s="589">
        <v>0</v>
      </c>
      <c r="R855" s="576">
        <v>0</v>
      </c>
      <c r="S855" s="583">
        <f t="shared" si="95"/>
        <v>0</v>
      </c>
      <c r="T855" s="580">
        <f t="shared" si="94"/>
        <v>0</v>
      </c>
      <c r="U855" s="51"/>
      <c r="V855" s="2119"/>
      <c r="W855" s="2116"/>
      <c r="X855" s="43"/>
      <c r="Y855" s="43"/>
      <c r="Z855" s="43"/>
    </row>
    <row r="856" spans="1:26" ht="15.75" customHeight="1">
      <c r="A856" s="88">
        <v>9809</v>
      </c>
      <c r="B856" s="1033" t="s">
        <v>91</v>
      </c>
      <c r="C856" s="1038"/>
      <c r="D856" s="1038"/>
      <c r="E856" s="1038"/>
      <c r="F856" s="1038"/>
      <c r="G856" s="1038"/>
      <c r="H856" s="1038"/>
      <c r="I856" s="1038"/>
      <c r="J856" s="1038"/>
      <c r="K856" s="1038"/>
      <c r="L856" s="590"/>
      <c r="M856" s="51"/>
      <c r="N856" s="113">
        <f t="shared" si="93"/>
        <v>9809</v>
      </c>
      <c r="O856" s="575">
        <v>0</v>
      </c>
      <c r="P856" s="582">
        <v>0</v>
      </c>
      <c r="Q856" s="589"/>
      <c r="R856" s="576"/>
      <c r="S856" s="583">
        <f t="shared" si="95"/>
        <v>0</v>
      </c>
      <c r="T856" s="580">
        <f t="shared" si="94"/>
        <v>0</v>
      </c>
      <c r="U856" s="51"/>
      <c r="V856" s="2119"/>
      <c r="W856" s="2116"/>
      <c r="X856" s="43"/>
      <c r="Y856" s="43"/>
      <c r="Z856" s="43"/>
    </row>
    <row r="857" spans="1:26" ht="15.75" customHeight="1">
      <c r="A857" s="88">
        <v>9860</v>
      </c>
      <c r="B857" s="1033" t="s">
        <v>92</v>
      </c>
      <c r="C857" s="1038"/>
      <c r="D857" s="1038"/>
      <c r="E857" s="1038"/>
      <c r="F857" s="1038"/>
      <c r="G857" s="1038"/>
      <c r="H857" s="1038"/>
      <c r="I857" s="1038"/>
      <c r="J857" s="1038"/>
      <c r="K857" s="1038"/>
      <c r="L857" s="590"/>
      <c r="M857" s="51"/>
      <c r="N857" s="113">
        <f t="shared" si="93"/>
        <v>9860</v>
      </c>
      <c r="O857" s="575">
        <v>0</v>
      </c>
      <c r="P857" s="582">
        <v>0</v>
      </c>
      <c r="Q857" s="589">
        <v>0</v>
      </c>
      <c r="R857" s="576">
        <v>0</v>
      </c>
      <c r="S857" s="583">
        <f t="shared" si="95"/>
        <v>0</v>
      </c>
      <c r="T857" s="580">
        <f t="shared" si="94"/>
        <v>0</v>
      </c>
      <c r="U857" s="51"/>
      <c r="V857" s="2119"/>
      <c r="W857" s="2116"/>
      <c r="X857" s="43"/>
      <c r="Y857" s="43"/>
      <c r="Z857" s="43"/>
    </row>
    <row r="858" spans="1:26">
      <c r="A858" s="88">
        <v>9909</v>
      </c>
      <c r="B858" s="1033" t="s">
        <v>93</v>
      </c>
      <c r="C858" s="1033"/>
      <c r="D858" s="1033"/>
      <c r="E858" s="1033"/>
      <c r="F858" s="1033"/>
      <c r="G858" s="1033"/>
      <c r="H858" s="1033"/>
      <c r="I858" s="1033"/>
      <c r="J858" s="1033"/>
      <c r="K858" s="1033"/>
      <c r="L858" s="90"/>
      <c r="M858" s="51"/>
      <c r="N858" s="113">
        <f t="shared" ref="N858:N887" si="96">+A858</f>
        <v>9909</v>
      </c>
      <c r="O858" s="581">
        <v>0</v>
      </c>
      <c r="P858" s="582">
        <v>0</v>
      </c>
      <c r="Q858" s="589">
        <v>0</v>
      </c>
      <c r="R858" s="576">
        <v>0</v>
      </c>
      <c r="S858" s="583">
        <f t="shared" si="95"/>
        <v>0</v>
      </c>
      <c r="T858" s="584">
        <v>0</v>
      </c>
      <c r="U858" s="51"/>
      <c r="V858" s="2120">
        <f t="shared" ref="V858:V867" si="97">+IF(OR(ROUND(P858,2)+ROUND(R858,2)&gt;+ROUND(O858,2)+ROUND(Q858,2),+ABS(ROUND(P858,2)+ROUND(R858,2))&gt;+ABS(ROUND(O858,2)+ROUND(Q858,2))),+(ROUND(P858,2)+ROUND(R858,2))-(ROUND(O858,2)+ROUND(Q858,2)),0)</f>
        <v>0</v>
      </c>
      <c r="W858" s="2116"/>
      <c r="X858" s="43"/>
      <c r="Y858" s="43"/>
      <c r="Z858" s="43"/>
    </row>
    <row r="859" spans="1:26">
      <c r="A859" s="88">
        <v>9911</v>
      </c>
      <c r="B859" s="1033" t="s">
        <v>94</v>
      </c>
      <c r="C859" s="1033"/>
      <c r="D859" s="1033"/>
      <c r="E859" s="1033"/>
      <c r="F859" s="1033"/>
      <c r="G859" s="1033"/>
      <c r="H859" s="1033"/>
      <c r="I859" s="1033"/>
      <c r="J859" s="1033"/>
      <c r="K859" s="1033"/>
      <c r="L859" s="90"/>
      <c r="M859" s="51"/>
      <c r="N859" s="113">
        <f t="shared" si="96"/>
        <v>9911</v>
      </c>
      <c r="O859" s="581"/>
      <c r="P859" s="582">
        <v>0</v>
      </c>
      <c r="Q859" s="589"/>
      <c r="R859" s="576"/>
      <c r="S859" s="583">
        <f t="shared" si="95"/>
        <v>0</v>
      </c>
      <c r="T859" s="584">
        <v>0</v>
      </c>
      <c r="U859" s="51"/>
      <c r="V859" s="2120">
        <f t="shared" si="97"/>
        <v>0</v>
      </c>
      <c r="W859" s="2116"/>
      <c r="X859" s="43"/>
      <c r="Y859" s="43"/>
      <c r="Z859" s="43"/>
    </row>
    <row r="860" spans="1:26">
      <c r="A860" s="88">
        <v>9912</v>
      </c>
      <c r="B860" s="1033" t="s">
        <v>95</v>
      </c>
      <c r="C860" s="1033"/>
      <c r="D860" s="1033"/>
      <c r="E860" s="1033"/>
      <c r="F860" s="1033"/>
      <c r="G860" s="1033"/>
      <c r="H860" s="1033"/>
      <c r="I860" s="1033"/>
      <c r="J860" s="1033"/>
      <c r="K860" s="1033"/>
      <c r="L860" s="90"/>
      <c r="M860" s="51"/>
      <c r="N860" s="113">
        <f t="shared" si="96"/>
        <v>9912</v>
      </c>
      <c r="O860" s="581"/>
      <c r="P860" s="582">
        <v>0</v>
      </c>
      <c r="Q860" s="589"/>
      <c r="R860" s="576"/>
      <c r="S860" s="583">
        <f t="shared" si="95"/>
        <v>0</v>
      </c>
      <c r="T860" s="584">
        <v>0</v>
      </c>
      <c r="U860" s="51"/>
      <c r="V860" s="2120">
        <f t="shared" si="97"/>
        <v>0</v>
      </c>
      <c r="W860" s="2116"/>
      <c r="X860" s="43"/>
      <c r="Y860" s="43"/>
      <c r="Z860" s="43"/>
    </row>
    <row r="861" spans="1:26">
      <c r="A861" s="88">
        <v>9913</v>
      </c>
      <c r="B861" s="1033" t="s">
        <v>96</v>
      </c>
      <c r="C861" s="1033"/>
      <c r="D861" s="1033"/>
      <c r="E861" s="1033"/>
      <c r="F861" s="1033"/>
      <c r="G861" s="1033"/>
      <c r="H861" s="1033"/>
      <c r="I861" s="1033"/>
      <c r="J861" s="1033"/>
      <c r="K861" s="1033"/>
      <c r="L861" s="90"/>
      <c r="M861" s="51"/>
      <c r="N861" s="113">
        <f t="shared" si="96"/>
        <v>9913</v>
      </c>
      <c r="O861" s="581">
        <v>0</v>
      </c>
      <c r="P861" s="582">
        <v>0</v>
      </c>
      <c r="Q861" s="589">
        <v>0</v>
      </c>
      <c r="R861" s="576">
        <v>0</v>
      </c>
      <c r="S861" s="583">
        <f t="shared" si="95"/>
        <v>0</v>
      </c>
      <c r="T861" s="584">
        <v>0</v>
      </c>
      <c r="U861" s="51"/>
      <c r="V861" s="2120">
        <f t="shared" si="97"/>
        <v>0</v>
      </c>
      <c r="W861" s="2116"/>
      <c r="X861" s="43"/>
      <c r="Y861" s="43"/>
      <c r="Z861" s="43"/>
    </row>
    <row r="862" spans="1:26">
      <c r="A862" s="88">
        <v>9914</v>
      </c>
      <c r="B862" s="1033" t="s">
        <v>97</v>
      </c>
      <c r="C862" s="1033"/>
      <c r="D862" s="1033"/>
      <c r="E862" s="1033"/>
      <c r="F862" s="1033"/>
      <c r="G862" s="1033"/>
      <c r="H862" s="1033"/>
      <c r="I862" s="1033"/>
      <c r="J862" s="1033"/>
      <c r="K862" s="1033"/>
      <c r="L862" s="90"/>
      <c r="M862" s="51"/>
      <c r="N862" s="113">
        <f t="shared" si="96"/>
        <v>9914</v>
      </c>
      <c r="O862" s="581"/>
      <c r="P862" s="582">
        <v>0</v>
      </c>
      <c r="Q862" s="589"/>
      <c r="R862" s="576"/>
      <c r="S862" s="583">
        <f t="shared" si="95"/>
        <v>0</v>
      </c>
      <c r="T862" s="584">
        <v>0</v>
      </c>
      <c r="U862" s="51"/>
      <c r="V862" s="2120">
        <f t="shared" si="97"/>
        <v>0</v>
      </c>
      <c r="W862" s="2116"/>
      <c r="X862" s="43"/>
      <c r="Y862" s="43"/>
      <c r="Z862" s="43"/>
    </row>
    <row r="863" spans="1:26">
      <c r="A863" s="88">
        <v>9915</v>
      </c>
      <c r="B863" s="1033" t="s">
        <v>98</v>
      </c>
      <c r="C863" s="1033"/>
      <c r="D863" s="1033"/>
      <c r="E863" s="1033"/>
      <c r="F863" s="1033"/>
      <c r="G863" s="1033"/>
      <c r="H863" s="1033"/>
      <c r="I863" s="1033"/>
      <c r="J863" s="1033"/>
      <c r="K863" s="1033"/>
      <c r="L863" s="90"/>
      <c r="M863" s="51"/>
      <c r="N863" s="113">
        <f t="shared" si="96"/>
        <v>9915</v>
      </c>
      <c r="O863" s="581"/>
      <c r="P863" s="582">
        <v>0</v>
      </c>
      <c r="Q863" s="589"/>
      <c r="R863" s="576"/>
      <c r="S863" s="583">
        <f t="shared" si="95"/>
        <v>0</v>
      </c>
      <c r="T863" s="584">
        <v>0</v>
      </c>
      <c r="U863" s="51"/>
      <c r="V863" s="2120">
        <f t="shared" si="97"/>
        <v>0</v>
      </c>
      <c r="W863" s="2116"/>
      <c r="X863" s="43"/>
      <c r="Y863" s="43"/>
      <c r="Z863" s="43"/>
    </row>
    <row r="864" spans="1:26">
      <c r="A864" s="88">
        <v>9916</v>
      </c>
      <c r="B864" s="1033" t="s">
        <v>99</v>
      </c>
      <c r="C864" s="1033"/>
      <c r="D864" s="1033"/>
      <c r="E864" s="1033"/>
      <c r="F864" s="1033"/>
      <c r="G864" s="1033"/>
      <c r="H864" s="1033"/>
      <c r="I864" s="1033"/>
      <c r="J864" s="1033"/>
      <c r="K864" s="1033"/>
      <c r="L864" s="574"/>
      <c r="M864" s="51"/>
      <c r="N864" s="113">
        <f t="shared" si="96"/>
        <v>9916</v>
      </c>
      <c r="O864" s="581"/>
      <c r="P864" s="582">
        <v>0</v>
      </c>
      <c r="Q864" s="589"/>
      <c r="R864" s="576"/>
      <c r="S864" s="583">
        <f t="shared" si="95"/>
        <v>0</v>
      </c>
      <c r="T864" s="584">
        <v>0</v>
      </c>
      <c r="U864" s="51"/>
      <c r="V864" s="2120">
        <f t="shared" si="97"/>
        <v>0</v>
      </c>
      <c r="W864" s="2116"/>
      <c r="X864" s="43"/>
      <c r="Y864" s="43"/>
      <c r="Z864" s="43"/>
    </row>
    <row r="865" spans="1:26">
      <c r="A865" s="88">
        <v>9917</v>
      </c>
      <c r="B865" s="1033" t="s">
        <v>100</v>
      </c>
      <c r="C865" s="1033"/>
      <c r="D865" s="1033"/>
      <c r="E865" s="1033"/>
      <c r="F865" s="1033"/>
      <c r="G865" s="1033"/>
      <c r="H865" s="1033"/>
      <c r="I865" s="1033"/>
      <c r="J865" s="1033"/>
      <c r="K865" s="1033"/>
      <c r="L865" s="574"/>
      <c r="M865" s="51"/>
      <c r="N865" s="113">
        <f t="shared" si="96"/>
        <v>9917</v>
      </c>
      <c r="O865" s="581"/>
      <c r="P865" s="582">
        <v>0</v>
      </c>
      <c r="Q865" s="589"/>
      <c r="R865" s="576"/>
      <c r="S865" s="583">
        <f t="shared" si="95"/>
        <v>0</v>
      </c>
      <c r="T865" s="584">
        <v>0</v>
      </c>
      <c r="U865" s="51"/>
      <c r="V865" s="2120">
        <f t="shared" si="97"/>
        <v>0</v>
      </c>
      <c r="W865" s="2116"/>
      <c r="X865" s="43"/>
      <c r="Y865" s="43"/>
      <c r="Z865" s="43"/>
    </row>
    <row r="866" spans="1:26">
      <c r="A866" s="88">
        <v>9918</v>
      </c>
      <c r="B866" s="1032" t="s">
        <v>101</v>
      </c>
      <c r="C866" s="1033"/>
      <c r="D866" s="1033"/>
      <c r="E866" s="1033"/>
      <c r="F866" s="1033"/>
      <c r="G866" s="1033"/>
      <c r="H866" s="1033"/>
      <c r="I866" s="1033"/>
      <c r="J866" s="1033"/>
      <c r="K866" s="1033"/>
      <c r="L866" s="90"/>
      <c r="M866" s="51"/>
      <c r="N866" s="113">
        <f t="shared" si="96"/>
        <v>9918</v>
      </c>
      <c r="O866" s="581"/>
      <c r="P866" s="582">
        <v>0</v>
      </c>
      <c r="Q866" s="589"/>
      <c r="R866" s="576"/>
      <c r="S866" s="583">
        <f t="shared" si="95"/>
        <v>0</v>
      </c>
      <c r="T866" s="584">
        <v>0</v>
      </c>
      <c r="U866" s="51"/>
      <c r="V866" s="2120">
        <f t="shared" si="97"/>
        <v>0</v>
      </c>
      <c r="W866" s="2116"/>
      <c r="X866" s="43"/>
      <c r="Y866" s="43"/>
      <c r="Z866" s="43"/>
    </row>
    <row r="867" spans="1:26">
      <c r="A867" s="88">
        <v>9919</v>
      </c>
      <c r="B867" s="1032" t="s">
        <v>102</v>
      </c>
      <c r="C867" s="1033"/>
      <c r="D867" s="1033"/>
      <c r="E867" s="1033"/>
      <c r="F867" s="1033"/>
      <c r="G867" s="1033"/>
      <c r="H867" s="1033"/>
      <c r="I867" s="1033"/>
      <c r="J867" s="1033"/>
      <c r="K867" s="1033"/>
      <c r="L867" s="90"/>
      <c r="M867" s="51"/>
      <c r="N867" s="113">
        <f t="shared" si="96"/>
        <v>9919</v>
      </c>
      <c r="O867" s="581"/>
      <c r="P867" s="582">
        <v>0</v>
      </c>
      <c r="Q867" s="589"/>
      <c r="R867" s="576"/>
      <c r="S867" s="583">
        <f t="shared" si="95"/>
        <v>0</v>
      </c>
      <c r="T867" s="584">
        <v>0</v>
      </c>
      <c r="U867" s="51"/>
      <c r="V867" s="2120">
        <f t="shared" si="97"/>
        <v>0</v>
      </c>
      <c r="W867" s="2116"/>
      <c r="X867" s="43"/>
      <c r="Y867" s="43"/>
      <c r="Z867" s="43"/>
    </row>
    <row r="868" spans="1:26">
      <c r="A868" s="88">
        <v>9921</v>
      </c>
      <c r="B868" s="1033" t="s">
        <v>103</v>
      </c>
      <c r="C868" s="1033"/>
      <c r="D868" s="1033"/>
      <c r="E868" s="1033"/>
      <c r="F868" s="1033"/>
      <c r="G868" s="1033"/>
      <c r="H868" s="1033"/>
      <c r="I868" s="1033"/>
      <c r="J868" s="1033"/>
      <c r="K868" s="1033"/>
      <c r="L868" s="90"/>
      <c r="M868" s="51"/>
      <c r="N868" s="113">
        <f t="shared" si="96"/>
        <v>9921</v>
      </c>
      <c r="O868" s="575">
        <v>0</v>
      </c>
      <c r="P868" s="576"/>
      <c r="Q868" s="589"/>
      <c r="R868" s="121"/>
      <c r="S868" s="579">
        <v>0</v>
      </c>
      <c r="T868" s="580">
        <f t="shared" ref="T868:T883" si="98">+IF(ABS(+O868+Q868)&lt;=ABS(P868+R868),-O868+P868-Q868+R868,0)</f>
        <v>0</v>
      </c>
      <c r="U868" s="51"/>
      <c r="V868" s="2119">
        <f t="shared" ref="V868:V875" si="99">+IF(OR(+ROUND(O868,2)+ROUND(Q868,2)&gt;ROUND(P868,2)+ROUND(R868,2),+ABS(ROUND(O868,2)+ROUND(Q868,2))&gt;+ABS(ROUND(P868,2)+ROUND(R868,2))),+(ROUND(O868,2)+ROUND(Q868,2))-(ROUND(P868,2)+ROUND(R868,2)),0)</f>
        <v>0</v>
      </c>
      <c r="W868" s="2116"/>
      <c r="X868" s="43"/>
      <c r="Y868" s="43"/>
      <c r="Z868" s="43"/>
    </row>
    <row r="869" spans="1:26">
      <c r="A869" s="88">
        <v>9922</v>
      </c>
      <c r="B869" s="1033" t="s">
        <v>104</v>
      </c>
      <c r="C869" s="1033"/>
      <c r="D869" s="1033"/>
      <c r="E869" s="1033"/>
      <c r="F869" s="1033"/>
      <c r="G869" s="1033"/>
      <c r="H869" s="1033"/>
      <c r="I869" s="1033"/>
      <c r="J869" s="1033"/>
      <c r="K869" s="1033"/>
      <c r="L869" s="90"/>
      <c r="M869" s="51"/>
      <c r="N869" s="113">
        <f t="shared" si="96"/>
        <v>9922</v>
      </c>
      <c r="O869" s="575">
        <v>0</v>
      </c>
      <c r="P869" s="576"/>
      <c r="Q869" s="589"/>
      <c r="R869" s="121"/>
      <c r="S869" s="579">
        <v>0</v>
      </c>
      <c r="T869" s="580">
        <f t="shared" si="98"/>
        <v>0</v>
      </c>
      <c r="U869" s="51"/>
      <c r="V869" s="2119">
        <f t="shared" si="99"/>
        <v>0</v>
      </c>
      <c r="W869" s="2116"/>
      <c r="X869" s="43"/>
      <c r="Y869" s="43"/>
      <c r="Z869" s="43"/>
    </row>
    <row r="870" spans="1:26">
      <c r="A870" s="88">
        <v>9923</v>
      </c>
      <c r="B870" s="1033" t="s">
        <v>105</v>
      </c>
      <c r="C870" s="1033"/>
      <c r="D870" s="1033"/>
      <c r="E870" s="1033"/>
      <c r="F870" s="1033"/>
      <c r="G870" s="1033"/>
      <c r="H870" s="1033"/>
      <c r="I870" s="1033"/>
      <c r="J870" s="1033"/>
      <c r="K870" s="1033"/>
      <c r="L870" s="90"/>
      <c r="M870" s="51"/>
      <c r="N870" s="113">
        <f t="shared" si="96"/>
        <v>9923</v>
      </c>
      <c r="O870" s="575">
        <v>0</v>
      </c>
      <c r="P870" s="576">
        <v>0</v>
      </c>
      <c r="Q870" s="589">
        <v>0</v>
      </c>
      <c r="R870" s="121">
        <v>0</v>
      </c>
      <c r="S870" s="579">
        <v>0</v>
      </c>
      <c r="T870" s="580">
        <f t="shared" si="98"/>
        <v>0</v>
      </c>
      <c r="U870" s="51"/>
      <c r="V870" s="2119">
        <f t="shared" si="99"/>
        <v>0</v>
      </c>
      <c r="W870" s="2116"/>
      <c r="X870" s="43"/>
      <c r="Y870" s="43"/>
      <c r="Z870" s="43"/>
    </row>
    <row r="871" spans="1:26">
      <c r="A871" s="88">
        <v>9924</v>
      </c>
      <c r="B871" s="1033" t="s">
        <v>106</v>
      </c>
      <c r="C871" s="1033"/>
      <c r="D871" s="1033"/>
      <c r="E871" s="1033"/>
      <c r="F871" s="1033"/>
      <c r="G871" s="1033"/>
      <c r="H871" s="1033"/>
      <c r="I871" s="1033"/>
      <c r="J871" s="1033"/>
      <c r="K871" s="1033"/>
      <c r="L871" s="90"/>
      <c r="M871" s="51"/>
      <c r="N871" s="113">
        <f t="shared" si="96"/>
        <v>9924</v>
      </c>
      <c r="O871" s="575">
        <v>0</v>
      </c>
      <c r="P871" s="576">
        <v>0</v>
      </c>
      <c r="Q871" s="589">
        <v>0</v>
      </c>
      <c r="R871" s="121">
        <v>0</v>
      </c>
      <c r="S871" s="579">
        <v>0</v>
      </c>
      <c r="T871" s="580">
        <f t="shared" si="98"/>
        <v>0</v>
      </c>
      <c r="U871" s="51"/>
      <c r="V871" s="2119">
        <f t="shared" si="99"/>
        <v>0</v>
      </c>
      <c r="W871" s="2116"/>
      <c r="X871" s="43"/>
      <c r="Y871" s="43"/>
      <c r="Z871" s="43"/>
    </row>
    <row r="872" spans="1:26">
      <c r="A872" s="88">
        <v>9925</v>
      </c>
      <c r="B872" s="1033" t="s">
        <v>107</v>
      </c>
      <c r="C872" s="1033"/>
      <c r="D872" s="1033"/>
      <c r="E872" s="1033"/>
      <c r="F872" s="1033"/>
      <c r="G872" s="1033"/>
      <c r="H872" s="1033"/>
      <c r="I872" s="1033"/>
      <c r="J872" s="1033"/>
      <c r="K872" s="1033"/>
      <c r="L872" s="90"/>
      <c r="M872" s="51"/>
      <c r="N872" s="113">
        <f t="shared" si="96"/>
        <v>9925</v>
      </c>
      <c r="O872" s="575">
        <v>0</v>
      </c>
      <c r="P872" s="576"/>
      <c r="Q872" s="589"/>
      <c r="R872" s="121"/>
      <c r="S872" s="579">
        <v>0</v>
      </c>
      <c r="T872" s="580">
        <f t="shared" si="98"/>
        <v>0</v>
      </c>
      <c r="U872" s="51"/>
      <c r="V872" s="2119">
        <f t="shared" si="99"/>
        <v>0</v>
      </c>
      <c r="W872" s="2116"/>
      <c r="X872" s="43"/>
      <c r="Y872" s="43"/>
      <c r="Z872" s="43"/>
    </row>
    <row r="873" spans="1:26">
      <c r="A873" s="88">
        <v>9926</v>
      </c>
      <c r="B873" s="1033" t="s">
        <v>108</v>
      </c>
      <c r="C873" s="1039"/>
      <c r="D873" s="1039"/>
      <c r="E873" s="1039"/>
      <c r="F873" s="1039"/>
      <c r="G873" s="1039"/>
      <c r="H873" s="1039"/>
      <c r="I873" s="1039"/>
      <c r="J873" s="1039"/>
      <c r="K873" s="1039"/>
      <c r="L873" s="574"/>
      <c r="M873" s="51"/>
      <c r="N873" s="113">
        <f t="shared" si="96"/>
        <v>9926</v>
      </c>
      <c r="O873" s="575">
        <v>0</v>
      </c>
      <c r="P873" s="576"/>
      <c r="Q873" s="589"/>
      <c r="R873" s="121"/>
      <c r="S873" s="579">
        <v>0</v>
      </c>
      <c r="T873" s="580">
        <f t="shared" si="98"/>
        <v>0</v>
      </c>
      <c r="U873" s="51"/>
      <c r="V873" s="2119">
        <f t="shared" si="99"/>
        <v>0</v>
      </c>
      <c r="W873" s="2116"/>
      <c r="X873" s="43"/>
      <c r="Y873" s="43"/>
      <c r="Z873" s="43"/>
    </row>
    <row r="874" spans="1:26">
      <c r="A874" s="88">
        <v>9928</v>
      </c>
      <c r="B874" s="1033" t="s">
        <v>109</v>
      </c>
      <c r="C874" s="1033"/>
      <c r="D874" s="1033"/>
      <c r="E874" s="1033"/>
      <c r="F874" s="1033"/>
      <c r="G874" s="1033"/>
      <c r="H874" s="1033"/>
      <c r="I874" s="1033"/>
      <c r="J874" s="1033"/>
      <c r="K874" s="1033"/>
      <c r="L874" s="90"/>
      <c r="M874" s="51"/>
      <c r="N874" s="113">
        <f t="shared" si="96"/>
        <v>9928</v>
      </c>
      <c r="O874" s="575">
        <v>0</v>
      </c>
      <c r="P874" s="576"/>
      <c r="Q874" s="589"/>
      <c r="R874" s="121"/>
      <c r="S874" s="579">
        <v>0</v>
      </c>
      <c r="T874" s="580">
        <f t="shared" si="98"/>
        <v>0</v>
      </c>
      <c r="U874" s="51"/>
      <c r="V874" s="2119">
        <f t="shared" si="99"/>
        <v>0</v>
      </c>
      <c r="W874" s="2116"/>
      <c r="X874" s="43"/>
      <c r="Y874" s="43"/>
      <c r="Z874" s="43"/>
    </row>
    <row r="875" spans="1:26">
      <c r="A875" s="88">
        <v>9929</v>
      </c>
      <c r="B875" s="1033" t="s">
        <v>110</v>
      </c>
      <c r="C875" s="1033"/>
      <c r="D875" s="1033"/>
      <c r="E875" s="1033"/>
      <c r="F875" s="1033"/>
      <c r="G875" s="1033"/>
      <c r="H875" s="1033"/>
      <c r="I875" s="1033"/>
      <c r="J875" s="1033"/>
      <c r="K875" s="1033"/>
      <c r="L875" s="90"/>
      <c r="M875" s="51"/>
      <c r="N875" s="113">
        <f t="shared" si="96"/>
        <v>9929</v>
      </c>
      <c r="O875" s="575">
        <v>0</v>
      </c>
      <c r="P875" s="576"/>
      <c r="Q875" s="589"/>
      <c r="R875" s="121"/>
      <c r="S875" s="579">
        <v>0</v>
      </c>
      <c r="T875" s="580">
        <f t="shared" si="98"/>
        <v>0</v>
      </c>
      <c r="U875" s="51"/>
      <c r="V875" s="2119">
        <f t="shared" si="99"/>
        <v>0</v>
      </c>
      <c r="W875" s="2116"/>
      <c r="X875" s="43"/>
      <c r="Y875" s="43"/>
      <c r="Z875" s="43"/>
    </row>
    <row r="876" spans="1:26" ht="15.75" customHeight="1">
      <c r="A876" s="88">
        <v>9940</v>
      </c>
      <c r="B876" s="1033" t="s">
        <v>111</v>
      </c>
      <c r="C876" s="1038"/>
      <c r="D876" s="1038"/>
      <c r="E876" s="1038"/>
      <c r="F876" s="1038"/>
      <c r="G876" s="1038"/>
      <c r="H876" s="1038"/>
      <c r="I876" s="1038"/>
      <c r="J876" s="1038"/>
      <c r="K876" s="1038"/>
      <c r="L876" s="590"/>
      <c r="M876" s="51"/>
      <c r="N876" s="113">
        <f t="shared" si="96"/>
        <v>9940</v>
      </c>
      <c r="O876" s="575">
        <v>0</v>
      </c>
      <c r="P876" s="582">
        <v>0</v>
      </c>
      <c r="Q876" s="589"/>
      <c r="R876" s="576"/>
      <c r="S876" s="583">
        <f t="shared" ref="S876:S884" si="100">+IF(ABS(+O876+Q876)&gt;=ABS(P876+R876),+O876-P876+Q876-R876,0)</f>
        <v>0</v>
      </c>
      <c r="T876" s="580">
        <f t="shared" si="98"/>
        <v>0</v>
      </c>
      <c r="U876" s="51"/>
      <c r="V876" s="2119"/>
      <c r="W876" s="2116"/>
      <c r="X876" s="43"/>
      <c r="Y876" s="43"/>
      <c r="Z876" s="43"/>
    </row>
    <row r="877" spans="1:26" ht="15.75" customHeight="1">
      <c r="A877" s="88">
        <v>9941</v>
      </c>
      <c r="B877" s="1033" t="s">
        <v>112</v>
      </c>
      <c r="C877" s="1038"/>
      <c r="D877" s="1038"/>
      <c r="E877" s="1038"/>
      <c r="F877" s="1038"/>
      <c r="G877" s="1038"/>
      <c r="H877" s="1038"/>
      <c r="I877" s="1038"/>
      <c r="J877" s="1038"/>
      <c r="K877" s="1038"/>
      <c r="L877" s="590"/>
      <c r="M877" s="51"/>
      <c r="N877" s="113">
        <f t="shared" si="96"/>
        <v>9941</v>
      </c>
      <c r="O877" s="575">
        <v>0</v>
      </c>
      <c r="P877" s="582">
        <v>0</v>
      </c>
      <c r="Q877" s="589"/>
      <c r="R877" s="576"/>
      <c r="S877" s="583">
        <f t="shared" si="100"/>
        <v>0</v>
      </c>
      <c r="T877" s="580">
        <f t="shared" si="98"/>
        <v>0</v>
      </c>
      <c r="U877" s="51"/>
      <c r="V877" s="2119"/>
      <c r="W877" s="2116"/>
      <c r="X877" s="43"/>
      <c r="Y877" s="43"/>
      <c r="Z877" s="43"/>
    </row>
    <row r="878" spans="1:26" ht="15.75" customHeight="1">
      <c r="A878" s="88">
        <v>9944</v>
      </c>
      <c r="B878" s="1033" t="s">
        <v>113</v>
      </c>
      <c r="C878" s="1038"/>
      <c r="D878" s="1038"/>
      <c r="E878" s="1038"/>
      <c r="F878" s="1038"/>
      <c r="G878" s="1038"/>
      <c r="H878" s="1038"/>
      <c r="I878" s="1038"/>
      <c r="J878" s="1038"/>
      <c r="K878" s="1038"/>
      <c r="L878" s="590"/>
      <c r="M878" s="51"/>
      <c r="N878" s="113">
        <f t="shared" si="96"/>
        <v>9944</v>
      </c>
      <c r="O878" s="575">
        <v>0</v>
      </c>
      <c r="P878" s="582">
        <v>0</v>
      </c>
      <c r="Q878" s="589"/>
      <c r="R878" s="576"/>
      <c r="S878" s="583">
        <f t="shared" si="100"/>
        <v>0</v>
      </c>
      <c r="T878" s="580">
        <f t="shared" si="98"/>
        <v>0</v>
      </c>
      <c r="U878" s="51"/>
      <c r="V878" s="2119"/>
      <c r="W878" s="2116"/>
      <c r="X878" s="43"/>
      <c r="Y878" s="43"/>
      <c r="Z878" s="43"/>
    </row>
    <row r="879" spans="1:26" ht="15.75" customHeight="1">
      <c r="A879" s="88">
        <v>9945</v>
      </c>
      <c r="B879" s="1033" t="s">
        <v>114</v>
      </c>
      <c r="C879" s="1038"/>
      <c r="D879" s="1038"/>
      <c r="E879" s="1038"/>
      <c r="F879" s="1038"/>
      <c r="G879" s="1038"/>
      <c r="H879" s="1038"/>
      <c r="I879" s="1038"/>
      <c r="J879" s="1038"/>
      <c r="K879" s="1038"/>
      <c r="L879" s="590"/>
      <c r="M879" s="51"/>
      <c r="N879" s="113">
        <f t="shared" si="96"/>
        <v>9945</v>
      </c>
      <c r="O879" s="575">
        <v>0</v>
      </c>
      <c r="P879" s="582">
        <v>0</v>
      </c>
      <c r="Q879" s="589"/>
      <c r="R879" s="576"/>
      <c r="S879" s="583">
        <f t="shared" si="100"/>
        <v>0</v>
      </c>
      <c r="T879" s="580">
        <f t="shared" si="98"/>
        <v>0</v>
      </c>
      <c r="U879" s="51"/>
      <c r="V879" s="2119"/>
      <c r="W879" s="2116"/>
      <c r="X879" s="43"/>
      <c r="Y879" s="43"/>
      <c r="Z879" s="43"/>
    </row>
    <row r="880" spans="1:26" ht="15.75" customHeight="1">
      <c r="A880" s="88">
        <v>9946</v>
      </c>
      <c r="B880" s="1033" t="s">
        <v>115</v>
      </c>
      <c r="C880" s="1038"/>
      <c r="D880" s="1038"/>
      <c r="E880" s="1038"/>
      <c r="F880" s="1038"/>
      <c r="G880" s="1038"/>
      <c r="H880" s="1038"/>
      <c r="I880" s="1038"/>
      <c r="J880" s="1038"/>
      <c r="K880" s="1038"/>
      <c r="L880" s="590"/>
      <c r="M880" s="51"/>
      <c r="N880" s="113">
        <f t="shared" si="96"/>
        <v>9946</v>
      </c>
      <c r="O880" s="575">
        <v>0</v>
      </c>
      <c r="P880" s="582">
        <v>0</v>
      </c>
      <c r="Q880" s="589"/>
      <c r="R880" s="576"/>
      <c r="S880" s="583">
        <f t="shared" si="100"/>
        <v>0</v>
      </c>
      <c r="T880" s="580">
        <f t="shared" si="98"/>
        <v>0</v>
      </c>
      <c r="U880" s="51"/>
      <c r="V880" s="2119"/>
      <c r="W880" s="2116"/>
      <c r="X880" s="43"/>
      <c r="Y880" s="43"/>
      <c r="Z880" s="43"/>
    </row>
    <row r="881" spans="1:26" ht="15.75" customHeight="1">
      <c r="A881" s="88">
        <v>9947</v>
      </c>
      <c r="B881" s="1033" t="s">
        <v>116</v>
      </c>
      <c r="C881" s="1038"/>
      <c r="D881" s="1038"/>
      <c r="E881" s="1038"/>
      <c r="F881" s="1038"/>
      <c r="G881" s="1038"/>
      <c r="H881" s="1038"/>
      <c r="I881" s="1038"/>
      <c r="J881" s="1038"/>
      <c r="K881" s="1038"/>
      <c r="L881" s="590"/>
      <c r="M881" s="51"/>
      <c r="N881" s="113">
        <f t="shared" si="96"/>
        <v>9947</v>
      </c>
      <c r="O881" s="575">
        <v>0</v>
      </c>
      <c r="P881" s="582">
        <v>0</v>
      </c>
      <c r="Q881" s="589"/>
      <c r="R881" s="576"/>
      <c r="S881" s="583">
        <f t="shared" si="100"/>
        <v>0</v>
      </c>
      <c r="T881" s="580">
        <f t="shared" si="98"/>
        <v>0</v>
      </c>
      <c r="U881" s="51"/>
      <c r="V881" s="2119"/>
      <c r="W881" s="2116"/>
      <c r="X881" s="43"/>
      <c r="Y881" s="43"/>
      <c r="Z881" s="43"/>
    </row>
    <row r="882" spans="1:26" ht="15.75" customHeight="1">
      <c r="A882" s="88">
        <v>9948</v>
      </c>
      <c r="B882" s="1033" t="s">
        <v>117</v>
      </c>
      <c r="C882" s="1038"/>
      <c r="D882" s="1038"/>
      <c r="E882" s="1038"/>
      <c r="F882" s="1038"/>
      <c r="G882" s="1038"/>
      <c r="H882" s="1038"/>
      <c r="I882" s="1038"/>
      <c r="J882" s="1038"/>
      <c r="K882" s="1038"/>
      <c r="L882" s="590"/>
      <c r="M882" s="51"/>
      <c r="N882" s="113">
        <f t="shared" si="96"/>
        <v>9948</v>
      </c>
      <c r="O882" s="575">
        <v>0</v>
      </c>
      <c r="P882" s="582">
        <v>0</v>
      </c>
      <c r="Q882" s="589"/>
      <c r="R882" s="576"/>
      <c r="S882" s="583">
        <f t="shared" si="100"/>
        <v>0</v>
      </c>
      <c r="T882" s="580">
        <f t="shared" si="98"/>
        <v>0</v>
      </c>
      <c r="U882" s="51"/>
      <c r="V882" s="2119"/>
      <c r="W882" s="2116"/>
      <c r="X882" s="43"/>
      <c r="Y882" s="43"/>
      <c r="Z882" s="43"/>
    </row>
    <row r="883" spans="1:26" ht="15.75" customHeight="1">
      <c r="A883" s="88">
        <v>9949</v>
      </c>
      <c r="B883" s="1033" t="s">
        <v>118</v>
      </c>
      <c r="C883" s="1038"/>
      <c r="D883" s="1038"/>
      <c r="E883" s="1038"/>
      <c r="F883" s="1038"/>
      <c r="G883" s="1038"/>
      <c r="H883" s="1038"/>
      <c r="I883" s="1038"/>
      <c r="J883" s="1038"/>
      <c r="K883" s="1038"/>
      <c r="L883" s="590"/>
      <c r="M883" s="51"/>
      <c r="N883" s="113">
        <f t="shared" si="96"/>
        <v>9949</v>
      </c>
      <c r="O883" s="575">
        <v>0</v>
      </c>
      <c r="P883" s="582">
        <v>0</v>
      </c>
      <c r="Q883" s="589"/>
      <c r="R883" s="576"/>
      <c r="S883" s="583">
        <f t="shared" si="100"/>
        <v>0</v>
      </c>
      <c r="T883" s="580">
        <f t="shared" si="98"/>
        <v>0</v>
      </c>
      <c r="U883" s="51"/>
      <c r="V883" s="2119"/>
      <c r="W883" s="2116"/>
      <c r="X883" s="43"/>
      <c r="Y883" s="43"/>
      <c r="Z883" s="43"/>
    </row>
    <row r="884" spans="1:26">
      <c r="A884" s="88">
        <v>9978</v>
      </c>
      <c r="B884" s="1033" t="s">
        <v>119</v>
      </c>
      <c r="C884" s="1033"/>
      <c r="D884" s="1033"/>
      <c r="E884" s="1033"/>
      <c r="F884" s="1033"/>
      <c r="G884" s="1033"/>
      <c r="H884" s="1033"/>
      <c r="I884" s="1033"/>
      <c r="J884" s="1033"/>
      <c r="K884" s="1033"/>
      <c r="L884" s="90"/>
      <c r="M884" s="51"/>
      <c r="N884" s="113">
        <f t="shared" si="96"/>
        <v>9978</v>
      </c>
      <c r="O884" s="581">
        <v>0</v>
      </c>
      <c r="P884" s="582">
        <v>0</v>
      </c>
      <c r="Q884" s="589">
        <v>0</v>
      </c>
      <c r="R884" s="576">
        <v>0</v>
      </c>
      <c r="S884" s="583">
        <f t="shared" si="100"/>
        <v>0</v>
      </c>
      <c r="T884" s="584">
        <v>0</v>
      </c>
      <c r="U884" s="51"/>
      <c r="V884" s="2120">
        <f>+IF(OR(ROUND(P884,2)+ROUND(R884,2)&gt;+ROUND(O884,2)+ROUND(Q884,2),+ABS(ROUND(P884,2)+ROUND(R884,2))&gt;+ABS(ROUND(O884,2)+ROUND(Q884,2))),+(ROUND(P884,2)+ROUND(R884,2))-(ROUND(O884,2)+ROUND(Q884,2)),0)</f>
        <v>0</v>
      </c>
      <c r="W884" s="2116"/>
      <c r="X884" s="43"/>
      <c r="Y884" s="43"/>
      <c r="Z884" s="43"/>
    </row>
    <row r="885" spans="1:26">
      <c r="A885" s="88">
        <v>9979</v>
      </c>
      <c r="B885" s="1033" t="s">
        <v>120</v>
      </c>
      <c r="C885" s="1033"/>
      <c r="D885" s="1033"/>
      <c r="E885" s="1033"/>
      <c r="F885" s="1033"/>
      <c r="G885" s="1033"/>
      <c r="H885" s="1033"/>
      <c r="I885" s="1033"/>
      <c r="J885" s="1033"/>
      <c r="K885" s="1033"/>
      <c r="L885" s="90"/>
      <c r="M885" s="51"/>
      <c r="N885" s="113">
        <f t="shared" si="96"/>
        <v>9979</v>
      </c>
      <c r="O885" s="575">
        <v>0</v>
      </c>
      <c r="P885" s="576">
        <v>0</v>
      </c>
      <c r="Q885" s="589">
        <v>0</v>
      </c>
      <c r="R885" s="121">
        <v>0</v>
      </c>
      <c r="S885" s="579">
        <v>0</v>
      </c>
      <c r="T885" s="580">
        <f>+IF(ABS(+O885+Q885)&lt;=ABS(P885+R885),-O885+P885-Q885+R885,0)</f>
        <v>0</v>
      </c>
      <c r="U885" s="51"/>
      <c r="V885" s="2119">
        <f>+IF(OR(+ROUND(O885,2)+ROUND(Q885,2)&gt;ROUND(P885,2)+ROUND(R885,2),+ABS(ROUND(O885,2)+ROUND(Q885,2))&gt;+ABS(ROUND(P885,2)+ROUND(R885,2))),+(ROUND(O885,2)+ROUND(Q885,2))-(ROUND(P885,2)+ROUND(R885,2)),0)</f>
        <v>0</v>
      </c>
      <c r="W885" s="2116"/>
      <c r="X885" s="43"/>
      <c r="Y885" s="43"/>
      <c r="Z885" s="43"/>
    </row>
    <row r="886" spans="1:26">
      <c r="A886" s="88">
        <v>9981</v>
      </c>
      <c r="B886" s="1032" t="s">
        <v>121</v>
      </c>
      <c r="C886" s="1033"/>
      <c r="D886" s="1033"/>
      <c r="E886" s="1033"/>
      <c r="F886" s="1033"/>
      <c r="G886" s="1033"/>
      <c r="H886" s="1033"/>
      <c r="I886" s="1033"/>
      <c r="J886" s="1033"/>
      <c r="K886" s="1033"/>
      <c r="L886" s="90"/>
      <c r="M886" s="51"/>
      <c r="N886" s="113">
        <f t="shared" si="96"/>
        <v>9981</v>
      </c>
      <c r="O886" s="575">
        <v>0</v>
      </c>
      <c r="P886" s="576">
        <v>0</v>
      </c>
      <c r="Q886" s="589">
        <v>0</v>
      </c>
      <c r="R886" s="121">
        <v>0</v>
      </c>
      <c r="S886" s="579">
        <v>0</v>
      </c>
      <c r="T886" s="580">
        <f>+IF(ABS(+O886+Q886)&lt;=ABS(P886+R886),-O886+P886-Q886+R886,0)</f>
        <v>0</v>
      </c>
      <c r="U886" s="51"/>
      <c r="V886" s="2119">
        <f>+IF(OR(+ROUND(O886,2)+ROUND(Q886,2)&gt;ROUND(P886,2)+ROUND(R886,2),+ABS(ROUND(O886,2)+ROUND(Q886,2))&gt;+ABS(ROUND(P886,2)+ROUND(R886,2))),+(ROUND(O886,2)+ROUND(Q886,2))-(ROUND(P886,2)+ROUND(R886,2)),0)</f>
        <v>0</v>
      </c>
      <c r="W886" s="2116"/>
      <c r="X886" s="43"/>
      <c r="Y886" s="43"/>
      <c r="Z886" s="43"/>
    </row>
    <row r="887" spans="1:26" ht="16.5" thickBot="1">
      <c r="A887" s="1052">
        <v>9989</v>
      </c>
      <c r="B887" s="1031" t="s">
        <v>122</v>
      </c>
      <c r="C887" s="101"/>
      <c r="D887" s="101"/>
      <c r="E887" s="101"/>
      <c r="F887" s="101"/>
      <c r="G887" s="101"/>
      <c r="H887" s="101"/>
      <c r="I887" s="101"/>
      <c r="J887" s="101"/>
      <c r="K887" s="101"/>
      <c r="L887" s="102"/>
      <c r="M887" s="51"/>
      <c r="N887" s="116">
        <f t="shared" si="96"/>
        <v>9989</v>
      </c>
      <c r="O887" s="838">
        <v>0</v>
      </c>
      <c r="P887" s="839">
        <v>0</v>
      </c>
      <c r="Q887" s="598">
        <v>0</v>
      </c>
      <c r="R887" s="597">
        <v>0</v>
      </c>
      <c r="S887" s="56">
        <f>+IF(ABS(+O887+Q887)&gt;=ABS(P887+R887),+O887-P887+Q887-R887,0)</f>
        <v>0</v>
      </c>
      <c r="T887" s="60">
        <v>0</v>
      </c>
      <c r="U887" s="51"/>
      <c r="V887" s="2119"/>
      <c r="W887" s="2116"/>
      <c r="X887" s="43"/>
      <c r="Y887" s="43"/>
      <c r="Z887" s="43"/>
    </row>
    <row r="888" spans="1:26" ht="16.5" thickBot="1">
      <c r="A888" s="103" t="s">
        <v>593</v>
      </c>
      <c r="B888" s="104"/>
      <c r="C888" s="104"/>
      <c r="D888" s="104"/>
      <c r="E888" s="104"/>
      <c r="F888" s="104"/>
      <c r="G888" s="104"/>
      <c r="H888" s="104"/>
      <c r="I888" s="2640" t="str">
        <f>+I831</f>
        <v>D M P</v>
      </c>
      <c r="J888" s="2640"/>
      <c r="K888" s="2640"/>
      <c r="L888" s="105"/>
      <c r="M888" s="51"/>
      <c r="N888" s="117">
        <v>9</v>
      </c>
      <c r="O888" s="873">
        <f t="shared" ref="O888:T888" si="101">+ROUND(SUM(O831:O887),2)</f>
        <v>0</v>
      </c>
      <c r="P888" s="874">
        <f t="shared" si="101"/>
        <v>0</v>
      </c>
      <c r="Q888" s="875">
        <f t="shared" si="101"/>
        <v>0</v>
      </c>
      <c r="R888" s="874">
        <f t="shared" si="101"/>
        <v>0</v>
      </c>
      <c r="S888" s="876">
        <f t="shared" si="101"/>
        <v>0</v>
      </c>
      <c r="T888" s="877">
        <f t="shared" si="101"/>
        <v>0</v>
      </c>
      <c r="U888" s="51"/>
      <c r="V888" s="2119"/>
      <c r="W888" s="2116"/>
      <c r="X888" s="43"/>
      <c r="Y888" s="43"/>
      <c r="Z888" s="43"/>
    </row>
    <row r="889" spans="1:26" ht="12" customHeight="1" thickBot="1">
      <c r="A889" s="106"/>
      <c r="B889" s="49"/>
      <c r="C889" s="49"/>
      <c r="D889" s="49"/>
      <c r="E889" s="49"/>
      <c r="F889" s="49"/>
      <c r="G889" s="49"/>
      <c r="H889" s="49"/>
      <c r="I889" s="49"/>
      <c r="J889" s="49"/>
      <c r="K889" s="49"/>
      <c r="L889" s="49"/>
      <c r="M889" s="51"/>
      <c r="N889" s="118"/>
      <c r="O889" s="38"/>
      <c r="P889" s="38"/>
      <c r="Q889" s="38"/>
      <c r="R889" s="38"/>
      <c r="S889" s="38"/>
      <c r="T889" s="38"/>
      <c r="U889" s="51"/>
      <c r="V889" s="2119"/>
      <c r="W889" s="2116"/>
      <c r="X889" s="43"/>
      <c r="Y889" s="43"/>
      <c r="Z889" s="43"/>
    </row>
    <row r="890" spans="1:26" ht="16.5" thickBot="1">
      <c r="A890" s="285" t="s">
        <v>594</v>
      </c>
      <c r="B890" s="286"/>
      <c r="C890" s="286"/>
      <c r="D890" s="286"/>
      <c r="E890" s="286"/>
      <c r="F890" s="286"/>
      <c r="G890" s="286"/>
      <c r="H890" s="286"/>
      <c r="I890" s="2636" t="str">
        <f>+I888</f>
        <v>D M P</v>
      </c>
      <c r="J890" s="2636"/>
      <c r="K890" s="2636"/>
      <c r="L890" s="287"/>
      <c r="M890" s="51"/>
      <c r="N890" s="288" t="s">
        <v>665</v>
      </c>
      <c r="O890" s="878">
        <f t="shared" ref="O890:T890" si="102">+ROUND(+O829+O888,2)</f>
        <v>0</v>
      </c>
      <c r="P890" s="879">
        <f t="shared" si="102"/>
        <v>0</v>
      </c>
      <c r="Q890" s="880">
        <f t="shared" si="102"/>
        <v>0</v>
      </c>
      <c r="R890" s="879">
        <f t="shared" si="102"/>
        <v>0</v>
      </c>
      <c r="S890" s="880">
        <f t="shared" si="102"/>
        <v>0</v>
      </c>
      <c r="T890" s="881">
        <f t="shared" si="102"/>
        <v>0</v>
      </c>
      <c r="U890" s="51"/>
      <c r="V890" s="2119"/>
      <c r="W890" s="2116"/>
      <c r="X890" s="43"/>
      <c r="Y890" s="43"/>
      <c r="Z890" s="43"/>
    </row>
    <row r="891" spans="1:26" ht="17.25" thickTop="1" thickBot="1">
      <c r="A891" s="43"/>
      <c r="B891" s="43"/>
      <c r="C891" s="43"/>
      <c r="D891" s="43"/>
      <c r="E891" s="43"/>
      <c r="F891" s="43"/>
      <c r="G891" s="43"/>
      <c r="H891" s="43"/>
      <c r="I891" s="43"/>
      <c r="J891" s="43"/>
      <c r="K891" s="43"/>
      <c r="L891" s="43"/>
      <c r="M891" s="44"/>
      <c r="N891" s="119"/>
      <c r="O891" s="38"/>
      <c r="P891" s="38"/>
      <c r="Q891" s="38"/>
      <c r="R891" s="38"/>
      <c r="S891" s="38"/>
      <c r="T891" s="38"/>
      <c r="U891" s="44"/>
      <c r="V891" s="2119"/>
      <c r="W891" s="2116"/>
      <c r="X891" s="43"/>
      <c r="Y891" s="43"/>
      <c r="Z891" s="43"/>
    </row>
    <row r="892" spans="1:26" ht="16.5" thickBot="1">
      <c r="A892" s="97" t="s">
        <v>597</v>
      </c>
      <c r="B892" s="98"/>
      <c r="C892" s="98"/>
      <c r="D892" s="98"/>
      <c r="E892" s="98"/>
      <c r="F892" s="98"/>
      <c r="G892" s="98"/>
      <c r="H892" s="98"/>
      <c r="I892" s="98"/>
      <c r="J892" s="98"/>
      <c r="K892" s="98"/>
      <c r="L892" s="99"/>
      <c r="M892" s="51"/>
      <c r="N892" s="129" t="s">
        <v>666</v>
      </c>
      <c r="O892" s="58" t="s">
        <v>595</v>
      </c>
      <c r="P892" s="78">
        <f>+ROUND(+O829-P829,2)</f>
        <v>0</v>
      </c>
      <c r="Q892" s="62" t="s">
        <v>596</v>
      </c>
      <c r="R892" s="61">
        <f>+ROUND(+Q829-R829,2)</f>
        <v>0</v>
      </c>
      <c r="S892" s="63" t="s">
        <v>187</v>
      </c>
      <c r="T892" s="59">
        <f>+ROUND(+S829-T829,2)</f>
        <v>0</v>
      </c>
      <c r="U892" s="51"/>
      <c r="V892" s="2119"/>
      <c r="W892" s="2116"/>
      <c r="X892" s="43"/>
      <c r="Y892" s="43"/>
      <c r="Z892" s="43"/>
    </row>
    <row r="893" spans="1:26" ht="7.5" customHeight="1" thickBot="1">
      <c r="A893" s="43"/>
      <c r="B893" s="43"/>
      <c r="C893" s="43"/>
      <c r="D893" s="43"/>
      <c r="E893" s="43"/>
      <c r="F893" s="43"/>
      <c r="G893" s="43"/>
      <c r="H893" s="43"/>
      <c r="I893" s="43"/>
      <c r="J893" s="43"/>
      <c r="K893" s="43"/>
      <c r="L893" s="43"/>
      <c r="M893" s="44"/>
      <c r="N893" s="119"/>
      <c r="O893" s="38"/>
      <c r="P893" s="38"/>
      <c r="Q893" s="38"/>
      <c r="R893" s="38"/>
      <c r="S893" s="38"/>
      <c r="T893" s="38"/>
      <c r="U893" s="44"/>
      <c r="V893" s="2119"/>
      <c r="W893" s="2116"/>
      <c r="X893" s="43"/>
      <c r="Y893" s="43"/>
      <c r="Z893" s="43"/>
    </row>
    <row r="894" spans="1:26" ht="16.5" thickBot="1">
      <c r="A894" s="97" t="s">
        <v>186</v>
      </c>
      <c r="B894" s="98"/>
      <c r="C894" s="98"/>
      <c r="D894" s="98"/>
      <c r="E894" s="98"/>
      <c r="F894" s="98"/>
      <c r="G894" s="98"/>
      <c r="H894" s="98"/>
      <c r="I894" s="98"/>
      <c r="J894" s="98"/>
      <c r="K894" s="98"/>
      <c r="L894" s="99"/>
      <c r="M894" s="51"/>
      <c r="N894" s="130">
        <v>9</v>
      </c>
      <c r="O894" s="58" t="s">
        <v>595</v>
      </c>
      <c r="P894" s="61">
        <f>+ROUND(+O888-P888,2)</f>
        <v>0</v>
      </c>
      <c r="Q894" s="62" t="s">
        <v>596</v>
      </c>
      <c r="R894" s="61">
        <f>+ROUND(+Q888-R888,2)</f>
        <v>0</v>
      </c>
      <c r="S894" s="63" t="s">
        <v>187</v>
      </c>
      <c r="T894" s="59">
        <f>+ROUND(+S888-T888,2)</f>
        <v>0</v>
      </c>
      <c r="U894" s="51"/>
      <c r="V894" s="2119"/>
      <c r="W894" s="2116"/>
      <c r="X894" s="43"/>
      <c r="Y894" s="43"/>
      <c r="Z894" s="43"/>
    </row>
    <row r="895" spans="1:26" ht="7.5" customHeight="1" thickBot="1">
      <c r="A895" s="43"/>
      <c r="B895" s="43"/>
      <c r="C895" s="43"/>
      <c r="D895" s="43"/>
      <c r="E895" s="43"/>
      <c r="F895" s="43"/>
      <c r="G895" s="43"/>
      <c r="H895" s="43"/>
      <c r="I895" s="43"/>
      <c r="J895" s="43"/>
      <c r="K895" s="43"/>
      <c r="L895" s="43"/>
      <c r="M895" s="44"/>
      <c r="N895" s="119"/>
      <c r="O895" s="38"/>
      <c r="P895" s="38"/>
      <c r="Q895" s="38"/>
      <c r="R895" s="38"/>
      <c r="S895" s="38"/>
      <c r="T895" s="38"/>
      <c r="U895" s="44"/>
      <c r="V895" s="2119"/>
      <c r="W895" s="2116"/>
      <c r="X895" s="43"/>
      <c r="Y895" s="43"/>
      <c r="Z895" s="43"/>
    </row>
    <row r="896" spans="1:26" ht="16.5" thickBot="1">
      <c r="A896" s="107" t="s">
        <v>377</v>
      </c>
      <c r="B896" s="108"/>
      <c r="C896" s="108"/>
      <c r="D896" s="108"/>
      <c r="E896" s="108"/>
      <c r="F896" s="108"/>
      <c r="G896" s="108"/>
      <c r="H896" s="108"/>
      <c r="I896" s="108"/>
      <c r="J896" s="108"/>
      <c r="K896" s="108"/>
      <c r="L896" s="109"/>
      <c r="M896" s="51"/>
      <c r="N896" s="131" t="s">
        <v>665</v>
      </c>
      <c r="O896" s="67" t="s">
        <v>595</v>
      </c>
      <c r="P896" s="65">
        <f>+ROUND(+O890-P890,2)</f>
        <v>0</v>
      </c>
      <c r="Q896" s="64" t="s">
        <v>596</v>
      </c>
      <c r="R896" s="65">
        <f>+ROUND(+Q890-R890,2)</f>
        <v>0</v>
      </c>
      <c r="S896" s="64" t="s">
        <v>187</v>
      </c>
      <c r="T896" s="66">
        <f>+ROUND(+S890-T890,2)</f>
        <v>0</v>
      </c>
      <c r="U896" s="51"/>
      <c r="V896" s="2119"/>
      <c r="W896" s="2116"/>
      <c r="X896" s="43"/>
      <c r="Y896" s="43"/>
      <c r="Z896" s="43"/>
    </row>
    <row r="897" spans="1:26" s="1399" customFormat="1" ht="17.25" thickTop="1" thickBot="1">
      <c r="A897" s="258"/>
      <c r="B897" s="258"/>
      <c r="C897" s="258"/>
      <c r="D897" s="258"/>
      <c r="E897" s="258"/>
      <c r="F897" s="258"/>
      <c r="G897" s="258"/>
      <c r="H897" s="258"/>
      <c r="I897" s="258"/>
      <c r="J897" s="258"/>
      <c r="K897" s="258"/>
      <c r="L897" s="258"/>
      <c r="M897" s="259"/>
      <c r="N897" s="260"/>
      <c r="O897" s="261"/>
      <c r="P897" s="261"/>
      <c r="Q897" s="261"/>
      <c r="R897" s="261"/>
      <c r="S897" s="261"/>
      <c r="T897" s="261"/>
      <c r="U897" s="259"/>
      <c r="V897" s="2119"/>
      <c r="W897" s="2116"/>
      <c r="X897" s="258"/>
      <c r="Y897" s="258"/>
      <c r="Z897" s="258"/>
    </row>
    <row r="898" spans="1:26" s="1399" customFormat="1">
      <c r="A898" s="258"/>
      <c r="B898" s="262"/>
      <c r="C898" s="258"/>
      <c r="D898" s="267" t="s">
        <v>590</v>
      </c>
      <c r="E898" s="268"/>
      <c r="F898" s="268"/>
      <c r="G898" s="268"/>
      <c r="H898" s="268"/>
      <c r="I898" s="268"/>
      <c r="J898" s="268"/>
      <c r="K898" s="268"/>
      <c r="L898" s="269"/>
      <c r="M898" s="51"/>
      <c r="N898" s="260"/>
      <c r="O898" s="434" t="s">
        <v>696</v>
      </c>
      <c r="P898" s="274">
        <f>+IF((+SUM(O348:O350)+SUM(O354:O356)+O357+O359+SUM(O368:O369)+SUM(O372:O374)+O376+SUM(O351:O353)+SUM(O370:O371)+SUM(O375))&gt;0,+(+SUM(O348:O350)+SUM(O354:O356)+O357+O359+SUM(O368:O369)+SUM(O372:O374)+SUM(O376))/(+SUM(O348:O350)+SUM(O354:O356)+SUM(O357:O359)+SUM(O368:O369)+SUM(O372:O374)+SUM(O376)+SUM(O351:O353)+SUM(O370:O371)+O375),0)</f>
        <v>0</v>
      </c>
      <c r="Q898" s="263">
        <v>0</v>
      </c>
      <c r="R898" s="264">
        <v>0</v>
      </c>
      <c r="S898" s="436" t="s">
        <v>698</v>
      </c>
      <c r="T898" s="275">
        <f>+IF((+SUM(S348:S350)+SUM(S354:S356)+S357+S359+SUM(S368:S369)+SUM(S372:S374)+S376+SUM(S351:S353)+SUM(S370:S371)+SUM(S375))&gt;0,+(+SUM(S348:S350)+SUM(S354:S356)+S357+S359+SUM(S368:S369)+SUM(S372:S374)+SUM(S376))/(+SUM(S348:S350)+SUM(S354:S356)+SUM(S357:S359)+SUM(S368:S369)+SUM(S372:S374)+SUM(S376)+SUM(S351:S353)+SUM(S370:S371)+S375),0)</f>
        <v>0</v>
      </c>
      <c r="U898" s="51"/>
      <c r="V898" s="2119"/>
      <c r="W898" s="2116"/>
      <c r="X898" s="258"/>
      <c r="Y898" s="258"/>
      <c r="Z898" s="258"/>
    </row>
    <row r="899" spans="1:26" s="1399" customFormat="1" ht="16.5" thickBot="1">
      <c r="A899" s="258"/>
      <c r="B899" s="262"/>
      <c r="C899" s="258"/>
      <c r="D899" s="270" t="s">
        <v>591</v>
      </c>
      <c r="E899" s="271"/>
      <c r="F899" s="271"/>
      <c r="G899" s="271"/>
      <c r="H899" s="271"/>
      <c r="I899" s="271"/>
      <c r="J899" s="271"/>
      <c r="K899" s="271"/>
      <c r="L899" s="272"/>
      <c r="M899" s="51"/>
      <c r="N899" s="260"/>
      <c r="O899" s="435" t="s">
        <v>697</v>
      </c>
      <c r="P899" s="273">
        <f>+IF((+SUM(O348:O350)+SUM(O354:O356)+O358+SUM(O368:O369)+SUM(O372:O374)+O376+SUM(O351:O353)+SUM(O370:O371)+SUM(O375))&gt;0,1-P898,0)</f>
        <v>0</v>
      </c>
      <c r="Q899" s="265">
        <v>0</v>
      </c>
      <c r="R899" s="266">
        <v>0</v>
      </c>
      <c r="S899" s="437" t="s">
        <v>699</v>
      </c>
      <c r="T899" s="276">
        <f>+IF((+SUM(S348:S350)+SUM(S354:S356)+S358+SUM(S368:S369)+SUM(S372:S374)+S376+SUM(S351:S353)+SUM(S370:S371)+SUM(S375))&gt;0,1-T898,0)</f>
        <v>0</v>
      </c>
      <c r="U899" s="51"/>
      <c r="V899" s="2119"/>
      <c r="W899" s="2116"/>
      <c r="X899" s="258"/>
      <c r="Y899" s="258"/>
      <c r="Z899" s="258"/>
    </row>
    <row r="900" spans="1:26" s="1399" customFormat="1" ht="16.5" thickBot="1">
      <c r="A900" s="258"/>
      <c r="B900" s="258"/>
      <c r="C900" s="258"/>
      <c r="D900" s="258"/>
      <c r="E900" s="258"/>
      <c r="F900" s="258"/>
      <c r="G900" s="258"/>
      <c r="H900" s="258"/>
      <c r="I900" s="258"/>
      <c r="J900" s="258"/>
      <c r="K900" s="258"/>
      <c r="L900" s="258"/>
      <c r="M900" s="259"/>
      <c r="N900" s="260"/>
      <c r="O900" s="261"/>
      <c r="P900" s="261"/>
      <c r="Q900" s="261"/>
      <c r="R900" s="261"/>
      <c r="S900" s="261"/>
      <c r="T900" s="261"/>
      <c r="U900" s="259"/>
      <c r="V900" s="2119"/>
      <c r="W900" s="2116"/>
      <c r="X900" s="258"/>
      <c r="Y900" s="258"/>
      <c r="Z900" s="258"/>
    </row>
    <row r="901" spans="1:26" s="1399" customFormat="1">
      <c r="A901" s="258"/>
      <c r="B901" s="262"/>
      <c r="C901" s="258"/>
      <c r="D901" s="267" t="s">
        <v>518</v>
      </c>
      <c r="E901" s="268"/>
      <c r="F901" s="268"/>
      <c r="G901" s="268"/>
      <c r="H901" s="268"/>
      <c r="I901" s="268"/>
      <c r="J901" s="268"/>
      <c r="K901" s="268"/>
      <c r="L901" s="269"/>
      <c r="M901" s="51"/>
      <c r="N901" s="260"/>
      <c r="O901" s="434" t="s">
        <v>701</v>
      </c>
      <c r="P901" s="274">
        <f>+IF((+P19+P20)&gt;0,(+P19)/(+P19+P20),0)</f>
        <v>0</v>
      </c>
      <c r="Q901" s="263">
        <v>0</v>
      </c>
      <c r="R901" s="264">
        <v>0</v>
      </c>
      <c r="S901" s="436" t="s">
        <v>703</v>
      </c>
      <c r="T901" s="275">
        <f>+IF((+T19+T20)&gt;0,(+T19)/(+T19+T20),0)</f>
        <v>0</v>
      </c>
      <c r="U901" s="51"/>
      <c r="V901" s="2119"/>
      <c r="W901" s="2116"/>
      <c r="X901" s="258"/>
      <c r="Y901" s="258"/>
      <c r="Z901" s="258"/>
    </row>
    <row r="902" spans="1:26" s="1399" customFormat="1" ht="16.5" thickBot="1">
      <c r="A902" s="258"/>
      <c r="B902" s="262"/>
      <c r="C902" s="258"/>
      <c r="D902" s="270" t="s">
        <v>519</v>
      </c>
      <c r="E902" s="271"/>
      <c r="F902" s="271"/>
      <c r="G902" s="271"/>
      <c r="H902" s="271"/>
      <c r="I902" s="271"/>
      <c r="J902" s="271"/>
      <c r="K902" s="271"/>
      <c r="L902" s="272"/>
      <c r="M902" s="51"/>
      <c r="N902" s="260"/>
      <c r="O902" s="435" t="s">
        <v>700</v>
      </c>
      <c r="P902" s="273">
        <f>+IF((+P19+P20)&gt;0,1-P901,0)</f>
        <v>0</v>
      </c>
      <c r="Q902" s="265">
        <v>0</v>
      </c>
      <c r="R902" s="266">
        <v>0</v>
      </c>
      <c r="S902" s="437" t="s">
        <v>702</v>
      </c>
      <c r="T902" s="276">
        <f>+IF((+T19+T20)&gt;0,1-T901,0)</f>
        <v>0</v>
      </c>
      <c r="U902" s="51"/>
      <c r="V902" s="2119"/>
      <c r="W902" s="2116"/>
      <c r="X902" s="258"/>
      <c r="Y902" s="258"/>
      <c r="Z902" s="258"/>
    </row>
    <row r="903" spans="1:26" s="1399" customFormat="1" ht="16.5" thickBot="1">
      <c r="A903" s="258"/>
      <c r="B903" s="258"/>
      <c r="C903" s="258"/>
      <c r="D903" s="258"/>
      <c r="E903" s="258"/>
      <c r="F903" s="258"/>
      <c r="G903" s="258"/>
      <c r="H903" s="258"/>
      <c r="I903" s="258"/>
      <c r="J903" s="258"/>
      <c r="K903" s="258"/>
      <c r="L903" s="258"/>
      <c r="M903" s="259"/>
      <c r="N903" s="260"/>
      <c r="O903" s="561"/>
      <c r="P903" s="261"/>
      <c r="Q903" s="261"/>
      <c r="R903" s="261"/>
      <c r="S903" s="261"/>
      <c r="T903" s="261"/>
      <c r="U903" s="259"/>
      <c r="V903" s="2119"/>
      <c r="W903" s="2116"/>
      <c r="X903" s="258"/>
      <c r="Y903" s="258"/>
      <c r="Z903" s="258"/>
    </row>
    <row r="904" spans="1:26" s="1399" customFormat="1">
      <c r="A904" s="258"/>
      <c r="B904" s="262"/>
      <c r="C904" s="258"/>
      <c r="D904" s="267" t="s">
        <v>175</v>
      </c>
      <c r="E904" s="268"/>
      <c r="F904" s="268"/>
      <c r="G904" s="268"/>
      <c r="H904" s="268"/>
      <c r="I904" s="268"/>
      <c r="J904" s="268"/>
      <c r="K904" s="268"/>
      <c r="L904" s="269"/>
      <c r="M904" s="51"/>
      <c r="N904" s="260"/>
      <c r="O904" s="434" t="s">
        <v>705</v>
      </c>
      <c r="P904" s="274">
        <f>+IF((+P50+P51+P52+P53)&gt;0,(+P50+P51)/(+P50+P51+P52+P53),0)</f>
        <v>0</v>
      </c>
      <c r="Q904" s="263">
        <v>0</v>
      </c>
      <c r="R904" s="264">
        <v>0</v>
      </c>
      <c r="S904" s="436" t="s">
        <v>706</v>
      </c>
      <c r="T904" s="275">
        <f>+IF((+T50+T51+T52+T53)&gt;0,(+T50+T51)/(+T50+T51+T52+T53),0)</f>
        <v>0</v>
      </c>
      <c r="U904" s="51"/>
      <c r="V904" s="2119"/>
      <c r="W904" s="2116"/>
      <c r="X904" s="258"/>
      <c r="Y904" s="258"/>
      <c r="Z904" s="258"/>
    </row>
    <row r="905" spans="1:26" s="1399" customFormat="1" ht="16.5" thickBot="1">
      <c r="A905" s="258"/>
      <c r="B905" s="262"/>
      <c r="C905" s="258"/>
      <c r="D905" s="270" t="s">
        <v>176</v>
      </c>
      <c r="E905" s="271"/>
      <c r="F905" s="271"/>
      <c r="G905" s="271"/>
      <c r="H905" s="271"/>
      <c r="I905" s="271"/>
      <c r="J905" s="271"/>
      <c r="K905" s="271"/>
      <c r="L905" s="272"/>
      <c r="M905" s="51"/>
      <c r="N905" s="260"/>
      <c r="O905" s="435" t="s">
        <v>704</v>
      </c>
      <c r="P905" s="273">
        <f>+IF((+P50+P51+P52+P53)&gt;0,1-P904,0)</f>
        <v>0</v>
      </c>
      <c r="Q905" s="265">
        <v>0</v>
      </c>
      <c r="R905" s="266">
        <v>0</v>
      </c>
      <c r="S905" s="437" t="s">
        <v>707</v>
      </c>
      <c r="T905" s="276">
        <f>+IF((+T50+T51+T52+T53)&gt;0,1-T904,0)</f>
        <v>0</v>
      </c>
      <c r="U905" s="51"/>
      <c r="V905" s="2119"/>
      <c r="W905" s="2116"/>
      <c r="X905" s="258"/>
      <c r="Y905" s="258"/>
      <c r="Z905" s="258"/>
    </row>
    <row r="906" spans="1:26" s="1399" customFormat="1" ht="16.5" thickBot="1">
      <c r="A906" s="258"/>
      <c r="B906" s="258"/>
      <c r="C906" s="258"/>
      <c r="D906" s="258"/>
      <c r="E906" s="258"/>
      <c r="F906" s="258"/>
      <c r="G906" s="258"/>
      <c r="H906" s="258"/>
      <c r="I906" s="258"/>
      <c r="J906" s="258"/>
      <c r="K906" s="258"/>
      <c r="L906" s="258"/>
      <c r="M906" s="259"/>
      <c r="N906" s="260"/>
      <c r="O906" s="561"/>
      <c r="P906" s="261"/>
      <c r="Q906" s="261"/>
      <c r="R906" s="261"/>
      <c r="S906" s="261"/>
      <c r="T906" s="261"/>
      <c r="U906" s="259"/>
      <c r="V906" s="2119"/>
      <c r="W906" s="2116"/>
      <c r="X906" s="258"/>
      <c r="Y906" s="258"/>
      <c r="Z906" s="258"/>
    </row>
    <row r="907" spans="1:26" s="1399" customFormat="1">
      <c r="A907" s="258"/>
      <c r="B907" s="262"/>
      <c r="C907" s="258"/>
      <c r="D907" s="267" t="s">
        <v>177</v>
      </c>
      <c r="E907" s="268"/>
      <c r="F907" s="268"/>
      <c r="G907" s="268"/>
      <c r="H907" s="268"/>
      <c r="I907" s="268"/>
      <c r="J907" s="268"/>
      <c r="K907" s="268"/>
      <c r="L907" s="269"/>
      <c r="M907" s="51"/>
      <c r="N907" s="260"/>
      <c r="O907" s="434" t="s">
        <v>179</v>
      </c>
      <c r="P907" s="274">
        <f>+IF((+P56+P57+P58+P59)&gt;0,(+P56+P57)/(+P56+P57+P58+P59),0)</f>
        <v>0</v>
      </c>
      <c r="Q907" s="263">
        <v>0</v>
      </c>
      <c r="R907" s="264">
        <v>0</v>
      </c>
      <c r="S907" s="434" t="s">
        <v>181</v>
      </c>
      <c r="T907" s="275">
        <f>+IF((+T56+T57+T58+T59)&gt;0,(+T56+T57)/(+T56+T57+T58+T59),0)</f>
        <v>0</v>
      </c>
      <c r="U907" s="51"/>
      <c r="V907" s="2119"/>
      <c r="W907" s="2116"/>
      <c r="X907" s="258"/>
      <c r="Y907" s="258"/>
      <c r="Z907" s="258"/>
    </row>
    <row r="908" spans="1:26" s="1399" customFormat="1" ht="16.5" thickBot="1">
      <c r="A908" s="258"/>
      <c r="B908" s="262"/>
      <c r="C908" s="258"/>
      <c r="D908" s="270" t="s">
        <v>178</v>
      </c>
      <c r="E908" s="271"/>
      <c r="F908" s="271"/>
      <c r="G908" s="271"/>
      <c r="H908" s="271"/>
      <c r="I908" s="271"/>
      <c r="J908" s="271"/>
      <c r="K908" s="271"/>
      <c r="L908" s="272"/>
      <c r="M908" s="51"/>
      <c r="N908" s="260"/>
      <c r="O908" s="562" t="s">
        <v>180</v>
      </c>
      <c r="P908" s="273">
        <f>+IF((+P56+P57+P58+P59)&gt;0,1-P907,0)</f>
        <v>0</v>
      </c>
      <c r="Q908" s="265">
        <v>0</v>
      </c>
      <c r="R908" s="266">
        <v>0</v>
      </c>
      <c r="S908" s="562" t="s">
        <v>182</v>
      </c>
      <c r="T908" s="276">
        <f>+IF((+T56+T57+T58+T59)&gt;0,1-T907,0)</f>
        <v>0</v>
      </c>
      <c r="U908" s="51"/>
      <c r="V908" s="2119"/>
      <c r="W908" s="2116"/>
      <c r="X908" s="258"/>
      <c r="Y908" s="258"/>
      <c r="Z908" s="258"/>
    </row>
    <row r="909" spans="1:26" s="1399" customFormat="1" ht="16.5" thickBot="1">
      <c r="A909" s="258"/>
      <c r="B909" s="258"/>
      <c r="C909" s="258"/>
      <c r="D909" s="258"/>
      <c r="E909" s="258"/>
      <c r="F909" s="258"/>
      <c r="G909" s="258"/>
      <c r="H909" s="258"/>
      <c r="I909" s="258"/>
      <c r="J909" s="258"/>
      <c r="K909" s="258"/>
      <c r="L909" s="258"/>
      <c r="M909" s="259"/>
      <c r="N909" s="260"/>
      <c r="O909" s="561"/>
      <c r="P909" s="261"/>
      <c r="Q909" s="261"/>
      <c r="R909" s="261"/>
      <c r="S909" s="261"/>
      <c r="T909" s="261"/>
      <c r="U909" s="259"/>
      <c r="V909" s="2119"/>
      <c r="W909" s="2116"/>
      <c r="X909" s="258"/>
      <c r="Y909" s="258"/>
      <c r="Z909" s="258"/>
    </row>
    <row r="910" spans="1:26" s="1399" customFormat="1">
      <c r="A910" s="258"/>
      <c r="B910" s="262"/>
      <c r="C910" s="258"/>
      <c r="D910" s="267" t="s">
        <v>199</v>
      </c>
      <c r="E910" s="268"/>
      <c r="F910" s="268"/>
      <c r="G910" s="268"/>
      <c r="H910" s="268"/>
      <c r="I910" s="268"/>
      <c r="J910" s="268"/>
      <c r="K910" s="268"/>
      <c r="L910" s="269"/>
      <c r="M910" s="51"/>
      <c r="N910" s="260"/>
      <c r="O910" s="563" t="s">
        <v>146</v>
      </c>
      <c r="P910" s="463">
        <f>+'DMP-TRIAL-BAL-2020'!O149+'DMP-TRIAL-BAL-2020'!O154+'DMP-TRIAL-BAL-2020'!O155+'DMP-TRIAL-BAL-2020'!O229+'DMP-TRIAL-BAL-2020'!O230+'DMP-TRIAL-BAL-2020'!O231+'DMP-TRIAL-BAL-2020'!O249+'DMP-TRIAL-BAL-2020'!O250++'DMP-TRIAL-BAL-2020'!O306+'DMP-TRIAL-BAL-2020'!O307+'DMP-TRIAL-BAL-2020'!O308+SUM('DMP-TRIAL-BAL-2020'!O331:O335)+'DMP-TRIAL-BAL-2020'!O346+'DMP-TRIAL-BAL-2020'!O347+SUM('DMP-TRIAL-BAL-2020'!O360:'DMP-TRIAL-BAL-2020'!O363)+SUM('DMP-TRIAL-BAL-2020'!O377:'DMP-TRIAL-BAL-2020'!O379)</f>
        <v>0</v>
      </c>
      <c r="Q910" s="263">
        <v>0</v>
      </c>
      <c r="R910" s="264">
        <v>0</v>
      </c>
      <c r="S910" s="563" t="s">
        <v>148</v>
      </c>
      <c r="T910" s="465">
        <f>+'DMP-TRIAL-BAL-2020'!S149+'DMP-TRIAL-BAL-2020'!S154+'DMP-TRIAL-BAL-2020'!S155+'DMP-TRIAL-BAL-2020'!S229+'DMP-TRIAL-BAL-2020'!S230+'DMP-TRIAL-BAL-2020'!S231+'DMP-TRIAL-BAL-2020'!S249+'DMP-TRIAL-BAL-2020'!S250++'DMP-TRIAL-BAL-2020'!S306+'DMP-TRIAL-BAL-2020'!S307+'DMP-TRIAL-BAL-2020'!S308+SUM('DMP-TRIAL-BAL-2020'!S331:S335)+'DMP-TRIAL-BAL-2020'!S346+'DMP-TRIAL-BAL-2020'!S347+SUM('DMP-TRIAL-BAL-2020'!S360:'DMP-TRIAL-BAL-2020'!S363)+SUM('DMP-TRIAL-BAL-2020'!S377:'DMP-TRIAL-BAL-2020'!S379)</f>
        <v>0</v>
      </c>
      <c r="U910" s="51"/>
      <c r="V910" s="2119"/>
      <c r="W910" s="2116"/>
      <c r="X910" s="258"/>
      <c r="Y910" s="258"/>
      <c r="Z910" s="258"/>
    </row>
    <row r="911" spans="1:26" s="1399" customFormat="1" ht="16.5" thickBot="1">
      <c r="A911" s="258"/>
      <c r="B911" s="262"/>
      <c r="C911" s="258"/>
      <c r="D911" s="270" t="s">
        <v>198</v>
      </c>
      <c r="E911" s="271"/>
      <c r="F911" s="271"/>
      <c r="G911" s="271"/>
      <c r="H911" s="271"/>
      <c r="I911" s="271"/>
      <c r="J911" s="271"/>
      <c r="K911" s="271"/>
      <c r="L911" s="272"/>
      <c r="M911" s="51"/>
      <c r="N911" s="260"/>
      <c r="O911" s="562" t="s">
        <v>147</v>
      </c>
      <c r="P911" s="464">
        <f>+P22-O23+SUM('DMP-TRIAL-BAL-2020'!P41:P45)+SUM(P48:P49)+P65+P69+P151+P232+P233+P234+P251+P252</f>
        <v>0</v>
      </c>
      <c r="Q911" s="265">
        <v>0</v>
      </c>
      <c r="R911" s="266">
        <v>0</v>
      </c>
      <c r="S911" s="562" t="s">
        <v>149</v>
      </c>
      <c r="T911" s="466">
        <f>+T22-S23+SUM('DMP-TRIAL-BAL-2020'!T41:T45)+SUM(T48:T49)+T65+T69+T151+T232+T233+T234+T251+T252</f>
        <v>0</v>
      </c>
      <c r="U911" s="51"/>
      <c r="V911" s="2119"/>
      <c r="W911" s="2116"/>
      <c r="X911" s="258"/>
      <c r="Y911" s="258"/>
      <c r="Z911" s="258"/>
    </row>
    <row r="912" spans="1:26">
      <c r="A912" s="43"/>
      <c r="B912" s="43"/>
      <c r="C912" s="43"/>
      <c r="D912" s="43"/>
      <c r="E912" s="43"/>
      <c r="F912" s="43"/>
      <c r="G912" s="43"/>
      <c r="H912" s="43"/>
      <c r="I912" s="43"/>
      <c r="J912" s="43"/>
      <c r="K912" s="43"/>
      <c r="L912" s="43"/>
      <c r="M912" s="44"/>
      <c r="N912" s="119"/>
      <c r="O912" s="38"/>
      <c r="P912" s="38"/>
      <c r="Q912" s="38"/>
      <c r="R912" s="38"/>
      <c r="S912" s="38"/>
      <c r="T912" s="38"/>
      <c r="U912" s="44"/>
      <c r="V912" s="2119"/>
      <c r="W912" s="2116"/>
      <c r="X912" s="43"/>
      <c r="Y912" s="43"/>
      <c r="Z912" s="43"/>
    </row>
    <row r="913" spans="1:26">
      <c r="A913" s="43"/>
      <c r="B913" s="43"/>
      <c r="C913" s="43"/>
      <c r="D913" s="43"/>
      <c r="E913" s="43"/>
      <c r="F913" s="43"/>
      <c r="G913" s="43"/>
      <c r="H913" s="43"/>
      <c r="I913" s="43"/>
      <c r="J913" s="43"/>
      <c r="K913" s="43"/>
      <c r="L913" s="43"/>
      <c r="M913" s="44"/>
      <c r="N913" s="119"/>
      <c r="O913" s="38"/>
      <c r="P913" s="38"/>
      <c r="Q913" s="38"/>
      <c r="R913" s="38"/>
      <c r="S913" s="38"/>
      <c r="T913" s="38"/>
      <c r="U913" s="44"/>
      <c r="V913" s="2119"/>
      <c r="W913" s="2116"/>
      <c r="X913" s="43"/>
      <c r="Y913" s="43"/>
      <c r="Z913" s="43"/>
    </row>
    <row r="914" spans="1:26">
      <c r="A914" s="43"/>
      <c r="B914" s="43"/>
      <c r="C914" s="43"/>
      <c r="D914" s="43"/>
      <c r="E914" s="43"/>
      <c r="F914" s="43"/>
      <c r="G914" s="43"/>
      <c r="H914" s="43"/>
      <c r="I914" s="43"/>
      <c r="J914" s="43"/>
      <c r="K914" s="43"/>
      <c r="L914" s="43"/>
      <c r="M914" s="44"/>
      <c r="N914" s="119"/>
      <c r="O914" s="38"/>
      <c r="P914" s="38"/>
      <c r="Q914" s="38"/>
      <c r="R914" s="38"/>
      <c r="S914" s="38"/>
      <c r="T914" s="38"/>
      <c r="U914" s="44"/>
      <c r="V914" s="2119"/>
      <c r="W914" s="2116"/>
      <c r="X914" s="43"/>
      <c r="Y914" s="43"/>
      <c r="Z914" s="43"/>
    </row>
    <row r="915" spans="1:26">
      <c r="A915" s="43"/>
      <c r="B915" s="43"/>
      <c r="C915" s="43"/>
      <c r="D915" s="43"/>
      <c r="E915" s="43"/>
      <c r="F915" s="43"/>
      <c r="G915" s="43"/>
      <c r="H915" s="43"/>
      <c r="I915" s="43"/>
      <c r="J915" s="43"/>
      <c r="K915" s="43"/>
      <c r="L915" s="43"/>
      <c r="M915" s="44"/>
      <c r="N915" s="119"/>
      <c r="O915" s="38"/>
      <c r="P915" s="38"/>
      <c r="Q915" s="38"/>
      <c r="R915" s="38"/>
      <c r="S915" s="38"/>
      <c r="T915" s="38"/>
      <c r="U915" s="44"/>
      <c r="V915" s="2119"/>
      <c r="W915" s="2116"/>
      <c r="X915" s="43"/>
      <c r="Y915" s="43"/>
      <c r="Z915" s="43"/>
    </row>
    <row r="916" spans="1:26">
      <c r="A916" s="43"/>
      <c r="B916" s="43"/>
      <c r="C916" s="43"/>
      <c r="D916" s="43"/>
      <c r="E916" s="43"/>
      <c r="F916" s="43"/>
      <c r="G916" s="43"/>
      <c r="H916" s="43"/>
      <c r="I916" s="43"/>
      <c r="J916" s="43"/>
      <c r="K916" s="43"/>
      <c r="L916" s="43"/>
      <c r="M916" s="44"/>
      <c r="N916" s="119"/>
      <c r="O916" s="38"/>
      <c r="P916" s="38"/>
      <c r="Q916" s="38"/>
      <c r="R916" s="38"/>
      <c r="S916" s="38"/>
      <c r="T916" s="38"/>
      <c r="U916" s="44"/>
      <c r="V916" s="2119"/>
      <c r="W916" s="2116"/>
      <c r="X916" s="43"/>
      <c r="Y916" s="43"/>
      <c r="Z916" s="43"/>
    </row>
    <row r="917" spans="1:26">
      <c r="A917" s="43"/>
      <c r="B917" s="43"/>
      <c r="C917" s="43"/>
      <c r="D917" s="43"/>
      <c r="E917" s="43"/>
      <c r="F917" s="43"/>
      <c r="G917" s="43"/>
      <c r="H917" s="43"/>
      <c r="I917" s="43"/>
      <c r="J917" s="43"/>
      <c r="K917" s="43"/>
      <c r="L917" s="43"/>
      <c r="M917" s="44"/>
      <c r="N917" s="119"/>
      <c r="O917" s="38"/>
      <c r="P917" s="38"/>
      <c r="Q917" s="38"/>
      <c r="R917" s="38"/>
      <c r="S917" s="38"/>
      <c r="T917" s="38"/>
      <c r="U917" s="44"/>
      <c r="V917" s="2119"/>
      <c r="W917" s="2116"/>
      <c r="X917" s="43"/>
      <c r="Y917" s="43"/>
      <c r="Z917" s="43"/>
    </row>
    <row r="918" spans="1:26">
      <c r="A918" s="43"/>
      <c r="B918" s="43"/>
      <c r="C918" s="43"/>
      <c r="D918" s="43"/>
      <c r="E918" s="43"/>
      <c r="F918" s="43"/>
      <c r="G918" s="43"/>
      <c r="H918" s="43"/>
      <c r="I918" s="43"/>
      <c r="J918" s="43"/>
      <c r="K918" s="43"/>
      <c r="L918" s="43"/>
      <c r="M918" s="44"/>
      <c r="N918" s="119"/>
      <c r="O918" s="38"/>
      <c r="P918" s="38"/>
      <c r="Q918" s="38"/>
      <c r="R918" s="38"/>
      <c r="S918" s="38"/>
      <c r="T918" s="38"/>
      <c r="U918" s="44"/>
      <c r="V918" s="2119"/>
      <c r="W918" s="2116"/>
      <c r="X918" s="43"/>
      <c r="Y918" s="43"/>
      <c r="Z918" s="43"/>
    </row>
    <row r="919" spans="1:26">
      <c r="A919" s="43"/>
      <c r="B919" s="43"/>
      <c r="C919" s="43"/>
      <c r="D919" s="43"/>
      <c r="E919" s="43"/>
      <c r="F919" s="43"/>
      <c r="G919" s="43"/>
      <c r="H919" s="43"/>
      <c r="I919" s="43"/>
      <c r="J919" s="43"/>
      <c r="K919" s="43"/>
      <c r="L919" s="43"/>
      <c r="M919" s="44"/>
      <c r="N919" s="119"/>
      <c r="O919" s="38"/>
      <c r="P919" s="38"/>
      <c r="Q919" s="38"/>
      <c r="R919" s="38"/>
      <c r="S919" s="38"/>
      <c r="T919" s="38"/>
      <c r="U919" s="44"/>
      <c r="V919" s="2119"/>
      <c r="W919" s="2116"/>
      <c r="X919" s="43"/>
      <c r="Y919" s="43"/>
      <c r="Z919" s="43"/>
    </row>
    <row r="920" spans="1:26">
      <c r="A920" s="43"/>
      <c r="B920" s="43"/>
      <c r="C920" s="43"/>
      <c r="D920" s="43"/>
      <c r="E920" s="43"/>
      <c r="F920" s="43"/>
      <c r="G920" s="43"/>
      <c r="H920" s="43"/>
      <c r="I920" s="43"/>
      <c r="J920" s="43"/>
      <c r="K920" s="43"/>
      <c r="L920" s="43"/>
      <c r="M920" s="44"/>
      <c r="N920" s="119"/>
      <c r="O920" s="38"/>
      <c r="P920" s="38"/>
      <c r="Q920" s="38"/>
      <c r="R920" s="38"/>
      <c r="S920" s="38"/>
      <c r="T920" s="38"/>
      <c r="U920" s="44"/>
      <c r="V920" s="2119"/>
      <c r="W920" s="2116"/>
      <c r="X920" s="43"/>
      <c r="Y920" s="43"/>
      <c r="Z920" s="43"/>
    </row>
    <row r="921" spans="1:26">
      <c r="A921" s="43"/>
      <c r="B921" s="43"/>
      <c r="C921" s="43"/>
      <c r="D921" s="43"/>
      <c r="E921" s="43"/>
      <c r="F921" s="43"/>
      <c r="G921" s="43"/>
      <c r="H921" s="43"/>
      <c r="I921" s="43"/>
      <c r="J921" s="43"/>
      <c r="K921" s="43"/>
      <c r="L921" s="43"/>
      <c r="M921" s="44"/>
      <c r="N921" s="119"/>
      <c r="O921" s="38"/>
      <c r="P921" s="38"/>
      <c r="Q921" s="38"/>
      <c r="R921" s="38"/>
      <c r="S921" s="38"/>
      <c r="T921" s="38"/>
      <c r="U921" s="44"/>
      <c r="V921" s="2119"/>
      <c r="W921" s="2116"/>
      <c r="X921" s="43"/>
      <c r="Y921" s="43"/>
      <c r="Z921" s="43"/>
    </row>
    <row r="922" spans="1:26">
      <c r="A922" s="43"/>
      <c r="B922" s="43"/>
      <c r="C922" s="43"/>
      <c r="D922" s="43"/>
      <c r="E922" s="43"/>
      <c r="F922" s="43"/>
      <c r="G922" s="43"/>
      <c r="H922" s="43"/>
      <c r="I922" s="43"/>
      <c r="J922" s="43"/>
      <c r="K922" s="43"/>
      <c r="L922" s="43"/>
      <c r="M922" s="44"/>
      <c r="N922" s="119"/>
      <c r="O922" s="38"/>
      <c r="P922" s="38"/>
      <c r="Q922" s="38"/>
      <c r="R922" s="38"/>
      <c r="S922" s="38"/>
      <c r="T922" s="38"/>
      <c r="U922" s="44"/>
      <c r="V922" s="2119"/>
      <c r="W922" s="2116"/>
      <c r="X922" s="43"/>
      <c r="Y922" s="43"/>
      <c r="Z922" s="43"/>
    </row>
    <row r="923" spans="1:26">
      <c r="A923" s="43"/>
      <c r="B923" s="43"/>
      <c r="C923" s="43"/>
      <c r="D923" s="43"/>
      <c r="E923" s="43"/>
      <c r="F923" s="43"/>
      <c r="G923" s="43"/>
      <c r="H923" s="43"/>
      <c r="I923" s="43"/>
      <c r="J923" s="43"/>
      <c r="K923" s="43"/>
      <c r="L923" s="43"/>
      <c r="M923" s="44"/>
      <c r="N923" s="119"/>
      <c r="O923" s="38"/>
      <c r="P923" s="38"/>
      <c r="Q923" s="38"/>
      <c r="R923" s="38"/>
      <c r="S923" s="38"/>
      <c r="T923" s="38"/>
      <c r="U923" s="44"/>
      <c r="V923" s="2119"/>
      <c r="W923" s="2116"/>
      <c r="X923" s="43"/>
      <c r="Y923" s="43"/>
      <c r="Z923" s="43"/>
    </row>
    <row r="924" spans="1:26">
      <c r="A924" s="43"/>
      <c r="B924" s="43"/>
      <c r="C924" s="43"/>
      <c r="D924" s="43"/>
      <c r="E924" s="43"/>
      <c r="F924" s="43"/>
      <c r="G924" s="43"/>
      <c r="H924" s="43"/>
      <c r="I924" s="43"/>
      <c r="J924" s="43"/>
      <c r="K924" s="43"/>
      <c r="L924" s="43"/>
      <c r="M924" s="44"/>
      <c r="N924" s="119"/>
      <c r="O924" s="38"/>
      <c r="P924" s="38"/>
      <c r="Q924" s="38"/>
      <c r="R924" s="38"/>
      <c r="S924" s="38"/>
      <c r="T924" s="38"/>
      <c r="U924" s="44"/>
      <c r="V924" s="2119"/>
      <c r="W924" s="2116"/>
      <c r="X924" s="43"/>
      <c r="Y924" s="43"/>
      <c r="Z924" s="43"/>
    </row>
    <row r="925" spans="1:26">
      <c r="A925" s="43"/>
      <c r="B925" s="43"/>
      <c r="C925" s="43"/>
      <c r="D925" s="43"/>
      <c r="E925" s="43"/>
      <c r="F925" s="43"/>
      <c r="G925" s="43"/>
      <c r="H925" s="43"/>
      <c r="I925" s="43"/>
      <c r="J925" s="43"/>
      <c r="K925" s="43"/>
      <c r="L925" s="43"/>
      <c r="M925" s="44"/>
      <c r="N925" s="119"/>
      <c r="O925" s="38"/>
      <c r="P925" s="38"/>
      <c r="Q925" s="38"/>
      <c r="R925" s="38"/>
      <c r="S925" s="38"/>
      <c r="T925" s="38"/>
      <c r="U925" s="44"/>
      <c r="V925" s="2119"/>
      <c r="W925" s="2116"/>
      <c r="X925" s="43"/>
      <c r="Y925" s="43"/>
      <c r="Z925" s="43"/>
    </row>
    <row r="926" spans="1:26">
      <c r="A926" s="43"/>
      <c r="B926" s="43"/>
      <c r="C926" s="43"/>
      <c r="D926" s="43"/>
      <c r="E926" s="43"/>
      <c r="F926" s="43"/>
      <c r="G926" s="43"/>
      <c r="H926" s="43"/>
      <c r="I926" s="43"/>
      <c r="J926" s="43"/>
      <c r="K926" s="43"/>
      <c r="L926" s="43"/>
      <c r="M926" s="44"/>
      <c r="N926" s="119"/>
      <c r="O926" s="38"/>
      <c r="P926" s="38"/>
      <c r="Q926" s="38"/>
      <c r="R926" s="38"/>
      <c r="S926" s="38"/>
      <c r="T926" s="38"/>
      <c r="U926" s="44"/>
      <c r="V926" s="2119"/>
      <c r="W926" s="2116"/>
      <c r="X926" s="43"/>
      <c r="Y926" s="43"/>
      <c r="Z926" s="43"/>
    </row>
    <row r="927" spans="1:26">
      <c r="A927" s="43"/>
      <c r="B927" s="43"/>
      <c r="C927" s="43"/>
      <c r="D927" s="43"/>
      <c r="E927" s="43"/>
      <c r="F927" s="43"/>
      <c r="G927" s="43"/>
      <c r="H927" s="43"/>
      <c r="I927" s="43"/>
      <c r="J927" s="43"/>
      <c r="K927" s="43"/>
      <c r="L927" s="43"/>
      <c r="M927" s="44"/>
      <c r="N927" s="119"/>
      <c r="O927" s="38"/>
      <c r="P927" s="38"/>
      <c r="Q927" s="38"/>
      <c r="R927" s="38"/>
      <c r="S927" s="38"/>
      <c r="T927" s="38"/>
      <c r="U927" s="44"/>
      <c r="V927" s="2119"/>
      <c r="W927" s="2116"/>
      <c r="X927" s="43"/>
      <c r="Y927" s="43"/>
      <c r="Z927" s="43"/>
    </row>
    <row r="928" spans="1:26">
      <c r="A928" s="43"/>
      <c r="B928" s="43"/>
      <c r="C928" s="43"/>
      <c r="D928" s="43"/>
      <c r="E928" s="43"/>
      <c r="F928" s="43"/>
      <c r="G928" s="43"/>
      <c r="H928" s="43"/>
      <c r="I928" s="43"/>
      <c r="J928" s="43"/>
      <c r="K928" s="43"/>
      <c r="L928" s="43"/>
      <c r="M928" s="44"/>
      <c r="N928" s="119"/>
      <c r="O928" s="38"/>
      <c r="P928" s="38"/>
      <c r="Q928" s="38"/>
      <c r="R928" s="38"/>
      <c r="S928" s="38"/>
      <c r="T928" s="38"/>
      <c r="U928" s="44"/>
      <c r="V928" s="2119"/>
      <c r="W928" s="2116"/>
      <c r="X928" s="43"/>
      <c r="Y928" s="43"/>
      <c r="Z928" s="43"/>
    </row>
    <row r="929" spans="1:26">
      <c r="A929" s="43"/>
      <c r="B929" s="43"/>
      <c r="C929" s="43"/>
      <c r="D929" s="43"/>
      <c r="E929" s="43"/>
      <c r="F929" s="43"/>
      <c r="G929" s="43"/>
      <c r="H929" s="43"/>
      <c r="I929" s="43"/>
      <c r="J929" s="43"/>
      <c r="K929" s="43"/>
      <c r="L929" s="43"/>
      <c r="M929" s="44"/>
      <c r="N929" s="119"/>
      <c r="O929" s="38"/>
      <c r="P929" s="38"/>
      <c r="Q929" s="38"/>
      <c r="R929" s="38"/>
      <c r="S929" s="38"/>
      <c r="T929" s="38"/>
      <c r="U929" s="44"/>
      <c r="V929" s="2119"/>
      <c r="W929" s="2116"/>
      <c r="X929" s="43"/>
      <c r="Y929" s="43"/>
      <c r="Z929" s="43"/>
    </row>
    <row r="930" spans="1:26">
      <c r="A930" s="43"/>
      <c r="B930" s="43"/>
      <c r="C930" s="43"/>
      <c r="D930" s="43"/>
      <c r="E930" s="43"/>
      <c r="F930" s="43"/>
      <c r="G930" s="43"/>
      <c r="H930" s="43"/>
      <c r="I930" s="43"/>
      <c r="J930" s="43"/>
      <c r="K930" s="43"/>
      <c r="L930" s="43"/>
      <c r="M930" s="44"/>
      <c r="N930" s="119"/>
      <c r="O930" s="38"/>
      <c r="P930" s="38"/>
      <c r="Q930" s="38"/>
      <c r="R930" s="38"/>
      <c r="S930" s="38"/>
      <c r="T930" s="38"/>
      <c r="U930" s="44"/>
      <c r="V930" s="2119"/>
      <c r="W930" s="2116"/>
      <c r="X930" s="43"/>
      <c r="Y930" s="43"/>
      <c r="Z930" s="43"/>
    </row>
    <row r="931" spans="1:26">
      <c r="A931" s="43"/>
      <c r="B931" s="43"/>
      <c r="C931" s="43"/>
      <c r="D931" s="43"/>
      <c r="E931" s="43"/>
      <c r="F931" s="43"/>
      <c r="G931" s="43"/>
      <c r="H931" s="43"/>
      <c r="I931" s="43"/>
      <c r="J931" s="43"/>
      <c r="K931" s="43"/>
      <c r="L931" s="43"/>
      <c r="M931" s="44"/>
      <c r="N931" s="119"/>
      <c r="O931" s="38"/>
      <c r="P931" s="38"/>
      <c r="Q931" s="38"/>
      <c r="R931" s="38"/>
      <c r="S931" s="38"/>
      <c r="T931" s="38"/>
      <c r="U931" s="44"/>
      <c r="V931" s="2119"/>
      <c r="W931" s="2116"/>
      <c r="X931" s="43"/>
      <c r="Y931" s="43"/>
      <c r="Z931" s="43"/>
    </row>
    <row r="932" spans="1:26">
      <c r="A932" s="43"/>
      <c r="B932" s="43"/>
      <c r="C932" s="43"/>
      <c r="D932" s="43"/>
      <c r="E932" s="43"/>
      <c r="F932" s="43"/>
      <c r="G932" s="43"/>
      <c r="H932" s="43"/>
      <c r="I932" s="43"/>
      <c r="J932" s="43"/>
      <c r="K932" s="43"/>
      <c r="L932" s="43"/>
      <c r="M932" s="44"/>
      <c r="N932" s="119"/>
      <c r="O932" s="38"/>
      <c r="P932" s="38"/>
      <c r="Q932" s="38"/>
      <c r="R932" s="38"/>
      <c r="S932" s="38"/>
      <c r="T932" s="38"/>
      <c r="U932" s="44"/>
      <c r="V932" s="2119"/>
      <c r="W932" s="2116"/>
      <c r="X932" s="43"/>
      <c r="Y932" s="43"/>
      <c r="Z932" s="43"/>
    </row>
    <row r="933" spans="1:26">
      <c r="A933" s="43"/>
      <c r="B933" s="43"/>
      <c r="C933" s="43"/>
      <c r="D933" s="43"/>
      <c r="E933" s="43"/>
      <c r="F933" s="43"/>
      <c r="G933" s="43"/>
      <c r="H933" s="43"/>
      <c r="I933" s="43"/>
      <c r="J933" s="43"/>
      <c r="K933" s="43"/>
      <c r="L933" s="43"/>
      <c r="M933" s="44"/>
      <c r="N933" s="119"/>
      <c r="O933" s="38"/>
      <c r="P933" s="38"/>
      <c r="Q933" s="38"/>
      <c r="R933" s="38"/>
      <c r="S933" s="38"/>
      <c r="T933" s="38"/>
      <c r="U933" s="44"/>
      <c r="V933" s="2119"/>
      <c r="W933" s="2116"/>
      <c r="X933" s="43"/>
      <c r="Y933" s="43"/>
      <c r="Z933" s="43"/>
    </row>
    <row r="934" spans="1:26">
      <c r="A934" s="43"/>
      <c r="B934" s="43"/>
      <c r="C934" s="43"/>
      <c r="D934" s="43"/>
      <c r="E934" s="43"/>
      <c r="F934" s="43"/>
      <c r="G934" s="43"/>
      <c r="H934" s="43"/>
      <c r="I934" s="43"/>
      <c r="J934" s="43"/>
      <c r="K934" s="43"/>
      <c r="L934" s="43"/>
      <c r="M934" s="44"/>
      <c r="N934" s="119"/>
      <c r="O934" s="38"/>
      <c r="P934" s="38"/>
      <c r="Q934" s="38"/>
      <c r="R934" s="38"/>
      <c r="S934" s="38"/>
      <c r="T934" s="38"/>
      <c r="U934" s="44"/>
      <c r="V934" s="2119"/>
      <c r="W934" s="2116"/>
      <c r="X934" s="43"/>
      <c r="Y934" s="43"/>
      <c r="Z934" s="43"/>
    </row>
    <row r="935" spans="1:26">
      <c r="A935" s="43"/>
      <c r="B935" s="43"/>
      <c r="C935" s="43"/>
      <c r="D935" s="43"/>
      <c r="E935" s="43"/>
      <c r="F935" s="43"/>
      <c r="G935" s="43"/>
      <c r="H935" s="43"/>
      <c r="I935" s="43"/>
      <c r="J935" s="43"/>
      <c r="K935" s="43"/>
      <c r="L935" s="43"/>
      <c r="M935" s="44"/>
      <c r="N935" s="119"/>
      <c r="O935" s="38"/>
      <c r="P935" s="38"/>
      <c r="Q935" s="38"/>
      <c r="R935" s="38"/>
      <c r="S935" s="38"/>
      <c r="T935" s="38"/>
      <c r="U935" s="44"/>
      <c r="V935" s="2119"/>
      <c r="W935" s="2116"/>
      <c r="X935" s="43"/>
      <c r="Y935" s="43"/>
      <c r="Z935" s="43"/>
    </row>
    <row r="936" spans="1:26">
      <c r="A936" s="43"/>
      <c r="B936" s="43"/>
      <c r="C936" s="43"/>
      <c r="D936" s="43"/>
      <c r="E936" s="43"/>
      <c r="F936" s="43"/>
      <c r="G936" s="43"/>
      <c r="H936" s="43"/>
      <c r="I936" s="43"/>
      <c r="J936" s="43"/>
      <c r="K936" s="43"/>
      <c r="L936" s="43"/>
      <c r="M936" s="44"/>
      <c r="N936" s="119"/>
      <c r="O936" s="38"/>
      <c r="P936" s="38"/>
      <c r="Q936" s="38"/>
      <c r="R936" s="38"/>
      <c r="S936" s="38"/>
      <c r="T936" s="38"/>
      <c r="U936" s="44"/>
      <c r="V936" s="2119"/>
      <c r="W936" s="2116"/>
      <c r="X936" s="43"/>
      <c r="Y936" s="43"/>
      <c r="Z936" s="43"/>
    </row>
    <row r="937" spans="1:26">
      <c r="A937" s="43"/>
      <c r="B937" s="43"/>
      <c r="C937" s="43"/>
      <c r="D937" s="43"/>
      <c r="E937" s="43"/>
      <c r="F937" s="43"/>
      <c r="G937" s="43"/>
      <c r="H937" s="43"/>
      <c r="I937" s="43"/>
      <c r="J937" s="43"/>
      <c r="K937" s="43"/>
      <c r="L937" s="43"/>
      <c r="M937" s="44"/>
      <c r="N937" s="119"/>
      <c r="O937" s="38"/>
      <c r="P937" s="38"/>
      <c r="Q937" s="38"/>
      <c r="R937" s="38"/>
      <c r="S937" s="38"/>
      <c r="T937" s="38"/>
      <c r="U937" s="44"/>
      <c r="V937" s="2119"/>
      <c r="W937" s="2116"/>
      <c r="X937" s="43"/>
      <c r="Y937" s="43"/>
      <c r="Z937" s="43"/>
    </row>
    <row r="938" spans="1:26">
      <c r="A938" s="43"/>
      <c r="B938" s="43"/>
      <c r="C938" s="43"/>
      <c r="D938" s="43"/>
      <c r="E938" s="43"/>
      <c r="F938" s="43"/>
      <c r="G938" s="43"/>
      <c r="H938" s="43"/>
      <c r="I938" s="43"/>
      <c r="J938" s="43"/>
      <c r="K938" s="43"/>
      <c r="L938" s="43"/>
      <c r="M938" s="44"/>
      <c r="N938" s="119"/>
      <c r="O938" s="38"/>
      <c r="P938" s="38"/>
      <c r="Q938" s="38"/>
      <c r="R938" s="38"/>
      <c r="S938" s="38"/>
      <c r="T938" s="38"/>
      <c r="U938" s="44"/>
      <c r="V938" s="2119"/>
      <c r="W938" s="2116"/>
      <c r="X938" s="43"/>
      <c r="Y938" s="43"/>
      <c r="Z938" s="43"/>
    </row>
    <row r="939" spans="1:26">
      <c r="A939" s="43"/>
      <c r="B939" s="43"/>
      <c r="C939" s="43"/>
      <c r="D939" s="43"/>
      <c r="E939" s="43"/>
      <c r="F939" s="43"/>
      <c r="G939" s="43"/>
      <c r="H939" s="43"/>
      <c r="I939" s="43"/>
      <c r="J939" s="43"/>
      <c r="K939" s="43"/>
      <c r="L939" s="43"/>
      <c r="M939" s="44"/>
      <c r="N939" s="119"/>
      <c r="O939" s="38"/>
      <c r="P939" s="38"/>
      <c r="Q939" s="38"/>
      <c r="R939" s="38"/>
      <c r="S939" s="38"/>
      <c r="T939" s="38"/>
      <c r="U939" s="44"/>
      <c r="V939" s="2119"/>
      <c r="W939" s="2116"/>
      <c r="X939" s="43"/>
      <c r="Y939" s="43"/>
      <c r="Z939" s="43"/>
    </row>
    <row r="940" spans="1:26">
      <c r="A940" s="43"/>
      <c r="B940" s="43"/>
      <c r="C940" s="43"/>
      <c r="D940" s="43"/>
      <c r="E940" s="43"/>
      <c r="F940" s="43"/>
      <c r="G940" s="43"/>
      <c r="H940" s="43"/>
      <c r="I940" s="43"/>
      <c r="J940" s="43"/>
      <c r="K940" s="43"/>
      <c r="L940" s="43"/>
      <c r="M940" s="44"/>
      <c r="N940" s="119"/>
      <c r="O940" s="38"/>
      <c r="P940" s="38"/>
      <c r="Q940" s="38"/>
      <c r="R940" s="38"/>
      <c r="S940" s="38"/>
      <c r="T940" s="38"/>
      <c r="U940" s="44"/>
      <c r="V940" s="2119"/>
      <c r="W940" s="2116"/>
      <c r="X940" s="43"/>
      <c r="Y940" s="43"/>
      <c r="Z940" s="43"/>
    </row>
    <row r="941" spans="1:26">
      <c r="A941" s="43"/>
      <c r="B941" s="43"/>
      <c r="C941" s="43"/>
      <c r="D941" s="43"/>
      <c r="E941" s="43"/>
      <c r="F941" s="43"/>
      <c r="G941" s="43"/>
      <c r="H941" s="43"/>
      <c r="I941" s="43"/>
      <c r="J941" s="43"/>
      <c r="K941" s="43"/>
      <c r="L941" s="43"/>
      <c r="M941" s="44"/>
      <c r="N941" s="119"/>
      <c r="O941" s="38"/>
      <c r="P941" s="38"/>
      <c r="Q941" s="38"/>
      <c r="R941" s="38"/>
      <c r="S941" s="38"/>
      <c r="T941" s="38"/>
      <c r="U941" s="44"/>
      <c r="V941" s="2116"/>
      <c r="W941" s="2116"/>
      <c r="X941" s="43"/>
      <c r="Y941" s="43"/>
      <c r="Z941" s="43"/>
    </row>
    <row r="942" spans="1:26">
      <c r="A942" s="43"/>
      <c r="B942" s="43"/>
      <c r="C942" s="43"/>
      <c r="D942" s="43"/>
      <c r="E942" s="43"/>
      <c r="F942" s="43"/>
      <c r="G942" s="43"/>
      <c r="H942" s="43"/>
      <c r="I942" s="43"/>
      <c r="J942" s="43"/>
      <c r="K942" s="43"/>
      <c r="L942" s="43"/>
      <c r="M942" s="44"/>
      <c r="N942" s="119"/>
      <c r="O942" s="38"/>
      <c r="P942" s="38"/>
      <c r="Q942" s="38"/>
      <c r="R942" s="38"/>
      <c r="S942" s="38"/>
      <c r="T942" s="38"/>
      <c r="U942" s="44"/>
      <c r="V942" s="2116"/>
      <c r="W942" s="2116"/>
      <c r="X942" s="43"/>
      <c r="Y942" s="43"/>
      <c r="Z942" s="43"/>
    </row>
    <row r="943" spans="1:26">
      <c r="A943" s="43"/>
      <c r="B943" s="43"/>
      <c r="C943" s="43"/>
      <c r="D943" s="43"/>
      <c r="E943" s="43"/>
      <c r="F943" s="43"/>
      <c r="G943" s="43"/>
      <c r="H943" s="43"/>
      <c r="I943" s="43"/>
      <c r="J943" s="43"/>
      <c r="K943" s="43"/>
      <c r="L943" s="43"/>
      <c r="M943" s="44"/>
      <c r="N943" s="119"/>
      <c r="O943" s="38"/>
      <c r="P943" s="38"/>
      <c r="Q943" s="38"/>
      <c r="R943" s="38"/>
      <c r="S943" s="38"/>
      <c r="T943" s="38"/>
      <c r="U943" s="44"/>
      <c r="V943" s="2116"/>
      <c r="W943" s="2116"/>
      <c r="X943" s="43"/>
      <c r="Y943" s="43"/>
      <c r="Z943" s="43"/>
    </row>
    <row r="944" spans="1:26">
      <c r="A944" s="43"/>
      <c r="B944" s="43"/>
      <c r="C944" s="43"/>
      <c r="D944" s="43"/>
      <c r="E944" s="43"/>
      <c r="F944" s="43"/>
      <c r="G944" s="43"/>
      <c r="H944" s="43"/>
      <c r="I944" s="43"/>
      <c r="J944" s="43"/>
      <c r="K944" s="43"/>
      <c r="L944" s="43"/>
      <c r="M944" s="44"/>
      <c r="N944" s="119"/>
      <c r="O944" s="38"/>
      <c r="P944" s="38"/>
      <c r="Q944" s="38"/>
      <c r="R944" s="38"/>
      <c r="S944" s="38"/>
      <c r="T944" s="38"/>
      <c r="U944" s="44"/>
      <c r="V944" s="2116"/>
      <c r="W944" s="2116"/>
      <c r="X944" s="43"/>
      <c r="Y944" s="43"/>
      <c r="Z944" s="43"/>
    </row>
    <row r="945" spans="1:26">
      <c r="A945" s="43"/>
      <c r="B945" s="43"/>
      <c r="C945" s="43"/>
      <c r="D945" s="43"/>
      <c r="E945" s="43"/>
      <c r="F945" s="43"/>
      <c r="G945" s="43"/>
      <c r="H945" s="43"/>
      <c r="I945" s="43"/>
      <c r="J945" s="43"/>
      <c r="K945" s="43"/>
      <c r="L945" s="43"/>
      <c r="M945" s="44"/>
      <c r="N945" s="119"/>
      <c r="O945" s="38"/>
      <c r="P945" s="38"/>
      <c r="Q945" s="38"/>
      <c r="R945" s="38"/>
      <c r="S945" s="38"/>
      <c r="T945" s="38"/>
      <c r="U945" s="44"/>
      <c r="V945" s="2116"/>
      <c r="W945" s="2116"/>
      <c r="X945" s="43"/>
      <c r="Y945" s="43"/>
      <c r="Z945" s="43"/>
    </row>
    <row r="946" spans="1:26">
      <c r="A946" s="43"/>
      <c r="B946" s="43"/>
      <c r="C946" s="43"/>
      <c r="D946" s="43"/>
      <c r="E946" s="43"/>
      <c r="F946" s="43"/>
      <c r="G946" s="43"/>
      <c r="H946" s="43"/>
      <c r="I946" s="43"/>
      <c r="J946" s="43"/>
      <c r="K946" s="43"/>
      <c r="L946" s="43"/>
      <c r="M946" s="44"/>
      <c r="N946" s="119"/>
      <c r="O946" s="38"/>
      <c r="P946" s="38"/>
      <c r="Q946" s="38"/>
      <c r="R946" s="38"/>
      <c r="S946" s="38"/>
      <c r="T946" s="38"/>
      <c r="U946" s="44"/>
      <c r="V946" s="2116"/>
      <c r="W946" s="2116"/>
      <c r="X946" s="43"/>
      <c r="Y946" s="43"/>
      <c r="Z946" s="43"/>
    </row>
    <row r="947" spans="1:26">
      <c r="A947" s="43"/>
      <c r="B947" s="43"/>
      <c r="C947" s="43"/>
      <c r="D947" s="43"/>
      <c r="E947" s="43"/>
      <c r="F947" s="43"/>
      <c r="G947" s="43"/>
      <c r="H947" s="43"/>
      <c r="I947" s="43"/>
      <c r="J947" s="43"/>
      <c r="K947" s="43"/>
      <c r="L947" s="43"/>
      <c r="M947" s="44"/>
      <c r="N947" s="119"/>
      <c r="O947" s="38"/>
      <c r="P947" s="38"/>
      <c r="Q947" s="38"/>
      <c r="R947" s="38"/>
      <c r="S947" s="38"/>
      <c r="T947" s="38"/>
      <c r="U947" s="44"/>
      <c r="V947" s="2116"/>
      <c r="W947" s="2116"/>
      <c r="X947" s="43"/>
      <c r="Y947" s="43"/>
      <c r="Z947" s="43"/>
    </row>
    <row r="948" spans="1:26">
      <c r="A948" s="43"/>
      <c r="B948" s="43"/>
      <c r="C948" s="43"/>
      <c r="D948" s="43"/>
      <c r="E948" s="43"/>
      <c r="F948" s="43"/>
      <c r="G948" s="43"/>
      <c r="H948" s="43"/>
      <c r="I948" s="43"/>
      <c r="J948" s="43"/>
      <c r="K948" s="43"/>
      <c r="L948" s="43"/>
      <c r="M948" s="44"/>
      <c r="N948" s="119"/>
      <c r="O948" s="38"/>
      <c r="P948" s="38"/>
      <c r="Q948" s="38"/>
      <c r="R948" s="38"/>
      <c r="S948" s="38"/>
      <c r="T948" s="38"/>
      <c r="U948" s="44"/>
      <c r="V948" s="2116"/>
      <c r="W948" s="2116"/>
      <c r="X948" s="43"/>
      <c r="Y948" s="43"/>
      <c r="Z948" s="43"/>
    </row>
    <row r="949" spans="1:26">
      <c r="A949" s="43"/>
      <c r="B949" s="43"/>
      <c r="C949" s="43"/>
      <c r="D949" s="43"/>
      <c r="E949" s="43"/>
      <c r="F949" s="43"/>
      <c r="G949" s="43"/>
      <c r="H949" s="43"/>
      <c r="I949" s="43"/>
      <c r="J949" s="43"/>
      <c r="K949" s="43"/>
      <c r="L949" s="43"/>
      <c r="M949" s="44"/>
      <c r="N949" s="119"/>
      <c r="O949" s="38"/>
      <c r="P949" s="38"/>
      <c r="Q949" s="38"/>
      <c r="R949" s="38"/>
      <c r="S949" s="38"/>
      <c r="T949" s="38"/>
      <c r="U949" s="44"/>
      <c r="V949" s="2116"/>
      <c r="W949" s="2116"/>
      <c r="X949" s="43"/>
      <c r="Y949" s="43"/>
      <c r="Z949" s="43"/>
    </row>
  </sheetData>
  <sheetProtection password="889B" sheet="1" objects="1" scenarios="1"/>
  <mergeCells count="19">
    <mergeCell ref="B762:K762"/>
    <mergeCell ref="I890:K890"/>
    <mergeCell ref="I829:K829"/>
    <mergeCell ref="I831:K831"/>
    <mergeCell ref="O6:T7"/>
    <mergeCell ref="E12:F12"/>
    <mergeCell ref="K10:L10"/>
    <mergeCell ref="H12:K12"/>
    <mergeCell ref="I888:K888"/>
    <mergeCell ref="H13:L13"/>
    <mergeCell ref="B760:J760"/>
    <mergeCell ref="E2:L2"/>
    <mergeCell ref="C6:E6"/>
    <mergeCell ref="G6:L6"/>
    <mergeCell ref="G8:H8"/>
    <mergeCell ref="J8:L8"/>
    <mergeCell ref="A3:C5"/>
    <mergeCell ref="D4:E4"/>
    <mergeCell ref="G4:L4"/>
  </mergeCells>
  <phoneticPr fontId="0" type="noConversion"/>
  <conditionalFormatting sqref="Q898:S899 O898:O899 Q907:S908 O910:O911 O901:O902 O904:O905 O907:O908 Q901:S902 Q910:S911 Q904:S905 O831:T831 O13:T13 O322:R322 O570:R570 O764:R828 O763:P763 O344:R345 O60:R61 O56:Q59 O70:R70 O62:Q69 O26:Q53 O90:R102 O71:Q89 O103:Q112 O113:R113 O119:R121 O160:R160 O122:Q159 O161:Q175 O176:R183 O191:R194 O184:Q190 O199:R218 O195:Q198 O271:R282 O285:R286 O283:Q284 O287:Q321 O327:R330 O323:Q326 O331:Q335 O338:Q343 O383:R414 O346:Q382 O417:R565 O415:Q416 O566:Q569 O581:R603 O571:Q580 O605:R607 O604:Q604 O609:R760 O608:Q608 O847:R847 O832:Q846 O876:R883 O884:Q887 O849:R857 O848:Q848 O858:Q875 O54:R55 O219:Q270 O762:R762 O761:P761 O14:R25 O114:Q118">
    <cfRule type="cellIs" dxfId="301" priority="1746" stopIfTrue="1" operator="lessThan">
      <formula>0</formula>
    </cfRule>
  </conditionalFormatting>
  <conditionalFormatting sqref="P898:P899 T898:T899 P904:P905 T904:T905 P907:P908 T907:T908 T910:T911 P910:P911">
    <cfRule type="cellIs" dxfId="300" priority="1747" stopIfTrue="1" operator="equal">
      <formula>0</formula>
    </cfRule>
  </conditionalFormatting>
  <conditionalFormatting sqref="M890 O890:U890 O829:U829 M888:U888">
    <cfRule type="cellIs" dxfId="299" priority="1748" stopIfTrue="1" operator="lessThan">
      <formula>0</formula>
    </cfRule>
  </conditionalFormatting>
  <conditionalFormatting sqref="O2 Q2 S2">
    <cfRule type="cellIs" dxfId="298" priority="1749" stopIfTrue="1" operator="equal">
      <formula>"""O K"""</formula>
    </cfRule>
  </conditionalFormatting>
  <conditionalFormatting sqref="T2 T4 R2 R4 P2 P4">
    <cfRule type="cellIs" dxfId="297" priority="1750" stopIfTrue="1" operator="equal">
      <formula>"O K"</formula>
    </cfRule>
    <cfRule type="cellIs" dxfId="296" priority="1751" stopIfTrue="1" operator="notEqual">
      <formula>"O K"</formula>
    </cfRule>
  </conditionalFormatting>
  <conditionalFormatting sqref="E12:F12">
    <cfRule type="cellIs" dxfId="295" priority="1752" stopIfTrue="1" operator="equal">
      <formula>0</formula>
    </cfRule>
  </conditionalFormatting>
  <conditionalFormatting sqref="E2:L2 C6:E6 G6:L6 C8">
    <cfRule type="cellIs" dxfId="294" priority="1754" stopIfTrue="1" operator="equal">
      <formula>0</formula>
    </cfRule>
  </conditionalFormatting>
  <conditionalFormatting sqref="Q763:R763">
    <cfRule type="cellIs" dxfId="293" priority="1736" stopIfTrue="1" operator="lessThan">
      <formula>0</formula>
    </cfRule>
  </conditionalFormatting>
  <conditionalFormatting sqref="G8:H8">
    <cfRule type="cellIs" dxfId="292" priority="1735" stopIfTrue="1" operator="equal">
      <formula>0</formula>
    </cfRule>
  </conditionalFormatting>
  <conditionalFormatting sqref="J8:L8">
    <cfRule type="cellIs" dxfId="291" priority="1734" stopIfTrue="1" operator="equal">
      <formula>0</formula>
    </cfRule>
  </conditionalFormatting>
  <conditionalFormatting sqref="P901:P902">
    <cfRule type="cellIs" dxfId="290" priority="1733" stopIfTrue="1" operator="equal">
      <formula>0</formula>
    </cfRule>
  </conditionalFormatting>
  <conditionalFormatting sqref="T901:T902">
    <cfRule type="cellIs" dxfId="289" priority="1732" stopIfTrue="1" operator="equal">
      <formula>0</formula>
    </cfRule>
  </conditionalFormatting>
  <conditionalFormatting sqref="N10">
    <cfRule type="cellIs" dxfId="288" priority="1731" stopIfTrue="1" operator="equal">
      <formula>0</formula>
    </cfRule>
  </conditionalFormatting>
  <conditionalFormatting sqref="O336:P337">
    <cfRule type="cellIs" dxfId="287" priority="1730" stopIfTrue="1" operator="lessThan">
      <formula>0</formula>
    </cfRule>
  </conditionalFormatting>
  <conditionalFormatting sqref="Q336:Q337">
    <cfRule type="cellIs" dxfId="286" priority="1729" stopIfTrue="1" operator="lessThan">
      <formula>0</formula>
    </cfRule>
  </conditionalFormatting>
  <conditionalFormatting sqref="E2:L2 C8">
    <cfRule type="cellIs" dxfId="285" priority="1728" stopIfTrue="1" operator="equal">
      <formula>0</formula>
    </cfRule>
  </conditionalFormatting>
  <conditionalFormatting sqref="K10:L10">
    <cfRule type="cellIs" dxfId="284" priority="1726" stopIfTrue="1" operator="equal">
      <formula>0</formula>
    </cfRule>
  </conditionalFormatting>
  <conditionalFormatting sqref="D4">
    <cfRule type="cellIs" dxfId="283" priority="1716" stopIfTrue="1" operator="between">
      <formula>1000000000000</formula>
      <formula>9999999999999990</formula>
    </cfRule>
    <cfRule type="cellIs" dxfId="282" priority="1717" stopIfTrue="1" operator="between">
      <formula>1000000000</formula>
      <formula>999999999999</formula>
    </cfRule>
    <cfRule type="cellIs" dxfId="281" priority="1718" stopIfTrue="1" operator="between">
      <formula>10000</formula>
      <formula>99999999</formula>
    </cfRule>
    <cfRule type="cellIs" dxfId="280" priority="1719" stopIfTrue="1" operator="between">
      <formula>10</formula>
      <formula>9999</formula>
    </cfRule>
  </conditionalFormatting>
  <conditionalFormatting sqref="D4">
    <cfRule type="cellIs" dxfId="279" priority="1715" operator="equal">
      <formula>0</formula>
    </cfRule>
  </conditionalFormatting>
  <conditionalFormatting sqref="A3:C5">
    <cfRule type="cellIs" dxfId="278" priority="1714" operator="equal">
      <formula>"Код на общински разпоредител с бюджет"</formula>
    </cfRule>
  </conditionalFormatting>
  <conditionalFormatting sqref="G4:L4">
    <cfRule type="cellIs" dxfId="277" priority="1708" operator="equal">
      <formula>0</formula>
    </cfRule>
  </conditionalFormatting>
  <conditionalFormatting sqref="R26:R52">
    <cfRule type="cellIs" dxfId="276" priority="1669" stopIfTrue="1" operator="lessThan">
      <formula>0</formula>
    </cfRule>
  </conditionalFormatting>
  <conditionalFormatting sqref="R71:R89">
    <cfRule type="cellIs" dxfId="275" priority="1668" stopIfTrue="1" operator="lessThan">
      <formula>0</formula>
    </cfRule>
  </conditionalFormatting>
  <conditionalFormatting sqref="R103:R112">
    <cfRule type="cellIs" dxfId="274" priority="1663" stopIfTrue="1" operator="lessThan">
      <formula>0</formula>
    </cfRule>
  </conditionalFormatting>
  <conditionalFormatting sqref="R123">
    <cfRule type="cellIs" dxfId="273" priority="1508" stopIfTrue="1" operator="lessThan">
      <formula>0</formula>
    </cfRule>
  </conditionalFormatting>
  <conditionalFormatting sqref="R124">
    <cfRule type="cellIs" dxfId="272" priority="1503" stopIfTrue="1" operator="lessThan">
      <formula>0</formula>
    </cfRule>
  </conditionalFormatting>
  <conditionalFormatting sqref="R126">
    <cfRule type="cellIs" dxfId="271" priority="1498" stopIfTrue="1" operator="lessThan">
      <formula>0</formula>
    </cfRule>
  </conditionalFormatting>
  <conditionalFormatting sqref="R129">
    <cfRule type="cellIs" dxfId="270" priority="1493" stopIfTrue="1" operator="lessThan">
      <formula>0</formula>
    </cfRule>
  </conditionalFormatting>
  <conditionalFormatting sqref="R131">
    <cfRule type="cellIs" dxfId="269" priority="1488" stopIfTrue="1" operator="lessThan">
      <formula>0</formula>
    </cfRule>
  </conditionalFormatting>
  <conditionalFormatting sqref="R134">
    <cfRule type="cellIs" dxfId="268" priority="1483" stopIfTrue="1" operator="lessThan">
      <formula>0</formula>
    </cfRule>
  </conditionalFormatting>
  <conditionalFormatting sqref="R136:R138">
    <cfRule type="cellIs" dxfId="267" priority="1478" stopIfTrue="1" operator="lessThan">
      <formula>0</formula>
    </cfRule>
  </conditionalFormatting>
  <conditionalFormatting sqref="R141">
    <cfRule type="cellIs" dxfId="266" priority="1473" stopIfTrue="1" operator="lessThan">
      <formula>0</formula>
    </cfRule>
  </conditionalFormatting>
  <conditionalFormatting sqref="R144:R145">
    <cfRule type="cellIs" dxfId="265" priority="1468" stopIfTrue="1" operator="lessThan">
      <formula>0</formula>
    </cfRule>
  </conditionalFormatting>
  <conditionalFormatting sqref="R147:R149">
    <cfRule type="cellIs" dxfId="264" priority="1463" stopIfTrue="1" operator="lessThan">
      <formula>0</formula>
    </cfRule>
  </conditionalFormatting>
  <conditionalFormatting sqref="R153">
    <cfRule type="cellIs" dxfId="263" priority="1390" stopIfTrue="1" operator="lessThan">
      <formula>0</formula>
    </cfRule>
  </conditionalFormatting>
  <conditionalFormatting sqref="R152">
    <cfRule type="cellIs" dxfId="262" priority="1395" stopIfTrue="1" operator="lessThan">
      <formula>0</formula>
    </cfRule>
  </conditionalFormatting>
  <conditionalFormatting sqref="R154:R159">
    <cfRule type="cellIs" dxfId="261" priority="1385" stopIfTrue="1" operator="lessThan">
      <formula>0</formula>
    </cfRule>
  </conditionalFormatting>
  <conditionalFormatting sqref="R161:R172">
    <cfRule type="cellIs" dxfId="260" priority="1380" stopIfTrue="1" operator="lessThan">
      <formula>0</formula>
    </cfRule>
  </conditionalFormatting>
  <conditionalFormatting sqref="R188:R189">
    <cfRule type="cellIs" dxfId="259" priority="1324" stopIfTrue="1" operator="lessThan">
      <formula>0</formula>
    </cfRule>
  </conditionalFormatting>
  <conditionalFormatting sqref="R185">
    <cfRule type="cellIs" dxfId="258" priority="1329" stopIfTrue="1" operator="lessThan">
      <formula>0</formula>
    </cfRule>
  </conditionalFormatting>
  <conditionalFormatting sqref="R196">
    <cfRule type="cellIs" dxfId="257" priority="1319" stopIfTrue="1" operator="lessThan">
      <formula>0</formula>
    </cfRule>
  </conditionalFormatting>
  <conditionalFormatting sqref="R221">
    <cfRule type="cellIs" dxfId="256" priority="1264" stopIfTrue="1" operator="lessThan">
      <formula>0</formula>
    </cfRule>
  </conditionalFormatting>
  <conditionalFormatting sqref="R219">
    <cfRule type="cellIs" dxfId="255" priority="1269" stopIfTrue="1" operator="lessThan">
      <formula>0</formula>
    </cfRule>
  </conditionalFormatting>
  <conditionalFormatting sqref="R223">
    <cfRule type="cellIs" dxfId="254" priority="1259" stopIfTrue="1" operator="lessThan">
      <formula>0</formula>
    </cfRule>
  </conditionalFormatting>
  <conditionalFormatting sqref="R229:R231">
    <cfRule type="cellIs" dxfId="253" priority="1254" stopIfTrue="1" operator="lessThan">
      <formula>0</formula>
    </cfRule>
  </conditionalFormatting>
  <conditionalFormatting sqref="R239:R240">
    <cfRule type="cellIs" dxfId="252" priority="1190" stopIfTrue="1" operator="lessThan">
      <formula>0</formula>
    </cfRule>
  </conditionalFormatting>
  <conditionalFormatting sqref="R236">
    <cfRule type="cellIs" dxfId="251" priority="1195" stopIfTrue="1" operator="lessThan">
      <formula>0</formula>
    </cfRule>
  </conditionalFormatting>
  <conditionalFormatting sqref="R245:R250">
    <cfRule type="cellIs" dxfId="250" priority="1185" stopIfTrue="1" operator="lessThan">
      <formula>0</formula>
    </cfRule>
  </conditionalFormatting>
  <conditionalFormatting sqref="R253:R256">
    <cfRule type="cellIs" dxfId="249" priority="1180" stopIfTrue="1" operator="lessThan">
      <formula>0</formula>
    </cfRule>
  </conditionalFormatting>
  <conditionalFormatting sqref="R283">
    <cfRule type="cellIs" dxfId="248" priority="1175" stopIfTrue="1" operator="lessThan">
      <formula>0</formula>
    </cfRule>
  </conditionalFormatting>
  <conditionalFormatting sqref="R287:R288">
    <cfRule type="cellIs" dxfId="247" priority="1158" stopIfTrue="1" operator="lessThan">
      <formula>0</formula>
    </cfRule>
  </conditionalFormatting>
  <conditionalFormatting sqref="R291:R292">
    <cfRule type="cellIs" dxfId="246" priority="1153" stopIfTrue="1" operator="lessThan">
      <formula>0</formula>
    </cfRule>
  </conditionalFormatting>
  <conditionalFormatting sqref="R289:R290">
    <cfRule type="cellIs" dxfId="245" priority="1148" stopIfTrue="1" operator="lessThan">
      <formula>0</formula>
    </cfRule>
  </conditionalFormatting>
  <conditionalFormatting sqref="R293">
    <cfRule type="cellIs" dxfId="244" priority="1142" stopIfTrue="1" operator="lessThan">
      <formula>0</formula>
    </cfRule>
  </conditionalFormatting>
  <conditionalFormatting sqref="R294:R321">
    <cfRule type="cellIs" dxfId="243" priority="1136" stopIfTrue="1" operator="lessThan">
      <formula>0</formula>
    </cfRule>
  </conditionalFormatting>
  <conditionalFormatting sqref="R323:R326">
    <cfRule type="cellIs" dxfId="242" priority="1131" stopIfTrue="1" operator="lessThan">
      <formula>0</formula>
    </cfRule>
  </conditionalFormatting>
  <conditionalFormatting sqref="R331:R336">
    <cfRule type="cellIs" dxfId="241" priority="1126" stopIfTrue="1" operator="lessThan">
      <formula>0</formula>
    </cfRule>
  </conditionalFormatting>
  <conditionalFormatting sqref="R338:R343">
    <cfRule type="cellIs" dxfId="240" priority="1121" stopIfTrue="1" operator="lessThan">
      <formula>0</formula>
    </cfRule>
  </conditionalFormatting>
  <conditionalFormatting sqref="R346:R363">
    <cfRule type="cellIs" dxfId="239" priority="1116" stopIfTrue="1" operator="lessThan">
      <formula>0</formula>
    </cfRule>
  </conditionalFormatting>
  <conditionalFormatting sqref="R368:R379">
    <cfRule type="cellIs" dxfId="238" priority="1111" stopIfTrue="1" operator="lessThan">
      <formula>0</formula>
    </cfRule>
  </conditionalFormatting>
  <conditionalFormatting sqref="R415">
    <cfRule type="cellIs" dxfId="237" priority="1079" stopIfTrue="1" operator="lessThan">
      <formula>0</formula>
    </cfRule>
  </conditionalFormatting>
  <conditionalFormatting sqref="R579">
    <cfRule type="cellIs" dxfId="236" priority="1011" stopIfTrue="1" operator="lessThan">
      <formula>0</formula>
    </cfRule>
  </conditionalFormatting>
  <conditionalFormatting sqref="R573:R575">
    <cfRule type="cellIs" dxfId="235" priority="1016" stopIfTrue="1" operator="lessThan">
      <formula>0</formula>
    </cfRule>
  </conditionalFormatting>
  <conditionalFormatting sqref="R604">
    <cfRule type="cellIs" dxfId="234" priority="1006" stopIfTrue="1" operator="lessThan">
      <formula>0</formula>
    </cfRule>
  </conditionalFormatting>
  <conditionalFormatting sqref="R608">
    <cfRule type="cellIs" dxfId="233" priority="1001" stopIfTrue="1" operator="lessThan">
      <formula>0</formula>
    </cfRule>
  </conditionalFormatting>
  <conditionalFormatting sqref="R832:R834">
    <cfRule type="cellIs" dxfId="232" priority="996" stopIfTrue="1" operator="lessThan">
      <formula>0</formula>
    </cfRule>
  </conditionalFormatting>
  <conditionalFormatting sqref="R837:R841">
    <cfRule type="cellIs" dxfId="231" priority="991" stopIfTrue="1" operator="lessThan">
      <formula>0</formula>
    </cfRule>
  </conditionalFormatting>
  <conditionalFormatting sqref="R846">
    <cfRule type="cellIs" dxfId="230" priority="986" stopIfTrue="1" operator="lessThan">
      <formula>0</formula>
    </cfRule>
  </conditionalFormatting>
  <conditionalFormatting sqref="R858:R867">
    <cfRule type="cellIs" dxfId="229" priority="981" stopIfTrue="1" operator="lessThan">
      <formula>0</formula>
    </cfRule>
  </conditionalFormatting>
  <conditionalFormatting sqref="R884">
    <cfRule type="cellIs" dxfId="228" priority="976" stopIfTrue="1" operator="lessThan">
      <formula>0</formula>
    </cfRule>
  </conditionalFormatting>
  <conditionalFormatting sqref="R887">
    <cfRule type="cellIs" dxfId="227" priority="971" stopIfTrue="1" operator="lessThan">
      <formula>0</formula>
    </cfRule>
  </conditionalFormatting>
  <conditionalFormatting sqref="R53">
    <cfRule type="cellIs" dxfId="226" priority="884" stopIfTrue="1" operator="lessThan">
      <formula>0</formula>
    </cfRule>
  </conditionalFormatting>
  <conditionalFormatting sqref="V53">
    <cfRule type="cellIs" dxfId="225" priority="882" operator="notEqual">
      <formula>0</formula>
    </cfRule>
  </conditionalFormatting>
  <conditionalFormatting sqref="V54">
    <cfRule type="cellIs" dxfId="224" priority="881" operator="notEqual">
      <formula>0</formula>
    </cfRule>
  </conditionalFormatting>
  <conditionalFormatting sqref="V13">
    <cfRule type="cellIs" dxfId="223" priority="879" operator="notEqual">
      <formula>0</formula>
    </cfRule>
  </conditionalFormatting>
  <conditionalFormatting sqref="V12">
    <cfRule type="cellIs" dxfId="222" priority="878" operator="notEqual">
      <formula>0</formula>
    </cfRule>
  </conditionalFormatting>
  <conditionalFormatting sqref="V10">
    <cfRule type="cellIs" dxfId="221" priority="877" operator="notEqual">
      <formula>0</formula>
    </cfRule>
  </conditionalFormatting>
  <conditionalFormatting sqref="V14:V15">
    <cfRule type="cellIs" dxfId="220" priority="676" operator="notEqual">
      <formula>0</formula>
    </cfRule>
  </conditionalFormatting>
  <conditionalFormatting sqref="V70 V102 V120:V121 V160 V176:V177 V191:V194 V199:V218 V271:V282 V285 V344:V345 V383:V401 V417:V565 V581:V603 V849:V857 V876:V883 V887:V940 V113 V322 V327:V330 V605:V607 V609:V639 V179:V183 V570 V410:V414 V641:V666 V668:V760 V764:V831 V762">
    <cfRule type="cellIs" dxfId="219" priority="675" operator="notEqual">
      <formula>0</formula>
    </cfRule>
  </conditionalFormatting>
  <conditionalFormatting sqref="V60:V61">
    <cfRule type="cellIs" dxfId="218" priority="673" operator="notEqual">
      <formula>0</formula>
    </cfRule>
  </conditionalFormatting>
  <conditionalFormatting sqref="V26">
    <cfRule type="cellIs" dxfId="217" priority="669" operator="notEqual">
      <formula>0</formula>
    </cfRule>
  </conditionalFormatting>
  <conditionalFormatting sqref="V27:V52">
    <cfRule type="cellIs" dxfId="216" priority="668" operator="notEqual">
      <formula>0</formula>
    </cfRule>
  </conditionalFormatting>
  <conditionalFormatting sqref="V56:V59">
    <cfRule type="cellIs" dxfId="215" priority="667" operator="notEqual">
      <formula>0</formula>
    </cfRule>
  </conditionalFormatting>
  <conditionalFormatting sqref="V62:V69">
    <cfRule type="cellIs" dxfId="214" priority="666" operator="notEqual">
      <formula>0</formula>
    </cfRule>
  </conditionalFormatting>
  <conditionalFormatting sqref="V94:V101">
    <cfRule type="cellIs" dxfId="213" priority="665" operator="notEqual">
      <formula>0</formula>
    </cfRule>
  </conditionalFormatting>
  <conditionalFormatting sqref="V114">
    <cfRule type="cellIs" dxfId="212" priority="664" operator="notEqual">
      <formula>0</formula>
    </cfRule>
  </conditionalFormatting>
  <conditionalFormatting sqref="V116">
    <cfRule type="cellIs" dxfId="211" priority="663" operator="notEqual">
      <formula>0</formula>
    </cfRule>
  </conditionalFormatting>
  <conditionalFormatting sqref="V118">
    <cfRule type="cellIs" dxfId="210" priority="662" operator="notEqual">
      <formula>0</formula>
    </cfRule>
  </conditionalFormatting>
  <conditionalFormatting sqref="V122">
    <cfRule type="cellIs" dxfId="209" priority="661" operator="notEqual">
      <formula>0</formula>
    </cfRule>
  </conditionalFormatting>
  <conditionalFormatting sqref="V125">
    <cfRule type="cellIs" dxfId="208" priority="660" operator="notEqual">
      <formula>0</formula>
    </cfRule>
  </conditionalFormatting>
  <conditionalFormatting sqref="V127:V128">
    <cfRule type="cellIs" dxfId="207" priority="659" operator="notEqual">
      <formula>0</formula>
    </cfRule>
  </conditionalFormatting>
  <conditionalFormatting sqref="V130">
    <cfRule type="cellIs" dxfId="206" priority="658" operator="notEqual">
      <formula>0</formula>
    </cfRule>
  </conditionalFormatting>
  <conditionalFormatting sqref="V132:V133">
    <cfRule type="cellIs" dxfId="205" priority="657" operator="notEqual">
      <formula>0</formula>
    </cfRule>
  </conditionalFormatting>
  <conditionalFormatting sqref="V135">
    <cfRule type="cellIs" dxfId="204" priority="656" operator="notEqual">
      <formula>0</formula>
    </cfRule>
  </conditionalFormatting>
  <conditionalFormatting sqref="V139:V140">
    <cfRule type="cellIs" dxfId="203" priority="655" operator="notEqual">
      <formula>0</formula>
    </cfRule>
  </conditionalFormatting>
  <conditionalFormatting sqref="V142:V143">
    <cfRule type="cellIs" dxfId="202" priority="654" operator="notEqual">
      <formula>0</formula>
    </cfRule>
  </conditionalFormatting>
  <conditionalFormatting sqref="V146">
    <cfRule type="cellIs" dxfId="201" priority="653" operator="notEqual">
      <formula>0</formula>
    </cfRule>
  </conditionalFormatting>
  <conditionalFormatting sqref="V150:V151">
    <cfRule type="cellIs" dxfId="200" priority="652" operator="notEqual">
      <formula>0</formula>
    </cfRule>
  </conditionalFormatting>
  <conditionalFormatting sqref="V173:V175">
    <cfRule type="cellIs" dxfId="199" priority="651" operator="notEqual">
      <formula>0</formula>
    </cfRule>
  </conditionalFormatting>
  <conditionalFormatting sqref="V184">
    <cfRule type="cellIs" dxfId="198" priority="650" operator="notEqual">
      <formula>0</formula>
    </cfRule>
  </conditionalFormatting>
  <conditionalFormatting sqref="V186:V187">
    <cfRule type="cellIs" dxfId="197" priority="649" operator="notEqual">
      <formula>0</formula>
    </cfRule>
  </conditionalFormatting>
  <conditionalFormatting sqref="V190">
    <cfRule type="cellIs" dxfId="196" priority="648" operator="notEqual">
      <formula>0</formula>
    </cfRule>
  </conditionalFormatting>
  <conditionalFormatting sqref="V195">
    <cfRule type="cellIs" dxfId="195" priority="647" operator="notEqual">
      <formula>0</formula>
    </cfRule>
  </conditionalFormatting>
  <conditionalFormatting sqref="V197:V198">
    <cfRule type="cellIs" dxfId="194" priority="646" operator="notEqual">
      <formula>0</formula>
    </cfRule>
  </conditionalFormatting>
  <conditionalFormatting sqref="V220">
    <cfRule type="cellIs" dxfId="193" priority="645" operator="notEqual">
      <formula>0</formula>
    </cfRule>
  </conditionalFormatting>
  <conditionalFormatting sqref="V222">
    <cfRule type="cellIs" dxfId="192" priority="644" operator="notEqual">
      <formula>0</formula>
    </cfRule>
  </conditionalFormatting>
  <conditionalFormatting sqref="V224:V228">
    <cfRule type="cellIs" dxfId="191" priority="643" operator="notEqual">
      <formula>0</formula>
    </cfRule>
  </conditionalFormatting>
  <conditionalFormatting sqref="V232:V235">
    <cfRule type="cellIs" dxfId="190" priority="642" operator="notEqual">
      <formula>0</formula>
    </cfRule>
  </conditionalFormatting>
  <conditionalFormatting sqref="V237:V238">
    <cfRule type="cellIs" dxfId="189" priority="641" operator="notEqual">
      <formula>0</formula>
    </cfRule>
  </conditionalFormatting>
  <conditionalFormatting sqref="V241:V244">
    <cfRule type="cellIs" dxfId="188" priority="640" operator="notEqual">
      <formula>0</formula>
    </cfRule>
  </conditionalFormatting>
  <conditionalFormatting sqref="V251:V252">
    <cfRule type="cellIs" dxfId="187" priority="639" operator="notEqual">
      <formula>0</formula>
    </cfRule>
  </conditionalFormatting>
  <conditionalFormatting sqref="V257:V270">
    <cfRule type="cellIs" dxfId="186" priority="638" operator="notEqual">
      <formula>0</formula>
    </cfRule>
  </conditionalFormatting>
  <conditionalFormatting sqref="V284">
    <cfRule type="cellIs" dxfId="185" priority="637" operator="notEqual">
      <formula>0</formula>
    </cfRule>
  </conditionalFormatting>
  <conditionalFormatting sqref="V337">
    <cfRule type="cellIs" dxfId="184" priority="636" operator="notEqual">
      <formula>0</formula>
    </cfRule>
  </conditionalFormatting>
  <conditionalFormatting sqref="V364:V367">
    <cfRule type="cellIs" dxfId="183" priority="635" operator="notEqual">
      <formula>0</formula>
    </cfRule>
  </conditionalFormatting>
  <conditionalFormatting sqref="V380:V382">
    <cfRule type="cellIs" dxfId="182" priority="634" operator="notEqual">
      <formula>0</formula>
    </cfRule>
  </conditionalFormatting>
  <conditionalFormatting sqref="V416">
    <cfRule type="cellIs" dxfId="181" priority="633" operator="notEqual">
      <formula>0</formula>
    </cfRule>
  </conditionalFormatting>
  <conditionalFormatting sqref="V566:V569">
    <cfRule type="cellIs" dxfId="180" priority="632" operator="notEqual">
      <formula>0</formula>
    </cfRule>
  </conditionalFormatting>
  <conditionalFormatting sqref="V571:V572">
    <cfRule type="cellIs" dxfId="179" priority="631" operator="notEqual">
      <formula>0</formula>
    </cfRule>
  </conditionalFormatting>
  <conditionalFormatting sqref="V576:V578">
    <cfRule type="cellIs" dxfId="178" priority="630" operator="notEqual">
      <formula>0</formula>
    </cfRule>
  </conditionalFormatting>
  <conditionalFormatting sqref="V580">
    <cfRule type="cellIs" dxfId="177" priority="629" operator="notEqual">
      <formula>0</formula>
    </cfRule>
  </conditionalFormatting>
  <conditionalFormatting sqref="V835:V836">
    <cfRule type="cellIs" dxfId="176" priority="628" operator="notEqual">
      <formula>0</formula>
    </cfRule>
  </conditionalFormatting>
  <conditionalFormatting sqref="V842:V845">
    <cfRule type="cellIs" dxfId="175" priority="627" operator="notEqual">
      <formula>0</formula>
    </cfRule>
  </conditionalFormatting>
  <conditionalFormatting sqref="V848">
    <cfRule type="cellIs" dxfId="174" priority="626" operator="notEqual">
      <formula>0</formula>
    </cfRule>
  </conditionalFormatting>
  <conditionalFormatting sqref="V868:V875">
    <cfRule type="cellIs" dxfId="173" priority="625" operator="notEqual">
      <formula>0</formula>
    </cfRule>
  </conditionalFormatting>
  <conditionalFormatting sqref="V885:V886">
    <cfRule type="cellIs" dxfId="172" priority="624" operator="notEqual">
      <formula>0</formula>
    </cfRule>
  </conditionalFormatting>
  <conditionalFormatting sqref="V55">
    <cfRule type="cellIs" dxfId="171" priority="622" operator="notEqual">
      <formula>0</formula>
    </cfRule>
  </conditionalFormatting>
  <conditionalFormatting sqref="V71:V89">
    <cfRule type="cellIs" dxfId="170" priority="621" operator="notEqual">
      <formula>0</formula>
    </cfRule>
  </conditionalFormatting>
  <conditionalFormatting sqref="V103:V112">
    <cfRule type="cellIs" dxfId="169" priority="620" operator="notEqual">
      <formula>0</formula>
    </cfRule>
  </conditionalFormatting>
  <conditionalFormatting sqref="V115">
    <cfRule type="cellIs" dxfId="168" priority="619" operator="notEqual">
      <formula>0</formula>
    </cfRule>
  </conditionalFormatting>
  <conditionalFormatting sqref="V119">
    <cfRule type="cellIs" dxfId="167" priority="617" operator="notEqual">
      <formula>0</formula>
    </cfRule>
  </conditionalFormatting>
  <conditionalFormatting sqref="V123:V124">
    <cfRule type="cellIs" dxfId="166" priority="616" operator="notEqual">
      <formula>0</formula>
    </cfRule>
  </conditionalFormatting>
  <conditionalFormatting sqref="V126">
    <cfRule type="cellIs" dxfId="165" priority="615" operator="notEqual">
      <formula>0</formula>
    </cfRule>
  </conditionalFormatting>
  <conditionalFormatting sqref="V129">
    <cfRule type="cellIs" dxfId="164" priority="614" operator="notEqual">
      <formula>0</formula>
    </cfRule>
  </conditionalFormatting>
  <conditionalFormatting sqref="V131">
    <cfRule type="cellIs" dxfId="163" priority="613" operator="notEqual">
      <formula>0</formula>
    </cfRule>
  </conditionalFormatting>
  <conditionalFormatting sqref="V134">
    <cfRule type="cellIs" dxfId="162" priority="612" operator="notEqual">
      <formula>0</formula>
    </cfRule>
  </conditionalFormatting>
  <conditionalFormatting sqref="V136:V138">
    <cfRule type="cellIs" dxfId="161" priority="611" operator="notEqual">
      <formula>0</formula>
    </cfRule>
  </conditionalFormatting>
  <conditionalFormatting sqref="V141">
    <cfRule type="cellIs" dxfId="160" priority="610" operator="notEqual">
      <formula>0</formula>
    </cfRule>
  </conditionalFormatting>
  <conditionalFormatting sqref="V144:V145">
    <cfRule type="cellIs" dxfId="159" priority="609" operator="notEqual">
      <formula>0</formula>
    </cfRule>
  </conditionalFormatting>
  <conditionalFormatting sqref="V147:V149">
    <cfRule type="cellIs" dxfId="158" priority="608" operator="notEqual">
      <formula>0</formula>
    </cfRule>
  </conditionalFormatting>
  <conditionalFormatting sqref="V152:V159">
    <cfRule type="cellIs" dxfId="157" priority="607" operator="notEqual">
      <formula>0</formula>
    </cfRule>
  </conditionalFormatting>
  <conditionalFormatting sqref="V161:V172">
    <cfRule type="cellIs" dxfId="156" priority="606" operator="notEqual">
      <formula>0</formula>
    </cfRule>
  </conditionalFormatting>
  <conditionalFormatting sqref="V185">
    <cfRule type="cellIs" dxfId="155" priority="605" operator="notEqual">
      <formula>0</formula>
    </cfRule>
  </conditionalFormatting>
  <conditionalFormatting sqref="V188:V189">
    <cfRule type="cellIs" dxfId="154" priority="604" operator="notEqual">
      <formula>0</formula>
    </cfRule>
  </conditionalFormatting>
  <conditionalFormatting sqref="V196">
    <cfRule type="cellIs" dxfId="153" priority="603" operator="notEqual">
      <formula>0</formula>
    </cfRule>
  </conditionalFormatting>
  <conditionalFormatting sqref="V219">
    <cfRule type="cellIs" dxfId="152" priority="602" operator="notEqual">
      <formula>0</formula>
    </cfRule>
  </conditionalFormatting>
  <conditionalFormatting sqref="V221">
    <cfRule type="cellIs" dxfId="151" priority="601" operator="notEqual">
      <formula>0</formula>
    </cfRule>
  </conditionalFormatting>
  <conditionalFormatting sqref="V223">
    <cfRule type="cellIs" dxfId="150" priority="600" operator="notEqual">
      <formula>0</formula>
    </cfRule>
  </conditionalFormatting>
  <conditionalFormatting sqref="V229:V231">
    <cfRule type="cellIs" dxfId="149" priority="599" operator="notEqual">
      <formula>0</formula>
    </cfRule>
  </conditionalFormatting>
  <conditionalFormatting sqref="V236">
    <cfRule type="cellIs" dxfId="148" priority="598" operator="notEqual">
      <formula>0</formula>
    </cfRule>
  </conditionalFormatting>
  <conditionalFormatting sqref="V239:V240">
    <cfRule type="cellIs" dxfId="147" priority="597" operator="notEqual">
      <formula>0</formula>
    </cfRule>
  </conditionalFormatting>
  <conditionalFormatting sqref="V245:V250">
    <cfRule type="cellIs" dxfId="146" priority="596" operator="notEqual">
      <formula>0</formula>
    </cfRule>
  </conditionalFormatting>
  <conditionalFormatting sqref="V253:V256">
    <cfRule type="cellIs" dxfId="145" priority="595" operator="notEqual">
      <formula>0</formula>
    </cfRule>
  </conditionalFormatting>
  <conditionalFormatting sqref="V283">
    <cfRule type="cellIs" dxfId="144" priority="594" operator="notEqual">
      <formula>0</formula>
    </cfRule>
  </conditionalFormatting>
  <conditionalFormatting sqref="V286:V288">
    <cfRule type="cellIs" dxfId="143" priority="593" operator="notEqual">
      <formula>0</formula>
    </cfRule>
  </conditionalFormatting>
  <conditionalFormatting sqref="V289:V321">
    <cfRule type="cellIs" dxfId="142" priority="592" operator="notEqual">
      <formula>0</formula>
    </cfRule>
  </conditionalFormatting>
  <conditionalFormatting sqref="V323:V326">
    <cfRule type="cellIs" dxfId="141" priority="591" operator="notEqual">
      <formula>0</formula>
    </cfRule>
  </conditionalFormatting>
  <conditionalFormatting sqref="V331:V336">
    <cfRule type="cellIs" dxfId="140" priority="590" operator="notEqual">
      <formula>0</formula>
    </cfRule>
  </conditionalFormatting>
  <conditionalFormatting sqref="V338:V343">
    <cfRule type="cellIs" dxfId="139" priority="589" operator="notEqual">
      <formula>0</formula>
    </cfRule>
  </conditionalFormatting>
  <conditionalFormatting sqref="V346:V363">
    <cfRule type="cellIs" dxfId="138" priority="588" operator="notEqual">
      <formula>0</formula>
    </cfRule>
  </conditionalFormatting>
  <conditionalFormatting sqref="V368:V379">
    <cfRule type="cellIs" dxfId="137" priority="587" operator="notEqual">
      <formula>0</formula>
    </cfRule>
  </conditionalFormatting>
  <conditionalFormatting sqref="V415">
    <cfRule type="cellIs" dxfId="136" priority="586" operator="notEqual">
      <formula>0</formula>
    </cfRule>
  </conditionalFormatting>
  <conditionalFormatting sqref="V573:V575">
    <cfRule type="cellIs" dxfId="135" priority="585" operator="notEqual">
      <formula>0</formula>
    </cfRule>
  </conditionalFormatting>
  <conditionalFormatting sqref="V579">
    <cfRule type="cellIs" dxfId="134" priority="584" operator="notEqual">
      <formula>0</formula>
    </cfRule>
  </conditionalFormatting>
  <conditionalFormatting sqref="V604">
    <cfRule type="cellIs" dxfId="133" priority="583" operator="notEqual">
      <formula>0</formula>
    </cfRule>
  </conditionalFormatting>
  <conditionalFormatting sqref="V608">
    <cfRule type="cellIs" dxfId="132" priority="582" operator="notEqual">
      <formula>0</formula>
    </cfRule>
  </conditionalFormatting>
  <conditionalFormatting sqref="V832:V834">
    <cfRule type="cellIs" dxfId="131" priority="581" operator="notEqual">
      <formula>0</formula>
    </cfRule>
  </conditionalFormatting>
  <conditionalFormatting sqref="V837:V841">
    <cfRule type="cellIs" dxfId="130" priority="580" operator="notEqual">
      <formula>0</formula>
    </cfRule>
  </conditionalFormatting>
  <conditionalFormatting sqref="V846">
    <cfRule type="cellIs" dxfId="129" priority="579" operator="notEqual">
      <formula>0</formula>
    </cfRule>
  </conditionalFormatting>
  <conditionalFormatting sqref="V858:V867">
    <cfRule type="cellIs" dxfId="128" priority="578" operator="notEqual">
      <formula>0</formula>
    </cfRule>
  </conditionalFormatting>
  <conditionalFormatting sqref="V884">
    <cfRule type="cellIs" dxfId="127" priority="577" operator="notEqual">
      <formula>0</formula>
    </cfRule>
  </conditionalFormatting>
  <conditionalFormatting sqref="V117">
    <cfRule type="cellIs" dxfId="126" priority="543" operator="notEqual">
      <formula>0</formula>
    </cfRule>
  </conditionalFormatting>
  <conditionalFormatting sqref="V847">
    <cfRule type="cellIs" dxfId="125" priority="531" operator="equal">
      <formula>1</formula>
    </cfRule>
    <cfRule type="cellIs" dxfId="124" priority="532" operator="notEqual">
      <formula>0</formula>
    </cfRule>
  </conditionalFormatting>
  <conditionalFormatting sqref="V178">
    <cfRule type="cellIs" dxfId="123" priority="529" operator="equal">
      <formula>1</formula>
    </cfRule>
    <cfRule type="cellIs" dxfId="122" priority="530" operator="notEqual">
      <formula>0</formula>
    </cfRule>
  </conditionalFormatting>
  <conditionalFormatting sqref="V90:V93">
    <cfRule type="cellIs" dxfId="121" priority="527" operator="equal">
      <formula>1</formula>
    </cfRule>
    <cfRule type="cellIs" dxfId="120" priority="528" operator="notEqual">
      <formula>0</formula>
    </cfRule>
  </conditionalFormatting>
  <conditionalFormatting sqref="V16:V25">
    <cfRule type="cellIs" dxfId="119" priority="525" operator="equal">
      <formula>1</formula>
    </cfRule>
    <cfRule type="cellIs" dxfId="118" priority="526" operator="notEqual">
      <formula>0</formula>
    </cfRule>
  </conditionalFormatting>
  <conditionalFormatting sqref="R62:R69">
    <cfRule type="cellIs" dxfId="117" priority="501" stopIfTrue="1" operator="lessThan">
      <formula>0</formula>
    </cfRule>
  </conditionalFormatting>
  <conditionalFormatting sqref="R122">
    <cfRule type="cellIs" dxfId="116" priority="491" stopIfTrue="1" operator="lessThan">
      <formula>0</formula>
    </cfRule>
  </conditionalFormatting>
  <conditionalFormatting sqref="R56:R59">
    <cfRule type="cellIs" dxfId="115" priority="506" stopIfTrue="1" operator="lessThan">
      <formula>0</formula>
    </cfRule>
  </conditionalFormatting>
  <conditionalFormatting sqref="R118">
    <cfRule type="cellIs" dxfId="114" priority="496" stopIfTrue="1" operator="lessThan">
      <formula>0</formula>
    </cfRule>
  </conditionalFormatting>
  <conditionalFormatting sqref="R125">
    <cfRule type="cellIs" dxfId="113" priority="486" stopIfTrue="1" operator="lessThan">
      <formula>0</formula>
    </cfRule>
  </conditionalFormatting>
  <conditionalFormatting sqref="R127:R128">
    <cfRule type="cellIs" dxfId="112" priority="481" stopIfTrue="1" operator="lessThan">
      <formula>0</formula>
    </cfRule>
  </conditionalFormatting>
  <conditionalFormatting sqref="R130">
    <cfRule type="cellIs" dxfId="111" priority="476" stopIfTrue="1" operator="lessThan">
      <formula>0</formula>
    </cfRule>
  </conditionalFormatting>
  <conditionalFormatting sqref="R132:R133">
    <cfRule type="cellIs" dxfId="110" priority="471" stopIfTrue="1" operator="lessThan">
      <formula>0</formula>
    </cfRule>
  </conditionalFormatting>
  <conditionalFormatting sqref="R135">
    <cfRule type="cellIs" dxfId="109" priority="466" stopIfTrue="1" operator="lessThan">
      <formula>0</formula>
    </cfRule>
  </conditionalFormatting>
  <conditionalFormatting sqref="R139:R140">
    <cfRule type="cellIs" dxfId="108" priority="461" stopIfTrue="1" operator="lessThan">
      <formula>0</formula>
    </cfRule>
  </conditionalFormatting>
  <conditionalFormatting sqref="R142">
    <cfRule type="cellIs" dxfId="107" priority="456" stopIfTrue="1" operator="lessThan">
      <formula>0</formula>
    </cfRule>
  </conditionalFormatting>
  <conditionalFormatting sqref="R143">
    <cfRule type="cellIs" dxfId="106" priority="451" stopIfTrue="1" operator="lessThan">
      <formula>0</formula>
    </cfRule>
  </conditionalFormatting>
  <conditionalFormatting sqref="R146">
    <cfRule type="cellIs" dxfId="105" priority="446" stopIfTrue="1" operator="lessThan">
      <formula>0</formula>
    </cfRule>
  </conditionalFormatting>
  <conditionalFormatting sqref="R150:R151">
    <cfRule type="cellIs" dxfId="104" priority="441" stopIfTrue="1" operator="lessThan">
      <formula>0</formula>
    </cfRule>
  </conditionalFormatting>
  <conditionalFormatting sqref="R173:R175">
    <cfRule type="cellIs" dxfId="103" priority="436" stopIfTrue="1" operator="lessThan">
      <formula>0</formula>
    </cfRule>
  </conditionalFormatting>
  <conditionalFormatting sqref="R184">
    <cfRule type="cellIs" dxfId="102" priority="431" stopIfTrue="1" operator="lessThan">
      <formula>0</formula>
    </cfRule>
  </conditionalFormatting>
  <conditionalFormatting sqref="R186:R187">
    <cfRule type="cellIs" dxfId="101" priority="426" stopIfTrue="1" operator="lessThan">
      <formula>0</formula>
    </cfRule>
  </conditionalFormatting>
  <conditionalFormatting sqref="R190">
    <cfRule type="cellIs" dxfId="100" priority="421" stopIfTrue="1" operator="lessThan">
      <formula>0</formula>
    </cfRule>
  </conditionalFormatting>
  <conditionalFormatting sqref="R195">
    <cfRule type="cellIs" dxfId="99" priority="416" stopIfTrue="1" operator="lessThan">
      <formula>0</formula>
    </cfRule>
  </conditionalFormatting>
  <conditionalFormatting sqref="R197:R198">
    <cfRule type="cellIs" dxfId="98" priority="411" stopIfTrue="1" operator="lessThan">
      <formula>0</formula>
    </cfRule>
  </conditionalFormatting>
  <conditionalFormatting sqref="R220">
    <cfRule type="cellIs" dxfId="97" priority="406" stopIfTrue="1" operator="lessThan">
      <formula>0</formula>
    </cfRule>
  </conditionalFormatting>
  <conditionalFormatting sqref="R222">
    <cfRule type="cellIs" dxfId="96" priority="401" stopIfTrue="1" operator="lessThan">
      <formula>0</formula>
    </cfRule>
  </conditionalFormatting>
  <conditionalFormatting sqref="R224:R228">
    <cfRule type="cellIs" dxfId="95" priority="396" stopIfTrue="1" operator="lessThan">
      <formula>0</formula>
    </cfRule>
  </conditionalFormatting>
  <conditionalFormatting sqref="R232:R235">
    <cfRule type="cellIs" dxfId="94" priority="391" stopIfTrue="1" operator="lessThan">
      <formula>0</formula>
    </cfRule>
  </conditionalFormatting>
  <conditionalFormatting sqref="R237:R238">
    <cfRule type="cellIs" dxfId="93" priority="386" stopIfTrue="1" operator="lessThan">
      <formula>0</formula>
    </cfRule>
  </conditionalFormatting>
  <conditionalFormatting sqref="R241:R244">
    <cfRule type="cellIs" dxfId="92" priority="381" stopIfTrue="1" operator="lessThan">
      <formula>0</formula>
    </cfRule>
  </conditionalFormatting>
  <conditionalFormatting sqref="R251:R252">
    <cfRule type="cellIs" dxfId="91" priority="376" stopIfTrue="1" operator="lessThan">
      <formula>0</formula>
    </cfRule>
  </conditionalFormatting>
  <conditionalFormatting sqref="R257:R270">
    <cfRule type="cellIs" dxfId="90" priority="371" stopIfTrue="1" operator="lessThan">
      <formula>0</formula>
    </cfRule>
  </conditionalFormatting>
  <conditionalFormatting sqref="R284">
    <cfRule type="cellIs" dxfId="89" priority="366" stopIfTrue="1" operator="lessThan">
      <formula>0</formula>
    </cfRule>
  </conditionalFormatting>
  <conditionalFormatting sqref="R337">
    <cfRule type="cellIs" dxfId="88" priority="361" stopIfTrue="1" operator="lessThan">
      <formula>0</formula>
    </cfRule>
  </conditionalFormatting>
  <conditionalFormatting sqref="R364:R367">
    <cfRule type="cellIs" dxfId="87" priority="356" stopIfTrue="1" operator="lessThan">
      <formula>0</formula>
    </cfRule>
  </conditionalFormatting>
  <conditionalFormatting sqref="R380:R382">
    <cfRule type="cellIs" dxfId="86" priority="351" stopIfTrue="1" operator="lessThan">
      <formula>0</formula>
    </cfRule>
  </conditionalFormatting>
  <conditionalFormatting sqref="R416">
    <cfRule type="cellIs" dxfId="85" priority="346" stopIfTrue="1" operator="lessThan">
      <formula>0</formula>
    </cfRule>
  </conditionalFormatting>
  <conditionalFormatting sqref="R566:R569">
    <cfRule type="cellIs" dxfId="84" priority="341" stopIfTrue="1" operator="lessThan">
      <formula>0</formula>
    </cfRule>
  </conditionalFormatting>
  <conditionalFormatting sqref="R571:R572">
    <cfRule type="cellIs" dxfId="83" priority="336" stopIfTrue="1" operator="lessThan">
      <formula>0</formula>
    </cfRule>
  </conditionalFormatting>
  <conditionalFormatting sqref="R576:R578">
    <cfRule type="cellIs" dxfId="82" priority="331" stopIfTrue="1" operator="lessThan">
      <formula>0</formula>
    </cfRule>
  </conditionalFormatting>
  <conditionalFormatting sqref="R580">
    <cfRule type="cellIs" dxfId="81" priority="326" stopIfTrue="1" operator="lessThan">
      <formula>0</formula>
    </cfRule>
  </conditionalFormatting>
  <conditionalFormatting sqref="R835:R836">
    <cfRule type="cellIs" dxfId="80" priority="321" stopIfTrue="1" operator="lessThan">
      <formula>0</formula>
    </cfRule>
  </conditionalFormatting>
  <conditionalFormatting sqref="R842:R845">
    <cfRule type="cellIs" dxfId="79" priority="316" stopIfTrue="1" operator="lessThan">
      <formula>0</formula>
    </cfRule>
  </conditionalFormatting>
  <conditionalFormatting sqref="R848">
    <cfRule type="cellIs" dxfId="78" priority="311" stopIfTrue="1" operator="lessThan">
      <formula>0</formula>
    </cfRule>
  </conditionalFormatting>
  <conditionalFormatting sqref="R868:R875">
    <cfRule type="cellIs" dxfId="77" priority="306" stopIfTrue="1" operator="lessThan">
      <formula>0</formula>
    </cfRule>
  </conditionalFormatting>
  <conditionalFormatting sqref="R885:R886">
    <cfRule type="cellIs" dxfId="76" priority="301" stopIfTrue="1" operator="lessThan">
      <formula>0</formula>
    </cfRule>
  </conditionalFormatting>
  <conditionalFormatting sqref="T570">
    <cfRule type="cellIs" dxfId="75" priority="24" stopIfTrue="1" operator="lessThan">
      <formula>0</formula>
    </cfRule>
  </conditionalFormatting>
  <conditionalFormatting sqref="V402:V409">
    <cfRule type="cellIs" dxfId="74" priority="38" operator="equal">
      <formula>1</formula>
    </cfRule>
    <cfRule type="cellIs" dxfId="73" priority="39" operator="notEqual">
      <formula>0</formula>
    </cfRule>
  </conditionalFormatting>
  <conditionalFormatting sqref="V640">
    <cfRule type="cellIs" dxfId="72" priority="36" operator="equal">
      <formula>1</formula>
    </cfRule>
    <cfRule type="cellIs" dxfId="71" priority="37" operator="notEqual">
      <formula>0</formula>
    </cfRule>
  </conditionalFormatting>
  <conditionalFormatting sqref="V667">
    <cfRule type="cellIs" dxfId="70" priority="34" operator="equal">
      <formula>1</formula>
    </cfRule>
    <cfRule type="cellIs" dxfId="69" priority="35" operator="notEqual">
      <formula>0</formula>
    </cfRule>
  </conditionalFormatting>
  <conditionalFormatting sqref="V763">
    <cfRule type="cellIs" dxfId="68" priority="32" operator="equal">
      <formula>1</formula>
    </cfRule>
    <cfRule type="cellIs" dxfId="67" priority="33" operator="notEqual">
      <formula>0</formula>
    </cfRule>
  </conditionalFormatting>
  <conditionalFormatting sqref="Q761:R761">
    <cfRule type="cellIs" dxfId="66" priority="31" stopIfTrue="1" operator="lessThan">
      <formula>0</formula>
    </cfRule>
  </conditionalFormatting>
  <conditionalFormatting sqref="V761">
    <cfRule type="cellIs" dxfId="65" priority="29" operator="equal">
      <formula>1</formula>
    </cfRule>
    <cfRule type="cellIs" dxfId="64" priority="30" operator="notEqual">
      <formula>0</formula>
    </cfRule>
  </conditionalFormatting>
  <conditionalFormatting sqref="H13:L13">
    <cfRule type="cellIs" dxfId="63" priority="28" operator="notEqual">
      <formula>0</formula>
    </cfRule>
  </conditionalFormatting>
  <conditionalFormatting sqref="S115 S113:T113 S117 S383:T383">
    <cfRule type="cellIs" dxfId="62" priority="27" stopIfTrue="1" operator="lessThan">
      <formula>0</formula>
    </cfRule>
  </conditionalFormatting>
  <conditionalFormatting sqref="S570">
    <cfRule type="cellIs" dxfId="61" priority="26" stopIfTrue="1" operator="lessThan">
      <formula>0</formula>
    </cfRule>
  </conditionalFormatting>
  <conditionalFormatting sqref="S570">
    <cfRule type="expression" dxfId="60" priority="25">
      <formula>(#REF!+#REF!)&lt;&gt;(#REF!+#REF!)</formula>
    </cfRule>
  </conditionalFormatting>
  <conditionalFormatting sqref="T570">
    <cfRule type="expression" dxfId="59" priority="23">
      <formula>(#REF!+#REF!)&lt;&gt;(#REF!+#REF!)</formula>
    </cfRule>
  </conditionalFormatting>
  <conditionalFormatting sqref="T115">
    <cfRule type="cellIs" dxfId="58" priority="22" stopIfTrue="1" operator="lessThan">
      <formula>0</formula>
    </cfRule>
  </conditionalFormatting>
  <conditionalFormatting sqref="T115">
    <cfRule type="expression" dxfId="57" priority="19">
      <formula>#REF!&lt;0</formula>
    </cfRule>
    <cfRule type="expression" dxfId="56" priority="20">
      <formula>AND($N$4="12",ABS(#REF!+#REF!)&gt;ABS(#REF!+#REF!),#REF!+#REF!&lt;0)</formula>
    </cfRule>
    <cfRule type="expression" dxfId="55" priority="21">
      <formula>AND(ABS(#REF!+#REF!)&gt;ABS(#REF!+#REF!),#REF!+#REF!&gt;0)</formula>
    </cfRule>
  </conditionalFormatting>
  <conditionalFormatting sqref="T117">
    <cfRule type="cellIs" dxfId="54" priority="18" stopIfTrue="1" operator="lessThan">
      <formula>0</formula>
    </cfRule>
  </conditionalFormatting>
  <conditionalFormatting sqref="T117">
    <cfRule type="expression" dxfId="53" priority="15">
      <formula>#REF!&lt;0</formula>
    </cfRule>
    <cfRule type="expression" dxfId="52" priority="16">
      <formula>AND($N$4="12",ABS(#REF!+#REF!)&gt;ABS(#REF!+#REF!),#REF!+#REF!&lt;0)</formula>
    </cfRule>
    <cfRule type="expression" dxfId="51" priority="17">
      <formula>AND(ABS(#REF!+#REF!)&gt;ABS(#REF!+#REF!),#REF!+#REF!&gt;0)</formula>
    </cfRule>
  </conditionalFormatting>
  <conditionalFormatting sqref="S14:T112">
    <cfRule type="cellIs" dxfId="50" priority="14" stopIfTrue="1" operator="lessThan">
      <formula>0</formula>
    </cfRule>
  </conditionalFormatting>
  <conditionalFormatting sqref="S114:T114">
    <cfRule type="cellIs" dxfId="49" priority="13" stopIfTrue="1" operator="lessThan">
      <formula>0</formula>
    </cfRule>
  </conditionalFormatting>
  <conditionalFormatting sqref="S116:T116">
    <cfRule type="cellIs" dxfId="48" priority="12" stopIfTrue="1" operator="lessThan">
      <formula>0</formula>
    </cfRule>
  </conditionalFormatting>
  <conditionalFormatting sqref="S118:T335 S338:T382">
    <cfRule type="cellIs" dxfId="47" priority="11" stopIfTrue="1" operator="lessThan">
      <formula>0</formula>
    </cfRule>
  </conditionalFormatting>
  <conditionalFormatting sqref="S336:T337">
    <cfRule type="cellIs" dxfId="46" priority="10" stopIfTrue="1" operator="lessThan">
      <formula>0</formula>
    </cfRule>
  </conditionalFormatting>
  <conditionalFormatting sqref="S384:T565">
    <cfRule type="cellIs" dxfId="45" priority="9" stopIfTrue="1" operator="lessThan">
      <formula>0</formula>
    </cfRule>
  </conditionalFormatting>
  <conditionalFormatting sqref="S566:T569">
    <cfRule type="cellIs" dxfId="44" priority="8" stopIfTrue="1" operator="lessThan">
      <formula>0</formula>
    </cfRule>
  </conditionalFormatting>
  <conditionalFormatting sqref="S573:T828">
    <cfRule type="cellIs" dxfId="43" priority="7" stopIfTrue="1" operator="lessThan">
      <formula>0</formula>
    </cfRule>
  </conditionalFormatting>
  <conditionalFormatting sqref="S571:T572">
    <cfRule type="cellIs" dxfId="42" priority="6" stopIfTrue="1" operator="lessThan">
      <formula>0</formula>
    </cfRule>
  </conditionalFormatting>
  <conditionalFormatting sqref="S832:T887">
    <cfRule type="cellIs" dxfId="41" priority="5" stopIfTrue="1" operator="lessThan">
      <formula>0</formula>
    </cfRule>
  </conditionalFormatting>
  <conditionalFormatting sqref="R115">
    <cfRule type="cellIs" dxfId="40" priority="4" stopIfTrue="1" operator="lessThan">
      <formula>0</formula>
    </cfRule>
  </conditionalFormatting>
  <conditionalFormatting sqref="R114">
    <cfRule type="cellIs" dxfId="39" priority="3" stopIfTrue="1" operator="lessThan">
      <formula>0</formula>
    </cfRule>
  </conditionalFormatting>
  <conditionalFormatting sqref="R117">
    <cfRule type="cellIs" dxfId="38" priority="2" stopIfTrue="1" operator="lessThan">
      <formula>0</formula>
    </cfRule>
  </conditionalFormatting>
  <conditionalFormatting sqref="R116">
    <cfRule type="cellIs" dxfId="37" priority="1" stopIfTrue="1" operator="lessThan">
      <formula>0</formula>
    </cfRule>
  </conditionalFormatting>
  <dataValidations disablePrompts="1" count="1">
    <dataValidation type="whole" allowBlank="1" showInputMessage="1" showErrorMessage="1" sqref="D4:E4">
      <formula1>0</formula1>
      <formula2>9999999999999990</formula2>
    </dataValidation>
  </dataValidations>
  <pageMargins left="0.24" right="0.24" top="0.43" bottom="0.35" header="0.23" footer="0.24"/>
  <pageSetup paperSize="9" scale="75" orientation="portrait" horizontalDpi="4294967292" r:id="rId1"/>
  <headerFooter alignWithMargins="0">
    <oddHeader>&amp;C&amp;"Times New Roman CYR,Bold"&amp;12- &amp;P / &amp;N -</oddHeader>
  </headerFooter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>
  <dimension ref="A1:AG380"/>
  <sheetViews>
    <sheetView zoomScaleNormal="100" workbookViewId="0">
      <pane xSplit="4" ySplit="7" topLeftCell="E8" activePane="bottomRight" state="frozen"/>
      <selection pane="topRight" activeCell="E1" sqref="E1"/>
      <selection pane="bottomLeft" activeCell="A8" sqref="A8"/>
      <selection pane="bottomRight" activeCell="E8" sqref="E8"/>
    </sheetView>
  </sheetViews>
  <sheetFormatPr defaultRowHeight="15.75"/>
  <cols>
    <col min="1" max="1" width="4.42578125" style="1818" customWidth="1"/>
    <col min="2" max="2" width="67.28515625" style="1818" customWidth="1"/>
    <col min="3" max="3" width="18.42578125" style="1818" customWidth="1"/>
    <col min="4" max="4" width="4.140625" style="1818" customWidth="1"/>
    <col min="5" max="5" width="8" style="1875" customWidth="1"/>
    <col min="6" max="6" width="1.7109375" style="1818" customWidth="1"/>
    <col min="7" max="7" width="8" style="1875" hidden="1" customWidth="1"/>
    <col min="8" max="8" width="1.7109375" style="1818" hidden="1" customWidth="1"/>
    <col min="9" max="12" width="9.140625" style="1818"/>
    <col min="13" max="15" width="18" style="1818" customWidth="1"/>
    <col min="16" max="16384" width="9.140625" style="1818"/>
  </cols>
  <sheetData>
    <row r="1" spans="1:33" s="1817" customFormat="1" ht="20.25" thickTop="1" thickBot="1">
      <c r="A1" s="1812" t="s">
        <v>1510</v>
      </c>
      <c r="B1" s="1813"/>
      <c r="C1" s="1814"/>
      <c r="D1" s="1815"/>
      <c r="E1" s="1816"/>
      <c r="G1" s="1816"/>
      <c r="P1" s="1818"/>
      <c r="Q1" s="1818"/>
      <c r="R1" s="1818"/>
      <c r="S1" s="1818"/>
      <c r="T1" s="1818"/>
      <c r="U1" s="1818"/>
      <c r="V1" s="1818"/>
      <c r="W1" s="1818"/>
      <c r="X1" s="1818"/>
      <c r="Y1" s="1818"/>
      <c r="Z1" s="1818"/>
      <c r="AA1" s="1818"/>
      <c r="AB1" s="1818"/>
      <c r="AC1" s="1818"/>
      <c r="AD1" s="1818"/>
      <c r="AE1" s="1818"/>
      <c r="AF1" s="1818"/>
      <c r="AG1" s="1818"/>
    </row>
    <row r="2" spans="1:33" s="1817" customFormat="1" ht="19.5" thickBot="1">
      <c r="A2" s="1819" t="s">
        <v>1511</v>
      </c>
      <c r="B2" s="1820"/>
      <c r="C2" s="1821"/>
      <c r="D2" s="1815"/>
      <c r="E2" s="1816"/>
      <c r="G2" s="1816"/>
      <c r="P2" s="1818"/>
      <c r="Q2" s="1818"/>
      <c r="R2" s="1818"/>
      <c r="S2" s="1818"/>
      <c r="T2" s="1818"/>
      <c r="U2" s="1818"/>
      <c r="V2" s="1818"/>
      <c r="W2" s="1818"/>
      <c r="X2" s="1818"/>
      <c r="Y2" s="1818"/>
      <c r="Z2" s="1818"/>
      <c r="AA2" s="1818"/>
      <c r="AB2" s="1818"/>
      <c r="AC2" s="1818"/>
      <c r="AD2" s="1818"/>
      <c r="AE2" s="1818"/>
      <c r="AF2" s="1818"/>
      <c r="AG2" s="1818"/>
    </row>
    <row r="3" spans="1:33" s="1817" customFormat="1" ht="15.75" customHeight="1" thickTop="1">
      <c r="A3" s="1822"/>
      <c r="B3" s="1823"/>
      <c r="C3" s="1822"/>
      <c r="D3" s="1815"/>
      <c r="E3" s="1816"/>
      <c r="G3" s="1816"/>
      <c r="P3" s="1818"/>
      <c r="Q3" s="1818"/>
      <c r="R3" s="1818"/>
      <c r="S3" s="1818"/>
      <c r="T3" s="1818"/>
      <c r="U3" s="1818"/>
      <c r="V3" s="1818"/>
      <c r="W3" s="1818"/>
      <c r="X3" s="1818"/>
      <c r="Y3" s="1818"/>
      <c r="Z3" s="1818"/>
      <c r="AA3" s="1818"/>
      <c r="AB3" s="1818"/>
      <c r="AC3" s="1818"/>
      <c r="AD3" s="1818"/>
      <c r="AE3" s="1818"/>
      <c r="AF3" s="1818"/>
      <c r="AG3" s="1818"/>
    </row>
    <row r="4" spans="1:33" s="1817" customFormat="1" ht="20.25" thickBot="1">
      <c r="A4" s="1824" t="s">
        <v>1512</v>
      </c>
      <c r="B4" s="1823"/>
      <c r="C4" s="1825"/>
      <c r="D4" s="1815"/>
      <c r="E4" s="1816"/>
      <c r="G4" s="1816"/>
      <c r="P4" s="1818"/>
      <c r="Q4" s="1818"/>
      <c r="R4" s="1818"/>
      <c r="S4" s="1818"/>
      <c r="T4" s="1818"/>
      <c r="U4" s="1818"/>
      <c r="V4" s="1818"/>
      <c r="W4" s="1818"/>
      <c r="X4" s="1818"/>
      <c r="Y4" s="1818"/>
      <c r="Z4" s="1818"/>
      <c r="AA4" s="1818"/>
      <c r="AB4" s="1818"/>
      <c r="AC4" s="1818"/>
      <c r="AD4" s="1818"/>
      <c r="AE4" s="1818"/>
      <c r="AF4" s="1818"/>
      <c r="AG4" s="1818"/>
    </row>
    <row r="5" spans="1:33" s="1817" customFormat="1" ht="63.75" customHeight="1" thickBot="1">
      <c r="A5" s="1826"/>
      <c r="B5" s="1827" t="s">
        <v>1513</v>
      </c>
      <c r="C5" s="1828" t="s">
        <v>1514</v>
      </c>
      <c r="D5" s="1815"/>
      <c r="E5" s="1816"/>
      <c r="G5" s="2216" t="s">
        <v>2132</v>
      </c>
      <c r="P5" s="1818"/>
      <c r="Q5" s="1818"/>
      <c r="R5" s="1818"/>
      <c r="S5" s="1818"/>
      <c r="T5" s="1818"/>
      <c r="U5" s="1818"/>
      <c r="V5" s="1818"/>
      <c r="W5" s="1818"/>
      <c r="X5" s="1818"/>
      <c r="Y5" s="1818"/>
      <c r="Z5" s="1818"/>
      <c r="AA5" s="1818"/>
      <c r="AB5" s="1818"/>
      <c r="AC5" s="1818"/>
      <c r="AD5" s="1818"/>
      <c r="AE5" s="1818"/>
      <c r="AF5" s="1818"/>
      <c r="AG5" s="1818"/>
    </row>
    <row r="6" spans="1:33" s="1817" customFormat="1" ht="18.75" customHeight="1" thickBot="1">
      <c r="A6" s="1826"/>
      <c r="B6" s="1829" t="s">
        <v>1009</v>
      </c>
      <c r="C6" s="1829" t="s">
        <v>1010</v>
      </c>
      <c r="D6" s="1815"/>
      <c r="E6" s="1830">
        <f>SUM(E9:E352)</f>
        <v>0</v>
      </c>
      <c r="G6" s="1830">
        <f>SUM(G9:G352)</f>
        <v>0</v>
      </c>
      <c r="I6" s="1830">
        <f>+COUNTIF(I9:I352,2)</f>
        <v>0</v>
      </c>
      <c r="P6" s="1818"/>
      <c r="Q6" s="1818"/>
      <c r="R6" s="1818"/>
      <c r="S6" s="1818"/>
      <c r="T6" s="1818"/>
      <c r="U6" s="1818"/>
      <c r="V6" s="1818"/>
      <c r="W6" s="1818"/>
      <c r="X6" s="1818"/>
      <c r="Y6" s="1818"/>
      <c r="Z6" s="1818"/>
      <c r="AA6" s="1818"/>
      <c r="AB6" s="1818"/>
      <c r="AC6" s="1818"/>
      <c r="AD6" s="1818"/>
      <c r="AE6" s="1818"/>
      <c r="AF6" s="1818"/>
      <c r="AG6" s="1818"/>
    </row>
    <row r="7" spans="1:33" s="1817" customFormat="1" ht="15.75" customHeight="1" thickBot="1">
      <c r="A7" s="1831"/>
      <c r="B7" s="1832"/>
      <c r="C7" s="1833"/>
      <c r="D7" s="1815"/>
      <c r="E7" s="1816"/>
      <c r="G7" s="1816"/>
      <c r="P7" s="1818"/>
      <c r="Q7" s="1818"/>
      <c r="R7" s="1818"/>
      <c r="S7" s="1818"/>
      <c r="T7" s="1818"/>
      <c r="U7" s="1818"/>
      <c r="V7" s="1818"/>
      <c r="W7" s="1818"/>
      <c r="X7" s="1818"/>
      <c r="Y7" s="1818"/>
      <c r="Z7" s="1818"/>
      <c r="AA7" s="1818"/>
      <c r="AB7" s="1818"/>
      <c r="AC7" s="1818"/>
      <c r="AD7" s="1818"/>
      <c r="AE7" s="1818"/>
      <c r="AF7" s="1818"/>
      <c r="AG7" s="1818"/>
    </row>
    <row r="8" spans="1:33" s="1817" customFormat="1" ht="21" customHeight="1">
      <c r="A8" s="1834"/>
      <c r="B8" s="1835" t="s">
        <v>1515</v>
      </c>
      <c r="C8" s="1836" t="s">
        <v>1516</v>
      </c>
      <c r="D8" s="1815"/>
      <c r="E8" s="1816"/>
      <c r="G8" s="1816"/>
      <c r="P8" s="1818"/>
      <c r="Q8" s="1818"/>
      <c r="R8" s="1818"/>
      <c r="S8" s="1818"/>
      <c r="T8" s="1818"/>
      <c r="U8" s="1818"/>
      <c r="V8" s="1818"/>
      <c r="W8" s="1818"/>
      <c r="X8" s="1818"/>
      <c r="Y8" s="1818"/>
      <c r="Z8" s="1818"/>
      <c r="AA8" s="1818"/>
      <c r="AB8" s="1818"/>
      <c r="AC8" s="1818"/>
      <c r="AD8" s="1818"/>
      <c r="AE8" s="1818"/>
      <c r="AF8" s="1818"/>
      <c r="AG8" s="1818"/>
    </row>
    <row r="9" spans="1:33" s="1817" customFormat="1" ht="18.75">
      <c r="A9" s="1834"/>
      <c r="B9" s="1837" t="s">
        <v>1517</v>
      </c>
      <c r="C9" s="1838">
        <v>5101</v>
      </c>
      <c r="D9" s="1815"/>
      <c r="E9" s="1839">
        <f>+IF('TRIAL-BALANCE'!C$8=C9,1,0)</f>
        <v>0</v>
      </c>
      <c r="G9" s="1839">
        <v>0</v>
      </c>
      <c r="I9" s="2217">
        <f>+E9+G9</f>
        <v>0</v>
      </c>
      <c r="P9" s="1818"/>
      <c r="Q9" s="1818"/>
      <c r="R9" s="1818"/>
      <c r="S9" s="1818"/>
      <c r="T9" s="1818"/>
      <c r="U9" s="1818"/>
      <c r="V9" s="1818"/>
      <c r="W9" s="1818"/>
      <c r="X9" s="1818"/>
      <c r="Y9" s="1818"/>
      <c r="Z9" s="1818"/>
      <c r="AA9" s="1818"/>
      <c r="AB9" s="1818"/>
      <c r="AC9" s="1818"/>
      <c r="AD9" s="1818"/>
      <c r="AE9" s="1818"/>
      <c r="AF9" s="1818"/>
      <c r="AG9" s="1818"/>
    </row>
    <row r="10" spans="1:33" s="1817" customFormat="1" ht="18.75">
      <c r="A10" s="1834"/>
      <c r="B10" s="1840" t="s">
        <v>1518</v>
      </c>
      <c r="C10" s="1841">
        <v>5102</v>
      </c>
      <c r="D10" s="1815"/>
      <c r="E10" s="1842">
        <f>+IF('TRIAL-BALANCE'!C$8=C10,1,0)</f>
        <v>0</v>
      </c>
      <c r="G10" s="1842">
        <v>0</v>
      </c>
      <c r="I10" s="2217">
        <f t="shared" ref="I10:I22" si="0">+E10+G10</f>
        <v>0</v>
      </c>
      <c r="P10" s="1818"/>
      <c r="Q10" s="1818"/>
      <c r="R10" s="1818"/>
      <c r="S10" s="1818"/>
      <c r="T10" s="1818"/>
      <c r="U10" s="1818"/>
      <c r="V10" s="1818"/>
      <c r="W10" s="1818"/>
      <c r="X10" s="1818"/>
      <c r="Y10" s="1818"/>
      <c r="Z10" s="1818"/>
      <c r="AA10" s="1818"/>
      <c r="AB10" s="1818"/>
      <c r="AC10" s="1818"/>
      <c r="AD10" s="1818"/>
      <c r="AE10" s="1818"/>
      <c r="AF10" s="1818"/>
      <c r="AG10" s="1818"/>
    </row>
    <row r="11" spans="1:33" s="1817" customFormat="1" ht="19.5">
      <c r="A11" s="1834"/>
      <c r="B11" s="1843" t="s">
        <v>1519</v>
      </c>
      <c r="C11" s="1841">
        <v>5103</v>
      </c>
      <c r="D11" s="1815"/>
      <c r="E11" s="1842">
        <f>+IF('TRIAL-BALANCE'!C$8=C11,1,0)</f>
        <v>0</v>
      </c>
      <c r="G11" s="1842">
        <v>0</v>
      </c>
      <c r="I11" s="2217">
        <f t="shared" si="0"/>
        <v>0</v>
      </c>
      <c r="P11" s="1818"/>
      <c r="Q11" s="1818"/>
      <c r="R11" s="1818"/>
      <c r="S11" s="1818"/>
      <c r="T11" s="1818"/>
      <c r="U11" s="1818"/>
      <c r="V11" s="1818"/>
      <c r="W11" s="1818"/>
      <c r="X11" s="1818"/>
      <c r="Y11" s="1818"/>
      <c r="Z11" s="1818"/>
      <c r="AA11" s="1818"/>
      <c r="AB11" s="1818"/>
      <c r="AC11" s="1818"/>
      <c r="AD11" s="1818"/>
      <c r="AE11" s="1818"/>
      <c r="AF11" s="1818"/>
      <c r="AG11" s="1818"/>
    </row>
    <row r="12" spans="1:33" s="1817" customFormat="1" ht="18.75">
      <c r="A12" s="1834"/>
      <c r="B12" s="1840" t="s">
        <v>1520</v>
      </c>
      <c r="C12" s="1841">
        <v>5104</v>
      </c>
      <c r="D12" s="1815"/>
      <c r="E12" s="1842">
        <f>+IF('TRIAL-BALANCE'!C$8=C12,1,0)</f>
        <v>0</v>
      </c>
      <c r="G12" s="1842">
        <v>0</v>
      </c>
      <c r="I12" s="2217">
        <f t="shared" si="0"/>
        <v>0</v>
      </c>
      <c r="P12" s="1818"/>
      <c r="Q12" s="1818"/>
      <c r="R12" s="1818"/>
      <c r="S12" s="1818"/>
      <c r="T12" s="1818"/>
      <c r="U12" s="1818"/>
      <c r="V12" s="1818"/>
      <c r="W12" s="1818"/>
      <c r="X12" s="1818"/>
      <c r="Y12" s="1818"/>
      <c r="Z12" s="1818"/>
      <c r="AA12" s="1818"/>
      <c r="AB12" s="1818"/>
      <c r="AC12" s="1818"/>
      <c r="AD12" s="1818"/>
      <c r="AE12" s="1818"/>
      <c r="AF12" s="1818"/>
      <c r="AG12" s="1818"/>
    </row>
    <row r="13" spans="1:33" s="1817" customFormat="1" ht="18.75">
      <c r="A13" s="1834"/>
      <c r="B13" s="1840" t="s">
        <v>1521</v>
      </c>
      <c r="C13" s="1841">
        <v>5105</v>
      </c>
      <c r="D13" s="1815"/>
      <c r="E13" s="1842">
        <f>+IF('TRIAL-BALANCE'!C$8=C13,1,0)</f>
        <v>0</v>
      </c>
      <c r="G13" s="1842">
        <v>0</v>
      </c>
      <c r="I13" s="2217">
        <f t="shared" si="0"/>
        <v>0</v>
      </c>
      <c r="P13" s="1818"/>
      <c r="Q13" s="1818"/>
      <c r="R13" s="1818"/>
      <c r="S13" s="1818"/>
      <c r="T13" s="1818"/>
      <c r="U13" s="1818"/>
      <c r="V13" s="1818"/>
      <c r="W13" s="1818"/>
      <c r="X13" s="1818"/>
      <c r="Y13" s="1818"/>
      <c r="Z13" s="1818"/>
      <c r="AA13" s="1818"/>
      <c r="AB13" s="1818"/>
      <c r="AC13" s="1818"/>
      <c r="AD13" s="1818"/>
      <c r="AE13" s="1818"/>
      <c r="AF13" s="1818"/>
      <c r="AG13" s="1818"/>
    </row>
    <row r="14" spans="1:33" s="1817" customFormat="1" ht="18.75">
      <c r="A14" s="1834"/>
      <c r="B14" s="1844" t="s">
        <v>1522</v>
      </c>
      <c r="C14" s="1841">
        <v>5106</v>
      </c>
      <c r="D14" s="1815"/>
      <c r="E14" s="1842">
        <f>+IF('TRIAL-BALANCE'!C$8=C14,1,0)</f>
        <v>0</v>
      </c>
      <c r="G14" s="1842">
        <v>0</v>
      </c>
      <c r="I14" s="2217">
        <f t="shared" si="0"/>
        <v>0</v>
      </c>
      <c r="P14" s="1818"/>
      <c r="Q14" s="1818"/>
      <c r="R14" s="1818"/>
      <c r="S14" s="1818"/>
      <c r="T14" s="1818"/>
      <c r="U14" s="1818"/>
      <c r="V14" s="1818"/>
      <c r="W14" s="1818"/>
      <c r="X14" s="1818"/>
      <c r="Y14" s="1818"/>
      <c r="Z14" s="1818"/>
      <c r="AA14" s="1818"/>
      <c r="AB14" s="1818"/>
      <c r="AC14" s="1818"/>
      <c r="AD14" s="1818"/>
      <c r="AE14" s="1818"/>
      <c r="AF14" s="1818"/>
      <c r="AG14" s="1818"/>
    </row>
    <row r="15" spans="1:33" s="1817" customFormat="1" ht="18.75">
      <c r="A15" s="1834"/>
      <c r="B15" s="1844" t="s">
        <v>1523</v>
      </c>
      <c r="C15" s="1841">
        <v>5107</v>
      </c>
      <c r="D15" s="1815"/>
      <c r="E15" s="1842">
        <f>+IF('TRIAL-BALANCE'!C$8=C15,1,0)</f>
        <v>0</v>
      </c>
      <c r="G15" s="1842">
        <v>0</v>
      </c>
      <c r="I15" s="2217">
        <f t="shared" si="0"/>
        <v>0</v>
      </c>
      <c r="P15" s="1818"/>
      <c r="Q15" s="1818"/>
      <c r="R15" s="1818"/>
      <c r="S15" s="1818"/>
      <c r="T15" s="1818"/>
      <c r="U15" s="1818"/>
      <c r="V15" s="1818"/>
      <c r="W15" s="1818"/>
      <c r="X15" s="1818"/>
      <c r="Y15" s="1818"/>
      <c r="Z15" s="1818"/>
      <c r="AA15" s="1818"/>
      <c r="AB15" s="1818"/>
      <c r="AC15" s="1818"/>
      <c r="AD15" s="1818"/>
      <c r="AE15" s="1818"/>
      <c r="AF15" s="1818"/>
      <c r="AG15" s="1818"/>
    </row>
    <row r="16" spans="1:33" s="1817" customFormat="1" ht="18.75">
      <c r="A16" s="1834"/>
      <c r="B16" s="1845" t="s">
        <v>1524</v>
      </c>
      <c r="C16" s="1846">
        <v>5108</v>
      </c>
      <c r="D16" s="1815"/>
      <c r="E16" s="1842">
        <f>+IF('TRIAL-BALANCE'!C$8=C16,1,0)</f>
        <v>0</v>
      </c>
      <c r="G16" s="1842">
        <v>0</v>
      </c>
      <c r="I16" s="2217">
        <f t="shared" si="0"/>
        <v>0</v>
      </c>
      <c r="P16" s="1818"/>
      <c r="Q16" s="1818"/>
      <c r="R16" s="1818"/>
      <c r="S16" s="1818"/>
      <c r="T16" s="1818"/>
      <c r="U16" s="1818"/>
      <c r="V16" s="1818"/>
      <c r="W16" s="1818"/>
      <c r="X16" s="1818"/>
      <c r="Y16" s="1818"/>
      <c r="Z16" s="1818"/>
      <c r="AA16" s="1818"/>
      <c r="AB16" s="1818"/>
      <c r="AC16" s="1818"/>
      <c r="AD16" s="1818"/>
      <c r="AE16" s="1818"/>
      <c r="AF16" s="1818"/>
      <c r="AG16" s="1818"/>
    </row>
    <row r="17" spans="1:33" s="1817" customFormat="1" ht="18.75">
      <c r="A17" s="1834"/>
      <c r="B17" s="1845" t="s">
        <v>1525</v>
      </c>
      <c r="C17" s="1846">
        <v>5109</v>
      </c>
      <c r="D17" s="1815"/>
      <c r="E17" s="1842">
        <f>+IF('TRIAL-BALANCE'!C$8=C17,1,0)</f>
        <v>0</v>
      </c>
      <c r="G17" s="1842">
        <v>0</v>
      </c>
      <c r="I17" s="2217">
        <f t="shared" si="0"/>
        <v>0</v>
      </c>
      <c r="P17" s="1818"/>
      <c r="Q17" s="1818"/>
      <c r="R17" s="1818"/>
      <c r="S17" s="1818"/>
      <c r="T17" s="1818"/>
      <c r="U17" s="1818"/>
      <c r="V17" s="1818"/>
      <c r="W17" s="1818"/>
      <c r="X17" s="1818"/>
      <c r="Y17" s="1818"/>
      <c r="Z17" s="1818"/>
      <c r="AA17" s="1818"/>
      <c r="AB17" s="1818"/>
      <c r="AC17" s="1818"/>
      <c r="AD17" s="1818"/>
      <c r="AE17" s="1818"/>
      <c r="AF17" s="1818"/>
      <c r="AG17" s="1818"/>
    </row>
    <row r="18" spans="1:33" s="1817" customFormat="1" ht="18.75">
      <c r="A18" s="1834"/>
      <c r="B18" s="1845" t="s">
        <v>1526</v>
      </c>
      <c r="C18" s="1846">
        <v>5110</v>
      </c>
      <c r="D18" s="1815"/>
      <c r="E18" s="1842">
        <f>+IF('TRIAL-BALANCE'!C$8=C18,1,0)</f>
        <v>0</v>
      </c>
      <c r="G18" s="1842">
        <v>0</v>
      </c>
      <c r="I18" s="2217">
        <f t="shared" si="0"/>
        <v>0</v>
      </c>
      <c r="P18" s="1818"/>
      <c r="Q18" s="1818"/>
      <c r="R18" s="1818"/>
      <c r="S18" s="1818"/>
      <c r="T18" s="1818"/>
      <c r="U18" s="1818"/>
      <c r="V18" s="1818"/>
      <c r="W18" s="1818"/>
      <c r="X18" s="1818"/>
      <c r="Y18" s="1818"/>
      <c r="Z18" s="1818"/>
      <c r="AA18" s="1818"/>
      <c r="AB18" s="1818"/>
      <c r="AC18" s="1818"/>
      <c r="AD18" s="1818"/>
      <c r="AE18" s="1818"/>
      <c r="AF18" s="1818"/>
      <c r="AG18" s="1818"/>
    </row>
    <row r="19" spans="1:33" s="1817" customFormat="1" ht="18.75">
      <c r="A19" s="1834"/>
      <c r="B19" s="1847" t="s">
        <v>1527</v>
      </c>
      <c r="C19" s="1846">
        <v>5111</v>
      </c>
      <c r="D19" s="1815"/>
      <c r="E19" s="1842">
        <f>+IF('TRIAL-BALANCE'!C$8=C19,1,0)</f>
        <v>0</v>
      </c>
      <c r="G19" s="1842">
        <v>0</v>
      </c>
      <c r="I19" s="2217">
        <f t="shared" si="0"/>
        <v>0</v>
      </c>
      <c r="P19" s="1818"/>
      <c r="Q19" s="1818"/>
      <c r="R19" s="1818"/>
      <c r="S19" s="1818"/>
      <c r="T19" s="1818"/>
      <c r="U19" s="1818"/>
      <c r="V19" s="1818"/>
      <c r="W19" s="1818"/>
      <c r="X19" s="1818"/>
      <c r="Y19" s="1818"/>
      <c r="Z19" s="1818"/>
      <c r="AA19" s="1818"/>
      <c r="AB19" s="1818"/>
      <c r="AC19" s="1818"/>
      <c r="AD19" s="1818"/>
      <c r="AE19" s="1818"/>
      <c r="AF19" s="1818"/>
      <c r="AG19" s="1818"/>
    </row>
    <row r="20" spans="1:33" s="1817" customFormat="1" ht="18.75">
      <c r="A20" s="1834"/>
      <c r="B20" s="1847" t="s">
        <v>1528</v>
      </c>
      <c r="C20" s="1846">
        <v>5112</v>
      </c>
      <c r="D20" s="1815"/>
      <c r="E20" s="1842">
        <f>+IF('TRIAL-BALANCE'!C$8=C20,1,0)</f>
        <v>0</v>
      </c>
      <c r="G20" s="1842">
        <v>0</v>
      </c>
      <c r="I20" s="2217">
        <f t="shared" si="0"/>
        <v>0</v>
      </c>
      <c r="P20" s="1818"/>
      <c r="Q20" s="1818"/>
      <c r="R20" s="1818"/>
      <c r="S20" s="1818"/>
      <c r="T20" s="1818"/>
      <c r="U20" s="1818"/>
      <c r="V20" s="1818"/>
      <c r="W20" s="1818"/>
      <c r="X20" s="1818"/>
      <c r="Y20" s="1818"/>
      <c r="Z20" s="1818"/>
      <c r="AA20" s="1818"/>
      <c r="AB20" s="1818"/>
      <c r="AC20" s="1818"/>
      <c r="AD20" s="1818"/>
      <c r="AE20" s="1818"/>
      <c r="AF20" s="1818"/>
      <c r="AG20" s="1818"/>
    </row>
    <row r="21" spans="1:33" s="1817" customFormat="1" ht="18.75">
      <c r="A21" s="1834"/>
      <c r="B21" s="1847" t="s">
        <v>1529</v>
      </c>
      <c r="C21" s="1846">
        <v>5113</v>
      </c>
      <c r="D21" s="1815"/>
      <c r="E21" s="1842">
        <f>+IF('TRIAL-BALANCE'!C$8=C21,1,0)</f>
        <v>0</v>
      </c>
      <c r="G21" s="1842">
        <v>0</v>
      </c>
      <c r="I21" s="2217">
        <f t="shared" si="0"/>
        <v>0</v>
      </c>
      <c r="P21" s="1818"/>
      <c r="Q21" s="1818"/>
      <c r="R21" s="1818"/>
      <c r="S21" s="1818"/>
      <c r="T21" s="1818"/>
      <c r="U21" s="1818"/>
      <c r="V21" s="1818"/>
      <c r="W21" s="1818"/>
      <c r="X21" s="1818"/>
      <c r="Y21" s="1818"/>
      <c r="Z21" s="1818"/>
      <c r="AA21" s="1818"/>
      <c r="AB21" s="1818"/>
      <c r="AC21" s="1818"/>
      <c r="AD21" s="1818"/>
      <c r="AE21" s="1818"/>
      <c r="AF21" s="1818"/>
      <c r="AG21" s="1818"/>
    </row>
    <row r="22" spans="1:33" s="1817" customFormat="1" ht="19.5" thickBot="1">
      <c r="A22" s="1834"/>
      <c r="B22" s="1848" t="s">
        <v>1530</v>
      </c>
      <c r="C22" s="1849">
        <v>5114</v>
      </c>
      <c r="D22" s="1815"/>
      <c r="E22" s="1850">
        <f>+IF('TRIAL-BALANCE'!C$8=C22,1,0)</f>
        <v>0</v>
      </c>
      <c r="G22" s="1850">
        <v>0</v>
      </c>
      <c r="I22" s="2217">
        <f t="shared" si="0"/>
        <v>0</v>
      </c>
      <c r="P22" s="1818"/>
      <c r="Q22" s="1818"/>
      <c r="R22" s="1818"/>
      <c r="S22" s="1818"/>
      <c r="T22" s="1818"/>
      <c r="U22" s="1818"/>
      <c r="V22" s="1818"/>
      <c r="W22" s="1818"/>
      <c r="X22" s="1818"/>
      <c r="Y22" s="1818"/>
      <c r="Z22" s="1818"/>
      <c r="AA22" s="1818"/>
      <c r="AB22" s="1818"/>
      <c r="AC22" s="1818"/>
      <c r="AD22" s="1818"/>
      <c r="AE22" s="1818"/>
      <c r="AF22" s="1818"/>
      <c r="AG22" s="1818"/>
    </row>
    <row r="23" spans="1:33" s="1817" customFormat="1" ht="9" customHeight="1" thickBot="1">
      <c r="A23" s="1851"/>
      <c r="B23" s="1831"/>
      <c r="C23" s="1852"/>
      <c r="D23" s="1815"/>
      <c r="E23" s="1816"/>
      <c r="G23" s="1816"/>
      <c r="I23" s="1816"/>
      <c r="P23" s="1818"/>
      <c r="Q23" s="1818"/>
      <c r="R23" s="1818"/>
      <c r="S23" s="1818"/>
      <c r="T23" s="1818"/>
      <c r="U23" s="1818"/>
      <c r="V23" s="1818"/>
      <c r="W23" s="1818"/>
      <c r="X23" s="1818"/>
      <c r="Y23" s="1818"/>
      <c r="Z23" s="1818"/>
      <c r="AA23" s="1818"/>
      <c r="AB23" s="1818"/>
      <c r="AC23" s="1818"/>
      <c r="AD23" s="1818"/>
      <c r="AE23" s="1818"/>
      <c r="AF23" s="1818"/>
      <c r="AG23" s="1818"/>
    </row>
    <row r="24" spans="1:33" s="1817" customFormat="1" ht="18.75">
      <c r="A24" s="1834"/>
      <c r="B24" s="1835" t="s">
        <v>1531</v>
      </c>
      <c r="C24" s="1836" t="s">
        <v>1532</v>
      </c>
      <c r="D24" s="1815"/>
      <c r="E24" s="1816"/>
      <c r="G24" s="1816"/>
      <c r="I24" s="1816"/>
      <c r="P24" s="1818"/>
      <c r="Q24" s="1818"/>
      <c r="R24" s="1818"/>
      <c r="S24" s="1818"/>
      <c r="T24" s="1818"/>
      <c r="U24" s="1818"/>
      <c r="V24" s="1818"/>
      <c r="W24" s="1818"/>
      <c r="X24" s="1818"/>
      <c r="Y24" s="1818"/>
      <c r="Z24" s="1818"/>
      <c r="AA24" s="1818"/>
      <c r="AB24" s="1818"/>
      <c r="AC24" s="1818"/>
      <c r="AD24" s="1818"/>
      <c r="AE24" s="1818"/>
      <c r="AF24" s="1818"/>
      <c r="AG24" s="1818"/>
    </row>
    <row r="25" spans="1:33" s="1817" customFormat="1" ht="18.75">
      <c r="A25" s="1834"/>
      <c r="B25" s="1837" t="s">
        <v>1533</v>
      </c>
      <c r="C25" s="1838">
        <v>5201</v>
      </c>
      <c r="D25" s="1815"/>
      <c r="E25" s="1839">
        <f>+IF('TRIAL-BALANCE'!C$8=C25,1,0)</f>
        <v>0</v>
      </c>
      <c r="G25" s="1839">
        <v>0</v>
      </c>
      <c r="I25" s="2217">
        <f t="shared" ref="I25:I37" si="1">+E25+G25</f>
        <v>0</v>
      </c>
      <c r="P25" s="1818"/>
      <c r="Q25" s="1818"/>
      <c r="R25" s="1818"/>
      <c r="S25" s="1818"/>
      <c r="T25" s="1818"/>
      <c r="U25" s="1818"/>
      <c r="V25" s="1818"/>
      <c r="W25" s="1818"/>
      <c r="X25" s="1818"/>
      <c r="Y25" s="1818"/>
      <c r="Z25" s="1818"/>
      <c r="AA25" s="1818"/>
      <c r="AB25" s="1818"/>
      <c r="AC25" s="1818"/>
      <c r="AD25" s="1818"/>
      <c r="AE25" s="1818"/>
      <c r="AF25" s="1818"/>
      <c r="AG25" s="1818"/>
    </row>
    <row r="26" spans="1:33" s="1817" customFormat="1" ht="19.5">
      <c r="A26" s="1834"/>
      <c r="B26" s="1853" t="s">
        <v>1534</v>
      </c>
      <c r="C26" s="1846">
        <v>5202</v>
      </c>
      <c r="D26" s="1815"/>
      <c r="E26" s="1842">
        <f>+IF('TRIAL-BALANCE'!C$8=C26,1,0)</f>
        <v>0</v>
      </c>
      <c r="G26" s="1842">
        <v>0</v>
      </c>
      <c r="I26" s="2217">
        <f t="shared" si="1"/>
        <v>0</v>
      </c>
      <c r="P26" s="1818"/>
      <c r="Q26" s="1818"/>
      <c r="R26" s="1818"/>
      <c r="S26" s="1818"/>
      <c r="T26" s="1818"/>
      <c r="U26" s="1818"/>
      <c r="V26" s="1818"/>
      <c r="W26" s="1818"/>
      <c r="X26" s="1818"/>
      <c r="Y26" s="1818"/>
      <c r="Z26" s="1818"/>
      <c r="AA26" s="1818"/>
      <c r="AB26" s="1818"/>
      <c r="AC26" s="1818"/>
      <c r="AD26" s="1818"/>
      <c r="AE26" s="1818"/>
      <c r="AF26" s="1818"/>
      <c r="AG26" s="1818"/>
    </row>
    <row r="27" spans="1:33" s="1817" customFormat="1" ht="18.75">
      <c r="A27" s="1834"/>
      <c r="B27" s="1847" t="s">
        <v>1535</v>
      </c>
      <c r="C27" s="1846">
        <v>5203</v>
      </c>
      <c r="D27" s="1815"/>
      <c r="E27" s="1842">
        <f>+IF('TRIAL-BALANCE'!C$8=C27,1,0)</f>
        <v>0</v>
      </c>
      <c r="G27" s="1842">
        <v>0</v>
      </c>
      <c r="I27" s="2217">
        <f t="shared" si="1"/>
        <v>0</v>
      </c>
      <c r="P27" s="1818"/>
      <c r="Q27" s="1818"/>
      <c r="R27" s="1818"/>
      <c r="S27" s="1818"/>
      <c r="T27" s="1818"/>
      <c r="U27" s="1818"/>
      <c r="V27" s="1818"/>
      <c r="W27" s="1818"/>
      <c r="X27" s="1818"/>
      <c r="Y27" s="1818"/>
      <c r="Z27" s="1818"/>
      <c r="AA27" s="1818"/>
      <c r="AB27" s="1818"/>
      <c r="AC27" s="1818"/>
      <c r="AD27" s="1818"/>
      <c r="AE27" s="1818"/>
      <c r="AF27" s="1818"/>
      <c r="AG27" s="1818"/>
    </row>
    <row r="28" spans="1:33" s="1817" customFormat="1" ht="18.75">
      <c r="A28" s="1834"/>
      <c r="B28" s="1847" t="s">
        <v>1536</v>
      </c>
      <c r="C28" s="1846">
        <v>5204</v>
      </c>
      <c r="D28" s="1815"/>
      <c r="E28" s="1842">
        <f>+IF('TRIAL-BALANCE'!C$8=C28,1,0)</f>
        <v>0</v>
      </c>
      <c r="G28" s="1842">
        <v>0</v>
      </c>
      <c r="I28" s="2217">
        <f t="shared" si="1"/>
        <v>0</v>
      </c>
      <c r="P28" s="1818"/>
      <c r="Q28" s="1818"/>
      <c r="R28" s="1818"/>
      <c r="S28" s="1818"/>
      <c r="T28" s="1818"/>
      <c r="U28" s="1818"/>
      <c r="V28" s="1818"/>
      <c r="W28" s="1818"/>
      <c r="X28" s="1818"/>
      <c r="Y28" s="1818"/>
      <c r="Z28" s="1818"/>
      <c r="AA28" s="1818"/>
      <c r="AB28" s="1818"/>
      <c r="AC28" s="1818"/>
      <c r="AD28" s="1818"/>
      <c r="AE28" s="1818"/>
      <c r="AF28" s="1818"/>
      <c r="AG28" s="1818"/>
    </row>
    <row r="29" spans="1:33" s="1817" customFormat="1" ht="18.75">
      <c r="A29" s="1834"/>
      <c r="B29" s="1847" t="s">
        <v>1537</v>
      </c>
      <c r="C29" s="1846">
        <v>5205</v>
      </c>
      <c r="D29" s="1815"/>
      <c r="E29" s="1842">
        <f>+IF('TRIAL-BALANCE'!C$8=C29,1,0)</f>
        <v>0</v>
      </c>
      <c r="G29" s="1842">
        <v>0</v>
      </c>
      <c r="I29" s="2217">
        <f t="shared" si="1"/>
        <v>0</v>
      </c>
      <c r="P29" s="1818"/>
      <c r="Q29" s="1818"/>
      <c r="R29" s="1818"/>
      <c r="S29" s="1818"/>
      <c r="T29" s="1818"/>
      <c r="U29" s="1818"/>
      <c r="V29" s="1818"/>
      <c r="W29" s="1818"/>
      <c r="X29" s="1818"/>
      <c r="Y29" s="1818"/>
      <c r="Z29" s="1818"/>
      <c r="AA29" s="1818"/>
      <c r="AB29" s="1818"/>
      <c r="AC29" s="1818"/>
      <c r="AD29" s="1818"/>
      <c r="AE29" s="1818"/>
      <c r="AF29" s="1818"/>
      <c r="AG29" s="1818"/>
    </row>
    <row r="30" spans="1:33" s="1817" customFormat="1" ht="18.75">
      <c r="A30" s="1834"/>
      <c r="B30" s="1847" t="s">
        <v>1538</v>
      </c>
      <c r="C30" s="1846">
        <v>5206</v>
      </c>
      <c r="D30" s="1815"/>
      <c r="E30" s="1842">
        <f>+IF('TRIAL-BALANCE'!C$8=C30,1,0)</f>
        <v>0</v>
      </c>
      <c r="G30" s="1842">
        <v>0</v>
      </c>
      <c r="I30" s="2217">
        <f t="shared" si="1"/>
        <v>0</v>
      </c>
      <c r="P30" s="1818"/>
      <c r="Q30" s="1818"/>
      <c r="R30" s="1818"/>
      <c r="S30" s="1818"/>
      <c r="T30" s="1818"/>
      <c r="U30" s="1818"/>
      <c r="V30" s="1818"/>
      <c r="W30" s="1818"/>
      <c r="X30" s="1818"/>
      <c r="Y30" s="1818"/>
      <c r="Z30" s="1818"/>
      <c r="AA30" s="1818"/>
      <c r="AB30" s="1818"/>
      <c r="AC30" s="1818"/>
      <c r="AD30" s="1818"/>
      <c r="AE30" s="1818"/>
      <c r="AF30" s="1818"/>
      <c r="AG30" s="1818"/>
    </row>
    <row r="31" spans="1:33" s="1817" customFormat="1" ht="18.75">
      <c r="A31" s="1834"/>
      <c r="B31" s="1847" t="s">
        <v>1539</v>
      </c>
      <c r="C31" s="1846">
        <v>5207</v>
      </c>
      <c r="D31" s="1815"/>
      <c r="E31" s="1842">
        <f>+IF('TRIAL-BALANCE'!C$8=C31,1,0)</f>
        <v>0</v>
      </c>
      <c r="G31" s="1842">
        <v>0</v>
      </c>
      <c r="I31" s="2217">
        <f t="shared" si="1"/>
        <v>0</v>
      </c>
      <c r="P31" s="1818"/>
      <c r="Q31" s="1818"/>
      <c r="R31" s="1818"/>
      <c r="S31" s="1818"/>
      <c r="T31" s="1818"/>
      <c r="U31" s="1818"/>
      <c r="V31" s="1818"/>
      <c r="W31" s="1818"/>
      <c r="X31" s="1818"/>
      <c r="Y31" s="1818"/>
      <c r="Z31" s="1818"/>
      <c r="AA31" s="1818"/>
      <c r="AB31" s="1818"/>
      <c r="AC31" s="1818"/>
      <c r="AD31" s="1818"/>
      <c r="AE31" s="1818"/>
      <c r="AF31" s="1818"/>
      <c r="AG31" s="1818"/>
    </row>
    <row r="32" spans="1:33" s="1817" customFormat="1" ht="18.75">
      <c r="A32" s="1834"/>
      <c r="B32" s="1847" t="s">
        <v>1540</v>
      </c>
      <c r="C32" s="1846">
        <v>5208</v>
      </c>
      <c r="D32" s="1815"/>
      <c r="E32" s="1842">
        <f>+IF('TRIAL-BALANCE'!C$8=C32,1,0)</f>
        <v>0</v>
      </c>
      <c r="G32" s="1842">
        <v>0</v>
      </c>
      <c r="I32" s="2217">
        <f t="shared" si="1"/>
        <v>0</v>
      </c>
      <c r="P32" s="1818"/>
      <c r="Q32" s="1818"/>
      <c r="R32" s="1818"/>
      <c r="S32" s="1818"/>
      <c r="T32" s="1818"/>
      <c r="U32" s="1818"/>
      <c r="V32" s="1818"/>
      <c r="W32" s="1818"/>
      <c r="X32" s="1818"/>
      <c r="Y32" s="1818"/>
      <c r="Z32" s="1818"/>
      <c r="AA32" s="1818"/>
      <c r="AB32" s="1818"/>
      <c r="AC32" s="1818"/>
      <c r="AD32" s="1818"/>
      <c r="AE32" s="1818"/>
      <c r="AF32" s="1818"/>
      <c r="AG32" s="1818"/>
    </row>
    <row r="33" spans="1:33" s="1817" customFormat="1" ht="18.75">
      <c r="A33" s="1834"/>
      <c r="B33" s="1847" t="s">
        <v>1541</v>
      </c>
      <c r="C33" s="1846">
        <v>5209</v>
      </c>
      <c r="D33" s="1815"/>
      <c r="E33" s="1842">
        <f>+IF('TRIAL-BALANCE'!C$8=C33,1,0)</f>
        <v>0</v>
      </c>
      <c r="G33" s="1842">
        <v>0</v>
      </c>
      <c r="I33" s="2217">
        <f t="shared" si="1"/>
        <v>0</v>
      </c>
      <c r="P33" s="1818"/>
      <c r="Q33" s="1818"/>
      <c r="R33" s="1818"/>
      <c r="S33" s="1818"/>
      <c r="T33" s="1818"/>
      <c r="U33" s="1818"/>
      <c r="V33" s="1818"/>
      <c r="W33" s="1818"/>
      <c r="X33" s="1818"/>
      <c r="Y33" s="1818"/>
      <c r="Z33" s="1818"/>
      <c r="AA33" s="1818"/>
      <c r="AB33" s="1818"/>
      <c r="AC33" s="1818"/>
      <c r="AD33" s="1818"/>
      <c r="AE33" s="1818"/>
      <c r="AF33" s="1818"/>
      <c r="AG33" s="1818"/>
    </row>
    <row r="34" spans="1:33" s="1817" customFormat="1" ht="18.75">
      <c r="A34" s="1834"/>
      <c r="B34" s="1847" t="s">
        <v>1542</v>
      </c>
      <c r="C34" s="1846">
        <v>5210</v>
      </c>
      <c r="D34" s="1815"/>
      <c r="E34" s="1842">
        <f>+IF('TRIAL-BALANCE'!C$8=C34,1,0)</f>
        <v>0</v>
      </c>
      <c r="G34" s="1842">
        <v>0</v>
      </c>
      <c r="I34" s="2217">
        <f t="shared" si="1"/>
        <v>0</v>
      </c>
      <c r="P34" s="1818"/>
      <c r="Q34" s="1818"/>
      <c r="R34" s="1818"/>
      <c r="S34" s="1818"/>
      <c r="T34" s="1818"/>
      <c r="U34" s="1818"/>
      <c r="V34" s="1818"/>
      <c r="W34" s="1818"/>
      <c r="X34" s="1818"/>
      <c r="Y34" s="1818"/>
      <c r="Z34" s="1818"/>
      <c r="AA34" s="1818"/>
      <c r="AB34" s="1818"/>
      <c r="AC34" s="1818"/>
      <c r="AD34" s="1818"/>
      <c r="AE34" s="1818"/>
      <c r="AF34" s="1818"/>
      <c r="AG34" s="1818"/>
    </row>
    <row r="35" spans="1:33" s="1817" customFormat="1" ht="18.75">
      <c r="A35" s="1834"/>
      <c r="B35" s="1847" t="s">
        <v>1543</v>
      </c>
      <c r="C35" s="1846">
        <v>5211</v>
      </c>
      <c r="D35" s="1815"/>
      <c r="E35" s="1842">
        <f>+IF('TRIAL-BALANCE'!C$8=C35,1,0)</f>
        <v>0</v>
      </c>
      <c r="G35" s="1842">
        <v>0</v>
      </c>
      <c r="I35" s="2217">
        <f t="shared" si="1"/>
        <v>0</v>
      </c>
      <c r="P35" s="1818"/>
      <c r="Q35" s="1818"/>
      <c r="R35" s="1818"/>
      <c r="S35" s="1818"/>
      <c r="T35" s="1818"/>
      <c r="U35" s="1818"/>
      <c r="V35" s="1818"/>
      <c r="W35" s="1818"/>
      <c r="X35" s="1818"/>
      <c r="Y35" s="1818"/>
      <c r="Z35" s="1818"/>
      <c r="AA35" s="1818"/>
      <c r="AB35" s="1818"/>
      <c r="AC35" s="1818"/>
      <c r="AD35" s="1818"/>
      <c r="AE35" s="1818"/>
      <c r="AF35" s="1818"/>
      <c r="AG35" s="1818"/>
    </row>
    <row r="36" spans="1:33" s="1817" customFormat="1" ht="18.75">
      <c r="A36" s="1834"/>
      <c r="B36" s="1847" t="s">
        <v>1544</v>
      </c>
      <c r="C36" s="1846">
        <v>5212</v>
      </c>
      <c r="D36" s="1815"/>
      <c r="E36" s="1842">
        <f>+IF('TRIAL-BALANCE'!C$8=C36,1,0)</f>
        <v>0</v>
      </c>
      <c r="G36" s="1842">
        <v>0</v>
      </c>
      <c r="I36" s="2217">
        <f t="shared" si="1"/>
        <v>0</v>
      </c>
      <c r="P36" s="1818"/>
      <c r="Q36" s="1818"/>
      <c r="R36" s="1818"/>
      <c r="S36" s="1818"/>
      <c r="T36" s="1818"/>
      <c r="U36" s="1818"/>
      <c r="V36" s="1818"/>
      <c r="W36" s="1818"/>
      <c r="X36" s="1818"/>
      <c r="Y36" s="1818"/>
      <c r="Z36" s="1818"/>
      <c r="AA36" s="1818"/>
      <c r="AB36" s="1818"/>
      <c r="AC36" s="1818"/>
      <c r="AD36" s="1818"/>
      <c r="AE36" s="1818"/>
      <c r="AF36" s="1818"/>
      <c r="AG36" s="1818"/>
    </row>
    <row r="37" spans="1:33" s="1817" customFormat="1" ht="19.5" thickBot="1">
      <c r="A37" s="1834"/>
      <c r="B37" s="1848" t="s">
        <v>1545</v>
      </c>
      <c r="C37" s="1849">
        <v>5213</v>
      </c>
      <c r="D37" s="1815"/>
      <c r="E37" s="1850">
        <f>+IF('TRIAL-BALANCE'!C$8=C37,1,0)</f>
        <v>0</v>
      </c>
      <c r="G37" s="1850">
        <v>0</v>
      </c>
      <c r="I37" s="2217">
        <f t="shared" si="1"/>
        <v>0</v>
      </c>
      <c r="P37" s="1818"/>
      <c r="Q37" s="1818"/>
      <c r="R37" s="1818"/>
      <c r="S37" s="1818"/>
      <c r="T37" s="1818"/>
      <c r="U37" s="1818"/>
      <c r="V37" s="1818"/>
      <c r="W37" s="1818"/>
      <c r="X37" s="1818"/>
      <c r="Y37" s="1818"/>
      <c r="Z37" s="1818"/>
      <c r="AA37" s="1818"/>
      <c r="AB37" s="1818"/>
      <c r="AC37" s="1818"/>
      <c r="AD37" s="1818"/>
      <c r="AE37" s="1818"/>
      <c r="AF37" s="1818"/>
      <c r="AG37" s="1818"/>
    </row>
    <row r="38" spans="1:33" s="1817" customFormat="1" ht="9" customHeight="1" thickBot="1">
      <c r="A38" s="1851"/>
      <c r="B38" s="1831"/>
      <c r="C38" s="1852"/>
      <c r="D38" s="1815"/>
      <c r="E38" s="1816"/>
      <c r="G38" s="1816"/>
      <c r="I38" s="1816"/>
      <c r="P38" s="1818"/>
      <c r="Q38" s="1818"/>
      <c r="R38" s="1818"/>
      <c r="S38" s="1818"/>
      <c r="T38" s="1818"/>
      <c r="U38" s="1818"/>
      <c r="V38" s="1818"/>
      <c r="W38" s="1818"/>
      <c r="X38" s="1818"/>
      <c r="Y38" s="1818"/>
      <c r="Z38" s="1818"/>
      <c r="AA38" s="1818"/>
      <c r="AB38" s="1818"/>
      <c r="AC38" s="1818"/>
      <c r="AD38" s="1818"/>
      <c r="AE38" s="1818"/>
      <c r="AF38" s="1818"/>
      <c r="AG38" s="1818"/>
    </row>
    <row r="39" spans="1:33" s="1817" customFormat="1" ht="18.75">
      <c r="A39" s="1834"/>
      <c r="B39" s="1854" t="s">
        <v>1546</v>
      </c>
      <c r="C39" s="1836" t="s">
        <v>1547</v>
      </c>
      <c r="D39" s="1815"/>
      <c r="E39" s="1816"/>
      <c r="G39" s="1816"/>
      <c r="I39" s="1816"/>
      <c r="P39" s="1818"/>
      <c r="Q39" s="1818"/>
      <c r="R39" s="1818"/>
      <c r="S39" s="1818"/>
      <c r="T39" s="1818"/>
      <c r="U39" s="1818"/>
      <c r="V39" s="1818"/>
      <c r="W39" s="1818"/>
      <c r="X39" s="1818"/>
      <c r="Y39" s="1818"/>
      <c r="Z39" s="1818"/>
      <c r="AA39" s="1818"/>
      <c r="AB39" s="1818"/>
      <c r="AC39" s="1818"/>
      <c r="AD39" s="1818"/>
      <c r="AE39" s="1818"/>
      <c r="AF39" s="1818"/>
      <c r="AG39" s="1818"/>
    </row>
    <row r="40" spans="1:33" s="1817" customFormat="1" ht="18.75">
      <c r="A40" s="1834"/>
      <c r="B40" s="1855" t="s">
        <v>1548</v>
      </c>
      <c r="C40" s="1856">
        <v>5301</v>
      </c>
      <c r="D40" s="1815"/>
      <c r="E40" s="1839">
        <f>+IF('TRIAL-BALANCE'!C$8=C40,1,0)</f>
        <v>0</v>
      </c>
      <c r="G40" s="1839">
        <v>0</v>
      </c>
      <c r="I40" s="2217">
        <f t="shared" ref="I40:I51" si="2">+E40+G40</f>
        <v>0</v>
      </c>
      <c r="P40" s="1818"/>
      <c r="Q40" s="1818"/>
      <c r="R40" s="1818"/>
      <c r="S40" s="1818"/>
      <c r="T40" s="1818"/>
      <c r="U40" s="1818"/>
      <c r="V40" s="1818"/>
      <c r="W40" s="1818"/>
      <c r="X40" s="1818"/>
      <c r="Y40" s="1818"/>
      <c r="Z40" s="1818"/>
      <c r="AA40" s="1818"/>
      <c r="AB40" s="1818"/>
      <c r="AC40" s="1818"/>
      <c r="AD40" s="1818"/>
      <c r="AE40" s="1818"/>
      <c r="AF40" s="1818"/>
      <c r="AG40" s="1818"/>
    </row>
    <row r="41" spans="1:33" s="1817" customFormat="1" ht="18.75">
      <c r="A41" s="1834"/>
      <c r="B41" s="1847" t="s">
        <v>1549</v>
      </c>
      <c r="C41" s="1846">
        <v>5302</v>
      </c>
      <c r="D41" s="1815"/>
      <c r="E41" s="1842">
        <f>+IF('TRIAL-BALANCE'!C$8=C41,1,0)</f>
        <v>0</v>
      </c>
      <c r="G41" s="1842">
        <v>0</v>
      </c>
      <c r="I41" s="2217">
        <f t="shared" si="2"/>
        <v>0</v>
      </c>
      <c r="P41" s="1818"/>
      <c r="Q41" s="1818"/>
      <c r="R41" s="1818"/>
      <c r="S41" s="1818"/>
      <c r="T41" s="1818"/>
      <c r="U41" s="1818"/>
      <c r="V41" s="1818"/>
      <c r="W41" s="1818"/>
      <c r="X41" s="1818"/>
      <c r="Y41" s="1818"/>
      <c r="Z41" s="1818"/>
      <c r="AA41" s="1818"/>
      <c r="AB41" s="1818"/>
      <c r="AC41" s="1818"/>
      <c r="AD41" s="1818"/>
      <c r="AE41" s="1818"/>
      <c r="AF41" s="1818"/>
      <c r="AG41" s="1818"/>
    </row>
    <row r="42" spans="1:33" s="1817" customFormat="1" ht="18.75">
      <c r="A42" s="1834"/>
      <c r="B42" s="1847" t="s">
        <v>1550</v>
      </c>
      <c r="C42" s="1846">
        <v>5303</v>
      </c>
      <c r="D42" s="1815"/>
      <c r="E42" s="1842">
        <f>+IF('TRIAL-BALANCE'!C$8=C42,1,0)</f>
        <v>0</v>
      </c>
      <c r="G42" s="1842">
        <v>0</v>
      </c>
      <c r="I42" s="2217">
        <f t="shared" si="2"/>
        <v>0</v>
      </c>
      <c r="P42" s="1818"/>
      <c r="Q42" s="1818"/>
      <c r="R42" s="1818"/>
      <c r="S42" s="1818"/>
      <c r="T42" s="1818"/>
      <c r="U42" s="1818"/>
      <c r="V42" s="1818"/>
      <c r="W42" s="1818"/>
      <c r="X42" s="1818"/>
      <c r="Y42" s="1818"/>
      <c r="Z42" s="1818"/>
      <c r="AA42" s="1818"/>
      <c r="AB42" s="1818"/>
      <c r="AC42" s="1818"/>
      <c r="AD42" s="1818"/>
      <c r="AE42" s="1818"/>
      <c r="AF42" s="1818"/>
      <c r="AG42" s="1818"/>
    </row>
    <row r="43" spans="1:33" s="1817" customFormat="1" ht="18.75">
      <c r="A43" s="1834"/>
      <c r="B43" s="1847" t="s">
        <v>1551</v>
      </c>
      <c r="C43" s="1846">
        <v>5304</v>
      </c>
      <c r="D43" s="1815"/>
      <c r="E43" s="1842">
        <f>+IF('TRIAL-BALANCE'!C$8=C43,1,0)</f>
        <v>0</v>
      </c>
      <c r="G43" s="1842">
        <v>0</v>
      </c>
      <c r="I43" s="2217">
        <f t="shared" si="2"/>
        <v>0</v>
      </c>
      <c r="P43" s="1818"/>
      <c r="Q43" s="1818"/>
      <c r="R43" s="1818"/>
      <c r="S43" s="1818"/>
      <c r="T43" s="1818"/>
      <c r="U43" s="1818"/>
      <c r="V43" s="1818"/>
      <c r="W43" s="1818"/>
      <c r="X43" s="1818"/>
      <c r="Y43" s="1818"/>
      <c r="Z43" s="1818"/>
      <c r="AA43" s="1818"/>
      <c r="AB43" s="1818"/>
      <c r="AC43" s="1818"/>
      <c r="AD43" s="1818"/>
      <c r="AE43" s="1818"/>
      <c r="AF43" s="1818"/>
      <c r="AG43" s="1818"/>
    </row>
    <row r="44" spans="1:33" s="1817" customFormat="1" ht="19.5">
      <c r="A44" s="1834"/>
      <c r="B44" s="1853" t="s">
        <v>1552</v>
      </c>
      <c r="C44" s="1846">
        <v>5305</v>
      </c>
      <c r="D44" s="1815"/>
      <c r="E44" s="1842">
        <f>+IF('TRIAL-BALANCE'!C$8=C44,1,0)</f>
        <v>0</v>
      </c>
      <c r="G44" s="1842">
        <v>0</v>
      </c>
      <c r="I44" s="2217">
        <f t="shared" si="2"/>
        <v>0</v>
      </c>
      <c r="P44" s="1818"/>
      <c r="Q44" s="1818"/>
      <c r="R44" s="1818"/>
      <c r="S44" s="1818"/>
      <c r="T44" s="1818"/>
      <c r="U44" s="1818"/>
      <c r="V44" s="1818"/>
      <c r="W44" s="1818"/>
      <c r="X44" s="1818"/>
      <c r="Y44" s="1818"/>
      <c r="Z44" s="1818"/>
      <c r="AA44" s="1818"/>
      <c r="AB44" s="1818"/>
      <c r="AC44" s="1818"/>
      <c r="AD44" s="1818"/>
      <c r="AE44" s="1818"/>
      <c r="AF44" s="1818"/>
      <c r="AG44" s="1818"/>
    </row>
    <row r="45" spans="1:33" s="1817" customFormat="1" ht="18.75">
      <c r="A45" s="1834"/>
      <c r="B45" s="1847" t="s">
        <v>1553</v>
      </c>
      <c r="C45" s="1846">
        <v>5306</v>
      </c>
      <c r="D45" s="1815"/>
      <c r="E45" s="1842">
        <f>+IF('TRIAL-BALANCE'!C$8=C45,1,0)</f>
        <v>0</v>
      </c>
      <c r="G45" s="1842">
        <v>0</v>
      </c>
      <c r="I45" s="2217">
        <f t="shared" si="2"/>
        <v>0</v>
      </c>
      <c r="P45" s="1818"/>
      <c r="Q45" s="1818"/>
      <c r="R45" s="1818"/>
      <c r="S45" s="1818"/>
      <c r="T45" s="1818"/>
      <c r="U45" s="1818"/>
      <c r="V45" s="1818"/>
      <c r="W45" s="1818"/>
      <c r="X45" s="1818"/>
      <c r="Y45" s="1818"/>
      <c r="Z45" s="1818"/>
      <c r="AA45" s="1818"/>
      <c r="AB45" s="1818"/>
      <c r="AC45" s="1818"/>
      <c r="AD45" s="1818"/>
      <c r="AE45" s="1818"/>
      <c r="AF45" s="1818"/>
      <c r="AG45" s="1818"/>
    </row>
    <row r="46" spans="1:33" s="1817" customFormat="1" ht="18.75">
      <c r="A46" s="1834"/>
      <c r="B46" s="1847" t="s">
        <v>2177</v>
      </c>
      <c r="C46" s="1846">
        <v>5307</v>
      </c>
      <c r="D46" s="1815"/>
      <c r="E46" s="1842">
        <f>+IF('TRIAL-BALANCE'!C$8=C46,1,0)</f>
        <v>0</v>
      </c>
      <c r="G46" s="1842">
        <v>0</v>
      </c>
      <c r="I46" s="2217">
        <f t="shared" si="2"/>
        <v>0</v>
      </c>
      <c r="P46" s="1818"/>
      <c r="Q46" s="1818"/>
      <c r="R46" s="1818"/>
      <c r="S46" s="1818"/>
      <c r="T46" s="1818"/>
      <c r="U46" s="1818"/>
      <c r="V46" s="1818"/>
      <c r="W46" s="1818"/>
      <c r="X46" s="1818"/>
      <c r="Y46" s="1818"/>
      <c r="Z46" s="1818"/>
      <c r="AA46" s="1818"/>
      <c r="AB46" s="1818"/>
      <c r="AC46" s="1818"/>
      <c r="AD46" s="1818"/>
      <c r="AE46" s="1818"/>
      <c r="AF46" s="1818"/>
      <c r="AG46" s="1818"/>
    </row>
    <row r="47" spans="1:33" s="1817" customFormat="1" ht="18.75">
      <c r="A47" s="1834"/>
      <c r="B47" s="1847" t="s">
        <v>1554</v>
      </c>
      <c r="C47" s="1846">
        <v>5308</v>
      </c>
      <c r="D47" s="1815"/>
      <c r="E47" s="1842">
        <f>+IF('TRIAL-BALANCE'!C$8=C47,1,0)</f>
        <v>0</v>
      </c>
      <c r="G47" s="1842">
        <v>0</v>
      </c>
      <c r="I47" s="2217">
        <f t="shared" si="2"/>
        <v>0</v>
      </c>
      <c r="P47" s="1818"/>
      <c r="Q47" s="1818"/>
      <c r="R47" s="1818"/>
      <c r="S47" s="1818"/>
      <c r="T47" s="1818"/>
      <c r="U47" s="1818"/>
      <c r="V47" s="1818"/>
      <c r="W47" s="1818"/>
      <c r="X47" s="1818"/>
      <c r="Y47" s="1818"/>
      <c r="Z47" s="1818"/>
      <c r="AA47" s="1818"/>
      <c r="AB47" s="1818"/>
      <c r="AC47" s="1818"/>
      <c r="AD47" s="1818"/>
      <c r="AE47" s="1818"/>
      <c r="AF47" s="1818"/>
      <c r="AG47" s="1818"/>
    </row>
    <row r="48" spans="1:33" s="1817" customFormat="1" ht="18.75">
      <c r="A48" s="1834"/>
      <c r="B48" s="1847" t="s">
        <v>1555</v>
      </c>
      <c r="C48" s="1846">
        <v>5309</v>
      </c>
      <c r="D48" s="1815"/>
      <c r="E48" s="1842">
        <f>+IF('TRIAL-BALANCE'!C$8=C48,1,0)</f>
        <v>0</v>
      </c>
      <c r="G48" s="1842">
        <v>0</v>
      </c>
      <c r="I48" s="2217">
        <f t="shared" si="2"/>
        <v>0</v>
      </c>
      <c r="P48" s="1818"/>
      <c r="Q48" s="1818"/>
      <c r="R48" s="1818"/>
      <c r="S48" s="1818"/>
      <c r="T48" s="1818"/>
      <c r="U48" s="1818"/>
      <c r="V48" s="1818"/>
      <c r="W48" s="1818"/>
      <c r="X48" s="1818"/>
      <c r="Y48" s="1818"/>
      <c r="Z48" s="1818"/>
      <c r="AA48" s="1818"/>
      <c r="AB48" s="1818"/>
      <c r="AC48" s="1818"/>
      <c r="AD48" s="1818"/>
      <c r="AE48" s="1818"/>
      <c r="AF48" s="1818"/>
      <c r="AG48" s="1818"/>
    </row>
    <row r="49" spans="1:33" s="1817" customFormat="1" ht="18.75">
      <c r="A49" s="1834"/>
      <c r="B49" s="1847" t="s">
        <v>1556</v>
      </c>
      <c r="C49" s="1846">
        <v>5310</v>
      </c>
      <c r="D49" s="1815"/>
      <c r="E49" s="1842">
        <f>+IF('TRIAL-BALANCE'!C$8=C49,1,0)</f>
        <v>0</v>
      </c>
      <c r="G49" s="1842">
        <v>0</v>
      </c>
      <c r="I49" s="2217">
        <f t="shared" si="2"/>
        <v>0</v>
      </c>
      <c r="P49" s="1818"/>
      <c r="Q49" s="1818"/>
      <c r="R49" s="1818"/>
      <c r="S49" s="1818"/>
      <c r="T49" s="1818"/>
      <c r="U49" s="1818"/>
      <c r="V49" s="1818"/>
      <c r="W49" s="1818"/>
      <c r="X49" s="1818"/>
      <c r="Y49" s="1818"/>
      <c r="Z49" s="1818"/>
      <c r="AA49" s="1818"/>
      <c r="AB49" s="1818"/>
      <c r="AC49" s="1818"/>
      <c r="AD49" s="1818"/>
      <c r="AE49" s="1818"/>
      <c r="AF49" s="1818"/>
      <c r="AG49" s="1818"/>
    </row>
    <row r="50" spans="1:33" s="1817" customFormat="1" ht="18.75">
      <c r="A50" s="1834"/>
      <c r="B50" s="1847" t="s">
        <v>1557</v>
      </c>
      <c r="C50" s="1846">
        <v>5311</v>
      </c>
      <c r="D50" s="1815"/>
      <c r="E50" s="1842">
        <f>+IF('TRIAL-BALANCE'!C$8=C50,1,0)</f>
        <v>0</v>
      </c>
      <c r="G50" s="1842">
        <v>0</v>
      </c>
      <c r="I50" s="2217">
        <f t="shared" si="2"/>
        <v>0</v>
      </c>
      <c r="P50" s="1818"/>
      <c r="Q50" s="1818"/>
      <c r="R50" s="1818"/>
      <c r="S50" s="1818"/>
      <c r="T50" s="1818"/>
      <c r="U50" s="1818"/>
      <c r="V50" s="1818"/>
      <c r="W50" s="1818"/>
      <c r="X50" s="1818"/>
      <c r="Y50" s="1818"/>
      <c r="Z50" s="1818"/>
      <c r="AA50" s="1818"/>
      <c r="AB50" s="1818"/>
      <c r="AC50" s="1818"/>
      <c r="AD50" s="1818"/>
      <c r="AE50" s="1818"/>
      <c r="AF50" s="1818"/>
      <c r="AG50" s="1818"/>
    </row>
    <row r="51" spans="1:33" s="1817" customFormat="1" ht="19.5" thickBot="1">
      <c r="A51" s="1834"/>
      <c r="B51" s="1848" t="s">
        <v>1558</v>
      </c>
      <c r="C51" s="1849">
        <v>5312</v>
      </c>
      <c r="D51" s="1815"/>
      <c r="E51" s="1850">
        <f>+IF('TRIAL-BALANCE'!C$8=C51,1,0)</f>
        <v>0</v>
      </c>
      <c r="G51" s="1850">
        <v>0</v>
      </c>
      <c r="I51" s="2217">
        <f t="shared" si="2"/>
        <v>0</v>
      </c>
      <c r="P51" s="1818"/>
      <c r="Q51" s="1818"/>
      <c r="R51" s="1818"/>
      <c r="S51" s="1818"/>
      <c r="T51" s="1818"/>
      <c r="U51" s="1818"/>
      <c r="V51" s="1818"/>
      <c r="W51" s="1818"/>
      <c r="X51" s="1818"/>
      <c r="Y51" s="1818"/>
      <c r="Z51" s="1818"/>
      <c r="AA51" s="1818"/>
      <c r="AB51" s="1818"/>
      <c r="AC51" s="1818"/>
      <c r="AD51" s="1818"/>
      <c r="AE51" s="1818"/>
      <c r="AF51" s="1818"/>
      <c r="AG51" s="1818"/>
    </row>
    <row r="52" spans="1:33" s="1817" customFormat="1" ht="9" customHeight="1" thickBot="1">
      <c r="A52" s="1851"/>
      <c r="B52" s="1831"/>
      <c r="C52" s="1852"/>
      <c r="D52" s="1815"/>
      <c r="E52" s="1816"/>
      <c r="G52" s="1816"/>
      <c r="I52" s="1816"/>
      <c r="P52" s="1818"/>
      <c r="Q52" s="1818"/>
      <c r="R52" s="1818"/>
      <c r="S52" s="1818"/>
      <c r="T52" s="1818"/>
      <c r="U52" s="1818"/>
      <c r="V52" s="1818"/>
      <c r="W52" s="1818"/>
      <c r="X52" s="1818"/>
      <c r="Y52" s="1818"/>
      <c r="Z52" s="1818"/>
      <c r="AA52" s="1818"/>
      <c r="AB52" s="1818"/>
      <c r="AC52" s="1818"/>
      <c r="AD52" s="1818"/>
      <c r="AE52" s="1818"/>
      <c r="AF52" s="1818"/>
      <c r="AG52" s="1818"/>
    </row>
    <row r="53" spans="1:33" s="1817" customFormat="1" ht="18.75">
      <c r="A53" s="1834"/>
      <c r="B53" s="1835" t="s">
        <v>1559</v>
      </c>
      <c r="C53" s="1836" t="s">
        <v>1560</v>
      </c>
      <c r="D53" s="1815"/>
      <c r="E53" s="1816"/>
      <c r="G53" s="1816"/>
      <c r="I53" s="1816"/>
      <c r="P53" s="1818"/>
      <c r="Q53" s="1818"/>
      <c r="R53" s="1818"/>
      <c r="S53" s="1818"/>
      <c r="T53" s="1818"/>
      <c r="U53" s="1818"/>
      <c r="V53" s="1818"/>
      <c r="W53" s="1818"/>
      <c r="X53" s="1818"/>
      <c r="Y53" s="1818"/>
      <c r="Z53" s="1818"/>
      <c r="AA53" s="1818"/>
      <c r="AB53" s="1818"/>
      <c r="AC53" s="1818"/>
      <c r="AD53" s="1818"/>
      <c r="AE53" s="1818"/>
      <c r="AF53" s="1818"/>
      <c r="AG53" s="1818"/>
    </row>
    <row r="54" spans="1:33" s="1817" customFormat="1" ht="19.5">
      <c r="A54" s="1834"/>
      <c r="B54" s="1857" t="s">
        <v>1561</v>
      </c>
      <c r="C54" s="1856">
        <v>5401</v>
      </c>
      <c r="D54" s="1815"/>
      <c r="E54" s="1839">
        <f>+IF('TRIAL-BALANCE'!C$8=C54,1,0)</f>
        <v>0</v>
      </c>
      <c r="G54" s="1839">
        <v>0</v>
      </c>
      <c r="I54" s="2217">
        <f t="shared" ref="I54:I63" si="3">+E54+G54</f>
        <v>0</v>
      </c>
      <c r="P54" s="1818"/>
      <c r="Q54" s="1818"/>
      <c r="R54" s="1818"/>
      <c r="S54" s="1818"/>
      <c r="T54" s="1818"/>
      <c r="U54" s="1818"/>
      <c r="V54" s="1818"/>
      <c r="W54" s="1818"/>
      <c r="X54" s="1818"/>
      <c r="Y54" s="1818"/>
      <c r="Z54" s="1818"/>
      <c r="AA54" s="1818"/>
      <c r="AB54" s="1818"/>
      <c r="AC54" s="1818"/>
      <c r="AD54" s="1818"/>
      <c r="AE54" s="1818"/>
      <c r="AF54" s="1818"/>
      <c r="AG54" s="1818"/>
    </row>
    <row r="55" spans="1:33" s="1817" customFormat="1" ht="18.75">
      <c r="A55" s="1834"/>
      <c r="B55" s="1847" t="s">
        <v>1562</v>
      </c>
      <c r="C55" s="1846">
        <v>5402</v>
      </c>
      <c r="D55" s="1815"/>
      <c r="E55" s="1842">
        <f>+IF('TRIAL-BALANCE'!C$8=C55,1,0)</f>
        <v>0</v>
      </c>
      <c r="G55" s="1842">
        <v>0</v>
      </c>
      <c r="I55" s="2217">
        <f t="shared" si="3"/>
        <v>0</v>
      </c>
      <c r="P55" s="1818"/>
      <c r="Q55" s="1818"/>
      <c r="R55" s="1818"/>
      <c r="S55" s="1818"/>
      <c r="T55" s="1818"/>
      <c r="U55" s="1818"/>
      <c r="V55" s="1818"/>
      <c r="W55" s="1818"/>
      <c r="X55" s="1818"/>
      <c r="Y55" s="1818"/>
      <c r="Z55" s="1818"/>
      <c r="AA55" s="1818"/>
      <c r="AB55" s="1818"/>
      <c r="AC55" s="1818"/>
      <c r="AD55" s="1818"/>
      <c r="AE55" s="1818"/>
      <c r="AF55" s="1818"/>
      <c r="AG55" s="1818"/>
    </row>
    <row r="56" spans="1:33" s="1817" customFormat="1" ht="18.75">
      <c r="A56" s="1834"/>
      <c r="B56" s="1847" t="s">
        <v>1563</v>
      </c>
      <c r="C56" s="1846">
        <v>5403</v>
      </c>
      <c r="D56" s="1815"/>
      <c r="E56" s="1842">
        <f>+IF('TRIAL-BALANCE'!C$8=C56,1,0)</f>
        <v>0</v>
      </c>
      <c r="G56" s="1842">
        <v>0</v>
      </c>
      <c r="I56" s="2217">
        <f t="shared" si="3"/>
        <v>0</v>
      </c>
      <c r="P56" s="1818"/>
      <c r="Q56" s="1818"/>
      <c r="R56" s="1818"/>
      <c r="S56" s="1818"/>
      <c r="T56" s="1818"/>
      <c r="U56" s="1818"/>
      <c r="V56" s="1818"/>
      <c r="W56" s="1818"/>
      <c r="X56" s="1818"/>
      <c r="Y56" s="1818"/>
      <c r="Z56" s="1818"/>
      <c r="AA56" s="1818"/>
      <c r="AB56" s="1818"/>
      <c r="AC56" s="1818"/>
      <c r="AD56" s="1818"/>
      <c r="AE56" s="1818"/>
      <c r="AF56" s="1818"/>
      <c r="AG56" s="1818"/>
    </row>
    <row r="57" spans="1:33" s="1817" customFormat="1" ht="18.75">
      <c r="A57" s="1834"/>
      <c r="B57" s="1847" t="s">
        <v>1564</v>
      </c>
      <c r="C57" s="1846">
        <v>5404</v>
      </c>
      <c r="D57" s="1815"/>
      <c r="E57" s="1842">
        <f>+IF('TRIAL-BALANCE'!C$8=C57,1,0)</f>
        <v>0</v>
      </c>
      <c r="G57" s="1842">
        <v>0</v>
      </c>
      <c r="I57" s="2217">
        <f t="shared" si="3"/>
        <v>0</v>
      </c>
      <c r="P57" s="1818"/>
      <c r="Q57" s="1818"/>
      <c r="R57" s="1818"/>
      <c r="S57" s="1818"/>
      <c r="T57" s="1818"/>
      <c r="U57" s="1818"/>
      <c r="V57" s="1818"/>
      <c r="W57" s="1818"/>
      <c r="X57" s="1818"/>
      <c r="Y57" s="1818"/>
      <c r="Z57" s="1818"/>
      <c r="AA57" s="1818"/>
      <c r="AB57" s="1818"/>
      <c r="AC57" s="1818"/>
      <c r="AD57" s="1818"/>
      <c r="AE57" s="1818"/>
      <c r="AF57" s="1818"/>
      <c r="AG57" s="1818"/>
    </row>
    <row r="58" spans="1:33" s="1817" customFormat="1" ht="18.75">
      <c r="A58" s="1834"/>
      <c r="B58" s="1847" t="s">
        <v>1565</v>
      </c>
      <c r="C58" s="1846">
        <v>5405</v>
      </c>
      <c r="D58" s="1815"/>
      <c r="E58" s="1842">
        <f>+IF('TRIAL-BALANCE'!C$8=C58,1,0)</f>
        <v>0</v>
      </c>
      <c r="G58" s="1842">
        <v>0</v>
      </c>
      <c r="I58" s="2217">
        <f t="shared" si="3"/>
        <v>0</v>
      </c>
      <c r="P58" s="1818"/>
      <c r="Q58" s="1818"/>
      <c r="R58" s="1818"/>
      <c r="S58" s="1818"/>
      <c r="T58" s="1818"/>
      <c r="U58" s="1818"/>
      <c r="V58" s="1818"/>
      <c r="W58" s="1818"/>
      <c r="X58" s="1818"/>
      <c r="Y58" s="1818"/>
      <c r="Z58" s="1818"/>
      <c r="AA58" s="1818"/>
      <c r="AB58" s="1818"/>
      <c r="AC58" s="1818"/>
      <c r="AD58" s="1818"/>
      <c r="AE58" s="1818"/>
      <c r="AF58" s="1818"/>
      <c r="AG58" s="1818"/>
    </row>
    <row r="59" spans="1:33" s="1817" customFormat="1" ht="18.75">
      <c r="A59" s="1834"/>
      <c r="B59" s="1847" t="s">
        <v>1566</v>
      </c>
      <c r="C59" s="1846">
        <v>5406</v>
      </c>
      <c r="D59" s="1815"/>
      <c r="E59" s="1842">
        <f>+IF('TRIAL-BALANCE'!C$8=C59,1,0)</f>
        <v>0</v>
      </c>
      <c r="G59" s="1842">
        <v>0</v>
      </c>
      <c r="I59" s="2217">
        <f t="shared" si="3"/>
        <v>0</v>
      </c>
      <c r="P59" s="1818"/>
      <c r="Q59" s="1818"/>
      <c r="R59" s="1818"/>
      <c r="S59" s="1818"/>
      <c r="T59" s="1818"/>
      <c r="U59" s="1818"/>
      <c r="V59" s="1818"/>
      <c r="W59" s="1818"/>
      <c r="X59" s="1818"/>
      <c r="Y59" s="1818"/>
      <c r="Z59" s="1818"/>
      <c r="AA59" s="1818"/>
      <c r="AB59" s="1818"/>
      <c r="AC59" s="1818"/>
      <c r="AD59" s="1818"/>
      <c r="AE59" s="1818"/>
      <c r="AF59" s="1818"/>
      <c r="AG59" s="1818"/>
    </row>
    <row r="60" spans="1:33" s="1817" customFormat="1" ht="18.75">
      <c r="A60" s="1834"/>
      <c r="B60" s="1847" t="s">
        <v>1567</v>
      </c>
      <c r="C60" s="1846">
        <v>5407</v>
      </c>
      <c r="D60" s="1815"/>
      <c r="E60" s="1842">
        <f>+IF('TRIAL-BALANCE'!C$8=C60,1,0)</f>
        <v>0</v>
      </c>
      <c r="G60" s="1842">
        <v>0</v>
      </c>
      <c r="I60" s="2217">
        <f t="shared" si="3"/>
        <v>0</v>
      </c>
      <c r="P60" s="1818"/>
      <c r="Q60" s="1818"/>
      <c r="R60" s="1818"/>
      <c r="S60" s="1818"/>
      <c r="T60" s="1818"/>
      <c r="U60" s="1818"/>
      <c r="V60" s="1818"/>
      <c r="W60" s="1818"/>
      <c r="X60" s="1818"/>
      <c r="Y60" s="1818"/>
      <c r="Z60" s="1818"/>
      <c r="AA60" s="1818"/>
      <c r="AB60" s="1818"/>
      <c r="AC60" s="1818"/>
      <c r="AD60" s="1818"/>
      <c r="AE60" s="1818"/>
      <c r="AF60" s="1818"/>
      <c r="AG60" s="1818"/>
    </row>
    <row r="61" spans="1:33" s="1817" customFormat="1" ht="18.75">
      <c r="A61" s="1834"/>
      <c r="B61" s="1847" t="s">
        <v>1568</v>
      </c>
      <c r="C61" s="1846">
        <v>5408</v>
      </c>
      <c r="D61" s="1815"/>
      <c r="E61" s="1842">
        <f>+IF('TRIAL-BALANCE'!C$8=C61,1,0)</f>
        <v>0</v>
      </c>
      <c r="G61" s="1842">
        <v>0</v>
      </c>
      <c r="I61" s="2217">
        <f t="shared" si="3"/>
        <v>0</v>
      </c>
      <c r="P61" s="1818"/>
      <c r="Q61" s="1818"/>
      <c r="R61" s="1818"/>
      <c r="S61" s="1818"/>
      <c r="T61" s="1818"/>
      <c r="U61" s="1818"/>
      <c r="V61" s="1818"/>
      <c r="W61" s="1818"/>
      <c r="X61" s="1818"/>
      <c r="Y61" s="1818"/>
      <c r="Z61" s="1818"/>
      <c r="AA61" s="1818"/>
      <c r="AB61" s="1818"/>
      <c r="AC61" s="1818"/>
      <c r="AD61" s="1818"/>
      <c r="AE61" s="1818"/>
      <c r="AF61" s="1818"/>
      <c r="AG61" s="1818"/>
    </row>
    <row r="62" spans="1:33" s="1817" customFormat="1" ht="18.75">
      <c r="A62" s="1834"/>
      <c r="B62" s="1847" t="s">
        <v>1569</v>
      </c>
      <c r="C62" s="1846">
        <v>5409</v>
      </c>
      <c r="D62" s="1815"/>
      <c r="E62" s="1842">
        <f>+IF('TRIAL-BALANCE'!C$8=C62,1,0)</f>
        <v>0</v>
      </c>
      <c r="G62" s="1842">
        <v>0</v>
      </c>
      <c r="I62" s="2217">
        <f t="shared" si="3"/>
        <v>0</v>
      </c>
      <c r="P62" s="1818"/>
      <c r="Q62" s="1818"/>
      <c r="R62" s="1818"/>
      <c r="S62" s="1818"/>
      <c r="T62" s="1818"/>
      <c r="U62" s="1818"/>
      <c r="V62" s="1818"/>
      <c r="W62" s="1818"/>
      <c r="X62" s="1818"/>
      <c r="Y62" s="1818"/>
      <c r="Z62" s="1818"/>
      <c r="AA62" s="1818"/>
      <c r="AB62" s="1818"/>
      <c r="AC62" s="1818"/>
      <c r="AD62" s="1818"/>
      <c r="AE62" s="1818"/>
      <c r="AF62" s="1818"/>
      <c r="AG62" s="1818"/>
    </row>
    <row r="63" spans="1:33" s="1817" customFormat="1" ht="19.5" thickBot="1">
      <c r="A63" s="1834"/>
      <c r="B63" s="1848" t="s">
        <v>1570</v>
      </c>
      <c r="C63" s="1849">
        <v>5410</v>
      </c>
      <c r="D63" s="1815"/>
      <c r="E63" s="1850">
        <f>+IF('TRIAL-BALANCE'!C$8=C63,1,0)</f>
        <v>0</v>
      </c>
      <c r="G63" s="1850">
        <v>0</v>
      </c>
      <c r="I63" s="2217">
        <f t="shared" si="3"/>
        <v>0</v>
      </c>
      <c r="P63" s="1818"/>
      <c r="Q63" s="1818"/>
      <c r="R63" s="1818"/>
      <c r="S63" s="1818"/>
      <c r="T63" s="1818"/>
      <c r="U63" s="1818"/>
      <c r="V63" s="1818"/>
      <c r="W63" s="1818"/>
      <c r="X63" s="1818"/>
      <c r="Y63" s="1818"/>
      <c r="Z63" s="1818"/>
      <c r="AA63" s="1818"/>
      <c r="AB63" s="1818"/>
      <c r="AC63" s="1818"/>
      <c r="AD63" s="1818"/>
      <c r="AE63" s="1818"/>
      <c r="AF63" s="1818"/>
      <c r="AG63" s="1818"/>
    </row>
    <row r="64" spans="1:33" s="1817" customFormat="1" ht="9" customHeight="1" thickBot="1">
      <c r="A64" s="1851"/>
      <c r="B64" s="1831"/>
      <c r="C64" s="1852"/>
      <c r="D64" s="1815"/>
      <c r="E64" s="1816"/>
      <c r="G64" s="1816"/>
      <c r="I64" s="1816"/>
      <c r="P64" s="1818"/>
      <c r="Q64" s="1818"/>
      <c r="R64" s="1818"/>
      <c r="S64" s="1818"/>
      <c r="T64" s="1818"/>
      <c r="U64" s="1818"/>
      <c r="V64" s="1818"/>
      <c r="W64" s="1818"/>
      <c r="X64" s="1818"/>
      <c r="Y64" s="1818"/>
      <c r="Z64" s="1818"/>
      <c r="AA64" s="1818"/>
      <c r="AB64" s="1818"/>
      <c r="AC64" s="1818"/>
      <c r="AD64" s="1818"/>
      <c r="AE64" s="1818"/>
      <c r="AF64" s="1818"/>
      <c r="AG64" s="1818"/>
    </row>
    <row r="65" spans="1:33" s="1817" customFormat="1" ht="18.75">
      <c r="A65" s="1834"/>
      <c r="B65" s="1835" t="s">
        <v>1571</v>
      </c>
      <c r="C65" s="1836" t="s">
        <v>1572</v>
      </c>
      <c r="D65" s="1815"/>
      <c r="E65" s="1816"/>
      <c r="G65" s="1816"/>
      <c r="I65" s="1816"/>
      <c r="P65" s="1818"/>
      <c r="Q65" s="1818"/>
      <c r="R65" s="1818"/>
      <c r="S65" s="1818"/>
      <c r="T65" s="1818"/>
      <c r="U65" s="1818"/>
      <c r="V65" s="1818"/>
      <c r="W65" s="1818"/>
      <c r="X65" s="1818"/>
      <c r="Y65" s="1818"/>
      <c r="Z65" s="1818"/>
      <c r="AA65" s="1818"/>
      <c r="AB65" s="1818"/>
      <c r="AC65" s="1818"/>
      <c r="AD65" s="1818"/>
      <c r="AE65" s="1818"/>
      <c r="AF65" s="1818"/>
      <c r="AG65" s="1818"/>
    </row>
    <row r="66" spans="1:33" s="1817" customFormat="1" ht="18.75">
      <c r="A66" s="1834"/>
      <c r="B66" s="1855" t="s">
        <v>1573</v>
      </c>
      <c r="C66" s="1856">
        <v>5501</v>
      </c>
      <c r="D66" s="1815"/>
      <c r="E66" s="1839">
        <f>+IF('TRIAL-BALANCE'!C$8=C66,1,0)</f>
        <v>0</v>
      </c>
      <c r="G66" s="1839">
        <v>0</v>
      </c>
      <c r="I66" s="2217">
        <f t="shared" ref="I66:I76" si="4">+E66+G66</f>
        <v>0</v>
      </c>
      <c r="P66" s="1818"/>
      <c r="Q66" s="1818"/>
      <c r="R66" s="1818"/>
      <c r="S66" s="1818"/>
      <c r="T66" s="1818"/>
      <c r="U66" s="1818"/>
      <c r="V66" s="1818"/>
      <c r="W66" s="1818"/>
      <c r="X66" s="1818"/>
      <c r="Y66" s="1818"/>
      <c r="Z66" s="1818"/>
      <c r="AA66" s="1818"/>
      <c r="AB66" s="1818"/>
      <c r="AC66" s="1818"/>
      <c r="AD66" s="1818"/>
      <c r="AE66" s="1818"/>
      <c r="AF66" s="1818"/>
      <c r="AG66" s="1818"/>
    </row>
    <row r="67" spans="1:33" s="1817" customFormat="1" ht="18.75">
      <c r="A67" s="1834"/>
      <c r="B67" s="1847" t="s">
        <v>1574</v>
      </c>
      <c r="C67" s="1846">
        <v>5502</v>
      </c>
      <c r="D67" s="1815"/>
      <c r="E67" s="1842">
        <f>+IF('TRIAL-BALANCE'!C$8=C67,1,0)</f>
        <v>0</v>
      </c>
      <c r="G67" s="1842">
        <v>0</v>
      </c>
      <c r="I67" s="2217">
        <f t="shared" si="4"/>
        <v>0</v>
      </c>
      <c r="P67" s="1818"/>
      <c r="Q67" s="1818"/>
      <c r="R67" s="1818"/>
      <c r="S67" s="1818"/>
      <c r="T67" s="1818"/>
      <c r="U67" s="1818"/>
      <c r="V67" s="1818"/>
      <c r="W67" s="1818"/>
      <c r="X67" s="1818"/>
      <c r="Y67" s="1818"/>
      <c r="Z67" s="1818"/>
      <c r="AA67" s="1818"/>
      <c r="AB67" s="1818"/>
      <c r="AC67" s="1818"/>
      <c r="AD67" s="1818"/>
      <c r="AE67" s="1818"/>
      <c r="AF67" s="1818"/>
      <c r="AG67" s="1818"/>
    </row>
    <row r="68" spans="1:33" s="1817" customFormat="1" ht="18.75">
      <c r="A68" s="1834"/>
      <c r="B68" s="1847" t="s">
        <v>1575</v>
      </c>
      <c r="C68" s="1846">
        <v>5503</v>
      </c>
      <c r="D68" s="1815"/>
      <c r="E68" s="1842">
        <f>+IF('TRIAL-BALANCE'!C$8=C68,1,0)</f>
        <v>0</v>
      </c>
      <c r="G68" s="1842">
        <v>0</v>
      </c>
      <c r="I68" s="2217">
        <f t="shared" si="4"/>
        <v>0</v>
      </c>
      <c r="P68" s="1818"/>
      <c r="Q68" s="1818"/>
      <c r="R68" s="1818"/>
      <c r="S68" s="1818"/>
      <c r="T68" s="1818"/>
      <c r="U68" s="1818"/>
      <c r="V68" s="1818"/>
      <c r="W68" s="1818"/>
      <c r="X68" s="1818"/>
      <c r="Y68" s="1818"/>
      <c r="Z68" s="1818"/>
      <c r="AA68" s="1818"/>
      <c r="AB68" s="1818"/>
      <c r="AC68" s="1818"/>
      <c r="AD68" s="1818"/>
      <c r="AE68" s="1818"/>
      <c r="AF68" s="1818"/>
      <c r="AG68" s="1818"/>
    </row>
    <row r="69" spans="1:33" s="1817" customFormat="1" ht="19.5">
      <c r="A69" s="1834"/>
      <c r="B69" s="1853" t="s">
        <v>1576</v>
      </c>
      <c r="C69" s="1846">
        <v>5504</v>
      </c>
      <c r="D69" s="1815"/>
      <c r="E69" s="1842">
        <f>+IF('TRIAL-BALANCE'!C$8=C69,1,0)</f>
        <v>0</v>
      </c>
      <c r="G69" s="1842">
        <v>0</v>
      </c>
      <c r="I69" s="2217">
        <f t="shared" si="4"/>
        <v>0</v>
      </c>
      <c r="P69" s="1818"/>
      <c r="Q69" s="1818"/>
      <c r="R69" s="1818"/>
      <c r="S69" s="1818"/>
      <c r="T69" s="1818"/>
      <c r="U69" s="1818"/>
      <c r="V69" s="1818"/>
      <c r="W69" s="1818"/>
      <c r="X69" s="1818"/>
      <c r="Y69" s="1818"/>
      <c r="Z69" s="1818"/>
      <c r="AA69" s="1818"/>
      <c r="AB69" s="1818"/>
      <c r="AC69" s="1818"/>
      <c r="AD69" s="1818"/>
      <c r="AE69" s="1818"/>
      <c r="AF69" s="1818"/>
      <c r="AG69" s="1818"/>
    </row>
    <row r="70" spans="1:33" s="1817" customFormat="1" ht="18.75">
      <c r="A70" s="1834"/>
      <c r="B70" s="1847" t="s">
        <v>1577</v>
      </c>
      <c r="C70" s="1846">
        <v>5505</v>
      </c>
      <c r="D70" s="1815"/>
      <c r="E70" s="1842">
        <f>+IF('TRIAL-BALANCE'!C$8=C70,1,0)</f>
        <v>0</v>
      </c>
      <c r="G70" s="1842">
        <v>0</v>
      </c>
      <c r="I70" s="2217">
        <f t="shared" si="4"/>
        <v>0</v>
      </c>
      <c r="P70" s="1818"/>
      <c r="Q70" s="1818"/>
      <c r="R70" s="1818"/>
      <c r="S70" s="1818"/>
      <c r="T70" s="1818"/>
      <c r="U70" s="1818"/>
      <c r="V70" s="1818"/>
      <c r="W70" s="1818"/>
      <c r="X70" s="1818"/>
      <c r="Y70" s="1818"/>
      <c r="Z70" s="1818"/>
      <c r="AA70" s="1818"/>
      <c r="AB70" s="1818"/>
      <c r="AC70" s="1818"/>
      <c r="AD70" s="1818"/>
      <c r="AE70" s="1818"/>
      <c r="AF70" s="1818"/>
      <c r="AG70" s="1818"/>
    </row>
    <row r="71" spans="1:33" s="1817" customFormat="1" ht="18.75">
      <c r="A71" s="1834"/>
      <c r="B71" s="1847" t="s">
        <v>1578</v>
      </c>
      <c r="C71" s="1846">
        <v>5506</v>
      </c>
      <c r="D71" s="1815"/>
      <c r="E71" s="1842">
        <f>+IF('TRIAL-BALANCE'!C$8=C71,1,0)</f>
        <v>0</v>
      </c>
      <c r="G71" s="1842">
        <v>0</v>
      </c>
      <c r="I71" s="2217">
        <f t="shared" si="4"/>
        <v>0</v>
      </c>
      <c r="P71" s="1818"/>
      <c r="Q71" s="1818"/>
      <c r="R71" s="1818"/>
      <c r="S71" s="1818"/>
      <c r="T71" s="1818"/>
      <c r="U71" s="1818"/>
      <c r="V71" s="1818"/>
      <c r="W71" s="1818"/>
      <c r="X71" s="1818"/>
      <c r="Y71" s="1818"/>
      <c r="Z71" s="1818"/>
      <c r="AA71" s="1818"/>
      <c r="AB71" s="1818"/>
      <c r="AC71" s="1818"/>
      <c r="AD71" s="1818"/>
      <c r="AE71" s="1818"/>
      <c r="AF71" s="1818"/>
      <c r="AG71" s="1818"/>
    </row>
    <row r="72" spans="1:33" s="1817" customFormat="1" ht="18.75">
      <c r="A72" s="1834"/>
      <c r="B72" s="1847" t="s">
        <v>1579</v>
      </c>
      <c r="C72" s="1846">
        <v>5507</v>
      </c>
      <c r="D72" s="1815"/>
      <c r="E72" s="1842">
        <f>+IF('TRIAL-BALANCE'!C$8=C72,1,0)</f>
        <v>0</v>
      </c>
      <c r="G72" s="1842">
        <v>0</v>
      </c>
      <c r="I72" s="2217">
        <f t="shared" si="4"/>
        <v>0</v>
      </c>
      <c r="P72" s="1818"/>
      <c r="Q72" s="1818"/>
      <c r="R72" s="1818"/>
      <c r="S72" s="1818"/>
      <c r="T72" s="1818"/>
      <c r="U72" s="1818"/>
      <c r="V72" s="1818"/>
      <c r="W72" s="1818"/>
      <c r="X72" s="1818"/>
      <c r="Y72" s="1818"/>
      <c r="Z72" s="1818"/>
      <c r="AA72" s="1818"/>
      <c r="AB72" s="1818"/>
      <c r="AC72" s="1818"/>
      <c r="AD72" s="1818"/>
      <c r="AE72" s="1818"/>
      <c r="AF72" s="1818"/>
      <c r="AG72" s="1818"/>
    </row>
    <row r="73" spans="1:33" s="1817" customFormat="1" ht="18.75">
      <c r="A73" s="1834"/>
      <c r="B73" s="1847" t="s">
        <v>1580</v>
      </c>
      <c r="C73" s="1846">
        <v>5508</v>
      </c>
      <c r="D73" s="1815"/>
      <c r="E73" s="1842">
        <f>+IF('TRIAL-BALANCE'!C$8=C73,1,0)</f>
        <v>0</v>
      </c>
      <c r="G73" s="1842">
        <v>0</v>
      </c>
      <c r="I73" s="2217">
        <f t="shared" si="4"/>
        <v>0</v>
      </c>
      <c r="P73" s="1818"/>
      <c r="Q73" s="1818"/>
      <c r="R73" s="1818"/>
      <c r="S73" s="1818"/>
      <c r="T73" s="1818"/>
      <c r="U73" s="1818"/>
      <c r="V73" s="1818"/>
      <c r="W73" s="1818"/>
      <c r="X73" s="1818"/>
      <c r="Y73" s="1818"/>
      <c r="Z73" s="1818"/>
      <c r="AA73" s="1818"/>
      <c r="AB73" s="1818"/>
      <c r="AC73" s="1818"/>
      <c r="AD73" s="1818"/>
      <c r="AE73" s="1818"/>
      <c r="AF73" s="1818"/>
      <c r="AG73" s="1818"/>
    </row>
    <row r="74" spans="1:33" s="1817" customFormat="1" ht="18.75">
      <c r="A74" s="1834"/>
      <c r="B74" s="1847" t="s">
        <v>1581</v>
      </c>
      <c r="C74" s="1846">
        <v>5509</v>
      </c>
      <c r="D74" s="1815"/>
      <c r="E74" s="1842">
        <f>+IF('TRIAL-BALANCE'!C$8=C74,1,0)</f>
        <v>0</v>
      </c>
      <c r="G74" s="1842">
        <v>0</v>
      </c>
      <c r="I74" s="2217">
        <f t="shared" si="4"/>
        <v>0</v>
      </c>
      <c r="P74" s="1818"/>
      <c r="Q74" s="1818"/>
      <c r="R74" s="1818"/>
      <c r="S74" s="1818"/>
      <c r="T74" s="1818"/>
      <c r="U74" s="1818"/>
      <c r="V74" s="1818"/>
      <c r="W74" s="1818"/>
      <c r="X74" s="1818"/>
      <c r="Y74" s="1818"/>
      <c r="Z74" s="1818"/>
      <c r="AA74" s="1818"/>
      <c r="AB74" s="1818"/>
      <c r="AC74" s="1818"/>
      <c r="AD74" s="1818"/>
      <c r="AE74" s="1818"/>
      <c r="AF74" s="1818"/>
      <c r="AG74" s="1818"/>
    </row>
    <row r="75" spans="1:33" s="1817" customFormat="1" ht="18.75">
      <c r="A75" s="1834"/>
      <c r="B75" s="1847" t="s">
        <v>1582</v>
      </c>
      <c r="C75" s="1846">
        <v>5510</v>
      </c>
      <c r="D75" s="1815"/>
      <c r="E75" s="1842">
        <f>+IF('TRIAL-BALANCE'!C$8=C75,1,0)</f>
        <v>0</v>
      </c>
      <c r="G75" s="1842">
        <v>0</v>
      </c>
      <c r="I75" s="2217">
        <f t="shared" si="4"/>
        <v>0</v>
      </c>
      <c r="P75" s="1818"/>
      <c r="Q75" s="1818"/>
      <c r="R75" s="1818"/>
      <c r="S75" s="1818"/>
      <c r="T75" s="1818"/>
      <c r="U75" s="1818"/>
      <c r="V75" s="1818"/>
      <c r="W75" s="1818"/>
      <c r="X75" s="1818"/>
      <c r="Y75" s="1818"/>
      <c r="Z75" s="1818"/>
      <c r="AA75" s="1818"/>
      <c r="AB75" s="1818"/>
      <c r="AC75" s="1818"/>
      <c r="AD75" s="1818"/>
      <c r="AE75" s="1818"/>
      <c r="AF75" s="1818"/>
      <c r="AG75" s="1818"/>
    </row>
    <row r="76" spans="1:33" s="1817" customFormat="1" ht="19.5" thickBot="1">
      <c r="A76" s="1834"/>
      <c r="B76" s="1848" t="s">
        <v>1583</v>
      </c>
      <c r="C76" s="1849">
        <v>5511</v>
      </c>
      <c r="D76" s="1815"/>
      <c r="E76" s="1850">
        <f>+IF('TRIAL-BALANCE'!C$8=C76,1,0)</f>
        <v>0</v>
      </c>
      <c r="G76" s="1850">
        <v>0</v>
      </c>
      <c r="I76" s="2217">
        <f t="shared" si="4"/>
        <v>0</v>
      </c>
      <c r="P76" s="1818"/>
      <c r="Q76" s="1818"/>
      <c r="R76" s="1818"/>
      <c r="S76" s="1818"/>
      <c r="T76" s="1818"/>
      <c r="U76" s="1818"/>
      <c r="V76" s="1818"/>
      <c r="W76" s="1818"/>
      <c r="X76" s="1818"/>
      <c r="Y76" s="1818"/>
      <c r="Z76" s="1818"/>
      <c r="AA76" s="1818"/>
      <c r="AB76" s="1818"/>
      <c r="AC76" s="1818"/>
      <c r="AD76" s="1818"/>
      <c r="AE76" s="1818"/>
      <c r="AF76" s="1818"/>
      <c r="AG76" s="1818"/>
    </row>
    <row r="77" spans="1:33" s="1817" customFormat="1" ht="9" customHeight="1" thickBot="1">
      <c r="A77" s="1851"/>
      <c r="B77" s="1831"/>
      <c r="C77" s="1852"/>
      <c r="D77" s="1815"/>
      <c r="E77" s="1816"/>
      <c r="G77" s="1816"/>
      <c r="I77" s="1816"/>
      <c r="P77" s="1818"/>
      <c r="Q77" s="1818"/>
      <c r="R77" s="1818"/>
      <c r="S77" s="1818"/>
      <c r="T77" s="1818"/>
      <c r="U77" s="1818"/>
      <c r="V77" s="1818"/>
      <c r="W77" s="1818"/>
      <c r="X77" s="1818"/>
      <c r="Y77" s="1818"/>
      <c r="Z77" s="1818"/>
      <c r="AA77" s="1818"/>
      <c r="AB77" s="1818"/>
      <c r="AC77" s="1818"/>
      <c r="AD77" s="1818"/>
      <c r="AE77" s="1818"/>
      <c r="AF77" s="1818"/>
      <c r="AG77" s="1818"/>
    </row>
    <row r="78" spans="1:33" s="1817" customFormat="1" ht="18.75">
      <c r="A78" s="1834"/>
      <c r="B78" s="1835" t="s">
        <v>1584</v>
      </c>
      <c r="C78" s="1836" t="s">
        <v>1585</v>
      </c>
      <c r="D78" s="1815"/>
      <c r="E78" s="1816"/>
      <c r="G78" s="1816"/>
      <c r="I78" s="1816"/>
      <c r="P78" s="1818"/>
      <c r="Q78" s="1818"/>
      <c r="R78" s="1818"/>
      <c r="S78" s="1818"/>
      <c r="T78" s="1818"/>
      <c r="U78" s="1818"/>
      <c r="V78" s="1818"/>
      <c r="W78" s="1818"/>
      <c r="X78" s="1818"/>
      <c r="Y78" s="1818"/>
      <c r="Z78" s="1818"/>
      <c r="AA78" s="1818"/>
      <c r="AB78" s="1818"/>
      <c r="AC78" s="1818"/>
      <c r="AD78" s="1818"/>
      <c r="AE78" s="1818"/>
      <c r="AF78" s="1818"/>
      <c r="AG78" s="1818"/>
    </row>
    <row r="79" spans="1:33" s="1817" customFormat="1" ht="18.75">
      <c r="A79" s="1834"/>
      <c r="B79" s="1855" t="s">
        <v>1586</v>
      </c>
      <c r="C79" s="1856">
        <v>5601</v>
      </c>
      <c r="D79" s="1815"/>
      <c r="E79" s="1839">
        <f>+IF('TRIAL-BALANCE'!C$8=C79,1,0)</f>
        <v>0</v>
      </c>
      <c r="G79" s="1839">
        <v>0</v>
      </c>
      <c r="I79" s="2217">
        <f t="shared" ref="I79:I89" si="5">+E79+G79</f>
        <v>0</v>
      </c>
      <c r="P79" s="1818"/>
      <c r="Q79" s="1818"/>
      <c r="R79" s="1818"/>
      <c r="S79" s="1818"/>
      <c r="T79" s="1818"/>
      <c r="U79" s="1818"/>
      <c r="V79" s="1818"/>
      <c r="W79" s="1818"/>
      <c r="X79" s="1818"/>
      <c r="Y79" s="1818"/>
      <c r="Z79" s="1818"/>
      <c r="AA79" s="1818"/>
      <c r="AB79" s="1818"/>
      <c r="AC79" s="1818"/>
      <c r="AD79" s="1818"/>
      <c r="AE79" s="1818"/>
      <c r="AF79" s="1818"/>
      <c r="AG79" s="1818"/>
    </row>
    <row r="80" spans="1:33" s="1817" customFormat="1" ht="18.75">
      <c r="A80" s="1834"/>
      <c r="B80" s="1847" t="s">
        <v>1587</v>
      </c>
      <c r="C80" s="1846">
        <v>5602</v>
      </c>
      <c r="D80" s="1815"/>
      <c r="E80" s="1842">
        <f>+IF('TRIAL-BALANCE'!C$8=C80,1,0)</f>
        <v>0</v>
      </c>
      <c r="G80" s="1842">
        <v>0</v>
      </c>
      <c r="I80" s="2217">
        <f t="shared" si="5"/>
        <v>0</v>
      </c>
      <c r="P80" s="1818"/>
      <c r="Q80" s="1818"/>
      <c r="R80" s="1818"/>
      <c r="S80" s="1818"/>
      <c r="T80" s="1818"/>
      <c r="U80" s="1818"/>
      <c r="V80" s="1818"/>
      <c r="W80" s="1818"/>
      <c r="X80" s="1818"/>
      <c r="Y80" s="1818"/>
      <c r="Z80" s="1818"/>
      <c r="AA80" s="1818"/>
      <c r="AB80" s="1818"/>
      <c r="AC80" s="1818"/>
      <c r="AD80" s="1818"/>
      <c r="AE80" s="1818"/>
      <c r="AF80" s="1818"/>
      <c r="AG80" s="1818"/>
    </row>
    <row r="81" spans="1:33" s="1817" customFormat="1" ht="19.5">
      <c r="A81" s="1834"/>
      <c r="B81" s="1853" t="s">
        <v>1588</v>
      </c>
      <c r="C81" s="1846">
        <v>5603</v>
      </c>
      <c r="D81" s="1815"/>
      <c r="E81" s="1842">
        <f>+IF('TRIAL-BALANCE'!C$8=C81,1,0)</f>
        <v>0</v>
      </c>
      <c r="G81" s="1842">
        <v>0</v>
      </c>
      <c r="I81" s="2217">
        <f t="shared" si="5"/>
        <v>0</v>
      </c>
      <c r="P81" s="1818"/>
      <c r="Q81" s="1818"/>
      <c r="R81" s="1818"/>
      <c r="S81" s="1818"/>
      <c r="T81" s="1818"/>
      <c r="U81" s="1818"/>
      <c r="V81" s="1818"/>
      <c r="W81" s="1818"/>
      <c r="X81" s="1818"/>
      <c r="Y81" s="1818"/>
      <c r="Z81" s="1818"/>
      <c r="AA81" s="1818"/>
      <c r="AB81" s="1818"/>
      <c r="AC81" s="1818"/>
      <c r="AD81" s="1818"/>
      <c r="AE81" s="1818"/>
      <c r="AF81" s="1818"/>
      <c r="AG81" s="1818"/>
    </row>
    <row r="82" spans="1:33" s="1817" customFormat="1" ht="18.75" hidden="1">
      <c r="A82" s="1834"/>
      <c r="B82" s="1858" t="s">
        <v>1589</v>
      </c>
      <c r="C82" s="1859">
        <v>5604</v>
      </c>
      <c r="D82" s="1815"/>
      <c r="E82" s="1842">
        <f>+IF('TRIAL-BALANCE'!C$8=C82,1,0)</f>
        <v>0</v>
      </c>
      <c r="G82" s="1842">
        <v>0</v>
      </c>
      <c r="I82" s="2217">
        <f t="shared" si="5"/>
        <v>0</v>
      </c>
      <c r="P82" s="1818"/>
      <c r="Q82" s="1818"/>
      <c r="R82" s="1818"/>
      <c r="S82" s="1818"/>
      <c r="T82" s="1818"/>
      <c r="U82" s="1818"/>
      <c r="V82" s="1818"/>
      <c r="W82" s="1818"/>
      <c r="X82" s="1818"/>
      <c r="Y82" s="1818"/>
      <c r="Z82" s="1818"/>
      <c r="AA82" s="1818"/>
      <c r="AB82" s="1818"/>
      <c r="AC82" s="1818"/>
      <c r="AD82" s="1818"/>
      <c r="AE82" s="1818"/>
      <c r="AF82" s="1818"/>
      <c r="AG82" s="1818"/>
    </row>
    <row r="83" spans="1:33" s="1817" customFormat="1" ht="18.75">
      <c r="A83" s="1834"/>
      <c r="B83" s="1847" t="s">
        <v>1590</v>
      </c>
      <c r="C83" s="1846">
        <v>5605</v>
      </c>
      <c r="D83" s="1815"/>
      <c r="E83" s="1842">
        <f>+IF('TRIAL-BALANCE'!C$8=C83,1,0)</f>
        <v>0</v>
      </c>
      <c r="G83" s="1842">
        <v>0</v>
      </c>
      <c r="I83" s="2217">
        <f t="shared" si="5"/>
        <v>0</v>
      </c>
      <c r="P83" s="1818"/>
      <c r="Q83" s="1818"/>
      <c r="R83" s="1818"/>
      <c r="S83" s="1818"/>
      <c r="T83" s="1818"/>
      <c r="U83" s="1818"/>
      <c r="V83" s="1818"/>
      <c r="W83" s="1818"/>
      <c r="X83" s="1818"/>
      <c r="Y83" s="1818"/>
      <c r="Z83" s="1818"/>
      <c r="AA83" s="1818"/>
      <c r="AB83" s="1818"/>
      <c r="AC83" s="1818"/>
      <c r="AD83" s="1818"/>
      <c r="AE83" s="1818"/>
      <c r="AF83" s="1818"/>
      <c r="AG83" s="1818"/>
    </row>
    <row r="84" spans="1:33" s="1817" customFormat="1" ht="18.75">
      <c r="A84" s="1834"/>
      <c r="B84" s="1847" t="s">
        <v>1591</v>
      </c>
      <c r="C84" s="1846">
        <v>5606</v>
      </c>
      <c r="D84" s="1815"/>
      <c r="E84" s="1842">
        <f>+IF('TRIAL-BALANCE'!C$8=C84,1,0)</f>
        <v>0</v>
      </c>
      <c r="G84" s="1842">
        <v>0</v>
      </c>
      <c r="I84" s="2217">
        <f t="shared" si="5"/>
        <v>0</v>
      </c>
      <c r="P84" s="1818"/>
      <c r="Q84" s="1818"/>
      <c r="R84" s="1818"/>
      <c r="S84" s="1818"/>
      <c r="T84" s="1818"/>
      <c r="U84" s="1818"/>
      <c r="V84" s="1818"/>
      <c r="W84" s="1818"/>
      <c r="X84" s="1818"/>
      <c r="Y84" s="1818"/>
      <c r="Z84" s="1818"/>
      <c r="AA84" s="1818"/>
      <c r="AB84" s="1818"/>
      <c r="AC84" s="1818"/>
      <c r="AD84" s="1818"/>
      <c r="AE84" s="1818"/>
      <c r="AF84" s="1818"/>
      <c r="AG84" s="1818"/>
    </row>
    <row r="85" spans="1:33" s="1817" customFormat="1" ht="18.75">
      <c r="A85" s="1834"/>
      <c r="B85" s="1847" t="s">
        <v>1592</v>
      </c>
      <c r="C85" s="1846">
        <v>5607</v>
      </c>
      <c r="D85" s="1815"/>
      <c r="E85" s="1842">
        <f>+IF('TRIAL-BALANCE'!C$8=C85,1,0)</f>
        <v>0</v>
      </c>
      <c r="G85" s="1842">
        <v>0</v>
      </c>
      <c r="I85" s="2217">
        <f t="shared" si="5"/>
        <v>0</v>
      </c>
      <c r="P85" s="1818"/>
      <c r="Q85" s="1818"/>
      <c r="R85" s="1818"/>
      <c r="S85" s="1818"/>
      <c r="T85" s="1818"/>
      <c r="U85" s="1818"/>
      <c r="V85" s="1818"/>
      <c r="W85" s="1818"/>
      <c r="X85" s="1818"/>
      <c r="Y85" s="1818"/>
      <c r="Z85" s="1818"/>
      <c r="AA85" s="1818"/>
      <c r="AB85" s="1818"/>
      <c r="AC85" s="1818"/>
      <c r="AD85" s="1818"/>
      <c r="AE85" s="1818"/>
      <c r="AF85" s="1818"/>
      <c r="AG85" s="1818"/>
    </row>
    <row r="86" spans="1:33" s="1817" customFormat="1" ht="18.75">
      <c r="A86" s="1834"/>
      <c r="B86" s="1847" t="s">
        <v>1593</v>
      </c>
      <c r="C86" s="1846">
        <v>5608</v>
      </c>
      <c r="D86" s="1815"/>
      <c r="E86" s="1842">
        <f>+IF('TRIAL-BALANCE'!C$8=C86,1,0)</f>
        <v>0</v>
      </c>
      <c r="G86" s="1842">
        <v>0</v>
      </c>
      <c r="I86" s="2217">
        <f t="shared" si="5"/>
        <v>0</v>
      </c>
      <c r="P86" s="1818"/>
      <c r="Q86" s="1818"/>
      <c r="R86" s="1818"/>
      <c r="S86" s="1818"/>
      <c r="T86" s="1818"/>
      <c r="U86" s="1818"/>
      <c r="V86" s="1818"/>
      <c r="W86" s="1818"/>
      <c r="X86" s="1818"/>
      <c r="Y86" s="1818"/>
      <c r="Z86" s="1818"/>
      <c r="AA86" s="1818"/>
      <c r="AB86" s="1818"/>
      <c r="AC86" s="1818"/>
      <c r="AD86" s="1818"/>
      <c r="AE86" s="1818"/>
      <c r="AF86" s="1818"/>
      <c r="AG86" s="1818"/>
    </row>
    <row r="87" spans="1:33" s="1817" customFormat="1" ht="18.75">
      <c r="A87" s="1834"/>
      <c r="B87" s="1847" t="s">
        <v>1594</v>
      </c>
      <c r="C87" s="1846">
        <v>5609</v>
      </c>
      <c r="D87" s="1815"/>
      <c r="E87" s="1842">
        <f>+IF('TRIAL-BALANCE'!C$8=C87,1,0)</f>
        <v>0</v>
      </c>
      <c r="G87" s="1842">
        <v>0</v>
      </c>
      <c r="I87" s="2217">
        <f t="shared" si="5"/>
        <v>0</v>
      </c>
      <c r="P87" s="1818"/>
      <c r="Q87" s="1818"/>
      <c r="R87" s="1818"/>
      <c r="S87" s="1818"/>
      <c r="T87" s="1818"/>
      <c r="U87" s="1818"/>
      <c r="V87" s="1818"/>
      <c r="W87" s="1818"/>
      <c r="X87" s="1818"/>
      <c r="Y87" s="1818"/>
      <c r="Z87" s="1818"/>
      <c r="AA87" s="1818"/>
      <c r="AB87" s="1818"/>
      <c r="AC87" s="1818"/>
      <c r="AD87" s="1818"/>
      <c r="AE87" s="1818"/>
      <c r="AF87" s="1818"/>
      <c r="AG87" s="1818"/>
    </row>
    <row r="88" spans="1:33" s="1817" customFormat="1" ht="18.75">
      <c r="A88" s="1834"/>
      <c r="B88" s="1847" t="s">
        <v>1595</v>
      </c>
      <c r="C88" s="1846">
        <v>5610</v>
      </c>
      <c r="D88" s="1815"/>
      <c r="E88" s="1842">
        <f>+IF('TRIAL-BALANCE'!C$8=C88,1,0)</f>
        <v>0</v>
      </c>
      <c r="G88" s="1842">
        <v>0</v>
      </c>
      <c r="I88" s="2217">
        <f t="shared" si="5"/>
        <v>0</v>
      </c>
      <c r="P88" s="1818"/>
      <c r="Q88" s="1818"/>
      <c r="R88" s="1818"/>
      <c r="S88" s="1818"/>
      <c r="T88" s="1818"/>
      <c r="U88" s="1818"/>
      <c r="V88" s="1818"/>
      <c r="W88" s="1818"/>
      <c r="X88" s="1818"/>
      <c r="Y88" s="1818"/>
      <c r="Z88" s="1818"/>
      <c r="AA88" s="1818"/>
      <c r="AB88" s="1818"/>
      <c r="AC88" s="1818"/>
      <c r="AD88" s="1818"/>
      <c r="AE88" s="1818"/>
      <c r="AF88" s="1818"/>
      <c r="AG88" s="1818"/>
    </row>
    <row r="89" spans="1:33" s="1817" customFormat="1" ht="19.5" thickBot="1">
      <c r="A89" s="1834"/>
      <c r="B89" s="1848" t="s">
        <v>1596</v>
      </c>
      <c r="C89" s="1849">
        <v>5611</v>
      </c>
      <c r="D89" s="1815"/>
      <c r="E89" s="1850">
        <f>+IF('TRIAL-BALANCE'!C$8=C89,1,0)</f>
        <v>0</v>
      </c>
      <c r="G89" s="1850">
        <v>0</v>
      </c>
      <c r="I89" s="2217">
        <f t="shared" si="5"/>
        <v>0</v>
      </c>
      <c r="P89" s="1818"/>
      <c r="Q89" s="1818"/>
      <c r="R89" s="1818"/>
      <c r="S89" s="1818"/>
      <c r="T89" s="1818"/>
      <c r="U89" s="1818"/>
      <c r="V89" s="1818"/>
      <c r="W89" s="1818"/>
      <c r="X89" s="1818"/>
      <c r="Y89" s="1818"/>
      <c r="Z89" s="1818"/>
      <c r="AA89" s="1818"/>
      <c r="AB89" s="1818"/>
      <c r="AC89" s="1818"/>
      <c r="AD89" s="1818"/>
      <c r="AE89" s="1818"/>
      <c r="AF89" s="1818"/>
      <c r="AG89" s="1818"/>
    </row>
    <row r="90" spans="1:33" s="1817" customFormat="1" ht="9" customHeight="1" thickBot="1">
      <c r="A90" s="1851"/>
      <c r="B90" s="1831"/>
      <c r="C90" s="1852"/>
      <c r="D90" s="1815"/>
      <c r="E90" s="1816"/>
      <c r="G90" s="1816"/>
      <c r="I90" s="1816"/>
      <c r="P90" s="1818"/>
      <c r="Q90" s="1818"/>
      <c r="R90" s="1818"/>
      <c r="S90" s="1818"/>
      <c r="T90" s="1818"/>
      <c r="U90" s="1818"/>
      <c r="V90" s="1818"/>
      <c r="W90" s="1818"/>
      <c r="X90" s="1818"/>
      <c r="Y90" s="1818"/>
      <c r="Z90" s="1818"/>
      <c r="AA90" s="1818"/>
      <c r="AB90" s="1818"/>
      <c r="AC90" s="1818"/>
      <c r="AD90" s="1818"/>
      <c r="AE90" s="1818"/>
      <c r="AF90" s="1818"/>
      <c r="AG90" s="1818"/>
    </row>
    <row r="91" spans="1:33" s="1817" customFormat="1" ht="18.75">
      <c r="A91" s="1834"/>
      <c r="B91" s="1835" t="s">
        <v>1597</v>
      </c>
      <c r="C91" s="1836" t="s">
        <v>1598</v>
      </c>
      <c r="D91" s="1815"/>
      <c r="E91" s="1816"/>
      <c r="G91" s="1816"/>
      <c r="I91" s="1816"/>
      <c r="P91" s="1818"/>
      <c r="Q91" s="1818"/>
      <c r="R91" s="1818"/>
      <c r="S91" s="1818"/>
      <c r="T91" s="1818"/>
      <c r="U91" s="1818"/>
      <c r="V91" s="1818"/>
      <c r="W91" s="1818"/>
      <c r="X91" s="1818"/>
      <c r="Y91" s="1818"/>
      <c r="Z91" s="1818"/>
      <c r="AA91" s="1818"/>
      <c r="AB91" s="1818"/>
      <c r="AC91" s="1818"/>
      <c r="AD91" s="1818"/>
      <c r="AE91" s="1818"/>
      <c r="AF91" s="1818"/>
      <c r="AG91" s="1818"/>
    </row>
    <row r="92" spans="1:33" s="1817" customFormat="1" ht="19.5">
      <c r="A92" s="1834"/>
      <c r="B92" s="1857" t="s">
        <v>1599</v>
      </c>
      <c r="C92" s="1856">
        <v>5701</v>
      </c>
      <c r="D92" s="1815"/>
      <c r="E92" s="1839">
        <f>+IF('TRIAL-BALANCE'!C$8=C92,1,0)</f>
        <v>0</v>
      </c>
      <c r="G92" s="1839">
        <v>0</v>
      </c>
      <c r="I92" s="2217">
        <f>+E92+G92</f>
        <v>0</v>
      </c>
      <c r="P92" s="1818"/>
      <c r="Q92" s="1818"/>
      <c r="R92" s="1818"/>
      <c r="S92" s="1818"/>
      <c r="T92" s="1818"/>
      <c r="U92" s="1818"/>
      <c r="V92" s="1818"/>
      <c r="W92" s="1818"/>
      <c r="X92" s="1818"/>
      <c r="Y92" s="1818"/>
      <c r="Z92" s="1818"/>
      <c r="AA92" s="1818"/>
      <c r="AB92" s="1818"/>
      <c r="AC92" s="1818"/>
      <c r="AD92" s="1818"/>
      <c r="AE92" s="1818"/>
      <c r="AF92" s="1818"/>
      <c r="AG92" s="1818"/>
    </row>
    <row r="93" spans="1:33" s="1817" customFormat="1" ht="18.75">
      <c r="A93" s="1834"/>
      <c r="B93" s="1847" t="s">
        <v>1600</v>
      </c>
      <c r="C93" s="1846">
        <v>5702</v>
      </c>
      <c r="D93" s="1815"/>
      <c r="E93" s="1842">
        <f>+IF('TRIAL-BALANCE'!C$8=C93,1,0)</f>
        <v>0</v>
      </c>
      <c r="G93" s="1842">
        <v>0</v>
      </c>
      <c r="I93" s="2217">
        <f>+E93+G93</f>
        <v>0</v>
      </c>
      <c r="P93" s="1818"/>
      <c r="Q93" s="1818"/>
      <c r="R93" s="1818"/>
      <c r="S93" s="1818"/>
      <c r="T93" s="1818"/>
      <c r="U93" s="1818"/>
      <c r="V93" s="1818"/>
      <c r="W93" s="1818"/>
      <c r="X93" s="1818"/>
      <c r="Y93" s="1818"/>
      <c r="Z93" s="1818"/>
      <c r="AA93" s="1818"/>
      <c r="AB93" s="1818"/>
      <c r="AC93" s="1818"/>
      <c r="AD93" s="1818"/>
      <c r="AE93" s="1818"/>
      <c r="AF93" s="1818"/>
      <c r="AG93" s="1818"/>
    </row>
    <row r="94" spans="1:33" s="1817" customFormat="1" ht="18.75">
      <c r="A94" s="1834"/>
      <c r="B94" s="1847" t="s">
        <v>1601</v>
      </c>
      <c r="C94" s="1846">
        <v>5703</v>
      </c>
      <c r="D94" s="1815"/>
      <c r="E94" s="1842">
        <f>+IF('TRIAL-BALANCE'!C$8=C94,1,0)</f>
        <v>0</v>
      </c>
      <c r="G94" s="1842">
        <v>0</v>
      </c>
      <c r="I94" s="2217">
        <f>+E94+G94</f>
        <v>0</v>
      </c>
      <c r="P94" s="1818"/>
      <c r="Q94" s="1818"/>
      <c r="R94" s="1818"/>
      <c r="S94" s="1818"/>
      <c r="T94" s="1818"/>
      <c r="U94" s="1818"/>
      <c r="V94" s="1818"/>
      <c r="W94" s="1818"/>
      <c r="X94" s="1818"/>
      <c r="Y94" s="1818"/>
      <c r="Z94" s="1818"/>
      <c r="AA94" s="1818"/>
      <c r="AB94" s="1818"/>
      <c r="AC94" s="1818"/>
      <c r="AD94" s="1818"/>
      <c r="AE94" s="1818"/>
      <c r="AF94" s="1818"/>
      <c r="AG94" s="1818"/>
    </row>
    <row r="95" spans="1:33" s="1817" customFormat="1" ht="19.5" thickBot="1">
      <c r="A95" s="1834"/>
      <c r="B95" s="1848" t="s">
        <v>1602</v>
      </c>
      <c r="C95" s="1849">
        <v>5704</v>
      </c>
      <c r="D95" s="1815"/>
      <c r="E95" s="1850">
        <f>+IF('TRIAL-BALANCE'!C$8=C95,1,0)</f>
        <v>0</v>
      </c>
      <c r="G95" s="1850">
        <v>0</v>
      </c>
      <c r="I95" s="2217">
        <f>+E95+G95</f>
        <v>0</v>
      </c>
      <c r="P95" s="1818"/>
      <c r="Q95" s="1818"/>
      <c r="R95" s="1818"/>
      <c r="S95" s="1818"/>
      <c r="T95" s="1818"/>
      <c r="U95" s="1818"/>
      <c r="V95" s="1818"/>
      <c r="W95" s="1818"/>
      <c r="X95" s="1818"/>
      <c r="Y95" s="1818"/>
      <c r="Z95" s="1818"/>
      <c r="AA95" s="1818"/>
      <c r="AB95" s="1818"/>
      <c r="AC95" s="1818"/>
      <c r="AD95" s="1818"/>
      <c r="AE95" s="1818"/>
      <c r="AF95" s="1818"/>
      <c r="AG95" s="1818"/>
    </row>
    <row r="96" spans="1:33" s="1817" customFormat="1" ht="9" customHeight="1" thickBot="1">
      <c r="A96" s="1851"/>
      <c r="B96" s="1831"/>
      <c r="C96" s="1852"/>
      <c r="D96" s="1815"/>
      <c r="E96" s="1816"/>
      <c r="G96" s="1816"/>
      <c r="I96" s="1816"/>
      <c r="P96" s="1818"/>
      <c r="Q96" s="1818"/>
      <c r="R96" s="1818"/>
      <c r="S96" s="1818"/>
      <c r="T96" s="1818"/>
      <c r="U96" s="1818"/>
      <c r="V96" s="1818"/>
      <c r="W96" s="1818"/>
      <c r="X96" s="1818"/>
      <c r="Y96" s="1818"/>
      <c r="Z96" s="1818"/>
      <c r="AA96" s="1818"/>
      <c r="AB96" s="1818"/>
      <c r="AC96" s="1818"/>
      <c r="AD96" s="1818"/>
      <c r="AE96" s="1818"/>
      <c r="AF96" s="1818"/>
      <c r="AG96" s="1818"/>
    </row>
    <row r="97" spans="1:33" s="1817" customFormat="1" ht="18.75">
      <c r="A97" s="1834"/>
      <c r="B97" s="1835" t="s">
        <v>1603</v>
      </c>
      <c r="C97" s="1836" t="s">
        <v>1604</v>
      </c>
      <c r="D97" s="1815"/>
      <c r="E97" s="1816"/>
      <c r="G97" s="1816"/>
      <c r="I97" s="1816"/>
      <c r="P97" s="1818"/>
      <c r="Q97" s="1818"/>
      <c r="R97" s="1818"/>
      <c r="S97" s="1818"/>
      <c r="T97" s="1818"/>
      <c r="U97" s="1818"/>
      <c r="V97" s="1818"/>
      <c r="W97" s="1818"/>
      <c r="X97" s="1818"/>
      <c r="Y97" s="1818"/>
      <c r="Z97" s="1818"/>
      <c r="AA97" s="1818"/>
      <c r="AB97" s="1818"/>
      <c r="AC97" s="1818"/>
      <c r="AD97" s="1818"/>
      <c r="AE97" s="1818"/>
      <c r="AF97" s="1818"/>
      <c r="AG97" s="1818"/>
    </row>
    <row r="98" spans="1:33" s="1817" customFormat="1" ht="18.75">
      <c r="A98" s="1834"/>
      <c r="B98" s="1855" t="s">
        <v>1605</v>
      </c>
      <c r="C98" s="1856">
        <v>5801</v>
      </c>
      <c r="D98" s="1815"/>
      <c r="E98" s="1839">
        <f>+IF('TRIAL-BALANCE'!C$8=C98,1,0)</f>
        <v>0</v>
      </c>
      <c r="G98" s="1839">
        <v>0</v>
      </c>
      <c r="I98" s="2217">
        <f t="shared" ref="I98:I105" si="6">+E98+G98</f>
        <v>0</v>
      </c>
      <c r="P98" s="1818"/>
      <c r="Q98" s="1818"/>
      <c r="R98" s="1818"/>
      <c r="S98" s="1818"/>
      <c r="T98" s="1818"/>
      <c r="U98" s="1818"/>
      <c r="V98" s="1818"/>
      <c r="W98" s="1818"/>
      <c r="X98" s="1818"/>
      <c r="Y98" s="1818"/>
      <c r="Z98" s="1818"/>
      <c r="AA98" s="1818"/>
      <c r="AB98" s="1818"/>
      <c r="AC98" s="1818"/>
      <c r="AD98" s="1818"/>
      <c r="AE98" s="1818"/>
      <c r="AF98" s="1818"/>
      <c r="AG98" s="1818"/>
    </row>
    <row r="99" spans="1:33" s="1817" customFormat="1" ht="18.75">
      <c r="A99" s="1834"/>
      <c r="B99" s="1847" t="s">
        <v>1606</v>
      </c>
      <c r="C99" s="1846">
        <v>5802</v>
      </c>
      <c r="D99" s="1815"/>
      <c r="E99" s="1842">
        <f>+IF('TRIAL-BALANCE'!C$8=C99,1,0)</f>
        <v>0</v>
      </c>
      <c r="G99" s="1842">
        <v>0</v>
      </c>
      <c r="I99" s="2217">
        <f t="shared" si="6"/>
        <v>0</v>
      </c>
      <c r="P99" s="1818"/>
      <c r="Q99" s="1818"/>
      <c r="R99" s="1818"/>
      <c r="S99" s="1818"/>
      <c r="T99" s="1818"/>
      <c r="U99" s="1818"/>
      <c r="V99" s="1818"/>
      <c r="W99" s="1818"/>
      <c r="X99" s="1818"/>
      <c r="Y99" s="1818"/>
      <c r="Z99" s="1818"/>
      <c r="AA99" s="1818"/>
      <c r="AB99" s="1818"/>
      <c r="AC99" s="1818"/>
      <c r="AD99" s="1818"/>
      <c r="AE99" s="1818"/>
      <c r="AF99" s="1818"/>
      <c r="AG99" s="1818"/>
    </row>
    <row r="100" spans="1:33" s="1817" customFormat="1" ht="19.5">
      <c r="A100" s="1834"/>
      <c r="B100" s="1853" t="s">
        <v>1607</v>
      </c>
      <c r="C100" s="1846">
        <v>5803</v>
      </c>
      <c r="D100" s="1815"/>
      <c r="E100" s="1842">
        <f>+IF('TRIAL-BALANCE'!C$8=C100,1,0)</f>
        <v>0</v>
      </c>
      <c r="G100" s="1842">
        <v>0</v>
      </c>
      <c r="I100" s="2217">
        <f t="shared" si="6"/>
        <v>0</v>
      </c>
      <c r="P100" s="1818"/>
      <c r="Q100" s="1818"/>
      <c r="R100" s="1818"/>
      <c r="S100" s="1818"/>
      <c r="T100" s="1818"/>
      <c r="U100" s="1818"/>
      <c r="V100" s="1818"/>
      <c r="W100" s="1818"/>
      <c r="X100" s="1818"/>
      <c r="Y100" s="1818"/>
      <c r="Z100" s="1818"/>
      <c r="AA100" s="1818"/>
      <c r="AB100" s="1818"/>
      <c r="AC100" s="1818"/>
      <c r="AD100" s="1818"/>
      <c r="AE100" s="1818"/>
      <c r="AF100" s="1818"/>
      <c r="AG100" s="1818"/>
    </row>
    <row r="101" spans="1:33" s="1817" customFormat="1" ht="18.75">
      <c r="A101" s="1834"/>
      <c r="B101" s="1860" t="s">
        <v>1608</v>
      </c>
      <c r="C101" s="1846">
        <v>5804</v>
      </c>
      <c r="D101" s="1815"/>
      <c r="E101" s="1842">
        <f>+IF('TRIAL-BALANCE'!C$8=C101,1,0)</f>
        <v>0</v>
      </c>
      <c r="G101" s="1842">
        <v>0</v>
      </c>
      <c r="I101" s="2217">
        <f t="shared" si="6"/>
        <v>0</v>
      </c>
      <c r="P101" s="1818"/>
      <c r="Q101" s="1818"/>
      <c r="R101" s="1818"/>
      <c r="S101" s="1818"/>
      <c r="T101" s="1818"/>
      <c r="U101" s="1818"/>
      <c r="V101" s="1818"/>
      <c r="W101" s="1818"/>
      <c r="X101" s="1818"/>
      <c r="Y101" s="1818"/>
      <c r="Z101" s="1818"/>
      <c r="AA101" s="1818"/>
      <c r="AB101" s="1818"/>
      <c r="AC101" s="1818"/>
      <c r="AD101" s="1818"/>
      <c r="AE101" s="1818"/>
      <c r="AF101" s="1818"/>
      <c r="AG101" s="1818"/>
    </row>
    <row r="102" spans="1:33" s="1817" customFormat="1" ht="18.75">
      <c r="A102" s="1834"/>
      <c r="B102" s="1847" t="s">
        <v>1609</v>
      </c>
      <c r="C102" s="1846">
        <v>5805</v>
      </c>
      <c r="D102" s="1815"/>
      <c r="E102" s="1842">
        <f>+IF('TRIAL-BALANCE'!C$8=C102,1,0)</f>
        <v>0</v>
      </c>
      <c r="G102" s="1842">
        <v>0</v>
      </c>
      <c r="I102" s="2217">
        <f t="shared" si="6"/>
        <v>0</v>
      </c>
      <c r="P102" s="1818"/>
      <c r="Q102" s="1818"/>
      <c r="R102" s="1818"/>
      <c r="S102" s="1818"/>
      <c r="T102" s="1818"/>
      <c r="U102" s="1818"/>
      <c r="V102" s="1818"/>
      <c r="W102" s="1818"/>
      <c r="X102" s="1818"/>
      <c r="Y102" s="1818"/>
      <c r="Z102" s="1818"/>
      <c r="AA102" s="1818"/>
      <c r="AB102" s="1818"/>
      <c r="AC102" s="1818"/>
      <c r="AD102" s="1818"/>
      <c r="AE102" s="1818"/>
      <c r="AF102" s="1818"/>
      <c r="AG102" s="1818"/>
    </row>
    <row r="103" spans="1:33" s="1817" customFormat="1" ht="18.75">
      <c r="A103" s="1834"/>
      <c r="B103" s="1847" t="s">
        <v>1610</v>
      </c>
      <c r="C103" s="1846">
        <v>5806</v>
      </c>
      <c r="D103" s="1815"/>
      <c r="E103" s="1842">
        <f>+IF('TRIAL-BALANCE'!C$8=C103,1,0)</f>
        <v>0</v>
      </c>
      <c r="G103" s="1842">
        <v>0</v>
      </c>
      <c r="I103" s="2217">
        <f t="shared" si="6"/>
        <v>0</v>
      </c>
      <c r="P103" s="1818"/>
      <c r="Q103" s="1818"/>
      <c r="R103" s="1818"/>
      <c r="S103" s="1818"/>
      <c r="T103" s="1818"/>
      <c r="U103" s="1818"/>
      <c r="V103" s="1818"/>
      <c r="W103" s="1818"/>
      <c r="X103" s="1818"/>
      <c r="Y103" s="1818"/>
      <c r="Z103" s="1818"/>
      <c r="AA103" s="1818"/>
      <c r="AB103" s="1818"/>
      <c r="AC103" s="1818"/>
      <c r="AD103" s="1818"/>
      <c r="AE103" s="1818"/>
      <c r="AF103" s="1818"/>
      <c r="AG103" s="1818"/>
    </row>
    <row r="104" spans="1:33" s="1817" customFormat="1" ht="18.75">
      <c r="A104" s="1834"/>
      <c r="B104" s="1847" t="s">
        <v>1611</v>
      </c>
      <c r="C104" s="1846">
        <v>5807</v>
      </c>
      <c r="D104" s="1815"/>
      <c r="E104" s="1842">
        <f>+IF('TRIAL-BALANCE'!C$8=C104,1,0)</f>
        <v>0</v>
      </c>
      <c r="G104" s="1842">
        <v>0</v>
      </c>
      <c r="I104" s="2217">
        <f t="shared" si="6"/>
        <v>0</v>
      </c>
      <c r="P104" s="1818"/>
      <c r="Q104" s="1818"/>
      <c r="R104" s="1818"/>
      <c r="S104" s="1818"/>
      <c r="T104" s="1818"/>
      <c r="U104" s="1818"/>
      <c r="V104" s="1818"/>
      <c r="W104" s="1818"/>
      <c r="X104" s="1818"/>
      <c r="Y104" s="1818"/>
      <c r="Z104" s="1818"/>
      <c r="AA104" s="1818"/>
      <c r="AB104" s="1818"/>
      <c r="AC104" s="1818"/>
      <c r="AD104" s="1818"/>
      <c r="AE104" s="1818"/>
      <c r="AF104" s="1818"/>
      <c r="AG104" s="1818"/>
    </row>
    <row r="105" spans="1:33" s="1817" customFormat="1" ht="19.5" thickBot="1">
      <c r="A105" s="1834"/>
      <c r="B105" s="1848" t="s">
        <v>1612</v>
      </c>
      <c r="C105" s="1849">
        <v>5808</v>
      </c>
      <c r="D105" s="1815"/>
      <c r="E105" s="1850">
        <f>+IF('TRIAL-BALANCE'!C$8=C105,1,0)</f>
        <v>0</v>
      </c>
      <c r="G105" s="1850">
        <v>0</v>
      </c>
      <c r="I105" s="2217">
        <f t="shared" si="6"/>
        <v>0</v>
      </c>
      <c r="P105" s="1818"/>
      <c r="Q105" s="1818"/>
      <c r="R105" s="1818"/>
      <c r="S105" s="1818"/>
      <c r="T105" s="1818"/>
      <c r="U105" s="1818"/>
      <c r="V105" s="1818"/>
      <c r="W105" s="1818"/>
      <c r="X105" s="1818"/>
      <c r="Y105" s="1818"/>
      <c r="Z105" s="1818"/>
      <c r="AA105" s="1818"/>
      <c r="AB105" s="1818"/>
      <c r="AC105" s="1818"/>
      <c r="AD105" s="1818"/>
      <c r="AE105" s="1818"/>
      <c r="AF105" s="1818"/>
      <c r="AG105" s="1818"/>
    </row>
    <row r="106" spans="1:33" s="1817" customFormat="1" ht="9" customHeight="1" thickBot="1">
      <c r="A106" s="1851"/>
      <c r="B106" s="1831"/>
      <c r="C106" s="1852"/>
      <c r="D106" s="1815"/>
      <c r="E106" s="1816"/>
      <c r="G106" s="1816"/>
      <c r="I106" s="1816"/>
      <c r="P106" s="1818"/>
      <c r="Q106" s="1818"/>
      <c r="R106" s="1818"/>
      <c r="S106" s="1818"/>
      <c r="T106" s="1818"/>
      <c r="U106" s="1818"/>
      <c r="V106" s="1818"/>
      <c r="W106" s="1818"/>
      <c r="X106" s="1818"/>
      <c r="Y106" s="1818"/>
      <c r="Z106" s="1818"/>
      <c r="AA106" s="1818"/>
      <c r="AB106" s="1818"/>
      <c r="AC106" s="1818"/>
      <c r="AD106" s="1818"/>
      <c r="AE106" s="1818"/>
      <c r="AF106" s="1818"/>
      <c r="AG106" s="1818"/>
    </row>
    <row r="107" spans="1:33" s="1817" customFormat="1" ht="18.75">
      <c r="A107" s="1834"/>
      <c r="B107" s="1835" t="s">
        <v>1613</v>
      </c>
      <c r="C107" s="1836" t="s">
        <v>1614</v>
      </c>
      <c r="D107" s="1815"/>
      <c r="E107" s="1816"/>
      <c r="G107" s="1816"/>
      <c r="I107" s="1816"/>
      <c r="P107" s="1818"/>
      <c r="Q107" s="1818"/>
      <c r="R107" s="1818"/>
      <c r="S107" s="1818"/>
      <c r="T107" s="1818"/>
      <c r="U107" s="1818"/>
      <c r="V107" s="1818"/>
      <c r="W107" s="1818"/>
      <c r="X107" s="1818"/>
      <c r="Y107" s="1818"/>
      <c r="Z107" s="1818"/>
      <c r="AA107" s="1818"/>
      <c r="AB107" s="1818"/>
      <c r="AC107" s="1818"/>
      <c r="AD107" s="1818"/>
      <c r="AE107" s="1818"/>
      <c r="AF107" s="1818"/>
      <c r="AG107" s="1818"/>
    </row>
    <row r="108" spans="1:33" s="1817" customFormat="1" ht="18.75">
      <c r="A108" s="1834"/>
      <c r="B108" s="1855" t="s">
        <v>1615</v>
      </c>
      <c r="C108" s="1856">
        <v>5901</v>
      </c>
      <c r="D108" s="1815"/>
      <c r="E108" s="1839">
        <f>+IF('TRIAL-BALANCE'!C$8=C108,1,0)</f>
        <v>0</v>
      </c>
      <c r="G108" s="1839">
        <v>0</v>
      </c>
      <c r="I108" s="2217">
        <f t="shared" ref="I108:I114" si="7">+E108+G108</f>
        <v>0</v>
      </c>
      <c r="P108" s="1818"/>
      <c r="Q108" s="1818"/>
      <c r="R108" s="1818"/>
      <c r="S108" s="1818"/>
      <c r="T108" s="1818"/>
      <c r="U108" s="1818"/>
      <c r="V108" s="1818"/>
      <c r="W108" s="1818"/>
      <c r="X108" s="1818"/>
      <c r="Y108" s="1818"/>
      <c r="Z108" s="1818"/>
      <c r="AA108" s="1818"/>
      <c r="AB108" s="1818"/>
      <c r="AC108" s="1818"/>
      <c r="AD108" s="1818"/>
      <c r="AE108" s="1818"/>
      <c r="AF108" s="1818"/>
      <c r="AG108" s="1818"/>
    </row>
    <row r="109" spans="1:33" s="1817" customFormat="1" ht="18.75">
      <c r="A109" s="1834"/>
      <c r="B109" s="1847" t="s">
        <v>1616</v>
      </c>
      <c r="C109" s="1846">
        <v>5902</v>
      </c>
      <c r="D109" s="1815"/>
      <c r="E109" s="1842">
        <f>+IF('TRIAL-BALANCE'!C$8=C109,1,0)</f>
        <v>0</v>
      </c>
      <c r="G109" s="1842">
        <v>0</v>
      </c>
      <c r="I109" s="2217">
        <f t="shared" si="7"/>
        <v>0</v>
      </c>
      <c r="P109" s="1818"/>
      <c r="Q109" s="1818"/>
      <c r="R109" s="1818"/>
      <c r="S109" s="1818"/>
      <c r="T109" s="1818"/>
      <c r="U109" s="1818"/>
      <c r="V109" s="1818"/>
      <c r="W109" s="1818"/>
      <c r="X109" s="1818"/>
      <c r="Y109" s="1818"/>
      <c r="Z109" s="1818"/>
      <c r="AA109" s="1818"/>
      <c r="AB109" s="1818"/>
      <c r="AC109" s="1818"/>
      <c r="AD109" s="1818"/>
      <c r="AE109" s="1818"/>
      <c r="AF109" s="1818"/>
      <c r="AG109" s="1818"/>
    </row>
    <row r="110" spans="1:33" s="1817" customFormat="1" ht="18.75">
      <c r="A110" s="1834"/>
      <c r="B110" s="1847" t="s">
        <v>1617</v>
      </c>
      <c r="C110" s="1846">
        <v>5903</v>
      </c>
      <c r="D110" s="1815"/>
      <c r="E110" s="1842">
        <f>+IF('TRIAL-BALANCE'!C$8=C110,1,0)</f>
        <v>0</v>
      </c>
      <c r="G110" s="1842">
        <v>0</v>
      </c>
      <c r="I110" s="2217">
        <f t="shared" si="7"/>
        <v>0</v>
      </c>
      <c r="P110" s="1818"/>
      <c r="Q110" s="1818"/>
      <c r="R110" s="1818"/>
      <c r="S110" s="1818"/>
      <c r="T110" s="1818"/>
      <c r="U110" s="1818"/>
      <c r="V110" s="1818"/>
      <c r="W110" s="1818"/>
      <c r="X110" s="1818"/>
      <c r="Y110" s="1818"/>
      <c r="Z110" s="1818"/>
      <c r="AA110" s="1818"/>
      <c r="AB110" s="1818"/>
      <c r="AC110" s="1818"/>
      <c r="AD110" s="1818"/>
      <c r="AE110" s="1818"/>
      <c r="AF110" s="1818"/>
      <c r="AG110" s="1818"/>
    </row>
    <row r="111" spans="1:33" s="1817" customFormat="1" ht="18.75">
      <c r="A111" s="1834"/>
      <c r="B111" s="1847" t="s">
        <v>1618</v>
      </c>
      <c r="C111" s="1846">
        <v>5904</v>
      </c>
      <c r="D111" s="1815"/>
      <c r="E111" s="1842">
        <f>+IF('TRIAL-BALANCE'!C$8=C111,1,0)</f>
        <v>0</v>
      </c>
      <c r="G111" s="1842">
        <v>0</v>
      </c>
      <c r="I111" s="2217">
        <f t="shared" si="7"/>
        <v>0</v>
      </c>
      <c r="P111" s="1818"/>
      <c r="Q111" s="1818"/>
      <c r="R111" s="1818"/>
      <c r="S111" s="1818"/>
      <c r="T111" s="1818"/>
      <c r="U111" s="1818"/>
      <c r="V111" s="1818"/>
      <c r="W111" s="1818"/>
      <c r="X111" s="1818"/>
      <c r="Y111" s="1818"/>
      <c r="Z111" s="1818"/>
      <c r="AA111" s="1818"/>
      <c r="AB111" s="1818"/>
      <c r="AC111" s="1818"/>
      <c r="AD111" s="1818"/>
      <c r="AE111" s="1818"/>
      <c r="AF111" s="1818"/>
      <c r="AG111" s="1818"/>
    </row>
    <row r="112" spans="1:33" s="1817" customFormat="1" ht="19.5">
      <c r="A112" s="1834"/>
      <c r="B112" s="1853" t="s">
        <v>1619</v>
      </c>
      <c r="C112" s="1846">
        <v>5905</v>
      </c>
      <c r="D112" s="1815"/>
      <c r="E112" s="1842">
        <f>+IF('TRIAL-BALANCE'!C$8=C112,1,0)</f>
        <v>0</v>
      </c>
      <c r="G112" s="1842">
        <v>0</v>
      </c>
      <c r="I112" s="2217">
        <f t="shared" si="7"/>
        <v>0</v>
      </c>
      <c r="P112" s="1818"/>
      <c r="Q112" s="1818"/>
      <c r="R112" s="1818"/>
      <c r="S112" s="1818"/>
      <c r="T112" s="1818"/>
      <c r="U112" s="1818"/>
      <c r="V112" s="1818"/>
      <c r="W112" s="1818"/>
      <c r="X112" s="1818"/>
      <c r="Y112" s="1818"/>
      <c r="Z112" s="1818"/>
      <c r="AA112" s="1818"/>
      <c r="AB112" s="1818"/>
      <c r="AC112" s="1818"/>
      <c r="AD112" s="1818"/>
      <c r="AE112" s="1818"/>
      <c r="AF112" s="1818"/>
      <c r="AG112" s="1818"/>
    </row>
    <row r="113" spans="1:33" s="1817" customFormat="1" ht="18.75">
      <c r="A113" s="1834"/>
      <c r="B113" s="1847" t="s">
        <v>1620</v>
      </c>
      <c r="C113" s="1846">
        <v>5906</v>
      </c>
      <c r="D113" s="1815"/>
      <c r="E113" s="1842">
        <f>+IF('TRIAL-BALANCE'!C$8=C113,1,0)</f>
        <v>0</v>
      </c>
      <c r="G113" s="1842">
        <v>0</v>
      </c>
      <c r="I113" s="2217">
        <f t="shared" si="7"/>
        <v>0</v>
      </c>
      <c r="P113" s="1818"/>
      <c r="Q113" s="1818"/>
      <c r="R113" s="1818"/>
      <c r="S113" s="1818"/>
      <c r="T113" s="1818"/>
      <c r="U113" s="1818"/>
      <c r="V113" s="1818"/>
      <c r="W113" s="1818"/>
      <c r="X113" s="1818"/>
      <c r="Y113" s="1818"/>
      <c r="Z113" s="1818"/>
      <c r="AA113" s="1818"/>
      <c r="AB113" s="1818"/>
      <c r="AC113" s="1818"/>
      <c r="AD113" s="1818"/>
      <c r="AE113" s="1818"/>
      <c r="AF113" s="1818"/>
      <c r="AG113" s="1818"/>
    </row>
    <row r="114" spans="1:33" s="1817" customFormat="1" ht="19.5" thickBot="1">
      <c r="A114" s="1834"/>
      <c r="B114" s="1848" t="s">
        <v>1621</v>
      </c>
      <c r="C114" s="1849">
        <v>5907</v>
      </c>
      <c r="D114" s="1815"/>
      <c r="E114" s="1850">
        <f>+IF('TRIAL-BALANCE'!C$8=C114,1,0)</f>
        <v>0</v>
      </c>
      <c r="G114" s="1850">
        <v>0</v>
      </c>
      <c r="I114" s="2217">
        <f t="shared" si="7"/>
        <v>0</v>
      </c>
      <c r="P114" s="1818"/>
      <c r="Q114" s="1818"/>
      <c r="R114" s="1818"/>
      <c r="S114" s="1818"/>
      <c r="T114" s="1818"/>
      <c r="U114" s="1818"/>
      <c r="V114" s="1818"/>
      <c r="W114" s="1818"/>
      <c r="X114" s="1818"/>
      <c r="Y114" s="1818"/>
      <c r="Z114" s="1818"/>
      <c r="AA114" s="1818"/>
      <c r="AB114" s="1818"/>
      <c r="AC114" s="1818"/>
      <c r="AD114" s="1818"/>
      <c r="AE114" s="1818"/>
      <c r="AF114" s="1818"/>
      <c r="AG114" s="1818"/>
    </row>
    <row r="115" spans="1:33" s="1817" customFormat="1" ht="9" customHeight="1" thickBot="1">
      <c r="A115" s="1851"/>
      <c r="B115" s="1831"/>
      <c r="C115" s="1852"/>
      <c r="D115" s="1815"/>
      <c r="E115" s="1816"/>
      <c r="G115" s="1816"/>
      <c r="I115" s="1816"/>
      <c r="P115" s="1818"/>
      <c r="Q115" s="1818"/>
      <c r="R115" s="1818"/>
      <c r="S115" s="1818"/>
      <c r="T115" s="1818"/>
      <c r="U115" s="1818"/>
      <c r="V115" s="1818"/>
      <c r="W115" s="1818"/>
      <c r="X115" s="1818"/>
      <c r="Y115" s="1818"/>
      <c r="Z115" s="1818"/>
      <c r="AA115" s="1818"/>
      <c r="AB115" s="1818"/>
      <c r="AC115" s="1818"/>
      <c r="AD115" s="1818"/>
      <c r="AE115" s="1818"/>
      <c r="AF115" s="1818"/>
      <c r="AG115" s="1818"/>
    </row>
    <row r="116" spans="1:33" s="1817" customFormat="1" ht="18.75">
      <c r="A116" s="1834"/>
      <c r="B116" s="1835" t="s">
        <v>1622</v>
      </c>
      <c r="C116" s="1836" t="s">
        <v>1623</v>
      </c>
      <c r="D116" s="1815"/>
      <c r="E116" s="1816"/>
      <c r="G116" s="1816"/>
      <c r="I116" s="1816"/>
      <c r="P116" s="1818"/>
      <c r="Q116" s="1818"/>
      <c r="R116" s="1818"/>
      <c r="S116" s="1818"/>
      <c r="T116" s="1818"/>
      <c r="U116" s="1818"/>
      <c r="V116" s="1818"/>
      <c r="W116" s="1818"/>
      <c r="X116" s="1818"/>
      <c r="Y116" s="1818"/>
      <c r="Z116" s="1818"/>
      <c r="AA116" s="1818"/>
      <c r="AB116" s="1818"/>
      <c r="AC116" s="1818"/>
      <c r="AD116" s="1818"/>
      <c r="AE116" s="1818"/>
      <c r="AF116" s="1818"/>
      <c r="AG116" s="1818"/>
    </row>
    <row r="117" spans="1:33" s="1817" customFormat="1" ht="18.75">
      <c r="A117" s="1834"/>
      <c r="B117" s="1855" t="s">
        <v>1624</v>
      </c>
      <c r="C117" s="1856">
        <v>6001</v>
      </c>
      <c r="D117" s="1815"/>
      <c r="E117" s="1839">
        <f>+IF('TRIAL-BALANCE'!C$8=C117,1,0)</f>
        <v>0</v>
      </c>
      <c r="G117" s="1839">
        <v>0</v>
      </c>
      <c r="I117" s="2217">
        <f t="shared" ref="I117:I125" si="8">+E117+G117</f>
        <v>0</v>
      </c>
      <c r="P117" s="1818"/>
      <c r="Q117" s="1818"/>
      <c r="R117" s="1818"/>
      <c r="S117" s="1818"/>
      <c r="T117" s="1818"/>
      <c r="U117" s="1818"/>
      <c r="V117" s="1818"/>
      <c r="W117" s="1818"/>
      <c r="X117" s="1818"/>
      <c r="Y117" s="1818"/>
      <c r="Z117" s="1818"/>
      <c r="AA117" s="1818"/>
      <c r="AB117" s="1818"/>
      <c r="AC117" s="1818"/>
      <c r="AD117" s="1818"/>
      <c r="AE117" s="1818"/>
      <c r="AF117" s="1818"/>
      <c r="AG117" s="1818"/>
    </row>
    <row r="118" spans="1:33" s="1817" customFormat="1" ht="18.75">
      <c r="A118" s="1834"/>
      <c r="B118" s="1847" t="s">
        <v>1625</v>
      </c>
      <c r="C118" s="1846">
        <v>6002</v>
      </c>
      <c r="D118" s="1815"/>
      <c r="E118" s="1842">
        <f>+IF('TRIAL-BALANCE'!C$8=C118,1,0)</f>
        <v>0</v>
      </c>
      <c r="G118" s="1842">
        <v>0</v>
      </c>
      <c r="I118" s="2217">
        <f t="shared" si="8"/>
        <v>0</v>
      </c>
      <c r="P118" s="1818"/>
      <c r="Q118" s="1818"/>
      <c r="R118" s="1818"/>
      <c r="S118" s="1818"/>
      <c r="T118" s="1818"/>
      <c r="U118" s="1818"/>
      <c r="V118" s="1818"/>
      <c r="W118" s="1818"/>
      <c r="X118" s="1818"/>
      <c r="Y118" s="1818"/>
      <c r="Z118" s="1818"/>
      <c r="AA118" s="1818"/>
      <c r="AB118" s="1818"/>
      <c r="AC118" s="1818"/>
      <c r="AD118" s="1818"/>
      <c r="AE118" s="1818"/>
      <c r="AF118" s="1818"/>
      <c r="AG118" s="1818"/>
    </row>
    <row r="119" spans="1:33" s="1817" customFormat="1" ht="18.75">
      <c r="A119" s="1834"/>
      <c r="B119" s="1847" t="s">
        <v>1626</v>
      </c>
      <c r="C119" s="1846">
        <v>6003</v>
      </c>
      <c r="D119" s="1815"/>
      <c r="E119" s="1842">
        <f>+IF('TRIAL-BALANCE'!C$8=C119,1,0)</f>
        <v>0</v>
      </c>
      <c r="G119" s="1842">
        <v>0</v>
      </c>
      <c r="I119" s="2217">
        <f t="shared" si="8"/>
        <v>0</v>
      </c>
      <c r="P119" s="1818"/>
      <c r="Q119" s="1818"/>
      <c r="R119" s="1818"/>
      <c r="S119" s="1818"/>
      <c r="T119" s="1818"/>
      <c r="U119" s="1818"/>
      <c r="V119" s="1818"/>
      <c r="W119" s="1818"/>
      <c r="X119" s="1818"/>
      <c r="Y119" s="1818"/>
      <c r="Z119" s="1818"/>
      <c r="AA119" s="1818"/>
      <c r="AB119" s="1818"/>
      <c r="AC119" s="1818"/>
      <c r="AD119" s="1818"/>
      <c r="AE119" s="1818"/>
      <c r="AF119" s="1818"/>
      <c r="AG119" s="1818"/>
    </row>
    <row r="120" spans="1:33" s="1817" customFormat="1" ht="18.75">
      <c r="A120" s="1834"/>
      <c r="B120" s="1847" t="s">
        <v>1627</v>
      </c>
      <c r="C120" s="1846">
        <v>6004</v>
      </c>
      <c r="D120" s="1815"/>
      <c r="E120" s="1842">
        <f>+IF('TRIAL-BALANCE'!C$8=C120,1,0)</f>
        <v>0</v>
      </c>
      <c r="G120" s="1842">
        <v>0</v>
      </c>
      <c r="I120" s="2217">
        <f t="shared" si="8"/>
        <v>0</v>
      </c>
      <c r="P120" s="1818"/>
      <c r="Q120" s="1818"/>
      <c r="R120" s="1818"/>
      <c r="S120" s="1818"/>
      <c r="T120" s="1818"/>
      <c r="U120" s="1818"/>
      <c r="V120" s="1818"/>
      <c r="W120" s="1818"/>
      <c r="X120" s="1818"/>
      <c r="Y120" s="1818"/>
      <c r="Z120" s="1818"/>
      <c r="AA120" s="1818"/>
      <c r="AB120" s="1818"/>
      <c r="AC120" s="1818"/>
      <c r="AD120" s="1818"/>
      <c r="AE120" s="1818"/>
      <c r="AF120" s="1818"/>
      <c r="AG120" s="1818"/>
    </row>
    <row r="121" spans="1:33" s="1817" customFormat="1" ht="19.5">
      <c r="A121" s="1834"/>
      <c r="B121" s="1853" t="s">
        <v>1628</v>
      </c>
      <c r="C121" s="1846">
        <v>6005</v>
      </c>
      <c r="D121" s="1815"/>
      <c r="E121" s="1842">
        <f>+IF('TRIAL-BALANCE'!C$8=C121,1,0)</f>
        <v>0</v>
      </c>
      <c r="G121" s="1842">
        <v>0</v>
      </c>
      <c r="I121" s="2217">
        <f t="shared" si="8"/>
        <v>0</v>
      </c>
      <c r="P121" s="1818"/>
      <c r="Q121" s="1818"/>
      <c r="R121" s="1818"/>
      <c r="S121" s="1818"/>
      <c r="T121" s="1818"/>
      <c r="U121" s="1818"/>
      <c r="V121" s="1818"/>
      <c r="W121" s="1818"/>
      <c r="X121" s="1818"/>
      <c r="Y121" s="1818"/>
      <c r="Z121" s="1818"/>
      <c r="AA121" s="1818"/>
      <c r="AB121" s="1818"/>
      <c r="AC121" s="1818"/>
      <c r="AD121" s="1818"/>
      <c r="AE121" s="1818"/>
      <c r="AF121" s="1818"/>
      <c r="AG121" s="1818"/>
    </row>
    <row r="122" spans="1:33" s="1817" customFormat="1" ht="18.75">
      <c r="A122" s="1834"/>
      <c r="B122" s="1847" t="s">
        <v>1629</v>
      </c>
      <c r="C122" s="1846">
        <v>6006</v>
      </c>
      <c r="D122" s="1815"/>
      <c r="E122" s="1842">
        <f>+IF('TRIAL-BALANCE'!C$8=C122,1,0)</f>
        <v>0</v>
      </c>
      <c r="G122" s="1842">
        <v>0</v>
      </c>
      <c r="I122" s="2217">
        <f t="shared" si="8"/>
        <v>0</v>
      </c>
      <c r="P122" s="1818"/>
      <c r="Q122" s="1818"/>
      <c r="R122" s="1818"/>
      <c r="S122" s="1818"/>
      <c r="T122" s="1818"/>
      <c r="U122" s="1818"/>
      <c r="V122" s="1818"/>
      <c r="W122" s="1818"/>
      <c r="X122" s="1818"/>
      <c r="Y122" s="1818"/>
      <c r="Z122" s="1818"/>
      <c r="AA122" s="1818"/>
      <c r="AB122" s="1818"/>
      <c r="AC122" s="1818"/>
      <c r="AD122" s="1818"/>
      <c r="AE122" s="1818"/>
      <c r="AF122" s="1818"/>
      <c r="AG122" s="1818"/>
    </row>
    <row r="123" spans="1:33" s="1817" customFormat="1" ht="18.75">
      <c r="A123" s="1834"/>
      <c r="B123" s="1847" t="s">
        <v>1630</v>
      </c>
      <c r="C123" s="1846">
        <v>6007</v>
      </c>
      <c r="D123" s="1815"/>
      <c r="E123" s="1842">
        <f>+IF('TRIAL-BALANCE'!C$8=C123,1,0)</f>
        <v>0</v>
      </c>
      <c r="G123" s="1842">
        <v>0</v>
      </c>
      <c r="I123" s="2217">
        <f t="shared" si="8"/>
        <v>0</v>
      </c>
      <c r="P123" s="1818"/>
      <c r="Q123" s="1818"/>
      <c r="R123" s="1818"/>
      <c r="S123" s="1818"/>
      <c r="T123" s="1818"/>
      <c r="U123" s="1818"/>
      <c r="V123" s="1818"/>
      <c r="W123" s="1818"/>
      <c r="X123" s="1818"/>
      <c r="Y123" s="1818"/>
      <c r="Z123" s="1818"/>
      <c r="AA123" s="1818"/>
      <c r="AB123" s="1818"/>
      <c r="AC123" s="1818"/>
      <c r="AD123" s="1818"/>
      <c r="AE123" s="1818"/>
      <c r="AF123" s="1818"/>
      <c r="AG123" s="1818"/>
    </row>
    <row r="124" spans="1:33" s="1817" customFormat="1" ht="18.75">
      <c r="A124" s="1834"/>
      <c r="B124" s="1847" t="s">
        <v>1631</v>
      </c>
      <c r="C124" s="1846">
        <v>6008</v>
      </c>
      <c r="D124" s="1815"/>
      <c r="E124" s="1842">
        <f>+IF('TRIAL-BALANCE'!C$8=C124,1,0)</f>
        <v>0</v>
      </c>
      <c r="G124" s="1842">
        <v>0</v>
      </c>
      <c r="I124" s="2217">
        <f t="shared" si="8"/>
        <v>0</v>
      </c>
      <c r="P124" s="1818"/>
      <c r="Q124" s="1818"/>
      <c r="R124" s="1818"/>
      <c r="S124" s="1818"/>
      <c r="T124" s="1818"/>
      <c r="U124" s="1818"/>
      <c r="V124" s="1818"/>
      <c r="W124" s="1818"/>
      <c r="X124" s="1818"/>
      <c r="Y124" s="1818"/>
      <c r="Z124" s="1818"/>
      <c r="AA124" s="1818"/>
      <c r="AB124" s="1818"/>
      <c r="AC124" s="1818"/>
      <c r="AD124" s="1818"/>
      <c r="AE124" s="1818"/>
      <c r="AF124" s="1818"/>
      <c r="AG124" s="1818"/>
    </row>
    <row r="125" spans="1:33" s="1817" customFormat="1" ht="19.5" thickBot="1">
      <c r="A125" s="1834"/>
      <c r="B125" s="1848" t="s">
        <v>1632</v>
      </c>
      <c r="C125" s="1849">
        <v>6009</v>
      </c>
      <c r="D125" s="1815"/>
      <c r="E125" s="1850">
        <f>+IF('TRIAL-BALANCE'!C$8=C125,1,0)</f>
        <v>0</v>
      </c>
      <c r="G125" s="1850">
        <v>0</v>
      </c>
      <c r="I125" s="2217">
        <f t="shared" si="8"/>
        <v>0</v>
      </c>
      <c r="P125" s="1818"/>
      <c r="Q125" s="1818"/>
      <c r="R125" s="1818"/>
      <c r="S125" s="1818"/>
      <c r="T125" s="1818"/>
      <c r="U125" s="1818"/>
      <c r="V125" s="1818"/>
      <c r="W125" s="1818"/>
      <c r="X125" s="1818"/>
      <c r="Y125" s="1818"/>
      <c r="Z125" s="1818"/>
      <c r="AA125" s="1818"/>
      <c r="AB125" s="1818"/>
      <c r="AC125" s="1818"/>
      <c r="AD125" s="1818"/>
      <c r="AE125" s="1818"/>
      <c r="AF125" s="1818"/>
      <c r="AG125" s="1818"/>
    </row>
    <row r="126" spans="1:33" s="1817" customFormat="1" ht="9" customHeight="1" thickBot="1">
      <c r="A126" s="1851"/>
      <c r="B126" s="1831"/>
      <c r="C126" s="1852"/>
      <c r="D126" s="1815"/>
      <c r="E126" s="1816"/>
      <c r="G126" s="1816"/>
      <c r="I126" s="1816"/>
      <c r="P126" s="1818"/>
      <c r="Q126" s="1818"/>
      <c r="R126" s="1818"/>
      <c r="S126" s="1818"/>
      <c r="T126" s="1818"/>
      <c r="U126" s="1818"/>
      <c r="V126" s="1818"/>
      <c r="W126" s="1818"/>
      <c r="X126" s="1818"/>
      <c r="Y126" s="1818"/>
      <c r="Z126" s="1818"/>
      <c r="AA126" s="1818"/>
      <c r="AB126" s="1818"/>
      <c r="AC126" s="1818"/>
      <c r="AD126" s="1818"/>
      <c r="AE126" s="1818"/>
      <c r="AF126" s="1818"/>
      <c r="AG126" s="1818"/>
    </row>
    <row r="127" spans="1:33" s="1817" customFormat="1" ht="18.75">
      <c r="A127" s="1834"/>
      <c r="B127" s="1835" t="s">
        <v>1633</v>
      </c>
      <c r="C127" s="1836" t="s">
        <v>1634</v>
      </c>
      <c r="D127" s="1815"/>
      <c r="E127" s="1816"/>
      <c r="G127" s="1816"/>
      <c r="I127" s="1816"/>
      <c r="P127" s="1818"/>
      <c r="Q127" s="1818"/>
      <c r="R127" s="1818"/>
      <c r="S127" s="1818"/>
      <c r="T127" s="1818"/>
      <c r="U127" s="1818"/>
      <c r="V127" s="1818"/>
      <c r="W127" s="1818"/>
      <c r="X127" s="1818"/>
      <c r="Y127" s="1818"/>
      <c r="Z127" s="1818"/>
      <c r="AA127" s="1818"/>
      <c r="AB127" s="1818"/>
      <c r="AC127" s="1818"/>
      <c r="AD127" s="1818"/>
      <c r="AE127" s="1818"/>
      <c r="AF127" s="1818"/>
      <c r="AG127" s="1818"/>
    </row>
    <row r="128" spans="1:33" s="1817" customFormat="1" ht="18.75">
      <c r="A128" s="1834"/>
      <c r="B128" s="1855" t="s">
        <v>1635</v>
      </c>
      <c r="C128" s="1856">
        <v>6101</v>
      </c>
      <c r="D128" s="1815"/>
      <c r="E128" s="1839">
        <f>+IF('TRIAL-BALANCE'!C$8=C128,1,0)</f>
        <v>0</v>
      </c>
      <c r="G128" s="1839">
        <v>0</v>
      </c>
      <c r="I128" s="2217">
        <f t="shared" ref="I128:I135" si="9">+E128+G128</f>
        <v>0</v>
      </c>
      <c r="P128" s="1818"/>
      <c r="Q128" s="1818"/>
      <c r="R128" s="1818"/>
      <c r="S128" s="1818"/>
      <c r="T128" s="1818"/>
      <c r="U128" s="1818"/>
      <c r="V128" s="1818"/>
      <c r="W128" s="1818"/>
      <c r="X128" s="1818"/>
      <c r="Y128" s="1818"/>
      <c r="Z128" s="1818"/>
      <c r="AA128" s="1818"/>
      <c r="AB128" s="1818"/>
      <c r="AC128" s="1818"/>
      <c r="AD128" s="1818"/>
      <c r="AE128" s="1818"/>
      <c r="AF128" s="1818"/>
      <c r="AG128" s="1818"/>
    </row>
    <row r="129" spans="1:33" s="1817" customFormat="1" ht="18.75">
      <c r="A129" s="1834"/>
      <c r="B129" s="1847" t="s">
        <v>1636</v>
      </c>
      <c r="C129" s="1846">
        <v>6102</v>
      </c>
      <c r="D129" s="1815"/>
      <c r="E129" s="1842">
        <f>+IF('TRIAL-BALANCE'!C$8=C129,1,0)</f>
        <v>0</v>
      </c>
      <c r="G129" s="1842">
        <v>0</v>
      </c>
      <c r="I129" s="2217">
        <f t="shared" si="9"/>
        <v>0</v>
      </c>
      <c r="P129" s="1818"/>
      <c r="Q129" s="1818"/>
      <c r="R129" s="1818"/>
      <c r="S129" s="1818"/>
      <c r="T129" s="1818"/>
      <c r="U129" s="1818"/>
      <c r="V129" s="1818"/>
      <c r="W129" s="1818"/>
      <c r="X129" s="1818"/>
      <c r="Y129" s="1818"/>
      <c r="Z129" s="1818"/>
      <c r="AA129" s="1818"/>
      <c r="AB129" s="1818"/>
      <c r="AC129" s="1818"/>
      <c r="AD129" s="1818"/>
      <c r="AE129" s="1818"/>
      <c r="AF129" s="1818"/>
      <c r="AG129" s="1818"/>
    </row>
    <row r="130" spans="1:33" s="1817" customFormat="1" ht="19.5">
      <c r="A130" s="1834"/>
      <c r="B130" s="1853" t="s">
        <v>1637</v>
      </c>
      <c r="C130" s="1846">
        <v>6103</v>
      </c>
      <c r="D130" s="1815"/>
      <c r="E130" s="1842">
        <f>+IF('TRIAL-BALANCE'!C$8=C130,1,0)</f>
        <v>0</v>
      </c>
      <c r="G130" s="1842">
        <v>0</v>
      </c>
      <c r="I130" s="2217">
        <f t="shared" si="9"/>
        <v>0</v>
      </c>
      <c r="P130" s="1818"/>
      <c r="Q130" s="1818"/>
      <c r="R130" s="1818"/>
      <c r="S130" s="1818"/>
      <c r="T130" s="1818"/>
      <c r="U130" s="1818"/>
      <c r="V130" s="1818"/>
      <c r="W130" s="1818"/>
      <c r="X130" s="1818"/>
      <c r="Y130" s="1818"/>
      <c r="Z130" s="1818"/>
      <c r="AA130" s="1818"/>
      <c r="AB130" s="1818"/>
      <c r="AC130" s="1818"/>
      <c r="AD130" s="1818"/>
      <c r="AE130" s="1818"/>
      <c r="AF130" s="1818"/>
      <c r="AG130" s="1818"/>
    </row>
    <row r="131" spans="1:33" s="1817" customFormat="1" ht="18.75">
      <c r="A131" s="1834"/>
      <c r="B131" s="1847" t="s">
        <v>1638</v>
      </c>
      <c r="C131" s="1846">
        <v>6104</v>
      </c>
      <c r="D131" s="1815"/>
      <c r="E131" s="1842">
        <f>+IF('TRIAL-BALANCE'!C$8=C131,1,0)</f>
        <v>0</v>
      </c>
      <c r="G131" s="1842">
        <v>0</v>
      </c>
      <c r="I131" s="2217">
        <f t="shared" si="9"/>
        <v>0</v>
      </c>
      <c r="P131" s="1818"/>
      <c r="Q131" s="1818"/>
      <c r="R131" s="1818"/>
      <c r="S131" s="1818"/>
      <c r="T131" s="1818"/>
      <c r="U131" s="1818"/>
      <c r="V131" s="1818"/>
      <c r="W131" s="1818"/>
      <c r="X131" s="1818"/>
      <c r="Y131" s="1818"/>
      <c r="Z131" s="1818"/>
      <c r="AA131" s="1818"/>
      <c r="AB131" s="1818"/>
      <c r="AC131" s="1818"/>
      <c r="AD131" s="1818"/>
      <c r="AE131" s="1818"/>
      <c r="AF131" s="1818"/>
      <c r="AG131" s="1818"/>
    </row>
    <row r="132" spans="1:33" s="1817" customFormat="1" ht="18.75">
      <c r="A132" s="1834"/>
      <c r="B132" s="1847" t="s">
        <v>1639</v>
      </c>
      <c r="C132" s="1846">
        <v>6105</v>
      </c>
      <c r="D132" s="1815"/>
      <c r="E132" s="1842">
        <f>+IF('TRIAL-BALANCE'!C$8=C132,1,0)</f>
        <v>0</v>
      </c>
      <c r="G132" s="1842">
        <v>0</v>
      </c>
      <c r="I132" s="2217">
        <f t="shared" si="9"/>
        <v>0</v>
      </c>
      <c r="P132" s="1818"/>
      <c r="Q132" s="1818"/>
      <c r="R132" s="1818"/>
      <c r="S132" s="1818"/>
      <c r="T132" s="1818"/>
      <c r="U132" s="1818"/>
      <c r="V132" s="1818"/>
      <c r="W132" s="1818"/>
      <c r="X132" s="1818"/>
      <c r="Y132" s="1818"/>
      <c r="Z132" s="1818"/>
      <c r="AA132" s="1818"/>
      <c r="AB132" s="1818"/>
      <c r="AC132" s="1818"/>
      <c r="AD132" s="1818"/>
      <c r="AE132" s="1818"/>
      <c r="AF132" s="1818"/>
      <c r="AG132" s="1818"/>
    </row>
    <row r="133" spans="1:33" s="1817" customFormat="1" ht="18.75">
      <c r="A133" s="1834"/>
      <c r="B133" s="1847" t="s">
        <v>1640</v>
      </c>
      <c r="C133" s="1846">
        <v>6106</v>
      </c>
      <c r="D133" s="1815"/>
      <c r="E133" s="1842">
        <f>+IF('TRIAL-BALANCE'!C$8=C133,1,0)</f>
        <v>0</v>
      </c>
      <c r="G133" s="1842">
        <v>0</v>
      </c>
      <c r="I133" s="2217">
        <f t="shared" si="9"/>
        <v>0</v>
      </c>
      <c r="P133" s="1818"/>
      <c r="Q133" s="1818"/>
      <c r="R133" s="1818"/>
      <c r="S133" s="1818"/>
      <c r="T133" s="1818"/>
      <c r="U133" s="1818"/>
      <c r="V133" s="1818"/>
      <c r="W133" s="1818"/>
      <c r="X133" s="1818"/>
      <c r="Y133" s="1818"/>
      <c r="Z133" s="1818"/>
      <c r="AA133" s="1818"/>
      <c r="AB133" s="1818"/>
      <c r="AC133" s="1818"/>
      <c r="AD133" s="1818"/>
      <c r="AE133" s="1818"/>
      <c r="AF133" s="1818"/>
      <c r="AG133" s="1818"/>
    </row>
    <row r="134" spans="1:33" s="1817" customFormat="1" ht="18.75">
      <c r="A134" s="1834"/>
      <c r="B134" s="1847" t="s">
        <v>1641</v>
      </c>
      <c r="C134" s="1846">
        <v>6107</v>
      </c>
      <c r="D134" s="1815"/>
      <c r="E134" s="1842">
        <f>+IF('TRIAL-BALANCE'!C$8=C134,1,0)</f>
        <v>0</v>
      </c>
      <c r="G134" s="1842">
        <v>0</v>
      </c>
      <c r="I134" s="2217">
        <f t="shared" si="9"/>
        <v>0</v>
      </c>
      <c r="P134" s="1818"/>
      <c r="Q134" s="1818"/>
      <c r="R134" s="1818"/>
      <c r="S134" s="1818"/>
      <c r="T134" s="1818"/>
      <c r="U134" s="1818"/>
      <c r="V134" s="1818"/>
      <c r="W134" s="1818"/>
      <c r="X134" s="1818"/>
      <c r="Y134" s="1818"/>
      <c r="Z134" s="1818"/>
      <c r="AA134" s="1818"/>
      <c r="AB134" s="1818"/>
      <c r="AC134" s="1818"/>
      <c r="AD134" s="1818"/>
      <c r="AE134" s="1818"/>
      <c r="AF134" s="1818"/>
      <c r="AG134" s="1818"/>
    </row>
    <row r="135" spans="1:33" s="1817" customFormat="1" ht="19.5" thickBot="1">
      <c r="A135" s="1834"/>
      <c r="B135" s="1848" t="s">
        <v>1642</v>
      </c>
      <c r="C135" s="1849">
        <v>6108</v>
      </c>
      <c r="D135" s="1815"/>
      <c r="E135" s="1850">
        <f>+IF('TRIAL-BALANCE'!C$8=C135,1,0)</f>
        <v>0</v>
      </c>
      <c r="G135" s="1850">
        <v>0</v>
      </c>
      <c r="I135" s="2217">
        <f t="shared" si="9"/>
        <v>0</v>
      </c>
      <c r="P135" s="1818"/>
      <c r="Q135" s="1818"/>
      <c r="R135" s="1818"/>
      <c r="S135" s="1818"/>
      <c r="T135" s="1818"/>
      <c r="U135" s="1818"/>
      <c r="V135" s="1818"/>
      <c r="W135" s="1818"/>
      <c r="X135" s="1818"/>
      <c r="Y135" s="1818"/>
      <c r="Z135" s="1818"/>
      <c r="AA135" s="1818"/>
      <c r="AB135" s="1818"/>
      <c r="AC135" s="1818"/>
      <c r="AD135" s="1818"/>
      <c r="AE135" s="1818"/>
      <c r="AF135" s="1818"/>
      <c r="AG135" s="1818"/>
    </row>
    <row r="136" spans="1:33" s="1817" customFormat="1" ht="9" customHeight="1" thickBot="1">
      <c r="A136" s="1851"/>
      <c r="B136" s="1861"/>
      <c r="C136" s="1852"/>
      <c r="D136" s="1815"/>
      <c r="E136" s="1816"/>
      <c r="G136" s="1816"/>
      <c r="I136" s="1816"/>
      <c r="P136" s="1818"/>
      <c r="Q136" s="1818"/>
      <c r="R136" s="1818"/>
      <c r="S136" s="1818"/>
      <c r="T136" s="1818"/>
      <c r="U136" s="1818"/>
      <c r="V136" s="1818"/>
      <c r="W136" s="1818"/>
      <c r="X136" s="1818"/>
      <c r="Y136" s="1818"/>
      <c r="Z136" s="1818"/>
      <c r="AA136" s="1818"/>
      <c r="AB136" s="1818"/>
      <c r="AC136" s="1818"/>
      <c r="AD136" s="1818"/>
      <c r="AE136" s="1818"/>
      <c r="AF136" s="1818"/>
      <c r="AG136" s="1818"/>
    </row>
    <row r="137" spans="1:33" s="1817" customFormat="1" ht="18.75">
      <c r="A137" s="1834"/>
      <c r="B137" s="1835" t="s">
        <v>1643</v>
      </c>
      <c r="C137" s="1836" t="s">
        <v>1644</v>
      </c>
      <c r="D137" s="1815"/>
      <c r="E137" s="1816"/>
      <c r="G137" s="1816"/>
      <c r="I137" s="1816"/>
      <c r="P137" s="1818"/>
      <c r="Q137" s="1818"/>
      <c r="R137" s="1818"/>
      <c r="S137" s="1818"/>
      <c r="T137" s="1818"/>
      <c r="U137" s="1818"/>
      <c r="V137" s="1818"/>
      <c r="W137" s="1818"/>
      <c r="X137" s="1818"/>
      <c r="Y137" s="1818"/>
      <c r="Z137" s="1818"/>
      <c r="AA137" s="1818"/>
      <c r="AB137" s="1818"/>
      <c r="AC137" s="1818"/>
      <c r="AD137" s="1818"/>
      <c r="AE137" s="1818"/>
      <c r="AF137" s="1818"/>
      <c r="AG137" s="1818"/>
    </row>
    <row r="138" spans="1:33" s="1817" customFormat="1" ht="18.75">
      <c r="A138" s="1834"/>
      <c r="B138" s="1855" t="s">
        <v>1645</v>
      </c>
      <c r="C138" s="1856">
        <v>6201</v>
      </c>
      <c r="D138" s="1815"/>
      <c r="E138" s="1839">
        <f>+IF('TRIAL-BALANCE'!C$8=C138,1,0)</f>
        <v>0</v>
      </c>
      <c r="G138" s="1839">
        <v>0</v>
      </c>
      <c r="I138" s="2217">
        <f t="shared" ref="I138:I148" si="10">+E138+G138</f>
        <v>0</v>
      </c>
      <c r="P138" s="1818"/>
      <c r="Q138" s="1818"/>
      <c r="R138" s="1818"/>
      <c r="S138" s="1818"/>
      <c r="T138" s="1818"/>
      <c r="U138" s="1818"/>
      <c r="V138" s="1818"/>
      <c r="W138" s="1818"/>
      <c r="X138" s="1818"/>
      <c r="Y138" s="1818"/>
      <c r="Z138" s="1818"/>
      <c r="AA138" s="1818"/>
      <c r="AB138" s="1818"/>
      <c r="AC138" s="1818"/>
      <c r="AD138" s="1818"/>
      <c r="AE138" s="1818"/>
      <c r="AF138" s="1818"/>
      <c r="AG138" s="1818"/>
    </row>
    <row r="139" spans="1:33" s="1817" customFormat="1" ht="18.75">
      <c r="A139" s="1834"/>
      <c r="B139" s="1847" t="s">
        <v>1646</v>
      </c>
      <c r="C139" s="1846">
        <v>6202</v>
      </c>
      <c r="D139" s="1815"/>
      <c r="E139" s="1842">
        <f>+IF('TRIAL-BALANCE'!C$8=C139,1,0)</f>
        <v>0</v>
      </c>
      <c r="G139" s="1842">
        <v>0</v>
      </c>
      <c r="I139" s="2217">
        <f t="shared" si="10"/>
        <v>0</v>
      </c>
      <c r="P139" s="1818"/>
      <c r="Q139" s="1818"/>
      <c r="R139" s="1818"/>
      <c r="S139" s="1818"/>
      <c r="T139" s="1818"/>
      <c r="U139" s="1818"/>
      <c r="V139" s="1818"/>
      <c r="W139" s="1818"/>
      <c r="X139" s="1818"/>
      <c r="Y139" s="1818"/>
      <c r="Z139" s="1818"/>
      <c r="AA139" s="1818"/>
      <c r="AB139" s="1818"/>
      <c r="AC139" s="1818"/>
      <c r="AD139" s="1818"/>
      <c r="AE139" s="1818"/>
      <c r="AF139" s="1818"/>
      <c r="AG139" s="1818"/>
    </row>
    <row r="140" spans="1:33" s="1817" customFormat="1" ht="18.75">
      <c r="A140" s="1834"/>
      <c r="B140" s="1847" t="s">
        <v>1647</v>
      </c>
      <c r="C140" s="1846">
        <v>6203</v>
      </c>
      <c r="D140" s="1815"/>
      <c r="E140" s="1842">
        <f>+IF('TRIAL-BALANCE'!C$8=C140,1,0)</f>
        <v>0</v>
      </c>
      <c r="G140" s="1842">
        <v>0</v>
      </c>
      <c r="I140" s="2217">
        <f t="shared" si="10"/>
        <v>0</v>
      </c>
      <c r="P140" s="1818"/>
      <c r="Q140" s="1818"/>
      <c r="R140" s="1818"/>
      <c r="S140" s="1818"/>
      <c r="T140" s="1818"/>
      <c r="U140" s="1818"/>
      <c r="V140" s="1818"/>
      <c r="W140" s="1818"/>
      <c r="X140" s="1818"/>
      <c r="Y140" s="1818"/>
      <c r="Z140" s="1818"/>
      <c r="AA140" s="1818"/>
      <c r="AB140" s="1818"/>
      <c r="AC140" s="1818"/>
      <c r="AD140" s="1818"/>
      <c r="AE140" s="1818"/>
      <c r="AF140" s="1818"/>
      <c r="AG140" s="1818"/>
    </row>
    <row r="141" spans="1:33" s="1817" customFormat="1" ht="18.75">
      <c r="A141" s="1834"/>
      <c r="B141" s="1847" t="s">
        <v>1648</v>
      </c>
      <c r="C141" s="1846">
        <v>6204</v>
      </c>
      <c r="D141" s="1815"/>
      <c r="E141" s="1842">
        <f>+IF('TRIAL-BALANCE'!C$8=C141,1,0)</f>
        <v>0</v>
      </c>
      <c r="G141" s="1842">
        <v>0</v>
      </c>
      <c r="I141" s="2217">
        <f t="shared" si="10"/>
        <v>0</v>
      </c>
      <c r="P141" s="1818"/>
      <c r="Q141" s="1818"/>
      <c r="R141" s="1818"/>
      <c r="S141" s="1818"/>
      <c r="T141" s="1818"/>
      <c r="U141" s="1818"/>
      <c r="V141" s="1818"/>
      <c r="W141" s="1818"/>
      <c r="X141" s="1818"/>
      <c r="Y141" s="1818"/>
      <c r="Z141" s="1818"/>
      <c r="AA141" s="1818"/>
      <c r="AB141" s="1818"/>
      <c r="AC141" s="1818"/>
      <c r="AD141" s="1818"/>
      <c r="AE141" s="1818"/>
      <c r="AF141" s="1818"/>
      <c r="AG141" s="1818"/>
    </row>
    <row r="142" spans="1:33" s="1817" customFormat="1" ht="18.75">
      <c r="A142" s="1834"/>
      <c r="B142" s="1847" t="s">
        <v>1649</v>
      </c>
      <c r="C142" s="1846">
        <v>6205</v>
      </c>
      <c r="D142" s="1815"/>
      <c r="E142" s="1842">
        <f>+IF('TRIAL-BALANCE'!C$8=C142,1,0)</f>
        <v>0</v>
      </c>
      <c r="G142" s="1842">
        <v>0</v>
      </c>
      <c r="I142" s="2217">
        <f t="shared" si="10"/>
        <v>0</v>
      </c>
      <c r="P142" s="1818"/>
      <c r="Q142" s="1818"/>
      <c r="R142" s="1818"/>
      <c r="S142" s="1818"/>
      <c r="T142" s="1818"/>
      <c r="U142" s="1818"/>
      <c r="V142" s="1818"/>
      <c r="W142" s="1818"/>
      <c r="X142" s="1818"/>
      <c r="Y142" s="1818"/>
      <c r="Z142" s="1818"/>
      <c r="AA142" s="1818"/>
      <c r="AB142" s="1818"/>
      <c r="AC142" s="1818"/>
      <c r="AD142" s="1818"/>
      <c r="AE142" s="1818"/>
      <c r="AF142" s="1818"/>
      <c r="AG142" s="1818"/>
    </row>
    <row r="143" spans="1:33" s="1817" customFormat="1" ht="18.75">
      <c r="A143" s="1834"/>
      <c r="B143" s="1847" t="s">
        <v>1650</v>
      </c>
      <c r="C143" s="1846">
        <v>6206</v>
      </c>
      <c r="D143" s="1815"/>
      <c r="E143" s="1842">
        <f>+IF('TRIAL-BALANCE'!C$8=C143,1,0)</f>
        <v>0</v>
      </c>
      <c r="G143" s="1842">
        <v>0</v>
      </c>
      <c r="I143" s="2217">
        <f t="shared" si="10"/>
        <v>0</v>
      </c>
      <c r="P143" s="1818"/>
      <c r="Q143" s="1818"/>
      <c r="R143" s="1818"/>
      <c r="S143" s="1818"/>
      <c r="T143" s="1818"/>
      <c r="U143" s="1818"/>
      <c r="V143" s="1818"/>
      <c r="W143" s="1818"/>
      <c r="X143" s="1818"/>
      <c r="Y143" s="1818"/>
      <c r="Z143" s="1818"/>
      <c r="AA143" s="1818"/>
      <c r="AB143" s="1818"/>
      <c r="AC143" s="1818"/>
      <c r="AD143" s="1818"/>
      <c r="AE143" s="1818"/>
      <c r="AF143" s="1818"/>
      <c r="AG143" s="1818"/>
    </row>
    <row r="144" spans="1:33" s="1817" customFormat="1" ht="18.75">
      <c r="A144" s="1834"/>
      <c r="B144" s="1847" t="s">
        <v>1651</v>
      </c>
      <c r="C144" s="1846">
        <v>6207</v>
      </c>
      <c r="D144" s="1815"/>
      <c r="E144" s="1842">
        <f>+IF('TRIAL-BALANCE'!C$8=C144,1,0)</f>
        <v>0</v>
      </c>
      <c r="G144" s="1842">
        <v>0</v>
      </c>
      <c r="I144" s="2217">
        <f t="shared" si="10"/>
        <v>0</v>
      </c>
      <c r="P144" s="1818"/>
      <c r="Q144" s="1818"/>
      <c r="R144" s="1818"/>
      <c r="S144" s="1818"/>
      <c r="T144" s="1818"/>
      <c r="U144" s="1818"/>
      <c r="V144" s="1818"/>
      <c r="W144" s="1818"/>
      <c r="X144" s="1818"/>
      <c r="Y144" s="1818"/>
      <c r="Z144" s="1818"/>
      <c r="AA144" s="1818"/>
      <c r="AB144" s="1818"/>
      <c r="AC144" s="1818"/>
      <c r="AD144" s="1818"/>
      <c r="AE144" s="1818"/>
      <c r="AF144" s="1818"/>
      <c r="AG144" s="1818"/>
    </row>
    <row r="145" spans="1:33" s="1817" customFormat="1" ht="18.75">
      <c r="A145" s="1834"/>
      <c r="B145" s="1847" t="s">
        <v>1652</v>
      </c>
      <c r="C145" s="1846">
        <v>6208</v>
      </c>
      <c r="D145" s="1815"/>
      <c r="E145" s="1842">
        <f>+IF('TRIAL-BALANCE'!C$8=C145,1,0)</f>
        <v>0</v>
      </c>
      <c r="G145" s="1842">
        <v>0</v>
      </c>
      <c r="I145" s="2217">
        <f t="shared" si="10"/>
        <v>0</v>
      </c>
      <c r="P145" s="1818"/>
      <c r="Q145" s="1818"/>
      <c r="R145" s="1818"/>
      <c r="S145" s="1818"/>
      <c r="T145" s="1818"/>
      <c r="U145" s="1818"/>
      <c r="V145" s="1818"/>
      <c r="W145" s="1818"/>
      <c r="X145" s="1818"/>
      <c r="Y145" s="1818"/>
      <c r="Z145" s="1818"/>
      <c r="AA145" s="1818"/>
      <c r="AB145" s="1818"/>
      <c r="AC145" s="1818"/>
      <c r="AD145" s="1818"/>
      <c r="AE145" s="1818"/>
      <c r="AF145" s="1818"/>
      <c r="AG145" s="1818"/>
    </row>
    <row r="146" spans="1:33" s="1817" customFormat="1" ht="19.5">
      <c r="A146" s="1834"/>
      <c r="B146" s="1853" t="s">
        <v>1653</v>
      </c>
      <c r="C146" s="1846">
        <v>6209</v>
      </c>
      <c r="D146" s="1815"/>
      <c r="E146" s="1842">
        <f>+IF('TRIAL-BALANCE'!C$8=C146,1,0)</f>
        <v>0</v>
      </c>
      <c r="G146" s="1842">
        <v>0</v>
      </c>
      <c r="I146" s="2217">
        <f t="shared" si="10"/>
        <v>0</v>
      </c>
      <c r="P146" s="1818"/>
      <c r="Q146" s="1818"/>
      <c r="R146" s="1818"/>
      <c r="S146" s="1818"/>
      <c r="T146" s="1818"/>
      <c r="U146" s="1818"/>
      <c r="V146" s="1818"/>
      <c r="W146" s="1818"/>
      <c r="X146" s="1818"/>
      <c r="Y146" s="1818"/>
      <c r="Z146" s="1818"/>
      <c r="AA146" s="1818"/>
      <c r="AB146" s="1818"/>
      <c r="AC146" s="1818"/>
      <c r="AD146" s="1818"/>
      <c r="AE146" s="1818"/>
      <c r="AF146" s="1818"/>
      <c r="AG146" s="1818"/>
    </row>
    <row r="147" spans="1:33" s="1817" customFormat="1" ht="18.75">
      <c r="A147" s="1834"/>
      <c r="B147" s="1847" t="s">
        <v>1654</v>
      </c>
      <c r="C147" s="1846">
        <v>6210</v>
      </c>
      <c r="D147" s="1815"/>
      <c r="E147" s="1842">
        <f>+IF('TRIAL-BALANCE'!C$8=C147,1,0)</f>
        <v>0</v>
      </c>
      <c r="G147" s="1842">
        <v>0</v>
      </c>
      <c r="I147" s="2217">
        <f t="shared" si="10"/>
        <v>0</v>
      </c>
      <c r="P147" s="1818"/>
      <c r="Q147" s="1818"/>
      <c r="R147" s="1818"/>
      <c r="S147" s="1818"/>
      <c r="T147" s="1818"/>
      <c r="U147" s="1818"/>
      <c r="V147" s="1818"/>
      <c r="W147" s="1818"/>
      <c r="X147" s="1818"/>
      <c r="Y147" s="1818"/>
      <c r="Z147" s="1818"/>
      <c r="AA147" s="1818"/>
      <c r="AB147" s="1818"/>
      <c r="AC147" s="1818"/>
      <c r="AD147" s="1818"/>
      <c r="AE147" s="1818"/>
      <c r="AF147" s="1818"/>
      <c r="AG147" s="1818"/>
    </row>
    <row r="148" spans="1:33" s="1817" customFormat="1" ht="19.5" thickBot="1">
      <c r="A148" s="1834"/>
      <c r="B148" s="1848" t="s">
        <v>1655</v>
      </c>
      <c r="C148" s="1849">
        <v>6211</v>
      </c>
      <c r="D148" s="1815"/>
      <c r="E148" s="1850">
        <f>+IF('TRIAL-BALANCE'!C$8=C148,1,0)</f>
        <v>0</v>
      </c>
      <c r="G148" s="1850">
        <v>0</v>
      </c>
      <c r="I148" s="2217">
        <f t="shared" si="10"/>
        <v>0</v>
      </c>
      <c r="P148" s="1818"/>
      <c r="Q148" s="1818"/>
      <c r="R148" s="1818"/>
      <c r="S148" s="1818"/>
      <c r="T148" s="1818"/>
      <c r="U148" s="1818"/>
      <c r="V148" s="1818"/>
      <c r="W148" s="1818"/>
      <c r="X148" s="1818"/>
      <c r="Y148" s="1818"/>
      <c r="Z148" s="1818"/>
      <c r="AA148" s="1818"/>
      <c r="AB148" s="1818"/>
      <c r="AC148" s="1818"/>
      <c r="AD148" s="1818"/>
      <c r="AE148" s="1818"/>
      <c r="AF148" s="1818"/>
      <c r="AG148" s="1818"/>
    </row>
    <row r="149" spans="1:33" s="1817" customFormat="1" ht="9" customHeight="1" thickBot="1">
      <c r="A149" s="1851"/>
      <c r="B149" s="1831"/>
      <c r="C149" s="1852"/>
      <c r="D149" s="1815"/>
      <c r="E149" s="1816"/>
      <c r="G149" s="1816"/>
      <c r="I149" s="1816"/>
      <c r="P149" s="1818"/>
      <c r="Q149" s="1818"/>
      <c r="R149" s="1818"/>
      <c r="S149" s="1818"/>
      <c r="T149" s="1818"/>
      <c r="U149" s="1818"/>
      <c r="V149" s="1818"/>
      <c r="W149" s="1818"/>
      <c r="X149" s="1818"/>
      <c r="Y149" s="1818"/>
      <c r="Z149" s="1818"/>
      <c r="AA149" s="1818"/>
      <c r="AB149" s="1818"/>
      <c r="AC149" s="1818"/>
      <c r="AD149" s="1818"/>
      <c r="AE149" s="1818"/>
      <c r="AF149" s="1818"/>
      <c r="AG149" s="1818"/>
    </row>
    <row r="150" spans="1:33" s="1817" customFormat="1" ht="18.75">
      <c r="A150" s="1834"/>
      <c r="B150" s="1835" t="s">
        <v>1656</v>
      </c>
      <c r="C150" s="1836" t="s">
        <v>1657</v>
      </c>
      <c r="D150" s="1815"/>
      <c r="E150" s="1816"/>
      <c r="G150" s="1816"/>
      <c r="I150" s="1816"/>
      <c r="P150" s="1818"/>
      <c r="Q150" s="1818"/>
      <c r="R150" s="1818"/>
      <c r="S150" s="1818"/>
      <c r="T150" s="1818"/>
      <c r="U150" s="1818"/>
      <c r="V150" s="1818"/>
      <c r="W150" s="1818"/>
      <c r="X150" s="1818"/>
      <c r="Y150" s="1818"/>
      <c r="Z150" s="1818"/>
      <c r="AA150" s="1818"/>
      <c r="AB150" s="1818"/>
      <c r="AC150" s="1818"/>
      <c r="AD150" s="1818"/>
      <c r="AE150" s="1818"/>
      <c r="AF150" s="1818"/>
      <c r="AG150" s="1818"/>
    </row>
    <row r="151" spans="1:33" s="1817" customFormat="1" ht="18.75">
      <c r="A151" s="1834"/>
      <c r="B151" s="1855" t="s">
        <v>1658</v>
      </c>
      <c r="C151" s="1856">
        <v>6301</v>
      </c>
      <c r="D151" s="1815"/>
      <c r="E151" s="1839">
        <f>+IF('TRIAL-BALANCE'!C$8=C151,1,0)</f>
        <v>0</v>
      </c>
      <c r="G151" s="1839">
        <v>0</v>
      </c>
      <c r="I151" s="2217">
        <f t="shared" ref="I151:I162" si="11">+E151+G151</f>
        <v>0</v>
      </c>
      <c r="P151" s="1818"/>
      <c r="Q151" s="1818"/>
      <c r="R151" s="1818"/>
      <c r="S151" s="1818"/>
      <c r="T151" s="1818"/>
      <c r="U151" s="1818"/>
      <c r="V151" s="1818"/>
      <c r="W151" s="1818"/>
      <c r="X151" s="1818"/>
      <c r="Y151" s="1818"/>
      <c r="Z151" s="1818"/>
      <c r="AA151" s="1818"/>
      <c r="AB151" s="1818"/>
      <c r="AC151" s="1818"/>
      <c r="AD151" s="1818"/>
      <c r="AE151" s="1818"/>
      <c r="AF151" s="1818"/>
      <c r="AG151" s="1818"/>
    </row>
    <row r="152" spans="1:33" s="1817" customFormat="1" ht="18.75">
      <c r="A152" s="1834"/>
      <c r="B152" s="1847" t="s">
        <v>1659</v>
      </c>
      <c r="C152" s="1846">
        <v>6302</v>
      </c>
      <c r="D152" s="1815"/>
      <c r="E152" s="1842">
        <f>+IF('TRIAL-BALANCE'!C$8=C152,1,0)</f>
        <v>0</v>
      </c>
      <c r="G152" s="1842">
        <v>0</v>
      </c>
      <c r="I152" s="2217">
        <f t="shared" si="11"/>
        <v>0</v>
      </c>
      <c r="P152" s="1818"/>
      <c r="Q152" s="1818"/>
      <c r="R152" s="1818"/>
      <c r="S152" s="1818"/>
      <c r="T152" s="1818"/>
      <c r="U152" s="1818"/>
      <c r="V152" s="1818"/>
      <c r="W152" s="1818"/>
      <c r="X152" s="1818"/>
      <c r="Y152" s="1818"/>
      <c r="Z152" s="1818"/>
      <c r="AA152" s="1818"/>
      <c r="AB152" s="1818"/>
      <c r="AC152" s="1818"/>
      <c r="AD152" s="1818"/>
      <c r="AE152" s="1818"/>
      <c r="AF152" s="1818"/>
      <c r="AG152" s="1818"/>
    </row>
    <row r="153" spans="1:33" s="1817" customFormat="1" ht="18.75">
      <c r="A153" s="1834"/>
      <c r="B153" s="1847" t="s">
        <v>1660</v>
      </c>
      <c r="C153" s="1846">
        <v>6303</v>
      </c>
      <c r="D153" s="1815"/>
      <c r="E153" s="1842">
        <f>+IF('TRIAL-BALANCE'!C$8=C153,1,0)</f>
        <v>0</v>
      </c>
      <c r="G153" s="1842">
        <v>0</v>
      </c>
      <c r="I153" s="2217">
        <f t="shared" si="11"/>
        <v>0</v>
      </c>
      <c r="P153" s="1818"/>
      <c r="Q153" s="1818"/>
      <c r="R153" s="1818"/>
      <c r="S153" s="1818"/>
      <c r="T153" s="1818"/>
      <c r="U153" s="1818"/>
      <c r="V153" s="1818"/>
      <c r="W153" s="1818"/>
      <c r="X153" s="1818"/>
      <c r="Y153" s="1818"/>
      <c r="Z153" s="1818"/>
      <c r="AA153" s="1818"/>
      <c r="AB153" s="1818"/>
      <c r="AC153" s="1818"/>
      <c r="AD153" s="1818"/>
      <c r="AE153" s="1818"/>
      <c r="AF153" s="1818"/>
      <c r="AG153" s="1818"/>
    </row>
    <row r="154" spans="1:33" s="1817" customFormat="1" ht="18.75">
      <c r="A154" s="1834"/>
      <c r="B154" s="1847" t="s">
        <v>1661</v>
      </c>
      <c r="C154" s="1846">
        <v>6304</v>
      </c>
      <c r="D154" s="1815"/>
      <c r="E154" s="1842">
        <f>+IF('TRIAL-BALANCE'!C$8=C154,1,0)</f>
        <v>0</v>
      </c>
      <c r="G154" s="1842">
        <v>0</v>
      </c>
      <c r="I154" s="2217">
        <f t="shared" si="11"/>
        <v>0</v>
      </c>
      <c r="P154" s="1818"/>
      <c r="Q154" s="1818"/>
      <c r="R154" s="1818"/>
      <c r="S154" s="1818"/>
      <c r="T154" s="1818"/>
      <c r="U154" s="1818"/>
      <c r="V154" s="1818"/>
      <c r="W154" s="1818"/>
      <c r="X154" s="1818"/>
      <c r="Y154" s="1818"/>
      <c r="Z154" s="1818"/>
      <c r="AA154" s="1818"/>
      <c r="AB154" s="1818"/>
      <c r="AC154" s="1818"/>
      <c r="AD154" s="1818"/>
      <c r="AE154" s="1818"/>
      <c r="AF154" s="1818"/>
      <c r="AG154" s="1818"/>
    </row>
    <row r="155" spans="1:33" s="1817" customFormat="1" ht="18.75">
      <c r="A155" s="1834"/>
      <c r="B155" s="1847" t="s">
        <v>1662</v>
      </c>
      <c r="C155" s="1846">
        <v>6305</v>
      </c>
      <c r="D155" s="1815"/>
      <c r="E155" s="1842">
        <f>+IF('TRIAL-BALANCE'!C$8=C155,1,0)</f>
        <v>0</v>
      </c>
      <c r="G155" s="1842">
        <v>0</v>
      </c>
      <c r="I155" s="2217">
        <f t="shared" si="11"/>
        <v>0</v>
      </c>
      <c r="P155" s="1818"/>
      <c r="Q155" s="1818"/>
      <c r="R155" s="1818"/>
      <c r="S155" s="1818"/>
      <c r="T155" s="1818"/>
      <c r="U155" s="1818"/>
      <c r="V155" s="1818"/>
      <c r="W155" s="1818"/>
      <c r="X155" s="1818"/>
      <c r="Y155" s="1818"/>
      <c r="Z155" s="1818"/>
      <c r="AA155" s="1818"/>
      <c r="AB155" s="1818"/>
      <c r="AC155" s="1818"/>
      <c r="AD155" s="1818"/>
      <c r="AE155" s="1818"/>
      <c r="AF155" s="1818"/>
      <c r="AG155" s="1818"/>
    </row>
    <row r="156" spans="1:33" s="1817" customFormat="1" ht="19.5">
      <c r="A156" s="1834"/>
      <c r="B156" s="1853" t="s">
        <v>1663</v>
      </c>
      <c r="C156" s="1846">
        <v>6306</v>
      </c>
      <c r="D156" s="1815"/>
      <c r="E156" s="1842">
        <f>+IF('TRIAL-BALANCE'!C$8=C156,1,0)</f>
        <v>0</v>
      </c>
      <c r="G156" s="1842">
        <v>0</v>
      </c>
      <c r="I156" s="2217">
        <f t="shared" si="11"/>
        <v>0</v>
      </c>
      <c r="P156" s="1818"/>
      <c r="Q156" s="1818"/>
      <c r="R156" s="1818"/>
      <c r="S156" s="1818"/>
      <c r="T156" s="1818"/>
      <c r="U156" s="1818"/>
      <c r="V156" s="1818"/>
      <c r="W156" s="1818"/>
      <c r="X156" s="1818"/>
      <c r="Y156" s="1818"/>
      <c r="Z156" s="1818"/>
      <c r="AA156" s="1818"/>
      <c r="AB156" s="1818"/>
      <c r="AC156" s="1818"/>
      <c r="AD156" s="1818"/>
      <c r="AE156" s="1818"/>
      <c r="AF156" s="1818"/>
      <c r="AG156" s="1818"/>
    </row>
    <row r="157" spans="1:33" s="1817" customFormat="1" ht="18.75">
      <c r="A157" s="1834"/>
      <c r="B157" s="1847" t="s">
        <v>1664</v>
      </c>
      <c r="C157" s="1846">
        <v>6307</v>
      </c>
      <c r="D157" s="1815"/>
      <c r="E157" s="1842">
        <f>+IF('TRIAL-BALANCE'!C$8=C157,1,0)</f>
        <v>0</v>
      </c>
      <c r="G157" s="1842">
        <v>0</v>
      </c>
      <c r="I157" s="2217">
        <f t="shared" si="11"/>
        <v>0</v>
      </c>
      <c r="P157" s="1818"/>
      <c r="Q157" s="1818"/>
      <c r="R157" s="1818"/>
      <c r="S157" s="1818"/>
      <c r="T157" s="1818"/>
      <c r="U157" s="1818"/>
      <c r="V157" s="1818"/>
      <c r="W157" s="1818"/>
      <c r="X157" s="1818"/>
      <c r="Y157" s="1818"/>
      <c r="Z157" s="1818"/>
      <c r="AA157" s="1818"/>
      <c r="AB157" s="1818"/>
      <c r="AC157" s="1818"/>
      <c r="AD157" s="1818"/>
      <c r="AE157" s="1818"/>
      <c r="AF157" s="1818"/>
      <c r="AG157" s="1818"/>
    </row>
    <row r="158" spans="1:33" s="1817" customFormat="1" ht="18.75">
      <c r="A158" s="1834"/>
      <c r="B158" s="1847" t="s">
        <v>1665</v>
      </c>
      <c r="C158" s="1846">
        <v>6308</v>
      </c>
      <c r="D158" s="1815"/>
      <c r="E158" s="1842">
        <f>+IF('TRIAL-BALANCE'!C$8=C158,1,0)</f>
        <v>0</v>
      </c>
      <c r="G158" s="1842">
        <v>0</v>
      </c>
      <c r="I158" s="2217">
        <f t="shared" si="11"/>
        <v>0</v>
      </c>
      <c r="P158" s="1818"/>
      <c r="Q158" s="1818"/>
      <c r="R158" s="1818"/>
      <c r="S158" s="1818"/>
      <c r="T158" s="1818"/>
      <c r="U158" s="1818"/>
      <c r="V158" s="1818"/>
      <c r="W158" s="1818"/>
      <c r="X158" s="1818"/>
      <c r="Y158" s="1818"/>
      <c r="Z158" s="1818"/>
      <c r="AA158" s="1818"/>
      <c r="AB158" s="1818"/>
      <c r="AC158" s="1818"/>
      <c r="AD158" s="1818"/>
      <c r="AE158" s="1818"/>
      <c r="AF158" s="1818"/>
      <c r="AG158" s="1818"/>
    </row>
    <row r="159" spans="1:33" s="1817" customFormat="1" ht="18.75">
      <c r="A159" s="1834"/>
      <c r="B159" s="1847" t="s">
        <v>1666</v>
      </c>
      <c r="C159" s="1846">
        <v>6309</v>
      </c>
      <c r="D159" s="1815"/>
      <c r="E159" s="1842">
        <f>+IF('TRIAL-BALANCE'!C$8=C159,1,0)</f>
        <v>0</v>
      </c>
      <c r="G159" s="1842">
        <v>0</v>
      </c>
      <c r="I159" s="2217">
        <f t="shared" si="11"/>
        <v>0</v>
      </c>
      <c r="P159" s="1818"/>
      <c r="Q159" s="1818"/>
      <c r="R159" s="1818"/>
      <c r="S159" s="1818"/>
      <c r="T159" s="1818"/>
      <c r="U159" s="1818"/>
      <c r="V159" s="1818"/>
      <c r="W159" s="1818"/>
      <c r="X159" s="1818"/>
      <c r="Y159" s="1818"/>
      <c r="Z159" s="1818"/>
      <c r="AA159" s="1818"/>
      <c r="AB159" s="1818"/>
      <c r="AC159" s="1818"/>
      <c r="AD159" s="1818"/>
      <c r="AE159" s="1818"/>
      <c r="AF159" s="1818"/>
      <c r="AG159" s="1818"/>
    </row>
    <row r="160" spans="1:33" s="1817" customFormat="1" ht="18.75">
      <c r="A160" s="1834"/>
      <c r="B160" s="1847" t="s">
        <v>1667</v>
      </c>
      <c r="C160" s="1846">
        <v>6310</v>
      </c>
      <c r="D160" s="1815"/>
      <c r="E160" s="1842">
        <f>+IF('TRIAL-BALANCE'!C$8=C160,1,0)</f>
        <v>0</v>
      </c>
      <c r="G160" s="1842">
        <v>0</v>
      </c>
      <c r="I160" s="2217">
        <f t="shared" si="11"/>
        <v>0</v>
      </c>
      <c r="P160" s="1818"/>
      <c r="Q160" s="1818"/>
      <c r="R160" s="1818"/>
      <c r="S160" s="1818"/>
      <c r="T160" s="1818"/>
      <c r="U160" s="1818"/>
      <c r="V160" s="1818"/>
      <c r="W160" s="1818"/>
      <c r="X160" s="1818"/>
      <c r="Y160" s="1818"/>
      <c r="Z160" s="1818"/>
      <c r="AA160" s="1818"/>
      <c r="AB160" s="1818"/>
      <c r="AC160" s="1818"/>
      <c r="AD160" s="1818"/>
      <c r="AE160" s="1818"/>
      <c r="AF160" s="1818"/>
      <c r="AG160" s="1818"/>
    </row>
    <row r="161" spans="1:33" s="1817" customFormat="1" ht="18.75">
      <c r="A161" s="1834"/>
      <c r="B161" s="1847" t="s">
        <v>1668</v>
      </c>
      <c r="C161" s="1846">
        <v>6311</v>
      </c>
      <c r="D161" s="1815"/>
      <c r="E161" s="1842">
        <f>+IF('TRIAL-BALANCE'!C$8=C161,1,0)</f>
        <v>0</v>
      </c>
      <c r="G161" s="1842">
        <v>0</v>
      </c>
      <c r="I161" s="2217">
        <f t="shared" si="11"/>
        <v>0</v>
      </c>
      <c r="P161" s="1818"/>
      <c r="Q161" s="1818"/>
      <c r="R161" s="1818"/>
      <c r="S161" s="1818"/>
      <c r="T161" s="1818"/>
      <c r="U161" s="1818"/>
      <c r="V161" s="1818"/>
      <c r="W161" s="1818"/>
      <c r="X161" s="1818"/>
      <c r="Y161" s="1818"/>
      <c r="Z161" s="1818"/>
      <c r="AA161" s="1818"/>
      <c r="AB161" s="1818"/>
      <c r="AC161" s="1818"/>
      <c r="AD161" s="1818"/>
      <c r="AE161" s="1818"/>
      <c r="AF161" s="1818"/>
      <c r="AG161" s="1818"/>
    </row>
    <row r="162" spans="1:33" s="1817" customFormat="1" ht="19.5" thickBot="1">
      <c r="A162" s="1834"/>
      <c r="B162" s="1848" t="s">
        <v>1669</v>
      </c>
      <c r="C162" s="1849">
        <v>6312</v>
      </c>
      <c r="D162" s="1815"/>
      <c r="E162" s="1850">
        <f>+IF('TRIAL-BALANCE'!C$8=C162,1,0)</f>
        <v>0</v>
      </c>
      <c r="G162" s="1850">
        <v>0</v>
      </c>
      <c r="I162" s="2217">
        <f t="shared" si="11"/>
        <v>0</v>
      </c>
      <c r="P162" s="1818"/>
      <c r="Q162" s="1818"/>
      <c r="R162" s="1818"/>
      <c r="S162" s="1818"/>
      <c r="T162" s="1818"/>
      <c r="U162" s="1818"/>
      <c r="V162" s="1818"/>
      <c r="W162" s="1818"/>
      <c r="X162" s="1818"/>
      <c r="Y162" s="1818"/>
      <c r="Z162" s="1818"/>
      <c r="AA162" s="1818"/>
      <c r="AB162" s="1818"/>
      <c r="AC162" s="1818"/>
      <c r="AD162" s="1818"/>
      <c r="AE162" s="1818"/>
      <c r="AF162" s="1818"/>
      <c r="AG162" s="1818"/>
    </row>
    <row r="163" spans="1:33" s="1817" customFormat="1" ht="9" customHeight="1" thickBot="1">
      <c r="A163" s="1851"/>
      <c r="B163" s="1831"/>
      <c r="C163" s="1852"/>
      <c r="D163" s="1815"/>
      <c r="E163" s="1816"/>
      <c r="G163" s="1816"/>
      <c r="I163" s="1816"/>
      <c r="P163" s="1818"/>
      <c r="Q163" s="1818"/>
      <c r="R163" s="1818"/>
      <c r="S163" s="1818"/>
      <c r="T163" s="1818"/>
      <c r="U163" s="1818"/>
      <c r="V163" s="1818"/>
      <c r="W163" s="1818"/>
      <c r="X163" s="1818"/>
      <c r="Y163" s="1818"/>
      <c r="Z163" s="1818"/>
      <c r="AA163" s="1818"/>
      <c r="AB163" s="1818"/>
      <c r="AC163" s="1818"/>
      <c r="AD163" s="1818"/>
      <c r="AE163" s="1818"/>
      <c r="AF163" s="1818"/>
      <c r="AG163" s="1818"/>
    </row>
    <row r="164" spans="1:33" s="1817" customFormat="1" ht="18.75">
      <c r="A164" s="1834"/>
      <c r="B164" s="1835" t="s">
        <v>1670</v>
      </c>
      <c r="C164" s="1836" t="s">
        <v>1671</v>
      </c>
      <c r="D164" s="1815"/>
      <c r="E164" s="1816"/>
      <c r="G164" s="1816"/>
      <c r="I164" s="1816"/>
      <c r="P164" s="1818"/>
      <c r="Q164" s="1818"/>
      <c r="R164" s="1818"/>
      <c r="S164" s="1818"/>
      <c r="T164" s="1818"/>
      <c r="U164" s="1818"/>
      <c r="V164" s="1818"/>
      <c r="W164" s="1818"/>
      <c r="X164" s="1818"/>
      <c r="Y164" s="1818"/>
      <c r="Z164" s="1818"/>
      <c r="AA164" s="1818"/>
      <c r="AB164" s="1818"/>
      <c r="AC164" s="1818"/>
      <c r="AD164" s="1818"/>
      <c r="AE164" s="1818"/>
      <c r="AF164" s="1818"/>
      <c r="AG164" s="1818"/>
    </row>
    <row r="165" spans="1:33" s="1817" customFormat="1" ht="18.75">
      <c r="A165" s="1834"/>
      <c r="B165" s="1855" t="s">
        <v>1672</v>
      </c>
      <c r="C165" s="1856">
        <v>6401</v>
      </c>
      <c r="D165" s="1815"/>
      <c r="E165" s="1839">
        <f>+IF('TRIAL-BALANCE'!C$8=C165,1,0)</f>
        <v>0</v>
      </c>
      <c r="G165" s="1839">
        <v>0</v>
      </c>
      <c r="I165" s="2217">
        <f t="shared" ref="I165:I170" si="12">+E165+G165</f>
        <v>0</v>
      </c>
      <c r="P165" s="1818"/>
      <c r="Q165" s="1818"/>
      <c r="R165" s="1818"/>
      <c r="S165" s="1818"/>
      <c r="T165" s="1818"/>
      <c r="U165" s="1818"/>
      <c r="V165" s="1818"/>
      <c r="W165" s="1818"/>
      <c r="X165" s="1818"/>
      <c r="Y165" s="1818"/>
      <c r="Z165" s="1818"/>
      <c r="AA165" s="1818"/>
      <c r="AB165" s="1818"/>
      <c r="AC165" s="1818"/>
      <c r="AD165" s="1818"/>
      <c r="AE165" s="1818"/>
      <c r="AF165" s="1818"/>
      <c r="AG165" s="1818"/>
    </row>
    <row r="166" spans="1:33" s="1817" customFormat="1" ht="18.75">
      <c r="A166" s="1834"/>
      <c r="B166" s="1847" t="s">
        <v>1673</v>
      </c>
      <c r="C166" s="1846">
        <v>6402</v>
      </c>
      <c r="D166" s="1815"/>
      <c r="E166" s="1842">
        <f>+IF('TRIAL-BALANCE'!C$8=C166,1,0)</f>
        <v>0</v>
      </c>
      <c r="G166" s="1842">
        <v>0</v>
      </c>
      <c r="I166" s="2217">
        <f t="shared" si="12"/>
        <v>0</v>
      </c>
      <c r="P166" s="1818"/>
      <c r="Q166" s="1818"/>
      <c r="R166" s="1818"/>
      <c r="S166" s="1818"/>
      <c r="T166" s="1818"/>
      <c r="U166" s="1818"/>
      <c r="V166" s="1818"/>
      <c r="W166" s="1818"/>
      <c r="X166" s="1818"/>
      <c r="Y166" s="1818"/>
      <c r="Z166" s="1818"/>
      <c r="AA166" s="1818"/>
      <c r="AB166" s="1818"/>
      <c r="AC166" s="1818"/>
      <c r="AD166" s="1818"/>
      <c r="AE166" s="1818"/>
      <c r="AF166" s="1818"/>
      <c r="AG166" s="1818"/>
    </row>
    <row r="167" spans="1:33" s="1817" customFormat="1" ht="18.75">
      <c r="A167" s="1834"/>
      <c r="B167" s="1847" t="s">
        <v>1674</v>
      </c>
      <c r="C167" s="1846">
        <v>6403</v>
      </c>
      <c r="D167" s="1815"/>
      <c r="E167" s="1842">
        <f>+IF('TRIAL-BALANCE'!C$8=C167,1,0)</f>
        <v>0</v>
      </c>
      <c r="G167" s="1842">
        <v>0</v>
      </c>
      <c r="I167" s="2217">
        <f t="shared" si="12"/>
        <v>0</v>
      </c>
      <c r="P167" s="1818"/>
      <c r="Q167" s="1818"/>
      <c r="R167" s="1818"/>
      <c r="S167" s="1818"/>
      <c r="T167" s="1818"/>
      <c r="U167" s="1818"/>
      <c r="V167" s="1818"/>
      <c r="W167" s="1818"/>
      <c r="X167" s="1818"/>
      <c r="Y167" s="1818"/>
      <c r="Z167" s="1818"/>
      <c r="AA167" s="1818"/>
      <c r="AB167" s="1818"/>
      <c r="AC167" s="1818"/>
      <c r="AD167" s="1818"/>
      <c r="AE167" s="1818"/>
      <c r="AF167" s="1818"/>
      <c r="AG167" s="1818"/>
    </row>
    <row r="168" spans="1:33" s="1817" customFormat="1" ht="19.5">
      <c r="A168" s="1834"/>
      <c r="B168" s="1853" t="s">
        <v>1675</v>
      </c>
      <c r="C168" s="1846">
        <v>6404</v>
      </c>
      <c r="D168" s="1815"/>
      <c r="E168" s="1842">
        <f>+IF('TRIAL-BALANCE'!C$8=C168,1,0)</f>
        <v>0</v>
      </c>
      <c r="G168" s="1842">
        <v>0</v>
      </c>
      <c r="I168" s="2217">
        <f t="shared" si="12"/>
        <v>0</v>
      </c>
      <c r="P168" s="1818"/>
      <c r="Q168" s="1818"/>
      <c r="R168" s="1818"/>
      <c r="S168" s="1818"/>
      <c r="T168" s="1818"/>
      <c r="U168" s="1818"/>
      <c r="V168" s="1818"/>
      <c r="W168" s="1818"/>
      <c r="X168" s="1818"/>
      <c r="Y168" s="1818"/>
      <c r="Z168" s="1818"/>
      <c r="AA168" s="1818"/>
      <c r="AB168" s="1818"/>
      <c r="AC168" s="1818"/>
      <c r="AD168" s="1818"/>
      <c r="AE168" s="1818"/>
      <c r="AF168" s="1818"/>
      <c r="AG168" s="1818"/>
    </row>
    <row r="169" spans="1:33" s="1817" customFormat="1" ht="18.75">
      <c r="A169" s="1834"/>
      <c r="B169" s="1847" t="s">
        <v>1676</v>
      </c>
      <c r="C169" s="1846">
        <v>6405</v>
      </c>
      <c r="D169" s="1815"/>
      <c r="E169" s="1842">
        <f>+IF('TRIAL-BALANCE'!C$8=C169,1,0)</f>
        <v>0</v>
      </c>
      <c r="G169" s="1842">
        <v>0</v>
      </c>
      <c r="I169" s="2217">
        <f t="shared" si="12"/>
        <v>0</v>
      </c>
      <c r="P169" s="1818"/>
      <c r="Q169" s="1818"/>
      <c r="R169" s="1818"/>
      <c r="S169" s="1818"/>
      <c r="T169" s="1818"/>
      <c r="U169" s="1818"/>
      <c r="V169" s="1818"/>
      <c r="W169" s="1818"/>
      <c r="X169" s="1818"/>
      <c r="Y169" s="1818"/>
      <c r="Z169" s="1818"/>
      <c r="AA169" s="1818"/>
      <c r="AB169" s="1818"/>
      <c r="AC169" s="1818"/>
      <c r="AD169" s="1818"/>
      <c r="AE169" s="1818"/>
      <c r="AF169" s="1818"/>
      <c r="AG169" s="1818"/>
    </row>
    <row r="170" spans="1:33" s="1817" customFormat="1" ht="19.5" thickBot="1">
      <c r="A170" s="1834"/>
      <c r="B170" s="1848" t="s">
        <v>1677</v>
      </c>
      <c r="C170" s="1849">
        <v>6406</v>
      </c>
      <c r="D170" s="1815"/>
      <c r="E170" s="1850">
        <f>+IF('TRIAL-BALANCE'!C$8=C170,1,0)</f>
        <v>0</v>
      </c>
      <c r="G170" s="1850">
        <v>0</v>
      </c>
      <c r="I170" s="2217">
        <f t="shared" si="12"/>
        <v>0</v>
      </c>
      <c r="P170" s="1818"/>
      <c r="Q170" s="1818"/>
      <c r="R170" s="1818"/>
      <c r="S170" s="1818"/>
      <c r="T170" s="1818"/>
      <c r="U170" s="1818"/>
      <c r="V170" s="1818"/>
      <c r="W170" s="1818"/>
      <c r="X170" s="1818"/>
      <c r="Y170" s="1818"/>
      <c r="Z170" s="1818"/>
      <c r="AA170" s="1818"/>
      <c r="AB170" s="1818"/>
      <c r="AC170" s="1818"/>
      <c r="AD170" s="1818"/>
      <c r="AE170" s="1818"/>
      <c r="AF170" s="1818"/>
      <c r="AG170" s="1818"/>
    </row>
    <row r="171" spans="1:33" s="1817" customFormat="1" ht="9" customHeight="1" thickBot="1">
      <c r="A171" s="1851"/>
      <c r="B171" s="1831"/>
      <c r="C171" s="1852"/>
      <c r="D171" s="1815"/>
      <c r="E171" s="1816"/>
      <c r="G171" s="1816"/>
      <c r="I171" s="1816"/>
      <c r="P171" s="1818"/>
      <c r="Q171" s="1818"/>
      <c r="R171" s="1818"/>
      <c r="S171" s="1818"/>
      <c r="T171" s="1818"/>
      <c r="U171" s="1818"/>
      <c r="V171" s="1818"/>
      <c r="W171" s="1818"/>
      <c r="X171" s="1818"/>
      <c r="Y171" s="1818"/>
      <c r="Z171" s="1818"/>
      <c r="AA171" s="1818"/>
      <c r="AB171" s="1818"/>
      <c r="AC171" s="1818"/>
      <c r="AD171" s="1818"/>
      <c r="AE171" s="1818"/>
      <c r="AF171" s="1818"/>
      <c r="AG171" s="1818"/>
    </row>
    <row r="172" spans="1:33" s="1817" customFormat="1" ht="18.75">
      <c r="A172" s="1834"/>
      <c r="B172" s="1835" t="s">
        <v>1678</v>
      </c>
      <c r="C172" s="1836" t="s">
        <v>1679</v>
      </c>
      <c r="D172" s="1815"/>
      <c r="E172" s="1816"/>
      <c r="G172" s="1816"/>
      <c r="I172" s="1816"/>
      <c r="P172" s="1818"/>
      <c r="Q172" s="1818"/>
      <c r="R172" s="1818"/>
      <c r="S172" s="1818"/>
      <c r="T172" s="1818"/>
      <c r="U172" s="1818"/>
      <c r="V172" s="1818"/>
      <c r="W172" s="1818"/>
      <c r="X172" s="1818"/>
      <c r="Y172" s="1818"/>
      <c r="Z172" s="1818"/>
      <c r="AA172" s="1818"/>
      <c r="AB172" s="1818"/>
      <c r="AC172" s="1818"/>
      <c r="AD172" s="1818"/>
      <c r="AE172" s="1818"/>
      <c r="AF172" s="1818"/>
      <c r="AG172" s="1818"/>
    </row>
    <row r="173" spans="1:33" s="1817" customFormat="1" ht="18.75">
      <c r="A173" s="1834"/>
      <c r="B173" s="1862" t="s">
        <v>1680</v>
      </c>
      <c r="C173" s="1863">
        <v>6501</v>
      </c>
      <c r="D173" s="1815"/>
      <c r="E173" s="1839">
        <f>+IF('TRIAL-BALANCE'!C$8=C173,1,0)</f>
        <v>0</v>
      </c>
      <c r="G173" s="1839">
        <v>0</v>
      </c>
      <c r="I173" s="2217">
        <f t="shared" ref="I173:I183" si="13">+E173+G173</f>
        <v>0</v>
      </c>
      <c r="P173" s="1818"/>
      <c r="Q173" s="1818"/>
      <c r="R173" s="1818"/>
      <c r="S173" s="1818"/>
      <c r="T173" s="1818"/>
      <c r="U173" s="1818"/>
      <c r="V173" s="1818"/>
      <c r="W173" s="1818"/>
      <c r="X173" s="1818"/>
      <c r="Y173" s="1818"/>
      <c r="Z173" s="1818"/>
      <c r="AA173" s="1818"/>
      <c r="AB173" s="1818"/>
      <c r="AC173" s="1818"/>
      <c r="AD173" s="1818"/>
      <c r="AE173" s="1818"/>
      <c r="AF173" s="1818"/>
      <c r="AG173" s="1818"/>
    </row>
    <row r="174" spans="1:33" s="1817" customFormat="1" ht="18.75">
      <c r="A174" s="1834"/>
      <c r="B174" s="1847" t="s">
        <v>1681</v>
      </c>
      <c r="C174" s="1846">
        <v>6502</v>
      </c>
      <c r="D174" s="1815"/>
      <c r="E174" s="1842">
        <f>+IF('TRIAL-BALANCE'!C$8=C174,1,0)</f>
        <v>0</v>
      </c>
      <c r="G174" s="1842">
        <v>0</v>
      </c>
      <c r="I174" s="2217">
        <f t="shared" si="13"/>
        <v>0</v>
      </c>
      <c r="P174" s="1818"/>
      <c r="Q174" s="1818"/>
      <c r="R174" s="1818"/>
      <c r="S174" s="1818"/>
      <c r="T174" s="1818"/>
      <c r="U174" s="1818"/>
      <c r="V174" s="1818"/>
      <c r="W174" s="1818"/>
      <c r="X174" s="1818"/>
      <c r="Y174" s="1818"/>
      <c r="Z174" s="1818"/>
      <c r="AA174" s="1818"/>
      <c r="AB174" s="1818"/>
      <c r="AC174" s="1818"/>
      <c r="AD174" s="1818"/>
      <c r="AE174" s="1818"/>
      <c r="AF174" s="1818"/>
      <c r="AG174" s="1818"/>
    </row>
    <row r="175" spans="1:33" s="1817" customFormat="1" ht="18.75">
      <c r="A175" s="1834"/>
      <c r="B175" s="1847" t="s">
        <v>1682</v>
      </c>
      <c r="C175" s="1846">
        <v>6503</v>
      </c>
      <c r="D175" s="1815"/>
      <c r="E175" s="1842">
        <f>+IF('TRIAL-BALANCE'!C$8=C175,1,0)</f>
        <v>0</v>
      </c>
      <c r="G175" s="1842">
        <v>0</v>
      </c>
      <c r="I175" s="2217">
        <f t="shared" si="13"/>
        <v>0</v>
      </c>
      <c r="P175" s="1818"/>
      <c r="Q175" s="1818"/>
      <c r="R175" s="1818"/>
      <c r="S175" s="1818"/>
      <c r="T175" s="1818"/>
      <c r="U175" s="1818"/>
      <c r="V175" s="1818"/>
      <c r="W175" s="1818"/>
      <c r="X175" s="1818"/>
      <c r="Y175" s="1818"/>
      <c r="Z175" s="1818"/>
      <c r="AA175" s="1818"/>
      <c r="AB175" s="1818"/>
      <c r="AC175" s="1818"/>
      <c r="AD175" s="1818"/>
      <c r="AE175" s="1818"/>
      <c r="AF175" s="1818"/>
      <c r="AG175" s="1818"/>
    </row>
    <row r="176" spans="1:33" s="1817" customFormat="1" ht="18.75">
      <c r="A176" s="1834"/>
      <c r="B176" s="1847" t="s">
        <v>1683</v>
      </c>
      <c r="C176" s="1846">
        <v>6504</v>
      </c>
      <c r="D176" s="1815"/>
      <c r="E176" s="1842">
        <f>+IF('TRIAL-BALANCE'!C$8=C176,1,0)</f>
        <v>0</v>
      </c>
      <c r="G176" s="1842">
        <v>0</v>
      </c>
      <c r="I176" s="2217">
        <f t="shared" si="13"/>
        <v>0</v>
      </c>
      <c r="P176" s="1818"/>
      <c r="Q176" s="1818"/>
      <c r="R176" s="1818"/>
      <c r="S176" s="1818"/>
      <c r="T176" s="1818"/>
      <c r="U176" s="1818"/>
      <c r="V176" s="1818"/>
      <c r="W176" s="1818"/>
      <c r="X176" s="1818"/>
      <c r="Y176" s="1818"/>
      <c r="Z176" s="1818"/>
      <c r="AA176" s="1818"/>
      <c r="AB176" s="1818"/>
      <c r="AC176" s="1818"/>
      <c r="AD176" s="1818"/>
      <c r="AE176" s="1818"/>
      <c r="AF176" s="1818"/>
      <c r="AG176" s="1818"/>
    </row>
    <row r="177" spans="1:33" s="1817" customFormat="1" ht="18.75">
      <c r="A177" s="1834"/>
      <c r="B177" s="1847" t="s">
        <v>1684</v>
      </c>
      <c r="C177" s="1846">
        <v>6505</v>
      </c>
      <c r="D177" s="1815"/>
      <c r="E177" s="1842">
        <f>+IF('TRIAL-BALANCE'!C$8=C177,1,0)</f>
        <v>0</v>
      </c>
      <c r="G177" s="1842">
        <v>0</v>
      </c>
      <c r="I177" s="2217">
        <f t="shared" si="13"/>
        <v>0</v>
      </c>
      <c r="P177" s="1818"/>
      <c r="Q177" s="1818"/>
      <c r="R177" s="1818"/>
      <c r="S177" s="1818"/>
      <c r="T177" s="1818"/>
      <c r="U177" s="1818"/>
      <c r="V177" s="1818"/>
      <c r="W177" s="1818"/>
      <c r="X177" s="1818"/>
      <c r="Y177" s="1818"/>
      <c r="Z177" s="1818"/>
      <c r="AA177" s="1818"/>
      <c r="AB177" s="1818"/>
      <c r="AC177" s="1818"/>
      <c r="AD177" s="1818"/>
      <c r="AE177" s="1818"/>
      <c r="AF177" s="1818"/>
      <c r="AG177" s="1818"/>
    </row>
    <row r="178" spans="1:33" s="1817" customFormat="1" ht="18.75">
      <c r="A178" s="1834"/>
      <c r="B178" s="1847" t="s">
        <v>1685</v>
      </c>
      <c r="C178" s="1846">
        <v>6506</v>
      </c>
      <c r="D178" s="1815"/>
      <c r="E178" s="1842">
        <f>+IF('TRIAL-BALANCE'!C$8=C178,1,0)</f>
        <v>0</v>
      </c>
      <c r="G178" s="1842">
        <v>0</v>
      </c>
      <c r="I178" s="2217">
        <f t="shared" si="13"/>
        <v>0</v>
      </c>
      <c r="P178" s="1818"/>
      <c r="Q178" s="1818"/>
      <c r="R178" s="1818"/>
      <c r="S178" s="1818"/>
      <c r="T178" s="1818"/>
      <c r="U178" s="1818"/>
      <c r="V178" s="1818"/>
      <c r="W178" s="1818"/>
      <c r="X178" s="1818"/>
      <c r="Y178" s="1818"/>
      <c r="Z178" s="1818"/>
      <c r="AA178" s="1818"/>
      <c r="AB178" s="1818"/>
      <c r="AC178" s="1818"/>
      <c r="AD178" s="1818"/>
      <c r="AE178" s="1818"/>
      <c r="AF178" s="1818"/>
      <c r="AG178" s="1818"/>
    </row>
    <row r="179" spans="1:33" s="1817" customFormat="1" ht="18.75">
      <c r="A179" s="1834"/>
      <c r="B179" s="1847" t="s">
        <v>1686</v>
      </c>
      <c r="C179" s="1846">
        <v>6507</v>
      </c>
      <c r="D179" s="1815"/>
      <c r="E179" s="1842">
        <f>+IF('TRIAL-BALANCE'!C$8=C179,1,0)</f>
        <v>0</v>
      </c>
      <c r="G179" s="1842">
        <v>0</v>
      </c>
      <c r="I179" s="2217">
        <f t="shared" si="13"/>
        <v>0</v>
      </c>
      <c r="P179" s="1818"/>
      <c r="Q179" s="1818"/>
      <c r="R179" s="1818"/>
      <c r="S179" s="1818"/>
      <c r="T179" s="1818"/>
      <c r="U179" s="1818"/>
      <c r="V179" s="1818"/>
      <c r="W179" s="1818"/>
      <c r="X179" s="1818"/>
      <c r="Y179" s="1818"/>
      <c r="Z179" s="1818"/>
      <c r="AA179" s="1818"/>
      <c r="AB179" s="1818"/>
      <c r="AC179" s="1818"/>
      <c r="AD179" s="1818"/>
      <c r="AE179" s="1818"/>
      <c r="AF179" s="1818"/>
      <c r="AG179" s="1818"/>
    </row>
    <row r="180" spans="1:33" s="1817" customFormat="1" ht="19.5">
      <c r="A180" s="1834"/>
      <c r="B180" s="1853" t="s">
        <v>1687</v>
      </c>
      <c r="C180" s="1846">
        <v>6508</v>
      </c>
      <c r="D180" s="1815"/>
      <c r="E180" s="1842">
        <f>+IF('TRIAL-BALANCE'!C$8=C180,1,0)</f>
        <v>0</v>
      </c>
      <c r="G180" s="1842">
        <v>0</v>
      </c>
      <c r="I180" s="2217">
        <f t="shared" si="13"/>
        <v>0</v>
      </c>
      <c r="P180" s="1818"/>
      <c r="Q180" s="1818"/>
      <c r="R180" s="1818"/>
      <c r="S180" s="1818"/>
      <c r="T180" s="1818"/>
      <c r="U180" s="1818"/>
      <c r="V180" s="1818"/>
      <c r="W180" s="1818"/>
      <c r="X180" s="1818"/>
      <c r="Y180" s="1818"/>
      <c r="Z180" s="1818"/>
      <c r="AA180" s="1818"/>
      <c r="AB180" s="1818"/>
      <c r="AC180" s="1818"/>
      <c r="AD180" s="1818"/>
      <c r="AE180" s="1818"/>
      <c r="AF180" s="1818"/>
      <c r="AG180" s="1818"/>
    </row>
    <row r="181" spans="1:33" s="1817" customFormat="1" ht="18.75">
      <c r="A181" s="1834"/>
      <c r="B181" s="1847" t="s">
        <v>1688</v>
      </c>
      <c r="C181" s="1846">
        <v>6509</v>
      </c>
      <c r="D181" s="1815"/>
      <c r="E181" s="1842">
        <f>+IF('TRIAL-BALANCE'!C$8=C181,1,0)</f>
        <v>0</v>
      </c>
      <c r="G181" s="1842">
        <v>0</v>
      </c>
      <c r="I181" s="2217">
        <f t="shared" si="13"/>
        <v>0</v>
      </c>
      <c r="P181" s="1818"/>
      <c r="Q181" s="1818"/>
      <c r="R181" s="1818"/>
      <c r="S181" s="1818"/>
      <c r="T181" s="1818"/>
      <c r="U181" s="1818"/>
      <c r="V181" s="1818"/>
      <c r="W181" s="1818"/>
      <c r="X181" s="1818"/>
      <c r="Y181" s="1818"/>
      <c r="Z181" s="1818"/>
      <c r="AA181" s="1818"/>
      <c r="AB181" s="1818"/>
      <c r="AC181" s="1818"/>
      <c r="AD181" s="1818"/>
      <c r="AE181" s="1818"/>
      <c r="AF181" s="1818"/>
      <c r="AG181" s="1818"/>
    </row>
    <row r="182" spans="1:33" s="1817" customFormat="1" ht="18.75">
      <c r="A182" s="1834"/>
      <c r="B182" s="1847" t="s">
        <v>1689</v>
      </c>
      <c r="C182" s="1846">
        <v>6510</v>
      </c>
      <c r="D182" s="1815"/>
      <c r="E182" s="1842">
        <f>+IF('TRIAL-BALANCE'!C$8=C182,1,0)</f>
        <v>0</v>
      </c>
      <c r="G182" s="1842">
        <v>0</v>
      </c>
      <c r="I182" s="2217">
        <f t="shared" si="13"/>
        <v>0</v>
      </c>
      <c r="P182" s="1818"/>
      <c r="Q182" s="1818"/>
      <c r="R182" s="1818"/>
      <c r="S182" s="1818"/>
      <c r="T182" s="1818"/>
      <c r="U182" s="1818"/>
      <c r="V182" s="1818"/>
      <c r="W182" s="1818"/>
      <c r="X182" s="1818"/>
      <c r="Y182" s="1818"/>
      <c r="Z182" s="1818"/>
      <c r="AA182" s="1818"/>
      <c r="AB182" s="1818"/>
      <c r="AC182" s="1818"/>
      <c r="AD182" s="1818"/>
      <c r="AE182" s="1818"/>
      <c r="AF182" s="1818"/>
      <c r="AG182" s="1818"/>
    </row>
    <row r="183" spans="1:33" s="1817" customFormat="1" ht="19.5" thickBot="1">
      <c r="A183" s="1834"/>
      <c r="B183" s="1848" t="s">
        <v>1589</v>
      </c>
      <c r="C183" s="1864">
        <v>6511</v>
      </c>
      <c r="D183" s="1815"/>
      <c r="E183" s="1850">
        <f>+IF('TRIAL-BALANCE'!C$8=C183,1,0)</f>
        <v>0</v>
      </c>
      <c r="G183" s="1850">
        <v>0</v>
      </c>
      <c r="I183" s="2217">
        <f t="shared" si="13"/>
        <v>0</v>
      </c>
      <c r="P183" s="1818"/>
      <c r="Q183" s="1818"/>
      <c r="R183" s="1818"/>
      <c r="S183" s="1818"/>
      <c r="T183" s="1818"/>
      <c r="U183" s="1818"/>
      <c r="V183" s="1818"/>
      <c r="W183" s="1818"/>
      <c r="X183" s="1818"/>
      <c r="Y183" s="1818"/>
      <c r="Z183" s="1818"/>
      <c r="AA183" s="1818"/>
      <c r="AB183" s="1818"/>
      <c r="AC183" s="1818"/>
      <c r="AD183" s="1818"/>
      <c r="AE183" s="1818"/>
      <c r="AF183" s="1818"/>
      <c r="AG183" s="1818"/>
    </row>
    <row r="184" spans="1:33" s="1817" customFormat="1" ht="9" customHeight="1" thickBot="1">
      <c r="A184" s="1851"/>
      <c r="B184" s="1831"/>
      <c r="C184" s="1852"/>
      <c r="D184" s="1815"/>
      <c r="E184" s="1816"/>
      <c r="G184" s="1816"/>
      <c r="I184" s="1816"/>
      <c r="P184" s="1818"/>
      <c r="Q184" s="1818"/>
      <c r="R184" s="1818"/>
      <c r="S184" s="1818"/>
      <c r="T184" s="1818"/>
      <c r="U184" s="1818"/>
      <c r="V184" s="1818"/>
      <c r="W184" s="1818"/>
      <c r="X184" s="1818"/>
      <c r="Y184" s="1818"/>
      <c r="Z184" s="1818"/>
      <c r="AA184" s="1818"/>
      <c r="AB184" s="1818"/>
      <c r="AC184" s="1818"/>
      <c r="AD184" s="1818"/>
      <c r="AE184" s="1818"/>
      <c r="AF184" s="1818"/>
      <c r="AG184" s="1818"/>
    </row>
    <row r="185" spans="1:33" s="1817" customFormat="1" ht="18.75">
      <c r="A185" s="1834"/>
      <c r="B185" s="1835" t="s">
        <v>1690</v>
      </c>
      <c r="C185" s="1836" t="s">
        <v>1691</v>
      </c>
      <c r="D185" s="1815"/>
      <c r="E185" s="1816"/>
      <c r="G185" s="1816"/>
      <c r="I185" s="1816"/>
      <c r="P185" s="1818"/>
      <c r="Q185" s="1818"/>
      <c r="R185" s="1818"/>
      <c r="S185" s="1818"/>
      <c r="T185" s="1818"/>
      <c r="U185" s="1818"/>
      <c r="V185" s="1818"/>
      <c r="W185" s="1818"/>
      <c r="X185" s="1818"/>
      <c r="Y185" s="1818"/>
      <c r="Z185" s="1818"/>
      <c r="AA185" s="1818"/>
      <c r="AB185" s="1818"/>
      <c r="AC185" s="1818"/>
      <c r="AD185" s="1818"/>
      <c r="AE185" s="1818"/>
      <c r="AF185" s="1818"/>
      <c r="AG185" s="1818"/>
    </row>
    <row r="186" spans="1:33" s="1817" customFormat="1" ht="18.75">
      <c r="A186" s="1834"/>
      <c r="B186" s="1862" t="s">
        <v>1692</v>
      </c>
      <c r="C186" s="1863">
        <v>6601</v>
      </c>
      <c r="D186" s="1815"/>
      <c r="E186" s="1839">
        <f>+IF('TRIAL-BALANCE'!C$8=C186,1,0)</f>
        <v>0</v>
      </c>
      <c r="G186" s="1839">
        <v>0</v>
      </c>
      <c r="I186" s="2217">
        <f t="shared" ref="I186:I203" si="14">+E186+G186</f>
        <v>0</v>
      </c>
      <c r="P186" s="1818"/>
      <c r="Q186" s="1818"/>
      <c r="R186" s="1818"/>
      <c r="S186" s="1818"/>
      <c r="T186" s="1818"/>
      <c r="U186" s="1818"/>
      <c r="V186" s="1818"/>
      <c r="W186" s="1818"/>
      <c r="X186" s="1818"/>
      <c r="Y186" s="1818"/>
      <c r="Z186" s="1818"/>
      <c r="AA186" s="1818"/>
      <c r="AB186" s="1818"/>
      <c r="AC186" s="1818"/>
      <c r="AD186" s="1818"/>
      <c r="AE186" s="1818"/>
      <c r="AF186" s="1818"/>
      <c r="AG186" s="1818"/>
    </row>
    <row r="187" spans="1:33" s="1817" customFormat="1" ht="18.75">
      <c r="A187" s="1834"/>
      <c r="B187" s="1847" t="s">
        <v>1693</v>
      </c>
      <c r="C187" s="1846">
        <v>6602</v>
      </c>
      <c r="D187" s="1815"/>
      <c r="E187" s="1842">
        <f>+IF('TRIAL-BALANCE'!C$8=C187,1,0)</f>
        <v>0</v>
      </c>
      <c r="G187" s="1842">
        <v>0</v>
      </c>
      <c r="I187" s="2217">
        <f t="shared" si="14"/>
        <v>0</v>
      </c>
      <c r="P187" s="1818"/>
      <c r="Q187" s="1818"/>
      <c r="R187" s="1818"/>
      <c r="S187" s="1818"/>
      <c r="T187" s="1818"/>
      <c r="U187" s="1818"/>
      <c r="V187" s="1818"/>
      <c r="W187" s="1818"/>
      <c r="X187" s="1818"/>
      <c r="Y187" s="1818"/>
      <c r="Z187" s="1818"/>
      <c r="AA187" s="1818"/>
      <c r="AB187" s="1818"/>
      <c r="AC187" s="1818"/>
      <c r="AD187" s="1818"/>
      <c r="AE187" s="1818"/>
      <c r="AF187" s="1818"/>
      <c r="AG187" s="1818"/>
    </row>
    <row r="188" spans="1:33" s="1817" customFormat="1" ht="18.75">
      <c r="A188" s="1834"/>
      <c r="B188" s="1847" t="s">
        <v>1694</v>
      </c>
      <c r="C188" s="1846">
        <v>6603</v>
      </c>
      <c r="D188" s="1815"/>
      <c r="E188" s="1842">
        <f>+IF('TRIAL-BALANCE'!C$8=C188,1,0)</f>
        <v>0</v>
      </c>
      <c r="G188" s="1842">
        <v>0</v>
      </c>
      <c r="I188" s="2217">
        <f t="shared" si="14"/>
        <v>0</v>
      </c>
      <c r="P188" s="1818"/>
      <c r="Q188" s="1818"/>
      <c r="R188" s="1818"/>
      <c r="S188" s="1818"/>
      <c r="T188" s="1818"/>
      <c r="U188" s="1818"/>
      <c r="V188" s="1818"/>
      <c r="W188" s="1818"/>
      <c r="X188" s="1818"/>
      <c r="Y188" s="1818"/>
      <c r="Z188" s="1818"/>
      <c r="AA188" s="1818"/>
      <c r="AB188" s="1818"/>
      <c r="AC188" s="1818"/>
      <c r="AD188" s="1818"/>
      <c r="AE188" s="1818"/>
      <c r="AF188" s="1818"/>
      <c r="AG188" s="1818"/>
    </row>
    <row r="189" spans="1:33" s="1817" customFormat="1" ht="18.75">
      <c r="A189" s="1834"/>
      <c r="B189" s="1847" t="s">
        <v>1695</v>
      </c>
      <c r="C189" s="1846">
        <v>6604</v>
      </c>
      <c r="D189" s="1815"/>
      <c r="E189" s="1842">
        <f>+IF('TRIAL-BALANCE'!C$8=C189,1,0)</f>
        <v>0</v>
      </c>
      <c r="G189" s="1842">
        <v>0</v>
      </c>
      <c r="I189" s="2217">
        <f t="shared" si="14"/>
        <v>0</v>
      </c>
      <c r="P189" s="1818"/>
      <c r="Q189" s="1818"/>
      <c r="R189" s="1818"/>
      <c r="S189" s="1818"/>
      <c r="T189" s="1818"/>
      <c r="U189" s="1818"/>
      <c r="V189" s="1818"/>
      <c r="W189" s="1818"/>
      <c r="X189" s="1818"/>
      <c r="Y189" s="1818"/>
      <c r="Z189" s="1818"/>
      <c r="AA189" s="1818"/>
      <c r="AB189" s="1818"/>
      <c r="AC189" s="1818"/>
      <c r="AD189" s="1818"/>
      <c r="AE189" s="1818"/>
      <c r="AF189" s="1818"/>
      <c r="AG189" s="1818"/>
    </row>
    <row r="190" spans="1:33" s="1817" customFormat="1" ht="18.75">
      <c r="A190" s="1834"/>
      <c r="B190" s="1847" t="s">
        <v>1696</v>
      </c>
      <c r="C190" s="1846">
        <v>6605</v>
      </c>
      <c r="D190" s="1815"/>
      <c r="E190" s="1842">
        <f>+IF('TRIAL-BALANCE'!C$8=C190,1,0)</f>
        <v>0</v>
      </c>
      <c r="G190" s="1842">
        <v>0</v>
      </c>
      <c r="I190" s="2217">
        <f t="shared" si="14"/>
        <v>0</v>
      </c>
      <c r="P190" s="1818"/>
      <c r="Q190" s="1818"/>
      <c r="R190" s="1818"/>
      <c r="S190" s="1818"/>
      <c r="T190" s="1818"/>
      <c r="U190" s="1818"/>
      <c r="V190" s="1818"/>
      <c r="W190" s="1818"/>
      <c r="X190" s="1818"/>
      <c r="Y190" s="1818"/>
      <c r="Z190" s="1818"/>
      <c r="AA190" s="1818"/>
      <c r="AB190" s="1818"/>
      <c r="AC190" s="1818"/>
      <c r="AD190" s="1818"/>
      <c r="AE190" s="1818"/>
      <c r="AF190" s="1818"/>
      <c r="AG190" s="1818"/>
    </row>
    <row r="191" spans="1:33" s="1817" customFormat="1" ht="18.75">
      <c r="A191" s="1834"/>
      <c r="B191" s="1847" t="s">
        <v>1697</v>
      </c>
      <c r="C191" s="1846">
        <v>6606</v>
      </c>
      <c r="D191" s="1815"/>
      <c r="E191" s="1842">
        <f>+IF('TRIAL-BALANCE'!C$8=C191,1,0)</f>
        <v>0</v>
      </c>
      <c r="G191" s="1842">
        <v>0</v>
      </c>
      <c r="I191" s="2217">
        <f t="shared" si="14"/>
        <v>0</v>
      </c>
      <c r="P191" s="1818"/>
      <c r="Q191" s="1818"/>
      <c r="R191" s="1818"/>
      <c r="S191" s="1818"/>
      <c r="T191" s="1818"/>
      <c r="U191" s="1818"/>
      <c r="V191" s="1818"/>
      <c r="W191" s="1818"/>
      <c r="X191" s="1818"/>
      <c r="Y191" s="1818"/>
      <c r="Z191" s="1818"/>
      <c r="AA191" s="1818"/>
      <c r="AB191" s="1818"/>
      <c r="AC191" s="1818"/>
      <c r="AD191" s="1818"/>
      <c r="AE191" s="1818"/>
      <c r="AF191" s="1818"/>
      <c r="AG191" s="1818"/>
    </row>
    <row r="192" spans="1:33" s="1817" customFormat="1" ht="18.75">
      <c r="A192" s="1834"/>
      <c r="B192" s="1847" t="s">
        <v>1698</v>
      </c>
      <c r="C192" s="1846">
        <v>6607</v>
      </c>
      <c r="D192" s="1815"/>
      <c r="E192" s="1842">
        <f>+IF('TRIAL-BALANCE'!C$8=C192,1,0)</f>
        <v>0</v>
      </c>
      <c r="G192" s="1842">
        <v>0</v>
      </c>
      <c r="I192" s="2217">
        <f t="shared" si="14"/>
        <v>0</v>
      </c>
      <c r="P192" s="1818"/>
      <c r="Q192" s="1818"/>
      <c r="R192" s="1818"/>
      <c r="S192" s="1818"/>
      <c r="T192" s="1818"/>
      <c r="U192" s="1818"/>
      <c r="V192" s="1818"/>
      <c r="W192" s="1818"/>
      <c r="X192" s="1818"/>
      <c r="Y192" s="1818"/>
      <c r="Z192" s="1818"/>
      <c r="AA192" s="1818"/>
      <c r="AB192" s="1818"/>
      <c r="AC192" s="1818"/>
      <c r="AD192" s="1818"/>
      <c r="AE192" s="1818"/>
      <c r="AF192" s="1818"/>
      <c r="AG192" s="1818"/>
    </row>
    <row r="193" spans="1:33" s="1817" customFormat="1" ht="18.75">
      <c r="A193" s="1834"/>
      <c r="B193" s="1847" t="s">
        <v>1699</v>
      </c>
      <c r="C193" s="1846">
        <v>6608</v>
      </c>
      <c r="D193" s="1815"/>
      <c r="E193" s="1842">
        <f>+IF('TRIAL-BALANCE'!C$8=C193,1,0)</f>
        <v>0</v>
      </c>
      <c r="G193" s="1842">
        <v>0</v>
      </c>
      <c r="I193" s="2217">
        <f t="shared" si="14"/>
        <v>0</v>
      </c>
      <c r="P193" s="1818"/>
      <c r="Q193" s="1818"/>
      <c r="R193" s="1818"/>
      <c r="S193" s="1818"/>
      <c r="T193" s="1818"/>
      <c r="U193" s="1818"/>
      <c r="V193" s="1818"/>
      <c r="W193" s="1818"/>
      <c r="X193" s="1818"/>
      <c r="Y193" s="1818"/>
      <c r="Z193" s="1818"/>
      <c r="AA193" s="1818"/>
      <c r="AB193" s="1818"/>
      <c r="AC193" s="1818"/>
      <c r="AD193" s="1818"/>
      <c r="AE193" s="1818"/>
      <c r="AF193" s="1818"/>
      <c r="AG193" s="1818"/>
    </row>
    <row r="194" spans="1:33" s="1817" customFormat="1" ht="19.5">
      <c r="A194" s="1834"/>
      <c r="B194" s="1853" t="s">
        <v>1700</v>
      </c>
      <c r="C194" s="1846">
        <v>6609</v>
      </c>
      <c r="D194" s="1815"/>
      <c r="E194" s="1842">
        <f>+IF('TRIAL-BALANCE'!C$8=C194,1,0)</f>
        <v>0</v>
      </c>
      <c r="G194" s="1842">
        <v>0</v>
      </c>
      <c r="I194" s="2217">
        <f t="shared" si="14"/>
        <v>0</v>
      </c>
      <c r="P194" s="1818"/>
      <c r="Q194" s="1818"/>
      <c r="R194" s="1818"/>
      <c r="S194" s="1818"/>
      <c r="T194" s="1818"/>
      <c r="U194" s="1818"/>
      <c r="V194" s="1818"/>
      <c r="W194" s="1818"/>
      <c r="X194" s="1818"/>
      <c r="Y194" s="1818"/>
      <c r="Z194" s="1818"/>
      <c r="AA194" s="1818"/>
      <c r="AB194" s="1818"/>
      <c r="AC194" s="1818"/>
      <c r="AD194" s="1818"/>
      <c r="AE194" s="1818"/>
      <c r="AF194" s="1818"/>
      <c r="AG194" s="1818"/>
    </row>
    <row r="195" spans="1:33" s="1817" customFormat="1" ht="18.75">
      <c r="A195" s="1834"/>
      <c r="B195" s="1847" t="s">
        <v>1701</v>
      </c>
      <c r="C195" s="1846">
        <v>6610</v>
      </c>
      <c r="D195" s="1815"/>
      <c r="E195" s="1842">
        <f>+IF('TRIAL-BALANCE'!C$8=C195,1,0)</f>
        <v>0</v>
      </c>
      <c r="G195" s="1842">
        <v>0</v>
      </c>
      <c r="I195" s="2217">
        <f t="shared" si="14"/>
        <v>0</v>
      </c>
      <c r="P195" s="1818"/>
      <c r="Q195" s="1818"/>
      <c r="R195" s="1818"/>
      <c r="S195" s="1818"/>
      <c r="T195" s="1818"/>
      <c r="U195" s="1818"/>
      <c r="V195" s="1818"/>
      <c r="W195" s="1818"/>
      <c r="X195" s="1818"/>
      <c r="Y195" s="1818"/>
      <c r="Z195" s="1818"/>
      <c r="AA195" s="1818"/>
      <c r="AB195" s="1818"/>
      <c r="AC195" s="1818"/>
      <c r="AD195" s="1818"/>
      <c r="AE195" s="1818"/>
      <c r="AF195" s="1818"/>
      <c r="AG195" s="1818"/>
    </row>
    <row r="196" spans="1:33" s="1817" customFormat="1" ht="18.75">
      <c r="A196" s="1834"/>
      <c r="B196" s="1847" t="s">
        <v>1702</v>
      </c>
      <c r="C196" s="1846">
        <v>6611</v>
      </c>
      <c r="D196" s="1815"/>
      <c r="E196" s="1842">
        <f>+IF('TRIAL-BALANCE'!C$8=C196,1,0)</f>
        <v>0</v>
      </c>
      <c r="G196" s="1842">
        <v>0</v>
      </c>
      <c r="I196" s="2217">
        <f t="shared" si="14"/>
        <v>0</v>
      </c>
      <c r="P196" s="1818"/>
      <c r="Q196" s="1818"/>
      <c r="R196" s="1818"/>
      <c r="S196" s="1818"/>
      <c r="T196" s="1818"/>
      <c r="U196" s="1818"/>
      <c r="V196" s="1818"/>
      <c r="W196" s="1818"/>
      <c r="X196" s="1818"/>
      <c r="Y196" s="1818"/>
      <c r="Z196" s="1818"/>
      <c r="AA196" s="1818"/>
      <c r="AB196" s="1818"/>
      <c r="AC196" s="1818"/>
      <c r="AD196" s="1818"/>
      <c r="AE196" s="1818"/>
      <c r="AF196" s="1818"/>
      <c r="AG196" s="1818"/>
    </row>
    <row r="197" spans="1:33" s="1817" customFormat="1" ht="18.75">
      <c r="A197" s="1834"/>
      <c r="B197" s="1847" t="s">
        <v>1703</v>
      </c>
      <c r="C197" s="1846">
        <v>6612</v>
      </c>
      <c r="D197" s="1815"/>
      <c r="E197" s="1842">
        <f>+IF('TRIAL-BALANCE'!C$8=C197,1,0)</f>
        <v>0</v>
      </c>
      <c r="G197" s="1842">
        <v>0</v>
      </c>
      <c r="I197" s="2217">
        <f t="shared" si="14"/>
        <v>0</v>
      </c>
      <c r="P197" s="1818"/>
      <c r="Q197" s="1818"/>
      <c r="R197" s="1818"/>
      <c r="S197" s="1818"/>
      <c r="T197" s="1818"/>
      <c r="U197" s="1818"/>
      <c r="V197" s="1818"/>
      <c r="W197" s="1818"/>
      <c r="X197" s="1818"/>
      <c r="Y197" s="1818"/>
      <c r="Z197" s="1818"/>
      <c r="AA197" s="1818"/>
      <c r="AB197" s="1818"/>
      <c r="AC197" s="1818"/>
      <c r="AD197" s="1818"/>
      <c r="AE197" s="1818"/>
      <c r="AF197" s="1818"/>
      <c r="AG197" s="1818"/>
    </row>
    <row r="198" spans="1:33" s="1817" customFormat="1" ht="18.75">
      <c r="A198" s="1834"/>
      <c r="B198" s="1847" t="s">
        <v>1704</v>
      </c>
      <c r="C198" s="1846">
        <v>6613</v>
      </c>
      <c r="D198" s="1815"/>
      <c r="E198" s="1842">
        <f>+IF('TRIAL-BALANCE'!C$8=C198,1,0)</f>
        <v>0</v>
      </c>
      <c r="G198" s="1842">
        <v>0</v>
      </c>
      <c r="I198" s="2217">
        <f t="shared" si="14"/>
        <v>0</v>
      </c>
      <c r="P198" s="1818"/>
      <c r="Q198" s="1818"/>
      <c r="R198" s="1818"/>
      <c r="S198" s="1818"/>
      <c r="T198" s="1818"/>
      <c r="U198" s="1818"/>
      <c r="V198" s="1818"/>
      <c r="W198" s="1818"/>
      <c r="X198" s="1818"/>
      <c r="Y198" s="1818"/>
      <c r="Z198" s="1818"/>
      <c r="AA198" s="1818"/>
      <c r="AB198" s="1818"/>
      <c r="AC198" s="1818"/>
      <c r="AD198" s="1818"/>
      <c r="AE198" s="1818"/>
      <c r="AF198" s="1818"/>
      <c r="AG198" s="1818"/>
    </row>
    <row r="199" spans="1:33" s="1817" customFormat="1" ht="18.75">
      <c r="A199" s="1834"/>
      <c r="B199" s="1847" t="s">
        <v>1705</v>
      </c>
      <c r="C199" s="1846">
        <v>6614</v>
      </c>
      <c r="D199" s="1815"/>
      <c r="E199" s="1842">
        <f>+IF('TRIAL-BALANCE'!C$8=C199,1,0)</f>
        <v>0</v>
      </c>
      <c r="G199" s="1842">
        <v>0</v>
      </c>
      <c r="I199" s="2217">
        <f t="shared" si="14"/>
        <v>0</v>
      </c>
      <c r="P199" s="1818"/>
      <c r="Q199" s="1818"/>
      <c r="R199" s="1818"/>
      <c r="S199" s="1818"/>
      <c r="T199" s="1818"/>
      <c r="U199" s="1818"/>
      <c r="V199" s="1818"/>
      <c r="W199" s="1818"/>
      <c r="X199" s="1818"/>
      <c r="Y199" s="1818"/>
      <c r="Z199" s="1818"/>
      <c r="AA199" s="1818"/>
      <c r="AB199" s="1818"/>
      <c r="AC199" s="1818"/>
      <c r="AD199" s="1818"/>
      <c r="AE199" s="1818"/>
      <c r="AF199" s="1818"/>
      <c r="AG199" s="1818"/>
    </row>
    <row r="200" spans="1:33" s="1817" customFormat="1" ht="18.75">
      <c r="A200" s="1834"/>
      <c r="B200" s="1847" t="s">
        <v>1706</v>
      </c>
      <c r="C200" s="1846">
        <v>6615</v>
      </c>
      <c r="D200" s="1815"/>
      <c r="E200" s="1842">
        <f>+IF('TRIAL-BALANCE'!C$8=C200,1,0)</f>
        <v>0</v>
      </c>
      <c r="G200" s="1842">
        <v>0</v>
      </c>
      <c r="I200" s="2217">
        <f t="shared" si="14"/>
        <v>0</v>
      </c>
      <c r="P200" s="1818"/>
      <c r="Q200" s="1818"/>
      <c r="R200" s="1818"/>
      <c r="S200" s="1818"/>
      <c r="T200" s="1818"/>
      <c r="U200" s="1818"/>
      <c r="V200" s="1818"/>
      <c r="W200" s="1818"/>
      <c r="X200" s="1818"/>
      <c r="Y200" s="1818"/>
      <c r="Z200" s="1818"/>
      <c r="AA200" s="1818"/>
      <c r="AB200" s="1818"/>
      <c r="AC200" s="1818"/>
      <c r="AD200" s="1818"/>
      <c r="AE200" s="1818"/>
      <c r="AF200" s="1818"/>
      <c r="AG200" s="1818"/>
    </row>
    <row r="201" spans="1:33" s="1817" customFormat="1" ht="18.75">
      <c r="A201" s="1834"/>
      <c r="B201" s="1847" t="s">
        <v>1707</v>
      </c>
      <c r="C201" s="1846">
        <v>6616</v>
      </c>
      <c r="D201" s="1815"/>
      <c r="E201" s="1842">
        <f>+IF('TRIAL-BALANCE'!C$8=C201,1,0)</f>
        <v>0</v>
      </c>
      <c r="G201" s="1842">
        <v>0</v>
      </c>
      <c r="I201" s="2217">
        <f t="shared" si="14"/>
        <v>0</v>
      </c>
      <c r="P201" s="1818"/>
      <c r="Q201" s="1818"/>
      <c r="R201" s="1818"/>
      <c r="S201" s="1818"/>
      <c r="T201" s="1818"/>
      <c r="U201" s="1818"/>
      <c r="V201" s="1818"/>
      <c r="W201" s="1818"/>
      <c r="X201" s="1818"/>
      <c r="Y201" s="1818"/>
      <c r="Z201" s="1818"/>
      <c r="AA201" s="1818"/>
      <c r="AB201" s="1818"/>
      <c r="AC201" s="1818"/>
      <c r="AD201" s="1818"/>
      <c r="AE201" s="1818"/>
      <c r="AF201" s="1818"/>
      <c r="AG201" s="1818"/>
    </row>
    <row r="202" spans="1:33" s="1817" customFormat="1" ht="18.75">
      <c r="A202" s="1834"/>
      <c r="B202" s="1847" t="s">
        <v>1708</v>
      </c>
      <c r="C202" s="1846">
        <v>6617</v>
      </c>
      <c r="D202" s="1815"/>
      <c r="E202" s="1842">
        <f>+IF('TRIAL-BALANCE'!C$8=C202,1,0)</f>
        <v>0</v>
      </c>
      <c r="G202" s="1842">
        <v>0</v>
      </c>
      <c r="I202" s="2217">
        <f t="shared" si="14"/>
        <v>0</v>
      </c>
      <c r="P202" s="1818"/>
      <c r="Q202" s="1818"/>
      <c r="R202" s="1818"/>
      <c r="S202" s="1818"/>
      <c r="T202" s="1818"/>
      <c r="U202" s="1818"/>
      <c r="V202" s="1818"/>
      <c r="W202" s="1818"/>
      <c r="X202" s="1818"/>
      <c r="Y202" s="1818"/>
      <c r="Z202" s="1818"/>
      <c r="AA202" s="1818"/>
      <c r="AB202" s="1818"/>
      <c r="AC202" s="1818"/>
      <c r="AD202" s="1818"/>
      <c r="AE202" s="1818"/>
      <c r="AF202" s="1818"/>
      <c r="AG202" s="1818"/>
    </row>
    <row r="203" spans="1:33" s="1817" customFormat="1" ht="19.5" thickBot="1">
      <c r="A203" s="1834"/>
      <c r="B203" s="1865" t="s">
        <v>1709</v>
      </c>
      <c r="C203" s="1866">
        <v>6618</v>
      </c>
      <c r="D203" s="1815"/>
      <c r="E203" s="1850">
        <f>+IF('TRIAL-BALANCE'!C$8=C203,1,0)</f>
        <v>0</v>
      </c>
      <c r="G203" s="1850">
        <v>0</v>
      </c>
      <c r="I203" s="2217">
        <f t="shared" si="14"/>
        <v>0</v>
      </c>
      <c r="P203" s="1818"/>
      <c r="Q203" s="1818"/>
      <c r="R203" s="1818"/>
      <c r="S203" s="1818"/>
      <c r="T203" s="1818"/>
      <c r="U203" s="1818"/>
      <c r="V203" s="1818"/>
      <c r="W203" s="1818"/>
      <c r="X203" s="1818"/>
      <c r="Y203" s="1818"/>
      <c r="Z203" s="1818"/>
      <c r="AA203" s="1818"/>
      <c r="AB203" s="1818"/>
      <c r="AC203" s="1818"/>
      <c r="AD203" s="1818"/>
      <c r="AE203" s="1818"/>
      <c r="AF203" s="1818"/>
      <c r="AG203" s="1818"/>
    </row>
    <row r="204" spans="1:33" s="1817" customFormat="1" ht="9" customHeight="1" thickBot="1">
      <c r="A204" s="1851"/>
      <c r="B204" s="1831"/>
      <c r="C204" s="1852"/>
      <c r="D204" s="1815"/>
      <c r="E204" s="1816"/>
      <c r="G204" s="1816"/>
      <c r="I204" s="1816"/>
      <c r="P204" s="1818"/>
      <c r="Q204" s="1818"/>
      <c r="R204" s="1818"/>
      <c r="S204" s="1818"/>
      <c r="T204" s="1818"/>
      <c r="U204" s="1818"/>
      <c r="V204" s="1818"/>
      <c r="W204" s="1818"/>
      <c r="X204" s="1818"/>
      <c r="Y204" s="1818"/>
      <c r="Z204" s="1818"/>
      <c r="AA204" s="1818"/>
      <c r="AB204" s="1818"/>
      <c r="AC204" s="1818"/>
      <c r="AD204" s="1818"/>
      <c r="AE204" s="1818"/>
      <c r="AF204" s="1818"/>
      <c r="AG204" s="1818"/>
    </row>
    <row r="205" spans="1:33" s="1817" customFormat="1" ht="18.75">
      <c r="A205" s="1834"/>
      <c r="B205" s="1835" t="s">
        <v>1710</v>
      </c>
      <c r="C205" s="1836" t="s">
        <v>1711</v>
      </c>
      <c r="D205" s="1815"/>
      <c r="E205" s="1816"/>
      <c r="G205" s="1816"/>
      <c r="I205" s="1816"/>
      <c r="P205" s="1818"/>
      <c r="Q205" s="1818"/>
      <c r="R205" s="1818"/>
      <c r="S205" s="1818"/>
      <c r="T205" s="1818"/>
      <c r="U205" s="1818"/>
      <c r="V205" s="1818"/>
      <c r="W205" s="1818"/>
      <c r="X205" s="1818"/>
      <c r="Y205" s="1818"/>
      <c r="Z205" s="1818"/>
      <c r="AA205" s="1818"/>
      <c r="AB205" s="1818"/>
      <c r="AC205" s="1818"/>
      <c r="AD205" s="1818"/>
      <c r="AE205" s="1818"/>
      <c r="AF205" s="1818"/>
      <c r="AG205" s="1818"/>
    </row>
    <row r="206" spans="1:33" s="1817" customFormat="1" ht="18.75">
      <c r="A206" s="1834"/>
      <c r="B206" s="1855" t="s">
        <v>1712</v>
      </c>
      <c r="C206" s="1856">
        <v>6701</v>
      </c>
      <c r="D206" s="1815"/>
      <c r="E206" s="1839">
        <f>+IF('TRIAL-BALANCE'!C$8=C206,1,0)</f>
        <v>0</v>
      </c>
      <c r="G206" s="1839">
        <v>0</v>
      </c>
      <c r="I206" s="2217">
        <f t="shared" ref="I206:I212" si="15">+E206+G206</f>
        <v>0</v>
      </c>
      <c r="P206" s="1818"/>
      <c r="Q206" s="1818"/>
      <c r="R206" s="1818"/>
      <c r="S206" s="1818"/>
      <c r="T206" s="1818"/>
      <c r="U206" s="1818"/>
      <c r="V206" s="1818"/>
      <c r="W206" s="1818"/>
      <c r="X206" s="1818"/>
      <c r="Y206" s="1818"/>
      <c r="Z206" s="1818"/>
      <c r="AA206" s="1818"/>
      <c r="AB206" s="1818"/>
      <c r="AC206" s="1818"/>
      <c r="AD206" s="1818"/>
      <c r="AE206" s="1818"/>
      <c r="AF206" s="1818"/>
      <c r="AG206" s="1818"/>
    </row>
    <row r="207" spans="1:33" s="1817" customFormat="1" ht="18.75">
      <c r="A207" s="1834"/>
      <c r="B207" s="1847" t="s">
        <v>1713</v>
      </c>
      <c r="C207" s="1846">
        <v>6702</v>
      </c>
      <c r="D207" s="1815"/>
      <c r="E207" s="1842">
        <f>+IF('TRIAL-BALANCE'!C$8=C207,1,0)</f>
        <v>0</v>
      </c>
      <c r="G207" s="1842">
        <v>0</v>
      </c>
      <c r="I207" s="2217">
        <f t="shared" si="15"/>
        <v>0</v>
      </c>
      <c r="P207" s="1818"/>
      <c r="Q207" s="1818"/>
      <c r="R207" s="1818"/>
      <c r="S207" s="1818"/>
      <c r="T207" s="1818"/>
      <c r="U207" s="1818"/>
      <c r="V207" s="1818"/>
      <c r="W207" s="1818"/>
      <c r="X207" s="1818"/>
      <c r="Y207" s="1818"/>
      <c r="Z207" s="1818"/>
      <c r="AA207" s="1818"/>
      <c r="AB207" s="1818"/>
      <c r="AC207" s="1818"/>
      <c r="AD207" s="1818"/>
      <c r="AE207" s="1818"/>
      <c r="AF207" s="1818"/>
      <c r="AG207" s="1818"/>
    </row>
    <row r="208" spans="1:33" s="1817" customFormat="1" ht="18.75">
      <c r="A208" s="1834"/>
      <c r="B208" s="1847" t="s">
        <v>1714</v>
      </c>
      <c r="C208" s="1846">
        <v>6703</v>
      </c>
      <c r="D208" s="1815"/>
      <c r="E208" s="1842">
        <f>+IF('TRIAL-BALANCE'!C$8=C208,1,0)</f>
        <v>0</v>
      </c>
      <c r="G208" s="1842">
        <v>0</v>
      </c>
      <c r="I208" s="2217">
        <f t="shared" si="15"/>
        <v>0</v>
      </c>
      <c r="P208" s="1818"/>
      <c r="Q208" s="1818"/>
      <c r="R208" s="1818"/>
      <c r="S208" s="1818"/>
      <c r="T208" s="1818"/>
      <c r="U208" s="1818"/>
      <c r="V208" s="1818"/>
      <c r="W208" s="1818"/>
      <c r="X208" s="1818"/>
      <c r="Y208" s="1818"/>
      <c r="Z208" s="1818"/>
      <c r="AA208" s="1818"/>
      <c r="AB208" s="1818"/>
      <c r="AC208" s="1818"/>
      <c r="AD208" s="1818"/>
      <c r="AE208" s="1818"/>
      <c r="AF208" s="1818"/>
      <c r="AG208" s="1818"/>
    </row>
    <row r="209" spans="1:33" s="1817" customFormat="1" ht="18.75">
      <c r="A209" s="1834"/>
      <c r="B209" s="1847" t="s">
        <v>1715</v>
      </c>
      <c r="C209" s="1846">
        <v>6704</v>
      </c>
      <c r="D209" s="1815"/>
      <c r="E209" s="1842">
        <f>+IF('TRIAL-BALANCE'!C$8=C209,1,0)</f>
        <v>0</v>
      </c>
      <c r="G209" s="1842">
        <v>0</v>
      </c>
      <c r="I209" s="2217">
        <f t="shared" si="15"/>
        <v>0</v>
      </c>
      <c r="P209" s="1818"/>
      <c r="Q209" s="1818"/>
      <c r="R209" s="1818"/>
      <c r="S209" s="1818"/>
      <c r="T209" s="1818"/>
      <c r="U209" s="1818"/>
      <c r="V209" s="1818"/>
      <c r="W209" s="1818"/>
      <c r="X209" s="1818"/>
      <c r="Y209" s="1818"/>
      <c r="Z209" s="1818"/>
      <c r="AA209" s="1818"/>
      <c r="AB209" s="1818"/>
      <c r="AC209" s="1818"/>
      <c r="AD209" s="1818"/>
      <c r="AE209" s="1818"/>
      <c r="AF209" s="1818"/>
      <c r="AG209" s="1818"/>
    </row>
    <row r="210" spans="1:33" s="1817" customFormat="1" ht="19.5">
      <c r="A210" s="1834"/>
      <c r="B210" s="1853" t="s">
        <v>1716</v>
      </c>
      <c r="C210" s="1846">
        <v>6705</v>
      </c>
      <c r="D210" s="1815"/>
      <c r="E210" s="1842">
        <f>+IF('TRIAL-BALANCE'!C$8=C210,1,0)</f>
        <v>0</v>
      </c>
      <c r="G210" s="1842">
        <v>0</v>
      </c>
      <c r="I210" s="2217">
        <f t="shared" si="15"/>
        <v>0</v>
      </c>
      <c r="P210" s="1818"/>
      <c r="Q210" s="1818"/>
      <c r="R210" s="1818"/>
      <c r="S210" s="1818"/>
      <c r="T210" s="1818"/>
      <c r="U210" s="1818"/>
      <c r="V210" s="1818"/>
      <c r="W210" s="1818"/>
      <c r="X210" s="1818"/>
      <c r="Y210" s="1818"/>
      <c r="Z210" s="1818"/>
      <c r="AA210" s="1818"/>
      <c r="AB210" s="1818"/>
      <c r="AC210" s="1818"/>
      <c r="AD210" s="1818"/>
      <c r="AE210" s="1818"/>
      <c r="AF210" s="1818"/>
      <c r="AG210" s="1818"/>
    </row>
    <row r="211" spans="1:33" s="1817" customFormat="1" ht="18.75">
      <c r="A211" s="1834"/>
      <c r="B211" s="1847" t="s">
        <v>1717</v>
      </c>
      <c r="C211" s="1846">
        <v>6706</v>
      </c>
      <c r="D211" s="1815"/>
      <c r="E211" s="1842">
        <f>+IF('TRIAL-BALANCE'!C$8=C211,1,0)</f>
        <v>0</v>
      </c>
      <c r="G211" s="1842">
        <v>0</v>
      </c>
      <c r="I211" s="2217">
        <f t="shared" si="15"/>
        <v>0</v>
      </c>
      <c r="P211" s="1818"/>
      <c r="Q211" s="1818"/>
      <c r="R211" s="1818"/>
      <c r="S211" s="1818"/>
      <c r="T211" s="1818"/>
      <c r="U211" s="1818"/>
      <c r="V211" s="1818"/>
      <c r="W211" s="1818"/>
      <c r="X211" s="1818"/>
      <c r="Y211" s="1818"/>
      <c r="Z211" s="1818"/>
      <c r="AA211" s="1818"/>
      <c r="AB211" s="1818"/>
      <c r="AC211" s="1818"/>
      <c r="AD211" s="1818"/>
      <c r="AE211" s="1818"/>
      <c r="AF211" s="1818"/>
      <c r="AG211" s="1818"/>
    </row>
    <row r="212" spans="1:33" s="1817" customFormat="1" ht="19.5" thickBot="1">
      <c r="A212" s="1834"/>
      <c r="B212" s="1848" t="s">
        <v>1718</v>
      </c>
      <c r="C212" s="1849">
        <v>6707</v>
      </c>
      <c r="D212" s="1815"/>
      <c r="E212" s="1850">
        <f>+IF('TRIAL-BALANCE'!C$8=C212,1,0)</f>
        <v>0</v>
      </c>
      <c r="G212" s="1850">
        <v>0</v>
      </c>
      <c r="I212" s="2217">
        <f t="shared" si="15"/>
        <v>0</v>
      </c>
      <c r="P212" s="1818"/>
      <c r="Q212" s="1818"/>
      <c r="R212" s="1818"/>
      <c r="S212" s="1818"/>
      <c r="T212" s="1818"/>
      <c r="U212" s="1818"/>
      <c r="V212" s="1818"/>
      <c r="W212" s="1818"/>
      <c r="X212" s="1818"/>
      <c r="Y212" s="1818"/>
      <c r="Z212" s="1818"/>
      <c r="AA212" s="1818"/>
      <c r="AB212" s="1818"/>
      <c r="AC212" s="1818"/>
      <c r="AD212" s="1818"/>
      <c r="AE212" s="1818"/>
      <c r="AF212" s="1818"/>
      <c r="AG212" s="1818"/>
    </row>
    <row r="213" spans="1:33" s="1817" customFormat="1" ht="9" customHeight="1" thickBot="1">
      <c r="A213" s="1851"/>
      <c r="B213" s="1831"/>
      <c r="C213" s="1852"/>
      <c r="D213" s="1815"/>
      <c r="E213" s="1816"/>
      <c r="G213" s="1816"/>
      <c r="I213" s="1816"/>
      <c r="P213" s="1818"/>
      <c r="Q213" s="1818"/>
      <c r="R213" s="1818"/>
      <c r="S213" s="1818"/>
      <c r="T213" s="1818"/>
      <c r="U213" s="1818"/>
      <c r="V213" s="1818"/>
      <c r="W213" s="1818"/>
      <c r="X213" s="1818"/>
      <c r="Y213" s="1818"/>
      <c r="Z213" s="1818"/>
      <c r="AA213" s="1818"/>
      <c r="AB213" s="1818"/>
      <c r="AC213" s="1818"/>
      <c r="AD213" s="1818"/>
      <c r="AE213" s="1818"/>
      <c r="AF213" s="1818"/>
      <c r="AG213" s="1818"/>
    </row>
    <row r="214" spans="1:33" s="1817" customFormat="1" ht="18.75">
      <c r="A214" s="1834"/>
      <c r="B214" s="1835" t="s">
        <v>1719</v>
      </c>
      <c r="C214" s="1836" t="s">
        <v>1720</v>
      </c>
      <c r="D214" s="1815"/>
      <c r="E214" s="1816"/>
      <c r="G214" s="1816"/>
      <c r="I214" s="1816"/>
      <c r="P214" s="1818"/>
      <c r="Q214" s="1818"/>
      <c r="R214" s="1818"/>
      <c r="S214" s="1818"/>
      <c r="T214" s="1818"/>
      <c r="U214" s="1818"/>
      <c r="V214" s="1818"/>
      <c r="W214" s="1818"/>
      <c r="X214" s="1818"/>
      <c r="Y214" s="1818"/>
      <c r="Z214" s="1818"/>
      <c r="AA214" s="1818"/>
      <c r="AB214" s="1818"/>
      <c r="AC214" s="1818"/>
      <c r="AD214" s="1818"/>
      <c r="AE214" s="1818"/>
      <c r="AF214" s="1818"/>
      <c r="AG214" s="1818"/>
    </row>
    <row r="215" spans="1:33" s="1817" customFormat="1" ht="18.75">
      <c r="A215" s="1834"/>
      <c r="B215" s="1855" t="s">
        <v>1721</v>
      </c>
      <c r="C215" s="1856">
        <v>6801</v>
      </c>
      <c r="D215" s="1815"/>
      <c r="E215" s="1839">
        <f>+IF('TRIAL-BALANCE'!C$8=C215,1,0)</f>
        <v>0</v>
      </c>
      <c r="G215" s="1839">
        <v>0</v>
      </c>
      <c r="I215" s="2217">
        <f t="shared" ref="I215:I222" si="16">+E215+G215</f>
        <v>0</v>
      </c>
      <c r="P215" s="1818"/>
      <c r="Q215" s="1818"/>
      <c r="R215" s="1818"/>
      <c r="S215" s="1818"/>
      <c r="T215" s="1818"/>
      <c r="U215" s="1818"/>
      <c r="V215" s="1818"/>
      <c r="W215" s="1818"/>
      <c r="X215" s="1818"/>
      <c r="Y215" s="1818"/>
      <c r="Z215" s="1818"/>
      <c r="AA215" s="1818"/>
      <c r="AB215" s="1818"/>
      <c r="AC215" s="1818"/>
      <c r="AD215" s="1818"/>
      <c r="AE215" s="1818"/>
      <c r="AF215" s="1818"/>
      <c r="AG215" s="1818"/>
    </row>
    <row r="216" spans="1:33" s="1817" customFormat="1" ht="18.75">
      <c r="A216" s="1834"/>
      <c r="B216" s="1847" t="s">
        <v>1551</v>
      </c>
      <c r="C216" s="1846">
        <v>6802</v>
      </c>
      <c r="D216" s="1815"/>
      <c r="E216" s="1842">
        <f>+IF('TRIAL-BALANCE'!C$8=C216,1,0)</f>
        <v>0</v>
      </c>
      <c r="G216" s="1842">
        <v>0</v>
      </c>
      <c r="I216" s="2217">
        <f t="shared" si="16"/>
        <v>0</v>
      </c>
      <c r="P216" s="1818"/>
      <c r="Q216" s="1818"/>
      <c r="R216" s="1818"/>
      <c r="S216" s="1818"/>
      <c r="T216" s="1818"/>
      <c r="U216" s="1818"/>
      <c r="V216" s="1818"/>
      <c r="W216" s="1818"/>
      <c r="X216" s="1818"/>
      <c r="Y216" s="1818"/>
      <c r="Z216" s="1818"/>
      <c r="AA216" s="1818"/>
      <c r="AB216" s="1818"/>
      <c r="AC216" s="1818"/>
      <c r="AD216" s="1818"/>
      <c r="AE216" s="1818"/>
      <c r="AF216" s="1818"/>
      <c r="AG216" s="1818"/>
    </row>
    <row r="217" spans="1:33" s="1817" customFormat="1" ht="18.75">
      <c r="A217" s="1834"/>
      <c r="B217" s="1847" t="s">
        <v>1722</v>
      </c>
      <c r="C217" s="1846">
        <v>6803</v>
      </c>
      <c r="D217" s="1815"/>
      <c r="E217" s="1842">
        <f>+IF('TRIAL-BALANCE'!C$8=C217,1,0)</f>
        <v>0</v>
      </c>
      <c r="G217" s="1842">
        <v>0</v>
      </c>
      <c r="I217" s="2217">
        <f t="shared" si="16"/>
        <v>0</v>
      </c>
      <c r="P217" s="1818"/>
      <c r="Q217" s="1818"/>
      <c r="R217" s="1818"/>
      <c r="S217" s="1818"/>
      <c r="T217" s="1818"/>
      <c r="U217" s="1818"/>
      <c r="V217" s="1818"/>
      <c r="W217" s="1818"/>
      <c r="X217" s="1818"/>
      <c r="Y217" s="1818"/>
      <c r="Z217" s="1818"/>
      <c r="AA217" s="1818"/>
      <c r="AB217" s="1818"/>
      <c r="AC217" s="1818"/>
      <c r="AD217" s="1818"/>
      <c r="AE217" s="1818"/>
      <c r="AF217" s="1818"/>
      <c r="AG217" s="1818"/>
    </row>
    <row r="218" spans="1:33" s="1817" customFormat="1" ht="18.75">
      <c r="A218" s="1834"/>
      <c r="B218" s="1847" t="s">
        <v>1723</v>
      </c>
      <c r="C218" s="1846">
        <v>6804</v>
      </c>
      <c r="D218" s="1815"/>
      <c r="E218" s="1842">
        <f>+IF('TRIAL-BALANCE'!C$8=C218,1,0)</f>
        <v>0</v>
      </c>
      <c r="G218" s="1842">
        <v>0</v>
      </c>
      <c r="I218" s="2217">
        <f t="shared" si="16"/>
        <v>0</v>
      </c>
      <c r="P218" s="1818"/>
      <c r="Q218" s="1818"/>
      <c r="R218" s="1818"/>
      <c r="S218" s="1818"/>
      <c r="T218" s="1818"/>
      <c r="U218" s="1818"/>
      <c r="V218" s="1818"/>
      <c r="W218" s="1818"/>
      <c r="X218" s="1818"/>
      <c r="Y218" s="1818"/>
      <c r="Z218" s="1818"/>
      <c r="AA218" s="1818"/>
      <c r="AB218" s="1818"/>
      <c r="AC218" s="1818"/>
      <c r="AD218" s="1818"/>
      <c r="AE218" s="1818"/>
      <c r="AF218" s="1818"/>
      <c r="AG218" s="1818"/>
    </row>
    <row r="219" spans="1:33" s="1817" customFormat="1" ht="18.75">
      <c r="A219" s="1834"/>
      <c r="B219" s="1847" t="s">
        <v>1724</v>
      </c>
      <c r="C219" s="1846">
        <v>6805</v>
      </c>
      <c r="D219" s="1815"/>
      <c r="E219" s="1842">
        <f>+IF('TRIAL-BALANCE'!C$8=C219,1,0)</f>
        <v>0</v>
      </c>
      <c r="G219" s="1842">
        <v>0</v>
      </c>
      <c r="I219" s="2217">
        <f t="shared" si="16"/>
        <v>0</v>
      </c>
      <c r="P219" s="1818"/>
      <c r="Q219" s="1818"/>
      <c r="R219" s="1818"/>
      <c r="S219" s="1818"/>
      <c r="T219" s="1818"/>
      <c r="U219" s="1818"/>
      <c r="V219" s="1818"/>
      <c r="W219" s="1818"/>
      <c r="X219" s="1818"/>
      <c r="Y219" s="1818"/>
      <c r="Z219" s="1818"/>
      <c r="AA219" s="1818"/>
      <c r="AB219" s="1818"/>
      <c r="AC219" s="1818"/>
      <c r="AD219" s="1818"/>
      <c r="AE219" s="1818"/>
      <c r="AF219" s="1818"/>
      <c r="AG219" s="1818"/>
    </row>
    <row r="220" spans="1:33" s="1817" customFormat="1" ht="19.5">
      <c r="A220" s="1834"/>
      <c r="B220" s="1853" t="s">
        <v>1725</v>
      </c>
      <c r="C220" s="1846">
        <v>6806</v>
      </c>
      <c r="D220" s="1815"/>
      <c r="E220" s="1842">
        <f>+IF('TRIAL-BALANCE'!C$8=C220,1,0)</f>
        <v>0</v>
      </c>
      <c r="G220" s="1842">
        <v>0</v>
      </c>
      <c r="I220" s="2217">
        <f t="shared" si="16"/>
        <v>0</v>
      </c>
      <c r="P220" s="1818"/>
      <c r="Q220" s="1818"/>
      <c r="R220" s="1818"/>
      <c r="S220" s="1818"/>
      <c r="T220" s="1818"/>
      <c r="U220" s="1818"/>
      <c r="V220" s="1818"/>
      <c r="W220" s="1818"/>
      <c r="X220" s="1818"/>
      <c r="Y220" s="1818"/>
      <c r="Z220" s="1818"/>
      <c r="AA220" s="1818"/>
      <c r="AB220" s="1818"/>
      <c r="AC220" s="1818"/>
      <c r="AD220" s="1818"/>
      <c r="AE220" s="1818"/>
      <c r="AF220" s="1818"/>
      <c r="AG220" s="1818"/>
    </row>
    <row r="221" spans="1:33" s="1817" customFormat="1" ht="18.75">
      <c r="A221" s="1834"/>
      <c r="B221" s="1847" t="s">
        <v>1726</v>
      </c>
      <c r="C221" s="1846">
        <v>6807</v>
      </c>
      <c r="D221" s="1815"/>
      <c r="E221" s="1842">
        <f>+IF('TRIAL-BALANCE'!C$8=C221,1,0)</f>
        <v>0</v>
      </c>
      <c r="G221" s="1842">
        <v>0</v>
      </c>
      <c r="I221" s="2217">
        <f t="shared" si="16"/>
        <v>0</v>
      </c>
      <c r="P221" s="1818"/>
      <c r="Q221" s="1818"/>
      <c r="R221" s="1818"/>
      <c r="S221" s="1818"/>
      <c r="T221" s="1818"/>
      <c r="U221" s="1818"/>
      <c r="V221" s="1818"/>
      <c r="W221" s="1818"/>
      <c r="X221" s="1818"/>
      <c r="Y221" s="1818"/>
      <c r="Z221" s="1818"/>
      <c r="AA221" s="1818"/>
      <c r="AB221" s="1818"/>
      <c r="AC221" s="1818"/>
      <c r="AD221" s="1818"/>
      <c r="AE221" s="1818"/>
      <c r="AF221" s="1818"/>
      <c r="AG221" s="1818"/>
    </row>
    <row r="222" spans="1:33" s="1817" customFormat="1" ht="19.5" thickBot="1">
      <c r="A222" s="1834"/>
      <c r="B222" s="1848" t="s">
        <v>1727</v>
      </c>
      <c r="C222" s="1849">
        <v>6808</v>
      </c>
      <c r="D222" s="1815"/>
      <c r="E222" s="1850">
        <f>+IF('TRIAL-BALANCE'!C$8=C222,1,0)</f>
        <v>0</v>
      </c>
      <c r="G222" s="1850">
        <v>0</v>
      </c>
      <c r="I222" s="2217">
        <f t="shared" si="16"/>
        <v>0</v>
      </c>
      <c r="P222" s="1818"/>
      <c r="Q222" s="1818"/>
      <c r="R222" s="1818"/>
      <c r="S222" s="1818"/>
      <c r="T222" s="1818"/>
      <c r="U222" s="1818"/>
      <c r="V222" s="1818"/>
      <c r="W222" s="1818"/>
      <c r="X222" s="1818"/>
      <c r="Y222" s="1818"/>
      <c r="Z222" s="1818"/>
      <c r="AA222" s="1818"/>
      <c r="AB222" s="1818"/>
      <c r="AC222" s="1818"/>
      <c r="AD222" s="1818"/>
      <c r="AE222" s="1818"/>
      <c r="AF222" s="1818"/>
      <c r="AG222" s="1818"/>
    </row>
    <row r="223" spans="1:33" s="1817" customFormat="1" ht="9" customHeight="1" thickBot="1">
      <c r="A223" s="1851"/>
      <c r="B223" s="1831"/>
      <c r="C223" s="1852"/>
      <c r="D223" s="1815"/>
      <c r="E223" s="1816"/>
      <c r="G223" s="1816"/>
      <c r="I223" s="1816"/>
      <c r="P223" s="1818"/>
      <c r="Q223" s="1818"/>
      <c r="R223" s="1818"/>
      <c r="S223" s="1818"/>
      <c r="T223" s="1818"/>
      <c r="U223" s="1818"/>
      <c r="V223" s="1818"/>
      <c r="W223" s="1818"/>
      <c r="X223" s="1818"/>
      <c r="Y223" s="1818"/>
      <c r="Z223" s="1818"/>
      <c r="AA223" s="1818"/>
      <c r="AB223" s="1818"/>
      <c r="AC223" s="1818"/>
      <c r="AD223" s="1818"/>
      <c r="AE223" s="1818"/>
      <c r="AF223" s="1818"/>
      <c r="AG223" s="1818"/>
    </row>
    <row r="224" spans="1:33" s="1817" customFormat="1" ht="18.75">
      <c r="A224" s="1834"/>
      <c r="B224" s="1835" t="s">
        <v>1728</v>
      </c>
      <c r="C224" s="1836" t="s">
        <v>1729</v>
      </c>
      <c r="D224" s="1815"/>
      <c r="E224" s="1816"/>
      <c r="G224" s="1816"/>
      <c r="I224" s="1816"/>
      <c r="P224" s="1818"/>
      <c r="Q224" s="1818"/>
      <c r="R224" s="1818"/>
      <c r="S224" s="1818"/>
      <c r="T224" s="1818"/>
      <c r="U224" s="1818"/>
      <c r="V224" s="1818"/>
      <c r="W224" s="1818"/>
      <c r="X224" s="1818"/>
      <c r="Y224" s="1818"/>
      <c r="Z224" s="1818"/>
      <c r="AA224" s="1818"/>
      <c r="AB224" s="1818"/>
      <c r="AC224" s="1818"/>
      <c r="AD224" s="1818"/>
      <c r="AE224" s="1818"/>
      <c r="AF224" s="1818"/>
      <c r="AG224" s="1818"/>
    </row>
    <row r="225" spans="1:33" s="1817" customFormat="1" ht="18.75">
      <c r="A225" s="1834"/>
      <c r="B225" s="1855" t="s">
        <v>1730</v>
      </c>
      <c r="C225" s="1856">
        <v>6901</v>
      </c>
      <c r="D225" s="1815"/>
      <c r="E225" s="1839">
        <f>+IF('TRIAL-BALANCE'!C$8=C225,1,0)</f>
        <v>0</v>
      </c>
      <c r="G225" s="1839">
        <v>0</v>
      </c>
      <c r="I225" s="2217">
        <f t="shared" ref="I225:I231" si="17">+E225+G225</f>
        <v>0</v>
      </c>
      <c r="P225" s="1818"/>
      <c r="Q225" s="1818"/>
      <c r="R225" s="1818"/>
      <c r="S225" s="1818"/>
      <c r="T225" s="1818"/>
      <c r="U225" s="1818"/>
      <c r="V225" s="1818"/>
      <c r="W225" s="1818"/>
      <c r="X225" s="1818"/>
      <c r="Y225" s="1818"/>
      <c r="Z225" s="1818"/>
      <c r="AA225" s="1818"/>
      <c r="AB225" s="1818"/>
      <c r="AC225" s="1818"/>
      <c r="AD225" s="1818"/>
      <c r="AE225" s="1818"/>
      <c r="AF225" s="1818"/>
      <c r="AG225" s="1818"/>
    </row>
    <row r="226" spans="1:33" s="1817" customFormat="1" ht="18.75">
      <c r="A226" s="1834"/>
      <c r="B226" s="1847" t="s">
        <v>1731</v>
      </c>
      <c r="C226" s="1846">
        <v>6902</v>
      </c>
      <c r="D226" s="1815"/>
      <c r="E226" s="1842">
        <f>+IF('TRIAL-BALANCE'!C$8=C226,1,0)</f>
        <v>0</v>
      </c>
      <c r="G226" s="1842">
        <v>0</v>
      </c>
      <c r="I226" s="2217">
        <f t="shared" si="17"/>
        <v>0</v>
      </c>
      <c r="P226" s="1818"/>
      <c r="Q226" s="1818"/>
      <c r="R226" s="1818"/>
      <c r="S226" s="1818"/>
      <c r="T226" s="1818"/>
      <c r="U226" s="1818"/>
      <c r="V226" s="1818"/>
      <c r="W226" s="1818"/>
      <c r="X226" s="1818"/>
      <c r="Y226" s="1818"/>
      <c r="Z226" s="1818"/>
      <c r="AA226" s="1818"/>
      <c r="AB226" s="1818"/>
      <c r="AC226" s="1818"/>
      <c r="AD226" s="1818"/>
      <c r="AE226" s="1818"/>
      <c r="AF226" s="1818"/>
      <c r="AG226" s="1818"/>
    </row>
    <row r="227" spans="1:33" s="1817" customFormat="1" ht="18.75">
      <c r="A227" s="1834"/>
      <c r="B227" s="1847" t="s">
        <v>1732</v>
      </c>
      <c r="C227" s="1846">
        <v>6903</v>
      </c>
      <c r="D227" s="1815"/>
      <c r="E227" s="1842">
        <f>+IF('TRIAL-BALANCE'!C$8=C227,1,0)</f>
        <v>0</v>
      </c>
      <c r="G227" s="1842">
        <v>0</v>
      </c>
      <c r="I227" s="2217">
        <f t="shared" si="17"/>
        <v>0</v>
      </c>
      <c r="P227" s="1818"/>
      <c r="Q227" s="1818"/>
      <c r="R227" s="1818"/>
      <c r="S227" s="1818"/>
      <c r="T227" s="1818"/>
      <c r="U227" s="1818"/>
      <c r="V227" s="1818"/>
      <c r="W227" s="1818"/>
      <c r="X227" s="1818"/>
      <c r="Y227" s="1818"/>
      <c r="Z227" s="1818"/>
      <c r="AA227" s="1818"/>
      <c r="AB227" s="1818"/>
      <c r="AC227" s="1818"/>
      <c r="AD227" s="1818"/>
      <c r="AE227" s="1818"/>
      <c r="AF227" s="1818"/>
      <c r="AG227" s="1818"/>
    </row>
    <row r="228" spans="1:33" s="1817" customFormat="1" ht="18.75">
      <c r="A228" s="1834"/>
      <c r="B228" s="1847" t="s">
        <v>1733</v>
      </c>
      <c r="C228" s="1846">
        <v>6904</v>
      </c>
      <c r="D228" s="1815"/>
      <c r="E228" s="1842">
        <f>+IF('TRIAL-BALANCE'!C$8=C228,1,0)</f>
        <v>0</v>
      </c>
      <c r="G228" s="1842">
        <v>0</v>
      </c>
      <c r="I228" s="2217">
        <f t="shared" si="17"/>
        <v>0</v>
      </c>
      <c r="P228" s="1818"/>
      <c r="Q228" s="1818"/>
      <c r="R228" s="1818"/>
      <c r="S228" s="1818"/>
      <c r="T228" s="1818"/>
      <c r="U228" s="1818"/>
      <c r="V228" s="1818"/>
      <c r="W228" s="1818"/>
      <c r="X228" s="1818"/>
      <c r="Y228" s="1818"/>
      <c r="Z228" s="1818"/>
      <c r="AA228" s="1818"/>
      <c r="AB228" s="1818"/>
      <c r="AC228" s="1818"/>
      <c r="AD228" s="1818"/>
      <c r="AE228" s="1818"/>
      <c r="AF228" s="1818"/>
      <c r="AG228" s="1818"/>
    </row>
    <row r="229" spans="1:33" s="1817" customFormat="1" ht="19.5">
      <c r="A229" s="1834"/>
      <c r="B229" s="1853" t="s">
        <v>1734</v>
      </c>
      <c r="C229" s="1846">
        <v>6905</v>
      </c>
      <c r="D229" s="1815"/>
      <c r="E229" s="1842">
        <f>+IF('TRIAL-BALANCE'!C$8=C229,1,0)</f>
        <v>0</v>
      </c>
      <c r="G229" s="1842">
        <v>0</v>
      </c>
      <c r="I229" s="2217">
        <f t="shared" si="17"/>
        <v>0</v>
      </c>
      <c r="P229" s="1818"/>
      <c r="Q229" s="1818"/>
      <c r="R229" s="1818"/>
      <c r="S229" s="1818"/>
      <c r="T229" s="1818"/>
      <c r="U229" s="1818"/>
      <c r="V229" s="1818"/>
      <c r="W229" s="1818"/>
      <c r="X229" s="1818"/>
      <c r="Y229" s="1818"/>
      <c r="Z229" s="1818"/>
      <c r="AA229" s="1818"/>
      <c r="AB229" s="1818"/>
      <c r="AC229" s="1818"/>
      <c r="AD229" s="1818"/>
      <c r="AE229" s="1818"/>
      <c r="AF229" s="1818"/>
      <c r="AG229" s="1818"/>
    </row>
    <row r="230" spans="1:33" s="1817" customFormat="1" ht="18.75">
      <c r="A230" s="1834"/>
      <c r="B230" s="1847" t="s">
        <v>1735</v>
      </c>
      <c r="C230" s="1846">
        <v>6906</v>
      </c>
      <c r="D230" s="1815"/>
      <c r="E230" s="1842">
        <f>+IF('TRIAL-BALANCE'!C$8=C230,1,0)</f>
        <v>0</v>
      </c>
      <c r="G230" s="1842">
        <v>0</v>
      </c>
      <c r="I230" s="2217">
        <f t="shared" si="17"/>
        <v>0</v>
      </c>
      <c r="P230" s="1818"/>
      <c r="Q230" s="1818"/>
      <c r="R230" s="1818"/>
      <c r="S230" s="1818"/>
      <c r="T230" s="1818"/>
      <c r="U230" s="1818"/>
      <c r="V230" s="1818"/>
      <c r="W230" s="1818"/>
      <c r="X230" s="1818"/>
      <c r="Y230" s="1818"/>
      <c r="Z230" s="1818"/>
      <c r="AA230" s="1818"/>
      <c r="AB230" s="1818"/>
      <c r="AC230" s="1818"/>
      <c r="AD230" s="1818"/>
      <c r="AE230" s="1818"/>
      <c r="AF230" s="1818"/>
      <c r="AG230" s="1818"/>
    </row>
    <row r="231" spans="1:33" s="1817" customFormat="1" ht="19.5" thickBot="1">
      <c r="A231" s="1834"/>
      <c r="B231" s="1848" t="s">
        <v>1736</v>
      </c>
      <c r="C231" s="1849">
        <v>6907</v>
      </c>
      <c r="D231" s="1815"/>
      <c r="E231" s="1850">
        <f>+IF('TRIAL-BALANCE'!C$8=C231,1,0)</f>
        <v>0</v>
      </c>
      <c r="G231" s="1850">
        <v>0</v>
      </c>
      <c r="I231" s="2217">
        <f t="shared" si="17"/>
        <v>0</v>
      </c>
      <c r="P231" s="1818"/>
      <c r="Q231" s="1818"/>
      <c r="R231" s="1818"/>
      <c r="S231" s="1818"/>
      <c r="T231" s="1818"/>
      <c r="U231" s="1818"/>
      <c r="V231" s="1818"/>
      <c r="W231" s="1818"/>
      <c r="X231" s="1818"/>
      <c r="Y231" s="1818"/>
      <c r="Z231" s="1818"/>
      <c r="AA231" s="1818"/>
      <c r="AB231" s="1818"/>
      <c r="AC231" s="1818"/>
      <c r="AD231" s="1818"/>
      <c r="AE231" s="1818"/>
      <c r="AF231" s="1818"/>
      <c r="AG231" s="1818"/>
    </row>
    <row r="232" spans="1:33" s="1817" customFormat="1" ht="9" customHeight="1" thickBot="1">
      <c r="A232" s="1851"/>
      <c r="B232" s="1831"/>
      <c r="C232" s="1852"/>
      <c r="D232" s="1815"/>
      <c r="E232" s="1816"/>
      <c r="G232" s="1816"/>
      <c r="I232" s="1816"/>
      <c r="P232" s="1818"/>
      <c r="Q232" s="1818"/>
      <c r="R232" s="1818"/>
      <c r="S232" s="1818"/>
      <c r="T232" s="1818"/>
      <c r="U232" s="1818"/>
      <c r="V232" s="1818"/>
      <c r="W232" s="1818"/>
      <c r="X232" s="1818"/>
      <c r="Y232" s="1818"/>
      <c r="Z232" s="1818"/>
      <c r="AA232" s="1818"/>
      <c r="AB232" s="1818"/>
      <c r="AC232" s="1818"/>
      <c r="AD232" s="1818"/>
      <c r="AE232" s="1818"/>
      <c r="AF232" s="1818"/>
      <c r="AG232" s="1818"/>
    </row>
    <row r="233" spans="1:33" s="1817" customFormat="1" ht="18.75">
      <c r="A233" s="1834"/>
      <c r="B233" s="1835" t="s">
        <v>1737</v>
      </c>
      <c r="C233" s="1836" t="s">
        <v>1738</v>
      </c>
      <c r="D233" s="1815"/>
      <c r="E233" s="1816"/>
      <c r="G233" s="1816"/>
      <c r="I233" s="1816"/>
      <c r="P233" s="1818"/>
      <c r="Q233" s="1818"/>
      <c r="R233" s="1818"/>
      <c r="S233" s="1818"/>
      <c r="T233" s="1818"/>
      <c r="U233" s="1818"/>
      <c r="V233" s="1818"/>
      <c r="W233" s="1818"/>
      <c r="X233" s="1818"/>
      <c r="Y233" s="1818"/>
      <c r="Z233" s="1818"/>
      <c r="AA233" s="1818"/>
      <c r="AB233" s="1818"/>
      <c r="AC233" s="1818"/>
      <c r="AD233" s="1818"/>
      <c r="AE233" s="1818"/>
      <c r="AF233" s="1818"/>
      <c r="AG233" s="1818"/>
    </row>
    <row r="234" spans="1:33" s="1817" customFormat="1" ht="18.75">
      <c r="A234" s="1834"/>
      <c r="B234" s="1855" t="s">
        <v>1739</v>
      </c>
      <c r="C234" s="1856">
        <v>7001</v>
      </c>
      <c r="D234" s="1815"/>
      <c r="E234" s="1839">
        <f>+IF('TRIAL-BALANCE'!C$8=C234,1,0)</f>
        <v>0</v>
      </c>
      <c r="G234" s="1839">
        <v>0</v>
      </c>
      <c r="I234" s="2217">
        <f>+E234+G234</f>
        <v>0</v>
      </c>
      <c r="P234" s="1818"/>
      <c r="Q234" s="1818"/>
      <c r="R234" s="1818"/>
      <c r="S234" s="1818"/>
      <c r="T234" s="1818"/>
      <c r="U234" s="1818"/>
      <c r="V234" s="1818"/>
      <c r="W234" s="1818"/>
      <c r="X234" s="1818"/>
      <c r="Y234" s="1818"/>
      <c r="Z234" s="1818"/>
      <c r="AA234" s="1818"/>
      <c r="AB234" s="1818"/>
      <c r="AC234" s="1818"/>
      <c r="AD234" s="1818"/>
      <c r="AE234" s="1818"/>
      <c r="AF234" s="1818"/>
      <c r="AG234" s="1818"/>
    </row>
    <row r="235" spans="1:33" s="1817" customFormat="1" ht="18.75">
      <c r="A235" s="1834"/>
      <c r="B235" s="1847" t="s">
        <v>1740</v>
      </c>
      <c r="C235" s="1846">
        <v>7002</v>
      </c>
      <c r="D235" s="1815"/>
      <c r="E235" s="1842">
        <f>+IF('TRIAL-BALANCE'!C$8=C235,1,0)</f>
        <v>0</v>
      </c>
      <c r="G235" s="1842">
        <v>0</v>
      </c>
      <c r="I235" s="2217">
        <f>+E235+G235</f>
        <v>0</v>
      </c>
      <c r="P235" s="1818"/>
      <c r="Q235" s="1818"/>
      <c r="R235" s="1818"/>
      <c r="S235" s="1818"/>
      <c r="T235" s="1818"/>
      <c r="U235" s="1818"/>
      <c r="V235" s="1818"/>
      <c r="W235" s="1818"/>
      <c r="X235" s="1818"/>
      <c r="Y235" s="1818"/>
      <c r="Z235" s="1818"/>
      <c r="AA235" s="1818"/>
      <c r="AB235" s="1818"/>
      <c r="AC235" s="1818"/>
      <c r="AD235" s="1818"/>
      <c r="AE235" s="1818"/>
      <c r="AF235" s="1818"/>
      <c r="AG235" s="1818"/>
    </row>
    <row r="236" spans="1:33" s="1817" customFormat="1" ht="19.5">
      <c r="A236" s="1834"/>
      <c r="B236" s="1853" t="s">
        <v>1741</v>
      </c>
      <c r="C236" s="1846">
        <v>7003</v>
      </c>
      <c r="D236" s="1815"/>
      <c r="E236" s="1842">
        <f>+IF('TRIAL-BALANCE'!C$8=C236,1,0)</f>
        <v>0</v>
      </c>
      <c r="G236" s="1842">
        <v>0</v>
      </c>
      <c r="I236" s="2217">
        <f>+E236+G236</f>
        <v>0</v>
      </c>
      <c r="P236" s="1818"/>
      <c r="Q236" s="1818"/>
      <c r="R236" s="1818"/>
      <c r="S236" s="1818"/>
      <c r="T236" s="1818"/>
      <c r="U236" s="1818"/>
      <c r="V236" s="1818"/>
      <c r="W236" s="1818"/>
      <c r="X236" s="1818"/>
      <c r="Y236" s="1818"/>
      <c r="Z236" s="1818"/>
      <c r="AA236" s="1818"/>
      <c r="AB236" s="1818"/>
      <c r="AC236" s="1818"/>
      <c r="AD236" s="1818"/>
      <c r="AE236" s="1818"/>
      <c r="AF236" s="1818"/>
      <c r="AG236" s="1818"/>
    </row>
    <row r="237" spans="1:33" s="1817" customFormat="1" ht="19.5" thickBot="1">
      <c r="A237" s="1834"/>
      <c r="B237" s="1848" t="s">
        <v>1742</v>
      </c>
      <c r="C237" s="1849">
        <v>7004</v>
      </c>
      <c r="D237" s="1815"/>
      <c r="E237" s="1850">
        <f>+IF('TRIAL-BALANCE'!C$8=C237,1,0)</f>
        <v>0</v>
      </c>
      <c r="G237" s="1850">
        <v>0</v>
      </c>
      <c r="I237" s="2217">
        <f>+E237+G237</f>
        <v>0</v>
      </c>
      <c r="P237" s="1818"/>
      <c r="Q237" s="1818"/>
      <c r="R237" s="1818"/>
      <c r="S237" s="1818"/>
      <c r="T237" s="1818"/>
      <c r="U237" s="1818"/>
      <c r="V237" s="1818"/>
      <c r="W237" s="1818"/>
      <c r="X237" s="1818"/>
      <c r="Y237" s="1818"/>
      <c r="Z237" s="1818"/>
      <c r="AA237" s="1818"/>
      <c r="AB237" s="1818"/>
      <c r="AC237" s="1818"/>
      <c r="AD237" s="1818"/>
      <c r="AE237" s="1818"/>
      <c r="AF237" s="1818"/>
      <c r="AG237" s="1818"/>
    </row>
    <row r="238" spans="1:33" s="1817" customFormat="1" ht="9" customHeight="1" thickBot="1">
      <c r="A238" s="1851"/>
      <c r="B238" s="1831"/>
      <c r="C238" s="1852"/>
      <c r="D238" s="1815"/>
      <c r="E238" s="1816"/>
      <c r="G238" s="1816"/>
      <c r="I238" s="1816"/>
      <c r="P238" s="1818"/>
      <c r="Q238" s="1818"/>
      <c r="R238" s="1818"/>
      <c r="S238" s="1818"/>
      <c r="T238" s="1818"/>
      <c r="U238" s="1818"/>
      <c r="V238" s="1818"/>
      <c r="W238" s="1818"/>
      <c r="X238" s="1818"/>
      <c r="Y238" s="1818"/>
      <c r="Z238" s="1818"/>
      <c r="AA238" s="1818"/>
      <c r="AB238" s="1818"/>
      <c r="AC238" s="1818"/>
      <c r="AD238" s="1818"/>
      <c r="AE238" s="1818"/>
      <c r="AF238" s="1818"/>
      <c r="AG238" s="1818"/>
    </row>
    <row r="239" spans="1:33" s="1817" customFormat="1" ht="18.75">
      <c r="A239" s="1834"/>
      <c r="B239" s="1835" t="s">
        <v>1743</v>
      </c>
      <c r="C239" s="1836" t="s">
        <v>1744</v>
      </c>
      <c r="D239" s="1815"/>
      <c r="E239" s="1816"/>
      <c r="G239" s="1816"/>
      <c r="I239" s="1816"/>
      <c r="P239" s="1818"/>
      <c r="Q239" s="1818"/>
      <c r="R239" s="1818"/>
      <c r="S239" s="1818"/>
      <c r="T239" s="1818"/>
      <c r="U239" s="1818"/>
      <c r="V239" s="1818"/>
      <c r="W239" s="1818"/>
      <c r="X239" s="1818"/>
      <c r="Y239" s="1818"/>
      <c r="Z239" s="1818"/>
      <c r="AA239" s="1818"/>
      <c r="AB239" s="1818"/>
      <c r="AC239" s="1818"/>
      <c r="AD239" s="1818"/>
      <c r="AE239" s="1818"/>
      <c r="AF239" s="1818"/>
      <c r="AG239" s="1818"/>
    </row>
    <row r="240" spans="1:33" s="1817" customFormat="1" ht="18.75">
      <c r="A240" s="1834"/>
      <c r="B240" s="1855" t="s">
        <v>1745</v>
      </c>
      <c r="C240" s="1856">
        <v>7101</v>
      </c>
      <c r="D240" s="1815"/>
      <c r="E240" s="1839">
        <f>+IF('TRIAL-BALANCE'!C$8=C240,1,0)</f>
        <v>0</v>
      </c>
      <c r="G240" s="1839">
        <v>0</v>
      </c>
      <c r="I240" s="2217">
        <f t="shared" ref="I240:I249" si="18">+E240+G240</f>
        <v>0</v>
      </c>
      <c r="P240" s="1818"/>
      <c r="Q240" s="1818"/>
      <c r="R240" s="1818"/>
      <c r="S240" s="1818"/>
      <c r="T240" s="1818"/>
      <c r="U240" s="1818"/>
      <c r="V240" s="1818"/>
      <c r="W240" s="1818"/>
      <c r="X240" s="1818"/>
      <c r="Y240" s="1818"/>
      <c r="Z240" s="1818"/>
      <c r="AA240" s="1818"/>
      <c r="AB240" s="1818"/>
      <c r="AC240" s="1818"/>
      <c r="AD240" s="1818"/>
      <c r="AE240" s="1818"/>
      <c r="AF240" s="1818"/>
      <c r="AG240" s="1818"/>
    </row>
    <row r="241" spans="1:33" s="1817" customFormat="1" ht="18.75">
      <c r="A241" s="1834"/>
      <c r="B241" s="1847" t="s">
        <v>1746</v>
      </c>
      <c r="C241" s="1846">
        <v>7102</v>
      </c>
      <c r="D241" s="1815"/>
      <c r="E241" s="1842">
        <f>+IF('TRIAL-BALANCE'!C$8=C241,1,0)</f>
        <v>0</v>
      </c>
      <c r="G241" s="1842">
        <v>0</v>
      </c>
      <c r="I241" s="2217">
        <f t="shared" si="18"/>
        <v>0</v>
      </c>
      <c r="P241" s="1818"/>
      <c r="Q241" s="1818"/>
      <c r="R241" s="1818"/>
      <c r="S241" s="1818"/>
      <c r="T241" s="1818"/>
      <c r="U241" s="1818"/>
      <c r="V241" s="1818"/>
      <c r="W241" s="1818"/>
      <c r="X241" s="1818"/>
      <c r="Y241" s="1818"/>
      <c r="Z241" s="1818"/>
      <c r="AA241" s="1818"/>
      <c r="AB241" s="1818"/>
      <c r="AC241" s="1818"/>
      <c r="AD241" s="1818"/>
      <c r="AE241" s="1818"/>
      <c r="AF241" s="1818"/>
      <c r="AG241" s="1818"/>
    </row>
    <row r="242" spans="1:33" s="1817" customFormat="1" ht="18.75">
      <c r="A242" s="1834"/>
      <c r="B242" s="1847" t="s">
        <v>1747</v>
      </c>
      <c r="C242" s="1846">
        <v>7103</v>
      </c>
      <c r="D242" s="1815"/>
      <c r="E242" s="1842">
        <f>+IF('TRIAL-BALANCE'!C$8=C242,1,0)</f>
        <v>0</v>
      </c>
      <c r="G242" s="1842">
        <v>0</v>
      </c>
      <c r="I242" s="2217">
        <f t="shared" si="18"/>
        <v>0</v>
      </c>
      <c r="P242" s="1818"/>
      <c r="Q242" s="1818"/>
      <c r="R242" s="1818"/>
      <c r="S242" s="1818"/>
      <c r="T242" s="1818"/>
      <c r="U242" s="1818"/>
      <c r="V242" s="1818"/>
      <c r="W242" s="1818"/>
      <c r="X242" s="1818"/>
      <c r="Y242" s="1818"/>
      <c r="Z242" s="1818"/>
      <c r="AA242" s="1818"/>
      <c r="AB242" s="1818"/>
      <c r="AC242" s="1818"/>
      <c r="AD242" s="1818"/>
      <c r="AE242" s="1818"/>
      <c r="AF242" s="1818"/>
      <c r="AG242" s="1818"/>
    </row>
    <row r="243" spans="1:33" s="1817" customFormat="1" ht="18.75">
      <c r="A243" s="1834"/>
      <c r="B243" s="1847" t="s">
        <v>1748</v>
      </c>
      <c r="C243" s="1846">
        <v>7104</v>
      </c>
      <c r="D243" s="1815"/>
      <c r="E243" s="1842">
        <f>+IF('TRIAL-BALANCE'!C$8=C243,1,0)</f>
        <v>0</v>
      </c>
      <c r="G243" s="1842">
        <v>0</v>
      </c>
      <c r="I243" s="2217">
        <f t="shared" si="18"/>
        <v>0</v>
      </c>
      <c r="P243" s="1818"/>
      <c r="Q243" s="1818"/>
      <c r="R243" s="1818"/>
      <c r="S243" s="1818"/>
      <c r="T243" s="1818"/>
      <c r="U243" s="1818"/>
      <c r="V243" s="1818"/>
      <c r="W243" s="1818"/>
      <c r="X243" s="1818"/>
      <c r="Y243" s="1818"/>
      <c r="Z243" s="1818"/>
      <c r="AA243" s="1818"/>
      <c r="AB243" s="1818"/>
      <c r="AC243" s="1818"/>
      <c r="AD243" s="1818"/>
      <c r="AE243" s="1818"/>
      <c r="AF243" s="1818"/>
      <c r="AG243" s="1818"/>
    </row>
    <row r="244" spans="1:33" s="1817" customFormat="1" ht="18.75">
      <c r="A244" s="1834"/>
      <c r="B244" s="1847" t="s">
        <v>1749</v>
      </c>
      <c r="C244" s="1846">
        <v>7105</v>
      </c>
      <c r="D244" s="1815"/>
      <c r="E244" s="1842">
        <f>+IF('TRIAL-BALANCE'!C$8=C244,1,0)</f>
        <v>0</v>
      </c>
      <c r="G244" s="1842">
        <v>0</v>
      </c>
      <c r="I244" s="2217">
        <f t="shared" si="18"/>
        <v>0</v>
      </c>
      <c r="P244" s="1818"/>
      <c r="Q244" s="1818"/>
      <c r="R244" s="1818"/>
      <c r="S244" s="1818"/>
      <c r="T244" s="1818"/>
      <c r="U244" s="1818"/>
      <c r="V244" s="1818"/>
      <c r="W244" s="1818"/>
      <c r="X244" s="1818"/>
      <c r="Y244" s="1818"/>
      <c r="Z244" s="1818"/>
      <c r="AA244" s="1818"/>
      <c r="AB244" s="1818"/>
      <c r="AC244" s="1818"/>
      <c r="AD244" s="1818"/>
      <c r="AE244" s="1818"/>
      <c r="AF244" s="1818"/>
      <c r="AG244" s="1818"/>
    </row>
    <row r="245" spans="1:33" s="1817" customFormat="1" ht="18.75">
      <c r="A245" s="1834"/>
      <c r="B245" s="1847" t="s">
        <v>1750</v>
      </c>
      <c r="C245" s="1846">
        <v>7106</v>
      </c>
      <c r="D245" s="1815"/>
      <c r="E245" s="1842">
        <f>+IF('TRIAL-BALANCE'!C$8=C245,1,0)</f>
        <v>0</v>
      </c>
      <c r="G245" s="1842">
        <v>0</v>
      </c>
      <c r="I245" s="2217">
        <f t="shared" si="18"/>
        <v>0</v>
      </c>
      <c r="P245" s="1818"/>
      <c r="Q245" s="1818"/>
      <c r="R245" s="1818"/>
      <c r="S245" s="1818"/>
      <c r="T245" s="1818"/>
      <c r="U245" s="1818"/>
      <c r="V245" s="1818"/>
      <c r="W245" s="1818"/>
      <c r="X245" s="1818"/>
      <c r="Y245" s="1818"/>
      <c r="Z245" s="1818"/>
      <c r="AA245" s="1818"/>
      <c r="AB245" s="1818"/>
      <c r="AC245" s="1818"/>
      <c r="AD245" s="1818"/>
      <c r="AE245" s="1818"/>
      <c r="AF245" s="1818"/>
      <c r="AG245" s="1818"/>
    </row>
    <row r="246" spans="1:33" s="1817" customFormat="1" ht="18.75">
      <c r="A246" s="1834"/>
      <c r="B246" s="1847" t="s">
        <v>1751</v>
      </c>
      <c r="C246" s="1846">
        <v>7107</v>
      </c>
      <c r="D246" s="1815"/>
      <c r="E246" s="1842">
        <f>+IF('TRIAL-BALANCE'!C$8=C246,1,0)</f>
        <v>0</v>
      </c>
      <c r="G246" s="1842">
        <v>0</v>
      </c>
      <c r="I246" s="2217">
        <f t="shared" si="18"/>
        <v>0</v>
      </c>
      <c r="P246" s="1818"/>
      <c r="Q246" s="1818"/>
      <c r="R246" s="1818"/>
      <c r="S246" s="1818"/>
      <c r="T246" s="1818"/>
      <c r="U246" s="1818"/>
      <c r="V246" s="1818"/>
      <c r="W246" s="1818"/>
      <c r="X246" s="1818"/>
      <c r="Y246" s="1818"/>
      <c r="Z246" s="1818"/>
      <c r="AA246" s="1818"/>
      <c r="AB246" s="1818"/>
      <c r="AC246" s="1818"/>
      <c r="AD246" s="1818"/>
      <c r="AE246" s="1818"/>
      <c r="AF246" s="1818"/>
      <c r="AG246" s="1818"/>
    </row>
    <row r="247" spans="1:33" s="1817" customFormat="1" ht="18.75">
      <c r="A247" s="1834"/>
      <c r="B247" s="1847" t="s">
        <v>1752</v>
      </c>
      <c r="C247" s="1846">
        <v>7108</v>
      </c>
      <c r="D247" s="1815"/>
      <c r="E247" s="1842">
        <f>+IF('TRIAL-BALANCE'!C$8=C247,1,0)</f>
        <v>0</v>
      </c>
      <c r="G247" s="1842">
        <v>0</v>
      </c>
      <c r="I247" s="2217">
        <f t="shared" si="18"/>
        <v>0</v>
      </c>
      <c r="P247" s="1818"/>
      <c r="Q247" s="1818"/>
      <c r="R247" s="1818"/>
      <c r="S247" s="1818"/>
      <c r="T247" s="1818"/>
      <c r="U247" s="1818"/>
      <c r="V247" s="1818"/>
      <c r="W247" s="1818"/>
      <c r="X247" s="1818"/>
      <c r="Y247" s="1818"/>
      <c r="Z247" s="1818"/>
      <c r="AA247" s="1818"/>
      <c r="AB247" s="1818"/>
      <c r="AC247" s="1818"/>
      <c r="AD247" s="1818"/>
      <c r="AE247" s="1818"/>
      <c r="AF247" s="1818"/>
      <c r="AG247" s="1818"/>
    </row>
    <row r="248" spans="1:33" s="1817" customFormat="1" ht="19.5">
      <c r="A248" s="1834"/>
      <c r="B248" s="1853" t="s">
        <v>1753</v>
      </c>
      <c r="C248" s="1846">
        <v>7109</v>
      </c>
      <c r="D248" s="1815"/>
      <c r="E248" s="1842">
        <f>+IF('TRIAL-BALANCE'!C$8=C248,1,0)</f>
        <v>0</v>
      </c>
      <c r="G248" s="1842">
        <v>0</v>
      </c>
      <c r="I248" s="2217">
        <f t="shared" si="18"/>
        <v>0</v>
      </c>
      <c r="P248" s="1818"/>
      <c r="Q248" s="1818"/>
      <c r="R248" s="1818"/>
      <c r="S248" s="1818"/>
      <c r="T248" s="1818"/>
      <c r="U248" s="1818"/>
      <c r="V248" s="1818"/>
      <c r="W248" s="1818"/>
      <c r="X248" s="1818"/>
      <c r="Y248" s="1818"/>
      <c r="Z248" s="1818"/>
      <c r="AA248" s="1818"/>
      <c r="AB248" s="1818"/>
      <c r="AC248" s="1818"/>
      <c r="AD248" s="1818"/>
      <c r="AE248" s="1818"/>
      <c r="AF248" s="1818"/>
      <c r="AG248" s="1818"/>
    </row>
    <row r="249" spans="1:33" s="1817" customFormat="1" ht="19.5" thickBot="1">
      <c r="A249" s="1834"/>
      <c r="B249" s="1848" t="s">
        <v>1754</v>
      </c>
      <c r="C249" s="1849">
        <v>7110</v>
      </c>
      <c r="D249" s="1815"/>
      <c r="E249" s="1850">
        <f>+IF('TRIAL-BALANCE'!C$8=C249,1,0)</f>
        <v>0</v>
      </c>
      <c r="G249" s="1850">
        <v>0</v>
      </c>
      <c r="I249" s="2217">
        <f t="shared" si="18"/>
        <v>0</v>
      </c>
      <c r="P249" s="1818"/>
      <c r="Q249" s="1818"/>
      <c r="R249" s="1818"/>
      <c r="S249" s="1818"/>
      <c r="T249" s="1818"/>
      <c r="U249" s="1818"/>
      <c r="V249" s="1818"/>
      <c r="W249" s="1818"/>
      <c r="X249" s="1818"/>
      <c r="Y249" s="1818"/>
      <c r="Z249" s="1818"/>
      <c r="AA249" s="1818"/>
      <c r="AB249" s="1818"/>
      <c r="AC249" s="1818"/>
      <c r="AD249" s="1818"/>
      <c r="AE249" s="1818"/>
      <c r="AF249" s="1818"/>
      <c r="AG249" s="1818"/>
    </row>
    <row r="250" spans="1:33" s="1817" customFormat="1" ht="9" customHeight="1" thickBot="1">
      <c r="A250" s="1851"/>
      <c r="B250" s="1831"/>
      <c r="C250" s="1852"/>
      <c r="D250" s="1815"/>
      <c r="E250" s="1816"/>
      <c r="G250" s="1816"/>
      <c r="I250" s="1816"/>
      <c r="P250" s="1818"/>
      <c r="Q250" s="1818"/>
      <c r="R250" s="1818"/>
      <c r="S250" s="1818"/>
      <c r="T250" s="1818"/>
      <c r="U250" s="1818"/>
      <c r="V250" s="1818"/>
      <c r="W250" s="1818"/>
      <c r="X250" s="1818"/>
      <c r="Y250" s="1818"/>
      <c r="Z250" s="1818"/>
      <c r="AA250" s="1818"/>
      <c r="AB250" s="1818"/>
      <c r="AC250" s="1818"/>
      <c r="AD250" s="1818"/>
      <c r="AE250" s="1818"/>
      <c r="AF250" s="1818"/>
      <c r="AG250" s="1818"/>
    </row>
    <row r="251" spans="1:33" s="1817" customFormat="1" ht="18.75">
      <c r="A251" s="1834"/>
      <c r="B251" s="1835" t="s">
        <v>1755</v>
      </c>
      <c r="C251" s="1836" t="s">
        <v>1756</v>
      </c>
      <c r="D251" s="1815"/>
      <c r="E251" s="1816"/>
      <c r="G251" s="1816"/>
      <c r="I251" s="1816"/>
      <c r="P251" s="1818"/>
      <c r="Q251" s="1818"/>
      <c r="R251" s="1818"/>
      <c r="S251" s="1818"/>
      <c r="T251" s="1818"/>
      <c r="U251" s="1818"/>
      <c r="V251" s="1818"/>
      <c r="W251" s="1818"/>
      <c r="X251" s="1818"/>
      <c r="Y251" s="1818"/>
      <c r="Z251" s="1818"/>
      <c r="AA251" s="1818"/>
      <c r="AB251" s="1818"/>
      <c r="AC251" s="1818"/>
      <c r="AD251" s="1818"/>
      <c r="AE251" s="1818"/>
      <c r="AF251" s="1818"/>
      <c r="AG251" s="1818"/>
    </row>
    <row r="252" spans="1:33" s="1817" customFormat="1" ht="18.75">
      <c r="A252" s="1834"/>
      <c r="B252" s="1855" t="s">
        <v>1757</v>
      </c>
      <c r="C252" s="1856">
        <v>7201</v>
      </c>
      <c r="D252" s="1815"/>
      <c r="E252" s="1816"/>
      <c r="G252" s="1816"/>
      <c r="I252" s="1816"/>
      <c r="P252" s="1818"/>
      <c r="Q252" s="1818"/>
      <c r="R252" s="1818"/>
      <c r="S252" s="1818"/>
      <c r="T252" s="1818"/>
      <c r="U252" s="1818"/>
      <c r="V252" s="1818"/>
      <c r="W252" s="1818"/>
      <c r="X252" s="1818"/>
      <c r="Y252" s="1818"/>
      <c r="Z252" s="1818"/>
      <c r="AA252" s="1818"/>
      <c r="AB252" s="1818"/>
      <c r="AC252" s="1818"/>
      <c r="AD252" s="1818"/>
      <c r="AE252" s="1818"/>
      <c r="AF252" s="1818"/>
      <c r="AG252" s="1818"/>
    </row>
    <row r="253" spans="1:33" s="1817" customFormat="1" ht="18.75">
      <c r="A253" s="1834"/>
      <c r="B253" s="1847" t="s">
        <v>1758</v>
      </c>
      <c r="C253" s="1846">
        <v>7202</v>
      </c>
      <c r="D253" s="1815"/>
      <c r="E253" s="1816"/>
      <c r="G253" s="1816"/>
      <c r="I253" s="1816"/>
      <c r="P253" s="1818"/>
      <c r="Q253" s="1818"/>
      <c r="R253" s="1818"/>
      <c r="S253" s="1818"/>
      <c r="T253" s="1818"/>
      <c r="U253" s="1818"/>
      <c r="V253" s="1818"/>
      <c r="W253" s="1818"/>
      <c r="X253" s="1818"/>
      <c r="Y253" s="1818"/>
      <c r="Z253" s="1818"/>
      <c r="AA253" s="1818"/>
      <c r="AB253" s="1818"/>
      <c r="AC253" s="1818"/>
      <c r="AD253" s="1818"/>
      <c r="AE253" s="1818"/>
      <c r="AF253" s="1818"/>
      <c r="AG253" s="1818"/>
    </row>
    <row r="254" spans="1:33" s="1817" customFormat="1" ht="18.75">
      <c r="A254" s="1834"/>
      <c r="B254" s="1847" t="s">
        <v>1759</v>
      </c>
      <c r="C254" s="1846">
        <v>7203</v>
      </c>
      <c r="D254" s="1815"/>
      <c r="E254" s="1816"/>
      <c r="G254" s="1816"/>
      <c r="I254" s="1816"/>
      <c r="P254" s="1818"/>
      <c r="Q254" s="1818"/>
      <c r="R254" s="1818"/>
      <c r="S254" s="1818"/>
      <c r="T254" s="1818"/>
      <c r="U254" s="1818"/>
      <c r="V254" s="1818"/>
      <c r="W254" s="1818"/>
      <c r="X254" s="1818"/>
      <c r="Y254" s="1818"/>
      <c r="Z254" s="1818"/>
      <c r="AA254" s="1818"/>
      <c r="AB254" s="1818"/>
      <c r="AC254" s="1818"/>
      <c r="AD254" s="1818"/>
      <c r="AE254" s="1818"/>
      <c r="AF254" s="1818"/>
      <c r="AG254" s="1818"/>
    </row>
    <row r="255" spans="1:33" s="1817" customFormat="1" ht="18.75">
      <c r="A255" s="1834"/>
      <c r="B255" s="1847" t="s">
        <v>1760</v>
      </c>
      <c r="C255" s="1846">
        <v>7204</v>
      </c>
      <c r="D255" s="1815"/>
      <c r="E255" s="1816"/>
      <c r="G255" s="1816"/>
      <c r="I255" s="1816"/>
      <c r="P255" s="1818"/>
      <c r="Q255" s="1818"/>
      <c r="R255" s="1818"/>
      <c r="S255" s="1818"/>
      <c r="T255" s="1818"/>
      <c r="U255" s="1818"/>
      <c r="V255" s="1818"/>
      <c r="W255" s="1818"/>
      <c r="X255" s="1818"/>
      <c r="Y255" s="1818"/>
      <c r="Z255" s="1818"/>
      <c r="AA255" s="1818"/>
      <c r="AB255" s="1818"/>
      <c r="AC255" s="1818"/>
      <c r="AD255" s="1818"/>
      <c r="AE255" s="1818"/>
      <c r="AF255" s="1818"/>
      <c r="AG255" s="1818"/>
    </row>
    <row r="256" spans="1:33" s="1817" customFormat="1" ht="18.75">
      <c r="A256" s="1834"/>
      <c r="B256" s="1847" t="s">
        <v>1761</v>
      </c>
      <c r="C256" s="1846">
        <v>7205</v>
      </c>
      <c r="D256" s="1815"/>
      <c r="E256" s="1816"/>
      <c r="G256" s="1816"/>
      <c r="I256" s="1816"/>
      <c r="P256" s="1818"/>
      <c r="Q256" s="1818"/>
      <c r="R256" s="1818"/>
      <c r="S256" s="1818"/>
      <c r="T256" s="1818"/>
      <c r="U256" s="1818"/>
      <c r="V256" s="1818"/>
      <c r="W256" s="1818"/>
      <c r="X256" s="1818"/>
      <c r="Y256" s="1818"/>
      <c r="Z256" s="1818"/>
      <c r="AA256" s="1818"/>
      <c r="AB256" s="1818"/>
      <c r="AC256" s="1818"/>
      <c r="AD256" s="1818"/>
      <c r="AE256" s="1818"/>
      <c r="AF256" s="1818"/>
      <c r="AG256" s="1818"/>
    </row>
    <row r="257" spans="1:33" s="1817" customFormat="1" ht="18.75">
      <c r="A257" s="1834"/>
      <c r="B257" s="1847" t="s">
        <v>1762</v>
      </c>
      <c r="C257" s="1846">
        <v>7206</v>
      </c>
      <c r="D257" s="1815"/>
      <c r="E257" s="1816"/>
      <c r="G257" s="1816"/>
      <c r="I257" s="1816"/>
      <c r="P257" s="1818"/>
      <c r="Q257" s="1818"/>
      <c r="R257" s="1818"/>
      <c r="S257" s="1818"/>
      <c r="T257" s="1818"/>
      <c r="U257" s="1818"/>
      <c r="V257" s="1818"/>
      <c r="W257" s="1818"/>
      <c r="X257" s="1818"/>
      <c r="Y257" s="1818"/>
      <c r="Z257" s="1818"/>
      <c r="AA257" s="1818"/>
      <c r="AB257" s="1818"/>
      <c r="AC257" s="1818"/>
      <c r="AD257" s="1818"/>
      <c r="AE257" s="1818"/>
      <c r="AF257" s="1818"/>
      <c r="AG257" s="1818"/>
    </row>
    <row r="258" spans="1:33" s="1817" customFormat="1" ht="18.75">
      <c r="A258" s="1834"/>
      <c r="B258" s="1847" t="s">
        <v>1763</v>
      </c>
      <c r="C258" s="1846">
        <v>7207</v>
      </c>
      <c r="D258" s="1815"/>
      <c r="E258" s="1816"/>
      <c r="G258" s="1816"/>
      <c r="I258" s="1816"/>
      <c r="P258" s="1818"/>
      <c r="Q258" s="1818"/>
      <c r="R258" s="1818"/>
      <c r="S258" s="1818"/>
      <c r="T258" s="1818"/>
      <c r="U258" s="1818"/>
      <c r="V258" s="1818"/>
      <c r="W258" s="1818"/>
      <c r="X258" s="1818"/>
      <c r="Y258" s="1818"/>
      <c r="Z258" s="1818"/>
      <c r="AA258" s="1818"/>
      <c r="AB258" s="1818"/>
      <c r="AC258" s="1818"/>
      <c r="AD258" s="1818"/>
      <c r="AE258" s="1818"/>
      <c r="AF258" s="1818"/>
      <c r="AG258" s="1818"/>
    </row>
    <row r="259" spans="1:33" s="1817" customFormat="1" ht="18.75">
      <c r="A259" s="1834"/>
      <c r="B259" s="1847" t="s">
        <v>1764</v>
      </c>
      <c r="C259" s="1846">
        <v>7208</v>
      </c>
      <c r="D259" s="1815"/>
      <c r="E259" s="1816"/>
      <c r="G259" s="1816"/>
      <c r="I259" s="1816"/>
      <c r="P259" s="1818"/>
      <c r="Q259" s="1818"/>
      <c r="R259" s="1818"/>
      <c r="S259" s="1818"/>
      <c r="T259" s="1818"/>
      <c r="U259" s="1818"/>
      <c r="V259" s="1818"/>
      <c r="W259" s="1818"/>
      <c r="X259" s="1818"/>
      <c r="Y259" s="1818"/>
      <c r="Z259" s="1818"/>
      <c r="AA259" s="1818"/>
      <c r="AB259" s="1818"/>
      <c r="AC259" s="1818"/>
      <c r="AD259" s="1818"/>
      <c r="AE259" s="1818"/>
      <c r="AF259" s="1818"/>
      <c r="AG259" s="1818"/>
    </row>
    <row r="260" spans="1:33" s="1817" customFormat="1" ht="18.75">
      <c r="A260" s="1834"/>
      <c r="B260" s="1847" t="s">
        <v>1765</v>
      </c>
      <c r="C260" s="1846">
        <v>7209</v>
      </c>
      <c r="D260" s="1815"/>
      <c r="E260" s="1816"/>
      <c r="G260" s="1816"/>
      <c r="I260" s="1816"/>
      <c r="P260" s="1818"/>
      <c r="Q260" s="1818"/>
      <c r="R260" s="1818"/>
      <c r="S260" s="1818"/>
      <c r="T260" s="1818"/>
      <c r="U260" s="1818"/>
      <c r="V260" s="1818"/>
      <c r="W260" s="1818"/>
      <c r="X260" s="1818"/>
      <c r="Y260" s="1818"/>
      <c r="Z260" s="1818"/>
      <c r="AA260" s="1818"/>
      <c r="AB260" s="1818"/>
      <c r="AC260" s="1818"/>
      <c r="AD260" s="1818"/>
      <c r="AE260" s="1818"/>
      <c r="AF260" s="1818"/>
      <c r="AG260" s="1818"/>
    </row>
    <row r="261" spans="1:33" s="1817" customFormat="1" ht="18.75">
      <c r="A261" s="1834"/>
      <c r="B261" s="1847" t="s">
        <v>1766</v>
      </c>
      <c r="C261" s="1846">
        <v>7210</v>
      </c>
      <c r="D261" s="1815"/>
      <c r="E261" s="1816"/>
      <c r="G261" s="1816"/>
      <c r="I261" s="1816"/>
      <c r="P261" s="1818"/>
      <c r="Q261" s="1818"/>
      <c r="R261" s="1818"/>
      <c r="S261" s="1818"/>
      <c r="T261" s="1818"/>
      <c r="U261" s="1818"/>
      <c r="V261" s="1818"/>
      <c r="W261" s="1818"/>
      <c r="X261" s="1818"/>
      <c r="Y261" s="1818"/>
      <c r="Z261" s="1818"/>
      <c r="AA261" s="1818"/>
      <c r="AB261" s="1818"/>
      <c r="AC261" s="1818"/>
      <c r="AD261" s="1818"/>
      <c r="AE261" s="1818"/>
      <c r="AF261" s="1818"/>
      <c r="AG261" s="1818"/>
    </row>
    <row r="262" spans="1:33" s="1817" customFormat="1" ht="18.75">
      <c r="A262" s="1834"/>
      <c r="B262" s="1847" t="s">
        <v>1767</v>
      </c>
      <c r="C262" s="1846">
        <v>7211</v>
      </c>
      <c r="D262" s="1815"/>
      <c r="E262" s="1816"/>
      <c r="G262" s="1816"/>
      <c r="I262" s="1816"/>
      <c r="P262" s="1818"/>
      <c r="Q262" s="1818"/>
      <c r="R262" s="1818"/>
      <c r="S262" s="1818"/>
      <c r="T262" s="1818"/>
      <c r="U262" s="1818"/>
      <c r="V262" s="1818"/>
      <c r="W262" s="1818"/>
      <c r="X262" s="1818"/>
      <c r="Y262" s="1818"/>
      <c r="Z262" s="1818"/>
      <c r="AA262" s="1818"/>
      <c r="AB262" s="1818"/>
      <c r="AC262" s="1818"/>
      <c r="AD262" s="1818"/>
      <c r="AE262" s="1818"/>
      <c r="AF262" s="1818"/>
      <c r="AG262" s="1818"/>
    </row>
    <row r="263" spans="1:33" s="1817" customFormat="1" ht="18.75">
      <c r="A263" s="1834"/>
      <c r="B263" s="1847" t="s">
        <v>1768</v>
      </c>
      <c r="C263" s="1846">
        <v>7212</v>
      </c>
      <c r="D263" s="1815"/>
      <c r="E263" s="1816"/>
      <c r="G263" s="1816"/>
      <c r="I263" s="1816"/>
      <c r="P263" s="1818"/>
      <c r="Q263" s="1818"/>
      <c r="R263" s="1818"/>
      <c r="S263" s="1818"/>
      <c r="T263" s="1818"/>
      <c r="U263" s="1818"/>
      <c r="V263" s="1818"/>
      <c r="W263" s="1818"/>
      <c r="X263" s="1818"/>
      <c r="Y263" s="1818"/>
      <c r="Z263" s="1818"/>
      <c r="AA263" s="1818"/>
      <c r="AB263" s="1818"/>
      <c r="AC263" s="1818"/>
      <c r="AD263" s="1818"/>
      <c r="AE263" s="1818"/>
      <c r="AF263" s="1818"/>
      <c r="AG263" s="1818"/>
    </row>
    <row r="264" spans="1:33" s="1817" customFormat="1" ht="18.75">
      <c r="A264" s="1834"/>
      <c r="B264" s="1847" t="s">
        <v>1769</v>
      </c>
      <c r="C264" s="1846">
        <v>7213</v>
      </c>
      <c r="D264" s="1815"/>
      <c r="E264" s="1816"/>
      <c r="G264" s="1816"/>
      <c r="I264" s="1816"/>
      <c r="P264" s="1818"/>
      <c r="Q264" s="1818"/>
      <c r="R264" s="1818"/>
      <c r="S264" s="1818"/>
      <c r="T264" s="1818"/>
      <c r="U264" s="1818"/>
      <c r="V264" s="1818"/>
      <c r="W264" s="1818"/>
      <c r="X264" s="1818"/>
      <c r="Y264" s="1818"/>
      <c r="Z264" s="1818"/>
      <c r="AA264" s="1818"/>
      <c r="AB264" s="1818"/>
      <c r="AC264" s="1818"/>
      <c r="AD264" s="1818"/>
      <c r="AE264" s="1818"/>
      <c r="AF264" s="1818"/>
      <c r="AG264" s="1818"/>
    </row>
    <row r="265" spans="1:33" s="1817" customFormat="1" ht="18.75">
      <c r="A265" s="1834"/>
      <c r="B265" s="1847" t="s">
        <v>1770</v>
      </c>
      <c r="C265" s="1846">
        <v>7214</v>
      </c>
      <c r="D265" s="1815"/>
      <c r="E265" s="1816"/>
      <c r="G265" s="1816"/>
      <c r="I265" s="1816"/>
      <c r="P265" s="1818"/>
      <c r="Q265" s="1818"/>
      <c r="R265" s="1818"/>
      <c r="S265" s="1818"/>
      <c r="T265" s="1818"/>
      <c r="U265" s="1818"/>
      <c r="V265" s="1818"/>
      <c r="W265" s="1818"/>
      <c r="X265" s="1818"/>
      <c r="Y265" s="1818"/>
      <c r="Z265" s="1818"/>
      <c r="AA265" s="1818"/>
      <c r="AB265" s="1818"/>
      <c r="AC265" s="1818"/>
      <c r="AD265" s="1818"/>
      <c r="AE265" s="1818"/>
      <c r="AF265" s="1818"/>
      <c r="AG265" s="1818"/>
    </row>
    <row r="266" spans="1:33" s="1817" customFormat="1" ht="18.75">
      <c r="A266" s="1834"/>
      <c r="B266" s="1847" t="s">
        <v>1771</v>
      </c>
      <c r="C266" s="1846">
        <v>7215</v>
      </c>
      <c r="D266" s="1815"/>
      <c r="E266" s="1816"/>
      <c r="G266" s="1816"/>
      <c r="I266" s="1816"/>
      <c r="P266" s="1818"/>
      <c r="Q266" s="1818"/>
      <c r="R266" s="1818"/>
      <c r="S266" s="1818"/>
      <c r="T266" s="1818"/>
      <c r="U266" s="1818"/>
      <c r="V266" s="1818"/>
      <c r="W266" s="1818"/>
      <c r="X266" s="1818"/>
      <c r="Y266" s="1818"/>
      <c r="Z266" s="1818"/>
      <c r="AA266" s="1818"/>
      <c r="AB266" s="1818"/>
      <c r="AC266" s="1818"/>
      <c r="AD266" s="1818"/>
      <c r="AE266" s="1818"/>
      <c r="AF266" s="1818"/>
      <c r="AG266" s="1818"/>
    </row>
    <row r="267" spans="1:33" s="1817" customFormat="1" ht="18.75">
      <c r="A267" s="1834"/>
      <c r="B267" s="1847" t="s">
        <v>1772</v>
      </c>
      <c r="C267" s="1846">
        <v>7216</v>
      </c>
      <c r="D267" s="1815"/>
      <c r="E267" s="1816"/>
      <c r="G267" s="1816"/>
      <c r="I267" s="1816"/>
      <c r="P267" s="1818"/>
      <c r="Q267" s="1818"/>
      <c r="R267" s="1818"/>
      <c r="S267" s="1818"/>
      <c r="T267" s="1818"/>
      <c r="U267" s="1818"/>
      <c r="V267" s="1818"/>
      <c r="W267" s="1818"/>
      <c r="X267" s="1818"/>
      <c r="Y267" s="1818"/>
      <c r="Z267" s="1818"/>
      <c r="AA267" s="1818"/>
      <c r="AB267" s="1818"/>
      <c r="AC267" s="1818"/>
      <c r="AD267" s="1818"/>
      <c r="AE267" s="1818"/>
      <c r="AF267" s="1818"/>
      <c r="AG267" s="1818"/>
    </row>
    <row r="268" spans="1:33" s="1817" customFormat="1" ht="18.75">
      <c r="A268" s="1834"/>
      <c r="B268" s="1847" t="s">
        <v>1773</v>
      </c>
      <c r="C268" s="1846">
        <v>7217</v>
      </c>
      <c r="D268" s="1815"/>
      <c r="E268" s="1816"/>
      <c r="G268" s="1816"/>
      <c r="I268" s="1816"/>
      <c r="P268" s="1818"/>
      <c r="Q268" s="1818"/>
      <c r="R268" s="1818"/>
      <c r="S268" s="1818"/>
      <c r="T268" s="1818"/>
      <c r="U268" s="1818"/>
      <c r="V268" s="1818"/>
      <c r="W268" s="1818"/>
      <c r="X268" s="1818"/>
      <c r="Y268" s="1818"/>
      <c r="Z268" s="1818"/>
      <c r="AA268" s="1818"/>
      <c r="AB268" s="1818"/>
      <c r="AC268" s="1818"/>
      <c r="AD268" s="1818"/>
      <c r="AE268" s="1818"/>
      <c r="AF268" s="1818"/>
      <c r="AG268" s="1818"/>
    </row>
    <row r="269" spans="1:33" s="1817" customFormat="1" ht="18.75">
      <c r="A269" s="1834"/>
      <c r="B269" s="1847" t="s">
        <v>1774</v>
      </c>
      <c r="C269" s="1846">
        <v>7218</v>
      </c>
      <c r="D269" s="1815"/>
      <c r="E269" s="1816"/>
      <c r="G269" s="1816"/>
      <c r="I269" s="1816"/>
      <c r="P269" s="1818"/>
      <c r="Q269" s="1818"/>
      <c r="R269" s="1818"/>
      <c r="S269" s="1818"/>
      <c r="T269" s="1818"/>
      <c r="U269" s="1818"/>
      <c r="V269" s="1818"/>
      <c r="W269" s="1818"/>
      <c r="X269" s="1818"/>
      <c r="Y269" s="1818"/>
      <c r="Z269" s="1818"/>
      <c r="AA269" s="1818"/>
      <c r="AB269" s="1818"/>
      <c r="AC269" s="1818"/>
      <c r="AD269" s="1818"/>
      <c r="AE269" s="1818"/>
      <c r="AF269" s="1818"/>
      <c r="AG269" s="1818"/>
    </row>
    <row r="270" spans="1:33" s="1817" customFormat="1" ht="18.75">
      <c r="A270" s="1834"/>
      <c r="B270" s="1847" t="s">
        <v>1775</v>
      </c>
      <c r="C270" s="1846">
        <v>7219</v>
      </c>
      <c r="D270" s="1815"/>
      <c r="E270" s="1816"/>
      <c r="G270" s="1816"/>
      <c r="I270" s="1816"/>
      <c r="P270" s="1818"/>
      <c r="Q270" s="1818"/>
      <c r="R270" s="1818"/>
      <c r="S270" s="1818"/>
      <c r="T270" s="1818"/>
      <c r="U270" s="1818"/>
      <c r="V270" s="1818"/>
      <c r="W270" s="1818"/>
      <c r="X270" s="1818"/>
      <c r="Y270" s="1818"/>
      <c r="Z270" s="1818"/>
      <c r="AA270" s="1818"/>
      <c r="AB270" s="1818"/>
      <c r="AC270" s="1818"/>
      <c r="AD270" s="1818"/>
      <c r="AE270" s="1818"/>
      <c r="AF270" s="1818"/>
      <c r="AG270" s="1818"/>
    </row>
    <row r="271" spans="1:33" s="1817" customFormat="1" ht="18.75">
      <c r="A271" s="1834"/>
      <c r="B271" s="1847" t="s">
        <v>1776</v>
      </c>
      <c r="C271" s="1846">
        <v>7220</v>
      </c>
      <c r="D271" s="1815"/>
      <c r="E271" s="1816"/>
      <c r="G271" s="1816"/>
      <c r="I271" s="1816"/>
      <c r="P271" s="1818"/>
      <c r="Q271" s="1818"/>
      <c r="R271" s="1818"/>
      <c r="S271" s="1818"/>
      <c r="T271" s="1818"/>
      <c r="U271" s="1818"/>
      <c r="V271" s="1818"/>
      <c r="W271" s="1818"/>
      <c r="X271" s="1818"/>
      <c r="Y271" s="1818"/>
      <c r="Z271" s="1818"/>
      <c r="AA271" s="1818"/>
      <c r="AB271" s="1818"/>
      <c r="AC271" s="1818"/>
      <c r="AD271" s="1818"/>
      <c r="AE271" s="1818"/>
      <c r="AF271" s="1818"/>
      <c r="AG271" s="1818"/>
    </row>
    <row r="272" spans="1:33" s="1817" customFormat="1" ht="18.75">
      <c r="A272" s="1834"/>
      <c r="B272" s="1847" t="s">
        <v>1777</v>
      </c>
      <c r="C272" s="1846">
        <v>7221</v>
      </c>
      <c r="D272" s="1815"/>
      <c r="E272" s="1816"/>
      <c r="G272" s="1816"/>
      <c r="I272" s="1816"/>
      <c r="P272" s="1818"/>
      <c r="Q272" s="1818"/>
      <c r="R272" s="1818"/>
      <c r="S272" s="1818"/>
      <c r="T272" s="1818"/>
      <c r="U272" s="1818"/>
      <c r="V272" s="1818"/>
      <c r="W272" s="1818"/>
      <c r="X272" s="1818"/>
      <c r="Y272" s="1818"/>
      <c r="Z272" s="1818"/>
      <c r="AA272" s="1818"/>
      <c r="AB272" s="1818"/>
      <c r="AC272" s="1818"/>
      <c r="AD272" s="1818"/>
      <c r="AE272" s="1818"/>
      <c r="AF272" s="1818"/>
      <c r="AG272" s="1818"/>
    </row>
    <row r="273" spans="1:33" s="1817" customFormat="1" ht="18.75">
      <c r="A273" s="1834"/>
      <c r="B273" s="1847" t="s">
        <v>1778</v>
      </c>
      <c r="C273" s="1846">
        <v>7222</v>
      </c>
      <c r="D273" s="1815"/>
      <c r="E273" s="1816"/>
      <c r="G273" s="1816"/>
      <c r="I273" s="1816"/>
      <c r="P273" s="1818"/>
      <c r="Q273" s="1818"/>
      <c r="R273" s="1818"/>
      <c r="S273" s="1818"/>
      <c r="T273" s="1818"/>
      <c r="U273" s="1818"/>
      <c r="V273" s="1818"/>
      <c r="W273" s="1818"/>
      <c r="X273" s="1818"/>
      <c r="Y273" s="1818"/>
      <c r="Z273" s="1818"/>
      <c r="AA273" s="1818"/>
      <c r="AB273" s="1818"/>
      <c r="AC273" s="1818"/>
      <c r="AD273" s="1818"/>
      <c r="AE273" s="1818"/>
      <c r="AF273" s="1818"/>
      <c r="AG273" s="1818"/>
    </row>
    <row r="274" spans="1:33" s="1817" customFormat="1" ht="18.75">
      <c r="A274" s="1834"/>
      <c r="B274" s="1847" t="s">
        <v>1779</v>
      </c>
      <c r="C274" s="1846">
        <v>7223</v>
      </c>
      <c r="D274" s="1815"/>
      <c r="E274" s="1816"/>
      <c r="G274" s="1816"/>
      <c r="I274" s="1816"/>
      <c r="P274" s="1818"/>
      <c r="Q274" s="1818"/>
      <c r="R274" s="1818"/>
      <c r="S274" s="1818"/>
      <c r="T274" s="1818"/>
      <c r="U274" s="1818"/>
      <c r="V274" s="1818"/>
      <c r="W274" s="1818"/>
      <c r="X274" s="1818"/>
      <c r="Y274" s="1818"/>
      <c r="Z274" s="1818"/>
      <c r="AA274" s="1818"/>
      <c r="AB274" s="1818"/>
      <c r="AC274" s="1818"/>
      <c r="AD274" s="1818"/>
      <c r="AE274" s="1818"/>
      <c r="AF274" s="1818"/>
      <c r="AG274" s="1818"/>
    </row>
    <row r="275" spans="1:33" s="1817" customFormat="1" ht="18.75">
      <c r="A275" s="1834"/>
      <c r="B275" s="1847" t="s">
        <v>1780</v>
      </c>
      <c r="C275" s="1846">
        <v>7224</v>
      </c>
      <c r="D275" s="1815"/>
      <c r="E275" s="1816"/>
      <c r="G275" s="1816"/>
      <c r="I275" s="1816"/>
      <c r="P275" s="1818"/>
      <c r="Q275" s="1818"/>
      <c r="R275" s="1818"/>
      <c r="S275" s="1818"/>
      <c r="T275" s="1818"/>
      <c r="U275" s="1818"/>
      <c r="V275" s="1818"/>
      <c r="W275" s="1818"/>
      <c r="X275" s="1818"/>
      <c r="Y275" s="1818"/>
      <c r="Z275" s="1818"/>
      <c r="AA275" s="1818"/>
      <c r="AB275" s="1818"/>
      <c r="AC275" s="1818"/>
      <c r="AD275" s="1818"/>
      <c r="AE275" s="1818"/>
      <c r="AF275" s="1818"/>
      <c r="AG275" s="1818"/>
    </row>
    <row r="276" spans="1:33" s="1817" customFormat="1" ht="20.25" thickBot="1">
      <c r="A276" s="1834"/>
      <c r="B276" s="1867" t="s">
        <v>1781</v>
      </c>
      <c r="C276" s="1849">
        <v>7225</v>
      </c>
      <c r="D276" s="1815"/>
      <c r="E276" s="1868">
        <f>+IF('TRIAL-BALANCE'!C$8=C276,1,0)</f>
        <v>0</v>
      </c>
      <c r="G276" s="1868">
        <v>0</v>
      </c>
      <c r="I276" s="2217">
        <f>+E276+G276</f>
        <v>0</v>
      </c>
      <c r="P276" s="1818"/>
      <c r="Q276" s="1818"/>
      <c r="R276" s="1818"/>
      <c r="S276" s="1818"/>
      <c r="T276" s="1818"/>
      <c r="U276" s="1818"/>
      <c r="V276" s="1818"/>
      <c r="W276" s="1818"/>
      <c r="X276" s="1818"/>
      <c r="Y276" s="1818"/>
      <c r="Z276" s="1818"/>
      <c r="AA276" s="1818"/>
      <c r="AB276" s="1818"/>
      <c r="AC276" s="1818"/>
      <c r="AD276" s="1818"/>
      <c r="AE276" s="1818"/>
      <c r="AF276" s="1818"/>
      <c r="AG276" s="1818"/>
    </row>
    <row r="277" spans="1:33" s="1817" customFormat="1" ht="9" customHeight="1" thickBot="1">
      <c r="A277" s="1851"/>
      <c r="B277" s="1831"/>
      <c r="C277" s="1852"/>
      <c r="D277" s="1815"/>
      <c r="E277" s="1816"/>
      <c r="G277" s="1816"/>
      <c r="I277" s="1816"/>
      <c r="P277" s="1818"/>
      <c r="Q277" s="1818"/>
      <c r="R277" s="1818"/>
      <c r="S277" s="1818"/>
      <c r="T277" s="1818"/>
      <c r="U277" s="1818"/>
      <c r="V277" s="1818"/>
      <c r="W277" s="1818"/>
      <c r="X277" s="1818"/>
      <c r="Y277" s="1818"/>
      <c r="Z277" s="1818"/>
      <c r="AA277" s="1818"/>
      <c r="AB277" s="1818"/>
      <c r="AC277" s="1818"/>
      <c r="AD277" s="1818"/>
      <c r="AE277" s="1818"/>
      <c r="AF277" s="1818"/>
      <c r="AG277" s="1818"/>
    </row>
    <row r="278" spans="1:33" s="1817" customFormat="1" ht="18.75">
      <c r="A278" s="1834"/>
      <c r="B278" s="1835" t="s">
        <v>1782</v>
      </c>
      <c r="C278" s="1836" t="s">
        <v>1783</v>
      </c>
      <c r="D278" s="1815"/>
      <c r="E278" s="1816"/>
      <c r="G278" s="1816"/>
      <c r="I278" s="1816"/>
      <c r="P278" s="1818"/>
      <c r="Q278" s="1818"/>
      <c r="R278" s="1818"/>
      <c r="S278" s="1818"/>
      <c r="T278" s="1818"/>
      <c r="U278" s="1818"/>
      <c r="V278" s="1818"/>
      <c r="W278" s="1818"/>
      <c r="X278" s="1818"/>
      <c r="Y278" s="1818"/>
      <c r="Z278" s="1818"/>
      <c r="AA278" s="1818"/>
      <c r="AB278" s="1818"/>
      <c r="AC278" s="1818"/>
      <c r="AD278" s="1818"/>
      <c r="AE278" s="1818"/>
      <c r="AF278" s="1818"/>
      <c r="AG278" s="1818"/>
    </row>
    <row r="279" spans="1:33" s="1817" customFormat="1" ht="18.75">
      <c r="A279" s="1834"/>
      <c r="B279" s="1855" t="s">
        <v>1784</v>
      </c>
      <c r="C279" s="1856">
        <v>7301</v>
      </c>
      <c r="D279" s="1815"/>
      <c r="E279" s="1839">
        <f>+IF('TRIAL-BALANCE'!C$8=C279,1,0)</f>
        <v>0</v>
      </c>
      <c r="G279" s="1839">
        <v>0</v>
      </c>
      <c r="I279" s="2217">
        <f t="shared" ref="I279:I300" si="19">+E279+G279</f>
        <v>0</v>
      </c>
      <c r="P279" s="1818"/>
      <c r="Q279" s="1818"/>
      <c r="R279" s="1818"/>
      <c r="S279" s="1818"/>
      <c r="T279" s="1818"/>
      <c r="U279" s="1818"/>
      <c r="V279" s="1818"/>
      <c r="W279" s="1818"/>
      <c r="X279" s="1818"/>
      <c r="Y279" s="1818"/>
      <c r="Z279" s="1818"/>
      <c r="AA279" s="1818"/>
      <c r="AB279" s="1818"/>
      <c r="AC279" s="1818"/>
      <c r="AD279" s="1818"/>
      <c r="AE279" s="1818"/>
      <c r="AF279" s="1818"/>
      <c r="AG279" s="1818"/>
    </row>
    <row r="280" spans="1:33" s="1817" customFormat="1" ht="18.75">
      <c r="A280" s="1834"/>
      <c r="B280" s="1847" t="s">
        <v>1785</v>
      </c>
      <c r="C280" s="1846">
        <v>7302</v>
      </c>
      <c r="D280" s="1815"/>
      <c r="E280" s="1842">
        <f>+IF('TRIAL-BALANCE'!C$8=C280,1,0)</f>
        <v>0</v>
      </c>
      <c r="G280" s="1842">
        <v>0</v>
      </c>
      <c r="I280" s="2217">
        <f t="shared" si="19"/>
        <v>0</v>
      </c>
      <c r="P280" s="1818"/>
      <c r="Q280" s="1818"/>
      <c r="R280" s="1818"/>
      <c r="S280" s="1818"/>
      <c r="T280" s="1818"/>
      <c r="U280" s="1818"/>
      <c r="V280" s="1818"/>
      <c r="W280" s="1818"/>
      <c r="X280" s="1818"/>
      <c r="Y280" s="1818"/>
      <c r="Z280" s="1818"/>
      <c r="AA280" s="1818"/>
      <c r="AB280" s="1818"/>
      <c r="AC280" s="1818"/>
      <c r="AD280" s="1818"/>
      <c r="AE280" s="1818"/>
      <c r="AF280" s="1818"/>
      <c r="AG280" s="1818"/>
    </row>
    <row r="281" spans="1:33" s="1817" customFormat="1" ht="18.75">
      <c r="A281" s="1834"/>
      <c r="B281" s="1847" t="s">
        <v>1786</v>
      </c>
      <c r="C281" s="1846">
        <v>7303</v>
      </c>
      <c r="D281" s="1815"/>
      <c r="E281" s="1842">
        <f>+IF('TRIAL-BALANCE'!C$8=C281,1,0)</f>
        <v>0</v>
      </c>
      <c r="G281" s="1842">
        <v>0</v>
      </c>
      <c r="I281" s="2217">
        <f t="shared" si="19"/>
        <v>0</v>
      </c>
      <c r="P281" s="1818"/>
      <c r="Q281" s="1818"/>
      <c r="R281" s="1818"/>
      <c r="S281" s="1818"/>
      <c r="T281" s="1818"/>
      <c r="U281" s="1818"/>
      <c r="V281" s="1818"/>
      <c r="W281" s="1818"/>
      <c r="X281" s="1818"/>
      <c r="Y281" s="1818"/>
      <c r="Z281" s="1818"/>
      <c r="AA281" s="1818"/>
      <c r="AB281" s="1818"/>
      <c r="AC281" s="1818"/>
      <c r="AD281" s="1818"/>
      <c r="AE281" s="1818"/>
      <c r="AF281" s="1818"/>
      <c r="AG281" s="1818"/>
    </row>
    <row r="282" spans="1:33" s="1817" customFormat="1" ht="18.75">
      <c r="A282" s="1834"/>
      <c r="B282" s="1847" t="s">
        <v>1787</v>
      </c>
      <c r="C282" s="1846">
        <v>7304</v>
      </c>
      <c r="D282" s="1815"/>
      <c r="E282" s="1842">
        <f>+IF('TRIAL-BALANCE'!C$8=C282,1,0)</f>
        <v>0</v>
      </c>
      <c r="G282" s="1842">
        <v>0</v>
      </c>
      <c r="I282" s="2217">
        <f t="shared" si="19"/>
        <v>0</v>
      </c>
      <c r="P282" s="1818"/>
      <c r="Q282" s="1818"/>
      <c r="R282" s="1818"/>
      <c r="S282" s="1818"/>
      <c r="T282" s="1818"/>
      <c r="U282" s="1818"/>
      <c r="V282" s="1818"/>
      <c r="W282" s="1818"/>
      <c r="X282" s="1818"/>
      <c r="Y282" s="1818"/>
      <c r="Z282" s="1818"/>
      <c r="AA282" s="1818"/>
      <c r="AB282" s="1818"/>
      <c r="AC282" s="1818"/>
      <c r="AD282" s="1818"/>
      <c r="AE282" s="1818"/>
      <c r="AF282" s="1818"/>
      <c r="AG282" s="1818"/>
    </row>
    <row r="283" spans="1:33" s="1817" customFormat="1" ht="18.75">
      <c r="A283" s="1834"/>
      <c r="B283" s="1847" t="s">
        <v>1788</v>
      </c>
      <c r="C283" s="1846">
        <v>7305</v>
      </c>
      <c r="D283" s="1815"/>
      <c r="E283" s="1842">
        <f>+IF('TRIAL-BALANCE'!C$8=C283,1,0)</f>
        <v>0</v>
      </c>
      <c r="G283" s="1842">
        <v>0</v>
      </c>
      <c r="I283" s="2217">
        <f t="shared" si="19"/>
        <v>0</v>
      </c>
      <c r="P283" s="1818"/>
      <c r="Q283" s="1818"/>
      <c r="R283" s="1818"/>
      <c r="S283" s="1818"/>
      <c r="T283" s="1818"/>
      <c r="U283" s="1818"/>
      <c r="V283" s="1818"/>
      <c r="W283" s="1818"/>
      <c r="X283" s="1818"/>
      <c r="Y283" s="1818"/>
      <c r="Z283" s="1818"/>
      <c r="AA283" s="1818"/>
      <c r="AB283" s="1818"/>
      <c r="AC283" s="1818"/>
      <c r="AD283" s="1818"/>
      <c r="AE283" s="1818"/>
      <c r="AF283" s="1818"/>
      <c r="AG283" s="1818"/>
    </row>
    <row r="284" spans="1:33" s="1817" customFormat="1" ht="18.75">
      <c r="A284" s="1834"/>
      <c r="B284" s="1847" t="s">
        <v>1789</v>
      </c>
      <c r="C284" s="1846">
        <v>7306</v>
      </c>
      <c r="D284" s="1815"/>
      <c r="E284" s="1842">
        <f>+IF('TRIAL-BALANCE'!C$8=C284,1,0)</f>
        <v>0</v>
      </c>
      <c r="G284" s="1842">
        <v>0</v>
      </c>
      <c r="I284" s="2217">
        <f t="shared" si="19"/>
        <v>0</v>
      </c>
      <c r="P284" s="1818"/>
      <c r="Q284" s="1818"/>
      <c r="R284" s="1818"/>
      <c r="S284" s="1818"/>
      <c r="T284" s="1818"/>
      <c r="U284" s="1818"/>
      <c r="V284" s="1818"/>
      <c r="W284" s="1818"/>
      <c r="X284" s="1818"/>
      <c r="Y284" s="1818"/>
      <c r="Z284" s="1818"/>
      <c r="AA284" s="1818"/>
      <c r="AB284" s="1818"/>
      <c r="AC284" s="1818"/>
      <c r="AD284" s="1818"/>
      <c r="AE284" s="1818"/>
      <c r="AF284" s="1818"/>
      <c r="AG284" s="1818"/>
    </row>
    <row r="285" spans="1:33" s="1817" customFormat="1" ht="18.75">
      <c r="A285" s="1834"/>
      <c r="B285" s="1847" t="s">
        <v>1790</v>
      </c>
      <c r="C285" s="1846">
        <v>7307</v>
      </c>
      <c r="D285" s="1815"/>
      <c r="E285" s="1842">
        <f>+IF('TRIAL-BALANCE'!C$8=C285,1,0)</f>
        <v>0</v>
      </c>
      <c r="G285" s="1842">
        <v>0</v>
      </c>
      <c r="I285" s="2217">
        <f t="shared" si="19"/>
        <v>0</v>
      </c>
      <c r="P285" s="1818"/>
      <c r="Q285" s="1818"/>
      <c r="R285" s="1818"/>
      <c r="S285" s="1818"/>
      <c r="T285" s="1818"/>
      <c r="U285" s="1818"/>
      <c r="V285" s="1818"/>
      <c r="W285" s="1818"/>
      <c r="X285" s="1818"/>
      <c r="Y285" s="1818"/>
      <c r="Z285" s="1818"/>
      <c r="AA285" s="1818"/>
      <c r="AB285" s="1818"/>
      <c r="AC285" s="1818"/>
      <c r="AD285" s="1818"/>
      <c r="AE285" s="1818"/>
      <c r="AF285" s="1818"/>
      <c r="AG285" s="1818"/>
    </row>
    <row r="286" spans="1:33" s="1817" customFormat="1" ht="18.75">
      <c r="A286" s="1834"/>
      <c r="B286" s="1847" t="s">
        <v>1791</v>
      </c>
      <c r="C286" s="1846">
        <v>7308</v>
      </c>
      <c r="D286" s="1815"/>
      <c r="E286" s="1842">
        <f>+IF('TRIAL-BALANCE'!C$8=C286,1,0)</f>
        <v>0</v>
      </c>
      <c r="G286" s="1842">
        <v>0</v>
      </c>
      <c r="I286" s="2217">
        <f t="shared" si="19"/>
        <v>0</v>
      </c>
      <c r="P286" s="1818"/>
      <c r="Q286" s="1818"/>
      <c r="R286" s="1818"/>
      <c r="S286" s="1818"/>
      <c r="T286" s="1818"/>
      <c r="U286" s="1818"/>
      <c r="V286" s="1818"/>
      <c r="W286" s="1818"/>
      <c r="X286" s="1818"/>
      <c r="Y286" s="1818"/>
      <c r="Z286" s="1818"/>
      <c r="AA286" s="1818"/>
      <c r="AB286" s="1818"/>
      <c r="AC286" s="1818"/>
      <c r="AD286" s="1818"/>
      <c r="AE286" s="1818"/>
      <c r="AF286" s="1818"/>
      <c r="AG286" s="1818"/>
    </row>
    <row r="287" spans="1:33" s="1817" customFormat="1" ht="18.75">
      <c r="A287" s="1834"/>
      <c r="B287" s="1847" t="s">
        <v>1792</v>
      </c>
      <c r="C287" s="1846">
        <v>7309</v>
      </c>
      <c r="D287" s="1815"/>
      <c r="E287" s="1842">
        <f>+IF('TRIAL-BALANCE'!C$8=C287,1,0)</f>
        <v>0</v>
      </c>
      <c r="G287" s="1842">
        <v>0</v>
      </c>
      <c r="I287" s="2217">
        <f t="shared" si="19"/>
        <v>0</v>
      </c>
      <c r="P287" s="1818"/>
      <c r="Q287" s="1818"/>
      <c r="R287" s="1818"/>
      <c r="S287" s="1818"/>
      <c r="T287" s="1818"/>
      <c r="U287" s="1818"/>
      <c r="V287" s="1818"/>
      <c r="W287" s="1818"/>
      <c r="X287" s="1818"/>
      <c r="Y287" s="1818"/>
      <c r="Z287" s="1818"/>
      <c r="AA287" s="1818"/>
      <c r="AB287" s="1818"/>
      <c r="AC287" s="1818"/>
      <c r="AD287" s="1818"/>
      <c r="AE287" s="1818"/>
      <c r="AF287" s="1818"/>
      <c r="AG287" s="1818"/>
    </row>
    <row r="288" spans="1:33" s="1817" customFormat="1" ht="18.75">
      <c r="A288" s="1834"/>
      <c r="B288" s="1847" t="s">
        <v>1793</v>
      </c>
      <c r="C288" s="1846">
        <v>7310</v>
      </c>
      <c r="D288" s="1815"/>
      <c r="E288" s="1842">
        <f>+IF('TRIAL-BALANCE'!C$8=C288,1,0)</f>
        <v>0</v>
      </c>
      <c r="G288" s="1842">
        <v>0</v>
      </c>
      <c r="I288" s="2217">
        <f t="shared" si="19"/>
        <v>0</v>
      </c>
      <c r="P288" s="1818"/>
      <c r="Q288" s="1818"/>
      <c r="R288" s="1818"/>
      <c r="S288" s="1818"/>
      <c r="T288" s="1818"/>
      <c r="U288" s="1818"/>
      <c r="V288" s="1818"/>
      <c r="W288" s="1818"/>
      <c r="X288" s="1818"/>
      <c r="Y288" s="1818"/>
      <c r="Z288" s="1818"/>
      <c r="AA288" s="1818"/>
      <c r="AB288" s="1818"/>
      <c r="AC288" s="1818"/>
      <c r="AD288" s="1818"/>
      <c r="AE288" s="1818"/>
      <c r="AF288" s="1818"/>
      <c r="AG288" s="1818"/>
    </row>
    <row r="289" spans="1:33" s="1817" customFormat="1" ht="18.75">
      <c r="A289" s="1834"/>
      <c r="B289" s="1847" t="s">
        <v>1794</v>
      </c>
      <c r="C289" s="1846">
        <v>7311</v>
      </c>
      <c r="D289" s="1815"/>
      <c r="E289" s="1842">
        <f>+IF('TRIAL-BALANCE'!C$8=C289,1,0)</f>
        <v>0</v>
      </c>
      <c r="G289" s="1842">
        <v>0</v>
      </c>
      <c r="I289" s="2217">
        <f t="shared" si="19"/>
        <v>0</v>
      </c>
      <c r="P289" s="1818"/>
      <c r="Q289" s="1818"/>
      <c r="R289" s="1818"/>
      <c r="S289" s="1818"/>
      <c r="T289" s="1818"/>
      <c r="U289" s="1818"/>
      <c r="V289" s="1818"/>
      <c r="W289" s="1818"/>
      <c r="X289" s="1818"/>
      <c r="Y289" s="1818"/>
      <c r="Z289" s="1818"/>
      <c r="AA289" s="1818"/>
      <c r="AB289" s="1818"/>
      <c r="AC289" s="1818"/>
      <c r="AD289" s="1818"/>
      <c r="AE289" s="1818"/>
      <c r="AF289" s="1818"/>
      <c r="AG289" s="1818"/>
    </row>
    <row r="290" spans="1:33" s="1817" customFormat="1" ht="18.75">
      <c r="A290" s="1834"/>
      <c r="B290" s="1847" t="s">
        <v>1795</v>
      </c>
      <c r="C290" s="1846">
        <v>7312</v>
      </c>
      <c r="D290" s="1815"/>
      <c r="E290" s="1842">
        <f>+IF('TRIAL-BALANCE'!C$8=C290,1,0)</f>
        <v>0</v>
      </c>
      <c r="G290" s="1842">
        <v>0</v>
      </c>
      <c r="I290" s="2217">
        <f t="shared" si="19"/>
        <v>0</v>
      </c>
      <c r="P290" s="1818"/>
      <c r="Q290" s="1818"/>
      <c r="R290" s="1818"/>
      <c r="S290" s="1818"/>
      <c r="T290" s="1818"/>
      <c r="U290" s="1818"/>
      <c r="V290" s="1818"/>
      <c r="W290" s="1818"/>
      <c r="X290" s="1818"/>
      <c r="Y290" s="1818"/>
      <c r="Z290" s="1818"/>
      <c r="AA290" s="1818"/>
      <c r="AB290" s="1818"/>
      <c r="AC290" s="1818"/>
      <c r="AD290" s="1818"/>
      <c r="AE290" s="1818"/>
      <c r="AF290" s="1818"/>
      <c r="AG290" s="1818"/>
    </row>
    <row r="291" spans="1:33" s="1817" customFormat="1" ht="18.75">
      <c r="A291" s="1834"/>
      <c r="B291" s="1847" t="s">
        <v>1796</v>
      </c>
      <c r="C291" s="1846">
        <v>7313</v>
      </c>
      <c r="D291" s="1815"/>
      <c r="E291" s="1842">
        <f>+IF('TRIAL-BALANCE'!C$8=C291,1,0)</f>
        <v>0</v>
      </c>
      <c r="G291" s="1842">
        <v>0</v>
      </c>
      <c r="I291" s="2217">
        <f t="shared" si="19"/>
        <v>0</v>
      </c>
      <c r="P291" s="1818"/>
      <c r="Q291" s="1818"/>
      <c r="R291" s="1818"/>
      <c r="S291" s="1818"/>
      <c r="T291" s="1818"/>
      <c r="U291" s="1818"/>
      <c r="V291" s="1818"/>
      <c r="W291" s="1818"/>
      <c r="X291" s="1818"/>
      <c r="Y291" s="1818"/>
      <c r="Z291" s="1818"/>
      <c r="AA291" s="1818"/>
      <c r="AB291" s="1818"/>
      <c r="AC291" s="1818"/>
      <c r="AD291" s="1818"/>
      <c r="AE291" s="1818"/>
      <c r="AF291" s="1818"/>
      <c r="AG291" s="1818"/>
    </row>
    <row r="292" spans="1:33" s="1817" customFormat="1" ht="18.75">
      <c r="A292" s="1834"/>
      <c r="B292" s="1847" t="s">
        <v>1797</v>
      </c>
      <c r="C292" s="1846">
        <v>7314</v>
      </c>
      <c r="D292" s="1815"/>
      <c r="E292" s="1842">
        <f>+IF('TRIAL-BALANCE'!C$8=C292,1,0)</f>
        <v>0</v>
      </c>
      <c r="G292" s="1842">
        <v>0</v>
      </c>
      <c r="I292" s="2217">
        <f t="shared" si="19"/>
        <v>0</v>
      </c>
      <c r="P292" s="1818"/>
      <c r="Q292" s="1818"/>
      <c r="R292" s="1818"/>
      <c r="S292" s="1818"/>
      <c r="T292" s="1818"/>
      <c r="U292" s="1818"/>
      <c r="V292" s="1818"/>
      <c r="W292" s="1818"/>
      <c r="X292" s="1818"/>
      <c r="Y292" s="1818"/>
      <c r="Z292" s="1818"/>
      <c r="AA292" s="1818"/>
      <c r="AB292" s="1818"/>
      <c r="AC292" s="1818"/>
      <c r="AD292" s="1818"/>
      <c r="AE292" s="1818"/>
      <c r="AF292" s="1818"/>
      <c r="AG292" s="1818"/>
    </row>
    <row r="293" spans="1:33" s="1817" customFormat="1" ht="18.75">
      <c r="A293" s="1834"/>
      <c r="B293" s="1847" t="s">
        <v>1798</v>
      </c>
      <c r="C293" s="1846">
        <v>7315</v>
      </c>
      <c r="D293" s="1815"/>
      <c r="E293" s="1842">
        <f>+IF('TRIAL-BALANCE'!C$8=C293,1,0)</f>
        <v>0</v>
      </c>
      <c r="G293" s="1842">
        <v>0</v>
      </c>
      <c r="I293" s="2217">
        <f t="shared" si="19"/>
        <v>0</v>
      </c>
      <c r="P293" s="1818"/>
      <c r="Q293" s="1818"/>
      <c r="R293" s="1818"/>
      <c r="S293" s="1818"/>
      <c r="T293" s="1818"/>
      <c r="U293" s="1818"/>
      <c r="V293" s="1818"/>
      <c r="W293" s="1818"/>
      <c r="X293" s="1818"/>
      <c r="Y293" s="1818"/>
      <c r="Z293" s="1818"/>
      <c r="AA293" s="1818"/>
      <c r="AB293" s="1818"/>
      <c r="AC293" s="1818"/>
      <c r="AD293" s="1818"/>
      <c r="AE293" s="1818"/>
      <c r="AF293" s="1818"/>
      <c r="AG293" s="1818"/>
    </row>
    <row r="294" spans="1:33" s="1817" customFormat="1" ht="18.75">
      <c r="A294" s="1834"/>
      <c r="B294" s="1847" t="s">
        <v>1799</v>
      </c>
      <c r="C294" s="1846">
        <v>7316</v>
      </c>
      <c r="D294" s="1815"/>
      <c r="E294" s="1842">
        <f>+IF('TRIAL-BALANCE'!C$8=C294,1,0)</f>
        <v>0</v>
      </c>
      <c r="G294" s="1842">
        <v>0</v>
      </c>
      <c r="I294" s="2217">
        <f t="shared" si="19"/>
        <v>0</v>
      </c>
      <c r="P294" s="1818"/>
      <c r="Q294" s="1818"/>
      <c r="R294" s="1818"/>
      <c r="S294" s="1818"/>
      <c r="T294" s="1818"/>
      <c r="U294" s="1818"/>
      <c r="V294" s="1818"/>
      <c r="W294" s="1818"/>
      <c r="X294" s="1818"/>
      <c r="Y294" s="1818"/>
      <c r="Z294" s="1818"/>
      <c r="AA294" s="1818"/>
      <c r="AB294" s="1818"/>
      <c r="AC294" s="1818"/>
      <c r="AD294" s="1818"/>
      <c r="AE294" s="1818"/>
      <c r="AF294" s="1818"/>
      <c r="AG294" s="1818"/>
    </row>
    <row r="295" spans="1:33" s="1817" customFormat="1" ht="18.75">
      <c r="A295" s="1834"/>
      <c r="B295" s="1847" t="s">
        <v>1800</v>
      </c>
      <c r="C295" s="1846">
        <v>7317</v>
      </c>
      <c r="D295" s="1815"/>
      <c r="E295" s="1842">
        <f>+IF('TRIAL-BALANCE'!C$8=C295,1,0)</f>
        <v>0</v>
      </c>
      <c r="G295" s="1842">
        <v>0</v>
      </c>
      <c r="I295" s="2217">
        <f t="shared" si="19"/>
        <v>0</v>
      </c>
      <c r="P295" s="1818"/>
      <c r="Q295" s="1818"/>
      <c r="R295" s="1818"/>
      <c r="S295" s="1818"/>
      <c r="T295" s="1818"/>
      <c r="U295" s="1818"/>
      <c r="V295" s="1818"/>
      <c r="W295" s="1818"/>
      <c r="X295" s="1818"/>
      <c r="Y295" s="1818"/>
      <c r="Z295" s="1818"/>
      <c r="AA295" s="1818"/>
      <c r="AB295" s="1818"/>
      <c r="AC295" s="1818"/>
      <c r="AD295" s="1818"/>
      <c r="AE295" s="1818"/>
      <c r="AF295" s="1818"/>
      <c r="AG295" s="1818"/>
    </row>
    <row r="296" spans="1:33" s="1817" customFormat="1" ht="18.75">
      <c r="A296" s="1834"/>
      <c r="B296" s="1847" t="s">
        <v>1801</v>
      </c>
      <c r="C296" s="1846">
        <v>7318</v>
      </c>
      <c r="D296" s="1815"/>
      <c r="E296" s="1842">
        <f>+IF('TRIAL-BALANCE'!C$8=C296,1,0)</f>
        <v>0</v>
      </c>
      <c r="G296" s="1842">
        <v>0</v>
      </c>
      <c r="I296" s="2217">
        <f t="shared" si="19"/>
        <v>0</v>
      </c>
      <c r="P296" s="1818"/>
      <c r="Q296" s="1818"/>
      <c r="R296" s="1818"/>
      <c r="S296" s="1818"/>
      <c r="T296" s="1818"/>
      <c r="U296" s="1818"/>
      <c r="V296" s="1818"/>
      <c r="W296" s="1818"/>
      <c r="X296" s="1818"/>
      <c r="Y296" s="1818"/>
      <c r="Z296" s="1818"/>
      <c r="AA296" s="1818"/>
      <c r="AB296" s="1818"/>
      <c r="AC296" s="1818"/>
      <c r="AD296" s="1818"/>
      <c r="AE296" s="1818"/>
      <c r="AF296" s="1818"/>
      <c r="AG296" s="1818"/>
    </row>
    <row r="297" spans="1:33" s="1817" customFormat="1" ht="18.75">
      <c r="A297" s="1834"/>
      <c r="B297" s="1847" t="s">
        <v>1802</v>
      </c>
      <c r="C297" s="1846">
        <v>7319</v>
      </c>
      <c r="D297" s="1815"/>
      <c r="E297" s="1842">
        <f>+IF('TRIAL-BALANCE'!C$8=C297,1,0)</f>
        <v>0</v>
      </c>
      <c r="G297" s="1842">
        <v>0</v>
      </c>
      <c r="I297" s="2217">
        <f t="shared" si="19"/>
        <v>0</v>
      </c>
      <c r="P297" s="1818"/>
      <c r="Q297" s="1818"/>
      <c r="R297" s="1818"/>
      <c r="S297" s="1818"/>
      <c r="T297" s="1818"/>
      <c r="U297" s="1818"/>
      <c r="V297" s="1818"/>
      <c r="W297" s="1818"/>
      <c r="X297" s="1818"/>
      <c r="Y297" s="1818"/>
      <c r="Z297" s="1818"/>
      <c r="AA297" s="1818"/>
      <c r="AB297" s="1818"/>
      <c r="AC297" s="1818"/>
      <c r="AD297" s="1818"/>
      <c r="AE297" s="1818"/>
      <c r="AF297" s="1818"/>
      <c r="AG297" s="1818"/>
    </row>
    <row r="298" spans="1:33" s="1817" customFormat="1" ht="18.75">
      <c r="A298" s="1834"/>
      <c r="B298" s="1847" t="s">
        <v>1803</v>
      </c>
      <c r="C298" s="1846">
        <v>7320</v>
      </c>
      <c r="D298" s="1815"/>
      <c r="E298" s="1842">
        <f>+IF('TRIAL-BALANCE'!C$8=C298,1,0)</f>
        <v>0</v>
      </c>
      <c r="G298" s="1842">
        <v>0</v>
      </c>
      <c r="I298" s="2217">
        <f t="shared" si="19"/>
        <v>0</v>
      </c>
      <c r="P298" s="1818"/>
      <c r="Q298" s="1818"/>
      <c r="R298" s="1818"/>
      <c r="S298" s="1818"/>
      <c r="T298" s="1818"/>
      <c r="U298" s="1818"/>
      <c r="V298" s="1818"/>
      <c r="W298" s="1818"/>
      <c r="X298" s="1818"/>
      <c r="Y298" s="1818"/>
      <c r="Z298" s="1818"/>
      <c r="AA298" s="1818"/>
      <c r="AB298" s="1818"/>
      <c r="AC298" s="1818"/>
      <c r="AD298" s="1818"/>
      <c r="AE298" s="1818"/>
      <c r="AF298" s="1818"/>
      <c r="AG298" s="1818"/>
    </row>
    <row r="299" spans="1:33" s="1817" customFormat="1" ht="18.75">
      <c r="A299" s="1834"/>
      <c r="B299" s="1847" t="s">
        <v>1804</v>
      </c>
      <c r="C299" s="1846">
        <v>7321</v>
      </c>
      <c r="D299" s="1815"/>
      <c r="E299" s="1842">
        <f>+IF('TRIAL-BALANCE'!C$8=C299,1,0)</f>
        <v>0</v>
      </c>
      <c r="G299" s="1842">
        <v>0</v>
      </c>
      <c r="I299" s="2217">
        <f t="shared" si="19"/>
        <v>0</v>
      </c>
      <c r="P299" s="1818"/>
      <c r="Q299" s="1818"/>
      <c r="R299" s="1818"/>
      <c r="S299" s="1818"/>
      <c r="T299" s="1818"/>
      <c r="U299" s="1818"/>
      <c r="V299" s="1818"/>
      <c r="W299" s="1818"/>
      <c r="X299" s="1818"/>
      <c r="Y299" s="1818"/>
      <c r="Z299" s="1818"/>
      <c r="AA299" s="1818"/>
      <c r="AB299" s="1818"/>
      <c r="AC299" s="1818"/>
      <c r="AD299" s="1818"/>
      <c r="AE299" s="1818"/>
      <c r="AF299" s="1818"/>
      <c r="AG299" s="1818"/>
    </row>
    <row r="300" spans="1:33" s="1817" customFormat="1" ht="19.5" thickBot="1">
      <c r="A300" s="1834"/>
      <c r="B300" s="1848" t="s">
        <v>1805</v>
      </c>
      <c r="C300" s="1849">
        <v>7322</v>
      </c>
      <c r="D300" s="1815"/>
      <c r="E300" s="1850">
        <f>+IF('TRIAL-BALANCE'!C$8=C300,1,0)</f>
        <v>0</v>
      </c>
      <c r="G300" s="1850">
        <v>0</v>
      </c>
      <c r="I300" s="2217">
        <f t="shared" si="19"/>
        <v>0</v>
      </c>
      <c r="P300" s="1818"/>
      <c r="Q300" s="1818"/>
      <c r="R300" s="1818"/>
      <c r="S300" s="1818"/>
      <c r="T300" s="1818"/>
      <c r="U300" s="1818"/>
      <c r="V300" s="1818"/>
      <c r="W300" s="1818"/>
      <c r="X300" s="1818"/>
      <c r="Y300" s="1818"/>
      <c r="Z300" s="1818"/>
      <c r="AA300" s="1818"/>
      <c r="AB300" s="1818"/>
      <c r="AC300" s="1818"/>
      <c r="AD300" s="1818"/>
      <c r="AE300" s="1818"/>
      <c r="AF300" s="1818"/>
      <c r="AG300" s="1818"/>
    </row>
    <row r="301" spans="1:33" s="1817" customFormat="1" ht="9" customHeight="1" thickBot="1">
      <c r="A301" s="1851"/>
      <c r="B301" s="1831"/>
      <c r="C301" s="1852"/>
      <c r="D301" s="1815"/>
      <c r="E301" s="1816"/>
      <c r="G301" s="1816"/>
      <c r="I301" s="1816"/>
      <c r="P301" s="1818"/>
      <c r="Q301" s="1818"/>
      <c r="R301" s="1818"/>
      <c r="S301" s="1818"/>
      <c r="T301" s="1818"/>
      <c r="U301" s="1818"/>
      <c r="V301" s="1818"/>
      <c r="W301" s="1818"/>
      <c r="X301" s="1818"/>
      <c r="Y301" s="1818"/>
      <c r="Z301" s="1818"/>
      <c r="AA301" s="1818"/>
      <c r="AB301" s="1818"/>
      <c r="AC301" s="1818"/>
      <c r="AD301" s="1818"/>
      <c r="AE301" s="1818"/>
      <c r="AF301" s="1818"/>
      <c r="AG301" s="1818"/>
    </row>
    <row r="302" spans="1:33" s="1817" customFormat="1" ht="18.75">
      <c r="A302" s="1834"/>
      <c r="B302" s="1835" t="s">
        <v>1806</v>
      </c>
      <c r="C302" s="1836" t="s">
        <v>1807</v>
      </c>
      <c r="D302" s="1815"/>
      <c r="E302" s="1816"/>
      <c r="G302" s="1816"/>
      <c r="I302" s="1816"/>
      <c r="P302" s="1818"/>
      <c r="Q302" s="1818"/>
      <c r="R302" s="1818"/>
      <c r="S302" s="1818"/>
      <c r="T302" s="1818"/>
      <c r="U302" s="1818"/>
      <c r="V302" s="1818"/>
      <c r="W302" s="1818"/>
      <c r="X302" s="1818"/>
      <c r="Y302" s="1818"/>
      <c r="Z302" s="1818"/>
      <c r="AA302" s="1818"/>
      <c r="AB302" s="1818"/>
      <c r="AC302" s="1818"/>
      <c r="AD302" s="1818"/>
      <c r="AE302" s="1818"/>
      <c r="AF302" s="1818"/>
      <c r="AG302" s="1818"/>
    </row>
    <row r="303" spans="1:33" s="1817" customFormat="1" ht="18.75">
      <c r="A303" s="1834"/>
      <c r="B303" s="1855" t="s">
        <v>1808</v>
      </c>
      <c r="C303" s="1856">
        <v>7401</v>
      </c>
      <c r="D303" s="1815"/>
      <c r="E303" s="1839">
        <f>+IF('TRIAL-BALANCE'!C$8=C303,1,0)</f>
        <v>0</v>
      </c>
      <c r="G303" s="1839">
        <v>0</v>
      </c>
      <c r="I303" s="2217">
        <f t="shared" ref="I303:I313" si="20">+E303+G303</f>
        <v>0</v>
      </c>
      <c r="P303" s="1818"/>
      <c r="Q303" s="1818"/>
      <c r="R303" s="1818"/>
      <c r="S303" s="1818"/>
      <c r="T303" s="1818"/>
      <c r="U303" s="1818"/>
      <c r="V303" s="1818"/>
      <c r="W303" s="1818"/>
      <c r="X303" s="1818"/>
      <c r="Y303" s="1818"/>
      <c r="Z303" s="1818"/>
      <c r="AA303" s="1818"/>
      <c r="AB303" s="1818"/>
      <c r="AC303" s="1818"/>
      <c r="AD303" s="1818"/>
      <c r="AE303" s="1818"/>
      <c r="AF303" s="1818"/>
      <c r="AG303" s="1818"/>
    </row>
    <row r="304" spans="1:33" s="1817" customFormat="1" ht="18.75">
      <c r="A304" s="1834"/>
      <c r="B304" s="1847" t="s">
        <v>1809</v>
      </c>
      <c r="C304" s="1846">
        <v>7402</v>
      </c>
      <c r="D304" s="1815"/>
      <c r="E304" s="1842">
        <f>+IF('TRIAL-BALANCE'!C$8=C304,1,0)</f>
        <v>0</v>
      </c>
      <c r="G304" s="1842">
        <v>0</v>
      </c>
      <c r="I304" s="2217">
        <f t="shared" si="20"/>
        <v>0</v>
      </c>
      <c r="P304" s="1818"/>
      <c r="Q304" s="1818"/>
      <c r="R304" s="1818"/>
      <c r="S304" s="1818"/>
      <c r="T304" s="1818"/>
      <c r="U304" s="1818"/>
      <c r="V304" s="1818"/>
      <c r="W304" s="1818"/>
      <c r="X304" s="1818"/>
      <c r="Y304" s="1818"/>
      <c r="Z304" s="1818"/>
      <c r="AA304" s="1818"/>
      <c r="AB304" s="1818"/>
      <c r="AC304" s="1818"/>
      <c r="AD304" s="1818"/>
      <c r="AE304" s="1818"/>
      <c r="AF304" s="1818"/>
      <c r="AG304" s="1818"/>
    </row>
    <row r="305" spans="1:33" s="1817" customFormat="1" ht="18.75">
      <c r="A305" s="1834"/>
      <c r="B305" s="1847" t="s">
        <v>1810</v>
      </c>
      <c r="C305" s="1846">
        <v>7403</v>
      </c>
      <c r="D305" s="1815"/>
      <c r="E305" s="1842">
        <f>+IF('TRIAL-BALANCE'!C$8=C305,1,0)</f>
        <v>0</v>
      </c>
      <c r="G305" s="1842">
        <v>0</v>
      </c>
      <c r="I305" s="2217">
        <f t="shared" si="20"/>
        <v>0</v>
      </c>
      <c r="P305" s="1818"/>
      <c r="Q305" s="1818"/>
      <c r="R305" s="1818"/>
      <c r="S305" s="1818"/>
      <c r="T305" s="1818"/>
      <c r="U305" s="1818"/>
      <c r="V305" s="1818"/>
      <c r="W305" s="1818"/>
      <c r="X305" s="1818"/>
      <c r="Y305" s="1818"/>
      <c r="Z305" s="1818"/>
      <c r="AA305" s="1818"/>
      <c r="AB305" s="1818"/>
      <c r="AC305" s="1818"/>
      <c r="AD305" s="1818"/>
      <c r="AE305" s="1818"/>
      <c r="AF305" s="1818"/>
      <c r="AG305" s="1818"/>
    </row>
    <row r="306" spans="1:33" s="1817" customFormat="1" ht="18.75">
      <c r="A306" s="1834"/>
      <c r="B306" s="1847" t="s">
        <v>1811</v>
      </c>
      <c r="C306" s="1846">
        <v>7404</v>
      </c>
      <c r="D306" s="1815"/>
      <c r="E306" s="1842">
        <f>+IF('TRIAL-BALANCE'!C$8=C306,1,0)</f>
        <v>0</v>
      </c>
      <c r="G306" s="1842">
        <v>0</v>
      </c>
      <c r="I306" s="2217">
        <f t="shared" si="20"/>
        <v>0</v>
      </c>
      <c r="P306" s="1818"/>
      <c r="Q306" s="1818"/>
      <c r="R306" s="1818"/>
      <c r="S306" s="1818"/>
      <c r="T306" s="1818"/>
      <c r="U306" s="1818"/>
      <c r="V306" s="1818"/>
      <c r="W306" s="1818"/>
      <c r="X306" s="1818"/>
      <c r="Y306" s="1818"/>
      <c r="Z306" s="1818"/>
      <c r="AA306" s="1818"/>
      <c r="AB306" s="1818"/>
      <c r="AC306" s="1818"/>
      <c r="AD306" s="1818"/>
      <c r="AE306" s="1818"/>
      <c r="AF306" s="1818"/>
      <c r="AG306" s="1818"/>
    </row>
    <row r="307" spans="1:33" s="1817" customFormat="1" ht="18.75">
      <c r="A307" s="1834"/>
      <c r="B307" s="1847" t="s">
        <v>1812</v>
      </c>
      <c r="C307" s="1846">
        <v>7405</v>
      </c>
      <c r="D307" s="1815"/>
      <c r="E307" s="1842">
        <f>+IF('TRIAL-BALANCE'!C$8=C307,1,0)</f>
        <v>0</v>
      </c>
      <c r="G307" s="1842">
        <v>0</v>
      </c>
      <c r="I307" s="2217">
        <f t="shared" si="20"/>
        <v>0</v>
      </c>
      <c r="P307" s="1818"/>
      <c r="Q307" s="1818"/>
      <c r="R307" s="1818"/>
      <c r="S307" s="1818"/>
      <c r="T307" s="1818"/>
      <c r="U307" s="1818"/>
      <c r="V307" s="1818"/>
      <c r="W307" s="1818"/>
      <c r="X307" s="1818"/>
      <c r="Y307" s="1818"/>
      <c r="Z307" s="1818"/>
      <c r="AA307" s="1818"/>
      <c r="AB307" s="1818"/>
      <c r="AC307" s="1818"/>
      <c r="AD307" s="1818"/>
      <c r="AE307" s="1818"/>
      <c r="AF307" s="1818"/>
      <c r="AG307" s="1818"/>
    </row>
    <row r="308" spans="1:33" s="1817" customFormat="1" ht="18.75">
      <c r="A308" s="1834"/>
      <c r="B308" s="1847" t="s">
        <v>1813</v>
      </c>
      <c r="C308" s="1846">
        <v>7406</v>
      </c>
      <c r="D308" s="1815"/>
      <c r="E308" s="1842">
        <f>+IF('TRIAL-BALANCE'!C$8=C308,1,0)</f>
        <v>0</v>
      </c>
      <c r="G308" s="1842">
        <v>0</v>
      </c>
      <c r="I308" s="2217">
        <f t="shared" si="20"/>
        <v>0</v>
      </c>
      <c r="P308" s="1818"/>
      <c r="Q308" s="1818"/>
      <c r="R308" s="1818"/>
      <c r="S308" s="1818"/>
      <c r="T308" s="1818"/>
      <c r="U308" s="1818"/>
      <c r="V308" s="1818"/>
      <c r="W308" s="1818"/>
      <c r="X308" s="1818"/>
      <c r="Y308" s="1818"/>
      <c r="Z308" s="1818"/>
      <c r="AA308" s="1818"/>
      <c r="AB308" s="1818"/>
      <c r="AC308" s="1818"/>
      <c r="AD308" s="1818"/>
      <c r="AE308" s="1818"/>
      <c r="AF308" s="1818"/>
      <c r="AG308" s="1818"/>
    </row>
    <row r="309" spans="1:33" s="1817" customFormat="1" ht="18.75">
      <c r="A309" s="1834"/>
      <c r="B309" s="1847" t="s">
        <v>1814</v>
      </c>
      <c r="C309" s="1846">
        <v>7407</v>
      </c>
      <c r="D309" s="1815"/>
      <c r="E309" s="1842">
        <f>+IF('TRIAL-BALANCE'!C$8=C309,1,0)</f>
        <v>0</v>
      </c>
      <c r="G309" s="1842">
        <v>0</v>
      </c>
      <c r="I309" s="2217">
        <f t="shared" si="20"/>
        <v>0</v>
      </c>
      <c r="P309" s="1818"/>
      <c r="Q309" s="1818"/>
      <c r="R309" s="1818"/>
      <c r="S309" s="1818"/>
      <c r="T309" s="1818"/>
      <c r="U309" s="1818"/>
      <c r="V309" s="1818"/>
      <c r="W309" s="1818"/>
      <c r="X309" s="1818"/>
      <c r="Y309" s="1818"/>
      <c r="Z309" s="1818"/>
      <c r="AA309" s="1818"/>
      <c r="AB309" s="1818"/>
      <c r="AC309" s="1818"/>
      <c r="AD309" s="1818"/>
      <c r="AE309" s="1818"/>
      <c r="AF309" s="1818"/>
      <c r="AG309" s="1818"/>
    </row>
    <row r="310" spans="1:33" s="1817" customFormat="1" ht="18.75">
      <c r="A310" s="1834"/>
      <c r="B310" s="1847" t="s">
        <v>1815</v>
      </c>
      <c r="C310" s="1846">
        <v>7408</v>
      </c>
      <c r="D310" s="1815"/>
      <c r="E310" s="1842">
        <f>+IF('TRIAL-BALANCE'!C$8=C310,1,0)</f>
        <v>0</v>
      </c>
      <c r="G310" s="1842">
        <v>0</v>
      </c>
      <c r="I310" s="2217">
        <f t="shared" si="20"/>
        <v>0</v>
      </c>
      <c r="P310" s="1818"/>
      <c r="Q310" s="1818"/>
      <c r="R310" s="1818"/>
      <c r="S310" s="1818"/>
      <c r="T310" s="1818"/>
      <c r="U310" s="1818"/>
      <c r="V310" s="1818"/>
      <c r="W310" s="1818"/>
      <c r="X310" s="1818"/>
      <c r="Y310" s="1818"/>
      <c r="Z310" s="1818"/>
      <c r="AA310" s="1818"/>
      <c r="AB310" s="1818"/>
      <c r="AC310" s="1818"/>
      <c r="AD310" s="1818"/>
      <c r="AE310" s="1818"/>
      <c r="AF310" s="1818"/>
      <c r="AG310" s="1818"/>
    </row>
    <row r="311" spans="1:33" s="1817" customFormat="1" ht="18.75">
      <c r="A311" s="1834"/>
      <c r="B311" s="1847" t="s">
        <v>1816</v>
      </c>
      <c r="C311" s="1846">
        <v>7409</v>
      </c>
      <c r="D311" s="1815"/>
      <c r="E311" s="1842">
        <f>+IF('TRIAL-BALANCE'!C$8=C311,1,0)</f>
        <v>0</v>
      </c>
      <c r="G311" s="1842">
        <v>0</v>
      </c>
      <c r="I311" s="2217">
        <f t="shared" si="20"/>
        <v>0</v>
      </c>
      <c r="P311" s="1818"/>
      <c r="Q311" s="1818"/>
      <c r="R311" s="1818"/>
      <c r="S311" s="1818"/>
      <c r="T311" s="1818"/>
      <c r="U311" s="1818"/>
      <c r="V311" s="1818"/>
      <c r="W311" s="1818"/>
      <c r="X311" s="1818"/>
      <c r="Y311" s="1818"/>
      <c r="Z311" s="1818"/>
      <c r="AA311" s="1818"/>
      <c r="AB311" s="1818"/>
      <c r="AC311" s="1818"/>
      <c r="AD311" s="1818"/>
      <c r="AE311" s="1818"/>
      <c r="AF311" s="1818"/>
      <c r="AG311" s="1818"/>
    </row>
    <row r="312" spans="1:33" s="1817" customFormat="1" ht="19.5">
      <c r="A312" s="1834"/>
      <c r="B312" s="1853" t="s">
        <v>1817</v>
      </c>
      <c r="C312" s="1846">
        <v>7410</v>
      </c>
      <c r="D312" s="1815"/>
      <c r="E312" s="1842">
        <f>+IF('TRIAL-BALANCE'!C$8=C312,1,0)</f>
        <v>0</v>
      </c>
      <c r="G312" s="1842">
        <v>0</v>
      </c>
      <c r="I312" s="2217">
        <f t="shared" si="20"/>
        <v>0</v>
      </c>
      <c r="P312" s="1818"/>
      <c r="Q312" s="1818"/>
      <c r="R312" s="1818"/>
      <c r="S312" s="1818"/>
      <c r="T312" s="1818"/>
      <c r="U312" s="1818"/>
      <c r="V312" s="1818"/>
      <c r="W312" s="1818"/>
      <c r="X312" s="1818"/>
      <c r="Y312" s="1818"/>
      <c r="Z312" s="1818"/>
      <c r="AA312" s="1818"/>
      <c r="AB312" s="1818"/>
      <c r="AC312" s="1818"/>
      <c r="AD312" s="1818"/>
      <c r="AE312" s="1818"/>
      <c r="AF312" s="1818"/>
      <c r="AG312" s="1818"/>
    </row>
    <row r="313" spans="1:33" s="1817" customFormat="1" ht="19.5" thickBot="1">
      <c r="A313" s="1834"/>
      <c r="B313" s="1848" t="s">
        <v>1818</v>
      </c>
      <c r="C313" s="1849">
        <v>7411</v>
      </c>
      <c r="D313" s="1815"/>
      <c r="E313" s="1850">
        <f>+IF('TRIAL-BALANCE'!C$8=C313,1,0)</f>
        <v>0</v>
      </c>
      <c r="G313" s="1850">
        <v>0</v>
      </c>
      <c r="I313" s="2217">
        <f t="shared" si="20"/>
        <v>0</v>
      </c>
      <c r="P313" s="1818"/>
      <c r="Q313" s="1818"/>
      <c r="R313" s="1818"/>
      <c r="S313" s="1818"/>
      <c r="T313" s="1818"/>
      <c r="U313" s="1818"/>
      <c r="V313" s="1818"/>
      <c r="W313" s="1818"/>
      <c r="X313" s="1818"/>
      <c r="Y313" s="1818"/>
      <c r="Z313" s="1818"/>
      <c r="AA313" s="1818"/>
      <c r="AB313" s="1818"/>
      <c r="AC313" s="1818"/>
      <c r="AD313" s="1818"/>
      <c r="AE313" s="1818"/>
      <c r="AF313" s="1818"/>
      <c r="AG313" s="1818"/>
    </row>
    <row r="314" spans="1:33" s="1817" customFormat="1" ht="9" customHeight="1" thickBot="1">
      <c r="A314" s="1851"/>
      <c r="B314" s="1831"/>
      <c r="C314" s="1852"/>
      <c r="D314" s="1815"/>
      <c r="E314" s="1816"/>
      <c r="G314" s="1816"/>
      <c r="I314" s="1816"/>
      <c r="P314" s="1818"/>
      <c r="Q314" s="1818"/>
      <c r="R314" s="1818"/>
      <c r="S314" s="1818"/>
      <c r="T314" s="1818"/>
      <c r="U314" s="1818"/>
      <c r="V314" s="1818"/>
      <c r="W314" s="1818"/>
      <c r="X314" s="1818"/>
      <c r="Y314" s="1818"/>
      <c r="Z314" s="1818"/>
      <c r="AA314" s="1818"/>
      <c r="AB314" s="1818"/>
      <c r="AC314" s="1818"/>
      <c r="AD314" s="1818"/>
      <c r="AE314" s="1818"/>
      <c r="AF314" s="1818"/>
      <c r="AG314" s="1818"/>
    </row>
    <row r="315" spans="1:33" s="1817" customFormat="1" ht="18.75">
      <c r="A315" s="1834"/>
      <c r="B315" s="1835" t="s">
        <v>1819</v>
      </c>
      <c r="C315" s="1836" t="s">
        <v>1820</v>
      </c>
      <c r="D315" s="1815"/>
      <c r="E315" s="1816"/>
      <c r="G315" s="1816"/>
      <c r="I315" s="1816"/>
      <c r="P315" s="1818"/>
      <c r="Q315" s="1818"/>
      <c r="R315" s="1818"/>
      <c r="S315" s="1818"/>
      <c r="T315" s="1818"/>
      <c r="U315" s="1818"/>
      <c r="V315" s="1818"/>
      <c r="W315" s="1818"/>
      <c r="X315" s="1818"/>
      <c r="Y315" s="1818"/>
      <c r="Z315" s="1818"/>
      <c r="AA315" s="1818"/>
      <c r="AB315" s="1818"/>
      <c r="AC315" s="1818"/>
      <c r="AD315" s="1818"/>
      <c r="AE315" s="1818"/>
      <c r="AF315" s="1818"/>
      <c r="AG315" s="1818"/>
    </row>
    <row r="316" spans="1:33" s="1817" customFormat="1" ht="18.75">
      <c r="A316" s="1834"/>
      <c r="B316" s="1855" t="s">
        <v>1821</v>
      </c>
      <c r="C316" s="1856">
        <v>7501</v>
      </c>
      <c r="D316" s="1815"/>
      <c r="E316" s="1839">
        <f>+IF('TRIAL-BALANCE'!C$8=C316,1,0)</f>
        <v>0</v>
      </c>
      <c r="G316" s="1839">
        <v>0</v>
      </c>
      <c r="I316" s="2217">
        <f>+E316+G316</f>
        <v>0</v>
      </c>
      <c r="P316" s="1818"/>
      <c r="Q316" s="1818"/>
      <c r="R316" s="1818"/>
      <c r="S316" s="1818"/>
      <c r="T316" s="1818"/>
      <c r="U316" s="1818"/>
      <c r="V316" s="1818"/>
      <c r="W316" s="1818"/>
      <c r="X316" s="1818"/>
      <c r="Y316" s="1818"/>
      <c r="Z316" s="1818"/>
      <c r="AA316" s="1818"/>
      <c r="AB316" s="1818"/>
      <c r="AC316" s="1818"/>
      <c r="AD316" s="1818"/>
      <c r="AE316" s="1818"/>
      <c r="AF316" s="1818"/>
      <c r="AG316" s="1818"/>
    </row>
    <row r="317" spans="1:33" s="1817" customFormat="1" ht="18.75">
      <c r="A317" s="1834"/>
      <c r="B317" s="1847" t="s">
        <v>1822</v>
      </c>
      <c r="C317" s="1846">
        <v>7502</v>
      </c>
      <c r="D317" s="1815"/>
      <c r="E317" s="1842">
        <f>+IF('TRIAL-BALANCE'!C$8=C317,1,0)</f>
        <v>0</v>
      </c>
      <c r="G317" s="1842">
        <v>0</v>
      </c>
      <c r="I317" s="2217">
        <f>+E317+G317</f>
        <v>0</v>
      </c>
      <c r="P317" s="1818"/>
      <c r="Q317" s="1818"/>
      <c r="R317" s="1818"/>
      <c r="S317" s="1818"/>
      <c r="T317" s="1818"/>
      <c r="U317" s="1818"/>
      <c r="V317" s="1818"/>
      <c r="W317" s="1818"/>
      <c r="X317" s="1818"/>
      <c r="Y317" s="1818"/>
      <c r="Z317" s="1818"/>
      <c r="AA317" s="1818"/>
      <c r="AB317" s="1818"/>
      <c r="AC317" s="1818"/>
      <c r="AD317" s="1818"/>
      <c r="AE317" s="1818"/>
      <c r="AF317" s="1818"/>
      <c r="AG317" s="1818"/>
    </row>
    <row r="318" spans="1:33" s="1817" customFormat="1" ht="18.75">
      <c r="A318" s="1834"/>
      <c r="B318" s="1847" t="s">
        <v>1823</v>
      </c>
      <c r="C318" s="1846">
        <v>7503</v>
      </c>
      <c r="D318" s="1815"/>
      <c r="E318" s="1842">
        <f>+IF('TRIAL-BALANCE'!C$8=C318,1,0)</f>
        <v>0</v>
      </c>
      <c r="G318" s="1842">
        <v>0</v>
      </c>
      <c r="I318" s="2217">
        <f>+E318+G318</f>
        <v>0</v>
      </c>
      <c r="P318" s="1818"/>
      <c r="Q318" s="1818"/>
      <c r="R318" s="1818"/>
      <c r="S318" s="1818"/>
      <c r="T318" s="1818"/>
      <c r="U318" s="1818"/>
      <c r="V318" s="1818"/>
      <c r="W318" s="1818"/>
      <c r="X318" s="1818"/>
      <c r="Y318" s="1818"/>
      <c r="Z318" s="1818"/>
      <c r="AA318" s="1818"/>
      <c r="AB318" s="1818"/>
      <c r="AC318" s="1818"/>
      <c r="AD318" s="1818"/>
      <c r="AE318" s="1818"/>
      <c r="AF318" s="1818"/>
      <c r="AG318" s="1818"/>
    </row>
    <row r="319" spans="1:33" s="1817" customFormat="1" ht="18.75">
      <c r="A319" s="1834"/>
      <c r="B319" s="1847" t="s">
        <v>1824</v>
      </c>
      <c r="C319" s="1846">
        <v>7504</v>
      </c>
      <c r="D319" s="1815"/>
      <c r="E319" s="1842">
        <f>+IF('TRIAL-BALANCE'!C$8=C319,1,0)</f>
        <v>0</v>
      </c>
      <c r="G319" s="1842">
        <v>0</v>
      </c>
      <c r="I319" s="2217">
        <f>+E319+G319</f>
        <v>0</v>
      </c>
      <c r="P319" s="1818"/>
      <c r="Q319" s="1818"/>
      <c r="R319" s="1818"/>
      <c r="S319" s="1818"/>
      <c r="T319" s="1818"/>
      <c r="U319" s="1818"/>
      <c r="V319" s="1818"/>
      <c r="W319" s="1818"/>
      <c r="X319" s="1818"/>
      <c r="Y319" s="1818"/>
      <c r="Z319" s="1818"/>
      <c r="AA319" s="1818"/>
      <c r="AB319" s="1818"/>
      <c r="AC319" s="1818"/>
      <c r="AD319" s="1818"/>
      <c r="AE319" s="1818"/>
      <c r="AF319" s="1818"/>
      <c r="AG319" s="1818"/>
    </row>
    <row r="320" spans="1:33" s="1817" customFormat="1" ht="20.25" thickBot="1">
      <c r="A320" s="1834"/>
      <c r="B320" s="1867" t="s">
        <v>1825</v>
      </c>
      <c r="C320" s="1849">
        <v>7505</v>
      </c>
      <c r="D320" s="1815"/>
      <c r="E320" s="1850">
        <f>+IF('TRIAL-BALANCE'!C$8=C320,1,0)</f>
        <v>0</v>
      </c>
      <c r="G320" s="1850">
        <v>0</v>
      </c>
      <c r="I320" s="2217">
        <f>+E320+G320</f>
        <v>0</v>
      </c>
      <c r="P320" s="1818"/>
      <c r="Q320" s="1818"/>
      <c r="R320" s="1818"/>
      <c r="S320" s="1818"/>
      <c r="T320" s="1818"/>
      <c r="U320" s="1818"/>
      <c r="V320" s="1818"/>
      <c r="W320" s="1818"/>
      <c r="X320" s="1818"/>
      <c r="Y320" s="1818"/>
      <c r="Z320" s="1818"/>
      <c r="AA320" s="1818"/>
      <c r="AB320" s="1818"/>
      <c r="AC320" s="1818"/>
      <c r="AD320" s="1818"/>
      <c r="AE320" s="1818"/>
      <c r="AF320" s="1818"/>
      <c r="AG320" s="1818"/>
    </row>
    <row r="321" spans="1:33" s="1817" customFormat="1" ht="9" customHeight="1" thickBot="1">
      <c r="A321" s="1851"/>
      <c r="B321" s="1869"/>
      <c r="C321" s="1852"/>
      <c r="D321" s="1815"/>
      <c r="E321" s="1816"/>
      <c r="G321" s="1816"/>
      <c r="I321" s="1816"/>
      <c r="P321" s="1818"/>
      <c r="Q321" s="1818"/>
      <c r="R321" s="1818"/>
      <c r="S321" s="1818"/>
      <c r="T321" s="1818"/>
      <c r="U321" s="1818"/>
      <c r="V321" s="1818"/>
      <c r="W321" s="1818"/>
      <c r="X321" s="1818"/>
      <c r="Y321" s="1818"/>
      <c r="Z321" s="1818"/>
      <c r="AA321" s="1818"/>
      <c r="AB321" s="1818"/>
      <c r="AC321" s="1818"/>
      <c r="AD321" s="1818"/>
      <c r="AE321" s="1818"/>
      <c r="AF321" s="1818"/>
      <c r="AG321" s="1818"/>
    </row>
    <row r="322" spans="1:33" s="1817" customFormat="1" ht="18.75">
      <c r="A322" s="1834"/>
      <c r="B322" s="1835" t="s">
        <v>1826</v>
      </c>
      <c r="C322" s="1836" t="s">
        <v>1827</v>
      </c>
      <c r="D322" s="1815"/>
      <c r="E322" s="1816"/>
      <c r="G322" s="1816"/>
      <c r="I322" s="1816"/>
      <c r="P322" s="1818"/>
      <c r="Q322" s="1818"/>
      <c r="R322" s="1818"/>
      <c r="S322" s="1818"/>
      <c r="T322" s="1818"/>
      <c r="U322" s="1818"/>
      <c r="V322" s="1818"/>
      <c r="W322" s="1818"/>
      <c r="X322" s="1818"/>
      <c r="Y322" s="1818"/>
      <c r="Z322" s="1818"/>
      <c r="AA322" s="1818"/>
      <c r="AB322" s="1818"/>
      <c r="AC322" s="1818"/>
      <c r="AD322" s="1818"/>
      <c r="AE322" s="1818"/>
      <c r="AF322" s="1818"/>
      <c r="AG322" s="1818"/>
    </row>
    <row r="323" spans="1:33" s="1817" customFormat="1" ht="18.75">
      <c r="A323" s="1834"/>
      <c r="B323" s="1855" t="s">
        <v>1828</v>
      </c>
      <c r="C323" s="1856">
        <v>7601</v>
      </c>
      <c r="D323" s="1815"/>
      <c r="E323" s="1839">
        <f>+IF('TRIAL-BALANCE'!C$8=C323,1,0)</f>
        <v>0</v>
      </c>
      <c r="G323" s="1839">
        <v>0</v>
      </c>
      <c r="I323" s="2217">
        <f t="shared" ref="I323:I333" si="21">+E323+G323</f>
        <v>0</v>
      </c>
      <c r="P323" s="1818"/>
      <c r="Q323" s="1818"/>
      <c r="R323" s="1818"/>
      <c r="S323" s="1818"/>
      <c r="T323" s="1818"/>
      <c r="U323" s="1818"/>
      <c r="V323" s="1818"/>
      <c r="W323" s="1818"/>
      <c r="X323" s="1818"/>
      <c r="Y323" s="1818"/>
      <c r="Z323" s="1818"/>
      <c r="AA323" s="1818"/>
      <c r="AB323" s="1818"/>
      <c r="AC323" s="1818"/>
      <c r="AD323" s="1818"/>
      <c r="AE323" s="1818"/>
      <c r="AF323" s="1818"/>
      <c r="AG323" s="1818"/>
    </row>
    <row r="324" spans="1:33" s="1817" customFormat="1" ht="18.75">
      <c r="A324" s="1834"/>
      <c r="B324" s="1847" t="s">
        <v>1829</v>
      </c>
      <c r="C324" s="1846">
        <v>7602</v>
      </c>
      <c r="D324" s="1815"/>
      <c r="E324" s="1842">
        <f>+IF('TRIAL-BALANCE'!C$8=C324,1,0)</f>
        <v>0</v>
      </c>
      <c r="G324" s="1842">
        <v>0</v>
      </c>
      <c r="I324" s="2217">
        <f t="shared" si="21"/>
        <v>0</v>
      </c>
      <c r="P324" s="1818"/>
      <c r="Q324" s="1818"/>
      <c r="R324" s="1818"/>
      <c r="S324" s="1818"/>
      <c r="T324" s="1818"/>
      <c r="U324" s="1818"/>
      <c r="V324" s="1818"/>
      <c r="W324" s="1818"/>
      <c r="X324" s="1818"/>
      <c r="Y324" s="1818"/>
      <c r="Z324" s="1818"/>
      <c r="AA324" s="1818"/>
      <c r="AB324" s="1818"/>
      <c r="AC324" s="1818"/>
      <c r="AD324" s="1818"/>
      <c r="AE324" s="1818"/>
      <c r="AF324" s="1818"/>
      <c r="AG324" s="1818"/>
    </row>
    <row r="325" spans="1:33" s="1817" customFormat="1" ht="18.75">
      <c r="A325" s="1834"/>
      <c r="B325" s="1847" t="s">
        <v>1830</v>
      </c>
      <c r="C325" s="1846">
        <v>7603</v>
      </c>
      <c r="D325" s="1815"/>
      <c r="E325" s="1842">
        <f>+IF('TRIAL-BALANCE'!C$8=C325,1,0)</f>
        <v>0</v>
      </c>
      <c r="G325" s="1842">
        <v>0</v>
      </c>
      <c r="I325" s="2217">
        <f t="shared" si="21"/>
        <v>0</v>
      </c>
      <c r="P325" s="1818"/>
      <c r="Q325" s="1818"/>
      <c r="R325" s="1818"/>
      <c r="S325" s="1818"/>
      <c r="T325" s="1818"/>
      <c r="U325" s="1818"/>
      <c r="V325" s="1818"/>
      <c r="W325" s="1818"/>
      <c r="X325" s="1818"/>
      <c r="Y325" s="1818"/>
      <c r="Z325" s="1818"/>
      <c r="AA325" s="1818"/>
      <c r="AB325" s="1818"/>
      <c r="AC325" s="1818"/>
      <c r="AD325" s="1818"/>
      <c r="AE325" s="1818"/>
      <c r="AF325" s="1818"/>
      <c r="AG325" s="1818"/>
    </row>
    <row r="326" spans="1:33" s="1817" customFormat="1" ht="18.75">
      <c r="A326" s="1834"/>
      <c r="B326" s="1847" t="s">
        <v>1831</v>
      </c>
      <c r="C326" s="1846">
        <v>7604</v>
      </c>
      <c r="D326" s="1815"/>
      <c r="E326" s="1842">
        <f>+IF('TRIAL-BALANCE'!C$8=C326,1,0)</f>
        <v>0</v>
      </c>
      <c r="G326" s="1842">
        <v>0</v>
      </c>
      <c r="I326" s="2217">
        <f t="shared" si="21"/>
        <v>0</v>
      </c>
      <c r="P326" s="1818"/>
      <c r="Q326" s="1818"/>
      <c r="R326" s="1818"/>
      <c r="S326" s="1818"/>
      <c r="T326" s="1818"/>
      <c r="U326" s="1818"/>
      <c r="V326" s="1818"/>
      <c r="W326" s="1818"/>
      <c r="X326" s="1818"/>
      <c r="Y326" s="1818"/>
      <c r="Z326" s="1818"/>
      <c r="AA326" s="1818"/>
      <c r="AB326" s="1818"/>
      <c r="AC326" s="1818"/>
      <c r="AD326" s="1818"/>
      <c r="AE326" s="1818"/>
      <c r="AF326" s="1818"/>
      <c r="AG326" s="1818"/>
    </row>
    <row r="327" spans="1:33" s="1817" customFormat="1" ht="18.75">
      <c r="A327" s="1834"/>
      <c r="B327" s="1847" t="s">
        <v>1832</v>
      </c>
      <c r="C327" s="1846">
        <v>7605</v>
      </c>
      <c r="D327" s="1815"/>
      <c r="E327" s="1842">
        <f>+IF('TRIAL-BALANCE'!C$8=C327,1,0)</f>
        <v>0</v>
      </c>
      <c r="G327" s="1842">
        <v>0</v>
      </c>
      <c r="I327" s="2217">
        <f t="shared" si="21"/>
        <v>0</v>
      </c>
      <c r="P327" s="1818"/>
      <c r="Q327" s="1818"/>
      <c r="R327" s="1818"/>
      <c r="S327" s="1818"/>
      <c r="T327" s="1818"/>
      <c r="U327" s="1818"/>
      <c r="V327" s="1818"/>
      <c r="W327" s="1818"/>
      <c r="X327" s="1818"/>
      <c r="Y327" s="1818"/>
      <c r="Z327" s="1818"/>
      <c r="AA327" s="1818"/>
      <c r="AB327" s="1818"/>
      <c r="AC327" s="1818"/>
      <c r="AD327" s="1818"/>
      <c r="AE327" s="1818"/>
      <c r="AF327" s="1818"/>
      <c r="AG327" s="1818"/>
    </row>
    <row r="328" spans="1:33" s="1817" customFormat="1" ht="18.75">
      <c r="A328" s="1834"/>
      <c r="B328" s="1847" t="s">
        <v>1833</v>
      </c>
      <c r="C328" s="1846">
        <v>7606</v>
      </c>
      <c r="D328" s="1815"/>
      <c r="E328" s="1842">
        <f>+IF('TRIAL-BALANCE'!C$8=C328,1,0)</f>
        <v>0</v>
      </c>
      <c r="G328" s="1842">
        <v>0</v>
      </c>
      <c r="I328" s="2217">
        <f t="shared" si="21"/>
        <v>0</v>
      </c>
      <c r="P328" s="1818"/>
      <c r="Q328" s="1818"/>
      <c r="R328" s="1818"/>
      <c r="S328" s="1818"/>
      <c r="T328" s="1818"/>
      <c r="U328" s="1818"/>
      <c r="V328" s="1818"/>
      <c r="W328" s="1818"/>
      <c r="X328" s="1818"/>
      <c r="Y328" s="1818"/>
      <c r="Z328" s="1818"/>
      <c r="AA328" s="1818"/>
      <c r="AB328" s="1818"/>
      <c r="AC328" s="1818"/>
      <c r="AD328" s="1818"/>
      <c r="AE328" s="1818"/>
      <c r="AF328" s="1818"/>
      <c r="AG328" s="1818"/>
    </row>
    <row r="329" spans="1:33" s="1817" customFormat="1" ht="18.75">
      <c r="A329" s="1834"/>
      <c r="B329" s="1847" t="s">
        <v>1834</v>
      </c>
      <c r="C329" s="1846">
        <v>7607</v>
      </c>
      <c r="D329" s="1815"/>
      <c r="E329" s="1842">
        <f>+IF('TRIAL-BALANCE'!C$8=C329,1,0)</f>
        <v>0</v>
      </c>
      <c r="G329" s="1842">
        <v>0</v>
      </c>
      <c r="I329" s="2217">
        <f t="shared" si="21"/>
        <v>0</v>
      </c>
      <c r="P329" s="1818"/>
      <c r="Q329" s="1818"/>
      <c r="R329" s="1818"/>
      <c r="S329" s="1818"/>
      <c r="T329" s="1818"/>
      <c r="U329" s="1818"/>
      <c r="V329" s="1818"/>
      <c r="W329" s="1818"/>
      <c r="X329" s="1818"/>
      <c r="Y329" s="1818"/>
      <c r="Z329" s="1818"/>
      <c r="AA329" s="1818"/>
      <c r="AB329" s="1818"/>
      <c r="AC329" s="1818"/>
      <c r="AD329" s="1818"/>
      <c r="AE329" s="1818"/>
      <c r="AF329" s="1818"/>
      <c r="AG329" s="1818"/>
    </row>
    <row r="330" spans="1:33" s="1817" customFormat="1" ht="18.75">
      <c r="A330" s="1834"/>
      <c r="B330" s="1847" t="s">
        <v>1835</v>
      </c>
      <c r="C330" s="1846">
        <v>7608</v>
      </c>
      <c r="D330" s="1815"/>
      <c r="E330" s="1842">
        <f>+IF('TRIAL-BALANCE'!C$8=C330,1,0)</f>
        <v>0</v>
      </c>
      <c r="G330" s="1842">
        <v>0</v>
      </c>
      <c r="I330" s="2217">
        <f t="shared" si="21"/>
        <v>0</v>
      </c>
      <c r="P330" s="1818"/>
      <c r="Q330" s="1818"/>
      <c r="R330" s="1818"/>
      <c r="S330" s="1818"/>
      <c r="T330" s="1818"/>
      <c r="U330" s="1818"/>
      <c r="V330" s="1818"/>
      <c r="W330" s="1818"/>
      <c r="X330" s="1818"/>
      <c r="Y330" s="1818"/>
      <c r="Z330" s="1818"/>
      <c r="AA330" s="1818"/>
      <c r="AB330" s="1818"/>
      <c r="AC330" s="1818"/>
      <c r="AD330" s="1818"/>
      <c r="AE330" s="1818"/>
      <c r="AF330" s="1818"/>
      <c r="AG330" s="1818"/>
    </row>
    <row r="331" spans="1:33" s="1817" customFormat="1" ht="18.75">
      <c r="A331" s="1834"/>
      <c r="B331" s="1847" t="s">
        <v>1836</v>
      </c>
      <c r="C331" s="1846">
        <v>7609</v>
      </c>
      <c r="D331" s="1815"/>
      <c r="E331" s="1842">
        <f>+IF('TRIAL-BALANCE'!C$8=C331,1,0)</f>
        <v>0</v>
      </c>
      <c r="G331" s="1842">
        <v>0</v>
      </c>
      <c r="I331" s="2217">
        <f t="shared" si="21"/>
        <v>0</v>
      </c>
      <c r="P331" s="1818"/>
      <c r="Q331" s="1818"/>
      <c r="R331" s="1818"/>
      <c r="S331" s="1818"/>
      <c r="T331" s="1818"/>
      <c r="U331" s="1818"/>
      <c r="V331" s="1818"/>
      <c r="W331" s="1818"/>
      <c r="X331" s="1818"/>
      <c r="Y331" s="1818"/>
      <c r="Z331" s="1818"/>
      <c r="AA331" s="1818"/>
      <c r="AB331" s="1818"/>
      <c r="AC331" s="1818"/>
      <c r="AD331" s="1818"/>
      <c r="AE331" s="1818"/>
      <c r="AF331" s="1818"/>
      <c r="AG331" s="1818"/>
    </row>
    <row r="332" spans="1:33" s="1817" customFormat="1" ht="18.75">
      <c r="A332" s="1834"/>
      <c r="B332" s="1847" t="s">
        <v>1837</v>
      </c>
      <c r="C332" s="1846">
        <v>7610</v>
      </c>
      <c r="D332" s="1815"/>
      <c r="E332" s="1842">
        <f>+IF('TRIAL-BALANCE'!C$8=C332,1,0)</f>
        <v>0</v>
      </c>
      <c r="G332" s="1842">
        <v>0</v>
      </c>
      <c r="I332" s="2217">
        <f t="shared" si="21"/>
        <v>0</v>
      </c>
      <c r="P332" s="1818"/>
      <c r="Q332" s="1818"/>
      <c r="R332" s="1818"/>
      <c r="S332" s="1818"/>
      <c r="T332" s="1818"/>
      <c r="U332" s="1818"/>
      <c r="V332" s="1818"/>
      <c r="W332" s="1818"/>
      <c r="X332" s="1818"/>
      <c r="Y332" s="1818"/>
      <c r="Z332" s="1818"/>
      <c r="AA332" s="1818"/>
      <c r="AB332" s="1818"/>
      <c r="AC332" s="1818"/>
      <c r="AD332" s="1818"/>
      <c r="AE332" s="1818"/>
      <c r="AF332" s="1818"/>
      <c r="AG332" s="1818"/>
    </row>
    <row r="333" spans="1:33" s="1817" customFormat="1" ht="20.25" thickBot="1">
      <c r="A333" s="1834"/>
      <c r="B333" s="1867" t="s">
        <v>1838</v>
      </c>
      <c r="C333" s="1849">
        <v>7611</v>
      </c>
      <c r="D333" s="1815"/>
      <c r="E333" s="1850">
        <f>+IF('TRIAL-BALANCE'!C$8=C333,1,0)</f>
        <v>0</v>
      </c>
      <c r="G333" s="1850">
        <v>0</v>
      </c>
      <c r="I333" s="2217">
        <f t="shared" si="21"/>
        <v>0</v>
      </c>
      <c r="P333" s="1818"/>
      <c r="Q333" s="1818"/>
      <c r="R333" s="1818"/>
      <c r="S333" s="1818"/>
      <c r="T333" s="1818"/>
      <c r="U333" s="1818"/>
      <c r="V333" s="1818"/>
      <c r="W333" s="1818"/>
      <c r="X333" s="1818"/>
      <c r="Y333" s="1818"/>
      <c r="Z333" s="1818"/>
      <c r="AA333" s="1818"/>
      <c r="AB333" s="1818"/>
      <c r="AC333" s="1818"/>
      <c r="AD333" s="1818"/>
      <c r="AE333" s="1818"/>
      <c r="AF333" s="1818"/>
      <c r="AG333" s="1818"/>
    </row>
    <row r="334" spans="1:33" s="1817" customFormat="1" ht="9" customHeight="1" thickBot="1">
      <c r="A334" s="1851"/>
      <c r="B334" s="1831"/>
      <c r="C334" s="1852"/>
      <c r="D334" s="1815"/>
      <c r="E334" s="1816"/>
      <c r="G334" s="1816"/>
      <c r="I334" s="1816"/>
      <c r="P334" s="1818"/>
      <c r="Q334" s="1818"/>
      <c r="R334" s="1818"/>
      <c r="S334" s="1818"/>
      <c r="T334" s="1818"/>
      <c r="U334" s="1818"/>
      <c r="V334" s="1818"/>
      <c r="W334" s="1818"/>
      <c r="X334" s="1818"/>
      <c r="Y334" s="1818"/>
      <c r="Z334" s="1818"/>
      <c r="AA334" s="1818"/>
      <c r="AB334" s="1818"/>
      <c r="AC334" s="1818"/>
      <c r="AD334" s="1818"/>
      <c r="AE334" s="1818"/>
      <c r="AF334" s="1818"/>
      <c r="AG334" s="1818"/>
    </row>
    <row r="335" spans="1:33" s="1817" customFormat="1" ht="18.75">
      <c r="A335" s="1834"/>
      <c r="B335" s="1835" t="s">
        <v>1839</v>
      </c>
      <c r="C335" s="1836" t="s">
        <v>1840</v>
      </c>
      <c r="D335" s="1815"/>
      <c r="E335" s="1816"/>
      <c r="G335" s="1816"/>
      <c r="I335" s="1816"/>
      <c r="P335" s="1818"/>
      <c r="Q335" s="1818"/>
      <c r="R335" s="1818"/>
      <c r="S335" s="1818"/>
      <c r="T335" s="1818"/>
      <c r="U335" s="1818"/>
      <c r="V335" s="1818"/>
      <c r="W335" s="1818"/>
      <c r="X335" s="1818"/>
      <c r="Y335" s="1818"/>
      <c r="Z335" s="1818"/>
      <c r="AA335" s="1818"/>
      <c r="AB335" s="1818"/>
      <c r="AC335" s="1818"/>
      <c r="AD335" s="1818"/>
      <c r="AE335" s="1818"/>
      <c r="AF335" s="1818"/>
      <c r="AG335" s="1818"/>
    </row>
    <row r="336" spans="1:33" s="1817" customFormat="1" ht="18.75">
      <c r="A336" s="1834"/>
      <c r="B336" s="1855" t="s">
        <v>1841</v>
      </c>
      <c r="C336" s="1856">
        <v>7701</v>
      </c>
      <c r="D336" s="1815"/>
      <c r="E336" s="1839">
        <f>+IF('TRIAL-BALANCE'!C$8=C336,1,0)</f>
        <v>0</v>
      </c>
      <c r="G336" s="1839">
        <v>0</v>
      </c>
      <c r="I336" s="2217">
        <f t="shared" ref="I336:I345" si="22">+E336+G336</f>
        <v>0</v>
      </c>
      <c r="P336" s="1818"/>
      <c r="Q336" s="1818"/>
      <c r="R336" s="1818"/>
      <c r="S336" s="1818"/>
      <c r="T336" s="1818"/>
      <c r="U336" s="1818"/>
      <c r="V336" s="1818"/>
      <c r="W336" s="1818"/>
      <c r="X336" s="1818"/>
      <c r="Y336" s="1818"/>
      <c r="Z336" s="1818"/>
      <c r="AA336" s="1818"/>
      <c r="AB336" s="1818"/>
      <c r="AC336" s="1818"/>
      <c r="AD336" s="1818"/>
      <c r="AE336" s="1818"/>
      <c r="AF336" s="1818"/>
      <c r="AG336" s="1818"/>
    </row>
    <row r="337" spans="1:33" s="1817" customFormat="1" ht="18.75">
      <c r="A337" s="1834"/>
      <c r="B337" s="1847" t="s">
        <v>1842</v>
      </c>
      <c r="C337" s="1846">
        <v>7702</v>
      </c>
      <c r="D337" s="1815"/>
      <c r="E337" s="1842">
        <f>+IF('TRIAL-BALANCE'!C$8=C337,1,0)</f>
        <v>0</v>
      </c>
      <c r="G337" s="1842">
        <v>0</v>
      </c>
      <c r="I337" s="2217">
        <f t="shared" si="22"/>
        <v>0</v>
      </c>
      <c r="P337" s="1818"/>
      <c r="Q337" s="1818"/>
      <c r="R337" s="1818"/>
      <c r="S337" s="1818"/>
      <c r="T337" s="1818"/>
      <c r="U337" s="1818"/>
      <c r="V337" s="1818"/>
      <c r="W337" s="1818"/>
      <c r="X337" s="1818"/>
      <c r="Y337" s="1818"/>
      <c r="Z337" s="1818"/>
      <c r="AA337" s="1818"/>
      <c r="AB337" s="1818"/>
      <c r="AC337" s="1818"/>
      <c r="AD337" s="1818"/>
      <c r="AE337" s="1818"/>
      <c r="AF337" s="1818"/>
      <c r="AG337" s="1818"/>
    </row>
    <row r="338" spans="1:33" s="1817" customFormat="1" ht="18.75">
      <c r="A338" s="1834"/>
      <c r="B338" s="1847" t="s">
        <v>1843</v>
      </c>
      <c r="C338" s="1846">
        <v>7703</v>
      </c>
      <c r="D338" s="1815"/>
      <c r="E338" s="1842">
        <f>+IF('TRIAL-BALANCE'!C$8=C338,1,0)</f>
        <v>0</v>
      </c>
      <c r="G338" s="1842">
        <v>0</v>
      </c>
      <c r="I338" s="2217">
        <f t="shared" si="22"/>
        <v>0</v>
      </c>
      <c r="P338" s="1818"/>
      <c r="Q338" s="1818"/>
      <c r="R338" s="1818"/>
      <c r="S338" s="1818"/>
      <c r="T338" s="1818"/>
      <c r="U338" s="1818"/>
      <c r="V338" s="1818"/>
      <c r="W338" s="1818"/>
      <c r="X338" s="1818"/>
      <c r="Y338" s="1818"/>
      <c r="Z338" s="1818"/>
      <c r="AA338" s="1818"/>
      <c r="AB338" s="1818"/>
      <c r="AC338" s="1818"/>
      <c r="AD338" s="1818"/>
      <c r="AE338" s="1818"/>
      <c r="AF338" s="1818"/>
      <c r="AG338" s="1818"/>
    </row>
    <row r="339" spans="1:33" s="1817" customFormat="1" ht="18.75">
      <c r="A339" s="1834"/>
      <c r="B339" s="1847" t="s">
        <v>1844</v>
      </c>
      <c r="C339" s="1846">
        <v>7704</v>
      </c>
      <c r="D339" s="1815"/>
      <c r="E339" s="1842">
        <f>+IF('TRIAL-BALANCE'!C$8=C339,1,0)</f>
        <v>0</v>
      </c>
      <c r="G339" s="1842">
        <v>0</v>
      </c>
      <c r="I339" s="2217">
        <f t="shared" si="22"/>
        <v>0</v>
      </c>
      <c r="P339" s="1818"/>
      <c r="Q339" s="1818"/>
      <c r="R339" s="1818"/>
      <c r="S339" s="1818"/>
      <c r="T339" s="1818"/>
      <c r="U339" s="1818"/>
      <c r="V339" s="1818"/>
      <c r="W339" s="1818"/>
      <c r="X339" s="1818"/>
      <c r="Y339" s="1818"/>
      <c r="Z339" s="1818"/>
      <c r="AA339" s="1818"/>
      <c r="AB339" s="1818"/>
      <c r="AC339" s="1818"/>
      <c r="AD339" s="1818"/>
      <c r="AE339" s="1818"/>
      <c r="AF339" s="1818"/>
      <c r="AG339" s="1818"/>
    </row>
    <row r="340" spans="1:33" s="1817" customFormat="1" ht="18.75">
      <c r="A340" s="1834"/>
      <c r="B340" s="1847" t="s">
        <v>1845</v>
      </c>
      <c r="C340" s="1846">
        <v>7705</v>
      </c>
      <c r="D340" s="1815"/>
      <c r="E340" s="1842">
        <f>+IF('TRIAL-BALANCE'!C$8=C340,1,0)</f>
        <v>0</v>
      </c>
      <c r="G340" s="1842">
        <v>0</v>
      </c>
      <c r="I340" s="2217">
        <f t="shared" si="22"/>
        <v>0</v>
      </c>
      <c r="P340" s="1818"/>
      <c r="Q340" s="1818"/>
      <c r="R340" s="1818"/>
      <c r="S340" s="1818"/>
      <c r="T340" s="1818"/>
      <c r="U340" s="1818"/>
      <c r="V340" s="1818"/>
      <c r="W340" s="1818"/>
      <c r="X340" s="1818"/>
      <c r="Y340" s="1818"/>
      <c r="Z340" s="1818"/>
      <c r="AA340" s="1818"/>
      <c r="AB340" s="1818"/>
      <c r="AC340" s="1818"/>
      <c r="AD340" s="1818"/>
      <c r="AE340" s="1818"/>
      <c r="AF340" s="1818"/>
      <c r="AG340" s="1818"/>
    </row>
    <row r="341" spans="1:33" s="1817" customFormat="1" ht="18.75">
      <c r="A341" s="1834"/>
      <c r="B341" s="1847" t="s">
        <v>1846</v>
      </c>
      <c r="C341" s="1846">
        <v>7706</v>
      </c>
      <c r="D341" s="1815"/>
      <c r="E341" s="1842">
        <f>+IF('TRIAL-BALANCE'!C$8=C341,1,0)</f>
        <v>0</v>
      </c>
      <c r="G341" s="1842">
        <v>0</v>
      </c>
      <c r="I341" s="2217">
        <f t="shared" si="22"/>
        <v>0</v>
      </c>
      <c r="P341" s="1818"/>
      <c r="Q341" s="1818"/>
      <c r="R341" s="1818"/>
      <c r="S341" s="1818"/>
      <c r="T341" s="1818"/>
      <c r="U341" s="1818"/>
      <c r="V341" s="1818"/>
      <c r="W341" s="1818"/>
      <c r="X341" s="1818"/>
      <c r="Y341" s="1818"/>
      <c r="Z341" s="1818"/>
      <c r="AA341" s="1818"/>
      <c r="AB341" s="1818"/>
      <c r="AC341" s="1818"/>
      <c r="AD341" s="1818"/>
      <c r="AE341" s="1818"/>
      <c r="AF341" s="1818"/>
      <c r="AG341" s="1818"/>
    </row>
    <row r="342" spans="1:33" s="1817" customFormat="1" ht="18.75">
      <c r="A342" s="1834"/>
      <c r="B342" s="1847" t="s">
        <v>1847</v>
      </c>
      <c r="C342" s="1846">
        <v>7707</v>
      </c>
      <c r="D342" s="1815"/>
      <c r="E342" s="1842">
        <f>+IF('TRIAL-BALANCE'!C$8=C342,1,0)</f>
        <v>0</v>
      </c>
      <c r="G342" s="1842">
        <v>0</v>
      </c>
      <c r="I342" s="2217">
        <f t="shared" si="22"/>
        <v>0</v>
      </c>
      <c r="P342" s="1818"/>
      <c r="Q342" s="1818"/>
      <c r="R342" s="1818"/>
      <c r="S342" s="1818"/>
      <c r="T342" s="1818"/>
      <c r="U342" s="1818"/>
      <c r="V342" s="1818"/>
      <c r="W342" s="1818"/>
      <c r="X342" s="1818"/>
      <c r="Y342" s="1818"/>
      <c r="Z342" s="1818"/>
      <c r="AA342" s="1818"/>
      <c r="AB342" s="1818"/>
      <c r="AC342" s="1818"/>
      <c r="AD342" s="1818"/>
      <c r="AE342" s="1818"/>
      <c r="AF342" s="1818"/>
      <c r="AG342" s="1818"/>
    </row>
    <row r="343" spans="1:33" s="1817" customFormat="1" ht="18.75">
      <c r="A343" s="1834"/>
      <c r="B343" s="1847" t="s">
        <v>1848</v>
      </c>
      <c r="C343" s="1846">
        <v>7708</v>
      </c>
      <c r="D343" s="1815"/>
      <c r="E343" s="1842">
        <f>+IF('TRIAL-BALANCE'!C$8=C343,1,0)</f>
        <v>0</v>
      </c>
      <c r="G343" s="1842">
        <v>0</v>
      </c>
      <c r="I343" s="2217">
        <f t="shared" si="22"/>
        <v>0</v>
      </c>
      <c r="P343" s="1818"/>
      <c r="Q343" s="1818"/>
      <c r="R343" s="1818"/>
      <c r="S343" s="1818"/>
      <c r="T343" s="1818"/>
      <c r="U343" s="1818"/>
      <c r="V343" s="1818"/>
      <c r="W343" s="1818"/>
      <c r="X343" s="1818"/>
      <c r="Y343" s="1818"/>
      <c r="Z343" s="1818"/>
      <c r="AA343" s="1818"/>
      <c r="AB343" s="1818"/>
      <c r="AC343" s="1818"/>
      <c r="AD343" s="1818"/>
      <c r="AE343" s="1818"/>
      <c r="AF343" s="1818"/>
      <c r="AG343" s="1818"/>
    </row>
    <row r="344" spans="1:33" s="1817" customFormat="1" ht="18.75">
      <c r="A344" s="1834"/>
      <c r="B344" s="1847" t="s">
        <v>1849</v>
      </c>
      <c r="C344" s="1846">
        <v>7709</v>
      </c>
      <c r="D344" s="1815"/>
      <c r="E344" s="1842">
        <f>+IF('TRIAL-BALANCE'!C$8=C344,1,0)</f>
        <v>0</v>
      </c>
      <c r="G344" s="1842">
        <v>0</v>
      </c>
      <c r="I344" s="2217">
        <f t="shared" si="22"/>
        <v>0</v>
      </c>
      <c r="P344" s="1818"/>
      <c r="Q344" s="1818"/>
      <c r="R344" s="1818"/>
      <c r="S344" s="1818"/>
      <c r="T344" s="1818"/>
      <c r="U344" s="1818"/>
      <c r="V344" s="1818"/>
      <c r="W344" s="1818"/>
      <c r="X344" s="1818"/>
      <c r="Y344" s="1818"/>
      <c r="Z344" s="1818"/>
      <c r="AA344" s="1818"/>
      <c r="AB344" s="1818"/>
      <c r="AC344" s="1818"/>
      <c r="AD344" s="1818"/>
      <c r="AE344" s="1818"/>
      <c r="AF344" s="1818"/>
      <c r="AG344" s="1818"/>
    </row>
    <row r="345" spans="1:33" s="1817" customFormat="1" ht="20.25" thickBot="1">
      <c r="A345" s="1834"/>
      <c r="B345" s="1867" t="s">
        <v>1850</v>
      </c>
      <c r="C345" s="1849">
        <v>7710</v>
      </c>
      <c r="D345" s="1815"/>
      <c r="E345" s="1850">
        <f>+IF('TRIAL-BALANCE'!C$8=C345,1,0)</f>
        <v>0</v>
      </c>
      <c r="G345" s="1850">
        <v>0</v>
      </c>
      <c r="I345" s="2217">
        <f t="shared" si="22"/>
        <v>0</v>
      </c>
      <c r="P345" s="1818"/>
      <c r="Q345" s="1818"/>
      <c r="R345" s="1818"/>
      <c r="S345" s="1818"/>
      <c r="T345" s="1818"/>
      <c r="U345" s="1818"/>
      <c r="V345" s="1818"/>
      <c r="W345" s="1818"/>
      <c r="X345" s="1818"/>
      <c r="Y345" s="1818"/>
      <c r="Z345" s="1818"/>
      <c r="AA345" s="1818"/>
      <c r="AB345" s="1818"/>
      <c r="AC345" s="1818"/>
      <c r="AD345" s="1818"/>
      <c r="AE345" s="1818"/>
      <c r="AF345" s="1818"/>
      <c r="AG345" s="1818"/>
    </row>
    <row r="346" spans="1:33" s="1817" customFormat="1" ht="9" customHeight="1" thickBot="1">
      <c r="A346" s="1851"/>
      <c r="B346" s="1831"/>
      <c r="C346" s="1852"/>
      <c r="D346" s="1815"/>
      <c r="E346" s="1816"/>
      <c r="G346" s="1816"/>
      <c r="I346" s="1816"/>
      <c r="P346" s="1818"/>
      <c r="Q346" s="1818"/>
      <c r="R346" s="1818"/>
      <c r="S346" s="1818"/>
      <c r="T346" s="1818"/>
      <c r="U346" s="1818"/>
      <c r="V346" s="1818"/>
      <c r="W346" s="1818"/>
      <c r="X346" s="1818"/>
      <c r="Y346" s="1818"/>
      <c r="Z346" s="1818"/>
      <c r="AA346" s="1818"/>
      <c r="AB346" s="1818"/>
      <c r="AC346" s="1818"/>
      <c r="AD346" s="1818"/>
      <c r="AE346" s="1818"/>
      <c r="AF346" s="1818"/>
      <c r="AG346" s="1818"/>
    </row>
    <row r="347" spans="1:33" s="1817" customFormat="1" ht="18.75">
      <c r="A347" s="1834"/>
      <c r="B347" s="1835" t="s">
        <v>1851</v>
      </c>
      <c r="C347" s="1836" t="s">
        <v>1852</v>
      </c>
      <c r="D347" s="1815"/>
      <c r="E347" s="1816"/>
      <c r="G347" s="1816"/>
      <c r="I347" s="1816"/>
      <c r="P347" s="1818"/>
      <c r="Q347" s="1818"/>
      <c r="R347" s="1818"/>
      <c r="S347" s="1818"/>
      <c r="T347" s="1818"/>
      <c r="U347" s="1818"/>
      <c r="V347" s="1818"/>
      <c r="W347" s="1818"/>
      <c r="X347" s="1818"/>
      <c r="Y347" s="1818"/>
      <c r="Z347" s="1818"/>
      <c r="AA347" s="1818"/>
      <c r="AB347" s="1818"/>
      <c r="AC347" s="1818"/>
      <c r="AD347" s="1818"/>
      <c r="AE347" s="1818"/>
      <c r="AF347" s="1818"/>
      <c r="AG347" s="1818"/>
    </row>
    <row r="348" spans="1:33" s="1817" customFormat="1" ht="18.75">
      <c r="A348" s="1834"/>
      <c r="B348" s="1855" t="s">
        <v>1853</v>
      </c>
      <c r="C348" s="1856">
        <v>7801</v>
      </c>
      <c r="D348" s="1815"/>
      <c r="E348" s="1839">
        <f>+IF('TRIAL-BALANCE'!C$8=C348,1,0)</f>
        <v>0</v>
      </c>
      <c r="G348" s="1839">
        <v>0</v>
      </c>
      <c r="I348" s="2217">
        <f>+E348+G348</f>
        <v>0</v>
      </c>
      <c r="P348" s="1818"/>
      <c r="Q348" s="1818"/>
      <c r="R348" s="1818"/>
      <c r="S348" s="1818"/>
      <c r="T348" s="1818"/>
      <c r="U348" s="1818"/>
      <c r="V348" s="1818"/>
      <c r="W348" s="1818"/>
      <c r="X348" s="1818"/>
      <c r="Y348" s="1818"/>
      <c r="Z348" s="1818"/>
      <c r="AA348" s="1818"/>
      <c r="AB348" s="1818"/>
      <c r="AC348" s="1818"/>
      <c r="AD348" s="1818"/>
      <c r="AE348" s="1818"/>
      <c r="AF348" s="1818"/>
      <c r="AG348" s="1818"/>
    </row>
    <row r="349" spans="1:33" s="1817" customFormat="1" ht="18.75">
      <c r="A349" s="1834"/>
      <c r="B349" s="1847" t="s">
        <v>1854</v>
      </c>
      <c r="C349" s="1846">
        <v>7802</v>
      </c>
      <c r="D349" s="1815"/>
      <c r="E349" s="1842">
        <f>+IF('TRIAL-BALANCE'!C$8=C349,1,0)</f>
        <v>0</v>
      </c>
      <c r="G349" s="1842">
        <v>0</v>
      </c>
      <c r="I349" s="2217">
        <f>+E349+G349</f>
        <v>0</v>
      </c>
      <c r="P349" s="1818"/>
      <c r="Q349" s="1818"/>
      <c r="R349" s="1818"/>
      <c r="S349" s="1818"/>
      <c r="T349" s="1818"/>
      <c r="U349" s="1818"/>
      <c r="V349" s="1818"/>
      <c r="W349" s="1818"/>
      <c r="X349" s="1818"/>
      <c r="Y349" s="1818"/>
      <c r="Z349" s="1818"/>
      <c r="AA349" s="1818"/>
      <c r="AB349" s="1818"/>
      <c r="AC349" s="1818"/>
      <c r="AD349" s="1818"/>
      <c r="AE349" s="1818"/>
      <c r="AF349" s="1818"/>
      <c r="AG349" s="1818"/>
    </row>
    <row r="350" spans="1:33" s="1817" customFormat="1" ht="18.75">
      <c r="A350" s="1834"/>
      <c r="B350" s="1847" t="s">
        <v>1855</v>
      </c>
      <c r="C350" s="1846">
        <v>7803</v>
      </c>
      <c r="D350" s="1815"/>
      <c r="E350" s="1842">
        <f>+IF('TRIAL-BALANCE'!C$8=C350,1,0)</f>
        <v>0</v>
      </c>
      <c r="G350" s="1842">
        <v>0</v>
      </c>
      <c r="I350" s="2217">
        <f>+E350+G350</f>
        <v>0</v>
      </c>
      <c r="P350" s="1818"/>
      <c r="Q350" s="1818"/>
      <c r="R350" s="1818"/>
      <c r="S350" s="1818"/>
      <c r="T350" s="1818"/>
      <c r="U350" s="1818"/>
      <c r="V350" s="1818"/>
      <c r="W350" s="1818"/>
      <c r="X350" s="1818"/>
      <c r="Y350" s="1818"/>
      <c r="Z350" s="1818"/>
      <c r="AA350" s="1818"/>
      <c r="AB350" s="1818"/>
      <c r="AC350" s="1818"/>
      <c r="AD350" s="1818"/>
      <c r="AE350" s="1818"/>
      <c r="AF350" s="1818"/>
      <c r="AG350" s="1818"/>
    </row>
    <row r="351" spans="1:33" s="1817" customFormat="1" ht="18.75">
      <c r="A351" s="1834"/>
      <c r="B351" s="1847" t="s">
        <v>1856</v>
      </c>
      <c r="C351" s="1846">
        <v>7804</v>
      </c>
      <c r="D351" s="1815"/>
      <c r="E351" s="1842">
        <f>+IF('TRIAL-BALANCE'!C$8=C351,1,0)</f>
        <v>0</v>
      </c>
      <c r="G351" s="1842">
        <v>0</v>
      </c>
      <c r="I351" s="2217">
        <f>+E351+G351</f>
        <v>0</v>
      </c>
      <c r="P351" s="1818"/>
      <c r="Q351" s="1818"/>
      <c r="R351" s="1818"/>
      <c r="S351" s="1818"/>
      <c r="T351" s="1818"/>
      <c r="U351" s="1818"/>
      <c r="V351" s="1818"/>
      <c r="W351" s="1818"/>
      <c r="X351" s="1818"/>
      <c r="Y351" s="1818"/>
      <c r="Z351" s="1818"/>
      <c r="AA351" s="1818"/>
      <c r="AB351" s="1818"/>
      <c r="AC351" s="1818"/>
      <c r="AD351" s="1818"/>
      <c r="AE351" s="1818"/>
      <c r="AF351" s="1818"/>
      <c r="AG351" s="1818"/>
    </row>
    <row r="352" spans="1:33" s="1817" customFormat="1" ht="20.25" thickBot="1">
      <c r="A352" s="1834"/>
      <c r="B352" s="1867" t="s">
        <v>1857</v>
      </c>
      <c r="C352" s="1849">
        <v>7805</v>
      </c>
      <c r="D352" s="1815"/>
      <c r="E352" s="1850">
        <f>+IF('TRIAL-BALANCE'!C$8=C352,1,0)</f>
        <v>0</v>
      </c>
      <c r="G352" s="1850">
        <v>0</v>
      </c>
      <c r="I352" s="2217">
        <f>+E352+G352</f>
        <v>0</v>
      </c>
      <c r="P352" s="1818"/>
      <c r="Q352" s="1818"/>
      <c r="R352" s="1818"/>
      <c r="S352" s="1818"/>
      <c r="T352" s="1818"/>
      <c r="U352" s="1818"/>
      <c r="V352" s="1818"/>
      <c r="W352" s="1818"/>
      <c r="X352" s="1818"/>
      <c r="Y352" s="1818"/>
      <c r="Z352" s="1818"/>
      <c r="AA352" s="1818"/>
      <c r="AB352" s="1818"/>
      <c r="AC352" s="1818"/>
      <c r="AD352" s="1818"/>
      <c r="AE352" s="1818"/>
      <c r="AF352" s="1818"/>
      <c r="AG352" s="1818"/>
    </row>
    <row r="353" spans="1:33" s="1872" customFormat="1" ht="15" customHeight="1">
      <c r="A353" s="1870"/>
      <c r="B353" s="1871"/>
      <c r="C353" s="1871"/>
      <c r="E353" s="1816"/>
      <c r="G353" s="1816"/>
      <c r="P353" s="1873"/>
      <c r="Q353" s="1873"/>
      <c r="R353" s="1873"/>
      <c r="S353" s="1873"/>
      <c r="T353" s="1873"/>
      <c r="U353" s="1873"/>
      <c r="V353" s="1873"/>
      <c r="W353" s="1873"/>
      <c r="X353" s="1873"/>
      <c r="Y353" s="1873"/>
      <c r="Z353" s="1873"/>
      <c r="AA353" s="1873"/>
      <c r="AB353" s="1873"/>
      <c r="AC353" s="1873"/>
      <c r="AD353" s="1873"/>
      <c r="AE353" s="1873"/>
      <c r="AF353" s="1873"/>
      <c r="AG353" s="1873"/>
    </row>
    <row r="354" spans="1:33" s="1872" customFormat="1" ht="20.25" customHeight="1" thickBot="1">
      <c r="A354" s="2108" t="s">
        <v>2022</v>
      </c>
      <c r="B354" s="2109"/>
      <c r="C354" s="1871"/>
      <c r="E354" s="1816"/>
      <c r="G354" s="1816"/>
      <c r="P354" s="1873"/>
      <c r="Q354" s="1873"/>
      <c r="R354" s="1873"/>
      <c r="S354" s="1873"/>
      <c r="T354" s="1873"/>
      <c r="U354" s="1873"/>
      <c r="V354" s="1873"/>
      <c r="W354" s="1873"/>
      <c r="X354" s="1873"/>
      <c r="Y354" s="1873"/>
      <c r="Z354" s="1873"/>
      <c r="AA354" s="1873"/>
      <c r="AB354" s="1873"/>
      <c r="AC354" s="1873"/>
      <c r="AD354" s="1873"/>
      <c r="AE354" s="1873"/>
      <c r="AF354" s="1873"/>
      <c r="AG354" s="1873"/>
    </row>
    <row r="355" spans="1:33" s="1872" customFormat="1" ht="18.75" customHeight="1" thickBot="1">
      <c r="A355" s="2097"/>
      <c r="B355" s="2098" t="s">
        <v>2016</v>
      </c>
      <c r="C355" s="2099" t="s">
        <v>2017</v>
      </c>
      <c r="E355" s="1830">
        <f>SUM(E357:E360)</f>
        <v>0</v>
      </c>
      <c r="G355" s="1816"/>
      <c r="P355" s="1873"/>
      <c r="Q355" s="1873"/>
      <c r="R355" s="1873"/>
      <c r="S355" s="1873"/>
      <c r="T355" s="1873"/>
      <c r="U355" s="1873"/>
      <c r="V355" s="1873"/>
      <c r="W355" s="1873"/>
      <c r="X355" s="1873"/>
      <c r="Y355" s="1873"/>
      <c r="Z355" s="1873"/>
      <c r="AA355" s="1873"/>
      <c r="AB355" s="1873"/>
      <c r="AC355" s="1873"/>
      <c r="AD355" s="1873"/>
      <c r="AE355" s="1873"/>
      <c r="AF355" s="1873"/>
      <c r="AG355" s="1873"/>
    </row>
    <row r="356" spans="1:33" s="1872" customFormat="1" ht="15" customHeight="1" thickBot="1">
      <c r="A356" s="2097"/>
      <c r="B356" s="2100" t="s">
        <v>1009</v>
      </c>
      <c r="C356" s="2100" t="s">
        <v>1010</v>
      </c>
      <c r="E356" s="1816"/>
      <c r="G356" s="1816"/>
      <c r="P356" s="1873"/>
      <c r="Q356" s="1873"/>
      <c r="R356" s="1873"/>
      <c r="S356" s="1873"/>
      <c r="T356" s="1873"/>
      <c r="U356" s="1873"/>
      <c r="V356" s="1873"/>
      <c r="W356" s="1873"/>
      <c r="X356" s="1873"/>
      <c r="Y356" s="1873"/>
      <c r="Z356" s="1873"/>
      <c r="AA356" s="1873"/>
      <c r="AB356" s="1873"/>
      <c r="AC356" s="1873"/>
      <c r="AD356" s="1873"/>
      <c r="AE356" s="1873"/>
      <c r="AF356" s="1873"/>
      <c r="AG356" s="1873"/>
    </row>
    <row r="357" spans="1:33" s="1872" customFormat="1" ht="18.75" customHeight="1">
      <c r="A357" s="2101"/>
      <c r="B357" s="2102" t="s">
        <v>2018</v>
      </c>
      <c r="C357" s="2103">
        <v>5500</v>
      </c>
      <c r="D357" s="1874"/>
      <c r="E357" s="1839">
        <f>+IF('TRIAL-BALANCE'!C$8=C357,1,0)</f>
        <v>0</v>
      </c>
      <c r="F357" s="1817"/>
      <c r="G357" s="1816"/>
      <c r="H357" s="1817"/>
      <c r="P357" s="1873"/>
      <c r="Q357" s="1873"/>
      <c r="R357" s="1873"/>
      <c r="S357" s="1873"/>
      <c r="T357" s="1873"/>
      <c r="U357" s="1873"/>
      <c r="V357" s="1873"/>
      <c r="W357" s="1873"/>
      <c r="X357" s="1873"/>
      <c r="Y357" s="1873"/>
      <c r="Z357" s="1873"/>
      <c r="AA357" s="1873"/>
      <c r="AB357" s="1873"/>
      <c r="AC357" s="1873"/>
      <c r="AD357" s="1873"/>
      <c r="AE357" s="1873"/>
      <c r="AF357" s="1873"/>
      <c r="AG357" s="1873"/>
    </row>
    <row r="358" spans="1:33" s="1817" customFormat="1" ht="18.75" customHeight="1">
      <c r="A358" s="2101"/>
      <c r="B358" s="2104" t="s">
        <v>2019</v>
      </c>
      <c r="C358" s="2105">
        <v>5591</v>
      </c>
      <c r="E358" s="1842">
        <f>+IF('TRIAL-BALANCE'!C$8=C358,1,0)</f>
        <v>0</v>
      </c>
      <c r="G358" s="1816"/>
      <c r="P358" s="1818"/>
      <c r="Q358" s="1818"/>
      <c r="R358" s="1818"/>
      <c r="S358" s="1818"/>
      <c r="T358" s="1818"/>
      <c r="U358" s="1818"/>
      <c r="V358" s="1818"/>
      <c r="W358" s="1818"/>
      <c r="X358" s="1818"/>
      <c r="Y358" s="1818"/>
      <c r="Z358" s="1818"/>
      <c r="AA358" s="1818"/>
      <c r="AB358" s="1818"/>
      <c r="AC358" s="1818"/>
      <c r="AD358" s="1818"/>
      <c r="AE358" s="1818"/>
      <c r="AF358" s="1818"/>
      <c r="AG358" s="1818"/>
    </row>
    <row r="359" spans="1:33" s="1817" customFormat="1" ht="18.75" customHeight="1">
      <c r="A359" s="2101"/>
      <c r="B359" s="2104" t="s">
        <v>2020</v>
      </c>
      <c r="C359" s="2105">
        <v>5592</v>
      </c>
      <c r="E359" s="1842">
        <f>+IF('TRIAL-BALANCE'!C$8=C359,1,0)</f>
        <v>0</v>
      </c>
      <c r="G359" s="1816"/>
      <c r="P359" s="1818"/>
      <c r="Q359" s="1818"/>
      <c r="R359" s="1818"/>
      <c r="S359" s="1818"/>
      <c r="T359" s="1818"/>
      <c r="U359" s="1818"/>
      <c r="V359" s="1818"/>
      <c r="W359" s="1818"/>
      <c r="X359" s="1818"/>
      <c r="Y359" s="1818"/>
      <c r="Z359" s="1818"/>
      <c r="AA359" s="1818"/>
      <c r="AB359" s="1818"/>
      <c r="AC359" s="1818"/>
      <c r="AD359" s="1818"/>
      <c r="AE359" s="1818"/>
      <c r="AF359" s="1818"/>
      <c r="AG359" s="1818"/>
    </row>
    <row r="360" spans="1:33" s="1817" customFormat="1" ht="18.75" customHeight="1" thickBot="1">
      <c r="A360" s="2101"/>
      <c r="B360" s="2106" t="s">
        <v>2021</v>
      </c>
      <c r="C360" s="2107">
        <v>5600</v>
      </c>
      <c r="E360" s="1850">
        <f>+IF('TRIAL-BALANCE'!C$8=C360,1,0)</f>
        <v>0</v>
      </c>
      <c r="G360" s="1816"/>
      <c r="P360" s="1818"/>
      <c r="Q360" s="1818"/>
      <c r="R360" s="1818"/>
      <c r="S360" s="1818"/>
      <c r="T360" s="1818"/>
      <c r="U360" s="1818"/>
      <c r="V360" s="1818"/>
      <c r="W360" s="1818"/>
      <c r="X360" s="1818"/>
      <c r="Y360" s="1818"/>
      <c r="Z360" s="1818"/>
      <c r="AA360" s="1818"/>
      <c r="AB360" s="1818"/>
      <c r="AC360" s="1818"/>
      <c r="AD360" s="1818"/>
      <c r="AE360" s="1818"/>
      <c r="AF360" s="1818"/>
      <c r="AG360" s="1818"/>
    </row>
    <row r="361" spans="1:33" s="1817" customFormat="1">
      <c r="A361" s="2110"/>
      <c r="B361" s="2110"/>
      <c r="C361" s="2110"/>
      <c r="E361" s="1816"/>
      <c r="G361" s="1816"/>
      <c r="P361" s="1818"/>
      <c r="Q361" s="1818"/>
      <c r="R361" s="1818"/>
      <c r="S361" s="1818"/>
      <c r="T361" s="1818"/>
      <c r="U361" s="1818"/>
      <c r="V361" s="1818"/>
      <c r="W361" s="1818"/>
      <c r="X361" s="1818"/>
      <c r="Y361" s="1818"/>
      <c r="Z361" s="1818"/>
      <c r="AA361" s="1818"/>
      <c r="AB361" s="1818"/>
      <c r="AC361" s="1818"/>
      <c r="AD361" s="1818"/>
      <c r="AE361" s="1818"/>
      <c r="AF361" s="1818"/>
      <c r="AG361" s="1818"/>
    </row>
    <row r="362" spans="1:33" s="1817" customFormat="1" ht="20.25" customHeight="1">
      <c r="A362" s="2110"/>
      <c r="B362" s="2110"/>
      <c r="C362" s="2110"/>
      <c r="E362" s="1830">
        <f>+E6+E355</f>
        <v>0</v>
      </c>
      <c r="G362" s="1816"/>
      <c r="P362" s="1818"/>
      <c r="Q362" s="1818"/>
      <c r="R362" s="1818"/>
      <c r="S362" s="1818"/>
      <c r="T362" s="1818"/>
      <c r="U362" s="1818"/>
      <c r="V362" s="1818"/>
      <c r="W362" s="1818"/>
      <c r="X362" s="1818"/>
      <c r="Y362" s="1818"/>
      <c r="Z362" s="1818"/>
      <c r="AA362" s="1818"/>
      <c r="AB362" s="1818"/>
      <c r="AC362" s="1818"/>
      <c r="AD362" s="1818"/>
      <c r="AE362" s="1818"/>
      <c r="AF362" s="1818"/>
      <c r="AG362" s="1818"/>
    </row>
    <row r="363" spans="1:33" s="1817" customFormat="1">
      <c r="E363" s="1816"/>
      <c r="G363" s="1816"/>
      <c r="P363" s="1818"/>
      <c r="Q363" s="1818"/>
      <c r="R363" s="1818"/>
      <c r="S363" s="1818"/>
      <c r="T363" s="1818"/>
      <c r="U363" s="1818"/>
      <c r="V363" s="1818"/>
      <c r="W363" s="1818"/>
      <c r="X363" s="1818"/>
      <c r="Y363" s="1818"/>
      <c r="Z363" s="1818"/>
      <c r="AA363" s="1818"/>
      <c r="AB363" s="1818"/>
      <c r="AC363" s="1818"/>
      <c r="AD363" s="1818"/>
      <c r="AE363" s="1818"/>
      <c r="AF363" s="1818"/>
      <c r="AG363" s="1818"/>
    </row>
    <row r="364" spans="1:33" s="1817" customFormat="1">
      <c r="E364" s="1816"/>
      <c r="G364" s="1816"/>
      <c r="P364" s="1818"/>
      <c r="Q364" s="1818"/>
      <c r="R364" s="1818"/>
      <c r="S364" s="1818"/>
      <c r="T364" s="1818"/>
      <c r="U364" s="1818"/>
      <c r="V364" s="1818"/>
      <c r="W364" s="1818"/>
      <c r="X364" s="1818"/>
      <c r="Y364" s="1818"/>
      <c r="Z364" s="1818"/>
      <c r="AA364" s="1818"/>
      <c r="AB364" s="1818"/>
      <c r="AC364" s="1818"/>
      <c r="AD364" s="1818"/>
      <c r="AE364" s="1818"/>
      <c r="AF364" s="1818"/>
      <c r="AG364" s="1818"/>
    </row>
    <row r="365" spans="1:33" s="1817" customFormat="1">
      <c r="E365" s="1816"/>
      <c r="G365" s="1816"/>
      <c r="P365" s="1818"/>
      <c r="Q365" s="1818"/>
      <c r="R365" s="1818"/>
      <c r="S365" s="1818"/>
      <c r="T365" s="1818"/>
      <c r="U365" s="1818"/>
      <c r="V365" s="1818"/>
      <c r="W365" s="1818"/>
      <c r="X365" s="1818"/>
      <c r="Y365" s="1818"/>
      <c r="Z365" s="1818"/>
      <c r="AA365" s="1818"/>
      <c r="AB365" s="1818"/>
      <c r="AC365" s="1818"/>
      <c r="AD365" s="1818"/>
      <c r="AE365" s="1818"/>
      <c r="AF365" s="1818"/>
      <c r="AG365" s="1818"/>
    </row>
    <row r="366" spans="1:33" s="1817" customFormat="1">
      <c r="E366" s="1816"/>
      <c r="G366" s="1816"/>
      <c r="P366" s="1818"/>
      <c r="Q366" s="1818"/>
      <c r="R366" s="1818"/>
      <c r="S366" s="1818"/>
      <c r="T366" s="1818"/>
      <c r="U366" s="1818"/>
      <c r="V366" s="1818"/>
      <c r="W366" s="1818"/>
      <c r="X366" s="1818"/>
      <c r="Y366" s="1818"/>
      <c r="Z366" s="1818"/>
      <c r="AA366" s="1818"/>
      <c r="AB366" s="1818"/>
      <c r="AC366" s="1818"/>
      <c r="AD366" s="1818"/>
      <c r="AE366" s="1818"/>
      <c r="AF366" s="1818"/>
      <c r="AG366" s="1818"/>
    </row>
    <row r="367" spans="1:33" s="1817" customFormat="1">
      <c r="E367" s="1816"/>
      <c r="G367" s="1816"/>
      <c r="P367" s="1818"/>
      <c r="Q367" s="1818"/>
      <c r="R367" s="1818"/>
      <c r="S367" s="1818"/>
      <c r="T367" s="1818"/>
      <c r="U367" s="1818"/>
      <c r="V367" s="1818"/>
      <c r="W367" s="1818"/>
      <c r="X367" s="1818"/>
      <c r="Y367" s="1818"/>
      <c r="Z367" s="1818"/>
      <c r="AA367" s="1818"/>
      <c r="AB367" s="1818"/>
      <c r="AC367" s="1818"/>
      <c r="AD367" s="1818"/>
      <c r="AE367" s="1818"/>
      <c r="AF367" s="1818"/>
      <c r="AG367" s="1818"/>
    </row>
    <row r="368" spans="1:33" s="1817" customFormat="1">
      <c r="E368" s="1816"/>
      <c r="G368" s="1816"/>
      <c r="P368" s="1818"/>
      <c r="Q368" s="1818"/>
      <c r="R368" s="1818"/>
      <c r="S368" s="1818"/>
      <c r="T368" s="1818"/>
      <c r="U368" s="1818"/>
      <c r="V368" s="1818"/>
      <c r="W368" s="1818"/>
      <c r="X368" s="1818"/>
      <c r="Y368" s="1818"/>
      <c r="Z368" s="1818"/>
      <c r="AA368" s="1818"/>
      <c r="AB368" s="1818"/>
      <c r="AC368" s="1818"/>
      <c r="AD368" s="1818"/>
      <c r="AE368" s="1818"/>
      <c r="AF368" s="1818"/>
      <c r="AG368" s="1818"/>
    </row>
    <row r="369" spans="5:33" s="1817" customFormat="1">
      <c r="E369" s="1816"/>
      <c r="G369" s="1816"/>
      <c r="P369" s="1818"/>
      <c r="Q369" s="1818"/>
      <c r="R369" s="1818"/>
      <c r="S369" s="1818"/>
      <c r="T369" s="1818"/>
      <c r="U369" s="1818"/>
      <c r="V369" s="1818"/>
      <c r="W369" s="1818"/>
      <c r="X369" s="1818"/>
      <c r="Y369" s="1818"/>
      <c r="Z369" s="1818"/>
      <c r="AA369" s="1818"/>
      <c r="AB369" s="1818"/>
      <c r="AC369" s="1818"/>
      <c r="AD369" s="1818"/>
      <c r="AE369" s="1818"/>
      <c r="AF369" s="1818"/>
      <c r="AG369" s="1818"/>
    </row>
    <row r="370" spans="5:33" s="1817" customFormat="1">
      <c r="E370" s="1816"/>
      <c r="G370" s="1816"/>
      <c r="P370" s="1818"/>
      <c r="Q370" s="1818"/>
      <c r="R370" s="1818"/>
      <c r="S370" s="1818"/>
      <c r="T370" s="1818"/>
      <c r="U370" s="1818"/>
      <c r="V370" s="1818"/>
      <c r="W370" s="1818"/>
      <c r="X370" s="1818"/>
      <c r="Y370" s="1818"/>
      <c r="Z370" s="1818"/>
      <c r="AA370" s="1818"/>
      <c r="AB370" s="1818"/>
      <c r="AC370" s="1818"/>
      <c r="AD370" s="1818"/>
      <c r="AE370" s="1818"/>
      <c r="AF370" s="1818"/>
      <c r="AG370" s="1818"/>
    </row>
    <row r="371" spans="5:33" s="1817" customFormat="1">
      <c r="E371" s="1816"/>
      <c r="G371" s="1816"/>
      <c r="P371" s="1818"/>
      <c r="Q371" s="1818"/>
      <c r="R371" s="1818"/>
      <c r="S371" s="1818"/>
      <c r="T371" s="1818"/>
      <c r="U371" s="1818"/>
      <c r="V371" s="1818"/>
      <c r="W371" s="1818"/>
      <c r="X371" s="1818"/>
      <c r="Y371" s="1818"/>
      <c r="Z371" s="1818"/>
      <c r="AA371" s="1818"/>
      <c r="AB371" s="1818"/>
      <c r="AC371" s="1818"/>
      <c r="AD371" s="1818"/>
      <c r="AE371" s="1818"/>
      <c r="AF371" s="1818"/>
      <c r="AG371" s="1818"/>
    </row>
    <row r="372" spans="5:33" s="1817" customFormat="1">
      <c r="E372" s="1816"/>
      <c r="G372" s="1816"/>
      <c r="P372" s="1818"/>
      <c r="Q372" s="1818"/>
      <c r="R372" s="1818"/>
      <c r="S372" s="1818"/>
      <c r="T372" s="1818"/>
      <c r="U372" s="1818"/>
      <c r="V372" s="1818"/>
      <c r="W372" s="1818"/>
      <c r="X372" s="1818"/>
      <c r="Y372" s="1818"/>
      <c r="Z372" s="1818"/>
      <c r="AA372" s="1818"/>
      <c r="AB372" s="1818"/>
      <c r="AC372" s="1818"/>
      <c r="AD372" s="1818"/>
      <c r="AE372" s="1818"/>
      <c r="AF372" s="1818"/>
      <c r="AG372" s="1818"/>
    </row>
    <row r="373" spans="5:33" s="1817" customFormat="1">
      <c r="E373" s="1816"/>
      <c r="G373" s="1816"/>
      <c r="P373" s="1818"/>
      <c r="Q373" s="1818"/>
      <c r="R373" s="1818"/>
      <c r="S373" s="1818"/>
      <c r="T373" s="1818"/>
      <c r="U373" s="1818"/>
      <c r="V373" s="1818"/>
      <c r="W373" s="1818"/>
      <c r="X373" s="1818"/>
      <c r="Y373" s="1818"/>
      <c r="Z373" s="1818"/>
      <c r="AA373" s="1818"/>
      <c r="AB373" s="1818"/>
      <c r="AC373" s="1818"/>
      <c r="AD373" s="1818"/>
      <c r="AE373" s="1818"/>
      <c r="AF373" s="1818"/>
      <c r="AG373" s="1818"/>
    </row>
    <row r="374" spans="5:33" s="1817" customFormat="1">
      <c r="E374" s="1816"/>
      <c r="G374" s="1816"/>
      <c r="P374" s="1818"/>
      <c r="Q374" s="1818"/>
      <c r="R374" s="1818"/>
      <c r="S374" s="1818"/>
      <c r="T374" s="1818"/>
      <c r="U374" s="1818"/>
      <c r="V374" s="1818"/>
      <c r="W374" s="1818"/>
      <c r="X374" s="1818"/>
      <c r="Y374" s="1818"/>
      <c r="Z374" s="1818"/>
      <c r="AA374" s="1818"/>
      <c r="AB374" s="1818"/>
      <c r="AC374" s="1818"/>
      <c r="AD374" s="1818"/>
      <c r="AE374" s="1818"/>
      <c r="AF374" s="1818"/>
      <c r="AG374" s="1818"/>
    </row>
    <row r="375" spans="5:33" s="1817" customFormat="1">
      <c r="E375" s="1816"/>
      <c r="G375" s="1816"/>
      <c r="P375" s="1818"/>
      <c r="Q375" s="1818"/>
      <c r="R375" s="1818"/>
      <c r="S375" s="1818"/>
      <c r="T375" s="1818"/>
      <c r="U375" s="1818"/>
      <c r="V375" s="1818"/>
      <c r="W375" s="1818"/>
      <c r="X375" s="1818"/>
      <c r="Y375" s="1818"/>
      <c r="Z375" s="1818"/>
      <c r="AA375" s="1818"/>
      <c r="AB375" s="1818"/>
      <c r="AC375" s="1818"/>
      <c r="AD375" s="1818"/>
      <c r="AE375" s="1818"/>
      <c r="AF375" s="1818"/>
      <c r="AG375" s="1818"/>
    </row>
    <row r="376" spans="5:33" s="1817" customFormat="1">
      <c r="E376" s="1816"/>
      <c r="G376" s="1816"/>
      <c r="P376" s="1818"/>
      <c r="Q376" s="1818"/>
      <c r="R376" s="1818"/>
      <c r="S376" s="1818"/>
      <c r="T376" s="1818"/>
      <c r="U376" s="1818"/>
      <c r="V376" s="1818"/>
      <c r="W376" s="1818"/>
      <c r="X376" s="1818"/>
      <c r="Y376" s="1818"/>
      <c r="Z376" s="1818"/>
      <c r="AA376" s="1818"/>
      <c r="AB376" s="1818"/>
      <c r="AC376" s="1818"/>
      <c r="AD376" s="1818"/>
      <c r="AE376" s="1818"/>
      <c r="AF376" s="1818"/>
      <c r="AG376" s="1818"/>
    </row>
    <row r="377" spans="5:33" s="1817" customFormat="1">
      <c r="E377" s="1816"/>
      <c r="G377" s="1816"/>
      <c r="P377" s="1818"/>
      <c r="Q377" s="1818"/>
      <c r="R377" s="1818"/>
      <c r="S377" s="1818"/>
      <c r="T377" s="1818"/>
      <c r="U377" s="1818"/>
      <c r="V377" s="1818"/>
      <c r="W377" s="1818"/>
      <c r="X377" s="1818"/>
      <c r="Y377" s="1818"/>
      <c r="Z377" s="1818"/>
      <c r="AA377" s="1818"/>
      <c r="AB377" s="1818"/>
      <c r="AC377" s="1818"/>
      <c r="AD377" s="1818"/>
      <c r="AE377" s="1818"/>
      <c r="AF377" s="1818"/>
      <c r="AG377" s="1818"/>
    </row>
    <row r="378" spans="5:33" s="1817" customFormat="1">
      <c r="E378" s="1816"/>
      <c r="G378" s="1816"/>
      <c r="P378" s="1818"/>
      <c r="Q378" s="1818"/>
      <c r="R378" s="1818"/>
      <c r="S378" s="1818"/>
      <c r="T378" s="1818"/>
      <c r="U378" s="1818"/>
      <c r="V378" s="1818"/>
      <c r="W378" s="1818"/>
      <c r="X378" s="1818"/>
      <c r="Y378" s="1818"/>
      <c r="Z378" s="1818"/>
      <c r="AA378" s="1818"/>
      <c r="AB378" s="1818"/>
      <c r="AC378" s="1818"/>
      <c r="AD378" s="1818"/>
      <c r="AE378" s="1818"/>
      <c r="AF378" s="1818"/>
      <c r="AG378" s="1818"/>
    </row>
    <row r="379" spans="5:33" s="1817" customFormat="1">
      <c r="E379" s="1816"/>
      <c r="G379" s="1816"/>
      <c r="P379" s="1818"/>
      <c r="Q379" s="1818"/>
      <c r="R379" s="1818"/>
      <c r="S379" s="1818"/>
      <c r="T379" s="1818"/>
      <c r="U379" s="1818"/>
      <c r="V379" s="1818"/>
      <c r="W379" s="1818"/>
      <c r="X379" s="1818"/>
      <c r="Y379" s="1818"/>
      <c r="Z379" s="1818"/>
      <c r="AA379" s="1818"/>
      <c r="AB379" s="1818"/>
      <c r="AC379" s="1818"/>
      <c r="AD379" s="1818"/>
      <c r="AE379" s="1818"/>
      <c r="AF379" s="1818"/>
      <c r="AG379" s="1818"/>
    </row>
    <row r="380" spans="5:33" s="1817" customFormat="1">
      <c r="E380" s="1816"/>
      <c r="G380" s="1816"/>
      <c r="P380" s="1818"/>
      <c r="Q380" s="1818"/>
      <c r="R380" s="1818"/>
      <c r="S380" s="1818"/>
      <c r="T380" s="1818"/>
      <c r="U380" s="1818"/>
      <c r="V380" s="1818"/>
      <c r="W380" s="1818"/>
      <c r="X380" s="1818"/>
      <c r="Y380" s="1818"/>
      <c r="Z380" s="1818"/>
      <c r="AA380" s="1818"/>
      <c r="AB380" s="1818"/>
      <c r="AC380" s="1818"/>
      <c r="AD380" s="1818"/>
      <c r="AE380" s="1818"/>
      <c r="AF380" s="1818"/>
      <c r="AG380" s="1818"/>
    </row>
  </sheetData>
  <sheetProtection password="889B" sheet="1" objects="1" scenarios="1"/>
  <conditionalFormatting sqref="E6">
    <cfRule type="cellIs" dxfId="36" priority="37" stopIfTrue="1" operator="equal">
      <formula>0</formula>
    </cfRule>
  </conditionalFormatting>
  <conditionalFormatting sqref="E9:E352">
    <cfRule type="cellIs" dxfId="35" priority="36" stopIfTrue="1" operator="equal">
      <formula>1</formula>
    </cfRule>
  </conditionalFormatting>
  <conditionalFormatting sqref="E355">
    <cfRule type="cellIs" dxfId="34" priority="35" stopIfTrue="1" operator="equal">
      <formula>0</formula>
    </cfRule>
  </conditionalFormatting>
  <conditionalFormatting sqref="E357:E360">
    <cfRule type="cellIs" dxfId="33" priority="34" stopIfTrue="1" operator="equal">
      <formula>1</formula>
    </cfRule>
  </conditionalFormatting>
  <conditionalFormatting sqref="E362">
    <cfRule type="cellIs" dxfId="32" priority="33" stopIfTrue="1" operator="equal">
      <formula>0</formula>
    </cfRule>
  </conditionalFormatting>
  <conditionalFormatting sqref="G6">
    <cfRule type="cellIs" dxfId="31" priority="32" stopIfTrue="1" operator="equal">
      <formula>0</formula>
    </cfRule>
  </conditionalFormatting>
  <conditionalFormatting sqref="G9:G352">
    <cfRule type="cellIs" dxfId="30" priority="31" stopIfTrue="1" operator="equal">
      <formula>1</formula>
    </cfRule>
  </conditionalFormatting>
  <conditionalFormatting sqref="I6">
    <cfRule type="cellIs" dxfId="29" priority="30" stopIfTrue="1" operator="equal">
      <formula>0</formula>
    </cfRule>
  </conditionalFormatting>
  <conditionalFormatting sqref="I9:I22">
    <cfRule type="cellIs" dxfId="28" priority="29" stopIfTrue="1" operator="equal">
      <formula>2</formula>
    </cfRule>
  </conditionalFormatting>
  <conditionalFormatting sqref="I25:I37">
    <cfRule type="cellIs" dxfId="27" priority="28" stopIfTrue="1" operator="equal">
      <formula>2</formula>
    </cfRule>
  </conditionalFormatting>
  <conditionalFormatting sqref="I40:I51">
    <cfRule type="cellIs" dxfId="26" priority="27" stopIfTrue="1" operator="equal">
      <formula>2</formula>
    </cfRule>
  </conditionalFormatting>
  <conditionalFormatting sqref="I54:I63">
    <cfRule type="cellIs" dxfId="25" priority="26" stopIfTrue="1" operator="equal">
      <formula>2</formula>
    </cfRule>
  </conditionalFormatting>
  <conditionalFormatting sqref="I66:I76">
    <cfRule type="cellIs" dxfId="24" priority="25" stopIfTrue="1" operator="equal">
      <formula>2</formula>
    </cfRule>
  </conditionalFormatting>
  <conditionalFormatting sqref="I79:I89">
    <cfRule type="cellIs" dxfId="23" priority="24" stopIfTrue="1" operator="equal">
      <formula>2</formula>
    </cfRule>
  </conditionalFormatting>
  <conditionalFormatting sqref="I92:I95">
    <cfRule type="cellIs" dxfId="22" priority="23" stopIfTrue="1" operator="equal">
      <formula>2</formula>
    </cfRule>
  </conditionalFormatting>
  <conditionalFormatting sqref="I98:I105">
    <cfRule type="cellIs" dxfId="21" priority="22" stopIfTrue="1" operator="equal">
      <formula>2</formula>
    </cfRule>
  </conditionalFormatting>
  <conditionalFormatting sqref="I108:I114">
    <cfRule type="cellIs" dxfId="20" priority="21" stopIfTrue="1" operator="equal">
      <formula>2</formula>
    </cfRule>
  </conditionalFormatting>
  <conditionalFormatting sqref="I117:I125">
    <cfRule type="cellIs" dxfId="19" priority="20" stopIfTrue="1" operator="equal">
      <formula>2</formula>
    </cfRule>
  </conditionalFormatting>
  <conditionalFormatting sqref="I128:I135">
    <cfRule type="cellIs" dxfId="18" priority="19" stopIfTrue="1" operator="equal">
      <formula>2</formula>
    </cfRule>
  </conditionalFormatting>
  <conditionalFormatting sqref="I138:I148">
    <cfRule type="cellIs" dxfId="17" priority="18" stopIfTrue="1" operator="equal">
      <formula>2</formula>
    </cfRule>
  </conditionalFormatting>
  <conditionalFormatting sqref="I151:I162">
    <cfRule type="cellIs" dxfId="16" priority="17" stopIfTrue="1" operator="equal">
      <formula>2</formula>
    </cfRule>
  </conditionalFormatting>
  <conditionalFormatting sqref="I165:I170">
    <cfRule type="cellIs" dxfId="15" priority="16" stopIfTrue="1" operator="equal">
      <formula>2</formula>
    </cfRule>
  </conditionalFormatting>
  <conditionalFormatting sqref="I173:I183">
    <cfRule type="cellIs" dxfId="14" priority="15" stopIfTrue="1" operator="equal">
      <formula>2</formula>
    </cfRule>
  </conditionalFormatting>
  <conditionalFormatting sqref="I186:I203">
    <cfRule type="cellIs" dxfId="13" priority="14" stopIfTrue="1" operator="equal">
      <formula>2</formula>
    </cfRule>
  </conditionalFormatting>
  <conditionalFormatting sqref="I206:I212">
    <cfRule type="cellIs" dxfId="12" priority="13" stopIfTrue="1" operator="equal">
      <formula>2</formula>
    </cfRule>
  </conditionalFormatting>
  <conditionalFormatting sqref="I215:I222">
    <cfRule type="cellIs" dxfId="11" priority="12" stopIfTrue="1" operator="equal">
      <formula>2</formula>
    </cfRule>
  </conditionalFormatting>
  <conditionalFormatting sqref="I225:I231">
    <cfRule type="cellIs" dxfId="10" priority="11" stopIfTrue="1" operator="equal">
      <formula>2</formula>
    </cfRule>
  </conditionalFormatting>
  <conditionalFormatting sqref="I234:I237">
    <cfRule type="cellIs" dxfId="9" priority="10" stopIfTrue="1" operator="equal">
      <formula>2</formula>
    </cfRule>
  </conditionalFormatting>
  <conditionalFormatting sqref="I240:I249">
    <cfRule type="cellIs" dxfId="8" priority="9" stopIfTrue="1" operator="equal">
      <formula>2</formula>
    </cfRule>
  </conditionalFormatting>
  <conditionalFormatting sqref="I276">
    <cfRule type="cellIs" dxfId="7" priority="8" stopIfTrue="1" operator="equal">
      <formula>2</formula>
    </cfRule>
  </conditionalFormatting>
  <conditionalFormatting sqref="I279:I300">
    <cfRule type="cellIs" dxfId="6" priority="7" stopIfTrue="1" operator="equal">
      <formula>2</formula>
    </cfRule>
  </conditionalFormatting>
  <conditionalFormatting sqref="I303:I313">
    <cfRule type="cellIs" dxfId="5" priority="6" stopIfTrue="1" operator="equal">
      <formula>2</formula>
    </cfRule>
  </conditionalFormatting>
  <conditionalFormatting sqref="I316:I320">
    <cfRule type="cellIs" dxfId="4" priority="5" stopIfTrue="1" operator="equal">
      <formula>2</formula>
    </cfRule>
  </conditionalFormatting>
  <conditionalFormatting sqref="I323:I333">
    <cfRule type="cellIs" dxfId="3" priority="4" stopIfTrue="1" operator="equal">
      <formula>2</formula>
    </cfRule>
  </conditionalFormatting>
  <conditionalFormatting sqref="I338:I345">
    <cfRule type="cellIs" dxfId="2" priority="3" stopIfTrue="1" operator="equal">
      <formula>2</formula>
    </cfRule>
  </conditionalFormatting>
  <conditionalFormatting sqref="I348:I352">
    <cfRule type="cellIs" dxfId="1" priority="2" stopIfTrue="1" operator="equal">
      <formula>2</formula>
    </cfRule>
  </conditionalFormatting>
  <conditionalFormatting sqref="I336:I337">
    <cfRule type="cellIs" dxfId="0" priority="1" stopIfTrue="1" operator="equal">
      <formula>2</formula>
    </cfRule>
  </conditionalFormatting>
  <pageMargins left="0.82" right="0.25" top="0.44" bottom="0.23" header="0.25" footer="0.16"/>
  <pageSetup paperSize="9" scale="85" orientation="portrait" horizontalDpi="4294967292" r:id="rId1"/>
  <headerFooter alignWithMargins="0">
    <oddHeader>&amp;C&amp;"Times New Roman,Bold"&amp;12- &amp;P / &amp;N -</oddHeader>
  </headerFooter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FF0000"/>
  </sheetPr>
  <dimension ref="A1:AV67"/>
  <sheetViews>
    <sheetView showZeros="0" zoomScaleNormal="100" workbookViewId="0"/>
  </sheetViews>
  <sheetFormatPr defaultRowHeight="12.75"/>
  <cols>
    <col min="1" max="1" width="1.28515625" style="1400" customWidth="1"/>
    <col min="2" max="2" width="8.7109375" style="1400" customWidth="1"/>
    <col min="3" max="3" width="9.7109375" style="1400" customWidth="1"/>
    <col min="4" max="4" width="9.42578125" style="1400" customWidth="1"/>
    <col min="5" max="8" width="9.140625" style="1400"/>
    <col min="9" max="9" width="2.5703125" style="1400" customWidth="1"/>
    <col min="10" max="10" width="2.42578125" style="1400" customWidth="1"/>
    <col min="11" max="11" width="6.7109375" style="1400" customWidth="1"/>
    <col min="12" max="12" width="2.85546875" style="1400" customWidth="1"/>
    <col min="13" max="13" width="2.7109375" style="1400" customWidth="1"/>
    <col min="14" max="15" width="18.85546875" style="1400" customWidth="1"/>
    <col min="16" max="16" width="5.28515625" style="1400" customWidth="1"/>
    <col min="17" max="17" width="2.7109375" style="1400" customWidth="1"/>
    <col min="18" max="18" width="19.7109375" style="1400" customWidth="1"/>
    <col min="19" max="19" width="21.140625" style="1400" customWidth="1"/>
    <col min="20" max="20" width="5.28515625" style="1400" customWidth="1"/>
    <col min="21" max="16384" width="9.140625" style="1400"/>
  </cols>
  <sheetData>
    <row r="1" spans="1:48" ht="4.5" customHeight="1">
      <c r="A1" s="2029"/>
      <c r="B1" s="2029"/>
      <c r="C1" s="2029"/>
      <c r="D1" s="2029"/>
      <c r="E1" s="2029"/>
      <c r="F1" s="2029"/>
      <c r="G1" s="2029"/>
      <c r="H1" s="2029"/>
      <c r="I1" s="2029"/>
      <c r="J1" s="2029"/>
      <c r="K1" s="2029"/>
      <c r="L1" s="2029"/>
      <c r="M1" s="2029"/>
      <c r="N1" s="2029"/>
      <c r="O1" s="2029"/>
      <c r="P1" s="2029"/>
      <c r="Q1" s="2029"/>
      <c r="R1" s="2029"/>
      <c r="S1" s="2029"/>
      <c r="T1" s="2029"/>
      <c r="U1" s="2029"/>
      <c r="V1" s="2029"/>
      <c r="W1" s="2029"/>
      <c r="X1" s="2029"/>
      <c r="Y1" s="2029"/>
      <c r="Z1" s="2029"/>
      <c r="AA1" s="2029"/>
      <c r="AB1" s="2029"/>
      <c r="AC1" s="2029"/>
      <c r="AD1" s="2029"/>
      <c r="AE1" s="2029"/>
      <c r="AF1" s="2029"/>
      <c r="AG1" s="2029"/>
      <c r="AH1" s="2029"/>
      <c r="AI1" s="2029"/>
      <c r="AJ1" s="2029"/>
      <c r="AK1" s="2029"/>
      <c r="AL1" s="2029"/>
      <c r="AM1" s="2029"/>
      <c r="AN1" s="2029"/>
      <c r="AO1" s="2029"/>
      <c r="AP1" s="2029"/>
      <c r="AQ1" s="2029"/>
      <c r="AR1" s="2029"/>
      <c r="AS1" s="2029"/>
      <c r="AT1" s="2029"/>
      <c r="AU1" s="2029"/>
      <c r="AV1" s="2029"/>
    </row>
    <row r="2" spans="1:48" ht="15.75">
      <c r="A2" s="1379"/>
      <c r="B2" s="2394">
        <f>IF('Local-&amp;-SSF'!I6=0,+IF('Local-&amp;-SSF'!E6=0,0,IF(OR('TRIAL-BALANCE'!AM739&lt;&gt;0,'TRIAL-BALANCE'!AN739&lt;&gt;0),"Сметка 7500 не може да се ползва от общината!",0)),0)</f>
        <v>0</v>
      </c>
      <c r="C2" s="2394"/>
      <c r="D2" s="2394"/>
      <c r="E2" s="2394"/>
      <c r="F2" s="2394"/>
      <c r="G2" s="2394"/>
      <c r="H2" s="2394"/>
      <c r="I2" s="2394"/>
      <c r="J2" s="1379"/>
      <c r="K2" s="1379"/>
      <c r="L2" s="1379"/>
      <c r="M2" s="2096">
        <f>+IF($N2=0,0," ")</f>
        <v>0</v>
      </c>
      <c r="N2" s="2385">
        <f>+IF('Local-&amp;-SSF'!E362=0,+IF(ROUND('TRIAL-BALANCE'!AK216,2)-ROUND('TRIAL-BALANCE'!AL216,2)=0,0,+IF(K4="ДА","1. Началното нетно салдо на сметка 4682 не е равно на нула! Избери ДА или НЕ!",0)),+IF('Local-&amp;-SSF'!E6=1,+IF(ROUND('TRIAL-BALANCE'!AK217,2)-ROUND('TRIAL-BALANCE'!AL217,2)=0,0,+IF(K4="ДА","1. Началното нетно салдо на сметка 4684 не е равно на нула! Избери ДА или НЕ!",0)),+IF('Local-&amp;-SSF'!E355=1,+IF(ROUND('TRIAL-BALANCE'!AK218,2)-ROUND('TRIAL-BALANCE'!AL218,2)=0,0,+IF(K4="ДА","1. Началното нетно салдо на сметка 4685 не е равно на нула! Избери ДА или НЕ!",0)))))</f>
        <v>0</v>
      </c>
      <c r="O2" s="2385"/>
      <c r="P2" s="2385"/>
      <c r="Q2" s="2385"/>
      <c r="R2" s="2385"/>
      <c r="S2" s="2386"/>
      <c r="T2" s="1379"/>
      <c r="U2" s="1379"/>
      <c r="V2" s="1379"/>
      <c r="W2" s="1379"/>
      <c r="X2" s="1379"/>
      <c r="Y2" s="1379"/>
      <c r="Z2" s="1379"/>
      <c r="AA2" s="1379"/>
      <c r="AB2" s="1379"/>
      <c r="AC2" s="1379"/>
      <c r="AD2" s="1379"/>
      <c r="AE2" s="1379"/>
      <c r="AF2" s="1379"/>
      <c r="AG2" s="1379"/>
      <c r="AH2" s="1379"/>
      <c r="AI2" s="1379"/>
      <c r="AJ2" s="1379"/>
      <c r="AK2" s="1379"/>
      <c r="AL2" s="1379"/>
      <c r="AM2" s="1379"/>
      <c r="AN2" s="1379"/>
      <c r="AO2" s="1379"/>
      <c r="AP2" s="1379"/>
      <c r="AQ2" s="1379"/>
      <c r="AR2" s="1379"/>
      <c r="AS2" s="1379"/>
      <c r="AT2" s="1379"/>
      <c r="AU2" s="1379"/>
      <c r="AV2" s="1379"/>
    </row>
    <row r="3" spans="1:48" ht="3" customHeight="1">
      <c r="A3" s="1379"/>
      <c r="B3" s="1379"/>
      <c r="C3" s="1379"/>
      <c r="D3" s="1379"/>
      <c r="E3" s="1379"/>
      <c r="F3" s="1379"/>
      <c r="G3" s="1379"/>
      <c r="H3" s="1379"/>
      <c r="I3" s="1379"/>
      <c r="J3" s="1379"/>
      <c r="K3" s="1379"/>
      <c r="L3" s="1379"/>
      <c r="M3" s="2029"/>
      <c r="N3" s="2029"/>
      <c r="O3" s="2029"/>
      <c r="P3" s="2029"/>
      <c r="Q3" s="2029"/>
      <c r="R3" s="2029"/>
      <c r="S3" s="2029"/>
      <c r="T3" s="1379"/>
      <c r="U3" s="1379"/>
      <c r="V3" s="1379"/>
      <c r="W3" s="1379"/>
      <c r="X3" s="1379"/>
      <c r="Y3" s="1379"/>
      <c r="Z3" s="1379"/>
      <c r="AA3" s="1379"/>
      <c r="AB3" s="1379"/>
      <c r="AC3" s="1379"/>
      <c r="AD3" s="1379"/>
      <c r="AE3" s="1379"/>
      <c r="AF3" s="1379"/>
      <c r="AG3" s="1379"/>
      <c r="AH3" s="1379"/>
      <c r="AI3" s="1379"/>
      <c r="AJ3" s="1379"/>
      <c r="AK3" s="1379"/>
      <c r="AL3" s="1379"/>
      <c r="AM3" s="1379"/>
      <c r="AN3" s="1379"/>
      <c r="AO3" s="1379"/>
      <c r="AP3" s="1379"/>
      <c r="AQ3" s="1379"/>
      <c r="AR3" s="1379"/>
      <c r="AS3" s="1379"/>
      <c r="AT3" s="1379"/>
      <c r="AU3" s="1379"/>
      <c r="AV3" s="1379"/>
    </row>
    <row r="4" spans="1:48" ht="32.25" customHeight="1">
      <c r="A4" s="1379"/>
      <c r="B4" s="2380" t="s">
        <v>1968</v>
      </c>
      <c r="C4" s="2381"/>
      <c r="D4" s="2381"/>
      <c r="E4" s="2381"/>
      <c r="F4" s="2381"/>
      <c r="G4" s="2381"/>
      <c r="H4" s="2381"/>
      <c r="I4" s="2382"/>
      <c r="J4" s="1379"/>
      <c r="K4" s="1387" t="s">
        <v>1256</v>
      </c>
      <c r="L4" s="1379"/>
      <c r="M4" s="2392">
        <f>+IF($N2=0,0,IF($N2="1. Началното нетно салдо на сметка 4682 не е равно на нула! Избери ДА или НЕ!","началното нетно салдо на с/ка 4682 трябва да е равно на нула - коригирай грешката!",+IF($N2="1. Началното нетно салдо на сметка 4684 не е равно на нула! Избери ДА или НЕ!","началното нетно салдо на с/ка 4684 трябва да е равно на нула - коригирай грешката!","началното нетно салдо на с/ка 4685 трябва да е равно на нула - коригирай грешката!")))</f>
        <v>0</v>
      </c>
      <c r="N4" s="2392"/>
      <c r="O4" s="2393"/>
      <c r="P4" s="1387" t="s">
        <v>1256</v>
      </c>
      <c r="Q4" s="2029"/>
      <c r="R4" s="2390">
        <f>+IF($N2=0,0,IF($N2="1. Началното нетно салдо на сметка 4682 не е равно на нула! Избери ДА или НЕ!","началното нетно салдо на с/ка 4682 е разчет с други първостепенни р-ли, ДВУ, БАН",+IF($N2="1. Началното нетно салдо на сметка 4684 не е равно на нула! Избери ДА или НЕ!","началното нетно салдо на с/ка 4684 е разчет с други общини","началното нетно салдо на с/ка 4685 е разчет с други социалноосигурителни фондове")))</f>
        <v>0</v>
      </c>
      <c r="S4" s="2391"/>
      <c r="T4" s="1384" t="str">
        <f>+IF(+P4="ДА","НЕ","ДА")</f>
        <v>НЕ</v>
      </c>
      <c r="U4" s="1379"/>
      <c r="V4" s="1379"/>
      <c r="W4" s="1379"/>
      <c r="X4" s="1379"/>
      <c r="Y4" s="1379"/>
      <c r="Z4" s="1379"/>
      <c r="AA4" s="1379"/>
      <c r="AB4" s="1379"/>
      <c r="AC4" s="1379"/>
      <c r="AD4" s="1379"/>
      <c r="AE4" s="1379"/>
      <c r="AF4" s="1379"/>
      <c r="AG4" s="1379"/>
      <c r="AH4" s="1379"/>
      <c r="AI4" s="1379"/>
      <c r="AJ4" s="1379"/>
      <c r="AK4" s="1379"/>
      <c r="AL4" s="1379"/>
      <c r="AM4" s="1379"/>
      <c r="AN4" s="1379"/>
      <c r="AO4" s="1379"/>
      <c r="AP4" s="1379"/>
      <c r="AQ4" s="1379"/>
      <c r="AR4" s="1379"/>
      <c r="AS4" s="1379"/>
      <c r="AT4" s="1379"/>
      <c r="AU4" s="1379"/>
      <c r="AV4" s="1379"/>
    </row>
    <row r="5" spans="1:48" ht="3" customHeight="1">
      <c r="A5" s="1379"/>
      <c r="B5" s="1379"/>
      <c r="C5" s="1379"/>
      <c r="D5" s="1379"/>
      <c r="E5" s="1379"/>
      <c r="F5" s="1379"/>
      <c r="G5" s="1379"/>
      <c r="H5" s="1379"/>
      <c r="I5" s="1379"/>
      <c r="J5" s="1379"/>
      <c r="K5" s="1379"/>
      <c r="L5" s="1379"/>
      <c r="M5" s="2096"/>
      <c r="N5" s="2096"/>
      <c r="O5" s="2096"/>
      <c r="P5" s="2096"/>
      <c r="Q5" s="2096"/>
      <c r="R5" s="2096"/>
      <c r="S5" s="2096"/>
      <c r="T5" s="1379"/>
      <c r="U5" s="1379"/>
      <c r="V5" s="1379"/>
      <c r="W5" s="1379"/>
      <c r="X5" s="1379"/>
      <c r="Y5" s="1379"/>
      <c r="Z5" s="1379"/>
      <c r="AA5" s="1379"/>
      <c r="AB5" s="1379"/>
      <c r="AC5" s="1379"/>
      <c r="AD5" s="1379"/>
      <c r="AE5" s="1379"/>
      <c r="AF5" s="1379"/>
      <c r="AG5" s="1379"/>
      <c r="AH5" s="1379"/>
      <c r="AI5" s="1379"/>
      <c r="AJ5" s="1379"/>
      <c r="AK5" s="1379"/>
      <c r="AL5" s="1379"/>
      <c r="AM5" s="1379"/>
      <c r="AN5" s="1379"/>
      <c r="AO5" s="1379"/>
      <c r="AP5" s="1379"/>
      <c r="AQ5" s="1379"/>
      <c r="AR5" s="1379"/>
      <c r="AS5" s="1379"/>
      <c r="AT5" s="1379"/>
      <c r="AU5" s="1379"/>
      <c r="AV5" s="1379"/>
    </row>
    <row r="6" spans="1:48" ht="12.75" customHeight="1">
      <c r="A6" s="1379"/>
      <c r="B6" s="1379"/>
      <c r="C6" s="1379"/>
      <c r="D6" s="1379"/>
      <c r="E6" s="1379"/>
      <c r="F6" s="1379"/>
      <c r="G6" s="1379"/>
      <c r="H6" s="1379"/>
      <c r="I6" s="1379"/>
      <c r="J6" s="1379"/>
      <c r="K6" s="1379"/>
      <c r="L6" s="1379"/>
      <c r="M6" s="2096">
        <f>+IF($N6=0,0," ")</f>
        <v>0</v>
      </c>
      <c r="N6" s="2387">
        <f>+IF('Local-&amp;-SSF'!E362=0,+IF(ROUND('TRIAL-BALANCE'!AK216,2)-ROUND('TRIAL-BALANCE'!AL216,2)=0,0,+IF(K4="ДА","2. Крайното нетно салдо на сметка 4682 не е равно на нула! Избери ДА или НЕ!",0)),+IF('Local-&amp;-SSF'!E6=1,+IF(ROUND('TRIAL-BALANCE'!AK217,2)-ROUND('TRIAL-BALANCE'!AL217,2)=0,0,+IF(K4="ДА","2. Крайното нетно салдо на сметка 4684 не е равно на нула! Избери ДА или НЕ!",0)),+IF('Local-&amp;-SSF'!E355=1,+IF(ROUND('TRIAL-BALANCE'!AK218,2)-ROUND('TRIAL-BALANCE'!AL218,2)=0,0,+IF(K4="ДА","2. Крайното нетно салдо на сметка 4685 не е равно на нула! Избери ДА или НЕ!",0)))))</f>
        <v>0</v>
      </c>
      <c r="O6" s="2387"/>
      <c r="P6" s="2387"/>
      <c r="Q6" s="2387"/>
      <c r="R6" s="2387"/>
      <c r="S6" s="2388"/>
      <c r="T6" s="1379"/>
      <c r="U6" s="1379"/>
      <c r="V6" s="1379"/>
      <c r="W6" s="1379"/>
      <c r="X6" s="1379"/>
      <c r="Y6" s="1379"/>
      <c r="Z6" s="1379"/>
      <c r="AA6" s="1379"/>
      <c r="AB6" s="1379"/>
      <c r="AC6" s="1379"/>
      <c r="AD6" s="1379"/>
      <c r="AE6" s="1379"/>
      <c r="AF6" s="1379"/>
      <c r="AG6" s="1379"/>
      <c r="AH6" s="1379"/>
      <c r="AI6" s="1379"/>
      <c r="AJ6" s="1379"/>
      <c r="AK6" s="1379"/>
      <c r="AL6" s="1379"/>
      <c r="AM6" s="1379"/>
      <c r="AN6" s="1379"/>
      <c r="AO6" s="1379"/>
      <c r="AP6" s="1379"/>
      <c r="AQ6" s="1379"/>
      <c r="AR6" s="1379"/>
      <c r="AS6" s="1379"/>
      <c r="AT6" s="1379"/>
      <c r="AU6" s="1379"/>
      <c r="AV6" s="1379"/>
    </row>
    <row r="7" spans="1:48" ht="3" customHeight="1">
      <c r="A7" s="1379"/>
      <c r="B7" s="1379"/>
      <c r="C7" s="1379"/>
      <c r="D7" s="1379"/>
      <c r="E7" s="1379"/>
      <c r="F7" s="1379"/>
      <c r="G7" s="1379"/>
      <c r="H7" s="1379"/>
      <c r="I7" s="1379"/>
      <c r="J7" s="1379"/>
      <c r="K7" s="1379"/>
      <c r="L7" s="1379"/>
      <c r="M7" s="2096"/>
      <c r="N7" s="2113"/>
      <c r="O7" s="2113"/>
      <c r="P7" s="2113"/>
      <c r="Q7" s="2113"/>
      <c r="R7" s="2113"/>
      <c r="S7" s="2113"/>
      <c r="T7" s="1379"/>
      <c r="U7" s="1379"/>
      <c r="V7" s="1379"/>
      <c r="W7" s="1379"/>
      <c r="X7" s="1379"/>
      <c r="Y7" s="1379"/>
      <c r="Z7" s="1379"/>
      <c r="AA7" s="1379"/>
      <c r="AB7" s="1379"/>
      <c r="AC7" s="1379"/>
      <c r="AD7" s="1379"/>
      <c r="AE7" s="1379"/>
      <c r="AF7" s="1379"/>
      <c r="AG7" s="1379"/>
      <c r="AH7" s="1379"/>
      <c r="AI7" s="1379"/>
      <c r="AJ7" s="1379"/>
      <c r="AK7" s="1379"/>
      <c r="AL7" s="1379"/>
      <c r="AM7" s="1379"/>
      <c r="AN7" s="1379"/>
      <c r="AO7" s="1379"/>
      <c r="AP7" s="1379"/>
      <c r="AQ7" s="1379"/>
      <c r="AR7" s="1379"/>
      <c r="AS7" s="1379"/>
      <c r="AT7" s="1379"/>
      <c r="AU7" s="1379"/>
      <c r="AV7" s="1379"/>
    </row>
    <row r="8" spans="1:48" ht="32.25" customHeight="1">
      <c r="A8" s="1379"/>
      <c r="B8" s="2380" t="s">
        <v>2015</v>
      </c>
      <c r="C8" s="2381"/>
      <c r="D8" s="2381"/>
      <c r="E8" s="2381"/>
      <c r="F8" s="2381"/>
      <c r="G8" s="2381"/>
      <c r="H8" s="2381"/>
      <c r="I8" s="2382"/>
      <c r="J8" s="1379"/>
      <c r="K8" s="1384" t="str">
        <f>+IF(+K4="ДА","НЕ","ДА")</f>
        <v>НЕ</v>
      </c>
      <c r="L8" s="2112"/>
      <c r="M8" s="2392">
        <f>+IF($N6=0,0,IF($N6="2. Крайното нетно салдо на сметка 4682 не е равно на нула! Избери ДА или НЕ!","крайното нетно салдо на с/ка 4682 трябва да е равно на нула - коригирай грешката!",+IF($N6="2. Крайното нетно салдо на сметка 4684 не е равно на нула! Избери ДА или НЕ!","крайното нетно салдо на с/ка 4684 трябва да е равно на нула - коригирай грешката!","крайното нетно салдо на с/ка 4685 трябва да е равно на нула - коригирай грешката!")))</f>
        <v>0</v>
      </c>
      <c r="N8" s="2392"/>
      <c r="O8" s="2393"/>
      <c r="P8" s="1387" t="s">
        <v>1256</v>
      </c>
      <c r="Q8" s="2029"/>
      <c r="R8" s="2390">
        <f>+IF($N6=0,0,IF($N6="2. Крайното нетно салдо на сметка 4682 не е равно на нула! Избери ДА или НЕ!","крайното нетно салдо на с/ка 4682 е разчет с други първостепенни р-ли, ДВУ, БАН",+IF($N6="2. Крайното нетно салдо на сметка 4684 не е равно на нула! Избери ДА или НЕ!","крайното нетно салдо на с/ка 4684 е разчет с други общини","крайното нетно салдо на с/ка 4685 е разчет с други социалноосигурителни фондове")))</f>
        <v>0</v>
      </c>
      <c r="S8" s="2391"/>
      <c r="T8" s="1384" t="str">
        <f>+IF(+P8="ДА","НЕ","ДА")</f>
        <v>НЕ</v>
      </c>
      <c r="U8" s="1379"/>
      <c r="V8" s="1953"/>
      <c r="W8" s="1953"/>
      <c r="X8" s="1953"/>
      <c r="Y8" s="1379"/>
      <c r="Z8" s="1379"/>
      <c r="AA8" s="1379"/>
      <c r="AB8" s="1379"/>
      <c r="AC8" s="1379"/>
      <c r="AD8" s="1379"/>
      <c r="AE8" s="1379"/>
      <c r="AF8" s="1379"/>
      <c r="AG8" s="1379"/>
      <c r="AH8" s="1379"/>
      <c r="AI8" s="1379"/>
      <c r="AJ8" s="1379"/>
      <c r="AK8" s="1379"/>
      <c r="AL8" s="1379"/>
      <c r="AM8" s="1379"/>
      <c r="AN8" s="1379"/>
      <c r="AO8" s="1379"/>
      <c r="AP8" s="1379"/>
      <c r="AQ8" s="1379"/>
      <c r="AR8" s="1379"/>
      <c r="AS8" s="1379"/>
      <c r="AT8" s="1379"/>
      <c r="AU8" s="1379"/>
      <c r="AV8" s="1379"/>
    </row>
    <row r="9" spans="1:48">
      <c r="A9" s="1379"/>
      <c r="B9" s="1379"/>
      <c r="C9" s="1379"/>
      <c r="D9" s="1379"/>
      <c r="E9" s="1379"/>
      <c r="F9" s="1379"/>
      <c r="G9" s="1379"/>
      <c r="H9" s="1379"/>
      <c r="I9" s="1379"/>
      <c r="J9" s="1379"/>
      <c r="K9" s="1379"/>
      <c r="L9" s="1379"/>
      <c r="M9" s="1379"/>
      <c r="N9" s="1379"/>
      <c r="O9" s="1379"/>
      <c r="P9" s="1379"/>
      <c r="Q9" s="1379"/>
      <c r="R9" s="1379"/>
      <c r="S9" s="1379"/>
      <c r="T9" s="1379"/>
      <c r="U9" s="1379"/>
      <c r="V9" s="1379"/>
      <c r="W9" s="1379"/>
      <c r="X9" s="1379"/>
      <c r="Y9" s="1379"/>
      <c r="Z9" s="1379"/>
      <c r="AA9" s="1379"/>
      <c r="AB9" s="1379"/>
      <c r="AC9" s="1379"/>
      <c r="AD9" s="1379"/>
      <c r="AE9" s="1379"/>
      <c r="AF9" s="1379"/>
      <c r="AG9" s="1379"/>
      <c r="AH9" s="1379"/>
      <c r="AI9" s="1379"/>
      <c r="AJ9" s="1379"/>
      <c r="AK9" s="1379"/>
      <c r="AL9" s="1379"/>
      <c r="AM9" s="1379"/>
      <c r="AN9" s="1379"/>
      <c r="AO9" s="1379"/>
      <c r="AP9" s="1379"/>
      <c r="AQ9" s="1379"/>
      <c r="AR9" s="1379"/>
      <c r="AS9" s="1379"/>
      <c r="AT9" s="1379"/>
      <c r="AU9" s="1379"/>
      <c r="AV9" s="1379"/>
    </row>
    <row r="10" spans="1:48" hidden="1">
      <c r="A10" s="1379"/>
      <c r="B10" s="1379"/>
      <c r="C10" s="1379"/>
      <c r="D10" s="1379"/>
      <c r="E10" s="1379"/>
      <c r="F10" s="1379"/>
      <c r="G10" s="1379"/>
      <c r="H10" s="1379"/>
      <c r="I10" s="1379"/>
      <c r="J10" s="1379"/>
      <c r="K10" s="1385" t="s">
        <v>1256</v>
      </c>
      <c r="L10" s="1379"/>
      <c r="M10" s="1379"/>
      <c r="N10" s="1379"/>
      <c r="O10" s="1379"/>
      <c r="P10" s="1379"/>
      <c r="Q10" s="1379"/>
      <c r="R10" s="1379"/>
      <c r="S10" s="1379"/>
      <c r="T10" s="1379"/>
      <c r="U10" s="1379"/>
      <c r="V10" s="1379"/>
      <c r="W10" s="1379"/>
      <c r="X10" s="1379"/>
      <c r="Y10" s="1379"/>
      <c r="Z10" s="1379"/>
      <c r="AA10" s="1379"/>
      <c r="AB10" s="1379"/>
      <c r="AC10" s="1379"/>
      <c r="AD10" s="1379"/>
      <c r="AE10" s="1379"/>
      <c r="AF10" s="1379"/>
      <c r="AG10" s="1379"/>
      <c r="AH10" s="1379"/>
      <c r="AI10" s="1379"/>
      <c r="AJ10" s="1379"/>
      <c r="AK10" s="1379"/>
      <c r="AL10" s="1379"/>
      <c r="AM10" s="1379"/>
      <c r="AN10" s="1379"/>
      <c r="AO10" s="1379"/>
      <c r="AP10" s="1379"/>
      <c r="AQ10" s="1379"/>
      <c r="AR10" s="1379"/>
      <c r="AS10" s="1379"/>
      <c r="AT10" s="1379"/>
      <c r="AU10" s="1379"/>
      <c r="AV10" s="1379"/>
    </row>
    <row r="11" spans="1:48" hidden="1">
      <c r="A11" s="1379"/>
      <c r="B11" s="1379"/>
      <c r="C11" s="1379"/>
      <c r="D11" s="1379"/>
      <c r="E11" s="1379"/>
      <c r="F11" s="1379"/>
      <c r="G11" s="1379"/>
      <c r="H11" s="1379"/>
      <c r="I11" s="1379"/>
      <c r="J11" s="1379"/>
      <c r="K11" s="1386" t="s">
        <v>1257</v>
      </c>
      <c r="L11" s="1379"/>
      <c r="M11" s="1379"/>
      <c r="N11" s="1379"/>
      <c r="O11" s="1379"/>
      <c r="P11" s="1379"/>
      <c r="Q11" s="1379"/>
      <c r="R11" s="1379"/>
      <c r="S11" s="1379"/>
      <c r="T11" s="1379"/>
      <c r="U11" s="1379"/>
      <c r="V11" s="1379"/>
      <c r="W11" s="1379"/>
      <c r="X11" s="1379"/>
      <c r="Y11" s="1379"/>
      <c r="Z11" s="1379"/>
      <c r="AA11" s="1379"/>
      <c r="AB11" s="1379"/>
      <c r="AC11" s="1379"/>
      <c r="AD11" s="1379"/>
      <c r="AE11" s="1379"/>
      <c r="AF11" s="1379"/>
      <c r="AG11" s="1379"/>
      <c r="AH11" s="1379"/>
      <c r="AI11" s="1379"/>
      <c r="AJ11" s="1379"/>
      <c r="AK11" s="1379"/>
      <c r="AL11" s="1379"/>
      <c r="AM11" s="1379"/>
      <c r="AN11" s="1379"/>
      <c r="AO11" s="1379"/>
      <c r="AP11" s="1379"/>
      <c r="AQ11" s="1379"/>
      <c r="AR11" s="1379"/>
      <c r="AS11" s="1379"/>
      <c r="AT11" s="1379"/>
      <c r="AU11" s="1379"/>
      <c r="AV11" s="1379"/>
    </row>
    <row r="12" spans="1:48">
      <c r="A12" s="1379"/>
      <c r="B12" s="1379"/>
      <c r="C12" s="1379"/>
      <c r="D12" s="1379"/>
      <c r="E12" s="1379"/>
      <c r="F12" s="1379"/>
      <c r="G12" s="1379"/>
      <c r="H12" s="1379"/>
      <c r="I12" s="1379"/>
      <c r="J12" s="1379"/>
      <c r="K12" s="1379"/>
      <c r="L12" s="1379"/>
      <c r="M12" s="1379"/>
      <c r="N12" s="1379"/>
      <c r="O12" s="1379"/>
      <c r="P12" s="1379"/>
      <c r="Q12" s="1379"/>
      <c r="R12" s="1379"/>
      <c r="S12" s="1379"/>
      <c r="T12" s="1379"/>
      <c r="U12" s="1379"/>
      <c r="V12" s="1379"/>
      <c r="W12" s="1379"/>
      <c r="X12" s="1379"/>
      <c r="Y12" s="1379"/>
      <c r="Z12" s="1379"/>
      <c r="AA12" s="1379"/>
      <c r="AB12" s="1379"/>
      <c r="AC12" s="1379"/>
      <c r="AD12" s="1379"/>
      <c r="AE12" s="1379"/>
      <c r="AF12" s="1379"/>
      <c r="AG12" s="1379"/>
      <c r="AH12" s="1379"/>
      <c r="AI12" s="1379"/>
      <c r="AJ12" s="1379"/>
      <c r="AK12" s="1379"/>
      <c r="AL12" s="1379"/>
      <c r="AM12" s="1379"/>
      <c r="AN12" s="1379"/>
      <c r="AO12" s="1379"/>
      <c r="AP12" s="1379"/>
      <c r="AQ12" s="1379"/>
      <c r="AR12" s="1379"/>
      <c r="AS12" s="1379"/>
      <c r="AT12" s="1379"/>
      <c r="AU12" s="1379"/>
      <c r="AV12" s="1379"/>
    </row>
    <row r="13" spans="1:48" ht="15.75" customHeight="1">
      <c r="A13" s="1379"/>
      <c r="B13" s="2389">
        <f>+IF(AND(+ROUND(O13,2)=0,+ROUND(S13,2)=0),0,+IF($K$4="ДА","Нетното салдо на с/ка 4500 в БЮДЖЕТ не е равно на нула! Неравнението е в:",0))</f>
        <v>0</v>
      </c>
      <c r="C13" s="2389"/>
      <c r="D13" s="2389"/>
      <c r="E13" s="2389"/>
      <c r="F13" s="2389"/>
      <c r="G13" s="2389"/>
      <c r="H13" s="2389"/>
      <c r="I13" s="2389"/>
      <c r="J13" s="2389"/>
      <c r="K13" s="2389"/>
      <c r="L13" s="2389"/>
      <c r="M13" s="2026"/>
      <c r="N13" s="2027">
        <f>+IF(+ROUND(O13,2)=0,0,+IF($K$4="ДА","крайното салдо -",0))</f>
        <v>0</v>
      </c>
      <c r="O13" s="2028">
        <f>+IF($K$4="ДА",+ROUND('TRIAL-BALANCE'!S176,2)-ROUND('TRIAL-BALANCE'!T176,2),0)</f>
        <v>0</v>
      </c>
      <c r="P13" s="2028"/>
      <c r="Q13" s="2026"/>
      <c r="R13" s="2027">
        <f>+IF(+ROUND(S13,2)=0,0,+IF($K$4="ДА","началното салдо -",0))</f>
        <v>0</v>
      </c>
      <c r="S13" s="2028">
        <f>+IF($K$4="ДА",+ROUND('TRIAL-BALANCE'!O176,2)-ROUND('TRIAL-BALANCE'!P176,2),0)</f>
        <v>0</v>
      </c>
      <c r="T13" s="1379"/>
      <c r="U13" s="1379"/>
      <c r="V13" s="1379"/>
      <c r="W13" s="1379"/>
      <c r="X13" s="1379"/>
      <c r="Y13" s="1379"/>
      <c r="Z13" s="1379"/>
      <c r="AA13" s="1379"/>
      <c r="AB13" s="1379"/>
      <c r="AC13" s="1379"/>
      <c r="AD13" s="1379"/>
      <c r="AE13" s="1379"/>
      <c r="AF13" s="1379"/>
      <c r="AG13" s="1379"/>
      <c r="AH13" s="1379"/>
      <c r="AI13" s="1379"/>
      <c r="AJ13" s="1379"/>
      <c r="AK13" s="1379"/>
      <c r="AL13" s="1379"/>
      <c r="AM13" s="1379"/>
      <c r="AN13" s="1379"/>
      <c r="AO13" s="1379"/>
      <c r="AP13" s="1379"/>
      <c r="AQ13" s="1379"/>
      <c r="AR13" s="1379"/>
      <c r="AS13" s="1379"/>
      <c r="AT13" s="1379"/>
      <c r="AU13" s="1379"/>
      <c r="AV13" s="1379"/>
    </row>
    <row r="14" spans="1:48" ht="15.75" customHeight="1">
      <c r="A14" s="1379"/>
      <c r="B14" s="2383">
        <f>+IF(AND(+ROUND(O14,2)=0,+ROUND(S14,2)=0),0,+IF($K$4="ДА","Нетното салдо на с/ка 4500 в СЕС не е равно на нула! Неравнението е в:",0))</f>
        <v>0</v>
      </c>
      <c r="C14" s="2383"/>
      <c r="D14" s="2383"/>
      <c r="E14" s="2383"/>
      <c r="F14" s="2383"/>
      <c r="G14" s="2383"/>
      <c r="H14" s="2383"/>
      <c r="I14" s="2383"/>
      <c r="J14" s="2383"/>
      <c r="K14" s="2383"/>
      <c r="L14" s="2383"/>
      <c r="M14" s="2026"/>
      <c r="N14" s="2027">
        <f>+IF(+ROUND(O14,2)=0,0,+IF($K$4="ДА","крайното салдо -",0))</f>
        <v>0</v>
      </c>
      <c r="O14" s="2028">
        <f>+IF($K$4="ДА",+ROUND('TRIAL-BALANCE'!Z176,2)-ROUND('TRIAL-BALANCE'!AA176,2),0)</f>
        <v>0</v>
      </c>
      <c r="P14" s="2028"/>
      <c r="Q14" s="2026"/>
      <c r="R14" s="2027">
        <f>+IF(+ROUND(S14,2)=0,0,+IF($K$4="ДА","началното салдо -",0))</f>
        <v>0</v>
      </c>
      <c r="S14" s="2028">
        <f>+IF($K$4="ДА",+ROUND('TRIAL-BALANCE'!V176,2)-ROUND('TRIAL-BALANCE'!W176,2),0)</f>
        <v>0</v>
      </c>
      <c r="T14" s="1379"/>
      <c r="U14" s="1379"/>
      <c r="V14" s="1379"/>
      <c r="W14" s="1379"/>
      <c r="X14" s="1379"/>
      <c r="Y14" s="1379"/>
      <c r="Z14" s="1379"/>
      <c r="AA14" s="1379"/>
      <c r="AB14" s="1379"/>
      <c r="AC14" s="1379"/>
      <c r="AD14" s="1379"/>
      <c r="AE14" s="1379"/>
      <c r="AF14" s="1379"/>
      <c r="AG14" s="1379"/>
      <c r="AH14" s="1379"/>
      <c r="AI14" s="1379"/>
      <c r="AJ14" s="1379"/>
      <c r="AK14" s="1379"/>
      <c r="AL14" s="1379"/>
      <c r="AM14" s="1379"/>
      <c r="AN14" s="1379"/>
      <c r="AO14" s="1379"/>
      <c r="AP14" s="1379"/>
      <c r="AQ14" s="1379"/>
      <c r="AR14" s="1379"/>
      <c r="AS14" s="1379"/>
      <c r="AT14" s="1379"/>
      <c r="AU14" s="1379"/>
      <c r="AV14" s="1379"/>
    </row>
    <row r="15" spans="1:48" ht="15.75" customHeight="1">
      <c r="A15" s="1379"/>
      <c r="B15" s="2383">
        <f>+IF(AND(+ROUND(O15,2)=0,+ROUND(S15,2)=0),0,+IF($K$4="ДА","Нетното салдо на с/ка 4500 в ДСД не е равно на нула! Неравнението е в:",0))</f>
        <v>0</v>
      </c>
      <c r="C15" s="2383"/>
      <c r="D15" s="2383"/>
      <c r="E15" s="2383"/>
      <c r="F15" s="2383"/>
      <c r="G15" s="2383"/>
      <c r="H15" s="2383"/>
      <c r="I15" s="2383"/>
      <c r="J15" s="2383"/>
      <c r="K15" s="2383"/>
      <c r="L15" s="2383"/>
      <c r="M15" s="2026"/>
      <c r="N15" s="2027">
        <f>+IF(+ROUND(O15,2)=0,0,+IF($K$4="ДА","крайното салдо -",0))</f>
        <v>0</v>
      </c>
      <c r="O15" s="2028">
        <f>+IF($K$4="ДА",+ROUND('TRIAL-BALANCE'!AG176,2)-ROUND('TRIAL-BALANCE'!AH176,2),0)</f>
        <v>0</v>
      </c>
      <c r="P15" s="2028"/>
      <c r="Q15" s="2026"/>
      <c r="R15" s="2027">
        <f>+IF(+ROUND(S15,2)=0,0,+IF($K$4="ДА","началното салдо -",0))</f>
        <v>0</v>
      </c>
      <c r="S15" s="2028">
        <f>+IF($K$4="ДА",+ROUND('TRIAL-BALANCE'!AC176,2)-ROUND('TRIAL-BALANCE'!AD176,2),0)</f>
        <v>0</v>
      </c>
      <c r="T15" s="1379"/>
      <c r="U15" s="1379"/>
      <c r="V15" s="1379"/>
      <c r="W15" s="1379"/>
      <c r="X15" s="1379"/>
      <c r="Y15" s="1379"/>
      <c r="Z15" s="1379"/>
      <c r="AA15" s="1379"/>
      <c r="AB15" s="1379"/>
      <c r="AC15" s="1379"/>
      <c r="AD15" s="1379"/>
      <c r="AE15" s="1379"/>
      <c r="AF15" s="1379"/>
      <c r="AG15" s="1379"/>
      <c r="AH15" s="1379"/>
      <c r="AI15" s="1379"/>
      <c r="AJ15" s="1379"/>
      <c r="AK15" s="1379"/>
      <c r="AL15" s="1379"/>
      <c r="AM15" s="1379"/>
      <c r="AN15" s="1379"/>
      <c r="AO15" s="1379"/>
      <c r="AP15" s="1379"/>
      <c r="AQ15" s="1379"/>
      <c r="AR15" s="1379"/>
      <c r="AS15" s="1379"/>
      <c r="AT15" s="1379"/>
      <c r="AU15" s="1379"/>
      <c r="AV15" s="1379"/>
    </row>
    <row r="16" spans="1:48" ht="4.5" customHeight="1">
      <c r="A16" s="1379"/>
      <c r="B16" s="2030"/>
      <c r="C16" s="2030"/>
      <c r="D16" s="2030"/>
      <c r="E16" s="2030"/>
      <c r="F16" s="2030"/>
      <c r="G16" s="2030"/>
      <c r="H16" s="2030"/>
      <c r="I16" s="2030"/>
      <c r="J16" s="2030"/>
      <c r="K16" s="2030"/>
      <c r="L16" s="2030"/>
      <c r="M16" s="2029"/>
      <c r="N16" s="2029"/>
      <c r="O16" s="2029"/>
      <c r="P16" s="2029"/>
      <c r="Q16" s="2029"/>
      <c r="R16" s="2029"/>
      <c r="S16" s="2029"/>
      <c r="T16" s="1379"/>
      <c r="U16" s="1379"/>
      <c r="V16" s="1379"/>
      <c r="W16" s="1379"/>
      <c r="X16" s="1379"/>
      <c r="Y16" s="1379"/>
      <c r="Z16" s="1379"/>
      <c r="AA16" s="1379"/>
      <c r="AB16" s="1379"/>
      <c r="AC16" s="1379"/>
      <c r="AD16" s="1379"/>
      <c r="AE16" s="1379"/>
      <c r="AF16" s="1379"/>
      <c r="AG16" s="1379"/>
      <c r="AH16" s="1379"/>
      <c r="AI16" s="1379"/>
      <c r="AJ16" s="1379"/>
      <c r="AK16" s="1379"/>
      <c r="AL16" s="1379"/>
      <c r="AM16" s="1379"/>
      <c r="AN16" s="1379"/>
      <c r="AO16" s="1379"/>
      <c r="AP16" s="1379"/>
      <c r="AQ16" s="1379"/>
      <c r="AR16" s="1379"/>
      <c r="AS16" s="1379"/>
      <c r="AT16" s="1379"/>
      <c r="AU16" s="1379"/>
      <c r="AV16" s="1379"/>
    </row>
    <row r="17" spans="1:48" ht="15.75" customHeight="1">
      <c r="A17" s="1379"/>
      <c r="B17" s="2383">
        <f>+IF(AND(+ROUND(O17,2)=0,+ROUND(S17,2)=0),0,+IF($K$4="ДА","Нетното салдо на с/ка 4501 не е равно на нула! Неравнението е в:",0))</f>
        <v>0</v>
      </c>
      <c r="C17" s="2383"/>
      <c r="D17" s="2383"/>
      <c r="E17" s="2383"/>
      <c r="F17" s="2383"/>
      <c r="G17" s="2383"/>
      <c r="H17" s="2383"/>
      <c r="I17" s="2383"/>
      <c r="J17" s="2383"/>
      <c r="K17" s="2383"/>
      <c r="L17" s="2383"/>
      <c r="M17" s="2026"/>
      <c r="N17" s="2027">
        <f t="shared" ref="N17:N39" si="0">+IF(+ROUND(O17,2)=0,0,+IF($K$4="ДА","крайното салдо -",0))</f>
        <v>0</v>
      </c>
      <c r="O17" s="2028">
        <f>+IF($K$4="ДА",+ROUND('TRIAL-BALANCE'!AO177,2)-ROUND('TRIAL-BALANCE'!AP177,2),0)</f>
        <v>0</v>
      </c>
      <c r="P17" s="2028"/>
      <c r="Q17" s="2026"/>
      <c r="R17" s="2027">
        <f>+IF(+ROUND(S17,2)=0,0,+IF($K$4="ДА","началното салдо -",0))</f>
        <v>0</v>
      </c>
      <c r="S17" s="2028">
        <f>+IF($K$4="ДА",+ROUND('TRIAL-BALANCE'!AK177,2)-ROUND('TRIAL-BALANCE'!AL177,2),0)</f>
        <v>0</v>
      </c>
      <c r="T17" s="1379"/>
      <c r="U17" s="1379"/>
      <c r="V17" s="1379"/>
      <c r="W17" s="1379"/>
      <c r="X17" s="1379"/>
      <c r="Y17" s="1379"/>
      <c r="Z17" s="1379"/>
      <c r="AA17" s="1379"/>
      <c r="AB17" s="1379"/>
      <c r="AC17" s="1379"/>
      <c r="AD17" s="1379"/>
      <c r="AE17" s="1379"/>
      <c r="AF17" s="1379"/>
      <c r="AG17" s="1379"/>
      <c r="AH17" s="1379"/>
      <c r="AI17" s="1379"/>
      <c r="AJ17" s="1379"/>
      <c r="AK17" s="1379"/>
      <c r="AL17" s="1379"/>
      <c r="AM17" s="1379"/>
      <c r="AN17" s="1379"/>
      <c r="AO17" s="1379"/>
      <c r="AP17" s="1379"/>
      <c r="AQ17" s="1379"/>
      <c r="AR17" s="1379"/>
      <c r="AS17" s="1379"/>
      <c r="AT17" s="1379"/>
      <c r="AU17" s="1379"/>
      <c r="AV17" s="1379"/>
    </row>
    <row r="18" spans="1:48" ht="15.75" customHeight="1">
      <c r="A18" s="1379"/>
      <c r="B18" s="2383">
        <f>+IF(AND(+ROUND(O18,2)=0,+ROUND(S18,2)=0),0,+IF($K$4="ДА","Нетното салдо на с/ка 4502 не е равно на нула! Неравнението е в:",0))</f>
        <v>0</v>
      </c>
      <c r="C18" s="2383"/>
      <c r="D18" s="2383"/>
      <c r="E18" s="2383"/>
      <c r="F18" s="2383"/>
      <c r="G18" s="2383"/>
      <c r="H18" s="2383"/>
      <c r="I18" s="2383"/>
      <c r="J18" s="2383"/>
      <c r="K18" s="2383"/>
      <c r="L18" s="2383"/>
      <c r="M18" s="2026"/>
      <c r="N18" s="2027">
        <f t="shared" si="0"/>
        <v>0</v>
      </c>
      <c r="O18" s="2028">
        <f>+IF($K$4="ДА",+ROUND('TRIAL-BALANCE'!AO178,2)-ROUND('TRIAL-BALANCE'!AP178,2),0)</f>
        <v>0</v>
      </c>
      <c r="P18" s="2028"/>
      <c r="Q18" s="2026"/>
      <c r="R18" s="2027">
        <f>+IF(+ROUND(S18,2)=0,0,+IF($K$4="ДА","началното салдо -",0))</f>
        <v>0</v>
      </c>
      <c r="S18" s="2028">
        <f>+IF($K$4="ДА",+ROUND('TRIAL-BALANCE'!AK178,2)-ROUND('TRIAL-BALANCE'!AL178,2),0)</f>
        <v>0</v>
      </c>
      <c r="T18" s="1379"/>
      <c r="U18" s="1379"/>
      <c r="V18" s="1379"/>
      <c r="W18" s="1379"/>
      <c r="X18" s="1379"/>
      <c r="Y18" s="1379"/>
      <c r="Z18" s="1379"/>
      <c r="AA18" s="1379"/>
      <c r="AB18" s="1379"/>
      <c r="AC18" s="1379"/>
      <c r="AD18" s="1379"/>
      <c r="AE18" s="1379"/>
      <c r="AF18" s="1379"/>
      <c r="AG18" s="1379"/>
      <c r="AH18" s="1379"/>
      <c r="AI18" s="1379"/>
      <c r="AJ18" s="1379"/>
      <c r="AK18" s="1379"/>
      <c r="AL18" s="1379"/>
      <c r="AM18" s="1379"/>
      <c r="AN18" s="1379"/>
      <c r="AO18" s="1379"/>
      <c r="AP18" s="1379"/>
      <c r="AQ18" s="1379"/>
      <c r="AR18" s="1379"/>
      <c r="AS18" s="1379"/>
      <c r="AT18" s="1379"/>
      <c r="AU18" s="1379"/>
      <c r="AV18" s="1379"/>
    </row>
    <row r="19" spans="1:48" ht="15.75" customHeight="1">
      <c r="A19" s="1379"/>
      <c r="B19" s="2383">
        <f>+IF(AND(+ROUND(O19,2)=0,+ROUND(S19,2)=0),0,+IF($K$4="ДА","Нетното салдо на с/ка 4503 не е равно на нула! Неравнението е в:",0))</f>
        <v>0</v>
      </c>
      <c r="C19" s="2383"/>
      <c r="D19" s="2383"/>
      <c r="E19" s="2383"/>
      <c r="F19" s="2383"/>
      <c r="G19" s="2383"/>
      <c r="H19" s="2383"/>
      <c r="I19" s="2383"/>
      <c r="J19" s="2383"/>
      <c r="K19" s="2383"/>
      <c r="L19" s="2383"/>
      <c r="M19" s="2026"/>
      <c r="N19" s="2027">
        <f t="shared" si="0"/>
        <v>0</v>
      </c>
      <c r="O19" s="2028">
        <f>+IF($K$4="ДА",+ROUND('TRIAL-BALANCE'!AO179,2)-ROUND('TRIAL-BALANCE'!AP179,2),0)</f>
        <v>0</v>
      </c>
      <c r="P19" s="2028"/>
      <c r="Q19" s="2026"/>
      <c r="R19" s="2027">
        <f>+IF(+ROUND(S19,2)=0,0,+IF($K$4="ДА","началното салдо -",0))</f>
        <v>0</v>
      </c>
      <c r="S19" s="2028">
        <f>+IF($K$4="ДА",+ROUND('TRIAL-BALANCE'!AK179,2)-ROUND('TRIAL-BALANCE'!AL179,2),0)</f>
        <v>0</v>
      </c>
      <c r="T19" s="1379"/>
      <c r="U19" s="1379"/>
      <c r="V19" s="1379"/>
      <c r="W19" s="1379"/>
      <c r="X19" s="1379"/>
      <c r="Y19" s="1379"/>
      <c r="Z19" s="1379"/>
      <c r="AA19" s="1379"/>
      <c r="AB19" s="1379"/>
      <c r="AC19" s="1379"/>
      <c r="AD19" s="1379"/>
      <c r="AE19" s="1379"/>
      <c r="AF19" s="1379"/>
      <c r="AG19" s="1379"/>
      <c r="AH19" s="1379"/>
      <c r="AI19" s="1379"/>
      <c r="AJ19" s="1379"/>
      <c r="AK19" s="1379"/>
      <c r="AL19" s="1379"/>
      <c r="AM19" s="1379"/>
      <c r="AN19" s="1379"/>
      <c r="AO19" s="1379"/>
      <c r="AP19" s="1379"/>
      <c r="AQ19" s="1379"/>
      <c r="AR19" s="1379"/>
      <c r="AS19" s="1379"/>
      <c r="AT19" s="1379"/>
      <c r="AU19" s="1379"/>
      <c r="AV19" s="1379"/>
    </row>
    <row r="20" spans="1:48" ht="9" customHeight="1">
      <c r="A20" s="1379"/>
      <c r="B20" s="2030"/>
      <c r="C20" s="2030"/>
      <c r="D20" s="2030"/>
      <c r="E20" s="2030"/>
      <c r="F20" s="2030"/>
      <c r="G20" s="2030"/>
      <c r="H20" s="2030"/>
      <c r="I20" s="2030"/>
      <c r="J20" s="2030"/>
      <c r="K20" s="2030"/>
      <c r="L20" s="2030"/>
      <c r="M20" s="2029"/>
      <c r="N20" s="2029"/>
      <c r="O20" s="2029"/>
      <c r="P20" s="2029"/>
      <c r="Q20" s="2029"/>
      <c r="R20" s="2029"/>
      <c r="S20" s="2029"/>
      <c r="T20" s="1379"/>
      <c r="U20" s="1379"/>
      <c r="V20" s="1379"/>
      <c r="W20" s="1379"/>
      <c r="X20" s="1379"/>
      <c r="Y20" s="1379"/>
      <c r="Z20" s="1379"/>
      <c r="AA20" s="1379"/>
      <c r="AB20" s="1379"/>
      <c r="AC20" s="1379"/>
      <c r="AD20" s="1379"/>
      <c r="AE20" s="1379"/>
      <c r="AF20" s="1379"/>
      <c r="AG20" s="1379"/>
      <c r="AH20" s="1379"/>
      <c r="AI20" s="1379"/>
      <c r="AJ20" s="1379"/>
      <c r="AK20" s="1379"/>
      <c r="AL20" s="1379"/>
      <c r="AM20" s="1379"/>
      <c r="AN20" s="1379"/>
      <c r="AO20" s="1379"/>
      <c r="AP20" s="1379"/>
      <c r="AQ20" s="1379"/>
      <c r="AR20" s="1379"/>
      <c r="AS20" s="1379"/>
      <c r="AT20" s="1379"/>
      <c r="AU20" s="1379"/>
      <c r="AV20" s="1379"/>
    </row>
    <row r="21" spans="1:48" ht="15.75" customHeight="1">
      <c r="A21" s="1379"/>
      <c r="B21" s="2384">
        <f>+IF(+ROUND(O21,2)=0,0,+IF($K$4="ДА","Нетното салдо на с/ка 7500 в БЮДЖЕТ не е равно на нула! Неравнението е в:",0))</f>
        <v>0</v>
      </c>
      <c r="C21" s="2384"/>
      <c r="D21" s="2384"/>
      <c r="E21" s="2384"/>
      <c r="F21" s="2384"/>
      <c r="G21" s="2384"/>
      <c r="H21" s="2384"/>
      <c r="I21" s="2384"/>
      <c r="J21" s="2384"/>
      <c r="K21" s="2384"/>
      <c r="L21" s="2384"/>
      <c r="M21" s="2026"/>
      <c r="N21" s="2027">
        <f t="shared" si="0"/>
        <v>0</v>
      </c>
      <c r="O21" s="2028">
        <f>+IF($K$4="ДА",+ROUND('TRIAL-BALANCE'!S739,2)-ROUND('TRIAL-BALANCE'!T739,2),0)</f>
        <v>0</v>
      </c>
      <c r="P21" s="2028"/>
      <c r="Q21" s="2026"/>
      <c r="R21" s="2378">
        <f>+IF('TRIAL-BALANCE'!AV13=0,0,"Грешни КРАЙНИ салда в БЮДЖЕТ")</f>
        <v>0</v>
      </c>
      <c r="S21" s="2378"/>
      <c r="T21" s="1379"/>
      <c r="U21" s="1379"/>
      <c r="V21" s="1379"/>
      <c r="W21" s="1379"/>
      <c r="X21" s="1379"/>
      <c r="Y21" s="1379"/>
      <c r="Z21" s="1379"/>
      <c r="AA21" s="1379"/>
      <c r="AB21" s="1379"/>
      <c r="AC21" s="1379"/>
      <c r="AD21" s="1379"/>
      <c r="AE21" s="1379"/>
      <c r="AF21" s="1379"/>
      <c r="AG21" s="1379"/>
      <c r="AH21" s="1379"/>
      <c r="AI21" s="1379"/>
      <c r="AJ21" s="1379"/>
      <c r="AK21" s="1379"/>
      <c r="AL21" s="1379"/>
      <c r="AM21" s="1379"/>
      <c r="AN21" s="1379"/>
      <c r="AO21" s="1379"/>
      <c r="AP21" s="1379"/>
      <c r="AQ21" s="1379"/>
      <c r="AR21" s="1379"/>
      <c r="AS21" s="1379"/>
      <c r="AT21" s="1379"/>
      <c r="AU21" s="1379"/>
      <c r="AV21" s="1379"/>
    </row>
    <row r="22" spans="1:48" ht="15.75" customHeight="1">
      <c r="A22" s="1379"/>
      <c r="B22" s="2383">
        <f>+IF(+ROUND(O22,2)=0,0,+IF($K$4="ДА","Нетното салдо на с/ка 7500 в СЕС не е равно на нула! Неравнението е в:",0))</f>
        <v>0</v>
      </c>
      <c r="C22" s="2383"/>
      <c r="D22" s="2383"/>
      <c r="E22" s="2383"/>
      <c r="F22" s="2383"/>
      <c r="G22" s="2383"/>
      <c r="H22" s="2383"/>
      <c r="I22" s="2383"/>
      <c r="J22" s="2383"/>
      <c r="K22" s="2383"/>
      <c r="L22" s="2383"/>
      <c r="M22" s="2026"/>
      <c r="N22" s="2027">
        <f t="shared" si="0"/>
        <v>0</v>
      </c>
      <c r="O22" s="2028">
        <f>+IF($K$4="ДА",+ROUND('TRIAL-BALANCE'!Z739,2)-ROUND('TRIAL-BALANCE'!AA739,2),0)</f>
        <v>0</v>
      </c>
      <c r="P22" s="2028"/>
      <c r="Q22" s="2026"/>
      <c r="R22" s="2378">
        <f>+IF('TRIAL-BALANCE'!AW13=0,0,"Грешни КРАЙНИ салда в СЕС")</f>
        <v>0</v>
      </c>
      <c r="S22" s="2378"/>
      <c r="T22" s="1379"/>
      <c r="U22" s="1379"/>
      <c r="V22" s="1379"/>
      <c r="W22" s="1379"/>
      <c r="X22" s="1379"/>
      <c r="Y22" s="1379"/>
      <c r="Z22" s="1379"/>
      <c r="AA22" s="1379"/>
      <c r="AB22" s="1379"/>
      <c r="AC22" s="1379"/>
      <c r="AD22" s="1379"/>
      <c r="AE22" s="1379"/>
      <c r="AF22" s="1379"/>
      <c r="AG22" s="1379"/>
      <c r="AH22" s="1379"/>
      <c r="AI22" s="1379"/>
      <c r="AJ22" s="1379"/>
      <c r="AK22" s="1379"/>
      <c r="AL22" s="1379"/>
      <c r="AM22" s="1379"/>
      <c r="AN22" s="1379"/>
      <c r="AO22" s="1379"/>
      <c r="AP22" s="1379"/>
      <c r="AQ22" s="1379"/>
      <c r="AR22" s="1379"/>
      <c r="AS22" s="1379"/>
      <c r="AT22" s="1379"/>
      <c r="AU22" s="1379"/>
      <c r="AV22" s="1379"/>
    </row>
    <row r="23" spans="1:48" ht="15.75" customHeight="1">
      <c r="A23" s="1379"/>
      <c r="B23" s="2383">
        <f>+IF(+ROUND(O23,2)=0,0,+IF($K$4="ДА","Нетното салдо на с/ка 7500 в ДСД не е равно на нула! Неравнението е в:",0))</f>
        <v>0</v>
      </c>
      <c r="C23" s="2383"/>
      <c r="D23" s="2383"/>
      <c r="E23" s="2383"/>
      <c r="F23" s="2383"/>
      <c r="G23" s="2383"/>
      <c r="H23" s="2383"/>
      <c r="I23" s="2383"/>
      <c r="J23" s="2383"/>
      <c r="K23" s="2383"/>
      <c r="L23" s="2383"/>
      <c r="M23" s="2026"/>
      <c r="N23" s="2027">
        <f t="shared" si="0"/>
        <v>0</v>
      </c>
      <c r="O23" s="2028">
        <f>+IF($K$4="ДА",+ROUND('TRIAL-BALANCE'!AG739,2)-ROUND('TRIAL-BALANCE'!AH739,2),0)</f>
        <v>0</v>
      </c>
      <c r="P23" s="2028"/>
      <c r="Q23" s="2026"/>
      <c r="R23" s="2377">
        <f>+IF(+'NF-KSF-TRIAL-BAL-2020'!V13=0,0,"Грешни КРАЙНИ салда в СЕС - NF-CSF")</f>
        <v>0</v>
      </c>
      <c r="S23" s="2377"/>
      <c r="T23" s="1379"/>
      <c r="U23" s="1379"/>
      <c r="V23" s="1379"/>
      <c r="W23" s="1379"/>
      <c r="X23" s="1379"/>
      <c r="Y23" s="1379"/>
      <c r="Z23" s="1379"/>
      <c r="AA23" s="1379"/>
      <c r="AB23" s="1379"/>
      <c r="AC23" s="1379"/>
      <c r="AD23" s="1379"/>
      <c r="AE23" s="1379"/>
      <c r="AF23" s="1379"/>
      <c r="AG23" s="1379"/>
      <c r="AH23" s="1379"/>
      <c r="AI23" s="1379"/>
      <c r="AJ23" s="1379"/>
      <c r="AK23" s="1379"/>
      <c r="AL23" s="1379"/>
      <c r="AM23" s="1379"/>
      <c r="AN23" s="1379"/>
      <c r="AO23" s="1379"/>
      <c r="AP23" s="1379"/>
      <c r="AQ23" s="1379"/>
      <c r="AR23" s="1379"/>
      <c r="AS23" s="1379"/>
      <c r="AT23" s="1379"/>
      <c r="AU23" s="1379"/>
      <c r="AV23" s="1379"/>
    </row>
    <row r="24" spans="1:48" ht="4.5" customHeight="1">
      <c r="A24" s="1379"/>
      <c r="B24" s="2030"/>
      <c r="C24" s="2030"/>
      <c r="D24" s="2030"/>
      <c r="E24" s="2030"/>
      <c r="F24" s="2030"/>
      <c r="G24" s="2030"/>
      <c r="H24" s="2030"/>
      <c r="I24" s="2030"/>
      <c r="J24" s="2030"/>
      <c r="K24" s="2030"/>
      <c r="L24" s="2030"/>
      <c r="M24" s="2029"/>
      <c r="N24" s="2029"/>
      <c r="O24" s="2029"/>
      <c r="P24" s="2029"/>
      <c r="Q24" s="2029"/>
      <c r="R24" s="2379">
        <f>+IF(AND(R23=0,R25=0),0," ")</f>
        <v>0</v>
      </c>
      <c r="S24" s="2379"/>
      <c r="T24" s="1379"/>
      <c r="U24" s="1379"/>
      <c r="V24" s="1379"/>
      <c r="W24" s="1379"/>
      <c r="X24" s="1379"/>
      <c r="Y24" s="1379"/>
      <c r="Z24" s="1379"/>
      <c r="AA24" s="1379"/>
      <c r="AB24" s="1379"/>
      <c r="AC24" s="1379"/>
      <c r="AD24" s="1379"/>
      <c r="AE24" s="1379"/>
      <c r="AF24" s="1379"/>
      <c r="AG24" s="1379"/>
      <c r="AH24" s="1379"/>
      <c r="AI24" s="1379"/>
      <c r="AJ24" s="1379"/>
      <c r="AK24" s="1379"/>
      <c r="AL24" s="1379"/>
      <c r="AM24" s="1379"/>
      <c r="AN24" s="1379"/>
      <c r="AO24" s="1379"/>
      <c r="AP24" s="1379"/>
      <c r="AQ24" s="1379"/>
      <c r="AR24" s="1379"/>
      <c r="AS24" s="1379"/>
      <c r="AT24" s="1379"/>
      <c r="AU24" s="1379"/>
      <c r="AV24" s="1379"/>
    </row>
    <row r="25" spans="1:48" ht="15.75" customHeight="1">
      <c r="A25" s="1379"/>
      <c r="B25" s="2384" t="str">
        <f>+IF(+ROUND(O25,2)=0,0,+IF($K$4="ДА","Нетното салдо на с/ка 7501 в БЮДЖЕТ не е равно на нула! Неравнението е в:",0))</f>
        <v>Нетното салдо на с/ка 7501 в БЮДЖЕТ не е равно на нула! Неравнението е в:</v>
      </c>
      <c r="C25" s="2384"/>
      <c r="D25" s="2384"/>
      <c r="E25" s="2384"/>
      <c r="F25" s="2384"/>
      <c r="G25" s="2384"/>
      <c r="H25" s="2384"/>
      <c r="I25" s="2384"/>
      <c r="J25" s="2384"/>
      <c r="K25" s="2384"/>
      <c r="L25" s="2384"/>
      <c r="M25" s="2026"/>
      <c r="N25" s="2027" t="str">
        <f t="shared" si="0"/>
        <v>крайното салдо -</v>
      </c>
      <c r="O25" s="2028">
        <f>+IF($K$4="ДА",+ROUND('TRIAL-BALANCE'!S740,2)-ROUND('TRIAL-BALANCE'!T740,2),0)</f>
        <v>-825597.18</v>
      </c>
      <c r="P25" s="2028"/>
      <c r="Q25" s="2127"/>
      <c r="R25" s="2377">
        <f>+IF(+'RA-TRIAL-BAL-2020'!V13=0,0,"Грешни КРАЙНИ салда в СЕС - RA")</f>
        <v>0</v>
      </c>
      <c r="S25" s="2377"/>
      <c r="T25" s="1379"/>
      <c r="U25" s="1379"/>
      <c r="V25" s="1379"/>
      <c r="W25" s="1379"/>
      <c r="X25" s="1379"/>
      <c r="Y25" s="1379"/>
      <c r="Z25" s="1379"/>
      <c r="AA25" s="1379"/>
      <c r="AB25" s="1379"/>
      <c r="AC25" s="1379"/>
      <c r="AD25" s="1379"/>
      <c r="AE25" s="1379"/>
      <c r="AF25" s="1379"/>
      <c r="AG25" s="1379"/>
      <c r="AH25" s="1379"/>
      <c r="AI25" s="1379"/>
      <c r="AJ25" s="1379"/>
      <c r="AK25" s="1379"/>
      <c r="AL25" s="1379"/>
      <c r="AM25" s="1379"/>
      <c r="AN25" s="1379"/>
      <c r="AO25" s="1379"/>
      <c r="AP25" s="1379"/>
      <c r="AQ25" s="1379"/>
      <c r="AR25" s="1379"/>
      <c r="AS25" s="1379"/>
      <c r="AT25" s="1379"/>
      <c r="AU25" s="1379"/>
      <c r="AV25" s="1379"/>
    </row>
    <row r="26" spans="1:48" ht="15.75" customHeight="1">
      <c r="A26" s="1379"/>
      <c r="B26" s="2383">
        <f>+IF(+ROUND(O26,2)=0,0,+IF($K$4="ДА","Нетното салдо на с/ка 7501 в СЕС не е равно на нула! Неравнението е в:",0))</f>
        <v>0</v>
      </c>
      <c r="C26" s="2383"/>
      <c r="D26" s="2383"/>
      <c r="E26" s="2383"/>
      <c r="F26" s="2383"/>
      <c r="G26" s="2383"/>
      <c r="H26" s="2383"/>
      <c r="I26" s="2383"/>
      <c r="J26" s="2383"/>
      <c r="K26" s="2383"/>
      <c r="L26" s="2383"/>
      <c r="M26" s="2026"/>
      <c r="N26" s="2027">
        <f t="shared" si="0"/>
        <v>0</v>
      </c>
      <c r="O26" s="2028">
        <f>+IF($K$4="ДА",+ROUND('TRIAL-BALANCE'!Z740,2)-ROUND('TRIAL-BALANCE'!AA740,2),0)</f>
        <v>0</v>
      </c>
      <c r="P26" s="2028"/>
      <c r="Q26" s="2112"/>
      <c r="R26" s="2377">
        <f>+IF(+'DES-TRIAL-BAL-2020'!V13=0,0,"Грешни КРАЙНИ салда в СЕС - DES")</f>
        <v>0</v>
      </c>
      <c r="S26" s="2377"/>
      <c r="T26" s="1379"/>
      <c r="U26" s="1379"/>
      <c r="V26" s="1379"/>
      <c r="W26" s="1379"/>
      <c r="X26" s="1379"/>
      <c r="Y26" s="1379"/>
      <c r="Z26" s="1379"/>
      <c r="AA26" s="1379"/>
      <c r="AB26" s="1379"/>
      <c r="AC26" s="1379"/>
      <c r="AD26" s="1379"/>
      <c r="AE26" s="1379"/>
      <c r="AF26" s="1379"/>
      <c r="AG26" s="1379"/>
      <c r="AH26" s="1379"/>
      <c r="AI26" s="1379"/>
      <c r="AJ26" s="1379"/>
      <c r="AK26" s="1379"/>
      <c r="AL26" s="1379"/>
      <c r="AM26" s="1379"/>
      <c r="AN26" s="1379"/>
      <c r="AO26" s="1379"/>
      <c r="AP26" s="1379"/>
      <c r="AQ26" s="1379"/>
      <c r="AR26" s="1379"/>
      <c r="AS26" s="1379"/>
      <c r="AT26" s="1379"/>
      <c r="AU26" s="1379"/>
      <c r="AV26" s="1379"/>
    </row>
    <row r="27" spans="1:48" ht="15.75">
      <c r="A27" s="1379"/>
      <c r="B27" s="2383">
        <f>+IF(+ROUND(O27,2)=0,0,+IF($K$4="ДА","Нетното салдо на с/ка 7501 в ДСД не е равно на нула! Неравнението е в:",0))</f>
        <v>0</v>
      </c>
      <c r="C27" s="2383"/>
      <c r="D27" s="2383"/>
      <c r="E27" s="2383"/>
      <c r="F27" s="2383"/>
      <c r="G27" s="2383"/>
      <c r="H27" s="2383"/>
      <c r="I27" s="2383"/>
      <c r="J27" s="2383"/>
      <c r="K27" s="2383"/>
      <c r="L27" s="2383"/>
      <c r="M27" s="2026"/>
      <c r="N27" s="2027">
        <f t="shared" si="0"/>
        <v>0</v>
      </c>
      <c r="O27" s="2028">
        <f>+IF($K$4="ДА",+ROUND('TRIAL-BALANCE'!AG740,2)-ROUND('TRIAL-BALANCE'!AH740,2),0)</f>
        <v>0</v>
      </c>
      <c r="P27" s="2028"/>
      <c r="Q27" s="2111"/>
      <c r="R27" s="2377">
        <f>+IF(+'DMP-TRIAL-BAL-2020'!V13=0,0,"Грешни КРАЙНИ салда в СЕС - DMP")</f>
        <v>0</v>
      </c>
      <c r="S27" s="2377"/>
      <c r="T27" s="1379"/>
      <c r="U27" s="1379"/>
      <c r="V27" s="1379"/>
      <c r="W27" s="1379"/>
      <c r="X27" s="1379"/>
      <c r="Y27" s="1379"/>
      <c r="Z27" s="1379"/>
      <c r="AA27" s="1379"/>
      <c r="AB27" s="1379"/>
      <c r="AC27" s="1379"/>
      <c r="AD27" s="1379"/>
      <c r="AE27" s="1379"/>
      <c r="AF27" s="1379"/>
      <c r="AG27" s="1379"/>
      <c r="AH27" s="1379"/>
      <c r="AI27" s="1379"/>
      <c r="AJ27" s="1379"/>
      <c r="AK27" s="1379"/>
      <c r="AL27" s="1379"/>
      <c r="AM27" s="1379"/>
      <c r="AN27" s="1379"/>
      <c r="AO27" s="1379"/>
      <c r="AP27" s="1379"/>
      <c r="AQ27" s="1379"/>
      <c r="AR27" s="1379"/>
      <c r="AS27" s="1379"/>
      <c r="AT27" s="1379"/>
      <c r="AU27" s="1379"/>
      <c r="AV27" s="1379"/>
    </row>
    <row r="28" spans="1:48" ht="4.5" customHeight="1">
      <c r="A28" s="1379"/>
      <c r="B28" s="2030"/>
      <c r="C28" s="2030"/>
      <c r="D28" s="2030"/>
      <c r="E28" s="2030"/>
      <c r="F28" s="2030"/>
      <c r="G28" s="2030"/>
      <c r="H28" s="2030"/>
      <c r="I28" s="2030"/>
      <c r="J28" s="2030"/>
      <c r="K28" s="2030"/>
      <c r="L28" s="2030"/>
      <c r="M28" s="2029"/>
      <c r="N28" s="2029"/>
      <c r="O28" s="2029"/>
      <c r="P28" s="2029"/>
      <c r="Q28" s="2029"/>
      <c r="R28" s="2029"/>
      <c r="S28" s="2029"/>
      <c r="T28" s="1379"/>
      <c r="U28" s="1379"/>
      <c r="V28" s="1379"/>
      <c r="W28" s="1379"/>
      <c r="X28" s="1379"/>
      <c r="Y28" s="1379"/>
      <c r="Z28" s="1379"/>
      <c r="AA28" s="1379"/>
      <c r="AB28" s="1379"/>
      <c r="AC28" s="1379"/>
      <c r="AD28" s="1379"/>
      <c r="AE28" s="1379"/>
      <c r="AF28" s="1379"/>
      <c r="AG28" s="1379"/>
      <c r="AH28" s="1379"/>
      <c r="AI28" s="1379"/>
      <c r="AJ28" s="1379"/>
      <c r="AK28" s="1379"/>
      <c r="AL28" s="1379"/>
      <c r="AM28" s="1379"/>
      <c r="AN28" s="1379"/>
      <c r="AO28" s="1379"/>
      <c r="AP28" s="1379"/>
      <c r="AQ28" s="1379"/>
      <c r="AR28" s="1379"/>
      <c r="AS28" s="1379"/>
      <c r="AT28" s="1379"/>
      <c r="AU28" s="1379"/>
      <c r="AV28" s="1379"/>
    </row>
    <row r="29" spans="1:48" ht="15.75">
      <c r="A29" s="1379"/>
      <c r="B29" s="2384">
        <f>+IF(+ROUND(O29,2)=0,0,+IF($K$4="ДА","Нетното салдо на с/ка 7502 в БЮДЖЕТ не е равно на нула! Неравнението е в:",0))</f>
        <v>0</v>
      </c>
      <c r="C29" s="2384"/>
      <c r="D29" s="2384"/>
      <c r="E29" s="2384"/>
      <c r="F29" s="2384"/>
      <c r="G29" s="2384"/>
      <c r="H29" s="2384"/>
      <c r="I29" s="2384"/>
      <c r="J29" s="2384"/>
      <c r="K29" s="2384"/>
      <c r="L29" s="2384"/>
      <c r="M29" s="2026"/>
      <c r="N29" s="2027">
        <f t="shared" si="0"/>
        <v>0</v>
      </c>
      <c r="O29" s="2028">
        <f>+IF($K$4="ДА",+ROUND('TRIAL-BALANCE'!S741,2)-ROUND('TRIAL-BALANCE'!T741,2),0)</f>
        <v>0</v>
      </c>
      <c r="P29" s="2028"/>
      <c r="Q29" s="2026"/>
      <c r="R29" s="2378">
        <f>+IF('TRIAL-BALANCE'!AX13=0,0,"Грешни КРАЙНИ салда в ДСД")</f>
        <v>0</v>
      </c>
      <c r="S29" s="2378"/>
      <c r="T29" s="1379"/>
      <c r="U29" s="1379"/>
      <c r="V29" s="1379"/>
      <c r="W29" s="1379"/>
      <c r="X29" s="1379"/>
      <c r="Y29" s="1379"/>
      <c r="Z29" s="1379"/>
      <c r="AA29" s="1379"/>
      <c r="AB29" s="1379"/>
      <c r="AC29" s="1379"/>
      <c r="AD29" s="1379"/>
      <c r="AE29" s="1379"/>
      <c r="AF29" s="1379"/>
      <c r="AG29" s="1379"/>
      <c r="AH29" s="1379"/>
      <c r="AI29" s="1379"/>
      <c r="AJ29" s="1379"/>
      <c r="AK29" s="1379"/>
      <c r="AL29" s="1379"/>
      <c r="AM29" s="1379"/>
      <c r="AN29" s="1379"/>
      <c r="AO29" s="1379"/>
      <c r="AP29" s="1379"/>
      <c r="AQ29" s="1379"/>
      <c r="AR29" s="1379"/>
      <c r="AS29" s="1379"/>
      <c r="AT29" s="1379"/>
      <c r="AU29" s="1379"/>
      <c r="AV29" s="1379"/>
    </row>
    <row r="30" spans="1:48" ht="15.75">
      <c r="A30" s="1379"/>
      <c r="B30" s="2383">
        <f>+IF(+ROUND(O30,2)=0,0,+IF($K$4="ДА","Нетното салдо на с/ка 7502 в СЕС не е равно на нула! Неравнението е в:",0))</f>
        <v>0</v>
      </c>
      <c r="C30" s="2383"/>
      <c r="D30" s="2383"/>
      <c r="E30" s="2383"/>
      <c r="F30" s="2383"/>
      <c r="G30" s="2383"/>
      <c r="H30" s="2383"/>
      <c r="I30" s="2383"/>
      <c r="J30" s="2383"/>
      <c r="K30" s="2383"/>
      <c r="L30" s="2383"/>
      <c r="M30" s="2026"/>
      <c r="N30" s="2027">
        <f t="shared" si="0"/>
        <v>0</v>
      </c>
      <c r="O30" s="2028">
        <f>+IF($K$4="ДА",+ROUND('TRIAL-BALANCE'!Z741,2)-ROUND('TRIAL-BALANCE'!AA741,2),0)</f>
        <v>0</v>
      </c>
      <c r="P30" s="2028"/>
      <c r="Q30" s="2026"/>
      <c r="R30" s="2127"/>
      <c r="S30" s="2029"/>
      <c r="T30" s="1379"/>
      <c r="U30" s="1379"/>
      <c r="V30" s="1379"/>
      <c r="W30" s="1379"/>
      <c r="X30" s="1379"/>
      <c r="Y30" s="1379"/>
      <c r="Z30" s="1379"/>
      <c r="AA30" s="1379"/>
      <c r="AB30" s="1379"/>
      <c r="AC30" s="1379"/>
      <c r="AD30" s="1379"/>
      <c r="AE30" s="1379"/>
      <c r="AF30" s="1379"/>
      <c r="AG30" s="1379"/>
      <c r="AH30" s="1379"/>
      <c r="AI30" s="1379"/>
      <c r="AJ30" s="1379"/>
      <c r="AK30" s="1379"/>
      <c r="AL30" s="1379"/>
      <c r="AM30" s="1379"/>
      <c r="AN30" s="1379"/>
      <c r="AO30" s="1379"/>
      <c r="AP30" s="1379"/>
      <c r="AQ30" s="1379"/>
      <c r="AR30" s="1379"/>
      <c r="AS30" s="1379"/>
      <c r="AT30" s="1379"/>
      <c r="AU30" s="1379"/>
      <c r="AV30" s="1379"/>
    </row>
    <row r="31" spans="1:48" ht="15.75">
      <c r="A31" s="1379"/>
      <c r="B31" s="2383">
        <f>+IF(+ROUND(O31,2)=0,0,+IF($K$4="ДА","Нетното салдо на с/ка 7502 в ДСД не е равно на нула! Неравнението е в:",0))</f>
        <v>0</v>
      </c>
      <c r="C31" s="2383"/>
      <c r="D31" s="2383"/>
      <c r="E31" s="2383"/>
      <c r="F31" s="2383"/>
      <c r="G31" s="2383"/>
      <c r="H31" s="2383"/>
      <c r="I31" s="2383"/>
      <c r="J31" s="2383"/>
      <c r="K31" s="2383"/>
      <c r="L31" s="2383"/>
      <c r="M31" s="2026"/>
      <c r="N31" s="2027">
        <f t="shared" si="0"/>
        <v>0</v>
      </c>
      <c r="O31" s="2028">
        <f>+IF($K$4="ДА",+ROUND('TRIAL-BALANCE'!AG741,2)-ROUND('TRIAL-BALANCE'!AH741,2),0)</f>
        <v>0</v>
      </c>
      <c r="P31" s="2028"/>
      <c r="Q31" s="2026"/>
      <c r="R31" s="2378">
        <f>IF(ROUND('TRIAL-BALANCE'!O13,2)=ROUND('TRIAL-BALANCE'!P13,2),0,"Грешни НАЧАЛНИ салда в БЮДЖЕТ")</f>
        <v>0</v>
      </c>
      <c r="S31" s="2378"/>
      <c r="T31" s="1379"/>
      <c r="U31" s="1379"/>
      <c r="V31" s="1379"/>
      <c r="W31" s="1379"/>
      <c r="X31" s="1379"/>
      <c r="Y31" s="1379"/>
      <c r="Z31" s="1379"/>
      <c r="AA31" s="1379"/>
      <c r="AB31" s="1379"/>
      <c r="AC31" s="1379"/>
      <c r="AD31" s="1379"/>
      <c r="AE31" s="1379"/>
      <c r="AF31" s="1379"/>
      <c r="AG31" s="1379"/>
      <c r="AH31" s="1379"/>
      <c r="AI31" s="1379"/>
      <c r="AJ31" s="1379"/>
      <c r="AK31" s="1379"/>
      <c r="AL31" s="1379"/>
      <c r="AM31" s="1379"/>
      <c r="AN31" s="1379"/>
      <c r="AO31" s="1379"/>
      <c r="AP31" s="1379"/>
      <c r="AQ31" s="1379"/>
      <c r="AR31" s="1379"/>
      <c r="AS31" s="1379"/>
      <c r="AT31" s="1379"/>
      <c r="AU31" s="1379"/>
      <c r="AV31" s="1379"/>
    </row>
    <row r="32" spans="1:48" ht="9" customHeight="1">
      <c r="A32" s="1379"/>
      <c r="B32" s="2030"/>
      <c r="C32" s="2030"/>
      <c r="D32" s="2030"/>
      <c r="E32" s="2030"/>
      <c r="F32" s="2030"/>
      <c r="G32" s="2030"/>
      <c r="H32" s="2030"/>
      <c r="I32" s="2030"/>
      <c r="J32" s="2030"/>
      <c r="K32" s="2030"/>
      <c r="L32" s="2030"/>
      <c r="M32" s="2029"/>
      <c r="N32" s="2029"/>
      <c r="O32" s="2029"/>
      <c r="P32" s="2029"/>
      <c r="Q32" s="2029"/>
      <c r="R32" s="2029"/>
      <c r="S32" s="2029"/>
      <c r="T32" s="1379"/>
      <c r="U32" s="1379"/>
      <c r="V32" s="1379"/>
      <c r="W32" s="1379"/>
      <c r="X32" s="1379"/>
      <c r="Y32" s="1379"/>
      <c r="Z32" s="1379"/>
      <c r="AA32" s="1379"/>
      <c r="AB32" s="1379"/>
      <c r="AC32" s="1379"/>
      <c r="AD32" s="1379"/>
      <c r="AE32" s="1379"/>
      <c r="AF32" s="1379"/>
      <c r="AG32" s="1379"/>
      <c r="AH32" s="1379"/>
      <c r="AI32" s="1379"/>
      <c r="AJ32" s="1379"/>
      <c r="AK32" s="1379"/>
      <c r="AL32" s="1379"/>
      <c r="AM32" s="1379"/>
      <c r="AN32" s="1379"/>
      <c r="AO32" s="1379"/>
      <c r="AP32" s="1379"/>
      <c r="AQ32" s="1379"/>
      <c r="AR32" s="1379"/>
      <c r="AS32" s="1379"/>
      <c r="AT32" s="1379"/>
      <c r="AU32" s="1379"/>
      <c r="AV32" s="1379"/>
    </row>
    <row r="33" spans="1:48" ht="15.75">
      <c r="A33" s="1379"/>
      <c r="B33" s="2384">
        <f>+IF(+ROUND(O33,2)=0,0,+IF($K$4="ДА","Нетното салдо на с/ка 7600 в БЮДЖЕТ не е равно на нула! Неравнението е в:",0))</f>
        <v>0</v>
      </c>
      <c r="C33" s="2384"/>
      <c r="D33" s="2384"/>
      <c r="E33" s="2384"/>
      <c r="F33" s="2384"/>
      <c r="G33" s="2384"/>
      <c r="H33" s="2384"/>
      <c r="I33" s="2384"/>
      <c r="J33" s="2384"/>
      <c r="K33" s="2384"/>
      <c r="L33" s="2384"/>
      <c r="M33" s="2026"/>
      <c r="N33" s="2027">
        <f t="shared" si="0"/>
        <v>0</v>
      </c>
      <c r="O33" s="2028">
        <f>+IF($K$4="ДА",+ROUND('TRIAL-BALANCE'!S759,2)-ROUND('TRIAL-BALANCE'!T759,2),0)</f>
        <v>0</v>
      </c>
      <c r="P33" s="2028"/>
      <c r="Q33" s="2026"/>
      <c r="R33" s="2378">
        <f>IF(ROUND('TRIAL-BALANCE'!V13,2)=ROUND('TRIAL-BALANCE'!W13,2),0,"Грешни НАЧАЛНИ салда в СЕС")</f>
        <v>0</v>
      </c>
      <c r="S33" s="2378"/>
      <c r="T33" s="1379"/>
      <c r="U33" s="1379"/>
      <c r="V33" s="1379"/>
      <c r="W33" s="1379"/>
      <c r="X33" s="1379"/>
      <c r="Y33" s="1379"/>
      <c r="Z33" s="1379"/>
      <c r="AA33" s="1379"/>
      <c r="AB33" s="1379"/>
      <c r="AC33" s="1379"/>
      <c r="AD33" s="1379"/>
      <c r="AE33" s="1379"/>
      <c r="AF33" s="1379"/>
      <c r="AG33" s="1379"/>
      <c r="AH33" s="1379"/>
      <c r="AI33" s="1379"/>
      <c r="AJ33" s="1379"/>
      <c r="AK33" s="1379"/>
      <c r="AL33" s="1379"/>
      <c r="AM33" s="1379"/>
      <c r="AN33" s="1379"/>
      <c r="AO33" s="1379"/>
      <c r="AP33" s="1379"/>
      <c r="AQ33" s="1379"/>
      <c r="AR33" s="1379"/>
      <c r="AS33" s="1379"/>
      <c r="AT33" s="1379"/>
      <c r="AU33" s="1379"/>
      <c r="AV33" s="1379"/>
    </row>
    <row r="34" spans="1:48" ht="15.75">
      <c r="A34" s="1379"/>
      <c r="B34" s="2383">
        <f>+IF(+ROUND(O34,2)=0,0,+IF($K$4="ДА","Нетното салдо на с/ка 7600 в СЕС не е равно на нула! Неравнението е в:",0))</f>
        <v>0</v>
      </c>
      <c r="C34" s="2383"/>
      <c r="D34" s="2383"/>
      <c r="E34" s="2383"/>
      <c r="F34" s="2383"/>
      <c r="G34" s="2383"/>
      <c r="H34" s="2383"/>
      <c r="I34" s="2383"/>
      <c r="J34" s="2383"/>
      <c r="K34" s="2383"/>
      <c r="L34" s="2383"/>
      <c r="M34" s="2026"/>
      <c r="N34" s="2027">
        <f t="shared" si="0"/>
        <v>0</v>
      </c>
      <c r="O34" s="2028">
        <f>+IF($K$4="ДА",+ROUND('TRIAL-BALANCE'!Z759,2)-ROUND('TRIAL-BALANCE'!AA759,2),0)</f>
        <v>0</v>
      </c>
      <c r="P34" s="2028"/>
      <c r="Q34" s="2112"/>
      <c r="R34" s="2377">
        <f>+IF(ROUND('NF-KSF-TRIAL-BAL-2020'!O13,2)=ROUND('NF-KSF-TRIAL-BAL-2020'!P13,2),0,"Грешни НАЧАЛНИ салда в СЕС - NF-CSF")</f>
        <v>0</v>
      </c>
      <c r="S34" s="2377"/>
      <c r="T34" s="1379"/>
      <c r="U34" s="1379"/>
      <c r="V34" s="1379"/>
      <c r="W34" s="1379"/>
      <c r="X34" s="1379"/>
      <c r="Y34" s="1379"/>
      <c r="Z34" s="1379"/>
      <c r="AA34" s="1379"/>
      <c r="AB34" s="1379"/>
      <c r="AC34" s="1379"/>
      <c r="AD34" s="1379"/>
      <c r="AE34" s="1379"/>
      <c r="AF34" s="1379"/>
      <c r="AG34" s="1379"/>
      <c r="AH34" s="1379"/>
      <c r="AI34" s="1379"/>
      <c r="AJ34" s="1379"/>
      <c r="AK34" s="1379"/>
      <c r="AL34" s="1379"/>
      <c r="AM34" s="1379"/>
      <c r="AN34" s="1379"/>
      <c r="AO34" s="1379"/>
      <c r="AP34" s="1379"/>
      <c r="AQ34" s="1379"/>
      <c r="AR34" s="1379"/>
      <c r="AS34" s="1379"/>
      <c r="AT34" s="1379"/>
      <c r="AU34" s="1379"/>
      <c r="AV34" s="1379"/>
    </row>
    <row r="35" spans="1:48" ht="15.75">
      <c r="A35" s="1379"/>
      <c r="B35" s="2383">
        <f>+IF(+ROUND(O35,2)=0,0,+IF($K$4="ДА","Нетното салдо на с/ка 7600 в ДСД не е равно на нула! Неравнението е в:",0))</f>
        <v>0</v>
      </c>
      <c r="C35" s="2383"/>
      <c r="D35" s="2383"/>
      <c r="E35" s="2383"/>
      <c r="F35" s="2383"/>
      <c r="G35" s="2383"/>
      <c r="H35" s="2383"/>
      <c r="I35" s="2383"/>
      <c r="J35" s="2383"/>
      <c r="K35" s="2383"/>
      <c r="L35" s="2383"/>
      <c r="M35" s="2026"/>
      <c r="N35" s="2027">
        <f t="shared" si="0"/>
        <v>0</v>
      </c>
      <c r="O35" s="2028">
        <f>+IF($K$4="ДА",+ROUND('TRIAL-BALANCE'!AG759,2)-ROUND('TRIAL-BALANCE'!AH759,2),0)</f>
        <v>0</v>
      </c>
      <c r="P35" s="2028"/>
      <c r="Q35" s="2111"/>
      <c r="R35" s="2377">
        <f>+IF(ROUND('RA-TRIAL-BAL-2020'!O13,2)=ROUND('RA-TRIAL-BAL-2020'!P13,2),0,"Грешни НАЧАЛНИ салда в СЕС - RA")</f>
        <v>0</v>
      </c>
      <c r="S35" s="2377"/>
      <c r="T35" s="1379"/>
      <c r="U35" s="1379"/>
      <c r="V35" s="1379"/>
      <c r="W35" s="1379"/>
      <c r="X35" s="1379"/>
      <c r="Y35" s="1379"/>
      <c r="Z35" s="1379"/>
      <c r="AA35" s="1379"/>
      <c r="AB35" s="1379"/>
      <c r="AC35" s="1379"/>
      <c r="AD35" s="1379"/>
      <c r="AE35" s="1379"/>
      <c r="AF35" s="1379"/>
      <c r="AG35" s="1379"/>
      <c r="AH35" s="1379"/>
      <c r="AI35" s="1379"/>
      <c r="AJ35" s="1379"/>
      <c r="AK35" s="1379"/>
      <c r="AL35" s="1379"/>
      <c r="AM35" s="1379"/>
      <c r="AN35" s="1379"/>
      <c r="AO35" s="1379"/>
      <c r="AP35" s="1379"/>
      <c r="AQ35" s="1379"/>
      <c r="AR35" s="1379"/>
      <c r="AS35" s="1379"/>
      <c r="AT35" s="1379"/>
      <c r="AU35" s="1379"/>
      <c r="AV35" s="1379"/>
    </row>
    <row r="36" spans="1:48" ht="4.5" customHeight="1">
      <c r="A36" s="1379"/>
      <c r="B36" s="2030"/>
      <c r="C36" s="2030"/>
      <c r="D36" s="2030"/>
      <c r="E36" s="2030"/>
      <c r="F36" s="2030"/>
      <c r="G36" s="2030"/>
      <c r="H36" s="2030"/>
      <c r="I36" s="2030"/>
      <c r="J36" s="2030"/>
      <c r="K36" s="2030"/>
      <c r="L36" s="2030"/>
      <c r="M36" s="2029"/>
      <c r="N36" s="2029"/>
      <c r="O36" s="2029"/>
      <c r="P36" s="2029"/>
      <c r="Q36" s="2029"/>
      <c r="R36" s="2379">
        <f>+IF(AND(R35=0,R37=0),0," ")</f>
        <v>0</v>
      </c>
      <c r="S36" s="2379"/>
      <c r="T36" s="1379"/>
      <c r="U36" s="1379"/>
      <c r="V36" s="1379"/>
      <c r="W36" s="1379"/>
      <c r="X36" s="1379"/>
      <c r="Y36" s="1379"/>
      <c r="Z36" s="1379"/>
      <c r="AA36" s="1379"/>
      <c r="AB36" s="1379"/>
      <c r="AC36" s="1379"/>
      <c r="AD36" s="1379"/>
      <c r="AE36" s="1379"/>
      <c r="AF36" s="1379"/>
      <c r="AG36" s="1379"/>
      <c r="AH36" s="1379"/>
      <c r="AI36" s="1379"/>
      <c r="AJ36" s="1379"/>
      <c r="AK36" s="1379"/>
      <c r="AL36" s="1379"/>
      <c r="AM36" s="1379"/>
      <c r="AN36" s="1379"/>
      <c r="AO36" s="1379"/>
      <c r="AP36" s="1379"/>
      <c r="AQ36" s="1379"/>
      <c r="AR36" s="1379"/>
      <c r="AS36" s="1379"/>
      <c r="AT36" s="1379"/>
      <c r="AU36" s="1379"/>
      <c r="AV36" s="1379"/>
    </row>
    <row r="37" spans="1:48" ht="15.75">
      <c r="A37" s="1379"/>
      <c r="B37" s="2383" t="str">
        <f>+IF(+ROUND(O37,2)=0,0,+IF($K$4="ДА","Нетното салдо на с/ка 7601 не е равно на нула! Неравнението е в:",0))</f>
        <v>Нетното салдо на с/ка 7601 не е равно на нула! Неравнението е в:</v>
      </c>
      <c r="C37" s="2383"/>
      <c r="D37" s="2383"/>
      <c r="E37" s="2383"/>
      <c r="F37" s="2383"/>
      <c r="G37" s="2383"/>
      <c r="H37" s="2383"/>
      <c r="I37" s="2383"/>
      <c r="J37" s="2383"/>
      <c r="K37" s="2383"/>
      <c r="L37" s="2383"/>
      <c r="M37" s="2026"/>
      <c r="N37" s="2027" t="str">
        <f t="shared" si="0"/>
        <v>крайното салдо -</v>
      </c>
      <c r="O37" s="2028">
        <f>+IF($K$4="ДА",+ROUND('TRIAL-BALANCE'!AO760,2)-ROUND('TRIAL-BALANCE'!AP760,2),0)</f>
        <v>-7591.2</v>
      </c>
      <c r="P37" s="2028"/>
      <c r="Q37" s="2026"/>
      <c r="R37" s="2377">
        <f>+IF(ROUND('DES-TRIAL-BAL-2020'!O13,2)=ROUND('DES-TRIAL-BAL-2020'!P13,2),0,"Грешни НАЧАЛНИ салда в СЕС - DES")</f>
        <v>0</v>
      </c>
      <c r="S37" s="2377"/>
      <c r="T37" s="1379"/>
      <c r="U37" s="1379"/>
      <c r="V37" s="1379"/>
      <c r="W37" s="1379"/>
      <c r="X37" s="1379"/>
      <c r="Y37" s="1379"/>
      <c r="Z37" s="1379"/>
      <c r="AA37" s="1379"/>
      <c r="AB37" s="1379"/>
      <c r="AC37" s="1379"/>
      <c r="AD37" s="1379"/>
      <c r="AE37" s="1379"/>
      <c r="AF37" s="1379"/>
      <c r="AG37" s="1379"/>
      <c r="AH37" s="1379"/>
      <c r="AI37" s="1379"/>
      <c r="AJ37" s="1379"/>
      <c r="AK37" s="1379"/>
      <c r="AL37" s="1379"/>
      <c r="AM37" s="1379"/>
      <c r="AN37" s="1379"/>
      <c r="AO37" s="1379"/>
      <c r="AP37" s="1379"/>
      <c r="AQ37" s="1379"/>
      <c r="AR37" s="1379"/>
      <c r="AS37" s="1379"/>
      <c r="AT37" s="1379"/>
      <c r="AU37" s="1379"/>
      <c r="AV37" s="1379"/>
    </row>
    <row r="38" spans="1:48" ht="15.75">
      <c r="A38" s="1379"/>
      <c r="B38" s="2383">
        <f>+IF(+ROUND(O38,2)=0,0,+IF($K$4="ДА","Нетното салдо на с/ка 7602 не е равно на нула! Неравнението е в:",0))</f>
        <v>0</v>
      </c>
      <c r="C38" s="2383"/>
      <c r="D38" s="2383"/>
      <c r="E38" s="2383"/>
      <c r="F38" s="2383"/>
      <c r="G38" s="2383"/>
      <c r="H38" s="2383"/>
      <c r="I38" s="2383"/>
      <c r="J38" s="2383"/>
      <c r="K38" s="2383"/>
      <c r="L38" s="2383"/>
      <c r="M38" s="2026"/>
      <c r="N38" s="2027">
        <f t="shared" si="0"/>
        <v>0</v>
      </c>
      <c r="O38" s="2028">
        <f>+IF($K$4="ДА",+ROUND('TRIAL-BALANCE'!AO761,2)-ROUND('TRIAL-BALANCE'!AP761,2),0)</f>
        <v>0</v>
      </c>
      <c r="P38" s="2028"/>
      <c r="Q38" s="2026"/>
      <c r="R38" s="2377">
        <f>+IF(ROUND('DMP-TRIAL-BAL-2020'!O13,2)=ROUND('DMP-TRIAL-BAL-2020'!P13,2),0,"Грешни НАЧАЛНИ салда в СЕС - DMP")</f>
        <v>0</v>
      </c>
      <c r="S38" s="2377"/>
      <c r="T38" s="1379"/>
      <c r="U38" s="1379"/>
      <c r="V38" s="1379"/>
      <c r="W38" s="1379"/>
      <c r="X38" s="1379"/>
      <c r="Y38" s="1379"/>
      <c r="Z38" s="1379"/>
      <c r="AA38" s="1379"/>
      <c r="AB38" s="1379"/>
      <c r="AC38" s="1379"/>
      <c r="AD38" s="1379"/>
      <c r="AE38" s="1379"/>
      <c r="AF38" s="1379"/>
      <c r="AG38" s="1379"/>
      <c r="AH38" s="1379"/>
      <c r="AI38" s="1379"/>
      <c r="AJ38" s="1379"/>
      <c r="AK38" s="1379"/>
      <c r="AL38" s="1379"/>
      <c r="AM38" s="1379"/>
      <c r="AN38" s="1379"/>
      <c r="AO38" s="1379"/>
      <c r="AP38" s="1379"/>
      <c r="AQ38" s="1379"/>
      <c r="AR38" s="1379"/>
      <c r="AS38" s="1379"/>
      <c r="AT38" s="1379"/>
      <c r="AU38" s="1379"/>
      <c r="AV38" s="1379"/>
    </row>
    <row r="39" spans="1:48" ht="15.75">
      <c r="A39" s="1379"/>
      <c r="B39" s="2383">
        <f>+IF(+ROUND(O39,2)=0,0,+IF($K$4="ДА","Нетното салдо на с/ка 7603 не е равно на нула! Неравнението е в:",0))</f>
        <v>0</v>
      </c>
      <c r="C39" s="2383"/>
      <c r="D39" s="2383"/>
      <c r="E39" s="2383"/>
      <c r="F39" s="2383"/>
      <c r="G39" s="2383"/>
      <c r="H39" s="2383"/>
      <c r="I39" s="2383"/>
      <c r="J39" s="2383"/>
      <c r="K39" s="2383"/>
      <c r="L39" s="2383"/>
      <c r="M39" s="2026"/>
      <c r="N39" s="2027">
        <f t="shared" si="0"/>
        <v>0</v>
      </c>
      <c r="O39" s="2028">
        <f>+IF($K$4="ДА",+ROUND('TRIAL-BALANCE'!AO762,2)-ROUND('TRIAL-BALANCE'!AP762,2),0)</f>
        <v>0</v>
      </c>
      <c r="P39" s="2028"/>
      <c r="Q39" s="2028"/>
      <c r="R39" s="2378">
        <f>IF(ROUND('TRIAL-BALANCE'!AC13,2)=ROUND('TRIAL-BALANCE'!AD13,2),0,"Грешни НАЧАЛНИ салда в ДСД")</f>
        <v>0</v>
      </c>
      <c r="S39" s="2378"/>
      <c r="T39" s="1379"/>
      <c r="U39" s="1379"/>
      <c r="V39" s="1379"/>
      <c r="W39" s="1379"/>
      <c r="X39" s="1379"/>
      <c r="Y39" s="1379"/>
      <c r="Z39" s="1379"/>
      <c r="AA39" s="1379"/>
      <c r="AB39" s="1379"/>
      <c r="AC39" s="1379"/>
      <c r="AD39" s="1379"/>
      <c r="AE39" s="1379"/>
      <c r="AF39" s="1379"/>
      <c r="AG39" s="1379"/>
      <c r="AH39" s="1379"/>
      <c r="AI39" s="1379"/>
      <c r="AJ39" s="1379"/>
      <c r="AK39" s="1379"/>
      <c r="AL39" s="1379"/>
      <c r="AM39" s="1379"/>
      <c r="AN39" s="1379"/>
      <c r="AO39" s="1379"/>
      <c r="AP39" s="1379"/>
      <c r="AQ39" s="1379"/>
      <c r="AR39" s="1379"/>
      <c r="AS39" s="1379"/>
      <c r="AT39" s="1379"/>
      <c r="AU39" s="1379"/>
      <c r="AV39" s="1379"/>
    </row>
    <row r="40" spans="1:48" ht="15">
      <c r="A40" s="1379"/>
      <c r="B40" s="1379"/>
      <c r="C40" s="1379"/>
      <c r="D40" s="1379"/>
      <c r="E40" s="1379"/>
      <c r="F40" s="1379"/>
      <c r="G40" s="1379"/>
      <c r="H40" s="1379"/>
      <c r="I40" s="1379"/>
      <c r="J40" s="1379"/>
      <c r="K40" s="1379"/>
      <c r="L40" s="1379"/>
      <c r="M40" s="1379"/>
      <c r="N40" s="1379"/>
      <c r="O40" s="1379"/>
      <c r="P40" s="1379"/>
      <c r="Q40" s="1379"/>
      <c r="R40" s="2126"/>
      <c r="S40" s="1379"/>
      <c r="T40" s="1379"/>
      <c r="U40" s="1379"/>
      <c r="V40" s="1379"/>
      <c r="W40" s="1379"/>
      <c r="X40" s="1379"/>
      <c r="Y40" s="1379"/>
      <c r="Z40" s="1379"/>
      <c r="AA40" s="1379"/>
      <c r="AB40" s="1379"/>
      <c r="AC40" s="1379"/>
      <c r="AD40" s="1379"/>
      <c r="AE40" s="1379"/>
      <c r="AF40" s="1379"/>
      <c r="AG40" s="1379"/>
      <c r="AH40" s="1379"/>
      <c r="AI40" s="1379"/>
      <c r="AJ40" s="1379"/>
      <c r="AK40" s="1379"/>
      <c r="AL40" s="1379"/>
      <c r="AM40" s="1379"/>
      <c r="AN40" s="1379"/>
      <c r="AO40" s="1379"/>
      <c r="AP40" s="1379"/>
      <c r="AQ40" s="1379"/>
      <c r="AR40" s="1379"/>
      <c r="AS40" s="1379"/>
      <c r="AT40" s="1379"/>
      <c r="AU40" s="1379"/>
      <c r="AV40" s="1379"/>
    </row>
    <row r="41" spans="1:48" ht="15.75" customHeight="1">
      <c r="A41" s="1379"/>
      <c r="B41" s="1953"/>
      <c r="C41" s="1379"/>
      <c r="D41" s="1379"/>
      <c r="E41" s="1379"/>
      <c r="F41" s="1379"/>
      <c r="G41" s="1379"/>
      <c r="H41" s="1379"/>
      <c r="I41" s="1379"/>
      <c r="J41" s="1379"/>
      <c r="K41" s="1953"/>
      <c r="L41" s="1379"/>
      <c r="M41" s="1379"/>
      <c r="N41" s="1379"/>
      <c r="O41" s="1379"/>
      <c r="P41" s="1379"/>
      <c r="Q41" s="1379"/>
      <c r="R41" s="2127"/>
      <c r="S41" s="2029"/>
      <c r="T41" s="1379"/>
      <c r="U41" s="1379"/>
      <c r="V41" s="1379"/>
      <c r="W41" s="1379"/>
      <c r="X41" s="1379"/>
      <c r="Y41" s="1379"/>
      <c r="Z41" s="1379"/>
      <c r="AA41" s="1379"/>
      <c r="AB41" s="1379"/>
      <c r="AC41" s="1379"/>
      <c r="AD41" s="1379"/>
      <c r="AE41" s="1379"/>
      <c r="AF41" s="1379"/>
      <c r="AG41" s="1379"/>
      <c r="AH41" s="1379"/>
      <c r="AI41" s="1379"/>
      <c r="AJ41" s="1379"/>
      <c r="AK41" s="1379"/>
      <c r="AL41" s="1379"/>
      <c r="AM41" s="1379"/>
      <c r="AN41" s="1379"/>
      <c r="AO41" s="1379"/>
      <c r="AP41" s="1379"/>
      <c r="AQ41" s="1379"/>
      <c r="AR41" s="1379"/>
      <c r="AS41" s="1379"/>
      <c r="AT41" s="1379"/>
      <c r="AU41" s="1379"/>
      <c r="AV41" s="1379"/>
    </row>
    <row r="42" spans="1:48" ht="15.75" customHeight="1">
      <c r="A42" s="1379"/>
      <c r="B42" s="1953"/>
      <c r="C42" s="1379"/>
      <c r="D42" s="1379"/>
      <c r="E42" s="1379"/>
      <c r="F42" s="1379"/>
      <c r="G42" s="1379"/>
      <c r="H42" s="1379"/>
      <c r="I42" s="1379"/>
      <c r="J42" s="1379"/>
      <c r="K42" s="1953"/>
      <c r="L42" s="1379"/>
      <c r="M42" s="1379"/>
      <c r="N42" s="1379"/>
      <c r="O42" s="1379"/>
      <c r="P42" s="1379"/>
      <c r="Q42" s="1379"/>
      <c r="R42" s="2127"/>
      <c r="S42" s="2029"/>
      <c r="T42" s="1379"/>
      <c r="U42" s="1379"/>
      <c r="V42" s="1379"/>
      <c r="W42" s="1379"/>
      <c r="X42" s="1379"/>
      <c r="Y42" s="1379"/>
      <c r="Z42" s="1379"/>
      <c r="AA42" s="1379"/>
      <c r="AB42" s="1379"/>
      <c r="AC42" s="1379"/>
      <c r="AD42" s="1379"/>
      <c r="AE42" s="1379"/>
      <c r="AF42" s="1379"/>
      <c r="AG42" s="1379"/>
      <c r="AH42" s="1379"/>
      <c r="AI42" s="1379"/>
      <c r="AJ42" s="1379"/>
      <c r="AK42" s="1379"/>
      <c r="AL42" s="1379"/>
      <c r="AM42" s="1379"/>
      <c r="AN42" s="1379"/>
      <c r="AO42" s="1379"/>
      <c r="AP42" s="1379"/>
      <c r="AQ42" s="1379"/>
      <c r="AR42" s="1379"/>
      <c r="AS42" s="1379"/>
      <c r="AT42" s="1379"/>
      <c r="AU42" s="1379"/>
      <c r="AV42" s="1379"/>
    </row>
    <row r="43" spans="1:48" ht="15.75" customHeight="1">
      <c r="A43" s="1379"/>
      <c r="B43" s="1953"/>
      <c r="C43" s="1379"/>
      <c r="D43" s="1379"/>
      <c r="E43" s="1379"/>
      <c r="F43" s="1379"/>
      <c r="G43" s="1379"/>
      <c r="H43" s="1379"/>
      <c r="I43" s="1379"/>
      <c r="J43" s="1379"/>
      <c r="K43" s="1953"/>
      <c r="L43" s="1379"/>
      <c r="M43" s="1379"/>
      <c r="N43" s="1379"/>
      <c r="O43" s="1379"/>
      <c r="P43" s="1379"/>
      <c r="Q43" s="1379"/>
      <c r="R43" s="1379"/>
      <c r="S43" s="1379"/>
      <c r="T43" s="1379"/>
      <c r="U43" s="1379"/>
      <c r="V43" s="1379"/>
      <c r="W43" s="1379"/>
      <c r="X43" s="1379"/>
      <c r="Y43" s="1379"/>
      <c r="Z43" s="1379"/>
      <c r="AA43" s="1379"/>
      <c r="AB43" s="1379"/>
      <c r="AC43" s="1379"/>
      <c r="AD43" s="1379"/>
      <c r="AE43" s="1379"/>
      <c r="AF43" s="1379"/>
      <c r="AG43" s="1379"/>
      <c r="AH43" s="1379"/>
      <c r="AI43" s="1379"/>
      <c r="AJ43" s="1379"/>
      <c r="AK43" s="1379"/>
      <c r="AL43" s="1379"/>
      <c r="AM43" s="1379"/>
      <c r="AN43" s="1379"/>
      <c r="AO43" s="1379"/>
      <c r="AP43" s="1379"/>
      <c r="AQ43" s="1379"/>
      <c r="AR43" s="1379"/>
      <c r="AS43" s="1379"/>
      <c r="AT43" s="1379"/>
      <c r="AU43" s="1379"/>
      <c r="AV43" s="1379"/>
    </row>
    <row r="44" spans="1:48">
      <c r="A44" s="1379"/>
      <c r="B44" s="1379"/>
      <c r="C44" s="1379"/>
      <c r="D44" s="1379"/>
      <c r="E44" s="1379"/>
      <c r="F44" s="1379"/>
      <c r="G44" s="1379"/>
      <c r="H44" s="1379"/>
      <c r="I44" s="1379"/>
      <c r="J44" s="1379"/>
      <c r="K44" s="1379"/>
      <c r="L44" s="1379"/>
      <c r="M44" s="1379"/>
      <c r="N44" s="1379"/>
      <c r="O44" s="1379"/>
      <c r="P44" s="1379"/>
      <c r="Q44" s="1379"/>
      <c r="R44" s="1379"/>
      <c r="S44" s="1379"/>
      <c r="T44" s="1379"/>
      <c r="U44" s="1379"/>
      <c r="V44" s="1379"/>
      <c r="W44" s="1379"/>
      <c r="X44" s="1379"/>
      <c r="Y44" s="1379"/>
      <c r="Z44" s="1379"/>
      <c r="AA44" s="1379"/>
      <c r="AB44" s="1379"/>
      <c r="AC44" s="1379"/>
      <c r="AD44" s="1379"/>
      <c r="AE44" s="1379"/>
      <c r="AF44" s="1379"/>
      <c r="AG44" s="1379"/>
      <c r="AH44" s="1379"/>
      <c r="AI44" s="1379"/>
      <c r="AJ44" s="1379"/>
      <c r="AK44" s="1379"/>
      <c r="AL44" s="1379"/>
      <c r="AM44" s="1379"/>
      <c r="AN44" s="1379"/>
      <c r="AO44" s="1379"/>
      <c r="AP44" s="1379"/>
      <c r="AQ44" s="1379"/>
      <c r="AR44" s="1379"/>
      <c r="AS44" s="1379"/>
      <c r="AT44" s="1379"/>
      <c r="AU44" s="1379"/>
      <c r="AV44" s="1379"/>
    </row>
    <row r="45" spans="1:48">
      <c r="A45" s="1379"/>
      <c r="B45" s="1379"/>
      <c r="C45" s="1379"/>
      <c r="D45" s="1379"/>
      <c r="E45" s="1379"/>
      <c r="F45" s="1379"/>
      <c r="G45" s="1379"/>
      <c r="H45" s="1379"/>
      <c r="I45" s="1379"/>
      <c r="J45" s="1379"/>
      <c r="K45" s="1379"/>
      <c r="L45" s="1379"/>
      <c r="M45" s="1379"/>
      <c r="N45" s="1379"/>
      <c r="O45" s="1379"/>
      <c r="P45" s="1379"/>
      <c r="Q45" s="1379"/>
      <c r="R45" s="1379"/>
      <c r="S45" s="1379"/>
      <c r="T45" s="1379"/>
      <c r="U45" s="1379"/>
      <c r="V45" s="1379"/>
      <c r="W45" s="1379"/>
      <c r="X45" s="1379"/>
      <c r="Y45" s="1379"/>
      <c r="Z45" s="1379"/>
      <c r="AA45" s="1379"/>
      <c r="AB45" s="1379"/>
      <c r="AC45" s="1379"/>
      <c r="AD45" s="1379"/>
      <c r="AE45" s="1379"/>
      <c r="AF45" s="1379"/>
      <c r="AG45" s="1379"/>
      <c r="AH45" s="1379"/>
      <c r="AI45" s="1379"/>
      <c r="AJ45" s="1379"/>
      <c r="AK45" s="1379"/>
      <c r="AL45" s="1379"/>
      <c r="AM45" s="1379"/>
      <c r="AN45" s="1379"/>
      <c r="AO45" s="1379"/>
      <c r="AP45" s="1379"/>
      <c r="AQ45" s="1379"/>
      <c r="AR45" s="1379"/>
      <c r="AS45" s="1379"/>
      <c r="AT45" s="1379"/>
      <c r="AU45" s="1379"/>
      <c r="AV45" s="1379"/>
    </row>
    <row r="46" spans="1:48">
      <c r="A46" s="1379"/>
      <c r="B46" s="1379"/>
      <c r="C46" s="1379"/>
      <c r="D46" s="1379"/>
      <c r="E46" s="1379"/>
      <c r="F46" s="1379"/>
      <c r="G46" s="1379"/>
      <c r="H46" s="1379"/>
      <c r="I46" s="1379"/>
      <c r="J46" s="1379"/>
      <c r="K46" s="1379"/>
      <c r="L46" s="1379"/>
      <c r="M46" s="1379"/>
      <c r="N46" s="1379"/>
      <c r="O46" s="1379"/>
      <c r="P46" s="1379"/>
      <c r="Q46" s="1379"/>
      <c r="R46" s="1379"/>
      <c r="S46" s="1379"/>
      <c r="T46" s="1379"/>
      <c r="U46" s="1379"/>
      <c r="V46" s="1379"/>
      <c r="W46" s="1379"/>
      <c r="X46" s="1379"/>
      <c r="Y46" s="1379"/>
      <c r="Z46" s="1379"/>
      <c r="AA46" s="1379"/>
      <c r="AB46" s="1379"/>
      <c r="AC46" s="1379"/>
      <c r="AD46" s="1379"/>
      <c r="AE46" s="1379"/>
      <c r="AF46" s="1379"/>
      <c r="AG46" s="1379"/>
      <c r="AH46" s="1379"/>
      <c r="AI46" s="1379"/>
      <c r="AJ46" s="1379"/>
      <c r="AK46" s="1379"/>
      <c r="AL46" s="1379"/>
      <c r="AM46" s="1379"/>
      <c r="AN46" s="1379"/>
      <c r="AO46" s="1379"/>
      <c r="AP46" s="1379"/>
      <c r="AQ46" s="1379"/>
      <c r="AR46" s="1379"/>
      <c r="AS46" s="1379"/>
      <c r="AT46" s="1379"/>
      <c r="AU46" s="1379"/>
      <c r="AV46" s="1379"/>
    </row>
    <row r="47" spans="1:48">
      <c r="A47" s="1379"/>
      <c r="B47" s="1379"/>
      <c r="C47" s="1379"/>
      <c r="D47" s="1379"/>
      <c r="E47" s="1379"/>
      <c r="F47" s="1379"/>
      <c r="G47" s="1379"/>
      <c r="H47" s="1379"/>
      <c r="I47" s="1379"/>
      <c r="J47" s="1379"/>
      <c r="K47" s="1379"/>
      <c r="L47" s="1379"/>
      <c r="M47" s="1379"/>
      <c r="N47" s="1379"/>
      <c r="O47" s="1379"/>
      <c r="P47" s="1379"/>
      <c r="Q47" s="1379"/>
      <c r="R47" s="1379"/>
      <c r="S47" s="1379"/>
      <c r="T47" s="1379"/>
      <c r="U47" s="1379"/>
      <c r="V47" s="1379"/>
      <c r="W47" s="1379"/>
      <c r="X47" s="1379"/>
      <c r="Y47" s="1379"/>
      <c r="Z47" s="1379"/>
      <c r="AA47" s="1379"/>
      <c r="AB47" s="1379"/>
      <c r="AC47" s="1379"/>
      <c r="AD47" s="1379"/>
      <c r="AE47" s="1379"/>
      <c r="AF47" s="1379"/>
      <c r="AG47" s="1379"/>
      <c r="AH47" s="1379"/>
      <c r="AI47" s="1379"/>
      <c r="AJ47" s="1379"/>
      <c r="AK47" s="1379"/>
      <c r="AL47" s="1379"/>
      <c r="AM47" s="1379"/>
      <c r="AN47" s="1379"/>
      <c r="AO47" s="1379"/>
      <c r="AP47" s="1379"/>
      <c r="AQ47" s="1379"/>
      <c r="AR47" s="1379"/>
      <c r="AS47" s="1379"/>
      <c r="AT47" s="1379"/>
      <c r="AU47" s="1379"/>
      <c r="AV47" s="1379"/>
    </row>
    <row r="48" spans="1:48">
      <c r="A48" s="1379"/>
      <c r="B48" s="1379"/>
      <c r="C48" s="1379"/>
      <c r="D48" s="1379"/>
      <c r="E48" s="1379"/>
      <c r="F48" s="1379"/>
      <c r="G48" s="1379"/>
      <c r="H48" s="1379"/>
      <c r="I48" s="1379"/>
      <c r="J48" s="1379"/>
      <c r="K48" s="1379"/>
      <c r="L48" s="1379"/>
      <c r="M48" s="1379"/>
      <c r="N48" s="1379"/>
      <c r="O48" s="1379"/>
      <c r="P48" s="1379"/>
      <c r="Q48" s="1379"/>
      <c r="R48" s="1379"/>
      <c r="S48" s="1379"/>
      <c r="T48" s="1379"/>
      <c r="U48" s="1379"/>
      <c r="V48" s="1379"/>
      <c r="W48" s="1379"/>
      <c r="X48" s="1379"/>
      <c r="Y48" s="1379"/>
      <c r="Z48" s="1379"/>
      <c r="AA48" s="1379"/>
      <c r="AB48" s="1379"/>
      <c r="AC48" s="1379"/>
      <c r="AD48" s="1379"/>
      <c r="AE48" s="1379"/>
      <c r="AF48" s="1379"/>
      <c r="AG48" s="1379"/>
      <c r="AH48" s="1379"/>
      <c r="AI48" s="1379"/>
      <c r="AJ48" s="1379"/>
      <c r="AK48" s="1379"/>
      <c r="AL48" s="1379"/>
      <c r="AM48" s="1379"/>
      <c r="AN48" s="1379"/>
      <c r="AO48" s="1379"/>
      <c r="AP48" s="1379"/>
      <c r="AQ48" s="1379"/>
      <c r="AR48" s="1379"/>
      <c r="AS48" s="1379"/>
      <c r="AT48" s="1379"/>
      <c r="AU48" s="1379"/>
      <c r="AV48" s="1379"/>
    </row>
    <row r="49" spans="1:48">
      <c r="A49" s="1379"/>
      <c r="B49" s="1379"/>
      <c r="C49" s="1379"/>
      <c r="D49" s="1379"/>
      <c r="E49" s="1379"/>
      <c r="F49" s="1379"/>
      <c r="G49" s="1379"/>
      <c r="H49" s="1379"/>
      <c r="I49" s="1379"/>
      <c r="J49" s="1379"/>
      <c r="K49" s="1379"/>
      <c r="L49" s="1379"/>
      <c r="M49" s="1379"/>
      <c r="N49" s="1379"/>
      <c r="O49" s="1379"/>
      <c r="P49" s="1379"/>
      <c r="Q49" s="1379"/>
      <c r="R49" s="1379"/>
      <c r="S49" s="1379"/>
      <c r="T49" s="1379"/>
      <c r="U49" s="1379"/>
      <c r="V49" s="1379"/>
      <c r="W49" s="1379"/>
      <c r="X49" s="1379"/>
      <c r="Y49" s="1379"/>
      <c r="Z49" s="1379"/>
      <c r="AA49" s="1379"/>
      <c r="AB49" s="1379"/>
      <c r="AC49" s="1379"/>
      <c r="AD49" s="1379"/>
      <c r="AE49" s="1379"/>
      <c r="AF49" s="1379"/>
      <c r="AG49" s="1379"/>
      <c r="AH49" s="1379"/>
      <c r="AI49" s="1379"/>
      <c r="AJ49" s="1379"/>
      <c r="AK49" s="1379"/>
      <c r="AL49" s="1379"/>
      <c r="AM49" s="1379"/>
      <c r="AN49" s="1379"/>
      <c r="AO49" s="1379"/>
      <c r="AP49" s="1379"/>
      <c r="AQ49" s="1379"/>
      <c r="AR49" s="1379"/>
      <c r="AS49" s="1379"/>
      <c r="AT49" s="1379"/>
      <c r="AU49" s="1379"/>
      <c r="AV49" s="1379"/>
    </row>
    <row r="50" spans="1:48">
      <c r="A50" s="1379"/>
      <c r="B50" s="1379"/>
      <c r="C50" s="1379"/>
      <c r="D50" s="1379"/>
      <c r="E50" s="1379"/>
      <c r="F50" s="1379"/>
      <c r="G50" s="1379"/>
      <c r="H50" s="1379"/>
      <c r="I50" s="1379"/>
      <c r="J50" s="1379"/>
      <c r="K50" s="1379"/>
      <c r="L50" s="1379"/>
      <c r="M50" s="1379"/>
      <c r="N50" s="1379"/>
      <c r="O50" s="1379"/>
      <c r="P50" s="1379"/>
      <c r="Q50" s="1379"/>
      <c r="R50" s="1379"/>
      <c r="S50" s="1379"/>
      <c r="T50" s="1379"/>
      <c r="U50" s="1379"/>
      <c r="V50" s="1379"/>
      <c r="W50" s="1379"/>
      <c r="X50" s="1379"/>
      <c r="Y50" s="1379"/>
      <c r="Z50" s="1379"/>
      <c r="AA50" s="1379"/>
      <c r="AB50" s="1379"/>
      <c r="AC50" s="1379"/>
      <c r="AD50" s="1379"/>
      <c r="AE50" s="1379"/>
      <c r="AF50" s="1379"/>
      <c r="AG50" s="1379"/>
      <c r="AH50" s="1379"/>
      <c r="AI50" s="1379"/>
      <c r="AJ50" s="1379"/>
      <c r="AK50" s="1379"/>
      <c r="AL50" s="1379"/>
      <c r="AM50" s="1379"/>
      <c r="AN50" s="1379"/>
      <c r="AO50" s="1379"/>
      <c r="AP50" s="1379"/>
      <c r="AQ50" s="1379"/>
      <c r="AR50" s="1379"/>
      <c r="AS50" s="1379"/>
      <c r="AT50" s="1379"/>
      <c r="AU50" s="1379"/>
      <c r="AV50" s="1379"/>
    </row>
    <row r="51" spans="1:48">
      <c r="A51" s="1379"/>
      <c r="B51" s="1379"/>
      <c r="C51" s="1379"/>
      <c r="D51" s="1379"/>
      <c r="E51" s="1379"/>
      <c r="F51" s="1379"/>
      <c r="G51" s="1379"/>
      <c r="H51" s="1379"/>
      <c r="I51" s="1379"/>
      <c r="J51" s="1379"/>
      <c r="K51" s="1379"/>
      <c r="L51" s="1379"/>
      <c r="M51" s="1379"/>
      <c r="N51" s="1379"/>
      <c r="O51" s="1379"/>
      <c r="P51" s="1379"/>
      <c r="Q51" s="1379"/>
      <c r="R51" s="1379"/>
      <c r="S51" s="1379"/>
      <c r="T51" s="1379"/>
      <c r="U51" s="1379"/>
      <c r="V51" s="1379"/>
      <c r="W51" s="1379"/>
      <c r="X51" s="1379"/>
      <c r="Y51" s="1379"/>
      <c r="Z51" s="1379"/>
      <c r="AA51" s="1379"/>
      <c r="AB51" s="1379"/>
      <c r="AC51" s="1379"/>
      <c r="AD51" s="1379"/>
      <c r="AE51" s="1379"/>
      <c r="AF51" s="1379"/>
      <c r="AG51" s="1379"/>
      <c r="AH51" s="1379"/>
      <c r="AI51" s="1379"/>
      <c r="AJ51" s="1379"/>
      <c r="AK51" s="1379"/>
      <c r="AL51" s="1379"/>
      <c r="AM51" s="1379"/>
      <c r="AN51" s="1379"/>
      <c r="AO51" s="1379"/>
      <c r="AP51" s="1379"/>
      <c r="AQ51" s="1379"/>
      <c r="AR51" s="1379"/>
      <c r="AS51" s="1379"/>
      <c r="AT51" s="1379"/>
      <c r="AU51" s="1379"/>
      <c r="AV51" s="1379"/>
    </row>
    <row r="52" spans="1:48">
      <c r="A52" s="1379"/>
      <c r="B52" s="1379"/>
      <c r="C52" s="1379"/>
      <c r="D52" s="1379"/>
      <c r="E52" s="1379"/>
      <c r="F52" s="1379"/>
      <c r="G52" s="1379"/>
      <c r="H52" s="1379"/>
      <c r="I52" s="1379"/>
      <c r="J52" s="1379"/>
      <c r="K52" s="1379"/>
      <c r="L52" s="1379"/>
      <c r="M52" s="1379"/>
      <c r="N52" s="1379"/>
      <c r="O52" s="1379"/>
      <c r="P52" s="1379"/>
      <c r="Q52" s="1379"/>
      <c r="R52" s="1379"/>
      <c r="S52" s="1379"/>
      <c r="T52" s="1379"/>
      <c r="U52" s="1379"/>
      <c r="V52" s="1379"/>
      <c r="W52" s="1379"/>
      <c r="X52" s="1379"/>
      <c r="Y52" s="1379"/>
      <c r="Z52" s="1379"/>
      <c r="AA52" s="1379"/>
      <c r="AB52" s="1379"/>
      <c r="AC52" s="1379"/>
      <c r="AD52" s="1379"/>
      <c r="AE52" s="1379"/>
      <c r="AF52" s="1379"/>
      <c r="AG52" s="1379"/>
      <c r="AH52" s="1379"/>
      <c r="AI52" s="1379"/>
      <c r="AJ52" s="1379"/>
      <c r="AK52" s="1379"/>
      <c r="AL52" s="1379"/>
      <c r="AM52" s="1379"/>
      <c r="AN52" s="1379"/>
      <c r="AO52" s="1379"/>
      <c r="AP52" s="1379"/>
      <c r="AQ52" s="1379"/>
      <c r="AR52" s="1379"/>
      <c r="AS52" s="1379"/>
      <c r="AT52" s="1379"/>
      <c r="AU52" s="1379"/>
      <c r="AV52" s="1379"/>
    </row>
    <row r="53" spans="1:48">
      <c r="A53" s="1379"/>
      <c r="B53" s="1379"/>
      <c r="C53" s="1379"/>
      <c r="D53" s="1379"/>
      <c r="E53" s="1379"/>
      <c r="F53" s="1379"/>
      <c r="G53" s="1379"/>
      <c r="H53" s="1379"/>
      <c r="I53" s="1379"/>
      <c r="J53" s="1379"/>
      <c r="K53" s="1379"/>
      <c r="L53" s="1379"/>
      <c r="M53" s="1379"/>
      <c r="N53" s="1379"/>
      <c r="O53" s="1379"/>
      <c r="P53" s="1379"/>
      <c r="Q53" s="1379"/>
      <c r="R53" s="1379"/>
      <c r="S53" s="1379"/>
      <c r="T53" s="1379"/>
      <c r="U53" s="1379"/>
      <c r="V53" s="1379"/>
      <c r="W53" s="1379"/>
      <c r="X53" s="1379"/>
      <c r="Y53" s="1379"/>
      <c r="Z53" s="1379"/>
      <c r="AA53" s="1379"/>
      <c r="AB53" s="1379"/>
      <c r="AC53" s="1379"/>
      <c r="AD53" s="1379"/>
      <c r="AE53" s="1379"/>
      <c r="AF53" s="1379"/>
      <c r="AG53" s="1379"/>
      <c r="AH53" s="1379"/>
      <c r="AI53" s="1379"/>
      <c r="AJ53" s="1379"/>
      <c r="AK53" s="1379"/>
      <c r="AL53" s="1379"/>
      <c r="AM53" s="1379"/>
      <c r="AN53" s="1379"/>
      <c r="AO53" s="1379"/>
      <c r="AP53" s="1379"/>
      <c r="AQ53" s="1379"/>
      <c r="AR53" s="1379"/>
      <c r="AS53" s="1379"/>
      <c r="AT53" s="1379"/>
      <c r="AU53" s="1379"/>
      <c r="AV53" s="1379"/>
    </row>
    <row r="54" spans="1:48">
      <c r="A54" s="1379"/>
      <c r="B54" s="1379"/>
      <c r="C54" s="1379"/>
      <c r="D54" s="1379"/>
      <c r="E54" s="1379"/>
      <c r="F54" s="1379"/>
      <c r="G54" s="1379"/>
      <c r="H54" s="1379"/>
      <c r="I54" s="1379"/>
      <c r="J54" s="1379"/>
      <c r="K54" s="1379"/>
      <c r="L54" s="1379"/>
      <c r="M54" s="1379"/>
      <c r="N54" s="1379"/>
      <c r="O54" s="1379"/>
      <c r="P54" s="1379"/>
      <c r="Q54" s="1379"/>
      <c r="R54" s="1379"/>
      <c r="S54" s="1379"/>
      <c r="T54" s="1379"/>
      <c r="U54" s="1379"/>
      <c r="V54" s="1379"/>
      <c r="W54" s="1379"/>
      <c r="X54" s="1379"/>
      <c r="Y54" s="1379"/>
      <c r="Z54" s="1379"/>
      <c r="AA54" s="1379"/>
      <c r="AB54" s="1379"/>
      <c r="AC54" s="1379"/>
      <c r="AD54" s="1379"/>
      <c r="AE54" s="1379"/>
      <c r="AF54" s="1379"/>
      <c r="AG54" s="1379"/>
      <c r="AH54" s="1379"/>
      <c r="AI54" s="1379"/>
      <c r="AJ54" s="1379"/>
      <c r="AK54" s="1379"/>
      <c r="AL54" s="1379"/>
      <c r="AM54" s="1379"/>
      <c r="AN54" s="1379"/>
      <c r="AO54" s="1379"/>
      <c r="AP54" s="1379"/>
      <c r="AQ54" s="1379"/>
      <c r="AR54" s="1379"/>
      <c r="AS54" s="1379"/>
      <c r="AT54" s="1379"/>
      <c r="AU54" s="1379"/>
      <c r="AV54" s="1379"/>
    </row>
    <row r="55" spans="1:48">
      <c r="A55" s="1379"/>
      <c r="B55" s="1379"/>
      <c r="C55" s="1379"/>
      <c r="D55" s="1379"/>
      <c r="E55" s="1379"/>
      <c r="F55" s="1379"/>
      <c r="G55" s="1379"/>
      <c r="H55" s="1379"/>
      <c r="I55" s="1379"/>
      <c r="J55" s="1379"/>
      <c r="K55" s="1379"/>
      <c r="L55" s="1379"/>
      <c r="M55" s="1379"/>
      <c r="N55" s="1379"/>
      <c r="O55" s="1379"/>
      <c r="P55" s="1379"/>
      <c r="Q55" s="1379"/>
      <c r="R55" s="1379"/>
      <c r="S55" s="1379"/>
      <c r="T55" s="1379"/>
      <c r="U55" s="1379"/>
      <c r="V55" s="1379"/>
      <c r="W55" s="1379"/>
      <c r="X55" s="1379"/>
      <c r="Y55" s="1379"/>
      <c r="Z55" s="1379"/>
      <c r="AA55" s="1379"/>
      <c r="AB55" s="1379"/>
      <c r="AC55" s="1379"/>
      <c r="AD55" s="1379"/>
      <c r="AE55" s="1379"/>
      <c r="AF55" s="1379"/>
      <c r="AG55" s="1379"/>
      <c r="AH55" s="1379"/>
      <c r="AI55" s="1379"/>
      <c r="AJ55" s="1379"/>
      <c r="AK55" s="1379"/>
      <c r="AL55" s="1379"/>
      <c r="AM55" s="1379"/>
      <c r="AN55" s="1379"/>
      <c r="AO55" s="1379"/>
      <c r="AP55" s="1379"/>
      <c r="AQ55" s="1379"/>
      <c r="AR55" s="1379"/>
      <c r="AS55" s="1379"/>
      <c r="AT55" s="1379"/>
      <c r="AU55" s="1379"/>
      <c r="AV55" s="1379"/>
    </row>
    <row r="56" spans="1:48">
      <c r="A56" s="1379"/>
      <c r="B56" s="1379"/>
      <c r="C56" s="1379"/>
      <c r="D56" s="1379"/>
      <c r="E56" s="1379"/>
      <c r="F56" s="1379"/>
      <c r="G56" s="1379"/>
      <c r="H56" s="1379"/>
      <c r="I56" s="1379"/>
      <c r="J56" s="1379"/>
      <c r="K56" s="1379"/>
      <c r="L56" s="1379"/>
      <c r="M56" s="1379"/>
      <c r="N56" s="1379"/>
      <c r="O56" s="1379"/>
      <c r="P56" s="1379"/>
      <c r="Q56" s="1379"/>
      <c r="R56" s="1379"/>
      <c r="S56" s="1379"/>
      <c r="T56" s="1379"/>
      <c r="U56" s="1379"/>
      <c r="V56" s="1379"/>
      <c r="W56" s="1379"/>
      <c r="X56" s="1379"/>
      <c r="Y56" s="1379"/>
      <c r="Z56" s="1379"/>
      <c r="AA56" s="1379"/>
      <c r="AB56" s="1379"/>
      <c r="AC56" s="1379"/>
      <c r="AD56" s="1379"/>
      <c r="AE56" s="1379"/>
      <c r="AF56" s="1379"/>
      <c r="AG56" s="1379"/>
      <c r="AH56" s="1379"/>
      <c r="AI56" s="1379"/>
      <c r="AJ56" s="1379"/>
      <c r="AK56" s="1379"/>
      <c r="AL56" s="1379"/>
      <c r="AM56" s="1379"/>
      <c r="AN56" s="1379"/>
      <c r="AO56" s="1379"/>
      <c r="AP56" s="1379"/>
      <c r="AQ56" s="1379"/>
      <c r="AR56" s="1379"/>
      <c r="AS56" s="1379"/>
      <c r="AT56" s="1379"/>
      <c r="AU56" s="1379"/>
      <c r="AV56" s="1379"/>
    </row>
    <row r="57" spans="1:48">
      <c r="A57" s="1379"/>
      <c r="B57" s="1379"/>
      <c r="C57" s="1379"/>
      <c r="D57" s="1379"/>
      <c r="E57" s="1379"/>
      <c r="F57" s="1379"/>
      <c r="G57" s="1379"/>
      <c r="H57" s="1379"/>
      <c r="I57" s="1379"/>
      <c r="J57" s="1379"/>
      <c r="K57" s="1379"/>
      <c r="L57" s="1379"/>
      <c r="M57" s="1379"/>
      <c r="N57" s="1379"/>
      <c r="O57" s="1379"/>
      <c r="P57" s="1379"/>
      <c r="Q57" s="1379"/>
      <c r="R57" s="1379"/>
      <c r="S57" s="1379"/>
      <c r="T57" s="1379"/>
      <c r="U57" s="1379"/>
      <c r="V57" s="1379"/>
      <c r="W57" s="1379"/>
      <c r="X57" s="1379"/>
      <c r="Y57" s="1379"/>
      <c r="Z57" s="1379"/>
      <c r="AA57" s="1379"/>
      <c r="AB57" s="1379"/>
      <c r="AC57" s="1379"/>
      <c r="AD57" s="1379"/>
      <c r="AE57" s="1379"/>
      <c r="AF57" s="1379"/>
      <c r="AG57" s="1379"/>
      <c r="AH57" s="1379"/>
      <c r="AI57" s="1379"/>
      <c r="AJ57" s="1379"/>
      <c r="AK57" s="1379"/>
      <c r="AL57" s="1379"/>
      <c r="AM57" s="1379"/>
      <c r="AN57" s="1379"/>
      <c r="AO57" s="1379"/>
      <c r="AP57" s="1379"/>
      <c r="AQ57" s="1379"/>
      <c r="AR57" s="1379"/>
      <c r="AS57" s="1379"/>
      <c r="AT57" s="1379"/>
      <c r="AU57" s="1379"/>
      <c r="AV57" s="1379"/>
    </row>
    <row r="58" spans="1:48">
      <c r="A58" s="1379"/>
      <c r="B58" s="1379"/>
      <c r="C58" s="1379"/>
      <c r="D58" s="1379"/>
      <c r="E58" s="1379"/>
      <c r="F58" s="1379"/>
      <c r="G58" s="1379"/>
      <c r="H58" s="1379"/>
      <c r="I58" s="1379"/>
      <c r="J58" s="1379"/>
      <c r="K58" s="1379"/>
      <c r="L58" s="1379"/>
      <c r="M58" s="1379"/>
      <c r="N58" s="1379"/>
      <c r="O58" s="1379"/>
      <c r="P58" s="1379"/>
      <c r="Q58" s="1379"/>
      <c r="R58" s="1379"/>
      <c r="S58" s="1379"/>
      <c r="T58" s="1379"/>
      <c r="U58" s="1379"/>
      <c r="V58" s="1379"/>
      <c r="W58" s="1379"/>
      <c r="X58" s="1379"/>
      <c r="Y58" s="1379"/>
      <c r="Z58" s="1379"/>
      <c r="AA58" s="1379"/>
      <c r="AB58" s="1379"/>
      <c r="AC58" s="1379"/>
      <c r="AD58" s="1379"/>
      <c r="AE58" s="1379"/>
      <c r="AF58" s="1379"/>
      <c r="AG58" s="1379"/>
      <c r="AH58" s="1379"/>
      <c r="AI58" s="1379"/>
      <c r="AJ58" s="1379"/>
      <c r="AK58" s="1379"/>
      <c r="AL58" s="1379"/>
      <c r="AM58" s="1379"/>
      <c r="AN58" s="1379"/>
      <c r="AO58" s="1379"/>
      <c r="AP58" s="1379"/>
      <c r="AQ58" s="1379"/>
      <c r="AR58" s="1379"/>
      <c r="AS58" s="1379"/>
      <c r="AT58" s="1379"/>
      <c r="AU58" s="1379"/>
      <c r="AV58" s="1379"/>
    </row>
    <row r="59" spans="1:48">
      <c r="A59" s="1379"/>
      <c r="B59" s="1379"/>
      <c r="C59" s="1379"/>
      <c r="D59" s="1379"/>
      <c r="E59" s="1379"/>
      <c r="F59" s="1379"/>
      <c r="G59" s="1379"/>
      <c r="H59" s="1379"/>
      <c r="I59" s="1379"/>
      <c r="J59" s="1379"/>
      <c r="K59" s="1379"/>
      <c r="L59" s="1379"/>
      <c r="M59" s="1379"/>
      <c r="N59" s="1379"/>
      <c r="O59" s="1379"/>
      <c r="P59" s="1379"/>
      <c r="Q59" s="1379"/>
      <c r="R59" s="1379"/>
      <c r="S59" s="1379"/>
      <c r="T59" s="1379"/>
      <c r="U59" s="1379"/>
      <c r="V59" s="1379"/>
      <c r="W59" s="1379"/>
      <c r="X59" s="1379"/>
      <c r="Y59" s="1379"/>
      <c r="Z59" s="1379"/>
      <c r="AA59" s="1379"/>
      <c r="AB59" s="1379"/>
      <c r="AC59" s="1379"/>
      <c r="AD59" s="1379"/>
      <c r="AE59" s="1379"/>
      <c r="AF59" s="1379"/>
      <c r="AG59" s="1379"/>
      <c r="AH59" s="1379"/>
      <c r="AI59" s="1379"/>
      <c r="AJ59" s="1379"/>
      <c r="AK59" s="1379"/>
      <c r="AL59" s="1379"/>
      <c r="AM59" s="1379"/>
      <c r="AN59" s="1379"/>
      <c r="AO59" s="1379"/>
      <c r="AP59" s="1379"/>
      <c r="AQ59" s="1379"/>
      <c r="AR59" s="1379"/>
      <c r="AS59" s="1379"/>
      <c r="AT59" s="1379"/>
      <c r="AU59" s="1379"/>
      <c r="AV59" s="1379"/>
    </row>
    <row r="60" spans="1:48">
      <c r="A60" s="1379"/>
      <c r="B60" s="1379"/>
      <c r="C60" s="1379"/>
      <c r="D60" s="1379"/>
      <c r="E60" s="1379"/>
      <c r="F60" s="1379"/>
      <c r="G60" s="1379"/>
      <c r="H60" s="1379"/>
      <c r="I60" s="1379"/>
      <c r="J60" s="1379"/>
      <c r="K60" s="1379"/>
      <c r="L60" s="1379"/>
      <c r="M60" s="1379"/>
      <c r="N60" s="1379"/>
      <c r="O60" s="1379"/>
      <c r="P60" s="1379"/>
      <c r="Q60" s="1379"/>
      <c r="R60" s="1379"/>
      <c r="S60" s="1379"/>
      <c r="T60" s="1379"/>
      <c r="U60" s="1379"/>
      <c r="V60" s="1379"/>
      <c r="W60" s="1379"/>
      <c r="X60" s="1379"/>
      <c r="Y60" s="1379"/>
      <c r="Z60" s="1379"/>
      <c r="AA60" s="1379"/>
      <c r="AB60" s="1379"/>
      <c r="AC60" s="1379"/>
      <c r="AD60" s="1379"/>
      <c r="AE60" s="1379"/>
      <c r="AF60" s="1379"/>
      <c r="AG60" s="1379"/>
      <c r="AH60" s="1379"/>
      <c r="AI60" s="1379"/>
      <c r="AJ60" s="1379"/>
      <c r="AK60" s="1379"/>
      <c r="AL60" s="1379"/>
      <c r="AM60" s="1379"/>
      <c r="AN60" s="1379"/>
      <c r="AO60" s="1379"/>
      <c r="AP60" s="1379"/>
      <c r="AQ60" s="1379"/>
      <c r="AR60" s="1379"/>
      <c r="AS60" s="1379"/>
      <c r="AT60" s="1379"/>
      <c r="AU60" s="1379"/>
      <c r="AV60" s="1379"/>
    </row>
    <row r="61" spans="1:48">
      <c r="A61" s="1379"/>
      <c r="B61" s="1379"/>
      <c r="C61" s="1379"/>
      <c r="D61" s="1379"/>
      <c r="E61" s="1379"/>
      <c r="F61" s="1379"/>
      <c r="G61" s="1379"/>
      <c r="H61" s="1379"/>
      <c r="I61" s="1379"/>
      <c r="J61" s="1379"/>
      <c r="K61" s="1379"/>
      <c r="L61" s="1379"/>
      <c r="M61" s="1379"/>
      <c r="N61" s="1379"/>
      <c r="O61" s="1379"/>
      <c r="P61" s="1379"/>
      <c r="Q61" s="1379"/>
      <c r="R61" s="1379"/>
      <c r="S61" s="1379"/>
      <c r="T61" s="1379"/>
      <c r="U61" s="1379"/>
      <c r="V61" s="1379"/>
      <c r="W61" s="1379"/>
      <c r="X61" s="1379"/>
      <c r="Y61" s="1379"/>
      <c r="Z61" s="1379"/>
      <c r="AA61" s="1379"/>
      <c r="AB61" s="1379"/>
      <c r="AC61" s="1379"/>
      <c r="AD61" s="1379"/>
      <c r="AE61" s="1379"/>
      <c r="AF61" s="1379"/>
      <c r="AG61" s="1379"/>
      <c r="AH61" s="1379"/>
      <c r="AI61" s="1379"/>
      <c r="AJ61" s="1379"/>
      <c r="AK61" s="1379"/>
      <c r="AL61" s="1379"/>
      <c r="AM61" s="1379"/>
      <c r="AN61" s="1379"/>
      <c r="AO61" s="1379"/>
      <c r="AP61" s="1379"/>
      <c r="AQ61" s="1379"/>
      <c r="AR61" s="1379"/>
      <c r="AS61" s="1379"/>
      <c r="AT61" s="1379"/>
      <c r="AU61" s="1379"/>
      <c r="AV61" s="1379"/>
    </row>
    <row r="62" spans="1:48">
      <c r="A62" s="1379"/>
      <c r="B62" s="1379"/>
      <c r="C62" s="1379"/>
      <c r="D62" s="1379"/>
      <c r="E62" s="1379"/>
      <c r="F62" s="1379"/>
      <c r="G62" s="1379"/>
      <c r="H62" s="1379"/>
      <c r="I62" s="1379"/>
      <c r="J62" s="1379"/>
      <c r="K62" s="1379"/>
      <c r="L62" s="1379"/>
      <c r="M62" s="1379"/>
      <c r="N62" s="1379"/>
      <c r="O62" s="1379"/>
      <c r="P62" s="1379"/>
      <c r="Q62" s="1379"/>
      <c r="R62" s="1379"/>
      <c r="S62" s="1379"/>
      <c r="T62" s="1379"/>
      <c r="U62" s="1379"/>
      <c r="V62" s="1379"/>
      <c r="W62" s="1379"/>
      <c r="X62" s="1379"/>
      <c r="Y62" s="1379"/>
      <c r="Z62" s="1379"/>
      <c r="AA62" s="1379"/>
      <c r="AB62" s="1379"/>
      <c r="AC62" s="1379"/>
      <c r="AD62" s="1379"/>
      <c r="AE62" s="1379"/>
      <c r="AF62" s="1379"/>
      <c r="AG62" s="1379"/>
      <c r="AH62" s="1379"/>
      <c r="AI62" s="1379"/>
      <c r="AJ62" s="1379"/>
      <c r="AK62" s="1379"/>
      <c r="AL62" s="1379"/>
      <c r="AM62" s="1379"/>
      <c r="AN62" s="1379"/>
      <c r="AO62" s="1379"/>
      <c r="AP62" s="1379"/>
      <c r="AQ62" s="1379"/>
      <c r="AR62" s="1379"/>
      <c r="AS62" s="1379"/>
      <c r="AT62" s="1379"/>
      <c r="AU62" s="1379"/>
      <c r="AV62" s="1379"/>
    </row>
    <row r="63" spans="1:48">
      <c r="A63" s="1379"/>
      <c r="B63" s="1379"/>
      <c r="C63" s="1379"/>
      <c r="D63" s="1379"/>
      <c r="E63" s="1379"/>
      <c r="F63" s="1379"/>
      <c r="G63" s="1379"/>
      <c r="H63" s="1379"/>
      <c r="I63" s="1379"/>
      <c r="J63" s="1379"/>
      <c r="K63" s="1379"/>
      <c r="L63" s="1379"/>
      <c r="M63" s="1379"/>
      <c r="N63" s="1379"/>
      <c r="O63" s="1379"/>
      <c r="P63" s="1379"/>
      <c r="Q63" s="1379"/>
      <c r="R63" s="1379"/>
      <c r="S63" s="1379"/>
      <c r="T63" s="1379"/>
      <c r="U63" s="1379"/>
      <c r="V63" s="1379"/>
      <c r="W63" s="1379"/>
      <c r="X63" s="1379"/>
      <c r="Y63" s="1379"/>
      <c r="Z63" s="1379"/>
      <c r="AA63" s="1379"/>
      <c r="AB63" s="1379"/>
      <c r="AC63" s="1379"/>
      <c r="AD63" s="1379"/>
      <c r="AE63" s="1379"/>
      <c r="AF63" s="1379"/>
      <c r="AG63" s="1379"/>
      <c r="AH63" s="1379"/>
      <c r="AI63" s="1379"/>
      <c r="AJ63" s="1379"/>
      <c r="AK63" s="1379"/>
      <c r="AL63" s="1379"/>
      <c r="AM63" s="1379"/>
      <c r="AN63" s="1379"/>
      <c r="AO63" s="1379"/>
      <c r="AP63" s="1379"/>
      <c r="AQ63" s="1379"/>
      <c r="AR63" s="1379"/>
      <c r="AS63" s="1379"/>
      <c r="AT63" s="1379"/>
      <c r="AU63" s="1379"/>
      <c r="AV63" s="1379"/>
    </row>
    <row r="64" spans="1:48">
      <c r="A64" s="1379"/>
      <c r="B64" s="1379"/>
      <c r="C64" s="1379"/>
      <c r="D64" s="1379"/>
      <c r="E64" s="1379"/>
      <c r="F64" s="1379"/>
      <c r="G64" s="1379"/>
      <c r="H64" s="1379"/>
      <c r="I64" s="1379"/>
      <c r="J64" s="1379"/>
      <c r="K64" s="1379"/>
      <c r="L64" s="1379"/>
      <c r="M64" s="1379"/>
      <c r="N64" s="1379"/>
      <c r="O64" s="1379"/>
      <c r="P64" s="1379"/>
      <c r="Q64" s="1379"/>
      <c r="R64" s="1379"/>
      <c r="S64" s="1379"/>
      <c r="T64" s="1379"/>
      <c r="U64" s="1379"/>
      <c r="V64" s="1379"/>
      <c r="W64" s="1379"/>
      <c r="X64" s="1379"/>
      <c r="Y64" s="1379"/>
      <c r="Z64" s="1379"/>
      <c r="AA64" s="1379"/>
      <c r="AB64" s="1379"/>
      <c r="AC64" s="1379"/>
      <c r="AD64" s="1379"/>
      <c r="AE64" s="1379"/>
      <c r="AF64" s="1379"/>
      <c r="AG64" s="1379"/>
      <c r="AH64" s="1379"/>
      <c r="AI64" s="1379"/>
      <c r="AJ64" s="1379"/>
      <c r="AK64" s="1379"/>
      <c r="AL64" s="1379"/>
      <c r="AM64" s="1379"/>
      <c r="AN64" s="1379"/>
      <c r="AO64" s="1379"/>
      <c r="AP64" s="1379"/>
      <c r="AQ64" s="1379"/>
      <c r="AR64" s="1379"/>
      <c r="AS64" s="1379"/>
      <c r="AT64" s="1379"/>
      <c r="AU64" s="1379"/>
      <c r="AV64" s="1379"/>
    </row>
    <row r="65" spans="1:48">
      <c r="A65" s="1379"/>
      <c r="B65" s="1379"/>
      <c r="C65" s="1379"/>
      <c r="D65" s="1379"/>
      <c r="E65" s="1379"/>
      <c r="F65" s="1379"/>
      <c r="G65" s="1379"/>
      <c r="H65" s="1379"/>
      <c r="I65" s="1379"/>
      <c r="J65" s="1379"/>
      <c r="K65" s="1379"/>
      <c r="L65" s="1379"/>
      <c r="M65" s="1379"/>
      <c r="N65" s="1379"/>
      <c r="O65" s="1379"/>
      <c r="P65" s="1379"/>
      <c r="Q65" s="1379"/>
      <c r="R65" s="1379"/>
      <c r="S65" s="1379"/>
      <c r="T65" s="1379"/>
      <c r="U65" s="1379"/>
      <c r="V65" s="1379"/>
      <c r="W65" s="1379"/>
      <c r="X65" s="1379"/>
      <c r="Y65" s="1379"/>
      <c r="Z65" s="1379"/>
      <c r="AA65" s="1379"/>
      <c r="AB65" s="1379"/>
      <c r="AC65" s="1379"/>
      <c r="AD65" s="1379"/>
      <c r="AE65" s="1379"/>
      <c r="AF65" s="1379"/>
      <c r="AG65" s="1379"/>
      <c r="AH65" s="1379"/>
      <c r="AI65" s="1379"/>
      <c r="AJ65" s="1379"/>
      <c r="AK65" s="1379"/>
      <c r="AL65" s="1379"/>
      <c r="AM65" s="1379"/>
      <c r="AN65" s="1379"/>
      <c r="AO65" s="1379"/>
      <c r="AP65" s="1379"/>
      <c r="AQ65" s="1379"/>
      <c r="AR65" s="1379"/>
      <c r="AS65" s="1379"/>
      <c r="AT65" s="1379"/>
      <c r="AU65" s="1379"/>
      <c r="AV65" s="1379"/>
    </row>
    <row r="66" spans="1:48">
      <c r="A66" s="1379"/>
      <c r="B66" s="1379"/>
      <c r="C66" s="1379"/>
      <c r="D66" s="1379"/>
      <c r="E66" s="1379"/>
      <c r="F66" s="1379"/>
      <c r="G66" s="1379"/>
      <c r="H66" s="1379"/>
      <c r="I66" s="1379"/>
      <c r="J66" s="1379"/>
      <c r="K66" s="1379"/>
      <c r="L66" s="1379"/>
      <c r="M66" s="1379"/>
      <c r="N66" s="1379"/>
      <c r="O66" s="1379"/>
      <c r="P66" s="1379"/>
      <c r="Q66" s="1379"/>
      <c r="R66" s="1379"/>
      <c r="S66" s="1379"/>
      <c r="T66" s="1379"/>
      <c r="U66" s="1379"/>
      <c r="V66" s="1379"/>
      <c r="W66" s="1379"/>
      <c r="X66" s="1379"/>
      <c r="Y66" s="1379"/>
      <c r="Z66" s="1379"/>
      <c r="AA66" s="1379"/>
      <c r="AB66" s="1379"/>
      <c r="AC66" s="1379"/>
      <c r="AD66" s="1379"/>
      <c r="AE66" s="1379"/>
      <c r="AF66" s="1379"/>
      <c r="AG66" s="1379"/>
      <c r="AH66" s="1379"/>
      <c r="AI66" s="1379"/>
      <c r="AJ66" s="1379"/>
      <c r="AK66" s="1379"/>
      <c r="AL66" s="1379"/>
      <c r="AM66" s="1379"/>
      <c r="AN66" s="1379"/>
      <c r="AO66" s="1379"/>
      <c r="AP66" s="1379"/>
      <c r="AQ66" s="1379"/>
      <c r="AR66" s="1379"/>
      <c r="AS66" s="1379"/>
      <c r="AT66" s="1379"/>
      <c r="AU66" s="1379"/>
      <c r="AV66" s="1379"/>
    </row>
    <row r="67" spans="1:48">
      <c r="A67" s="1379"/>
      <c r="B67" s="1379"/>
      <c r="C67" s="1379"/>
      <c r="D67" s="1379"/>
      <c r="E67" s="1379"/>
      <c r="F67" s="1379"/>
      <c r="G67" s="1379"/>
      <c r="H67" s="1379"/>
      <c r="I67" s="1379"/>
      <c r="J67" s="1379"/>
      <c r="K67" s="1379"/>
      <c r="L67" s="1379"/>
      <c r="M67" s="1379"/>
      <c r="N67" s="1379"/>
      <c r="O67" s="1379"/>
      <c r="P67" s="1379"/>
      <c r="Q67" s="1379"/>
      <c r="R67" s="1379"/>
      <c r="S67" s="1379"/>
      <c r="T67" s="1379"/>
      <c r="U67" s="1379"/>
      <c r="V67" s="1379"/>
      <c r="W67" s="1379"/>
      <c r="X67" s="1379"/>
      <c r="Y67" s="1379"/>
      <c r="Z67" s="1379"/>
      <c r="AA67" s="1379"/>
      <c r="AB67" s="1379"/>
      <c r="AC67" s="1379"/>
      <c r="AD67" s="1379"/>
      <c r="AE67" s="1379"/>
      <c r="AF67" s="1379"/>
      <c r="AG67" s="1379"/>
      <c r="AH67" s="1379"/>
      <c r="AI67" s="1379"/>
      <c r="AJ67" s="1379"/>
      <c r="AK67" s="1379"/>
      <c r="AL67" s="1379"/>
      <c r="AM67" s="1379"/>
      <c r="AN67" s="1379"/>
      <c r="AO67" s="1379"/>
      <c r="AP67" s="1379"/>
      <c r="AQ67" s="1379"/>
      <c r="AR67" s="1379"/>
      <c r="AS67" s="1379"/>
      <c r="AT67" s="1379"/>
      <c r="AU67" s="1379"/>
      <c r="AV67" s="1379"/>
    </row>
  </sheetData>
  <sheetProtection password="889B" sheet="1" objects="1" scenarios="1"/>
  <mergeCells count="46">
    <mergeCell ref="B2:I2"/>
    <mergeCell ref="B29:L29"/>
    <mergeCell ref="B17:L17"/>
    <mergeCell ref="B18:L18"/>
    <mergeCell ref="B19:L19"/>
    <mergeCell ref="B25:L25"/>
    <mergeCell ref="B26:L26"/>
    <mergeCell ref="B27:L27"/>
    <mergeCell ref="B22:L22"/>
    <mergeCell ref="B23:L23"/>
    <mergeCell ref="N2:S2"/>
    <mergeCell ref="N6:S6"/>
    <mergeCell ref="B4:I4"/>
    <mergeCell ref="B13:L13"/>
    <mergeCell ref="B14:L14"/>
    <mergeCell ref="B15:L15"/>
    <mergeCell ref="R4:S4"/>
    <mergeCell ref="M4:O4"/>
    <mergeCell ref="R8:S8"/>
    <mergeCell ref="M8:O8"/>
    <mergeCell ref="B8:I8"/>
    <mergeCell ref="B38:L38"/>
    <mergeCell ref="B39:L39"/>
    <mergeCell ref="B30:L30"/>
    <mergeCell ref="B31:L31"/>
    <mergeCell ref="B33:L33"/>
    <mergeCell ref="B34:L34"/>
    <mergeCell ref="B37:L37"/>
    <mergeCell ref="B35:L35"/>
    <mergeCell ref="B21:L21"/>
    <mergeCell ref="R31:S31"/>
    <mergeCell ref="R33:S33"/>
    <mergeCell ref="R21:S21"/>
    <mergeCell ref="R29:S29"/>
    <mergeCell ref="R22:S22"/>
    <mergeCell ref="R27:S27"/>
    <mergeCell ref="R26:S26"/>
    <mergeCell ref="R25:S25"/>
    <mergeCell ref="R23:S23"/>
    <mergeCell ref="R24:S24"/>
    <mergeCell ref="R37:S37"/>
    <mergeCell ref="R38:S38"/>
    <mergeCell ref="R39:S39"/>
    <mergeCell ref="R36:S36"/>
    <mergeCell ref="R34:S34"/>
    <mergeCell ref="R35:S35"/>
  </mergeCells>
  <conditionalFormatting sqref="K4">
    <cfRule type="cellIs" dxfId="3740" priority="238" stopIfTrue="1" operator="equal">
      <formula>"НЕ"</formula>
    </cfRule>
  </conditionalFormatting>
  <conditionalFormatting sqref="K8">
    <cfRule type="cellIs" dxfId="3739" priority="236" stopIfTrue="1" operator="equal">
      <formula>"НЕ"</formula>
    </cfRule>
  </conditionalFormatting>
  <conditionalFormatting sqref="N13">
    <cfRule type="cellIs" dxfId="3738" priority="235" operator="equal">
      <formula>"крайното салдо -"</formula>
    </cfRule>
  </conditionalFormatting>
  <conditionalFormatting sqref="R13">
    <cfRule type="cellIs" dxfId="3737" priority="234" operator="equal">
      <formula>"началното салдо -"</formula>
    </cfRule>
  </conditionalFormatting>
  <conditionalFormatting sqref="B13:L13">
    <cfRule type="cellIs" dxfId="3736" priority="195" operator="equal">
      <formula>"Нетното салдо на с/ка 4500 в БЮДЖЕТ не е равно на нула! Неравнението е в:"</formula>
    </cfRule>
  </conditionalFormatting>
  <conditionalFormatting sqref="B14:L14">
    <cfRule type="cellIs" dxfId="3735" priority="194" operator="equal">
      <formula>"Нетното салдо на с/ка 4500 в СЕС не е равно на нула! Неравнението е в:"</formula>
    </cfRule>
  </conditionalFormatting>
  <conditionalFormatting sqref="B15:L15">
    <cfRule type="cellIs" dxfId="3734" priority="193" operator="equal">
      <formula>"Нетното салдо на с/ка 4500 в ДСД не е равно на нула! Неравнението е в:"</formula>
    </cfRule>
  </conditionalFormatting>
  <conditionalFormatting sqref="B17:L17">
    <cfRule type="cellIs" dxfId="3733" priority="192" operator="equal">
      <formula>"Нетното салдо на с/ка 4501 не е равно на нула! Неравнението е в:"</formula>
    </cfRule>
  </conditionalFormatting>
  <conditionalFormatting sqref="B18:L18">
    <cfRule type="cellIs" dxfId="3732" priority="191" operator="equal">
      <formula>"Нетното салдо на с/ка 4502 не е равно на нула! Неравнението е в:"</formula>
    </cfRule>
  </conditionalFormatting>
  <conditionalFormatting sqref="B19:L19">
    <cfRule type="cellIs" dxfId="3731" priority="190" operator="equal">
      <formula>"Нетното салдо на с/ка 4503 не е равно на нула! Неравнението е в:"</formula>
    </cfRule>
  </conditionalFormatting>
  <conditionalFormatting sqref="B21:L21">
    <cfRule type="cellIs" dxfId="3730" priority="189" operator="equal">
      <formula>"Нетното салдо на с/ка 7500 в БЮДЖЕТ не е равно на нула! Неравнението е в:"</formula>
    </cfRule>
  </conditionalFormatting>
  <conditionalFormatting sqref="B22:L22">
    <cfRule type="cellIs" dxfId="3729" priority="188" operator="equal">
      <formula>"Нетното салдо на с/ка 7500 в СЕС не е равно на нула! Неравнението е в:"</formula>
    </cfRule>
  </conditionalFormatting>
  <conditionalFormatting sqref="B23:L23">
    <cfRule type="cellIs" dxfId="3728" priority="187" operator="equal">
      <formula>"Нетното салдо на с/ка 7500 в ДСД не е равно на нула! Неравнението е в:"</formula>
    </cfRule>
  </conditionalFormatting>
  <conditionalFormatting sqref="B25:L25">
    <cfRule type="cellIs" dxfId="3727" priority="186" operator="equal">
      <formula>"Нетното салдо на с/ка 7501 в БЮДЖЕТ не е равно на нула! Неравнението е в:"</formula>
    </cfRule>
  </conditionalFormatting>
  <conditionalFormatting sqref="B26:L26">
    <cfRule type="cellIs" dxfId="3726" priority="185" operator="equal">
      <formula>"Нетното салдо на с/ка 7501 в СЕС не е равно на нула! Неравнението е в:"</formula>
    </cfRule>
  </conditionalFormatting>
  <conditionalFormatting sqref="B27:L27">
    <cfRule type="cellIs" dxfId="3725" priority="184" operator="equal">
      <formula>"Нетното салдо на с/ка 7501 в ДСД не е равно на нула! Неравнението е в:"</formula>
    </cfRule>
  </conditionalFormatting>
  <conditionalFormatting sqref="B29:L29">
    <cfRule type="cellIs" dxfId="3724" priority="183" operator="equal">
      <formula>"Нетното салдо на с/ка 7502 в БЮДЖЕТ не е равно на нула! Неравнението е в:"</formula>
    </cfRule>
  </conditionalFormatting>
  <conditionalFormatting sqref="B30:L30">
    <cfRule type="cellIs" dxfId="3723" priority="182" operator="equal">
      <formula>"Нетното салдо на с/ка 7502 в СЕС не е равно на нула! Неравнението е в:"</formula>
    </cfRule>
  </conditionalFormatting>
  <conditionalFormatting sqref="B31:L31">
    <cfRule type="cellIs" dxfId="3722" priority="181" operator="equal">
      <formula>"Нетното салдо на с/ка 7502 в ДСД не е равно на нула! Неравнението е в:"</formula>
    </cfRule>
  </conditionalFormatting>
  <conditionalFormatting sqref="B33:L33">
    <cfRule type="cellIs" dxfId="3721" priority="180" operator="equal">
      <formula>"Нетното салдо на с/ка 7600 в БЮДЖЕТ не е равно на нула! Неравнението е в:"</formula>
    </cfRule>
  </conditionalFormatting>
  <conditionalFormatting sqref="B34:L34">
    <cfRule type="cellIs" dxfId="3720" priority="179" operator="equal">
      <formula>"Нетното салдо на с/ка 7600 в СЕС не е равно на нула! Неравнението е в:"</formula>
    </cfRule>
  </conditionalFormatting>
  <conditionalFormatting sqref="B35:L35">
    <cfRule type="cellIs" dxfId="3719" priority="178" operator="equal">
      <formula>"Нетното салдо на с/ка 7600 в ДСД не е равно на нула! Неравнението е в:"</formula>
    </cfRule>
  </conditionalFormatting>
  <conditionalFormatting sqref="B37:L37">
    <cfRule type="cellIs" dxfId="3718" priority="177" operator="equal">
      <formula>"Нетното салдо на с/ка 7601 не е равно на нула! Неравнението е в:"</formula>
    </cfRule>
  </conditionalFormatting>
  <conditionalFormatting sqref="B38:L38">
    <cfRule type="cellIs" dxfId="3717" priority="176" operator="equal">
      <formula>"Нетното салдо на с/ка 7602 не е равно на нула! Неравнението е в:"</formula>
    </cfRule>
  </conditionalFormatting>
  <conditionalFormatting sqref="B39:L39">
    <cfRule type="cellIs" dxfId="3716" priority="175" operator="equal">
      <formula>"Нетното салдо на с/ка 7603 не е равно на нула! Неравнението е в:"</formula>
    </cfRule>
  </conditionalFormatting>
  <conditionalFormatting sqref="N14:N15">
    <cfRule type="cellIs" dxfId="3715" priority="174" operator="equal">
      <formula>"крайното салдо -"</formula>
    </cfRule>
  </conditionalFormatting>
  <conditionalFormatting sqref="N17:N19">
    <cfRule type="cellIs" dxfId="3714" priority="173" operator="equal">
      <formula>"крайното салдо -"</formula>
    </cfRule>
  </conditionalFormatting>
  <conditionalFormatting sqref="N21:N23">
    <cfRule type="cellIs" dxfId="3713" priority="172" operator="equal">
      <formula>"крайното салдо -"</formula>
    </cfRule>
  </conditionalFormatting>
  <conditionalFormatting sqref="N25:N27">
    <cfRule type="cellIs" dxfId="3712" priority="171" operator="equal">
      <formula>"крайното салдо -"</formula>
    </cfRule>
  </conditionalFormatting>
  <conditionalFormatting sqref="N29:N31">
    <cfRule type="cellIs" dxfId="3711" priority="170" operator="equal">
      <formula>"крайното салдо -"</formula>
    </cfRule>
  </conditionalFormatting>
  <conditionalFormatting sqref="N33:N35">
    <cfRule type="cellIs" dxfId="3710" priority="169" operator="equal">
      <formula>"крайното салдо -"</formula>
    </cfRule>
  </conditionalFormatting>
  <conditionalFormatting sqref="N37:N39">
    <cfRule type="cellIs" dxfId="3709" priority="168" operator="equal">
      <formula>"крайното салдо -"</formula>
    </cfRule>
  </conditionalFormatting>
  <conditionalFormatting sqref="R14:R15">
    <cfRule type="cellIs" dxfId="3708" priority="167" operator="equal">
      <formula>"началното салдо -"</formula>
    </cfRule>
  </conditionalFormatting>
  <conditionalFormatting sqref="R17:R19">
    <cfRule type="cellIs" dxfId="3707" priority="166" operator="equal">
      <formula>"началното салдо -"</formula>
    </cfRule>
  </conditionalFormatting>
  <conditionalFormatting sqref="O13:P15 O17:P19 O21:P23 O25:P27 O29:P31 O33:P35 O37:P39 S13:S15 S17:S19 S30 S28 S32 Q39">
    <cfRule type="cellIs" dxfId="3706" priority="160" operator="notEqual">
      <formula>0</formula>
    </cfRule>
  </conditionalFormatting>
  <conditionalFormatting sqref="N2:S2">
    <cfRule type="expression" dxfId="3705" priority="143">
      <formula>$T$4="ДА"</formula>
    </cfRule>
    <cfRule type="cellIs" dxfId="3704" priority="149" operator="equal">
      <formula>0</formula>
    </cfRule>
  </conditionalFormatting>
  <conditionalFormatting sqref="R4:S4">
    <cfRule type="expression" dxfId="3703" priority="135">
      <formula>$N$2=0</formula>
    </cfRule>
    <cfRule type="expression" dxfId="3702" priority="144">
      <formula>$T$4="ДА"</formula>
    </cfRule>
  </conditionalFormatting>
  <conditionalFormatting sqref="M4:P4">
    <cfRule type="expression" dxfId="3701" priority="142">
      <formula>$T$4="ДА"</formula>
    </cfRule>
  </conditionalFormatting>
  <conditionalFormatting sqref="M2">
    <cfRule type="expression" dxfId="3700" priority="120">
      <formula>$T$4="ДА"</formula>
    </cfRule>
    <cfRule type="cellIs" dxfId="3699" priority="140" operator="notEqual">
      <formula>0</formula>
    </cfRule>
  </conditionalFormatting>
  <conditionalFormatting sqref="M4:O4">
    <cfRule type="expression" dxfId="3698" priority="136">
      <formula>$N$2=0</formula>
    </cfRule>
    <cfRule type="expression" dxfId="3697" priority="137">
      <formula>$P$4="ДА"</formula>
    </cfRule>
  </conditionalFormatting>
  <conditionalFormatting sqref="P4 T4">
    <cfRule type="expression" dxfId="3696" priority="2830">
      <formula>$N$2=0</formula>
    </cfRule>
    <cfRule type="cellIs" dxfId="3695" priority="2831" stopIfTrue="1" operator="equal">
      <formula>"НЕ"</formula>
    </cfRule>
  </conditionalFormatting>
  <conditionalFormatting sqref="M7">
    <cfRule type="cellIs" dxfId="3694" priority="131" operator="notEqual">
      <formula>0</formula>
    </cfRule>
  </conditionalFormatting>
  <conditionalFormatting sqref="N7:S7">
    <cfRule type="cellIs" dxfId="3693" priority="132" operator="notEqual">
      <formula>0</formula>
    </cfRule>
    <cfRule type="expression" dxfId="3692" priority="133">
      <formula>$T$4="ДА"</formula>
    </cfRule>
    <cfRule type="cellIs" dxfId="3691" priority="134" operator="equal">
      <formula>0</formula>
    </cfRule>
  </conditionalFormatting>
  <conditionalFormatting sqref="M8:O8">
    <cfRule type="expression" dxfId="3690" priority="130">
      <formula>$T$8="ДА"</formula>
    </cfRule>
  </conditionalFormatting>
  <conditionalFormatting sqref="M8:O8">
    <cfRule type="expression" dxfId="3689" priority="128">
      <formula>$N$6=0</formula>
    </cfRule>
    <cfRule type="expression" dxfId="3688" priority="129">
      <formula>$P$8="ДА"</formula>
    </cfRule>
  </conditionalFormatting>
  <conditionalFormatting sqref="P8">
    <cfRule type="expression" dxfId="3687" priority="125">
      <formula>$T$8="ДА"</formula>
    </cfRule>
  </conditionalFormatting>
  <conditionalFormatting sqref="P8">
    <cfRule type="expression" dxfId="3686" priority="126">
      <formula>$N$6=0</formula>
    </cfRule>
    <cfRule type="cellIs" dxfId="3685" priority="127" stopIfTrue="1" operator="equal">
      <formula>"НЕ"</formula>
    </cfRule>
  </conditionalFormatting>
  <conditionalFormatting sqref="R8:S8">
    <cfRule type="expression" dxfId="3684" priority="121">
      <formula>$N$6=0</formula>
    </cfRule>
    <cfRule type="expression" dxfId="3683" priority="122">
      <formula>$T$8="ДА"</formula>
    </cfRule>
  </conditionalFormatting>
  <conditionalFormatting sqref="T8">
    <cfRule type="expression" dxfId="3682" priority="123">
      <formula>$N$2=0</formula>
    </cfRule>
    <cfRule type="cellIs" dxfId="3681" priority="124" stopIfTrue="1" operator="equal">
      <formula>"НЕ"</formula>
    </cfRule>
  </conditionalFormatting>
  <conditionalFormatting sqref="N6:S6">
    <cfRule type="expression" dxfId="3680" priority="118">
      <formula>$T$8="ДА"</formula>
    </cfRule>
    <cfRule type="cellIs" dxfId="3679" priority="119" operator="equal">
      <formula>0</formula>
    </cfRule>
  </conditionalFormatting>
  <conditionalFormatting sqref="M6">
    <cfRule type="expression" dxfId="3678" priority="114">
      <formula>$T$8="ДА"</formula>
    </cfRule>
    <cfRule type="cellIs" dxfId="3677" priority="115" operator="notEqual">
      <formula>0</formula>
    </cfRule>
  </conditionalFormatting>
  <conditionalFormatting sqref="Q25">
    <cfRule type="cellIs" dxfId="3676" priority="113" operator="equal">
      <formula>"началното салдо -"</formula>
    </cfRule>
  </conditionalFormatting>
  <conditionalFormatting sqref="R30">
    <cfRule type="cellIs" dxfId="3675" priority="78" operator="equal">
      <formula>"началното салдо -"</formula>
    </cfRule>
  </conditionalFormatting>
  <conditionalFormatting sqref="R30">
    <cfRule type="cellIs" dxfId="3674" priority="77" operator="equal">
      <formula>"началното салдо -"</formula>
    </cfRule>
  </conditionalFormatting>
  <conditionalFormatting sqref="R21:S21">
    <cfRule type="cellIs" dxfId="3673" priority="65" operator="notEqual">
      <formula>0</formula>
    </cfRule>
  </conditionalFormatting>
  <conditionalFormatting sqref="R29:S29">
    <cfRule type="cellIs" dxfId="3672" priority="62" operator="notEqual">
      <formula>0</formula>
    </cfRule>
  </conditionalFormatting>
  <conditionalFormatting sqref="R22:S22">
    <cfRule type="cellIs" dxfId="3671" priority="59" operator="notEqual">
      <formula>0</formula>
    </cfRule>
  </conditionalFormatting>
  <conditionalFormatting sqref="R27:S27">
    <cfRule type="cellIs" dxfId="3670" priority="57" operator="notEqual">
      <formula>0</formula>
    </cfRule>
  </conditionalFormatting>
  <conditionalFormatting sqref="R26:S26">
    <cfRule type="cellIs" dxfId="3669" priority="54" operator="notEqual">
      <formula>0</formula>
    </cfRule>
  </conditionalFormatting>
  <conditionalFormatting sqref="R25:S25">
    <cfRule type="cellIs" dxfId="3668" priority="51" operator="notEqual">
      <formula>0</formula>
    </cfRule>
  </conditionalFormatting>
  <conditionalFormatting sqref="S42">
    <cfRule type="cellIs" dxfId="3667" priority="50" operator="notEqual">
      <formula>0</formula>
    </cfRule>
  </conditionalFormatting>
  <conditionalFormatting sqref="R23:S23">
    <cfRule type="cellIs" dxfId="3666" priority="47" operator="notEqual">
      <formula>0</formula>
    </cfRule>
  </conditionalFormatting>
  <conditionalFormatting sqref="R24:S24">
    <cfRule type="cellIs" dxfId="3665" priority="46" operator="notEqual">
      <formula>0</formula>
    </cfRule>
  </conditionalFormatting>
  <conditionalFormatting sqref="R36:S36">
    <cfRule type="cellIs" dxfId="3664" priority="35" operator="notEqual">
      <formula>0</formula>
    </cfRule>
  </conditionalFormatting>
  <conditionalFormatting sqref="R31:S31">
    <cfRule type="cellIs" dxfId="3663" priority="21" operator="notEqual">
      <formula>0</formula>
    </cfRule>
  </conditionalFormatting>
  <conditionalFormatting sqref="R33:S33">
    <cfRule type="cellIs" dxfId="3662" priority="20" operator="notEqual">
      <formula>0</formula>
    </cfRule>
  </conditionalFormatting>
  <conditionalFormatting sqref="R34:S34">
    <cfRule type="cellIs" dxfId="3661" priority="19" operator="notEqual">
      <formula>0</formula>
    </cfRule>
  </conditionalFormatting>
  <conditionalFormatting sqref="R35:S35">
    <cfRule type="cellIs" dxfId="3660" priority="17" operator="notEqual">
      <formula>0</formula>
    </cfRule>
  </conditionalFormatting>
  <conditionalFormatting sqref="R40">
    <cfRule type="cellIs" dxfId="3659" priority="10" operator="equal">
      <formula>"началното салдо -"</formula>
    </cfRule>
  </conditionalFormatting>
  <conditionalFormatting sqref="R40">
    <cfRule type="cellIs" dxfId="3658" priority="9" operator="equal">
      <formula>"началното салдо -"</formula>
    </cfRule>
  </conditionalFormatting>
  <conditionalFormatting sqref="R40">
    <cfRule type="cellIs" dxfId="3657" priority="8" operator="equal">
      <formula>"началното салдо -"</formula>
    </cfRule>
  </conditionalFormatting>
  <conditionalFormatting sqref="R37:S37">
    <cfRule type="cellIs" dxfId="3656" priority="7" operator="notEqual">
      <formula>0</formula>
    </cfRule>
  </conditionalFormatting>
  <conditionalFormatting sqref="R38:S38">
    <cfRule type="cellIs" dxfId="3655" priority="6" operator="notEqual">
      <formula>0</formula>
    </cfRule>
  </conditionalFormatting>
  <conditionalFormatting sqref="R39:S39">
    <cfRule type="cellIs" dxfId="3654" priority="5" operator="notEqual">
      <formula>0</formula>
    </cfRule>
  </conditionalFormatting>
  <conditionalFormatting sqref="S41">
    <cfRule type="cellIs" dxfId="3653" priority="4" operator="notEqual">
      <formula>0</formula>
    </cfRule>
  </conditionalFormatting>
  <conditionalFormatting sqref="R41">
    <cfRule type="cellIs" dxfId="3652" priority="3" operator="equal">
      <formula>"началното салдо -"</formula>
    </cfRule>
  </conditionalFormatting>
  <conditionalFormatting sqref="R41">
    <cfRule type="cellIs" dxfId="3651" priority="2" operator="equal">
      <formula>"началното салдо -"</formula>
    </cfRule>
  </conditionalFormatting>
  <conditionalFormatting sqref="B2:I2">
    <cfRule type="cellIs" dxfId="3650" priority="1" stopIfTrue="1" operator="equal">
      <formula>"Сметка 7500 не може да се ползва от общината!"</formula>
    </cfRule>
  </conditionalFormatting>
  <dataValidations count="1">
    <dataValidation type="list" allowBlank="1" showInputMessage="1" showErrorMessage="1" sqref="K4 P4 P8">
      <formula1>$K$10:$K$11</formula1>
    </dataValidation>
  </dataValidations>
  <pageMargins left="0.55118110236220474" right="0.23622047244094491" top="1.1023622047244095" bottom="0.19685039370078741" header="0.74803149606299213" footer="0.19685039370078741"/>
  <pageSetup paperSize="9" orientation="portrait" horizontalDpi="4294967292" r:id="rId1"/>
  <headerFooter alignWithMargins="0">
    <oddHeader>&amp;C&amp;"Times New Roman CYR,Bold"&amp;12- &amp;P / &amp;N -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>
  <dimension ref="A1:BD999"/>
  <sheetViews>
    <sheetView tabSelected="1" zoomScaleNormal="100" workbookViewId="0">
      <pane xSplit="12" ySplit="13" topLeftCell="AQ888" activePane="bottomRight" state="frozen"/>
      <selection activeCell="N33" sqref="N33:O33"/>
      <selection pane="topRight" activeCell="N33" sqref="N33:O33"/>
      <selection pane="bottomLeft" activeCell="N33" sqref="N33:O33"/>
      <selection pane="bottomRight" activeCell="M14" sqref="M14"/>
    </sheetView>
  </sheetViews>
  <sheetFormatPr defaultRowHeight="15"/>
  <cols>
    <col min="1" max="1" width="6.140625" style="1392" customWidth="1"/>
    <col min="2" max="2" width="8.7109375" style="1392" customWidth="1"/>
    <col min="3" max="3" width="9.7109375" style="1392" customWidth="1"/>
    <col min="4" max="4" width="9.42578125" style="1392" customWidth="1"/>
    <col min="5" max="5" width="9.140625" style="1392"/>
    <col min="6" max="6" width="9.85546875" style="1392" customWidth="1"/>
    <col min="7" max="7" width="9" style="1392" customWidth="1"/>
    <col min="8" max="8" width="8.140625" style="1392" customWidth="1"/>
    <col min="9" max="9" width="10.7109375" style="1392" customWidth="1"/>
    <col min="10" max="10" width="1.140625" style="1392" customWidth="1"/>
    <col min="11" max="11" width="11.140625" style="1392" customWidth="1"/>
    <col min="12" max="12" width="12" style="1392" customWidth="1"/>
    <col min="13" max="13" width="2.28515625" style="1395" customWidth="1"/>
    <col min="14" max="14" width="7.28515625" style="1396" customWidth="1"/>
    <col min="15" max="20" width="21" style="1393" customWidth="1"/>
    <col min="21" max="21" width="1" style="1395" customWidth="1"/>
    <col min="22" max="27" width="21" style="1393" customWidth="1"/>
    <col min="28" max="28" width="1" style="1395" customWidth="1"/>
    <col min="29" max="34" width="21" style="1393" customWidth="1"/>
    <col min="35" max="35" width="30.28515625" style="1395" customWidth="1"/>
    <col min="36" max="36" width="7.28515625" style="1396" customWidth="1"/>
    <col min="37" max="42" width="21" style="1393" customWidth="1"/>
    <col min="43" max="43" width="4" style="1392" customWidth="1"/>
    <col min="44" max="46" width="20.42578125" style="1393" customWidth="1"/>
    <col min="47" max="47" width="2.28515625" style="1392" customWidth="1"/>
    <col min="48" max="50" width="26.140625" style="1392" customWidth="1"/>
    <col min="51" max="51" width="2.28515625" style="1392" customWidth="1"/>
    <col min="52" max="54" width="9.140625" style="1392"/>
    <col min="55" max="55" width="2.28515625" style="1392" customWidth="1"/>
    <col min="56" max="16384" width="9.140625" style="1392"/>
  </cols>
  <sheetData>
    <row r="1" spans="1:56" ht="2.25" customHeight="1" thickBot="1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45"/>
      <c r="N1" s="110"/>
      <c r="O1" s="17"/>
      <c r="P1" s="17"/>
      <c r="Q1" s="17"/>
      <c r="R1" s="17"/>
      <c r="S1" s="17"/>
      <c r="T1" s="17"/>
      <c r="U1" s="45"/>
      <c r="V1" s="17"/>
      <c r="W1" s="17"/>
      <c r="X1" s="17"/>
      <c r="Y1" s="17"/>
      <c r="Z1" s="17"/>
      <c r="AA1" s="17"/>
      <c r="AB1" s="45"/>
      <c r="AC1" s="17"/>
      <c r="AD1" s="17"/>
      <c r="AE1" s="17"/>
      <c r="AF1" s="17"/>
      <c r="AG1" s="17"/>
      <c r="AH1" s="17"/>
      <c r="AI1" s="45"/>
      <c r="AJ1" s="201"/>
      <c r="AK1" s="17"/>
      <c r="AL1" s="17"/>
      <c r="AM1" s="17"/>
      <c r="AN1" s="17"/>
      <c r="AO1" s="17"/>
      <c r="AP1" s="17"/>
      <c r="AQ1" s="43"/>
      <c r="AR1" s="17"/>
      <c r="AS1" s="17"/>
      <c r="AT1" s="17"/>
      <c r="AU1" s="43"/>
      <c r="AV1" s="43"/>
      <c r="AW1" s="43"/>
      <c r="AX1" s="43"/>
      <c r="AY1" s="43"/>
      <c r="AZ1" s="43"/>
      <c r="BA1" s="43"/>
      <c r="BB1" s="43"/>
      <c r="BC1" s="43"/>
      <c r="BD1" s="43"/>
    </row>
    <row r="2" spans="1:56" ht="18" customHeight="1" thickBot="1">
      <c r="A2" s="439" t="s">
        <v>257</v>
      </c>
      <c r="B2" s="3"/>
      <c r="C2" s="4"/>
      <c r="D2" s="3"/>
      <c r="E2" s="2397" t="s">
        <v>2306</v>
      </c>
      <c r="F2" s="2398"/>
      <c r="G2" s="2398"/>
      <c r="H2" s="2398"/>
      <c r="I2" s="2398"/>
      <c r="J2" s="2398"/>
      <c r="K2" s="2398"/>
      <c r="L2" s="2399"/>
      <c r="M2" s="46"/>
      <c r="N2" s="1950" t="str">
        <f>+LEFT(H12,6)</f>
        <v>31 мар</v>
      </c>
      <c r="O2" s="18" t="s">
        <v>191</v>
      </c>
      <c r="P2" s="19" t="str">
        <f>+IF(+P892=0,"O K","НЕРАВНЕНИЕ !")</f>
        <v>O K</v>
      </c>
      <c r="Q2" s="20" t="s">
        <v>188</v>
      </c>
      <c r="R2" s="19" t="str">
        <f>+IF(+R892=0,"O K","НЕРАВНЕНИЕ !")</f>
        <v>O K</v>
      </c>
      <c r="S2" s="20" t="s">
        <v>192</v>
      </c>
      <c r="T2" s="21" t="str">
        <f>+IF(+T892=0,"O K","НЕРАВНЕНИЕ !")</f>
        <v>O K</v>
      </c>
      <c r="U2" s="46"/>
      <c r="V2" s="422" t="s">
        <v>191</v>
      </c>
      <c r="W2" s="423" t="str">
        <f>+IF(+W892=0,"O K","НЕРАВНЕНИЕ !")</f>
        <v>O K</v>
      </c>
      <c r="X2" s="424" t="s">
        <v>188</v>
      </c>
      <c r="Y2" s="425" t="str">
        <f>+IF(+Y892=0,"O K","НЕРАВНЕНИЕ !")</f>
        <v>O K</v>
      </c>
      <c r="Z2" s="426" t="s">
        <v>192</v>
      </c>
      <c r="AA2" s="427" t="str">
        <f>+IF(+AA892=0,"O K","НЕРАВНЕНИЕ !")</f>
        <v>O K</v>
      </c>
      <c r="AB2" s="46"/>
      <c r="AC2" s="71" t="s">
        <v>191</v>
      </c>
      <c r="AD2" s="69" t="str">
        <f>+IF(+AD892=0,"O K","НЕРАВНЕНИЕ !")</f>
        <v>O K</v>
      </c>
      <c r="AE2" s="70" t="s">
        <v>188</v>
      </c>
      <c r="AF2" s="69" t="str">
        <f>+IF(+AF892=0,"O K","НЕРАВНЕНИЕ !")</f>
        <v>O K</v>
      </c>
      <c r="AG2" s="70" t="s">
        <v>192</v>
      </c>
      <c r="AH2" s="68" t="str">
        <f>+IF(+AH892=0,"O K","НЕРАВНЕНИЕ !")</f>
        <v>O K</v>
      </c>
      <c r="AI2" s="46"/>
      <c r="AJ2" s="204"/>
      <c r="AK2" s="1556" t="s">
        <v>191</v>
      </c>
      <c r="AL2" s="1739" t="str">
        <f>+IF(+AL892=0,"O K","НЕРАВНЕНИЕ !")</f>
        <v>O K</v>
      </c>
      <c r="AM2" s="1737" t="s">
        <v>188</v>
      </c>
      <c r="AN2" s="1738" t="str">
        <f>+IF(+AN892=0,"O K","НЕРАВНЕНИЕ !")</f>
        <v>O K</v>
      </c>
      <c r="AO2" s="1737" t="s">
        <v>192</v>
      </c>
      <c r="AP2" s="1740" t="str">
        <f>+IF(+AP892=0,"O K","НЕРАВНЕНИЕ !")</f>
        <v>O K</v>
      </c>
      <c r="AQ2" s="43"/>
      <c r="AR2" s="43"/>
      <c r="AS2" s="43"/>
      <c r="AT2" s="43"/>
      <c r="AU2" s="43"/>
      <c r="AV2" s="43"/>
      <c r="AW2" s="43"/>
      <c r="AX2" s="43"/>
      <c r="AY2" s="43"/>
      <c r="AZ2" s="43"/>
      <c r="BA2" s="43"/>
      <c r="BB2" s="43"/>
      <c r="BC2" s="43"/>
      <c r="BD2" s="43"/>
    </row>
    <row r="3" spans="1:56" ht="3.75" customHeight="1" thickBot="1">
      <c r="A3" s="2415" t="str">
        <f>+IF('Local-&amp;-SSF'!E6&gt;0,"Код на общински разпоредител с бюджет","код от Регистъра на бюдж. организации в СЕБРА")</f>
        <v>код от Регистъра на бюдж. организации в СЕБРА</v>
      </c>
      <c r="B3" s="2415"/>
      <c r="C3" s="2415"/>
      <c r="D3" s="1916"/>
      <c r="E3" s="1916"/>
      <c r="F3" s="1916"/>
      <c r="G3" s="1916"/>
      <c r="H3" s="1916"/>
      <c r="I3" s="1916"/>
      <c r="J3" s="1916"/>
      <c r="K3" s="1916"/>
      <c r="L3" s="1916"/>
      <c r="M3" s="45"/>
      <c r="N3" s="110"/>
      <c r="O3" s="17"/>
      <c r="P3" s="17"/>
      <c r="Q3" s="17"/>
      <c r="R3" s="17"/>
      <c r="S3" s="17"/>
      <c r="T3" s="17"/>
      <c r="U3" s="45"/>
      <c r="V3" s="428"/>
      <c r="W3" s="428"/>
      <c r="X3" s="428"/>
      <c r="Y3" s="428"/>
      <c r="Z3" s="428"/>
      <c r="AA3" s="428"/>
      <c r="AB3" s="45"/>
      <c r="AC3" s="17"/>
      <c r="AD3" s="17"/>
      <c r="AE3" s="17"/>
      <c r="AF3" s="17"/>
      <c r="AG3" s="17"/>
      <c r="AH3" s="17"/>
      <c r="AI3" s="45"/>
      <c r="AJ3" s="201"/>
      <c r="AK3" s="17"/>
      <c r="AL3" s="17"/>
      <c r="AM3" s="17"/>
      <c r="AN3" s="17"/>
      <c r="AO3" s="17"/>
      <c r="AP3" s="17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  <c r="BC3" s="43"/>
      <c r="BD3" s="43"/>
    </row>
    <row r="4" spans="1:56" ht="16.5" customHeight="1" thickBot="1">
      <c r="A4" s="2415"/>
      <c r="B4" s="2415"/>
      <c r="C4" s="2415"/>
      <c r="D4" s="2410"/>
      <c r="E4" s="2411"/>
      <c r="F4" s="1917" t="s">
        <v>1949</v>
      </c>
      <c r="G4" s="2412"/>
      <c r="H4" s="2413"/>
      <c r="I4" s="2413"/>
      <c r="J4" s="2413"/>
      <c r="K4" s="2413"/>
      <c r="L4" s="2414"/>
      <c r="M4" s="47"/>
      <c r="N4" s="1950" t="str">
        <f>+IF($N$2="31 дек","12",+IF($N$2="30 сеп","09",+IF($N$2="30 юни","06",+IF($N$2="31 мар","03",0))))</f>
        <v>03</v>
      </c>
      <c r="O4" s="18" t="s">
        <v>189</v>
      </c>
      <c r="P4" s="19" t="str">
        <f>+IF(+P894=0,"O K","НЕРАВНЕНИЕ !")</f>
        <v>O K</v>
      </c>
      <c r="Q4" s="20" t="s">
        <v>190</v>
      </c>
      <c r="R4" s="19" t="str">
        <f>+IF(+R894=0,"O K","НЕРАВНЕНИЕ !")</f>
        <v>O K</v>
      </c>
      <c r="S4" s="20" t="s">
        <v>193</v>
      </c>
      <c r="T4" s="21" t="str">
        <f>+IF(+T894=0,"O K","НЕРАВНЕНИЕ !")</f>
        <v>O K</v>
      </c>
      <c r="U4" s="47"/>
      <c r="V4" s="422" t="s">
        <v>189</v>
      </c>
      <c r="W4" s="423" t="str">
        <f>+IF(+W894=0,"O K","НЕРАВНЕНИЕ !")</f>
        <v>O K</v>
      </c>
      <c r="X4" s="424" t="s">
        <v>190</v>
      </c>
      <c r="Y4" s="425" t="str">
        <f>+IF(+Y894=0,"O K","НЕРАВНЕНИЕ !")</f>
        <v>O K</v>
      </c>
      <c r="Z4" s="426" t="s">
        <v>193</v>
      </c>
      <c r="AA4" s="429" t="str">
        <f>+IF(+AA894=0,"O K","НЕРАВНЕНИЕ !")</f>
        <v>O K</v>
      </c>
      <c r="AB4" s="47"/>
      <c r="AC4" s="71" t="s">
        <v>189</v>
      </c>
      <c r="AD4" s="69" t="str">
        <f>+IF(+AD894=0,"O K","НЕРАВНЕНИЕ !")</f>
        <v>O K</v>
      </c>
      <c r="AE4" s="70" t="s">
        <v>190</v>
      </c>
      <c r="AF4" s="69" t="str">
        <f>+IF(+AF894=0,"O K","НЕРАВНЕНИЕ !")</f>
        <v>O K</v>
      </c>
      <c r="AG4" s="70" t="s">
        <v>193</v>
      </c>
      <c r="AH4" s="68" t="str">
        <f>+IF(+AH894=0,"O K","НЕРАВНЕНИЕ !")</f>
        <v>O K</v>
      </c>
      <c r="AI4" s="47"/>
      <c r="AJ4" s="204"/>
      <c r="AK4" s="1554" t="s">
        <v>189</v>
      </c>
      <c r="AL4" s="1555" t="str">
        <f>+IF(+AL894=0,"O K","НЕРАВНЕНИЕ !")</f>
        <v>O K</v>
      </c>
      <c r="AM4" s="1737" t="s">
        <v>190</v>
      </c>
      <c r="AN4" s="1738" t="str">
        <f>+IF(+AN894=0,"O K","НЕРАВНЕНИЕ !")</f>
        <v>O K</v>
      </c>
      <c r="AO4" s="1737" t="s">
        <v>193</v>
      </c>
      <c r="AP4" s="1740" t="str">
        <f>+IF(+AP894=0,"O K","НЕРАВНЕНИЕ !")</f>
        <v>O K</v>
      </c>
      <c r="AQ4" s="43"/>
      <c r="AR4" s="43"/>
      <c r="AS4" s="43"/>
      <c r="AT4" s="43"/>
      <c r="AU4" s="43"/>
      <c r="AV4" s="43"/>
      <c r="AW4" s="43"/>
      <c r="AX4" s="43"/>
      <c r="AY4" s="43"/>
      <c r="AZ4" s="43"/>
      <c r="BA4" s="43"/>
      <c r="BB4" s="43"/>
      <c r="BC4" s="43"/>
      <c r="BD4" s="43"/>
    </row>
    <row r="5" spans="1:56" ht="3.75" customHeight="1" thickBot="1">
      <c r="A5" s="2415"/>
      <c r="B5" s="2415"/>
      <c r="C5" s="2415"/>
      <c r="D5" s="1916"/>
      <c r="E5" s="1916"/>
      <c r="F5" s="1916"/>
      <c r="G5" s="1916"/>
      <c r="H5" s="1916"/>
      <c r="I5" s="1916"/>
      <c r="J5" s="1916"/>
      <c r="K5" s="1916"/>
      <c r="L5" s="1916"/>
      <c r="M5" s="45"/>
      <c r="N5" s="111"/>
      <c r="O5" s="17"/>
      <c r="P5" s="17"/>
      <c r="Q5" s="17"/>
      <c r="R5" s="17"/>
      <c r="S5" s="17"/>
      <c r="T5" s="17"/>
      <c r="U5" s="45"/>
      <c r="V5" s="428"/>
      <c r="W5" s="428"/>
      <c r="X5" s="428"/>
      <c r="Y5" s="428"/>
      <c r="Z5" s="428"/>
      <c r="AA5" s="428"/>
      <c r="AB5" s="45"/>
      <c r="AC5" s="17"/>
      <c r="AD5" s="17"/>
      <c r="AE5" s="17"/>
      <c r="AF5" s="17"/>
      <c r="AG5" s="17"/>
      <c r="AH5" s="17"/>
      <c r="AI5" s="45"/>
      <c r="AJ5" s="204"/>
      <c r="AK5" s="17"/>
      <c r="AL5" s="17"/>
      <c r="AM5" s="17"/>
      <c r="AN5" s="17"/>
      <c r="AO5" s="17"/>
      <c r="AP5" s="17"/>
      <c r="AQ5" s="43"/>
      <c r="AR5" s="43"/>
      <c r="AS5" s="43"/>
      <c r="AT5" s="43"/>
      <c r="AU5" s="43"/>
      <c r="AV5" s="43"/>
      <c r="AW5" s="43"/>
      <c r="AX5" s="43"/>
      <c r="AY5" s="43"/>
      <c r="AZ5" s="43"/>
      <c r="BA5" s="43"/>
      <c r="BB5" s="43"/>
      <c r="BC5" s="43"/>
      <c r="BD5" s="43"/>
    </row>
    <row r="6" spans="1:56" ht="18" customHeight="1">
      <c r="A6" s="518" t="s">
        <v>792</v>
      </c>
      <c r="B6" s="3"/>
      <c r="C6" s="2400">
        <v>341731</v>
      </c>
      <c r="D6" s="2401"/>
      <c r="E6" s="2402"/>
      <c r="F6" s="442" t="s">
        <v>534</v>
      </c>
      <c r="G6" s="2403" t="s">
        <v>2307</v>
      </c>
      <c r="H6" s="2404"/>
      <c r="I6" s="2404"/>
      <c r="J6" s="2404"/>
      <c r="K6" s="2404"/>
      <c r="L6" s="2405"/>
      <c r="M6" s="48"/>
      <c r="N6" s="111"/>
      <c r="O6" s="2432" t="s">
        <v>1118</v>
      </c>
      <c r="P6" s="2433"/>
      <c r="Q6" s="2433"/>
      <c r="R6" s="2433"/>
      <c r="S6" s="2433"/>
      <c r="T6" s="2434"/>
      <c r="U6" s="48"/>
      <c r="V6" s="2426" t="s">
        <v>185</v>
      </c>
      <c r="W6" s="2427"/>
      <c r="X6" s="2427"/>
      <c r="Y6" s="2427"/>
      <c r="Z6" s="2427"/>
      <c r="AA6" s="2428"/>
      <c r="AB6" s="48"/>
      <c r="AC6" s="2438" t="s">
        <v>160</v>
      </c>
      <c r="AD6" s="2439"/>
      <c r="AE6" s="2439"/>
      <c r="AF6" s="2439"/>
      <c r="AG6" s="2439"/>
      <c r="AH6" s="2440"/>
      <c r="AI6" s="48"/>
      <c r="AJ6" s="204"/>
      <c r="AK6" s="2444" t="str">
        <f>+E2</f>
        <v>ОУ "ПРОФЕСОР МАРИН ДРИНОВ"</v>
      </c>
      <c r="AL6" s="2423"/>
      <c r="AM6" s="2423"/>
      <c r="AN6" s="1557" t="s">
        <v>194</v>
      </c>
      <c r="AO6" s="2423" t="str">
        <f>+H12</f>
        <v>31 март 2020 г.</v>
      </c>
      <c r="AP6" s="2424"/>
      <c r="AQ6" s="43"/>
      <c r="AR6" s="43"/>
      <c r="AS6" s="43"/>
      <c r="AT6" s="43"/>
      <c r="AU6" s="43"/>
      <c r="AV6" s="43"/>
      <c r="AW6" s="43"/>
      <c r="AX6" s="43"/>
      <c r="AY6" s="43"/>
      <c r="AZ6" s="43"/>
      <c r="BA6" s="43"/>
      <c r="BB6" s="43"/>
      <c r="BC6" s="43"/>
      <c r="BD6" s="43"/>
    </row>
    <row r="7" spans="1:56" ht="3.75" customHeight="1" thickBot="1">
      <c r="A7" s="440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45"/>
      <c r="N7" s="111"/>
      <c r="O7" s="2435"/>
      <c r="P7" s="2436"/>
      <c r="Q7" s="2436"/>
      <c r="R7" s="2436"/>
      <c r="S7" s="2436"/>
      <c r="T7" s="2437"/>
      <c r="U7" s="421"/>
      <c r="V7" s="2429"/>
      <c r="W7" s="2430"/>
      <c r="X7" s="2430"/>
      <c r="Y7" s="2430"/>
      <c r="Z7" s="2430"/>
      <c r="AA7" s="2431"/>
      <c r="AB7" s="45"/>
      <c r="AC7" s="2441"/>
      <c r="AD7" s="2442"/>
      <c r="AE7" s="2442"/>
      <c r="AF7" s="2442"/>
      <c r="AG7" s="2442"/>
      <c r="AH7" s="2443"/>
      <c r="AI7" s="45"/>
      <c r="AJ7" s="204"/>
      <c r="AK7" s="1558"/>
      <c r="AL7" s="1501"/>
      <c r="AM7" s="1501"/>
      <c r="AN7" s="1501"/>
      <c r="AO7" s="1501"/>
      <c r="AP7" s="1559"/>
      <c r="AQ7" s="43"/>
      <c r="AR7" s="43"/>
      <c r="AS7" s="43"/>
      <c r="AT7" s="43"/>
      <c r="AU7" s="43"/>
      <c r="AV7" s="43"/>
      <c r="AW7" s="43"/>
      <c r="AX7" s="43"/>
      <c r="AY7" s="43"/>
      <c r="AZ7" s="43"/>
      <c r="BA7" s="43"/>
      <c r="BB7" s="43"/>
      <c r="BC7" s="43"/>
      <c r="BD7" s="43"/>
    </row>
    <row r="8" spans="1:56" ht="18" customHeight="1" thickTop="1">
      <c r="A8" s="441" t="s">
        <v>258</v>
      </c>
      <c r="B8" s="6"/>
      <c r="C8" s="1055"/>
      <c r="D8" s="199" t="s">
        <v>1137</v>
      </c>
      <c r="E8" s="964">
        <v>2020</v>
      </c>
      <c r="F8" s="443" t="s">
        <v>1204</v>
      </c>
      <c r="G8" s="2406" t="s">
        <v>2308</v>
      </c>
      <c r="H8" s="2407"/>
      <c r="I8" s="1269" t="s">
        <v>1206</v>
      </c>
      <c r="J8" s="2408"/>
      <c r="K8" s="2409"/>
      <c r="L8" s="2409"/>
      <c r="M8" s="48"/>
      <c r="N8" s="1569" t="s">
        <v>378</v>
      </c>
      <c r="O8" s="1095" t="s">
        <v>183</v>
      </c>
      <c r="P8" s="1096"/>
      <c r="Q8" s="1097" t="str">
        <f>+O8</f>
        <v xml:space="preserve">                   "Б Ю Д Ж Е Т"</v>
      </c>
      <c r="R8" s="1096"/>
      <c r="S8" s="1100" t="str">
        <f>+O8</f>
        <v xml:space="preserve">                   "Б Ю Д Ж Е Т"</v>
      </c>
      <c r="T8" s="1098"/>
      <c r="U8" s="48"/>
      <c r="V8" s="1101" t="s">
        <v>184</v>
      </c>
      <c r="W8" s="1102"/>
      <c r="X8" s="1103" t="str">
        <f>+V8</f>
        <v xml:space="preserve">            "Сметки за средства от ЕС"</v>
      </c>
      <c r="Y8" s="1102"/>
      <c r="Z8" s="1104" t="str">
        <f>+V8</f>
        <v xml:space="preserve">            "Сметки за средства от ЕС"</v>
      </c>
      <c r="AA8" s="1105"/>
      <c r="AB8" s="48"/>
      <c r="AC8" s="1106" t="s">
        <v>159</v>
      </c>
      <c r="AD8" s="1096"/>
      <c r="AE8" s="1107" t="s">
        <v>159</v>
      </c>
      <c r="AF8" s="1096"/>
      <c r="AG8" s="1108" t="s">
        <v>159</v>
      </c>
      <c r="AH8" s="1109"/>
      <c r="AI8" s="48"/>
      <c r="AJ8" s="1560" t="s">
        <v>378</v>
      </c>
      <c r="AK8" s="1504" t="s">
        <v>195</v>
      </c>
      <c r="AL8" s="1505"/>
      <c r="AM8" s="1506" t="s">
        <v>195</v>
      </c>
      <c r="AN8" s="1505"/>
      <c r="AO8" s="1502" t="s">
        <v>195</v>
      </c>
      <c r="AP8" s="1503"/>
      <c r="AQ8" s="43"/>
      <c r="AR8" s="1110" t="s">
        <v>2035</v>
      </c>
      <c r="AS8" s="1111"/>
      <c r="AT8" s="1112"/>
      <c r="AU8" s="43"/>
      <c r="AV8" s="2425">
        <f>+IF(AND(+AV13=0,AW13=0,AX13=0),0,"КОНТРОЛА - НАЛИЧИЕ И БРОЙ  НА ГРЕШНИ КРАЙНИ САЛДА")</f>
        <v>0</v>
      </c>
      <c r="AW8" s="2425"/>
      <c r="AX8" s="2425"/>
      <c r="AY8" s="43"/>
      <c r="AZ8" s="43"/>
      <c r="BA8" s="43"/>
      <c r="BB8" s="43"/>
      <c r="BC8" s="43"/>
      <c r="BD8" s="43"/>
    </row>
    <row r="9" spans="1:56" ht="3.75" customHeight="1">
      <c r="A9" s="440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45"/>
      <c r="N9" s="1570"/>
      <c r="O9" s="22"/>
      <c r="P9" s="23"/>
      <c r="Q9" s="24"/>
      <c r="R9" s="23"/>
      <c r="S9" s="1099"/>
      <c r="T9" s="25"/>
      <c r="U9" s="45"/>
      <c r="V9" s="22"/>
      <c r="W9" s="23"/>
      <c r="X9" s="24"/>
      <c r="Y9" s="23"/>
      <c r="Z9" s="1099"/>
      <c r="AA9" s="25"/>
      <c r="AB9" s="45"/>
      <c r="AC9" s="22"/>
      <c r="AD9" s="23"/>
      <c r="AE9" s="24"/>
      <c r="AF9" s="23"/>
      <c r="AG9" s="1099"/>
      <c r="AH9" s="25"/>
      <c r="AI9" s="45"/>
      <c r="AJ9" s="1561"/>
      <c r="AK9" s="1525"/>
      <c r="AL9" s="1526"/>
      <c r="AM9" s="1527"/>
      <c r="AN9" s="1526"/>
      <c r="AO9" s="1528"/>
      <c r="AP9" s="1529"/>
      <c r="AQ9" s="43"/>
      <c r="AR9" s="348"/>
      <c r="AS9" s="349"/>
      <c r="AT9" s="354"/>
      <c r="AU9" s="43"/>
      <c r="AV9" s="43"/>
      <c r="AW9" s="43"/>
      <c r="AX9" s="43"/>
      <c r="AY9" s="43"/>
      <c r="AZ9" s="43"/>
      <c r="BA9" s="43"/>
      <c r="BB9" s="43"/>
      <c r="BC9" s="43"/>
      <c r="BD9" s="43"/>
    </row>
    <row r="10" spans="1:56" ht="18" customHeight="1">
      <c r="A10" s="199" t="s">
        <v>259</v>
      </c>
      <c r="B10" s="5"/>
      <c r="C10" s="962" t="s">
        <v>260</v>
      </c>
      <c r="D10" s="199" t="s">
        <v>261</v>
      </c>
      <c r="E10" s="5"/>
      <c r="F10" s="963" t="s">
        <v>161</v>
      </c>
      <c r="G10" s="199" t="s">
        <v>380</v>
      </c>
      <c r="H10" s="444"/>
      <c r="I10" s="5"/>
      <c r="J10" s="5"/>
      <c r="K10" s="2420"/>
      <c r="L10" s="2421"/>
      <c r="M10" s="48"/>
      <c r="N10" s="1571">
        <f>+$C8</f>
        <v>0</v>
      </c>
      <c r="O10" s="142" t="s">
        <v>379</v>
      </c>
      <c r="P10" s="143"/>
      <c r="Q10" s="26" t="s">
        <v>262</v>
      </c>
      <c r="R10" s="144"/>
      <c r="S10" s="145" t="s">
        <v>263</v>
      </c>
      <c r="T10" s="146"/>
      <c r="U10" s="49"/>
      <c r="V10" s="142" t="s">
        <v>379</v>
      </c>
      <c r="W10" s="143"/>
      <c r="X10" s="26" t="s">
        <v>262</v>
      </c>
      <c r="Y10" s="144"/>
      <c r="Z10" s="145" t="s">
        <v>263</v>
      </c>
      <c r="AA10" s="146"/>
      <c r="AB10" s="49"/>
      <c r="AC10" s="142" t="s">
        <v>379</v>
      </c>
      <c r="AD10" s="143"/>
      <c r="AE10" s="26" t="s">
        <v>262</v>
      </c>
      <c r="AF10" s="144"/>
      <c r="AG10" s="145" t="s">
        <v>263</v>
      </c>
      <c r="AH10" s="146"/>
      <c r="AI10" s="48"/>
      <c r="AJ10" s="1562">
        <f>+C8</f>
        <v>0</v>
      </c>
      <c r="AK10" s="1530" t="s">
        <v>379</v>
      </c>
      <c r="AL10" s="1531"/>
      <c r="AM10" s="1532" t="s">
        <v>262</v>
      </c>
      <c r="AN10" s="1533"/>
      <c r="AO10" s="1534" t="s">
        <v>263</v>
      </c>
      <c r="AP10" s="1535"/>
      <c r="AQ10" s="43"/>
      <c r="AR10" s="355" t="str">
        <f>+IF(+AR13=0,"O K","ERROR !")</f>
        <v>O K</v>
      </c>
      <c r="AS10" s="356" t="str">
        <f>+IF(+AS13=0,"O K","ERROR !")</f>
        <v>O K</v>
      </c>
      <c r="AT10" s="357" t="str">
        <f>+IF(+AT13=0,"O K","ERROR !")</f>
        <v>O K</v>
      </c>
      <c r="AU10" s="43"/>
      <c r="AV10" s="2122">
        <f>+IF(AV13&gt;0,"БЮДЖЕТ",0)</f>
        <v>0</v>
      </c>
      <c r="AW10" s="2122">
        <f>+IF(AW13&gt;0,"СЕС",0)</f>
        <v>0</v>
      </c>
      <c r="AX10" s="2122">
        <f>+IF(AX13&gt;0,"ДСД",0)</f>
        <v>0</v>
      </c>
      <c r="AY10" s="43"/>
      <c r="AZ10" s="43"/>
      <c r="BA10" s="43"/>
      <c r="BB10" s="43"/>
      <c r="BC10" s="43"/>
      <c r="BD10" s="43"/>
    </row>
    <row r="11" spans="1:56" ht="3.75" customHeight="1">
      <c r="A11" s="53"/>
      <c r="B11" s="45"/>
      <c r="C11" s="45"/>
      <c r="D11" s="45"/>
      <c r="E11" s="45"/>
      <c r="F11" s="45"/>
      <c r="G11" s="45"/>
      <c r="H11" s="45"/>
      <c r="I11" s="45"/>
      <c r="J11" s="45"/>
      <c r="K11" s="45"/>
      <c r="L11" s="45"/>
      <c r="M11" s="45"/>
      <c r="N11" s="1572"/>
      <c r="O11" s="132"/>
      <c r="P11" s="133"/>
      <c r="Q11" s="134"/>
      <c r="R11" s="135"/>
      <c r="S11" s="134"/>
      <c r="T11" s="136"/>
      <c r="U11" s="45"/>
      <c r="V11" s="132"/>
      <c r="W11" s="133"/>
      <c r="X11" s="134"/>
      <c r="Y11" s="135"/>
      <c r="Z11" s="134"/>
      <c r="AA11" s="136"/>
      <c r="AB11" s="45"/>
      <c r="AC11" s="137"/>
      <c r="AD11" s="138"/>
      <c r="AE11" s="139"/>
      <c r="AF11" s="140"/>
      <c r="AG11" s="139"/>
      <c r="AH11" s="141"/>
      <c r="AI11" s="45"/>
      <c r="AJ11" s="1507"/>
      <c r="AK11" s="1508"/>
      <c r="AL11" s="1509"/>
      <c r="AM11" s="1510"/>
      <c r="AN11" s="1511"/>
      <c r="AO11" s="1510"/>
      <c r="AP11" s="1512"/>
      <c r="AQ11" s="43"/>
      <c r="AR11" s="352"/>
      <c r="AS11" s="353"/>
      <c r="AT11" s="350"/>
      <c r="AU11" s="43"/>
      <c r="AV11" s="2116"/>
      <c r="AW11" s="2116"/>
      <c r="AX11" s="2116"/>
      <c r="AY11" s="43"/>
      <c r="AZ11" s="43"/>
      <c r="BA11" s="43"/>
      <c r="BB11" s="43"/>
      <c r="BC11" s="43"/>
      <c r="BD11" s="43"/>
    </row>
    <row r="12" spans="1:56" ht="19.5" customHeight="1" thickBot="1">
      <c r="A12" s="1732" t="s">
        <v>1002</v>
      </c>
      <c r="B12" s="1072"/>
      <c r="C12" s="1073"/>
      <c r="D12" s="1074"/>
      <c r="E12" s="2416" t="str">
        <f>+F10</f>
        <v>/СБОРНА/</v>
      </c>
      <c r="F12" s="2416"/>
      <c r="G12" s="1070" t="s">
        <v>1003</v>
      </c>
      <c r="H12" s="2422" t="s">
        <v>2178</v>
      </c>
      <c r="I12" s="2422"/>
      <c r="J12" s="2422"/>
      <c r="K12" s="2422"/>
      <c r="L12" s="1436" t="s">
        <v>1179</v>
      </c>
      <c r="M12" s="50"/>
      <c r="N12" s="1573" t="s">
        <v>162</v>
      </c>
      <c r="O12" s="1059" t="s">
        <v>370</v>
      </c>
      <c r="P12" s="1088" t="s">
        <v>371</v>
      </c>
      <c r="Q12" s="1089" t="s">
        <v>46</v>
      </c>
      <c r="R12" s="1090" t="s">
        <v>386</v>
      </c>
      <c r="S12" s="1091" t="s">
        <v>370</v>
      </c>
      <c r="T12" s="1060" t="s">
        <v>371</v>
      </c>
      <c r="U12" s="50"/>
      <c r="V12" s="1059" t="s">
        <v>370</v>
      </c>
      <c r="W12" s="1088" t="s">
        <v>371</v>
      </c>
      <c r="X12" s="1089" t="s">
        <v>46</v>
      </c>
      <c r="Y12" s="1090" t="s">
        <v>386</v>
      </c>
      <c r="Z12" s="1091" t="s">
        <v>370</v>
      </c>
      <c r="AA12" s="1060" t="s">
        <v>371</v>
      </c>
      <c r="AB12" s="50"/>
      <c r="AC12" s="1059" t="s">
        <v>370</v>
      </c>
      <c r="AD12" s="1088" t="s">
        <v>371</v>
      </c>
      <c r="AE12" s="1089" t="s">
        <v>46</v>
      </c>
      <c r="AF12" s="1090" t="s">
        <v>386</v>
      </c>
      <c r="AG12" s="1091" t="s">
        <v>370</v>
      </c>
      <c r="AH12" s="1060" t="s">
        <v>371</v>
      </c>
      <c r="AI12" s="50"/>
      <c r="AJ12" s="1513" t="s">
        <v>162</v>
      </c>
      <c r="AK12" s="1514" t="s">
        <v>370</v>
      </c>
      <c r="AL12" s="1515" t="s">
        <v>371</v>
      </c>
      <c r="AM12" s="1516" t="s">
        <v>46</v>
      </c>
      <c r="AN12" s="1517" t="s">
        <v>386</v>
      </c>
      <c r="AO12" s="1518" t="s">
        <v>370</v>
      </c>
      <c r="AP12" s="1519" t="s">
        <v>371</v>
      </c>
      <c r="AQ12" s="43"/>
      <c r="AR12" s="2174" t="s">
        <v>2081</v>
      </c>
      <c r="AS12" s="2175" t="s">
        <v>196</v>
      </c>
      <c r="AT12" s="2176" t="s">
        <v>2080</v>
      </c>
      <c r="AU12" s="43"/>
      <c r="AV12" s="2122">
        <f>+IF(AV13&gt;0,"брой грешни крайни с/да",0)</f>
        <v>0</v>
      </c>
      <c r="AW12" s="2122">
        <f>+IF(AW13&gt;0,"брой грешни крайни с/да",0)</f>
        <v>0</v>
      </c>
      <c r="AX12" s="2121">
        <f>+IF(AX13&gt;0,"брой грешни крайни с/да",0)</f>
        <v>0</v>
      </c>
      <c r="AY12" s="43"/>
      <c r="AZ12" s="43"/>
      <c r="BA12" s="43"/>
      <c r="BB12" s="43"/>
      <c r="BC12" s="43"/>
      <c r="BD12" s="43"/>
    </row>
    <row r="13" spans="1:56" ht="16.5" thickTop="1">
      <c r="A13" s="332" t="s">
        <v>202</v>
      </c>
      <c r="B13" s="333" t="s">
        <v>372</v>
      </c>
      <c r="C13" s="54"/>
      <c r="D13" s="54"/>
      <c r="E13" s="54"/>
      <c r="F13" s="54"/>
      <c r="G13" s="54"/>
      <c r="H13" s="2395">
        <f>+IF(AND(AV13=0,AW13=0,AX13=0),0,"ИМА грешни КРАЙНИ салда - виж колони AV:AX")</f>
        <v>0</v>
      </c>
      <c r="I13" s="2395"/>
      <c r="J13" s="2395"/>
      <c r="K13" s="2395"/>
      <c r="L13" s="2396"/>
      <c r="M13" s="49"/>
      <c r="N13" s="1075" t="s">
        <v>202</v>
      </c>
      <c r="O13" s="1076">
        <f t="shared" ref="O13:T13" si="0">+O890</f>
        <v>723405.63</v>
      </c>
      <c r="P13" s="1077">
        <f t="shared" si="0"/>
        <v>723405.63</v>
      </c>
      <c r="Q13" s="1078">
        <f t="shared" si="0"/>
        <v>4157721.58</v>
      </c>
      <c r="R13" s="1077">
        <f t="shared" si="0"/>
        <v>4157721.58</v>
      </c>
      <c r="S13" s="1078">
        <f t="shared" si="0"/>
        <v>2352912.7000000002</v>
      </c>
      <c r="T13" s="1079">
        <f t="shared" si="0"/>
        <v>2352912.7000000002</v>
      </c>
      <c r="U13" s="344"/>
      <c r="V13" s="1080">
        <f t="shared" ref="V13:AA13" si="1">+V890</f>
        <v>0</v>
      </c>
      <c r="W13" s="1081">
        <f t="shared" si="1"/>
        <v>0</v>
      </c>
      <c r="X13" s="1082">
        <f t="shared" si="1"/>
        <v>0</v>
      </c>
      <c r="Y13" s="1081">
        <f t="shared" si="1"/>
        <v>0</v>
      </c>
      <c r="Z13" s="1082">
        <f t="shared" si="1"/>
        <v>0</v>
      </c>
      <c r="AA13" s="1083">
        <f t="shared" si="1"/>
        <v>0</v>
      </c>
      <c r="AB13" s="344"/>
      <c r="AC13" s="1084">
        <f t="shared" ref="AC13:AH13" si="2">+AC890</f>
        <v>2211.65</v>
      </c>
      <c r="AD13" s="1085">
        <f t="shared" si="2"/>
        <v>2211.65</v>
      </c>
      <c r="AE13" s="1086">
        <f t="shared" si="2"/>
        <v>0</v>
      </c>
      <c r="AF13" s="1085">
        <f t="shared" si="2"/>
        <v>0</v>
      </c>
      <c r="AG13" s="1086">
        <f t="shared" si="2"/>
        <v>2211.65</v>
      </c>
      <c r="AH13" s="1087">
        <f t="shared" si="2"/>
        <v>2211.65</v>
      </c>
      <c r="AI13" s="49"/>
      <c r="AJ13" s="1520" t="s">
        <v>202</v>
      </c>
      <c r="AK13" s="1521">
        <f t="shared" ref="AK13:AP13" si="3">+AK890</f>
        <v>725617.28</v>
      </c>
      <c r="AL13" s="1522">
        <f t="shared" si="3"/>
        <v>725617.28</v>
      </c>
      <c r="AM13" s="1523">
        <f t="shared" si="3"/>
        <v>4157721.58</v>
      </c>
      <c r="AN13" s="1522">
        <f t="shared" si="3"/>
        <v>4157721.58</v>
      </c>
      <c r="AO13" s="1523">
        <f t="shared" si="3"/>
        <v>2355124.35</v>
      </c>
      <c r="AP13" s="1524">
        <f t="shared" si="3"/>
        <v>2355124.35</v>
      </c>
      <c r="AQ13" s="43"/>
      <c r="AR13" s="1092">
        <f>+ROUND(+AR890,2)</f>
        <v>0</v>
      </c>
      <c r="AS13" s="1093">
        <f>+ROUND(+AS890,2)</f>
        <v>0</v>
      </c>
      <c r="AT13" s="1094">
        <f>+ROUND(+AT890,2)</f>
        <v>0</v>
      </c>
      <c r="AU13" s="43"/>
      <c r="AV13" s="2122">
        <f>COUNTIF(AV14:AV887,"&gt;0")+COUNTIF(AV14:AV887,"&lt;0")</f>
        <v>0</v>
      </c>
      <c r="AW13" s="2122">
        <f>+'NF-KSF-TRIAL-BAL-2020'!V13+'RA-TRIAL-BAL-2020'!V13+'DES-TRIAL-BAL-2020'!V13+'DMP-TRIAL-BAL-2020'!V13</f>
        <v>0</v>
      </c>
      <c r="AX13" s="2122">
        <f>COUNTIF(AX14:AX887,"&gt;0")+COUNTIF(AX14:AX887,"&lt;0")</f>
        <v>0</v>
      </c>
      <c r="AY13" s="43"/>
      <c r="AZ13" s="43"/>
      <c r="BA13" s="43"/>
      <c r="BB13" s="43"/>
      <c r="BC13" s="43"/>
      <c r="BD13" s="43"/>
    </row>
    <row r="14" spans="1:56" ht="15.75">
      <c r="A14" s="85">
        <v>1001</v>
      </c>
      <c r="B14" s="377" t="s">
        <v>953</v>
      </c>
      <c r="C14" s="86"/>
      <c r="D14" s="86"/>
      <c r="E14" s="86"/>
      <c r="F14" s="86"/>
      <c r="G14" s="86"/>
      <c r="H14" s="86"/>
      <c r="I14" s="86"/>
      <c r="J14" s="86"/>
      <c r="K14" s="86"/>
      <c r="L14" s="87"/>
      <c r="M14" s="51"/>
      <c r="N14" s="112">
        <f>+A14</f>
        <v>1001</v>
      </c>
      <c r="O14" s="323">
        <v>0</v>
      </c>
      <c r="P14" s="324">
        <v>115351.83</v>
      </c>
      <c r="Q14" s="325">
        <v>0</v>
      </c>
      <c r="R14" s="324">
        <v>0</v>
      </c>
      <c r="S14" s="326">
        <f>+IF(ABS(+O14+Q14)&gt;=ABS(P14+R14),+O14-P14+Q14-R14,0)</f>
        <v>0</v>
      </c>
      <c r="T14" s="327">
        <f>+IF(ABS(+O14+Q14)&lt;=ABS(P14+R14),-O14+P14-Q14+R14,0)</f>
        <v>115351.83</v>
      </c>
      <c r="U14" s="51"/>
      <c r="V14" s="543">
        <f>+'NF-KSF-TRIAL-BAL-2020'!O14+'RA-TRIAL-BAL-2020'!O14+'DES-TRIAL-BAL-2020'!O14+'DMP-TRIAL-BAL-2020'!O14</f>
        <v>0</v>
      </c>
      <c r="W14" s="526">
        <f>+'NF-KSF-TRIAL-BAL-2020'!P14+'RA-TRIAL-BAL-2020'!P14+'DES-TRIAL-BAL-2020'!P14+'DMP-TRIAL-BAL-2020'!P14</f>
        <v>0</v>
      </c>
      <c r="X14" s="525">
        <f>+'NF-KSF-TRIAL-BAL-2020'!Q14+'RA-TRIAL-BAL-2020'!Q14+'DES-TRIAL-BAL-2020'!Q14+'DMP-TRIAL-BAL-2020'!Q14</f>
        <v>0</v>
      </c>
      <c r="Y14" s="526">
        <f>+'NF-KSF-TRIAL-BAL-2020'!R14+'RA-TRIAL-BAL-2020'!R14+'DES-TRIAL-BAL-2020'!R14+'DMP-TRIAL-BAL-2020'!R14</f>
        <v>0</v>
      </c>
      <c r="Z14" s="525">
        <f>+'NF-KSF-TRIAL-BAL-2020'!S14+'RA-TRIAL-BAL-2020'!S14+'DES-TRIAL-BAL-2020'!S14+'DMP-TRIAL-BAL-2020'!S14</f>
        <v>0</v>
      </c>
      <c r="AA14" s="527">
        <f>+'NF-KSF-TRIAL-BAL-2020'!T14+'RA-TRIAL-BAL-2020'!T14+'DES-TRIAL-BAL-2020'!T14+'DMP-TRIAL-BAL-2020'!T14</f>
        <v>0</v>
      </c>
      <c r="AB14" s="51"/>
      <c r="AC14" s="323">
        <v>0</v>
      </c>
      <c r="AD14" s="324">
        <v>0</v>
      </c>
      <c r="AE14" s="325">
        <v>0</v>
      </c>
      <c r="AF14" s="324">
        <v>0</v>
      </c>
      <c r="AG14" s="326">
        <f>+IF(ABS(+AC14+AE14)&gt;=ABS(AD14+AF14),+AC14-AD14+AE14-AF14,0)</f>
        <v>0</v>
      </c>
      <c r="AH14" s="327">
        <f>+IF(ABS(+AC14+AE14)&lt;=ABS(AD14+AF14),-AC14+AD14-AE14+AF14,0)</f>
        <v>0</v>
      </c>
      <c r="AI14" s="51"/>
      <c r="AJ14" s="1496">
        <f t="shared" ref="AJ14:AJ26" si="4">+N14</f>
        <v>1001</v>
      </c>
      <c r="AK14" s="951">
        <f>+ROUND(+O14+V14+AC14,2)</f>
        <v>0</v>
      </c>
      <c r="AL14" s="970">
        <f>+ROUND(+P14+W14+AD14,2)</f>
        <v>115351.83</v>
      </c>
      <c r="AM14" s="326">
        <f>+ROUND(+Q14+X14+AE14,2)</f>
        <v>0</v>
      </c>
      <c r="AN14" s="970">
        <f>+ROUND(+R14+Y14+AF14,2)</f>
        <v>0</v>
      </c>
      <c r="AO14" s="326">
        <f>+S14+Z14+AG14</f>
        <v>0</v>
      </c>
      <c r="AP14" s="28">
        <f>+T14+AA14+AH14</f>
        <v>115351.83</v>
      </c>
      <c r="AQ14" s="43"/>
      <c r="AR14" s="358">
        <f t="shared" ref="AR14:AR26" si="5">+ROUND(+SUM(AK14-AL14)-SUM(O14-P14)-SUM(V14-W14)-SUM(AC14-AD14),2)</f>
        <v>0</v>
      </c>
      <c r="AS14" s="359">
        <f t="shared" ref="AS14:AS26" si="6">+ROUND(+SUM(AM14-AN14)-SUM(Q14-R14)-SUM(X14-Y14)-SUM(AE14-AF14),2)</f>
        <v>0</v>
      </c>
      <c r="AT14" s="360">
        <f t="shared" ref="AT14:AT26" si="7">+ROUND(+SUM(AO14-AP14)-SUM(S14-T14)-SUM(Z14-AA14)-SUM(AG14-AH14),2)</f>
        <v>0</v>
      </c>
      <c r="AU14" s="43"/>
      <c r="AV14" s="119"/>
      <c r="AW14" s="119"/>
      <c r="AX14" s="119"/>
      <c r="AY14" s="43"/>
      <c r="AZ14" s="564" t="s">
        <v>2178</v>
      </c>
      <c r="BA14" s="565"/>
      <c r="BB14" s="566"/>
      <c r="BC14" s="43"/>
      <c r="BD14" s="43"/>
    </row>
    <row r="15" spans="1:56" ht="15.75">
      <c r="A15" s="88">
        <v>1101</v>
      </c>
      <c r="B15" s="378" t="s">
        <v>954</v>
      </c>
      <c r="C15" s="1033"/>
      <c r="D15" s="1033"/>
      <c r="E15" s="1033"/>
      <c r="F15" s="1033"/>
      <c r="G15" s="1033"/>
      <c r="H15" s="1033"/>
      <c r="I15" s="1033"/>
      <c r="J15" s="1033"/>
      <c r="K15" s="1033"/>
      <c r="L15" s="90"/>
      <c r="M15" s="51"/>
      <c r="N15" s="113">
        <f t="shared" ref="N15:N77" si="8">+A15</f>
        <v>1101</v>
      </c>
      <c r="O15" s="120">
        <v>0</v>
      </c>
      <c r="P15" s="121">
        <v>167074.38</v>
      </c>
      <c r="Q15" s="325">
        <v>0</v>
      </c>
      <c r="R15" s="324">
        <v>0</v>
      </c>
      <c r="S15" s="326">
        <f>+IF(ABS(+O15+Q15)&gt;=ABS(P15+R15),+O15-P15+Q15-R15,0)</f>
        <v>0</v>
      </c>
      <c r="T15" s="327">
        <f>+IF(ABS(+O15+Q15)&lt;=ABS(P15+R15),-O15+P15-Q15+R15,0)</f>
        <v>167074.38</v>
      </c>
      <c r="U15" s="51"/>
      <c r="V15" s="541">
        <f>+'NF-KSF-TRIAL-BAL-2020'!O15+'RA-TRIAL-BAL-2020'!O15+'DES-TRIAL-BAL-2020'!O15+'DMP-TRIAL-BAL-2020'!O15</f>
        <v>0</v>
      </c>
      <c r="W15" s="529">
        <f>+'NF-KSF-TRIAL-BAL-2020'!P15+'RA-TRIAL-BAL-2020'!P15+'DES-TRIAL-BAL-2020'!P15+'DMP-TRIAL-BAL-2020'!P15</f>
        <v>0</v>
      </c>
      <c r="X15" s="528">
        <f>+'NF-KSF-TRIAL-BAL-2020'!Q15+'RA-TRIAL-BAL-2020'!Q15+'DES-TRIAL-BAL-2020'!Q15+'DMP-TRIAL-BAL-2020'!Q15</f>
        <v>0</v>
      </c>
      <c r="Y15" s="529">
        <f>+'NF-KSF-TRIAL-BAL-2020'!R15+'RA-TRIAL-BAL-2020'!R15+'DES-TRIAL-BAL-2020'!R15+'DMP-TRIAL-BAL-2020'!R15</f>
        <v>0</v>
      </c>
      <c r="Z15" s="528">
        <f>+'NF-KSF-TRIAL-BAL-2020'!S15+'RA-TRIAL-BAL-2020'!S15+'DES-TRIAL-BAL-2020'!S15+'DMP-TRIAL-BAL-2020'!S15</f>
        <v>0</v>
      </c>
      <c r="AA15" s="347">
        <f>+'NF-KSF-TRIAL-BAL-2020'!T15+'RA-TRIAL-BAL-2020'!T15+'DES-TRIAL-BAL-2020'!T15+'DMP-TRIAL-BAL-2020'!T15</f>
        <v>0</v>
      </c>
      <c r="AB15" s="51"/>
      <c r="AC15" s="323">
        <v>0</v>
      </c>
      <c r="AD15" s="324">
        <v>2211.65</v>
      </c>
      <c r="AE15" s="325">
        <v>0</v>
      </c>
      <c r="AF15" s="324">
        <v>0</v>
      </c>
      <c r="AG15" s="326">
        <f>+IF(ABS(+AC15+AE15)&gt;=ABS(AD15+AF15),+AC15-AD15+AE15-AF15,0)</f>
        <v>0</v>
      </c>
      <c r="AH15" s="327">
        <f>+IF(ABS(+AC15+AE15)&lt;=ABS(AD15+AF15),-AC15+AD15-AE15+AF15,0)</f>
        <v>2211.65</v>
      </c>
      <c r="AI15" s="51"/>
      <c r="AJ15" s="1497">
        <f t="shared" si="4"/>
        <v>1101</v>
      </c>
      <c r="AK15" s="951">
        <f t="shared" ref="AK15:AN25" si="9">+ROUND(+O15+V15+AC15,2)</f>
        <v>0</v>
      </c>
      <c r="AL15" s="970">
        <f t="shared" si="9"/>
        <v>169286.03</v>
      </c>
      <c r="AM15" s="326">
        <f t="shared" si="9"/>
        <v>0</v>
      </c>
      <c r="AN15" s="970">
        <f t="shared" si="9"/>
        <v>0</v>
      </c>
      <c r="AO15" s="326">
        <f>+S15+Z15+AG15</f>
        <v>0</v>
      </c>
      <c r="AP15" s="28">
        <f>+T15+AA15+AH15</f>
        <v>169286.03</v>
      </c>
      <c r="AQ15" s="43"/>
      <c r="AR15" s="358">
        <f t="shared" si="5"/>
        <v>0</v>
      </c>
      <c r="AS15" s="359">
        <f t="shared" si="6"/>
        <v>0</v>
      </c>
      <c r="AT15" s="360">
        <f t="shared" si="7"/>
        <v>0</v>
      </c>
      <c r="AU15" s="43"/>
      <c r="AV15" s="43"/>
      <c r="AW15" s="119"/>
      <c r="AX15" s="119"/>
      <c r="AY15" s="43"/>
      <c r="AZ15" s="567" t="s">
        <v>2179</v>
      </c>
      <c r="BA15" s="568"/>
      <c r="BB15" s="569"/>
      <c r="BC15" s="43"/>
      <c r="BD15" s="43"/>
    </row>
    <row r="16" spans="1:56" ht="15.75">
      <c r="A16" s="88">
        <v>1201</v>
      </c>
      <c r="B16" s="378" t="s">
        <v>955</v>
      </c>
      <c r="C16" s="1033"/>
      <c r="D16" s="1033"/>
      <c r="E16" s="1033"/>
      <c r="F16" s="1033"/>
      <c r="G16" s="1033"/>
      <c r="H16" s="1033"/>
      <c r="I16" s="1033"/>
      <c r="J16" s="1033"/>
      <c r="K16" s="1033"/>
      <c r="L16" s="90"/>
      <c r="M16" s="51"/>
      <c r="N16" s="113">
        <f t="shared" si="8"/>
        <v>1201</v>
      </c>
      <c r="O16" s="8">
        <v>0</v>
      </c>
      <c r="P16" s="9">
        <v>0</v>
      </c>
      <c r="Q16" s="29">
        <v>0</v>
      </c>
      <c r="R16" s="9">
        <v>0</v>
      </c>
      <c r="S16" s="29">
        <v>0</v>
      </c>
      <c r="T16" s="30">
        <v>0</v>
      </c>
      <c r="U16" s="51"/>
      <c r="V16" s="541">
        <f>+'NF-KSF-TRIAL-BAL-2020'!O16+'RA-TRIAL-BAL-2020'!O16+'DES-TRIAL-BAL-2020'!O16+'DMP-TRIAL-BAL-2020'!O16</f>
        <v>0</v>
      </c>
      <c r="W16" s="529">
        <f>+'NF-KSF-TRIAL-BAL-2020'!P16+'RA-TRIAL-BAL-2020'!P16+'DES-TRIAL-BAL-2020'!P16+'DMP-TRIAL-BAL-2020'!P16</f>
        <v>0</v>
      </c>
      <c r="X16" s="528">
        <f>+'NF-KSF-TRIAL-BAL-2020'!Q16+'RA-TRIAL-BAL-2020'!Q16+'DES-TRIAL-BAL-2020'!Q16+'DMP-TRIAL-BAL-2020'!Q16</f>
        <v>0</v>
      </c>
      <c r="Y16" s="529">
        <f>+'NF-KSF-TRIAL-BAL-2020'!R16+'RA-TRIAL-BAL-2020'!R16+'DES-TRIAL-BAL-2020'!R16+'DMP-TRIAL-BAL-2020'!R16</f>
        <v>0</v>
      </c>
      <c r="Z16" s="528">
        <f>+'NF-KSF-TRIAL-BAL-2020'!S16+'RA-TRIAL-BAL-2020'!S16+'DES-TRIAL-BAL-2020'!S16+'DMP-TRIAL-BAL-2020'!S16</f>
        <v>0</v>
      </c>
      <c r="AA16" s="347">
        <f>+'NF-KSF-TRIAL-BAL-2020'!T16+'RA-TRIAL-BAL-2020'!T16+'DES-TRIAL-BAL-2020'!T16+'DMP-TRIAL-BAL-2020'!T16</f>
        <v>0</v>
      </c>
      <c r="AB16" s="51"/>
      <c r="AC16" s="8">
        <v>0</v>
      </c>
      <c r="AD16" s="9">
        <v>0</v>
      </c>
      <c r="AE16" s="29">
        <v>0</v>
      </c>
      <c r="AF16" s="9">
        <v>0</v>
      </c>
      <c r="AG16" s="29">
        <v>0</v>
      </c>
      <c r="AH16" s="30">
        <v>0</v>
      </c>
      <c r="AI16" s="51"/>
      <c r="AJ16" s="1497">
        <f t="shared" si="4"/>
        <v>1201</v>
      </c>
      <c r="AK16" s="8">
        <v>0</v>
      </c>
      <c r="AL16" s="9">
        <v>0</v>
      </c>
      <c r="AM16" s="29">
        <v>0</v>
      </c>
      <c r="AN16" s="9">
        <v>0</v>
      </c>
      <c r="AO16" s="29">
        <v>0</v>
      </c>
      <c r="AP16" s="30">
        <v>0</v>
      </c>
      <c r="AQ16" s="43"/>
      <c r="AR16" s="358">
        <f t="shared" si="5"/>
        <v>0</v>
      </c>
      <c r="AS16" s="359">
        <f t="shared" si="6"/>
        <v>0</v>
      </c>
      <c r="AT16" s="360">
        <f t="shared" si="7"/>
        <v>0</v>
      </c>
      <c r="AU16" s="43"/>
      <c r="AV16" s="2125">
        <f>+IF(OR(O16&lt;&gt;0,P16&lt;&gt;0,Q16&lt;&gt;0,R16&lt;&gt;0,S16&lt;&gt;0,T16&lt;&gt;0),+IF(ABS(O16+Q16)-ABS(P16+R16)&lt;&gt;0,ABS(O16+Q16)-ABS(P16+R16),1),0)</f>
        <v>0</v>
      </c>
      <c r="AW16" s="119"/>
      <c r="AX16" s="2125">
        <f>+IF(OR(AC16&lt;&gt;0,AD16&lt;&gt;0,AE16&lt;&gt;0,AF16&lt;&gt;0,AG16&lt;&gt;0,AH16&lt;&gt;0),+IF(ABS(AC16+AE16)-ABS(AD16+AF16)&lt;&gt;0,ABS(AC16+AE16)-ABS(AD16+AF16),1),0)</f>
        <v>0</v>
      </c>
      <c r="AY16" s="43"/>
      <c r="AZ16" s="567" t="s">
        <v>2180</v>
      </c>
      <c r="BA16" s="568"/>
      <c r="BB16" s="569"/>
      <c r="BC16" s="43"/>
      <c r="BD16" s="43"/>
    </row>
    <row r="17" spans="1:56" ht="15.75">
      <c r="A17" s="88">
        <v>1511</v>
      </c>
      <c r="B17" s="378" t="s">
        <v>956</v>
      </c>
      <c r="C17" s="1033"/>
      <c r="D17" s="1033"/>
      <c r="E17" s="1033"/>
      <c r="F17" s="1033"/>
      <c r="G17" s="1033"/>
      <c r="H17" s="1033"/>
      <c r="I17" s="1033"/>
      <c r="J17" s="1033"/>
      <c r="K17" s="1033"/>
      <c r="L17" s="90"/>
      <c r="M17" s="51"/>
      <c r="N17" s="113">
        <f t="shared" si="8"/>
        <v>1511</v>
      </c>
      <c r="O17" s="8">
        <v>0</v>
      </c>
      <c r="P17" s="121"/>
      <c r="Q17" s="325"/>
      <c r="R17" s="324"/>
      <c r="S17" s="29">
        <v>0</v>
      </c>
      <c r="T17" s="28">
        <f>+IF(ABS(+O17+Q17)&lt;=ABS(P17+R17),-O17+P17-Q17+R17,0)</f>
        <v>0</v>
      </c>
      <c r="U17" s="51"/>
      <c r="V17" s="541">
        <f>+'NF-KSF-TRIAL-BAL-2020'!O17+'RA-TRIAL-BAL-2020'!O17+'DES-TRIAL-BAL-2020'!O17+'DMP-TRIAL-BAL-2020'!O17</f>
        <v>0</v>
      </c>
      <c r="W17" s="529">
        <f>+'NF-KSF-TRIAL-BAL-2020'!P17+'RA-TRIAL-BAL-2020'!P17+'DES-TRIAL-BAL-2020'!P17+'DMP-TRIAL-BAL-2020'!P17</f>
        <v>0</v>
      </c>
      <c r="X17" s="528">
        <f>+'NF-KSF-TRIAL-BAL-2020'!Q17+'RA-TRIAL-BAL-2020'!Q17+'DES-TRIAL-BAL-2020'!Q17+'DMP-TRIAL-BAL-2020'!Q17</f>
        <v>0</v>
      </c>
      <c r="Y17" s="529">
        <f>+'NF-KSF-TRIAL-BAL-2020'!R17+'RA-TRIAL-BAL-2020'!R17+'DES-TRIAL-BAL-2020'!R17+'DMP-TRIAL-BAL-2020'!R17</f>
        <v>0</v>
      </c>
      <c r="Z17" s="528">
        <f>+'NF-KSF-TRIAL-BAL-2020'!S17+'RA-TRIAL-BAL-2020'!S17+'DES-TRIAL-BAL-2020'!S17+'DMP-TRIAL-BAL-2020'!S17</f>
        <v>0</v>
      </c>
      <c r="AA17" s="347">
        <f>+'NF-KSF-TRIAL-BAL-2020'!T17+'RA-TRIAL-BAL-2020'!T17+'DES-TRIAL-BAL-2020'!T17+'DMP-TRIAL-BAL-2020'!T17</f>
        <v>0</v>
      </c>
      <c r="AB17" s="51"/>
      <c r="AC17" s="8">
        <v>0</v>
      </c>
      <c r="AD17" s="9">
        <v>0</v>
      </c>
      <c r="AE17" s="29">
        <v>0</v>
      </c>
      <c r="AF17" s="9">
        <v>0</v>
      </c>
      <c r="AG17" s="29">
        <v>0</v>
      </c>
      <c r="AH17" s="30">
        <v>0</v>
      </c>
      <c r="AI17" s="51"/>
      <c r="AJ17" s="1497">
        <f t="shared" si="4"/>
        <v>1511</v>
      </c>
      <c r="AK17" s="8">
        <v>0</v>
      </c>
      <c r="AL17" s="970">
        <f t="shared" si="9"/>
        <v>0</v>
      </c>
      <c r="AM17" s="326">
        <f t="shared" si="9"/>
        <v>0</v>
      </c>
      <c r="AN17" s="970">
        <f t="shared" si="9"/>
        <v>0</v>
      </c>
      <c r="AO17" s="29">
        <v>0</v>
      </c>
      <c r="AP17" s="28">
        <f>+T17+AA17+AH17</f>
        <v>0</v>
      </c>
      <c r="AQ17" s="43"/>
      <c r="AR17" s="358">
        <f t="shared" si="5"/>
        <v>0</v>
      </c>
      <c r="AS17" s="359">
        <f t="shared" si="6"/>
        <v>0</v>
      </c>
      <c r="AT17" s="360">
        <f t="shared" si="7"/>
        <v>0</v>
      </c>
      <c r="AU17" s="43"/>
      <c r="AV17" s="2119">
        <f>+IF(OR(+ROUND(O17,2)+ROUND(Q17,2)&gt;ROUND(P17,2)+ROUND(R17,2),+ABS(ROUND(O17,2)+ROUND(Q17,2))&gt;+ABS(ROUND(P17,2)+ROUND(R17,2))),+(ROUND(O17,2)+ROUND(Q17,2))-(ROUND(P17,2)+ROUND(R17,2)),0)</f>
        <v>0</v>
      </c>
      <c r="AW17" s="119"/>
      <c r="AX17" s="2125">
        <f t="shared" ref="AX17:AX69" si="10">+IF(OR(AC17&lt;&gt;0,AD17&lt;&gt;0,AE17&lt;&gt;0,AF17&lt;&gt;0,AG17&lt;&gt;0,AH17&lt;&gt;0),+IF(ABS(AC17+AE17)-ABS(AD17+AF17)&lt;&gt;0,ABS(AC17+AE17)-ABS(AD17+AF17),1),0)</f>
        <v>0</v>
      </c>
      <c r="AY17" s="43"/>
      <c r="AZ17" s="570" t="s">
        <v>2181</v>
      </c>
      <c r="BA17" s="571"/>
      <c r="BB17" s="572"/>
      <c r="BC17" s="43"/>
      <c r="BD17" s="43"/>
    </row>
    <row r="18" spans="1:56" ht="15.75">
      <c r="A18" s="88">
        <v>1517</v>
      </c>
      <c r="B18" s="378" t="s">
        <v>957</v>
      </c>
      <c r="C18" s="1033"/>
      <c r="D18" s="1033"/>
      <c r="E18" s="1033"/>
      <c r="F18" s="1033"/>
      <c r="G18" s="1033"/>
      <c r="H18" s="1033"/>
      <c r="I18" s="1033"/>
      <c r="J18" s="1033"/>
      <c r="K18" s="1033"/>
      <c r="L18" s="90"/>
      <c r="M18" s="51"/>
      <c r="N18" s="113">
        <f t="shared" si="8"/>
        <v>1517</v>
      </c>
      <c r="O18" s="120"/>
      <c r="P18" s="9">
        <v>0</v>
      </c>
      <c r="Q18" s="325"/>
      <c r="R18" s="121"/>
      <c r="S18" s="27">
        <f>+IF(ABS(+O18+Q18)&gt;=ABS(P18+R18),+O18-P18+Q18-R18,0)</f>
        <v>0</v>
      </c>
      <c r="T18" s="30">
        <v>0</v>
      </c>
      <c r="U18" s="51"/>
      <c r="V18" s="541">
        <f>+'NF-KSF-TRIAL-BAL-2020'!O18+'RA-TRIAL-BAL-2020'!O18+'DES-TRIAL-BAL-2020'!O18+'DMP-TRIAL-BAL-2020'!O18</f>
        <v>0</v>
      </c>
      <c r="W18" s="529">
        <f>+'NF-KSF-TRIAL-BAL-2020'!P18+'RA-TRIAL-BAL-2020'!P18+'DES-TRIAL-BAL-2020'!P18+'DMP-TRIAL-BAL-2020'!P18</f>
        <v>0</v>
      </c>
      <c r="X18" s="528">
        <f>+'NF-KSF-TRIAL-BAL-2020'!Q18+'RA-TRIAL-BAL-2020'!Q18+'DES-TRIAL-BAL-2020'!Q18+'DMP-TRIAL-BAL-2020'!Q18</f>
        <v>0</v>
      </c>
      <c r="Y18" s="529">
        <f>+'NF-KSF-TRIAL-BAL-2020'!R18+'RA-TRIAL-BAL-2020'!R18+'DES-TRIAL-BAL-2020'!R18+'DMP-TRIAL-BAL-2020'!R18</f>
        <v>0</v>
      </c>
      <c r="Z18" s="528">
        <f>+'NF-KSF-TRIAL-BAL-2020'!S18+'RA-TRIAL-BAL-2020'!S18+'DES-TRIAL-BAL-2020'!S18+'DMP-TRIAL-BAL-2020'!S18</f>
        <v>0</v>
      </c>
      <c r="AA18" s="347">
        <f>+'NF-KSF-TRIAL-BAL-2020'!T18+'RA-TRIAL-BAL-2020'!T18+'DES-TRIAL-BAL-2020'!T18+'DMP-TRIAL-BAL-2020'!T18</f>
        <v>0</v>
      </c>
      <c r="AB18" s="51"/>
      <c r="AC18" s="8">
        <v>0</v>
      </c>
      <c r="AD18" s="9">
        <v>0</v>
      </c>
      <c r="AE18" s="29">
        <v>0</v>
      </c>
      <c r="AF18" s="9">
        <v>0</v>
      </c>
      <c r="AG18" s="29">
        <v>0</v>
      </c>
      <c r="AH18" s="30">
        <v>0</v>
      </c>
      <c r="AI18" s="51"/>
      <c r="AJ18" s="1497">
        <f t="shared" si="4"/>
        <v>1517</v>
      </c>
      <c r="AK18" s="951">
        <f t="shared" si="9"/>
        <v>0</v>
      </c>
      <c r="AL18" s="9">
        <v>0</v>
      </c>
      <c r="AM18" s="326">
        <f t="shared" si="9"/>
        <v>0</v>
      </c>
      <c r="AN18" s="970">
        <f t="shared" si="9"/>
        <v>0</v>
      </c>
      <c r="AO18" s="326">
        <f>+S18+Z18+AG18</f>
        <v>0</v>
      </c>
      <c r="AP18" s="30">
        <v>0</v>
      </c>
      <c r="AQ18" s="43"/>
      <c r="AR18" s="358">
        <f t="shared" si="5"/>
        <v>0</v>
      </c>
      <c r="AS18" s="359">
        <f t="shared" si="6"/>
        <v>0</v>
      </c>
      <c r="AT18" s="360">
        <f t="shared" si="7"/>
        <v>0</v>
      </c>
      <c r="AU18" s="43"/>
      <c r="AV18" s="2120">
        <f>+IF(OR(ROUND(P18,2)+ROUND(R18,2)&gt;+ROUND(O18,2)+ROUND(Q18,2),+ABS(ROUND(P18,2)+ROUND(R18,2))&gt;+ABS(ROUND(O18,2)+ROUND(Q18,2))),+(ROUND(P18,2)+ROUND(R18,2))-(ROUND(O18,2)+ROUND(Q18,2)),0)</f>
        <v>0</v>
      </c>
      <c r="AW18" s="119"/>
      <c r="AX18" s="2125">
        <f t="shared" si="10"/>
        <v>0</v>
      </c>
      <c r="AY18" s="43"/>
      <c r="AZ18" s="43"/>
      <c r="BA18" s="43"/>
      <c r="BB18" s="43"/>
      <c r="BC18" s="43"/>
      <c r="BD18" s="43"/>
    </row>
    <row r="19" spans="1:56" ht="15.75">
      <c r="A19" s="88">
        <v>1521</v>
      </c>
      <c r="B19" s="378" t="s">
        <v>958</v>
      </c>
      <c r="C19" s="1033"/>
      <c r="D19" s="1033"/>
      <c r="E19" s="1033"/>
      <c r="F19" s="1033"/>
      <c r="G19" s="1033"/>
      <c r="H19" s="1033"/>
      <c r="I19" s="1033"/>
      <c r="J19" s="1033"/>
      <c r="K19" s="1033"/>
      <c r="L19" s="90"/>
      <c r="M19" s="51"/>
      <c r="N19" s="113">
        <f t="shared" si="8"/>
        <v>1521</v>
      </c>
      <c r="O19" s="8">
        <v>0</v>
      </c>
      <c r="P19" s="121"/>
      <c r="Q19" s="325"/>
      <c r="R19" s="324"/>
      <c r="S19" s="29">
        <v>0</v>
      </c>
      <c r="T19" s="28">
        <f>+IF(ABS(+O19+Q19)&lt;=ABS(P19+R19),-O19+P19-Q19+R19,0)</f>
        <v>0</v>
      </c>
      <c r="U19" s="51"/>
      <c r="V19" s="541">
        <f>+'NF-KSF-TRIAL-BAL-2020'!O19+'RA-TRIAL-BAL-2020'!O19+'DES-TRIAL-BAL-2020'!O19+'DMP-TRIAL-BAL-2020'!O19</f>
        <v>0</v>
      </c>
      <c r="W19" s="529">
        <f>+'NF-KSF-TRIAL-BAL-2020'!P19+'RA-TRIAL-BAL-2020'!P19+'DES-TRIAL-BAL-2020'!P19+'DMP-TRIAL-BAL-2020'!P19</f>
        <v>0</v>
      </c>
      <c r="X19" s="528">
        <f>+'NF-KSF-TRIAL-BAL-2020'!Q19+'RA-TRIAL-BAL-2020'!Q19+'DES-TRIAL-BAL-2020'!Q19+'DMP-TRIAL-BAL-2020'!Q19</f>
        <v>0</v>
      </c>
      <c r="Y19" s="529">
        <f>+'NF-KSF-TRIAL-BAL-2020'!R19+'RA-TRIAL-BAL-2020'!R19+'DES-TRIAL-BAL-2020'!R19+'DMP-TRIAL-BAL-2020'!R19</f>
        <v>0</v>
      </c>
      <c r="Z19" s="528">
        <f>+'NF-KSF-TRIAL-BAL-2020'!S19+'RA-TRIAL-BAL-2020'!S19+'DES-TRIAL-BAL-2020'!S19+'DMP-TRIAL-BAL-2020'!S19</f>
        <v>0</v>
      </c>
      <c r="AA19" s="347">
        <f>+'NF-KSF-TRIAL-BAL-2020'!T19+'RA-TRIAL-BAL-2020'!T19+'DES-TRIAL-BAL-2020'!T19+'DMP-TRIAL-BAL-2020'!T19</f>
        <v>0</v>
      </c>
      <c r="AB19" s="51"/>
      <c r="AC19" s="8">
        <v>0</v>
      </c>
      <c r="AD19" s="9">
        <v>0</v>
      </c>
      <c r="AE19" s="29">
        <v>0</v>
      </c>
      <c r="AF19" s="9">
        <v>0</v>
      </c>
      <c r="AG19" s="29">
        <v>0</v>
      </c>
      <c r="AH19" s="30">
        <v>0</v>
      </c>
      <c r="AI19" s="51"/>
      <c r="AJ19" s="1497">
        <f t="shared" si="4"/>
        <v>1521</v>
      </c>
      <c r="AK19" s="8">
        <v>0</v>
      </c>
      <c r="AL19" s="970">
        <f t="shared" si="9"/>
        <v>0</v>
      </c>
      <c r="AM19" s="326">
        <f t="shared" si="9"/>
        <v>0</v>
      </c>
      <c r="AN19" s="970">
        <f t="shared" si="9"/>
        <v>0</v>
      </c>
      <c r="AO19" s="29">
        <v>0</v>
      </c>
      <c r="AP19" s="28">
        <f>+T19+AA19+AH19</f>
        <v>0</v>
      </c>
      <c r="AQ19" s="43"/>
      <c r="AR19" s="358">
        <f t="shared" si="5"/>
        <v>0</v>
      </c>
      <c r="AS19" s="359">
        <f t="shared" si="6"/>
        <v>0</v>
      </c>
      <c r="AT19" s="360">
        <f t="shared" si="7"/>
        <v>0</v>
      </c>
      <c r="AU19" s="43"/>
      <c r="AV19" s="2119">
        <f>+IF(OR(+ROUND(O19,2)+ROUND(Q19,2)&gt;ROUND(P19,2)+ROUND(R19,2),+ABS(ROUND(O19,2)+ROUND(Q19,2))&gt;+ABS(ROUND(P19,2)+ROUND(R19,2))),+(ROUND(O19,2)+ROUND(Q19,2))-(ROUND(P19,2)+ROUND(R19,2)),0)</f>
        <v>0</v>
      </c>
      <c r="AW19" s="119"/>
      <c r="AX19" s="2125">
        <f t="shared" si="10"/>
        <v>0</v>
      </c>
      <c r="AY19" s="43"/>
      <c r="AZ19" s="2288" t="s">
        <v>2182</v>
      </c>
      <c r="BA19" s="2289"/>
      <c r="BB19" s="43"/>
      <c r="BC19" s="43"/>
      <c r="BD19" s="43"/>
    </row>
    <row r="20" spans="1:56" ht="15.75">
      <c r="A20" s="88">
        <v>1523</v>
      </c>
      <c r="B20" s="378" t="s">
        <v>959</v>
      </c>
      <c r="C20" s="1033"/>
      <c r="D20" s="1033"/>
      <c r="E20" s="1033"/>
      <c r="F20" s="1033"/>
      <c r="G20" s="1033"/>
      <c r="H20" s="1033"/>
      <c r="I20" s="1033"/>
      <c r="J20" s="1033"/>
      <c r="K20" s="1033"/>
      <c r="L20" s="90"/>
      <c r="M20" s="51"/>
      <c r="N20" s="113">
        <f t="shared" si="8"/>
        <v>1523</v>
      </c>
      <c r="O20" s="8">
        <v>0</v>
      </c>
      <c r="P20" s="121"/>
      <c r="Q20" s="325"/>
      <c r="R20" s="324"/>
      <c r="S20" s="29">
        <v>0</v>
      </c>
      <c r="T20" s="28">
        <f>+IF(ABS(+O20+Q20)&lt;=ABS(P20+R20),-O20+P20-Q20+R20,0)</f>
        <v>0</v>
      </c>
      <c r="U20" s="51"/>
      <c r="V20" s="541">
        <f>+'NF-KSF-TRIAL-BAL-2020'!O20+'RA-TRIAL-BAL-2020'!O20+'DES-TRIAL-BAL-2020'!O20+'DMP-TRIAL-BAL-2020'!O20</f>
        <v>0</v>
      </c>
      <c r="W20" s="529">
        <f>+'NF-KSF-TRIAL-BAL-2020'!P20+'RA-TRIAL-BAL-2020'!P20+'DES-TRIAL-BAL-2020'!P20+'DMP-TRIAL-BAL-2020'!P20</f>
        <v>0</v>
      </c>
      <c r="X20" s="528">
        <f>+'NF-KSF-TRIAL-BAL-2020'!Q20+'RA-TRIAL-BAL-2020'!Q20+'DES-TRIAL-BAL-2020'!Q20+'DMP-TRIAL-BAL-2020'!Q20</f>
        <v>0</v>
      </c>
      <c r="Y20" s="529">
        <f>+'NF-KSF-TRIAL-BAL-2020'!R20+'RA-TRIAL-BAL-2020'!R20+'DES-TRIAL-BAL-2020'!R20+'DMP-TRIAL-BAL-2020'!R20</f>
        <v>0</v>
      </c>
      <c r="Z20" s="528">
        <f>+'NF-KSF-TRIAL-BAL-2020'!S20+'RA-TRIAL-BAL-2020'!S20+'DES-TRIAL-BAL-2020'!S20+'DMP-TRIAL-BAL-2020'!S20</f>
        <v>0</v>
      </c>
      <c r="AA20" s="347">
        <f>+'NF-KSF-TRIAL-BAL-2020'!T20+'RA-TRIAL-BAL-2020'!T20+'DES-TRIAL-BAL-2020'!T20+'DMP-TRIAL-BAL-2020'!T20</f>
        <v>0</v>
      </c>
      <c r="AB20" s="51"/>
      <c r="AC20" s="8">
        <v>0</v>
      </c>
      <c r="AD20" s="9">
        <v>0</v>
      </c>
      <c r="AE20" s="29">
        <v>0</v>
      </c>
      <c r="AF20" s="9">
        <v>0</v>
      </c>
      <c r="AG20" s="29">
        <v>0</v>
      </c>
      <c r="AH20" s="30">
        <v>0</v>
      </c>
      <c r="AI20" s="51"/>
      <c r="AJ20" s="1497">
        <f t="shared" si="4"/>
        <v>1523</v>
      </c>
      <c r="AK20" s="8">
        <v>0</v>
      </c>
      <c r="AL20" s="970">
        <f t="shared" si="9"/>
        <v>0</v>
      </c>
      <c r="AM20" s="326">
        <f t="shared" si="9"/>
        <v>0</v>
      </c>
      <c r="AN20" s="970">
        <f t="shared" si="9"/>
        <v>0</v>
      </c>
      <c r="AO20" s="29">
        <v>0</v>
      </c>
      <c r="AP20" s="28">
        <f>+T20+AA20+AH20</f>
        <v>0</v>
      </c>
      <c r="AQ20" s="43"/>
      <c r="AR20" s="358">
        <f t="shared" si="5"/>
        <v>0</v>
      </c>
      <c r="AS20" s="359">
        <f t="shared" si="6"/>
        <v>0</v>
      </c>
      <c r="AT20" s="360">
        <f t="shared" si="7"/>
        <v>0</v>
      </c>
      <c r="AU20" s="43"/>
      <c r="AV20" s="2119">
        <f>+IF(OR(+ROUND(O20,2)+ROUND(Q20,2)&gt;ROUND(P20,2)+ROUND(R20,2),+ABS(ROUND(O20,2)+ROUND(Q20,2))&gt;+ABS(ROUND(P20,2)+ROUND(R20,2))),+(ROUND(O20,2)+ROUND(Q20,2))-(ROUND(P20,2)+ROUND(R20,2)),0)</f>
        <v>0</v>
      </c>
      <c r="AW20" s="119"/>
      <c r="AX20" s="2125">
        <f t="shared" si="10"/>
        <v>0</v>
      </c>
      <c r="AY20" s="43"/>
      <c r="AZ20" s="2290" t="s">
        <v>2183</v>
      </c>
      <c r="BA20" s="2291"/>
      <c r="BB20" s="43"/>
      <c r="BC20" s="43"/>
      <c r="BD20" s="43"/>
    </row>
    <row r="21" spans="1:56" ht="15.75">
      <c r="A21" s="88">
        <v>1527</v>
      </c>
      <c r="B21" s="378" t="s">
        <v>960</v>
      </c>
      <c r="C21" s="1033"/>
      <c r="D21" s="1033"/>
      <c r="E21" s="1033"/>
      <c r="F21" s="1033"/>
      <c r="G21" s="1033"/>
      <c r="H21" s="1033"/>
      <c r="I21" s="1033"/>
      <c r="J21" s="1033"/>
      <c r="K21" s="1033"/>
      <c r="L21" s="90"/>
      <c r="M21" s="51"/>
      <c r="N21" s="113">
        <f t="shared" si="8"/>
        <v>1527</v>
      </c>
      <c r="O21" s="120"/>
      <c r="P21" s="9">
        <v>0</v>
      </c>
      <c r="Q21" s="325"/>
      <c r="R21" s="121"/>
      <c r="S21" s="27">
        <f>+IF(ABS(+O21+Q21)&gt;=ABS(P21+R21),+O21-P21+Q21-R21,0)</f>
        <v>0</v>
      </c>
      <c r="T21" s="30">
        <v>0</v>
      </c>
      <c r="U21" s="51"/>
      <c r="V21" s="541">
        <f>+'NF-KSF-TRIAL-BAL-2020'!O21+'RA-TRIAL-BAL-2020'!O21+'DES-TRIAL-BAL-2020'!O21+'DMP-TRIAL-BAL-2020'!O21</f>
        <v>0</v>
      </c>
      <c r="W21" s="529">
        <f>+'NF-KSF-TRIAL-BAL-2020'!P21+'RA-TRIAL-BAL-2020'!P21+'DES-TRIAL-BAL-2020'!P21+'DMP-TRIAL-BAL-2020'!P21</f>
        <v>0</v>
      </c>
      <c r="X21" s="528">
        <f>+'NF-KSF-TRIAL-BAL-2020'!Q21+'RA-TRIAL-BAL-2020'!Q21+'DES-TRIAL-BAL-2020'!Q21+'DMP-TRIAL-BAL-2020'!Q21</f>
        <v>0</v>
      </c>
      <c r="Y21" s="529">
        <f>+'NF-KSF-TRIAL-BAL-2020'!R21+'RA-TRIAL-BAL-2020'!R21+'DES-TRIAL-BAL-2020'!R21+'DMP-TRIAL-BAL-2020'!R21</f>
        <v>0</v>
      </c>
      <c r="Z21" s="528">
        <f>+'NF-KSF-TRIAL-BAL-2020'!S21+'RA-TRIAL-BAL-2020'!S21+'DES-TRIAL-BAL-2020'!S21+'DMP-TRIAL-BAL-2020'!S21</f>
        <v>0</v>
      </c>
      <c r="AA21" s="347">
        <f>+'NF-KSF-TRIAL-BAL-2020'!T21+'RA-TRIAL-BAL-2020'!T21+'DES-TRIAL-BAL-2020'!T21+'DMP-TRIAL-BAL-2020'!T21</f>
        <v>0</v>
      </c>
      <c r="AB21" s="51"/>
      <c r="AC21" s="8">
        <v>0</v>
      </c>
      <c r="AD21" s="9">
        <v>0</v>
      </c>
      <c r="AE21" s="29">
        <v>0</v>
      </c>
      <c r="AF21" s="9">
        <v>0</v>
      </c>
      <c r="AG21" s="29">
        <v>0</v>
      </c>
      <c r="AH21" s="30">
        <v>0</v>
      </c>
      <c r="AI21" s="51"/>
      <c r="AJ21" s="1497">
        <f t="shared" si="4"/>
        <v>1527</v>
      </c>
      <c r="AK21" s="951">
        <f t="shared" si="9"/>
        <v>0</v>
      </c>
      <c r="AL21" s="9">
        <v>0</v>
      </c>
      <c r="AM21" s="326">
        <f t="shared" si="9"/>
        <v>0</v>
      </c>
      <c r="AN21" s="970">
        <f t="shared" si="9"/>
        <v>0</v>
      </c>
      <c r="AO21" s="326">
        <f>+S21+Z21+AG21</f>
        <v>0</v>
      </c>
      <c r="AP21" s="30">
        <v>0</v>
      </c>
      <c r="AQ21" s="43"/>
      <c r="AR21" s="358">
        <f t="shared" si="5"/>
        <v>0</v>
      </c>
      <c r="AS21" s="359">
        <f t="shared" si="6"/>
        <v>0</v>
      </c>
      <c r="AT21" s="360">
        <f t="shared" si="7"/>
        <v>0</v>
      </c>
      <c r="AU21" s="43"/>
      <c r="AV21" s="2120">
        <f>+IF(OR(ROUND(P21,2)+ROUND(R21,2)&gt;+ROUND(O21,2)+ROUND(Q21,2),+ABS(ROUND(P21,2)+ROUND(R21,2))&gt;+ABS(ROUND(O21,2)+ROUND(Q21,2))),+(ROUND(P21,2)+ROUND(R21,2))-(ROUND(O21,2)+ROUND(Q21,2)),0)</f>
        <v>0</v>
      </c>
      <c r="AW21" s="119"/>
      <c r="AX21" s="2125">
        <f t="shared" si="10"/>
        <v>0</v>
      </c>
      <c r="AY21" s="43"/>
      <c r="AZ21" s="1928"/>
      <c r="BA21" s="2292"/>
      <c r="BB21" s="43"/>
      <c r="BC21" s="43"/>
      <c r="BD21" s="43"/>
    </row>
    <row r="22" spans="1:56" ht="15.75">
      <c r="A22" s="88">
        <v>1581</v>
      </c>
      <c r="B22" s="378" t="s">
        <v>961</v>
      </c>
      <c r="C22" s="1033"/>
      <c r="D22" s="1033"/>
      <c r="E22" s="1033"/>
      <c r="F22" s="1033"/>
      <c r="G22" s="1033"/>
      <c r="H22" s="1033"/>
      <c r="I22" s="1033"/>
      <c r="J22" s="1033"/>
      <c r="K22" s="1033"/>
      <c r="L22" s="90"/>
      <c r="M22" s="51" t="s">
        <v>265</v>
      </c>
      <c r="N22" s="113">
        <f t="shared" si="8"/>
        <v>1581</v>
      </c>
      <c r="O22" s="575">
        <v>0</v>
      </c>
      <c r="P22" s="576"/>
      <c r="Q22" s="325"/>
      <c r="R22" s="324"/>
      <c r="S22" s="579">
        <v>0</v>
      </c>
      <c r="T22" s="580">
        <f>+IF(ABS(+O22+Q22)&lt;=ABS(P22+R22),-O22+P22-Q22+R22,0)</f>
        <v>0</v>
      </c>
      <c r="U22" s="51"/>
      <c r="V22" s="541">
        <f>+'NF-KSF-TRIAL-BAL-2020'!O22+'RA-TRIAL-BAL-2020'!O22+'DES-TRIAL-BAL-2020'!O22+'DMP-TRIAL-BAL-2020'!O22</f>
        <v>0</v>
      </c>
      <c r="W22" s="529">
        <f>+'NF-KSF-TRIAL-BAL-2020'!P22+'RA-TRIAL-BAL-2020'!P22+'DES-TRIAL-BAL-2020'!P22+'DMP-TRIAL-BAL-2020'!P22</f>
        <v>0</v>
      </c>
      <c r="X22" s="587">
        <f>+'NF-KSF-TRIAL-BAL-2020'!Q22+'RA-TRIAL-BAL-2020'!Q22+'DES-TRIAL-BAL-2020'!Q22+'DMP-TRIAL-BAL-2020'!Q22</f>
        <v>0</v>
      </c>
      <c r="Y22" s="586">
        <f>+'NF-KSF-TRIAL-BAL-2020'!R22+'RA-TRIAL-BAL-2020'!R22+'DES-TRIAL-BAL-2020'!R22+'DMP-TRIAL-BAL-2020'!R22</f>
        <v>0</v>
      </c>
      <c r="Z22" s="587">
        <f>+'NF-KSF-TRIAL-BAL-2020'!S22+'RA-TRIAL-BAL-2020'!S22+'DES-TRIAL-BAL-2020'!S22+'DMP-TRIAL-BAL-2020'!S22</f>
        <v>0</v>
      </c>
      <c r="AA22" s="588">
        <f>+'NF-KSF-TRIAL-BAL-2020'!T22+'RA-TRIAL-BAL-2020'!T22+'DES-TRIAL-BAL-2020'!T22+'DMP-TRIAL-BAL-2020'!T22</f>
        <v>0</v>
      </c>
      <c r="AB22" s="51"/>
      <c r="AC22" s="575">
        <v>0</v>
      </c>
      <c r="AD22" s="582">
        <v>0</v>
      </c>
      <c r="AE22" s="579">
        <v>0</v>
      </c>
      <c r="AF22" s="582">
        <v>0</v>
      </c>
      <c r="AG22" s="579">
        <v>0</v>
      </c>
      <c r="AH22" s="584">
        <v>0</v>
      </c>
      <c r="AI22" s="51"/>
      <c r="AJ22" s="1497">
        <f t="shared" si="4"/>
        <v>1581</v>
      </c>
      <c r="AK22" s="8">
        <v>0</v>
      </c>
      <c r="AL22" s="970">
        <f>+ROUND(+P22+W22+AD22,2)</f>
        <v>0</v>
      </c>
      <c r="AM22" s="326">
        <f>+ROUND(+Q22+X22+AE22,2)</f>
        <v>0</v>
      </c>
      <c r="AN22" s="970">
        <f>+ROUND(+R22+Y22+AF22,2)</f>
        <v>0</v>
      </c>
      <c r="AO22" s="579">
        <v>0</v>
      </c>
      <c r="AP22" s="28">
        <f>+T22+AA22+AH22</f>
        <v>0</v>
      </c>
      <c r="AQ22" s="43"/>
      <c r="AR22" s="358">
        <f t="shared" si="5"/>
        <v>0</v>
      </c>
      <c r="AS22" s="359">
        <f t="shared" si="6"/>
        <v>0</v>
      </c>
      <c r="AT22" s="360">
        <f t="shared" si="7"/>
        <v>0</v>
      </c>
      <c r="AU22" s="43"/>
      <c r="AV22" s="2119">
        <f>+IF(OR(+ROUND(O22,2)+ROUND(Q22,2)&gt;ROUND(P22,2)+ROUND(R22,2),+ABS(ROUND(O22,2)+ROUND(Q22,2))&gt;+ABS(ROUND(P22,2)+ROUND(R22,2))),+(ROUND(O22,2)+ROUND(Q22,2))-(ROUND(P22,2)+ROUND(R22,2)),0)</f>
        <v>0</v>
      </c>
      <c r="AW22" s="119"/>
      <c r="AX22" s="2125">
        <f t="shared" si="10"/>
        <v>0</v>
      </c>
      <c r="AY22" s="43"/>
      <c r="AZ22" s="2288" t="s">
        <v>2184</v>
      </c>
      <c r="BA22" s="2289"/>
      <c r="BB22" s="43"/>
      <c r="BC22" s="43"/>
      <c r="BD22" s="43"/>
    </row>
    <row r="23" spans="1:56" ht="15.75">
      <c r="A23" s="88">
        <v>1587</v>
      </c>
      <c r="B23" s="378" t="s">
        <v>962</v>
      </c>
      <c r="C23" s="1033"/>
      <c r="D23" s="1033"/>
      <c r="E23" s="1033"/>
      <c r="F23" s="1033"/>
      <c r="G23" s="1033"/>
      <c r="H23" s="1033"/>
      <c r="I23" s="1033"/>
      <c r="J23" s="1033"/>
      <c r="K23" s="1033"/>
      <c r="L23" s="90"/>
      <c r="M23" s="51" t="s">
        <v>265</v>
      </c>
      <c r="N23" s="113">
        <f t="shared" si="8"/>
        <v>1587</v>
      </c>
      <c r="O23" s="581"/>
      <c r="P23" s="582">
        <v>0</v>
      </c>
      <c r="Q23" s="325"/>
      <c r="R23" s="121"/>
      <c r="S23" s="583">
        <f>+IF(ABS(+O23+Q23)&gt;=ABS(P23+R23),+O23-P23+Q23-R23,0)</f>
        <v>0</v>
      </c>
      <c r="T23" s="584">
        <v>0</v>
      </c>
      <c r="U23" s="51"/>
      <c r="V23" s="541">
        <f>+'NF-KSF-TRIAL-BAL-2020'!O23+'RA-TRIAL-BAL-2020'!O23+'DES-TRIAL-BAL-2020'!O23+'DMP-TRIAL-BAL-2020'!O23</f>
        <v>0</v>
      </c>
      <c r="W23" s="529">
        <f>+'NF-KSF-TRIAL-BAL-2020'!P23+'RA-TRIAL-BAL-2020'!P23+'DES-TRIAL-BAL-2020'!P23+'DMP-TRIAL-BAL-2020'!P23</f>
        <v>0</v>
      </c>
      <c r="X23" s="587">
        <f>+'NF-KSF-TRIAL-BAL-2020'!Q23+'RA-TRIAL-BAL-2020'!Q23+'DES-TRIAL-BAL-2020'!Q23+'DMP-TRIAL-BAL-2020'!Q23</f>
        <v>0</v>
      </c>
      <c r="Y23" s="586">
        <f>+'NF-KSF-TRIAL-BAL-2020'!R23+'RA-TRIAL-BAL-2020'!R23+'DES-TRIAL-BAL-2020'!R23+'DMP-TRIAL-BAL-2020'!R23</f>
        <v>0</v>
      </c>
      <c r="Z23" s="587">
        <f>+'NF-KSF-TRIAL-BAL-2020'!S23+'RA-TRIAL-BAL-2020'!S23+'DES-TRIAL-BAL-2020'!S23+'DMP-TRIAL-BAL-2020'!S23</f>
        <v>0</v>
      </c>
      <c r="AA23" s="588">
        <f>+'NF-KSF-TRIAL-BAL-2020'!T23+'RA-TRIAL-BAL-2020'!T23+'DES-TRIAL-BAL-2020'!T23+'DMP-TRIAL-BAL-2020'!T23</f>
        <v>0</v>
      </c>
      <c r="AB23" s="51"/>
      <c r="AC23" s="575">
        <v>0</v>
      </c>
      <c r="AD23" s="582">
        <v>0</v>
      </c>
      <c r="AE23" s="579">
        <v>0</v>
      </c>
      <c r="AF23" s="582">
        <v>0</v>
      </c>
      <c r="AG23" s="579">
        <v>0</v>
      </c>
      <c r="AH23" s="584">
        <v>0</v>
      </c>
      <c r="AI23" s="51"/>
      <c r="AJ23" s="1497">
        <f t="shared" si="4"/>
        <v>1587</v>
      </c>
      <c r="AK23" s="951">
        <f>+ROUND(+O23+V23+AC23,2)</f>
        <v>0</v>
      </c>
      <c r="AL23" s="9">
        <v>0</v>
      </c>
      <c r="AM23" s="326">
        <f>+ROUND(+Q23+X23+AE23,2)</f>
        <v>0</v>
      </c>
      <c r="AN23" s="970">
        <f>+ROUND(+R23+Y23+AF23,2)</f>
        <v>0</v>
      </c>
      <c r="AO23" s="326">
        <f t="shared" ref="AO23:AP38" si="11">+S23+Z23+AG23</f>
        <v>0</v>
      </c>
      <c r="AP23" s="584">
        <v>0</v>
      </c>
      <c r="AQ23" s="43"/>
      <c r="AR23" s="358">
        <f t="shared" si="5"/>
        <v>0</v>
      </c>
      <c r="AS23" s="359">
        <f t="shared" si="6"/>
        <v>0</v>
      </c>
      <c r="AT23" s="360">
        <f t="shared" si="7"/>
        <v>0</v>
      </c>
      <c r="AU23" s="43"/>
      <c r="AV23" s="2120">
        <f>+IF(OR(ROUND(P23,2)+ROUND(R23,2)&gt;+ROUND(O23,2)+ROUND(Q23,2),+ABS(ROUND(P23,2)+ROUND(R23,2))&gt;+ABS(ROUND(O23,2)+ROUND(Q23,2))),+(ROUND(P23,2)+ROUND(R23,2))-(ROUND(O23,2)+ROUND(Q23,2)),0)</f>
        <v>0</v>
      </c>
      <c r="AW23" s="119"/>
      <c r="AX23" s="2125">
        <f t="shared" si="10"/>
        <v>0</v>
      </c>
      <c r="AY23" s="43"/>
      <c r="AZ23" s="2290" t="s">
        <v>2185</v>
      </c>
      <c r="BA23" s="2291"/>
      <c r="BB23" s="43"/>
      <c r="BC23" s="43"/>
      <c r="BD23" s="43"/>
    </row>
    <row r="24" spans="1:56" ht="15.75">
      <c r="A24" s="88">
        <v>1591</v>
      </c>
      <c r="B24" s="378" t="s">
        <v>963</v>
      </c>
      <c r="C24" s="1033"/>
      <c r="D24" s="1033"/>
      <c r="E24" s="1033"/>
      <c r="F24" s="1033"/>
      <c r="G24" s="1033"/>
      <c r="H24" s="1033"/>
      <c r="I24" s="1033"/>
      <c r="J24" s="1033"/>
      <c r="K24" s="1033"/>
      <c r="L24" s="90"/>
      <c r="M24" s="51" t="s">
        <v>265</v>
      </c>
      <c r="N24" s="113">
        <f t="shared" si="8"/>
        <v>1591</v>
      </c>
      <c r="O24" s="120"/>
      <c r="P24" s="121"/>
      <c r="Q24" s="325"/>
      <c r="R24" s="324"/>
      <c r="S24" s="27">
        <f>+IF(ABS(+O24+Q24)&gt;=ABS(P24+R24),+O24-P24+Q24-R24,0)</f>
        <v>0</v>
      </c>
      <c r="T24" s="28">
        <f>+IF(ABS(+O24+Q24)&lt;=ABS(P24+R24),-O24+P24-Q24+R24,0)</f>
        <v>0</v>
      </c>
      <c r="U24" s="51"/>
      <c r="V24" s="541">
        <f>+'NF-KSF-TRIAL-BAL-2020'!O24+'RA-TRIAL-BAL-2020'!O24+'DES-TRIAL-BAL-2020'!O24+'DMP-TRIAL-BAL-2020'!O24</f>
        <v>0</v>
      </c>
      <c r="W24" s="529">
        <f>+'NF-KSF-TRIAL-BAL-2020'!P24+'RA-TRIAL-BAL-2020'!P24+'DES-TRIAL-BAL-2020'!P24+'DMP-TRIAL-BAL-2020'!P24</f>
        <v>0</v>
      </c>
      <c r="X24" s="528">
        <f>+'NF-KSF-TRIAL-BAL-2020'!Q24+'RA-TRIAL-BAL-2020'!Q24+'DES-TRIAL-BAL-2020'!Q24+'DMP-TRIAL-BAL-2020'!Q24</f>
        <v>0</v>
      </c>
      <c r="Y24" s="529">
        <f>+'NF-KSF-TRIAL-BAL-2020'!R24+'RA-TRIAL-BAL-2020'!R24+'DES-TRIAL-BAL-2020'!R24+'DMP-TRIAL-BAL-2020'!R24</f>
        <v>0</v>
      </c>
      <c r="Z24" s="528">
        <f>+'NF-KSF-TRIAL-BAL-2020'!S24+'RA-TRIAL-BAL-2020'!S24+'DES-TRIAL-BAL-2020'!S24+'DMP-TRIAL-BAL-2020'!S24</f>
        <v>0</v>
      </c>
      <c r="AA24" s="347">
        <f>+'NF-KSF-TRIAL-BAL-2020'!T24+'RA-TRIAL-BAL-2020'!T24+'DES-TRIAL-BAL-2020'!T24+'DMP-TRIAL-BAL-2020'!T24</f>
        <v>0</v>
      </c>
      <c r="AB24" s="51"/>
      <c r="AC24" s="8">
        <v>0</v>
      </c>
      <c r="AD24" s="9">
        <v>0</v>
      </c>
      <c r="AE24" s="29">
        <v>0</v>
      </c>
      <c r="AF24" s="9">
        <v>0</v>
      </c>
      <c r="AG24" s="29">
        <v>0</v>
      </c>
      <c r="AH24" s="30">
        <v>0</v>
      </c>
      <c r="AI24" s="51"/>
      <c r="AJ24" s="1497">
        <f t="shared" si="4"/>
        <v>1591</v>
      </c>
      <c r="AK24" s="951">
        <f t="shared" si="9"/>
        <v>0</v>
      </c>
      <c r="AL24" s="970">
        <f t="shared" si="9"/>
        <v>0</v>
      </c>
      <c r="AM24" s="326">
        <f t="shared" si="9"/>
        <v>0</v>
      </c>
      <c r="AN24" s="970">
        <f t="shared" si="9"/>
        <v>0</v>
      </c>
      <c r="AO24" s="326">
        <f t="shared" si="11"/>
        <v>0</v>
      </c>
      <c r="AP24" s="28">
        <f t="shared" si="11"/>
        <v>0</v>
      </c>
      <c r="AQ24" s="43"/>
      <c r="AR24" s="358">
        <f t="shared" si="5"/>
        <v>0</v>
      </c>
      <c r="AS24" s="359">
        <f t="shared" si="6"/>
        <v>0</v>
      </c>
      <c r="AT24" s="360">
        <f t="shared" si="7"/>
        <v>0</v>
      </c>
      <c r="AU24" s="43"/>
      <c r="AV24" s="43"/>
      <c r="AW24" s="119"/>
      <c r="AX24" s="2125">
        <f t="shared" si="10"/>
        <v>0</v>
      </c>
      <c r="AY24" s="43"/>
      <c r="AZ24" s="1928"/>
      <c r="BA24" s="2292"/>
      <c r="BB24" s="43"/>
      <c r="BC24" s="43"/>
      <c r="BD24" s="43"/>
    </row>
    <row r="25" spans="1:56" ht="15.75">
      <c r="A25" s="88">
        <v>1593</v>
      </c>
      <c r="B25" s="378" t="s">
        <v>964</v>
      </c>
      <c r="C25" s="1033"/>
      <c r="D25" s="1033"/>
      <c r="E25" s="1033"/>
      <c r="F25" s="1033"/>
      <c r="G25" s="1033"/>
      <c r="H25" s="1033"/>
      <c r="I25" s="1033"/>
      <c r="J25" s="1033"/>
      <c r="K25" s="1033"/>
      <c r="L25" s="90"/>
      <c r="M25" s="51" t="s">
        <v>265</v>
      </c>
      <c r="N25" s="113">
        <f t="shared" si="8"/>
        <v>1593</v>
      </c>
      <c r="O25" s="120"/>
      <c r="P25" s="121"/>
      <c r="Q25" s="325"/>
      <c r="R25" s="324"/>
      <c r="S25" s="27">
        <f>+IF(ABS(+O25+Q25)&gt;=ABS(P25+R25),+O25-P25+Q25-R25,0)</f>
        <v>0</v>
      </c>
      <c r="T25" s="28">
        <f>+IF(ABS(+O25+Q25)&lt;=ABS(P25+R25),-O25+P25-Q25+R25,0)</f>
        <v>0</v>
      </c>
      <c r="U25" s="51"/>
      <c r="V25" s="541">
        <f>+'NF-KSF-TRIAL-BAL-2020'!O25+'RA-TRIAL-BAL-2020'!O25+'DES-TRIAL-BAL-2020'!O25+'DMP-TRIAL-BAL-2020'!O25</f>
        <v>0</v>
      </c>
      <c r="W25" s="529">
        <f>+'NF-KSF-TRIAL-BAL-2020'!P25+'RA-TRIAL-BAL-2020'!P25+'DES-TRIAL-BAL-2020'!P25+'DMP-TRIAL-BAL-2020'!P25</f>
        <v>0</v>
      </c>
      <c r="X25" s="528">
        <f>+'NF-KSF-TRIAL-BAL-2020'!Q25+'RA-TRIAL-BAL-2020'!Q25+'DES-TRIAL-BAL-2020'!Q25+'DMP-TRIAL-BAL-2020'!Q25</f>
        <v>0</v>
      </c>
      <c r="Y25" s="529">
        <f>+'NF-KSF-TRIAL-BAL-2020'!R25+'RA-TRIAL-BAL-2020'!R25+'DES-TRIAL-BAL-2020'!R25+'DMP-TRIAL-BAL-2020'!R25</f>
        <v>0</v>
      </c>
      <c r="Z25" s="528">
        <f>+'NF-KSF-TRIAL-BAL-2020'!S25+'RA-TRIAL-BAL-2020'!S25+'DES-TRIAL-BAL-2020'!S25+'DMP-TRIAL-BAL-2020'!S25</f>
        <v>0</v>
      </c>
      <c r="AA25" s="347">
        <f>+'NF-KSF-TRIAL-BAL-2020'!T25+'RA-TRIAL-BAL-2020'!T25+'DES-TRIAL-BAL-2020'!T25+'DMP-TRIAL-BAL-2020'!T25</f>
        <v>0</v>
      </c>
      <c r="AB25" s="51"/>
      <c r="AC25" s="8">
        <v>0</v>
      </c>
      <c r="AD25" s="9">
        <v>0</v>
      </c>
      <c r="AE25" s="29">
        <v>0</v>
      </c>
      <c r="AF25" s="9">
        <v>0</v>
      </c>
      <c r="AG25" s="29">
        <v>0</v>
      </c>
      <c r="AH25" s="30">
        <v>0</v>
      </c>
      <c r="AI25" s="51"/>
      <c r="AJ25" s="1497">
        <f t="shared" si="4"/>
        <v>1593</v>
      </c>
      <c r="AK25" s="951">
        <f t="shared" si="9"/>
        <v>0</v>
      </c>
      <c r="AL25" s="970">
        <f t="shared" si="9"/>
        <v>0</v>
      </c>
      <c r="AM25" s="326">
        <f t="shared" si="9"/>
        <v>0</v>
      </c>
      <c r="AN25" s="970">
        <f t="shared" si="9"/>
        <v>0</v>
      </c>
      <c r="AO25" s="326">
        <f t="shared" si="11"/>
        <v>0</v>
      </c>
      <c r="AP25" s="28">
        <f t="shared" si="11"/>
        <v>0</v>
      </c>
      <c r="AQ25" s="43"/>
      <c r="AR25" s="358">
        <f t="shared" si="5"/>
        <v>0</v>
      </c>
      <c r="AS25" s="359">
        <f t="shared" si="6"/>
        <v>0</v>
      </c>
      <c r="AT25" s="360">
        <f t="shared" si="7"/>
        <v>0</v>
      </c>
      <c r="AU25" s="43"/>
      <c r="AV25" s="43"/>
      <c r="AW25" s="119"/>
      <c r="AX25" s="2125">
        <f t="shared" si="10"/>
        <v>0</v>
      </c>
      <c r="AY25" s="43"/>
      <c r="AZ25" s="2288" t="s">
        <v>2186</v>
      </c>
      <c r="BA25" s="2289"/>
      <c r="BB25" s="43"/>
      <c r="BC25" s="43"/>
      <c r="BD25" s="43"/>
    </row>
    <row r="26" spans="1:56" ht="15.75">
      <c r="A26" s="88">
        <v>1621</v>
      </c>
      <c r="B26" s="378" t="s">
        <v>938</v>
      </c>
      <c r="C26" s="1033"/>
      <c r="D26" s="1033"/>
      <c r="E26" s="1033"/>
      <c r="F26" s="1033"/>
      <c r="G26" s="1033"/>
      <c r="H26" s="1033"/>
      <c r="I26" s="1033"/>
      <c r="J26" s="1033"/>
      <c r="K26" s="1033"/>
      <c r="L26" s="90"/>
      <c r="M26" s="51" t="s">
        <v>265</v>
      </c>
      <c r="N26" s="113">
        <f t="shared" si="8"/>
        <v>1621</v>
      </c>
      <c r="O26" s="8">
        <v>0</v>
      </c>
      <c r="P26" s="121"/>
      <c r="Q26" s="325"/>
      <c r="R26" s="324"/>
      <c r="S26" s="29">
        <v>0</v>
      </c>
      <c r="T26" s="28">
        <f>+IF(ABS(+O26+Q26)&lt;=ABS(P26+R26),-O26+P26-Q26+R26,0)</f>
        <v>0</v>
      </c>
      <c r="U26" s="51"/>
      <c r="V26" s="541">
        <f>+'NF-KSF-TRIAL-BAL-2020'!O26+'RA-TRIAL-BAL-2020'!O26+'DES-TRIAL-BAL-2020'!O26+'DMP-TRIAL-BAL-2020'!O26</f>
        <v>0</v>
      </c>
      <c r="W26" s="529">
        <f>+'NF-KSF-TRIAL-BAL-2020'!P26+'RA-TRIAL-BAL-2020'!P26+'DES-TRIAL-BAL-2020'!P26+'DMP-TRIAL-BAL-2020'!P26</f>
        <v>0</v>
      </c>
      <c r="X26" s="528">
        <f>+'NF-KSF-TRIAL-BAL-2020'!Q26+'RA-TRIAL-BAL-2020'!Q26+'DES-TRIAL-BAL-2020'!Q26+'DMP-TRIAL-BAL-2020'!Q26</f>
        <v>0</v>
      </c>
      <c r="Y26" s="529">
        <f>+'NF-KSF-TRIAL-BAL-2020'!R26+'RA-TRIAL-BAL-2020'!R26+'DES-TRIAL-BAL-2020'!R26+'DMP-TRIAL-BAL-2020'!R26</f>
        <v>0</v>
      </c>
      <c r="Z26" s="528">
        <f>+'NF-KSF-TRIAL-BAL-2020'!S26+'RA-TRIAL-BAL-2020'!S26+'DES-TRIAL-BAL-2020'!S26+'DMP-TRIAL-BAL-2020'!S26</f>
        <v>0</v>
      </c>
      <c r="AA26" s="347">
        <f>+'NF-KSF-TRIAL-BAL-2020'!T26+'RA-TRIAL-BAL-2020'!T26+'DES-TRIAL-BAL-2020'!T26+'DMP-TRIAL-BAL-2020'!T26</f>
        <v>0</v>
      </c>
      <c r="AB26" s="51"/>
      <c r="AC26" s="8">
        <v>0</v>
      </c>
      <c r="AD26" s="9">
        <v>0</v>
      </c>
      <c r="AE26" s="29">
        <v>0</v>
      </c>
      <c r="AF26" s="9">
        <v>0</v>
      </c>
      <c r="AG26" s="29">
        <v>0</v>
      </c>
      <c r="AH26" s="30">
        <v>0</v>
      </c>
      <c r="AI26" s="51"/>
      <c r="AJ26" s="1497">
        <f t="shared" si="4"/>
        <v>1621</v>
      </c>
      <c r="AK26" s="8">
        <v>0</v>
      </c>
      <c r="AL26" s="970">
        <f>+ROUND(+P26+W26+AD26,2)</f>
        <v>0</v>
      </c>
      <c r="AM26" s="326">
        <f>+ROUND(+Q26+X26+AE26,2)</f>
        <v>0</v>
      </c>
      <c r="AN26" s="970">
        <f>+ROUND(+R26+Y26+AF26,2)</f>
        <v>0</v>
      </c>
      <c r="AO26" s="29">
        <v>0</v>
      </c>
      <c r="AP26" s="28">
        <f t="shared" si="11"/>
        <v>0</v>
      </c>
      <c r="AQ26" s="43"/>
      <c r="AR26" s="358">
        <f t="shared" si="5"/>
        <v>0</v>
      </c>
      <c r="AS26" s="359">
        <f t="shared" si="6"/>
        <v>0</v>
      </c>
      <c r="AT26" s="360">
        <f t="shared" si="7"/>
        <v>0</v>
      </c>
      <c r="AU26" s="43"/>
      <c r="AV26" s="2119">
        <f>+IF(OR(+ROUND(O26,2)+ROUND(Q26,2)&gt;ROUND(P26,2)+ROUND(R26,2),+ABS(ROUND(O26,2)+ROUND(Q26,2))&gt;+ABS(ROUND(P26,2)+ROUND(R26,2))),+(ROUND(O26,2)+ROUND(Q26,2))-(ROUND(P26,2)+ROUND(R26,2)),0)</f>
        <v>0</v>
      </c>
      <c r="AW26" s="119"/>
      <c r="AX26" s="2125">
        <f t="shared" si="10"/>
        <v>0</v>
      </c>
      <c r="AY26" s="43"/>
      <c r="AZ26" s="2290" t="s">
        <v>2187</v>
      </c>
      <c r="BA26" s="2291"/>
      <c r="BB26" s="43"/>
      <c r="BC26" s="43"/>
      <c r="BD26" s="43"/>
    </row>
    <row r="27" spans="1:56" ht="15.75">
      <c r="A27" s="88">
        <v>1623</v>
      </c>
      <c r="B27" s="378" t="s">
        <v>939</v>
      </c>
      <c r="C27" s="1033"/>
      <c r="D27" s="1033"/>
      <c r="E27" s="1033"/>
      <c r="F27" s="1033"/>
      <c r="G27" s="1033"/>
      <c r="H27" s="1033"/>
      <c r="I27" s="1033"/>
      <c r="J27" s="1033"/>
      <c r="K27" s="1033"/>
      <c r="L27" s="90"/>
      <c r="M27" s="51" t="s">
        <v>265</v>
      </c>
      <c r="N27" s="113">
        <f t="shared" si="8"/>
        <v>1623</v>
      </c>
      <c r="O27" s="8">
        <v>0</v>
      </c>
      <c r="P27" s="121"/>
      <c r="Q27" s="325"/>
      <c r="R27" s="324"/>
      <c r="S27" s="29">
        <v>0</v>
      </c>
      <c r="T27" s="28">
        <f t="shared" ref="T27:T53" si="12">+IF(ABS(+O27+Q27)&lt;=ABS(P27+R27),-O27+P27-Q27+R27,0)</f>
        <v>0</v>
      </c>
      <c r="U27" s="51"/>
      <c r="V27" s="541">
        <f>+'NF-KSF-TRIAL-BAL-2020'!O27+'RA-TRIAL-BAL-2020'!O27+'DES-TRIAL-BAL-2020'!O27+'DMP-TRIAL-BAL-2020'!O27</f>
        <v>0</v>
      </c>
      <c r="W27" s="529">
        <f>+'NF-KSF-TRIAL-BAL-2020'!P27+'RA-TRIAL-BAL-2020'!P27+'DES-TRIAL-BAL-2020'!P27+'DMP-TRIAL-BAL-2020'!P27</f>
        <v>0</v>
      </c>
      <c r="X27" s="528">
        <f>+'NF-KSF-TRIAL-BAL-2020'!Q27+'RA-TRIAL-BAL-2020'!Q27+'DES-TRIAL-BAL-2020'!Q27+'DMP-TRIAL-BAL-2020'!Q27</f>
        <v>0</v>
      </c>
      <c r="Y27" s="529">
        <f>+'NF-KSF-TRIAL-BAL-2020'!R27+'RA-TRIAL-BAL-2020'!R27+'DES-TRIAL-BAL-2020'!R27+'DMP-TRIAL-BAL-2020'!R27</f>
        <v>0</v>
      </c>
      <c r="Z27" s="528">
        <f>+'NF-KSF-TRIAL-BAL-2020'!S27+'RA-TRIAL-BAL-2020'!S27+'DES-TRIAL-BAL-2020'!S27+'DMP-TRIAL-BAL-2020'!S27</f>
        <v>0</v>
      </c>
      <c r="AA27" s="347">
        <f>+'NF-KSF-TRIAL-BAL-2020'!T27+'RA-TRIAL-BAL-2020'!T27+'DES-TRIAL-BAL-2020'!T27+'DMP-TRIAL-BAL-2020'!T27</f>
        <v>0</v>
      </c>
      <c r="AB27" s="51"/>
      <c r="AC27" s="8">
        <v>0</v>
      </c>
      <c r="AD27" s="9">
        <v>0</v>
      </c>
      <c r="AE27" s="29">
        <v>0</v>
      </c>
      <c r="AF27" s="9">
        <v>0</v>
      </c>
      <c r="AG27" s="29">
        <v>0</v>
      </c>
      <c r="AH27" s="30">
        <v>0</v>
      </c>
      <c r="AI27" s="51"/>
      <c r="AJ27" s="1497">
        <f t="shared" ref="AJ27:AJ53" si="13">+N27</f>
        <v>1623</v>
      </c>
      <c r="AK27" s="8">
        <v>0</v>
      </c>
      <c r="AL27" s="970">
        <f t="shared" ref="AL27:AL53" si="14">+ROUND(+P27+W27+AD27,2)</f>
        <v>0</v>
      </c>
      <c r="AM27" s="326">
        <f t="shared" ref="AM27:AM53" si="15">+ROUND(+Q27+X27+AE27,2)</f>
        <v>0</v>
      </c>
      <c r="AN27" s="970">
        <f t="shared" ref="AN27:AN53" si="16">+ROUND(+R27+Y27+AF27,2)</f>
        <v>0</v>
      </c>
      <c r="AO27" s="29">
        <v>0</v>
      </c>
      <c r="AP27" s="28">
        <f t="shared" si="11"/>
        <v>0</v>
      </c>
      <c r="AQ27" s="43"/>
      <c r="AR27" s="358">
        <f t="shared" ref="AR27:AR53" si="17">+ROUND(+SUM(AK27-AL27)-SUM(O27-P27)-SUM(V27-W27)-SUM(AC27-AD27),2)</f>
        <v>0</v>
      </c>
      <c r="AS27" s="359">
        <f t="shared" ref="AS27:AS53" si="18">+ROUND(+SUM(AM27-AN27)-SUM(Q27-R27)-SUM(X27-Y27)-SUM(AE27-AF27),2)</f>
        <v>0</v>
      </c>
      <c r="AT27" s="360">
        <f t="shared" ref="AT27:AT53" si="19">+ROUND(+SUM(AO27-AP27)-SUM(S27-T27)-SUM(Z27-AA27)-SUM(AG27-AH27),2)</f>
        <v>0</v>
      </c>
      <c r="AU27" s="43"/>
      <c r="AV27" s="2119">
        <f t="shared" ref="AV27:AV53" si="20">+IF(OR(+ROUND(O27,2)+ROUND(Q27,2)&gt;ROUND(P27,2)+ROUND(R27,2),+ABS(ROUND(O27,2)+ROUND(Q27,2))&gt;+ABS(ROUND(P27,2)+ROUND(R27,2))),+(ROUND(O27,2)+ROUND(Q27,2))-(ROUND(P27,2)+ROUND(R27,2)),0)</f>
        <v>0</v>
      </c>
      <c r="AW27" s="119"/>
      <c r="AX27" s="2125">
        <f t="shared" si="10"/>
        <v>0</v>
      </c>
      <c r="AY27" s="43"/>
      <c r="AZ27" s="1928"/>
      <c r="BA27" s="2292"/>
      <c r="BB27" s="43"/>
      <c r="BC27" s="43"/>
      <c r="BD27" s="43"/>
    </row>
    <row r="28" spans="1:56" ht="15.75">
      <c r="A28" s="88">
        <v>1625</v>
      </c>
      <c r="B28" s="378" t="s">
        <v>940</v>
      </c>
      <c r="C28" s="1033"/>
      <c r="D28" s="1033"/>
      <c r="E28" s="1033"/>
      <c r="F28" s="1033"/>
      <c r="G28" s="1033"/>
      <c r="H28" s="1033"/>
      <c r="I28" s="1033"/>
      <c r="J28" s="1033"/>
      <c r="K28" s="1033"/>
      <c r="L28" s="90"/>
      <c r="M28" s="51" t="s">
        <v>265</v>
      </c>
      <c r="N28" s="113">
        <f t="shared" si="8"/>
        <v>1625</v>
      </c>
      <c r="O28" s="8">
        <v>0</v>
      </c>
      <c r="P28" s="121"/>
      <c r="Q28" s="325"/>
      <c r="R28" s="324"/>
      <c r="S28" s="29">
        <v>0</v>
      </c>
      <c r="T28" s="28">
        <f t="shared" si="12"/>
        <v>0</v>
      </c>
      <c r="U28" s="51"/>
      <c r="V28" s="541">
        <f>+'NF-KSF-TRIAL-BAL-2020'!O28+'RA-TRIAL-BAL-2020'!O28+'DES-TRIAL-BAL-2020'!O28+'DMP-TRIAL-BAL-2020'!O28</f>
        <v>0</v>
      </c>
      <c r="W28" s="529">
        <f>+'NF-KSF-TRIAL-BAL-2020'!P28+'RA-TRIAL-BAL-2020'!P28+'DES-TRIAL-BAL-2020'!P28+'DMP-TRIAL-BAL-2020'!P28</f>
        <v>0</v>
      </c>
      <c r="X28" s="528">
        <f>+'NF-KSF-TRIAL-BAL-2020'!Q28+'RA-TRIAL-BAL-2020'!Q28+'DES-TRIAL-BAL-2020'!Q28+'DMP-TRIAL-BAL-2020'!Q28</f>
        <v>0</v>
      </c>
      <c r="Y28" s="529">
        <f>+'NF-KSF-TRIAL-BAL-2020'!R28+'RA-TRIAL-BAL-2020'!R28+'DES-TRIAL-BAL-2020'!R28+'DMP-TRIAL-BAL-2020'!R28</f>
        <v>0</v>
      </c>
      <c r="Z28" s="528">
        <f>+'NF-KSF-TRIAL-BAL-2020'!S28+'RA-TRIAL-BAL-2020'!S28+'DES-TRIAL-BAL-2020'!S28+'DMP-TRIAL-BAL-2020'!S28</f>
        <v>0</v>
      </c>
      <c r="AA28" s="347">
        <f>+'NF-KSF-TRIAL-BAL-2020'!T28+'RA-TRIAL-BAL-2020'!T28+'DES-TRIAL-BAL-2020'!T28+'DMP-TRIAL-BAL-2020'!T28</f>
        <v>0</v>
      </c>
      <c r="AB28" s="51"/>
      <c r="AC28" s="8">
        <v>0</v>
      </c>
      <c r="AD28" s="9">
        <v>0</v>
      </c>
      <c r="AE28" s="29">
        <v>0</v>
      </c>
      <c r="AF28" s="9">
        <v>0</v>
      </c>
      <c r="AG28" s="29">
        <v>0</v>
      </c>
      <c r="AH28" s="30">
        <v>0</v>
      </c>
      <c r="AI28" s="51"/>
      <c r="AJ28" s="1497">
        <f t="shared" si="13"/>
        <v>1625</v>
      </c>
      <c r="AK28" s="8">
        <v>0</v>
      </c>
      <c r="AL28" s="970">
        <f t="shared" si="14"/>
        <v>0</v>
      </c>
      <c r="AM28" s="326">
        <f t="shared" si="15"/>
        <v>0</v>
      </c>
      <c r="AN28" s="970">
        <f t="shared" si="16"/>
        <v>0</v>
      </c>
      <c r="AO28" s="29">
        <v>0</v>
      </c>
      <c r="AP28" s="28">
        <f t="shared" si="11"/>
        <v>0</v>
      </c>
      <c r="AQ28" s="43"/>
      <c r="AR28" s="358">
        <f t="shared" si="17"/>
        <v>0</v>
      </c>
      <c r="AS28" s="359">
        <f t="shared" si="18"/>
        <v>0</v>
      </c>
      <c r="AT28" s="360">
        <f t="shared" si="19"/>
        <v>0</v>
      </c>
      <c r="AU28" s="43"/>
      <c r="AV28" s="2119">
        <f t="shared" si="20"/>
        <v>0</v>
      </c>
      <c r="AW28" s="119"/>
      <c r="AX28" s="2125">
        <f t="shared" si="10"/>
        <v>0</v>
      </c>
      <c r="AY28" s="43"/>
      <c r="AZ28" s="2288" t="s">
        <v>2188</v>
      </c>
      <c r="BA28" s="2289"/>
      <c r="BB28" s="43"/>
      <c r="BC28" s="43"/>
      <c r="BD28" s="43"/>
    </row>
    <row r="29" spans="1:56" ht="15.75">
      <c r="A29" s="88">
        <v>1651</v>
      </c>
      <c r="B29" s="378" t="s">
        <v>941</v>
      </c>
      <c r="C29" s="1033"/>
      <c r="D29" s="1033"/>
      <c r="E29" s="1033"/>
      <c r="F29" s="1033"/>
      <c r="G29" s="1033"/>
      <c r="H29" s="1033"/>
      <c r="I29" s="1033"/>
      <c r="J29" s="1033"/>
      <c r="K29" s="1033"/>
      <c r="L29" s="90"/>
      <c r="M29" s="51" t="s">
        <v>265</v>
      </c>
      <c r="N29" s="113">
        <f t="shared" si="8"/>
        <v>1651</v>
      </c>
      <c r="O29" s="8">
        <v>0</v>
      </c>
      <c r="P29" s="121"/>
      <c r="Q29" s="325"/>
      <c r="R29" s="324"/>
      <c r="S29" s="29">
        <v>0</v>
      </c>
      <c r="T29" s="28">
        <f t="shared" si="12"/>
        <v>0</v>
      </c>
      <c r="U29" s="51"/>
      <c r="V29" s="541">
        <f>+'NF-KSF-TRIAL-BAL-2020'!O29+'RA-TRIAL-BAL-2020'!O29+'DES-TRIAL-BAL-2020'!O29+'DMP-TRIAL-BAL-2020'!O29</f>
        <v>0</v>
      </c>
      <c r="W29" s="529">
        <f>+'NF-KSF-TRIAL-BAL-2020'!P29+'RA-TRIAL-BAL-2020'!P29+'DES-TRIAL-BAL-2020'!P29+'DMP-TRIAL-BAL-2020'!P29</f>
        <v>0</v>
      </c>
      <c r="X29" s="528">
        <f>+'NF-KSF-TRIAL-BAL-2020'!Q29+'RA-TRIAL-BAL-2020'!Q29+'DES-TRIAL-BAL-2020'!Q29+'DMP-TRIAL-BAL-2020'!Q29</f>
        <v>0</v>
      </c>
      <c r="Y29" s="529">
        <f>+'NF-KSF-TRIAL-BAL-2020'!R29+'RA-TRIAL-BAL-2020'!R29+'DES-TRIAL-BAL-2020'!R29+'DMP-TRIAL-BAL-2020'!R29</f>
        <v>0</v>
      </c>
      <c r="Z29" s="528">
        <f>+'NF-KSF-TRIAL-BAL-2020'!S29+'RA-TRIAL-BAL-2020'!S29+'DES-TRIAL-BAL-2020'!S29+'DMP-TRIAL-BAL-2020'!S29</f>
        <v>0</v>
      </c>
      <c r="AA29" s="347">
        <f>+'NF-KSF-TRIAL-BAL-2020'!T29+'RA-TRIAL-BAL-2020'!T29+'DES-TRIAL-BAL-2020'!T29+'DMP-TRIAL-BAL-2020'!T29</f>
        <v>0</v>
      </c>
      <c r="AB29" s="51"/>
      <c r="AC29" s="8">
        <v>0</v>
      </c>
      <c r="AD29" s="9">
        <v>0</v>
      </c>
      <c r="AE29" s="29">
        <v>0</v>
      </c>
      <c r="AF29" s="9">
        <v>0</v>
      </c>
      <c r="AG29" s="29">
        <v>0</v>
      </c>
      <c r="AH29" s="30">
        <v>0</v>
      </c>
      <c r="AI29" s="51"/>
      <c r="AJ29" s="1497">
        <f t="shared" si="13"/>
        <v>1651</v>
      </c>
      <c r="AK29" s="8">
        <v>0</v>
      </c>
      <c r="AL29" s="970">
        <f t="shared" si="14"/>
        <v>0</v>
      </c>
      <c r="AM29" s="326">
        <f t="shared" si="15"/>
        <v>0</v>
      </c>
      <c r="AN29" s="970">
        <f t="shared" si="16"/>
        <v>0</v>
      </c>
      <c r="AO29" s="29">
        <v>0</v>
      </c>
      <c r="AP29" s="28">
        <f t="shared" si="11"/>
        <v>0</v>
      </c>
      <c r="AQ29" s="43"/>
      <c r="AR29" s="358">
        <f t="shared" si="17"/>
        <v>0</v>
      </c>
      <c r="AS29" s="359">
        <f t="shared" si="18"/>
        <v>0</v>
      </c>
      <c r="AT29" s="360">
        <f t="shared" si="19"/>
        <v>0</v>
      </c>
      <c r="AU29" s="43"/>
      <c r="AV29" s="2119">
        <f t="shared" si="20"/>
        <v>0</v>
      </c>
      <c r="AW29" s="119"/>
      <c r="AX29" s="2125">
        <f t="shared" si="10"/>
        <v>0</v>
      </c>
      <c r="AY29" s="43"/>
      <c r="AZ29" s="2290" t="s">
        <v>2189</v>
      </c>
      <c r="BA29" s="2291"/>
      <c r="BB29" s="43"/>
      <c r="BC29" s="43"/>
      <c r="BD29" s="43"/>
    </row>
    <row r="30" spans="1:56" ht="15.75">
      <c r="A30" s="88">
        <v>1652</v>
      </c>
      <c r="B30" s="378" t="s">
        <v>942</v>
      </c>
      <c r="C30" s="1033"/>
      <c r="D30" s="1033"/>
      <c r="E30" s="1033"/>
      <c r="F30" s="1033"/>
      <c r="G30" s="1033"/>
      <c r="H30" s="1033"/>
      <c r="I30" s="1033"/>
      <c r="J30" s="1033"/>
      <c r="K30" s="1033"/>
      <c r="L30" s="90"/>
      <c r="M30" s="51" t="s">
        <v>265</v>
      </c>
      <c r="N30" s="113">
        <f t="shared" si="8"/>
        <v>1652</v>
      </c>
      <c r="O30" s="8">
        <v>0</v>
      </c>
      <c r="P30" s="121"/>
      <c r="Q30" s="325"/>
      <c r="R30" s="324"/>
      <c r="S30" s="29">
        <v>0</v>
      </c>
      <c r="T30" s="28">
        <f t="shared" si="12"/>
        <v>0</v>
      </c>
      <c r="U30" s="51"/>
      <c r="V30" s="541">
        <f>+'NF-KSF-TRIAL-BAL-2020'!O30+'RA-TRIAL-BAL-2020'!O30+'DES-TRIAL-BAL-2020'!O30+'DMP-TRIAL-BAL-2020'!O30</f>
        <v>0</v>
      </c>
      <c r="W30" s="529">
        <f>+'NF-KSF-TRIAL-BAL-2020'!P30+'RA-TRIAL-BAL-2020'!P30+'DES-TRIAL-BAL-2020'!P30+'DMP-TRIAL-BAL-2020'!P30</f>
        <v>0</v>
      </c>
      <c r="X30" s="528">
        <f>+'NF-KSF-TRIAL-BAL-2020'!Q30+'RA-TRIAL-BAL-2020'!Q30+'DES-TRIAL-BAL-2020'!Q30+'DMP-TRIAL-BAL-2020'!Q30</f>
        <v>0</v>
      </c>
      <c r="Y30" s="529">
        <f>+'NF-KSF-TRIAL-BAL-2020'!R30+'RA-TRIAL-BAL-2020'!R30+'DES-TRIAL-BAL-2020'!R30+'DMP-TRIAL-BAL-2020'!R30</f>
        <v>0</v>
      </c>
      <c r="Z30" s="528">
        <f>+'NF-KSF-TRIAL-BAL-2020'!S30+'RA-TRIAL-BAL-2020'!S30+'DES-TRIAL-BAL-2020'!S30+'DMP-TRIAL-BAL-2020'!S30</f>
        <v>0</v>
      </c>
      <c r="AA30" s="347">
        <f>+'NF-KSF-TRIAL-BAL-2020'!T30+'RA-TRIAL-BAL-2020'!T30+'DES-TRIAL-BAL-2020'!T30+'DMP-TRIAL-BAL-2020'!T30</f>
        <v>0</v>
      </c>
      <c r="AB30" s="51"/>
      <c r="AC30" s="8">
        <v>0</v>
      </c>
      <c r="AD30" s="9">
        <v>0</v>
      </c>
      <c r="AE30" s="29">
        <v>0</v>
      </c>
      <c r="AF30" s="9">
        <v>0</v>
      </c>
      <c r="AG30" s="29">
        <v>0</v>
      </c>
      <c r="AH30" s="30">
        <v>0</v>
      </c>
      <c r="AI30" s="51"/>
      <c r="AJ30" s="1497">
        <f t="shared" si="13"/>
        <v>1652</v>
      </c>
      <c r="AK30" s="8">
        <v>0</v>
      </c>
      <c r="AL30" s="970">
        <f t="shared" si="14"/>
        <v>0</v>
      </c>
      <c r="AM30" s="326">
        <f t="shared" si="15"/>
        <v>0</v>
      </c>
      <c r="AN30" s="970">
        <f t="shared" si="16"/>
        <v>0</v>
      </c>
      <c r="AO30" s="29">
        <v>0</v>
      </c>
      <c r="AP30" s="28">
        <f t="shared" si="11"/>
        <v>0</v>
      </c>
      <c r="AQ30" s="43"/>
      <c r="AR30" s="358">
        <f t="shared" si="17"/>
        <v>0</v>
      </c>
      <c r="AS30" s="359">
        <f t="shared" si="18"/>
        <v>0</v>
      </c>
      <c r="AT30" s="360">
        <f t="shared" si="19"/>
        <v>0</v>
      </c>
      <c r="AU30" s="43"/>
      <c r="AV30" s="2119">
        <f t="shared" si="20"/>
        <v>0</v>
      </c>
      <c r="AW30" s="119"/>
      <c r="AX30" s="2125">
        <f t="shared" si="10"/>
        <v>0</v>
      </c>
      <c r="AY30" s="43"/>
      <c r="AZ30" s="1928"/>
      <c r="BA30" s="2292"/>
      <c r="BB30" s="43"/>
      <c r="BC30" s="43"/>
      <c r="BD30" s="43"/>
    </row>
    <row r="31" spans="1:56" ht="15.75">
      <c r="A31" s="88">
        <v>1654</v>
      </c>
      <c r="B31" s="378" t="s">
        <v>943</v>
      </c>
      <c r="C31" s="1033"/>
      <c r="D31" s="1033"/>
      <c r="E31" s="1033"/>
      <c r="F31" s="1033"/>
      <c r="G31" s="1033"/>
      <c r="H31" s="1033"/>
      <c r="I31" s="1033"/>
      <c r="J31" s="1033"/>
      <c r="K31" s="1033"/>
      <c r="L31" s="90"/>
      <c r="M31" s="51" t="s">
        <v>265</v>
      </c>
      <c r="N31" s="113">
        <f t="shared" si="8"/>
        <v>1654</v>
      </c>
      <c r="O31" s="8">
        <v>0</v>
      </c>
      <c r="P31" s="121"/>
      <c r="Q31" s="325"/>
      <c r="R31" s="324"/>
      <c r="S31" s="29">
        <v>0</v>
      </c>
      <c r="T31" s="28">
        <f t="shared" si="12"/>
        <v>0</v>
      </c>
      <c r="U31" s="51"/>
      <c r="V31" s="541">
        <f>+'NF-KSF-TRIAL-BAL-2020'!O31+'RA-TRIAL-BAL-2020'!O31+'DES-TRIAL-BAL-2020'!O31+'DMP-TRIAL-BAL-2020'!O31</f>
        <v>0</v>
      </c>
      <c r="W31" s="529">
        <f>+'NF-KSF-TRIAL-BAL-2020'!P31+'RA-TRIAL-BAL-2020'!P31+'DES-TRIAL-BAL-2020'!P31+'DMP-TRIAL-BAL-2020'!P31</f>
        <v>0</v>
      </c>
      <c r="X31" s="528">
        <f>+'NF-KSF-TRIAL-BAL-2020'!Q31+'RA-TRIAL-BAL-2020'!Q31+'DES-TRIAL-BAL-2020'!Q31+'DMP-TRIAL-BAL-2020'!Q31</f>
        <v>0</v>
      </c>
      <c r="Y31" s="529">
        <f>+'NF-KSF-TRIAL-BAL-2020'!R31+'RA-TRIAL-BAL-2020'!R31+'DES-TRIAL-BAL-2020'!R31+'DMP-TRIAL-BAL-2020'!R31</f>
        <v>0</v>
      </c>
      <c r="Z31" s="528">
        <f>+'NF-KSF-TRIAL-BAL-2020'!S31+'RA-TRIAL-BAL-2020'!S31+'DES-TRIAL-BAL-2020'!S31+'DMP-TRIAL-BAL-2020'!S31</f>
        <v>0</v>
      </c>
      <c r="AA31" s="347">
        <f>+'NF-KSF-TRIAL-BAL-2020'!T31+'RA-TRIAL-BAL-2020'!T31+'DES-TRIAL-BAL-2020'!T31+'DMP-TRIAL-BAL-2020'!T31</f>
        <v>0</v>
      </c>
      <c r="AB31" s="51"/>
      <c r="AC31" s="8">
        <v>0</v>
      </c>
      <c r="AD31" s="9">
        <v>0</v>
      </c>
      <c r="AE31" s="29">
        <v>0</v>
      </c>
      <c r="AF31" s="9">
        <v>0</v>
      </c>
      <c r="AG31" s="29">
        <v>0</v>
      </c>
      <c r="AH31" s="30">
        <v>0</v>
      </c>
      <c r="AI31" s="51"/>
      <c r="AJ31" s="1497">
        <f t="shared" si="13"/>
        <v>1654</v>
      </c>
      <c r="AK31" s="8">
        <v>0</v>
      </c>
      <c r="AL31" s="970">
        <f t="shared" si="14"/>
        <v>0</v>
      </c>
      <c r="AM31" s="326">
        <f t="shared" si="15"/>
        <v>0</v>
      </c>
      <c r="AN31" s="970">
        <f t="shared" si="16"/>
        <v>0</v>
      </c>
      <c r="AO31" s="29">
        <v>0</v>
      </c>
      <c r="AP31" s="28">
        <f t="shared" si="11"/>
        <v>0</v>
      </c>
      <c r="AQ31" s="43"/>
      <c r="AR31" s="358">
        <f t="shared" si="17"/>
        <v>0</v>
      </c>
      <c r="AS31" s="359">
        <f t="shared" si="18"/>
        <v>0</v>
      </c>
      <c r="AT31" s="360">
        <f t="shared" si="19"/>
        <v>0</v>
      </c>
      <c r="AU31" s="43"/>
      <c r="AV31" s="2119">
        <f t="shared" si="20"/>
        <v>0</v>
      </c>
      <c r="AW31" s="119"/>
      <c r="AX31" s="2125">
        <f t="shared" si="10"/>
        <v>0</v>
      </c>
      <c r="AY31" s="43"/>
      <c r="AZ31" s="43"/>
      <c r="BA31" s="43"/>
      <c r="BB31" s="43"/>
      <c r="BC31" s="43"/>
      <c r="BD31" s="43"/>
    </row>
    <row r="32" spans="1:56" ht="15.75">
      <c r="A32" s="88">
        <v>1655</v>
      </c>
      <c r="B32" s="378" t="s">
        <v>944</v>
      </c>
      <c r="C32" s="1033"/>
      <c r="D32" s="1033"/>
      <c r="E32" s="1033"/>
      <c r="F32" s="1033"/>
      <c r="G32" s="1033"/>
      <c r="H32" s="1033"/>
      <c r="I32" s="1033"/>
      <c r="J32" s="1033"/>
      <c r="K32" s="1033"/>
      <c r="L32" s="90"/>
      <c r="M32" s="51" t="s">
        <v>265</v>
      </c>
      <c r="N32" s="113">
        <f t="shared" si="8"/>
        <v>1655</v>
      </c>
      <c r="O32" s="8">
        <v>0</v>
      </c>
      <c r="P32" s="121"/>
      <c r="Q32" s="325"/>
      <c r="R32" s="324"/>
      <c r="S32" s="29">
        <v>0</v>
      </c>
      <c r="T32" s="28">
        <f t="shared" si="12"/>
        <v>0</v>
      </c>
      <c r="U32" s="51"/>
      <c r="V32" s="541">
        <f>+'NF-KSF-TRIAL-BAL-2020'!O32+'RA-TRIAL-BAL-2020'!O32+'DES-TRIAL-BAL-2020'!O32+'DMP-TRIAL-BAL-2020'!O32</f>
        <v>0</v>
      </c>
      <c r="W32" s="529">
        <f>+'NF-KSF-TRIAL-BAL-2020'!P32+'RA-TRIAL-BAL-2020'!P32+'DES-TRIAL-BAL-2020'!P32+'DMP-TRIAL-BAL-2020'!P32</f>
        <v>0</v>
      </c>
      <c r="X32" s="528">
        <f>+'NF-KSF-TRIAL-BAL-2020'!Q32+'RA-TRIAL-BAL-2020'!Q32+'DES-TRIAL-BAL-2020'!Q32+'DMP-TRIAL-BAL-2020'!Q32</f>
        <v>0</v>
      </c>
      <c r="Y32" s="529">
        <f>+'NF-KSF-TRIAL-BAL-2020'!R32+'RA-TRIAL-BAL-2020'!R32+'DES-TRIAL-BAL-2020'!R32+'DMP-TRIAL-BAL-2020'!R32</f>
        <v>0</v>
      </c>
      <c r="Z32" s="528">
        <f>+'NF-KSF-TRIAL-BAL-2020'!S32+'RA-TRIAL-BAL-2020'!S32+'DES-TRIAL-BAL-2020'!S32+'DMP-TRIAL-BAL-2020'!S32</f>
        <v>0</v>
      </c>
      <c r="AA32" s="347">
        <f>+'NF-KSF-TRIAL-BAL-2020'!T32+'RA-TRIAL-BAL-2020'!T32+'DES-TRIAL-BAL-2020'!T32+'DMP-TRIAL-BAL-2020'!T32</f>
        <v>0</v>
      </c>
      <c r="AB32" s="51"/>
      <c r="AC32" s="8">
        <v>0</v>
      </c>
      <c r="AD32" s="9">
        <v>0</v>
      </c>
      <c r="AE32" s="29">
        <v>0</v>
      </c>
      <c r="AF32" s="9">
        <v>0</v>
      </c>
      <c r="AG32" s="29">
        <v>0</v>
      </c>
      <c r="AH32" s="30">
        <v>0</v>
      </c>
      <c r="AI32" s="51"/>
      <c r="AJ32" s="1497">
        <f t="shared" si="13"/>
        <v>1655</v>
      </c>
      <c r="AK32" s="8">
        <v>0</v>
      </c>
      <c r="AL32" s="970">
        <f t="shared" si="14"/>
        <v>0</v>
      </c>
      <c r="AM32" s="326">
        <f t="shared" si="15"/>
        <v>0</v>
      </c>
      <c r="AN32" s="970">
        <f t="shared" si="16"/>
        <v>0</v>
      </c>
      <c r="AO32" s="29">
        <v>0</v>
      </c>
      <c r="AP32" s="28">
        <f t="shared" si="11"/>
        <v>0</v>
      </c>
      <c r="AQ32" s="43"/>
      <c r="AR32" s="358">
        <f t="shared" si="17"/>
        <v>0</v>
      </c>
      <c r="AS32" s="359">
        <f t="shared" si="18"/>
        <v>0</v>
      </c>
      <c r="AT32" s="360">
        <f t="shared" si="19"/>
        <v>0</v>
      </c>
      <c r="AU32" s="43"/>
      <c r="AV32" s="2119">
        <f t="shared" si="20"/>
        <v>0</v>
      </c>
      <c r="AW32" s="119"/>
      <c r="AX32" s="2125">
        <f t="shared" si="10"/>
        <v>0</v>
      </c>
      <c r="AY32" s="43"/>
      <c r="AZ32" s="43"/>
      <c r="BA32" s="43"/>
      <c r="BB32" s="43"/>
      <c r="BC32" s="43"/>
      <c r="BD32" s="43"/>
    </row>
    <row r="33" spans="1:56" ht="15.75">
      <c r="A33" s="88">
        <v>1657</v>
      </c>
      <c r="B33" s="378" t="s">
        <v>945</v>
      </c>
      <c r="C33" s="1033"/>
      <c r="D33" s="1033"/>
      <c r="E33" s="1033"/>
      <c r="F33" s="1033"/>
      <c r="G33" s="1033"/>
      <c r="H33" s="1033"/>
      <c r="I33" s="1033"/>
      <c r="J33" s="1033"/>
      <c r="K33" s="1033"/>
      <c r="L33" s="90"/>
      <c r="M33" s="51" t="s">
        <v>265</v>
      </c>
      <c r="N33" s="113">
        <f t="shared" si="8"/>
        <v>1657</v>
      </c>
      <c r="O33" s="8">
        <v>0</v>
      </c>
      <c r="P33" s="121"/>
      <c r="Q33" s="325"/>
      <c r="R33" s="324"/>
      <c r="S33" s="29">
        <v>0</v>
      </c>
      <c r="T33" s="28">
        <f t="shared" si="12"/>
        <v>0</v>
      </c>
      <c r="U33" s="51"/>
      <c r="V33" s="541">
        <f>+'NF-KSF-TRIAL-BAL-2020'!O33+'RA-TRIAL-BAL-2020'!O33+'DES-TRIAL-BAL-2020'!O33+'DMP-TRIAL-BAL-2020'!O33</f>
        <v>0</v>
      </c>
      <c r="W33" s="529">
        <f>+'NF-KSF-TRIAL-BAL-2020'!P33+'RA-TRIAL-BAL-2020'!P33+'DES-TRIAL-BAL-2020'!P33+'DMP-TRIAL-BAL-2020'!P33</f>
        <v>0</v>
      </c>
      <c r="X33" s="528">
        <f>+'NF-KSF-TRIAL-BAL-2020'!Q33+'RA-TRIAL-BAL-2020'!Q33+'DES-TRIAL-BAL-2020'!Q33+'DMP-TRIAL-BAL-2020'!Q33</f>
        <v>0</v>
      </c>
      <c r="Y33" s="529">
        <f>+'NF-KSF-TRIAL-BAL-2020'!R33+'RA-TRIAL-BAL-2020'!R33+'DES-TRIAL-BAL-2020'!R33+'DMP-TRIAL-BAL-2020'!R33</f>
        <v>0</v>
      </c>
      <c r="Z33" s="528">
        <f>+'NF-KSF-TRIAL-BAL-2020'!S33+'RA-TRIAL-BAL-2020'!S33+'DES-TRIAL-BAL-2020'!S33+'DMP-TRIAL-BAL-2020'!S33</f>
        <v>0</v>
      </c>
      <c r="AA33" s="347">
        <f>+'NF-KSF-TRIAL-BAL-2020'!T33+'RA-TRIAL-BAL-2020'!T33+'DES-TRIAL-BAL-2020'!T33+'DMP-TRIAL-BAL-2020'!T33</f>
        <v>0</v>
      </c>
      <c r="AB33" s="51"/>
      <c r="AC33" s="8">
        <v>0</v>
      </c>
      <c r="AD33" s="9">
        <v>0</v>
      </c>
      <c r="AE33" s="29">
        <v>0</v>
      </c>
      <c r="AF33" s="9">
        <v>0</v>
      </c>
      <c r="AG33" s="29">
        <v>0</v>
      </c>
      <c r="AH33" s="30">
        <v>0</v>
      </c>
      <c r="AI33" s="51"/>
      <c r="AJ33" s="1497">
        <f t="shared" si="13"/>
        <v>1657</v>
      </c>
      <c r="AK33" s="8">
        <v>0</v>
      </c>
      <c r="AL33" s="970">
        <f t="shared" si="14"/>
        <v>0</v>
      </c>
      <c r="AM33" s="326">
        <f t="shared" si="15"/>
        <v>0</v>
      </c>
      <c r="AN33" s="970">
        <f t="shared" si="16"/>
        <v>0</v>
      </c>
      <c r="AO33" s="29">
        <v>0</v>
      </c>
      <c r="AP33" s="28">
        <f t="shared" si="11"/>
        <v>0</v>
      </c>
      <c r="AQ33" s="43"/>
      <c r="AR33" s="358">
        <f t="shared" si="17"/>
        <v>0</v>
      </c>
      <c r="AS33" s="359">
        <f t="shared" si="18"/>
        <v>0</v>
      </c>
      <c r="AT33" s="360">
        <f t="shared" si="19"/>
        <v>0</v>
      </c>
      <c r="AU33" s="43"/>
      <c r="AV33" s="2119">
        <f t="shared" si="20"/>
        <v>0</v>
      </c>
      <c r="AW33" s="119"/>
      <c r="AX33" s="2125">
        <f t="shared" si="10"/>
        <v>0</v>
      </c>
      <c r="AY33" s="43"/>
      <c r="AZ33" s="43"/>
      <c r="BA33" s="43"/>
      <c r="BB33" s="43"/>
      <c r="BC33" s="43"/>
      <c r="BD33" s="43"/>
    </row>
    <row r="34" spans="1:56" ht="15.75">
      <c r="A34" s="88">
        <v>1658</v>
      </c>
      <c r="B34" s="378" t="s">
        <v>946</v>
      </c>
      <c r="C34" s="1033"/>
      <c r="D34" s="1033"/>
      <c r="E34" s="1033"/>
      <c r="F34" s="1033"/>
      <c r="G34" s="1033"/>
      <c r="H34" s="1033"/>
      <c r="I34" s="1033"/>
      <c r="J34" s="1033"/>
      <c r="K34" s="1033"/>
      <c r="L34" s="90"/>
      <c r="M34" s="51" t="s">
        <v>265</v>
      </c>
      <c r="N34" s="113">
        <f t="shared" si="8"/>
        <v>1658</v>
      </c>
      <c r="O34" s="8">
        <v>0</v>
      </c>
      <c r="P34" s="121"/>
      <c r="Q34" s="325"/>
      <c r="R34" s="324"/>
      <c r="S34" s="29">
        <v>0</v>
      </c>
      <c r="T34" s="28">
        <f t="shared" si="12"/>
        <v>0</v>
      </c>
      <c r="U34" s="51"/>
      <c r="V34" s="541">
        <f>+'NF-KSF-TRIAL-BAL-2020'!O34+'RA-TRIAL-BAL-2020'!O34+'DES-TRIAL-BAL-2020'!O34+'DMP-TRIAL-BAL-2020'!O34</f>
        <v>0</v>
      </c>
      <c r="W34" s="529">
        <f>+'NF-KSF-TRIAL-BAL-2020'!P34+'RA-TRIAL-BAL-2020'!P34+'DES-TRIAL-BAL-2020'!P34+'DMP-TRIAL-BAL-2020'!P34</f>
        <v>0</v>
      </c>
      <c r="X34" s="528">
        <f>+'NF-KSF-TRIAL-BAL-2020'!Q34+'RA-TRIAL-BAL-2020'!Q34+'DES-TRIAL-BAL-2020'!Q34+'DMP-TRIAL-BAL-2020'!Q34</f>
        <v>0</v>
      </c>
      <c r="Y34" s="529">
        <f>+'NF-KSF-TRIAL-BAL-2020'!R34+'RA-TRIAL-BAL-2020'!R34+'DES-TRIAL-BAL-2020'!R34+'DMP-TRIAL-BAL-2020'!R34</f>
        <v>0</v>
      </c>
      <c r="Z34" s="528">
        <f>+'NF-KSF-TRIAL-BAL-2020'!S34+'RA-TRIAL-BAL-2020'!S34+'DES-TRIAL-BAL-2020'!S34+'DMP-TRIAL-BAL-2020'!S34</f>
        <v>0</v>
      </c>
      <c r="AA34" s="347">
        <f>+'NF-KSF-TRIAL-BAL-2020'!T34+'RA-TRIAL-BAL-2020'!T34+'DES-TRIAL-BAL-2020'!T34+'DMP-TRIAL-BAL-2020'!T34</f>
        <v>0</v>
      </c>
      <c r="AB34" s="51"/>
      <c r="AC34" s="8">
        <v>0</v>
      </c>
      <c r="AD34" s="9">
        <v>0</v>
      </c>
      <c r="AE34" s="29">
        <v>0</v>
      </c>
      <c r="AF34" s="9">
        <v>0</v>
      </c>
      <c r="AG34" s="29">
        <v>0</v>
      </c>
      <c r="AH34" s="30">
        <v>0</v>
      </c>
      <c r="AI34" s="51"/>
      <c r="AJ34" s="1497">
        <f t="shared" si="13"/>
        <v>1658</v>
      </c>
      <c r="AK34" s="8">
        <v>0</v>
      </c>
      <c r="AL34" s="970">
        <f t="shared" si="14"/>
        <v>0</v>
      </c>
      <c r="AM34" s="326">
        <f t="shared" si="15"/>
        <v>0</v>
      </c>
      <c r="AN34" s="970">
        <f t="shared" si="16"/>
        <v>0</v>
      </c>
      <c r="AO34" s="29">
        <v>0</v>
      </c>
      <c r="AP34" s="28">
        <f t="shared" si="11"/>
        <v>0</v>
      </c>
      <c r="AQ34" s="43"/>
      <c r="AR34" s="358">
        <f t="shared" si="17"/>
        <v>0</v>
      </c>
      <c r="AS34" s="359">
        <f t="shared" si="18"/>
        <v>0</v>
      </c>
      <c r="AT34" s="360">
        <f t="shared" si="19"/>
        <v>0</v>
      </c>
      <c r="AU34" s="43"/>
      <c r="AV34" s="2119">
        <f t="shared" si="20"/>
        <v>0</v>
      </c>
      <c r="AW34" s="119"/>
      <c r="AX34" s="2125">
        <f t="shared" si="10"/>
        <v>0</v>
      </c>
      <c r="AY34" s="43"/>
      <c r="AZ34" s="43"/>
      <c r="BA34" s="43"/>
      <c r="BB34" s="43"/>
      <c r="BC34" s="43"/>
      <c r="BD34" s="43"/>
    </row>
    <row r="35" spans="1:56" ht="15.75">
      <c r="A35" s="88">
        <v>1661</v>
      </c>
      <c r="B35" s="378" t="s">
        <v>947</v>
      </c>
      <c r="C35" s="1033"/>
      <c r="D35" s="1033"/>
      <c r="E35" s="1033"/>
      <c r="F35" s="1033"/>
      <c r="G35" s="1033"/>
      <c r="H35" s="1033"/>
      <c r="I35" s="1033"/>
      <c r="J35" s="1033"/>
      <c r="K35" s="1033"/>
      <c r="L35" s="90"/>
      <c r="M35" s="51" t="s">
        <v>265</v>
      </c>
      <c r="N35" s="113">
        <f t="shared" si="8"/>
        <v>1661</v>
      </c>
      <c r="O35" s="8">
        <v>0</v>
      </c>
      <c r="P35" s="121"/>
      <c r="Q35" s="325"/>
      <c r="R35" s="324"/>
      <c r="S35" s="29">
        <v>0</v>
      </c>
      <c r="T35" s="28">
        <f t="shared" si="12"/>
        <v>0</v>
      </c>
      <c r="U35" s="51"/>
      <c r="V35" s="541">
        <f>+'NF-KSF-TRIAL-BAL-2020'!O35+'RA-TRIAL-BAL-2020'!O35+'DES-TRIAL-BAL-2020'!O35+'DMP-TRIAL-BAL-2020'!O35</f>
        <v>0</v>
      </c>
      <c r="W35" s="529">
        <f>+'NF-KSF-TRIAL-BAL-2020'!P35+'RA-TRIAL-BAL-2020'!P35+'DES-TRIAL-BAL-2020'!P35+'DMP-TRIAL-BAL-2020'!P35</f>
        <v>0</v>
      </c>
      <c r="X35" s="528">
        <f>+'NF-KSF-TRIAL-BAL-2020'!Q35+'RA-TRIAL-BAL-2020'!Q35+'DES-TRIAL-BAL-2020'!Q35+'DMP-TRIAL-BAL-2020'!Q35</f>
        <v>0</v>
      </c>
      <c r="Y35" s="529">
        <f>+'NF-KSF-TRIAL-BAL-2020'!R35+'RA-TRIAL-BAL-2020'!R35+'DES-TRIAL-BAL-2020'!R35+'DMP-TRIAL-BAL-2020'!R35</f>
        <v>0</v>
      </c>
      <c r="Z35" s="528">
        <f>+'NF-KSF-TRIAL-BAL-2020'!S35+'RA-TRIAL-BAL-2020'!S35+'DES-TRIAL-BAL-2020'!S35+'DMP-TRIAL-BAL-2020'!S35</f>
        <v>0</v>
      </c>
      <c r="AA35" s="347">
        <f>+'NF-KSF-TRIAL-BAL-2020'!T35+'RA-TRIAL-BAL-2020'!T35+'DES-TRIAL-BAL-2020'!T35+'DMP-TRIAL-BAL-2020'!T35</f>
        <v>0</v>
      </c>
      <c r="AB35" s="51"/>
      <c r="AC35" s="8">
        <v>0</v>
      </c>
      <c r="AD35" s="9">
        <v>0</v>
      </c>
      <c r="AE35" s="29">
        <v>0</v>
      </c>
      <c r="AF35" s="9">
        <v>0</v>
      </c>
      <c r="AG35" s="29">
        <v>0</v>
      </c>
      <c r="AH35" s="30">
        <v>0</v>
      </c>
      <c r="AI35" s="51"/>
      <c r="AJ35" s="1497">
        <f t="shared" si="13"/>
        <v>1661</v>
      </c>
      <c r="AK35" s="8">
        <v>0</v>
      </c>
      <c r="AL35" s="970">
        <f t="shared" si="14"/>
        <v>0</v>
      </c>
      <c r="AM35" s="326">
        <f t="shared" si="15"/>
        <v>0</v>
      </c>
      <c r="AN35" s="970">
        <f t="shared" si="16"/>
        <v>0</v>
      </c>
      <c r="AO35" s="29">
        <v>0</v>
      </c>
      <c r="AP35" s="28">
        <f t="shared" si="11"/>
        <v>0</v>
      </c>
      <c r="AQ35" s="43"/>
      <c r="AR35" s="358">
        <f t="shared" si="17"/>
        <v>0</v>
      </c>
      <c r="AS35" s="359">
        <f t="shared" si="18"/>
        <v>0</v>
      </c>
      <c r="AT35" s="360">
        <f t="shared" si="19"/>
        <v>0</v>
      </c>
      <c r="AU35" s="43"/>
      <c r="AV35" s="2119">
        <f t="shared" si="20"/>
        <v>0</v>
      </c>
      <c r="AW35" s="119"/>
      <c r="AX35" s="2125">
        <f t="shared" si="10"/>
        <v>0</v>
      </c>
      <c r="AY35" s="43"/>
      <c r="AZ35" s="43"/>
      <c r="BA35" s="43"/>
      <c r="BB35" s="43"/>
      <c r="BC35" s="43"/>
      <c r="BD35" s="43"/>
    </row>
    <row r="36" spans="1:56" ht="15.75">
      <c r="A36" s="88">
        <v>1663</v>
      </c>
      <c r="B36" s="378" t="s">
        <v>948</v>
      </c>
      <c r="C36" s="1033"/>
      <c r="D36" s="1033"/>
      <c r="E36" s="1033"/>
      <c r="F36" s="1033"/>
      <c r="G36" s="1033"/>
      <c r="H36" s="1033"/>
      <c r="I36" s="1033"/>
      <c r="J36" s="1033"/>
      <c r="K36" s="1033"/>
      <c r="L36" s="90"/>
      <c r="M36" s="51" t="s">
        <v>265</v>
      </c>
      <c r="N36" s="113">
        <f t="shared" si="8"/>
        <v>1663</v>
      </c>
      <c r="O36" s="8">
        <v>0</v>
      </c>
      <c r="P36" s="121"/>
      <c r="Q36" s="325"/>
      <c r="R36" s="324"/>
      <c r="S36" s="29">
        <v>0</v>
      </c>
      <c r="T36" s="28">
        <f t="shared" si="12"/>
        <v>0</v>
      </c>
      <c r="U36" s="51"/>
      <c r="V36" s="541">
        <f>+'NF-KSF-TRIAL-BAL-2020'!O36+'RA-TRIAL-BAL-2020'!O36+'DES-TRIAL-BAL-2020'!O36+'DMP-TRIAL-BAL-2020'!O36</f>
        <v>0</v>
      </c>
      <c r="W36" s="529">
        <f>+'NF-KSF-TRIAL-BAL-2020'!P36+'RA-TRIAL-BAL-2020'!P36+'DES-TRIAL-BAL-2020'!P36+'DMP-TRIAL-BAL-2020'!P36</f>
        <v>0</v>
      </c>
      <c r="X36" s="528">
        <f>+'NF-KSF-TRIAL-BAL-2020'!Q36+'RA-TRIAL-BAL-2020'!Q36+'DES-TRIAL-BAL-2020'!Q36+'DMP-TRIAL-BAL-2020'!Q36</f>
        <v>0</v>
      </c>
      <c r="Y36" s="529">
        <f>+'NF-KSF-TRIAL-BAL-2020'!R36+'RA-TRIAL-BAL-2020'!R36+'DES-TRIAL-BAL-2020'!R36+'DMP-TRIAL-BAL-2020'!R36</f>
        <v>0</v>
      </c>
      <c r="Z36" s="528">
        <f>+'NF-KSF-TRIAL-BAL-2020'!S36+'RA-TRIAL-BAL-2020'!S36+'DES-TRIAL-BAL-2020'!S36+'DMP-TRIAL-BAL-2020'!S36</f>
        <v>0</v>
      </c>
      <c r="AA36" s="347">
        <f>+'NF-KSF-TRIAL-BAL-2020'!T36+'RA-TRIAL-BAL-2020'!T36+'DES-TRIAL-BAL-2020'!T36+'DMP-TRIAL-BAL-2020'!T36</f>
        <v>0</v>
      </c>
      <c r="AB36" s="51"/>
      <c r="AC36" s="8">
        <v>0</v>
      </c>
      <c r="AD36" s="9">
        <v>0</v>
      </c>
      <c r="AE36" s="29">
        <v>0</v>
      </c>
      <c r="AF36" s="9">
        <v>0</v>
      </c>
      <c r="AG36" s="29">
        <v>0</v>
      </c>
      <c r="AH36" s="30">
        <v>0</v>
      </c>
      <c r="AI36" s="51"/>
      <c r="AJ36" s="1497">
        <f t="shared" si="13"/>
        <v>1663</v>
      </c>
      <c r="AK36" s="8">
        <v>0</v>
      </c>
      <c r="AL36" s="970">
        <f t="shared" si="14"/>
        <v>0</v>
      </c>
      <c r="AM36" s="326">
        <f t="shared" si="15"/>
        <v>0</v>
      </c>
      <c r="AN36" s="970">
        <f t="shared" si="16"/>
        <v>0</v>
      </c>
      <c r="AO36" s="29">
        <v>0</v>
      </c>
      <c r="AP36" s="28">
        <f t="shared" si="11"/>
        <v>0</v>
      </c>
      <c r="AQ36" s="43"/>
      <c r="AR36" s="358">
        <f t="shared" si="17"/>
        <v>0</v>
      </c>
      <c r="AS36" s="359">
        <f t="shared" si="18"/>
        <v>0</v>
      </c>
      <c r="AT36" s="360">
        <f t="shared" si="19"/>
        <v>0</v>
      </c>
      <c r="AU36" s="43"/>
      <c r="AV36" s="2119">
        <f t="shared" si="20"/>
        <v>0</v>
      </c>
      <c r="AW36" s="119"/>
      <c r="AX36" s="2125">
        <f t="shared" si="10"/>
        <v>0</v>
      </c>
      <c r="AY36" s="43"/>
      <c r="AZ36" s="43"/>
      <c r="BA36" s="43"/>
      <c r="BB36" s="43"/>
      <c r="BC36" s="43"/>
      <c r="BD36" s="43"/>
    </row>
    <row r="37" spans="1:56" ht="15.75">
      <c r="A37" s="88">
        <v>1664</v>
      </c>
      <c r="B37" s="378" t="s">
        <v>949</v>
      </c>
      <c r="C37" s="1033"/>
      <c r="D37" s="1033"/>
      <c r="E37" s="1033"/>
      <c r="F37" s="1033"/>
      <c r="G37" s="1033"/>
      <c r="H37" s="1033"/>
      <c r="I37" s="1033"/>
      <c r="J37" s="1033"/>
      <c r="K37" s="1033"/>
      <c r="L37" s="90"/>
      <c r="M37" s="51" t="s">
        <v>265</v>
      </c>
      <c r="N37" s="113">
        <f t="shared" si="8"/>
        <v>1664</v>
      </c>
      <c r="O37" s="8">
        <v>0</v>
      </c>
      <c r="P37" s="121"/>
      <c r="Q37" s="325"/>
      <c r="R37" s="324"/>
      <c r="S37" s="29">
        <v>0</v>
      </c>
      <c r="T37" s="28">
        <f t="shared" si="12"/>
        <v>0</v>
      </c>
      <c r="U37" s="51"/>
      <c r="V37" s="541">
        <f>+'NF-KSF-TRIAL-BAL-2020'!O37+'RA-TRIAL-BAL-2020'!O37+'DES-TRIAL-BAL-2020'!O37+'DMP-TRIAL-BAL-2020'!O37</f>
        <v>0</v>
      </c>
      <c r="W37" s="529">
        <f>+'NF-KSF-TRIAL-BAL-2020'!P37+'RA-TRIAL-BAL-2020'!P37+'DES-TRIAL-BAL-2020'!P37+'DMP-TRIAL-BAL-2020'!P37</f>
        <v>0</v>
      </c>
      <c r="X37" s="528">
        <f>+'NF-KSF-TRIAL-BAL-2020'!Q37+'RA-TRIAL-BAL-2020'!Q37+'DES-TRIAL-BAL-2020'!Q37+'DMP-TRIAL-BAL-2020'!Q37</f>
        <v>0</v>
      </c>
      <c r="Y37" s="529">
        <f>+'NF-KSF-TRIAL-BAL-2020'!R37+'RA-TRIAL-BAL-2020'!R37+'DES-TRIAL-BAL-2020'!R37+'DMP-TRIAL-BAL-2020'!R37</f>
        <v>0</v>
      </c>
      <c r="Z37" s="528">
        <f>+'NF-KSF-TRIAL-BAL-2020'!S37+'RA-TRIAL-BAL-2020'!S37+'DES-TRIAL-BAL-2020'!S37+'DMP-TRIAL-BAL-2020'!S37</f>
        <v>0</v>
      </c>
      <c r="AA37" s="347">
        <f>+'NF-KSF-TRIAL-BAL-2020'!T37+'RA-TRIAL-BAL-2020'!T37+'DES-TRIAL-BAL-2020'!T37+'DMP-TRIAL-BAL-2020'!T37</f>
        <v>0</v>
      </c>
      <c r="AB37" s="51"/>
      <c r="AC37" s="8">
        <v>0</v>
      </c>
      <c r="AD37" s="9">
        <v>0</v>
      </c>
      <c r="AE37" s="29">
        <v>0</v>
      </c>
      <c r="AF37" s="9">
        <v>0</v>
      </c>
      <c r="AG37" s="29">
        <v>0</v>
      </c>
      <c r="AH37" s="30">
        <v>0</v>
      </c>
      <c r="AI37" s="51"/>
      <c r="AJ37" s="1497">
        <f t="shared" si="13"/>
        <v>1664</v>
      </c>
      <c r="AK37" s="8">
        <v>0</v>
      </c>
      <c r="AL37" s="970">
        <f t="shared" si="14"/>
        <v>0</v>
      </c>
      <c r="AM37" s="326">
        <f t="shared" si="15"/>
        <v>0</v>
      </c>
      <c r="AN37" s="970">
        <f t="shared" si="16"/>
        <v>0</v>
      </c>
      <c r="AO37" s="29">
        <v>0</v>
      </c>
      <c r="AP37" s="28">
        <f t="shared" si="11"/>
        <v>0</v>
      </c>
      <c r="AQ37" s="43"/>
      <c r="AR37" s="358">
        <f t="shared" si="17"/>
        <v>0</v>
      </c>
      <c r="AS37" s="359">
        <f t="shared" si="18"/>
        <v>0</v>
      </c>
      <c r="AT37" s="360">
        <f t="shared" si="19"/>
        <v>0</v>
      </c>
      <c r="AU37" s="43"/>
      <c r="AV37" s="2119">
        <f t="shared" si="20"/>
        <v>0</v>
      </c>
      <c r="AW37" s="119"/>
      <c r="AX37" s="2125">
        <f t="shared" si="10"/>
        <v>0</v>
      </c>
      <c r="AY37" s="43"/>
      <c r="AZ37" s="43"/>
      <c r="BA37" s="43"/>
      <c r="BB37" s="43"/>
      <c r="BC37" s="43"/>
      <c r="BD37" s="43"/>
    </row>
    <row r="38" spans="1:56" ht="15.75">
      <c r="A38" s="88">
        <v>1666</v>
      </c>
      <c r="B38" s="378" t="s">
        <v>950</v>
      </c>
      <c r="C38" s="1033"/>
      <c r="D38" s="1033"/>
      <c r="E38" s="1033"/>
      <c r="F38" s="1033"/>
      <c r="G38" s="1033"/>
      <c r="H38" s="1033"/>
      <c r="I38" s="1033"/>
      <c r="J38" s="1033"/>
      <c r="K38" s="1033"/>
      <c r="L38" s="90"/>
      <c r="M38" s="51" t="s">
        <v>265</v>
      </c>
      <c r="N38" s="113">
        <f t="shared" si="8"/>
        <v>1666</v>
      </c>
      <c r="O38" s="8">
        <v>0</v>
      </c>
      <c r="P38" s="121"/>
      <c r="Q38" s="325"/>
      <c r="R38" s="324"/>
      <c r="S38" s="29">
        <v>0</v>
      </c>
      <c r="T38" s="28">
        <f t="shared" si="12"/>
        <v>0</v>
      </c>
      <c r="U38" s="51"/>
      <c r="V38" s="541">
        <f>+'NF-KSF-TRIAL-BAL-2020'!O38+'RA-TRIAL-BAL-2020'!O38+'DES-TRIAL-BAL-2020'!O38+'DMP-TRIAL-BAL-2020'!O38</f>
        <v>0</v>
      </c>
      <c r="W38" s="529">
        <f>+'NF-KSF-TRIAL-BAL-2020'!P38+'RA-TRIAL-BAL-2020'!P38+'DES-TRIAL-BAL-2020'!P38+'DMP-TRIAL-BAL-2020'!P38</f>
        <v>0</v>
      </c>
      <c r="X38" s="528">
        <f>+'NF-KSF-TRIAL-BAL-2020'!Q38+'RA-TRIAL-BAL-2020'!Q38+'DES-TRIAL-BAL-2020'!Q38+'DMP-TRIAL-BAL-2020'!Q38</f>
        <v>0</v>
      </c>
      <c r="Y38" s="529">
        <f>+'NF-KSF-TRIAL-BAL-2020'!R38+'RA-TRIAL-BAL-2020'!R38+'DES-TRIAL-BAL-2020'!R38+'DMP-TRIAL-BAL-2020'!R38</f>
        <v>0</v>
      </c>
      <c r="Z38" s="528">
        <f>+'NF-KSF-TRIAL-BAL-2020'!S38+'RA-TRIAL-BAL-2020'!S38+'DES-TRIAL-BAL-2020'!S38+'DMP-TRIAL-BAL-2020'!S38</f>
        <v>0</v>
      </c>
      <c r="AA38" s="347">
        <f>+'NF-KSF-TRIAL-BAL-2020'!T38+'RA-TRIAL-BAL-2020'!T38+'DES-TRIAL-BAL-2020'!T38+'DMP-TRIAL-BAL-2020'!T38</f>
        <v>0</v>
      </c>
      <c r="AB38" s="51"/>
      <c r="AC38" s="8">
        <v>0</v>
      </c>
      <c r="AD38" s="9">
        <v>0</v>
      </c>
      <c r="AE38" s="29">
        <v>0</v>
      </c>
      <c r="AF38" s="9">
        <v>0</v>
      </c>
      <c r="AG38" s="29">
        <v>0</v>
      </c>
      <c r="AH38" s="30">
        <v>0</v>
      </c>
      <c r="AI38" s="51"/>
      <c r="AJ38" s="1497">
        <f t="shared" si="13"/>
        <v>1666</v>
      </c>
      <c r="AK38" s="8">
        <v>0</v>
      </c>
      <c r="AL38" s="970">
        <f t="shared" si="14"/>
        <v>0</v>
      </c>
      <c r="AM38" s="326">
        <f t="shared" si="15"/>
        <v>0</v>
      </c>
      <c r="AN38" s="970">
        <f t="shared" si="16"/>
        <v>0</v>
      </c>
      <c r="AO38" s="29">
        <v>0</v>
      </c>
      <c r="AP38" s="28">
        <f t="shared" si="11"/>
        <v>0</v>
      </c>
      <c r="AQ38" s="43"/>
      <c r="AR38" s="358">
        <f t="shared" si="17"/>
        <v>0</v>
      </c>
      <c r="AS38" s="359">
        <f t="shared" si="18"/>
        <v>0</v>
      </c>
      <c r="AT38" s="360">
        <f t="shared" si="19"/>
        <v>0</v>
      </c>
      <c r="AU38" s="43"/>
      <c r="AV38" s="2119">
        <f t="shared" si="20"/>
        <v>0</v>
      </c>
      <c r="AW38" s="119"/>
      <c r="AX38" s="2125">
        <f t="shared" si="10"/>
        <v>0</v>
      </c>
      <c r="AY38" s="43"/>
      <c r="AZ38" s="43"/>
      <c r="BA38" s="43"/>
      <c r="BB38" s="43"/>
      <c r="BC38" s="43"/>
      <c r="BD38" s="43"/>
    </row>
    <row r="39" spans="1:56" ht="15.75">
      <c r="A39" s="88">
        <v>1667</v>
      </c>
      <c r="B39" s="378" t="s">
        <v>951</v>
      </c>
      <c r="C39" s="1033"/>
      <c r="D39" s="1033"/>
      <c r="E39" s="1033"/>
      <c r="F39" s="1033"/>
      <c r="G39" s="1033"/>
      <c r="H39" s="1033"/>
      <c r="I39" s="1033"/>
      <c r="J39" s="1033"/>
      <c r="K39" s="1033"/>
      <c r="L39" s="90"/>
      <c r="M39" s="51" t="s">
        <v>265</v>
      </c>
      <c r="N39" s="113">
        <f t="shared" si="8"/>
        <v>1667</v>
      </c>
      <c r="O39" s="8">
        <v>0</v>
      </c>
      <c r="P39" s="121"/>
      <c r="Q39" s="325"/>
      <c r="R39" s="324"/>
      <c r="S39" s="29">
        <v>0</v>
      </c>
      <c r="T39" s="28">
        <f t="shared" si="12"/>
        <v>0</v>
      </c>
      <c r="U39" s="51"/>
      <c r="V39" s="541">
        <f>+'NF-KSF-TRIAL-BAL-2020'!O39+'RA-TRIAL-BAL-2020'!O39+'DES-TRIAL-BAL-2020'!O39+'DMP-TRIAL-BAL-2020'!O39</f>
        <v>0</v>
      </c>
      <c r="W39" s="529">
        <f>+'NF-KSF-TRIAL-BAL-2020'!P39+'RA-TRIAL-BAL-2020'!P39+'DES-TRIAL-BAL-2020'!P39+'DMP-TRIAL-BAL-2020'!P39</f>
        <v>0</v>
      </c>
      <c r="X39" s="528">
        <f>+'NF-KSF-TRIAL-BAL-2020'!Q39+'RA-TRIAL-BAL-2020'!Q39+'DES-TRIAL-BAL-2020'!Q39+'DMP-TRIAL-BAL-2020'!Q39</f>
        <v>0</v>
      </c>
      <c r="Y39" s="529">
        <f>+'NF-KSF-TRIAL-BAL-2020'!R39+'RA-TRIAL-BAL-2020'!R39+'DES-TRIAL-BAL-2020'!R39+'DMP-TRIAL-BAL-2020'!R39</f>
        <v>0</v>
      </c>
      <c r="Z39" s="528">
        <f>+'NF-KSF-TRIAL-BAL-2020'!S39+'RA-TRIAL-BAL-2020'!S39+'DES-TRIAL-BAL-2020'!S39+'DMP-TRIAL-BAL-2020'!S39</f>
        <v>0</v>
      </c>
      <c r="AA39" s="347">
        <f>+'NF-KSF-TRIAL-BAL-2020'!T39+'RA-TRIAL-BAL-2020'!T39+'DES-TRIAL-BAL-2020'!T39+'DMP-TRIAL-BAL-2020'!T39</f>
        <v>0</v>
      </c>
      <c r="AB39" s="51"/>
      <c r="AC39" s="8">
        <v>0</v>
      </c>
      <c r="AD39" s="9">
        <v>0</v>
      </c>
      <c r="AE39" s="29">
        <v>0</v>
      </c>
      <c r="AF39" s="9">
        <v>0</v>
      </c>
      <c r="AG39" s="29">
        <v>0</v>
      </c>
      <c r="AH39" s="30">
        <v>0</v>
      </c>
      <c r="AI39" s="51"/>
      <c r="AJ39" s="1497">
        <f t="shared" si="13"/>
        <v>1667</v>
      </c>
      <c r="AK39" s="8">
        <v>0</v>
      </c>
      <c r="AL39" s="970">
        <f t="shared" si="14"/>
        <v>0</v>
      </c>
      <c r="AM39" s="326">
        <f t="shared" si="15"/>
        <v>0</v>
      </c>
      <c r="AN39" s="970">
        <f t="shared" si="16"/>
        <v>0</v>
      </c>
      <c r="AO39" s="29">
        <v>0</v>
      </c>
      <c r="AP39" s="28">
        <f t="shared" ref="AP39:AP53" si="21">+T39+AA39+AH39</f>
        <v>0</v>
      </c>
      <c r="AQ39" s="43"/>
      <c r="AR39" s="358">
        <f t="shared" si="17"/>
        <v>0</v>
      </c>
      <c r="AS39" s="359">
        <f t="shared" si="18"/>
        <v>0</v>
      </c>
      <c r="AT39" s="360">
        <f t="shared" si="19"/>
        <v>0</v>
      </c>
      <c r="AU39" s="43"/>
      <c r="AV39" s="2119">
        <f t="shared" si="20"/>
        <v>0</v>
      </c>
      <c r="AW39" s="119"/>
      <c r="AX39" s="2125">
        <f t="shared" si="10"/>
        <v>0</v>
      </c>
      <c r="AY39" s="43"/>
      <c r="AZ39" s="43"/>
      <c r="BA39" s="43"/>
      <c r="BB39" s="43"/>
      <c r="BC39" s="43"/>
      <c r="BD39" s="43"/>
    </row>
    <row r="40" spans="1:56" ht="15.75">
      <c r="A40" s="88">
        <v>1669</v>
      </c>
      <c r="B40" s="378" t="s">
        <v>212</v>
      </c>
      <c r="C40" s="1033"/>
      <c r="D40" s="1033"/>
      <c r="E40" s="1033"/>
      <c r="F40" s="1033"/>
      <c r="G40" s="1033"/>
      <c r="H40" s="1033"/>
      <c r="I40" s="1033"/>
      <c r="J40" s="1033"/>
      <c r="K40" s="1033"/>
      <c r="L40" s="90"/>
      <c r="M40" s="51" t="s">
        <v>265</v>
      </c>
      <c r="N40" s="113">
        <f t="shared" si="8"/>
        <v>1669</v>
      </c>
      <c r="O40" s="8">
        <v>0</v>
      </c>
      <c r="P40" s="121"/>
      <c r="Q40" s="325"/>
      <c r="R40" s="324"/>
      <c r="S40" s="29">
        <v>0</v>
      </c>
      <c r="T40" s="28">
        <f t="shared" si="12"/>
        <v>0</v>
      </c>
      <c r="U40" s="51"/>
      <c r="V40" s="541">
        <f>+'NF-KSF-TRIAL-BAL-2020'!O40+'RA-TRIAL-BAL-2020'!O40+'DES-TRIAL-BAL-2020'!O40+'DMP-TRIAL-BAL-2020'!O40</f>
        <v>0</v>
      </c>
      <c r="W40" s="529">
        <f>+'NF-KSF-TRIAL-BAL-2020'!P40+'RA-TRIAL-BAL-2020'!P40+'DES-TRIAL-BAL-2020'!P40+'DMP-TRIAL-BAL-2020'!P40</f>
        <v>0</v>
      </c>
      <c r="X40" s="528">
        <f>+'NF-KSF-TRIAL-BAL-2020'!Q40+'RA-TRIAL-BAL-2020'!Q40+'DES-TRIAL-BAL-2020'!Q40+'DMP-TRIAL-BAL-2020'!Q40</f>
        <v>0</v>
      </c>
      <c r="Y40" s="529">
        <f>+'NF-KSF-TRIAL-BAL-2020'!R40+'RA-TRIAL-BAL-2020'!R40+'DES-TRIAL-BAL-2020'!R40+'DMP-TRIAL-BAL-2020'!R40</f>
        <v>0</v>
      </c>
      <c r="Z40" s="528">
        <f>+'NF-KSF-TRIAL-BAL-2020'!S40+'RA-TRIAL-BAL-2020'!S40+'DES-TRIAL-BAL-2020'!S40+'DMP-TRIAL-BAL-2020'!S40</f>
        <v>0</v>
      </c>
      <c r="AA40" s="347">
        <f>+'NF-KSF-TRIAL-BAL-2020'!T40+'RA-TRIAL-BAL-2020'!T40+'DES-TRIAL-BAL-2020'!T40+'DMP-TRIAL-BAL-2020'!T40</f>
        <v>0</v>
      </c>
      <c r="AB40" s="51"/>
      <c r="AC40" s="8">
        <v>0</v>
      </c>
      <c r="AD40" s="9">
        <v>0</v>
      </c>
      <c r="AE40" s="29">
        <v>0</v>
      </c>
      <c r="AF40" s="9">
        <v>0</v>
      </c>
      <c r="AG40" s="29">
        <v>0</v>
      </c>
      <c r="AH40" s="30">
        <v>0</v>
      </c>
      <c r="AI40" s="51"/>
      <c r="AJ40" s="1497">
        <f t="shared" si="13"/>
        <v>1669</v>
      </c>
      <c r="AK40" s="8">
        <v>0</v>
      </c>
      <c r="AL40" s="970">
        <f t="shared" si="14"/>
        <v>0</v>
      </c>
      <c r="AM40" s="326">
        <f t="shared" si="15"/>
        <v>0</v>
      </c>
      <c r="AN40" s="970">
        <f t="shared" si="16"/>
        <v>0</v>
      </c>
      <c r="AO40" s="29">
        <v>0</v>
      </c>
      <c r="AP40" s="28">
        <f t="shared" si="21"/>
        <v>0</v>
      </c>
      <c r="AQ40" s="43"/>
      <c r="AR40" s="358">
        <f t="shared" si="17"/>
        <v>0</v>
      </c>
      <c r="AS40" s="359">
        <f t="shared" si="18"/>
        <v>0</v>
      </c>
      <c r="AT40" s="360">
        <f t="shared" si="19"/>
        <v>0</v>
      </c>
      <c r="AU40" s="43"/>
      <c r="AV40" s="2119">
        <f t="shared" si="20"/>
        <v>0</v>
      </c>
      <c r="AW40" s="119"/>
      <c r="AX40" s="2125">
        <f t="shared" si="10"/>
        <v>0</v>
      </c>
      <c r="AY40" s="43"/>
      <c r="AZ40" s="43"/>
      <c r="BA40" s="43"/>
      <c r="BB40" s="43"/>
      <c r="BC40" s="43"/>
      <c r="BD40" s="43"/>
    </row>
    <row r="41" spans="1:56" ht="15.75">
      <c r="A41" s="88">
        <v>1681</v>
      </c>
      <c r="B41" s="378" t="s">
        <v>965</v>
      </c>
      <c r="C41" s="1033"/>
      <c r="D41" s="1033"/>
      <c r="E41" s="1033"/>
      <c r="F41" s="1033"/>
      <c r="G41" s="1033"/>
      <c r="H41" s="1033"/>
      <c r="I41" s="1033"/>
      <c r="J41" s="1033"/>
      <c r="K41" s="1033"/>
      <c r="L41" s="574"/>
      <c r="M41" s="51" t="s">
        <v>265</v>
      </c>
      <c r="N41" s="113">
        <f t="shared" si="8"/>
        <v>1681</v>
      </c>
      <c r="O41" s="575">
        <v>0</v>
      </c>
      <c r="P41" s="576"/>
      <c r="Q41" s="325"/>
      <c r="R41" s="324"/>
      <c r="S41" s="579">
        <v>0</v>
      </c>
      <c r="T41" s="580">
        <f t="shared" si="12"/>
        <v>0</v>
      </c>
      <c r="U41" s="51"/>
      <c r="V41" s="541">
        <f>+'NF-KSF-TRIAL-BAL-2020'!O41+'RA-TRIAL-BAL-2020'!O41+'DES-TRIAL-BAL-2020'!O41+'DMP-TRIAL-BAL-2020'!O41</f>
        <v>0</v>
      </c>
      <c r="W41" s="529">
        <f>+'NF-KSF-TRIAL-BAL-2020'!P41+'RA-TRIAL-BAL-2020'!P41+'DES-TRIAL-BAL-2020'!P41+'DMP-TRIAL-BAL-2020'!P41</f>
        <v>0</v>
      </c>
      <c r="X41" s="528">
        <f>+'NF-KSF-TRIAL-BAL-2020'!Q41+'RA-TRIAL-BAL-2020'!Q41+'DES-TRIAL-BAL-2020'!Q41+'DMP-TRIAL-BAL-2020'!Q41</f>
        <v>0</v>
      </c>
      <c r="Y41" s="529">
        <f>+'NF-KSF-TRIAL-BAL-2020'!R41+'RA-TRIAL-BAL-2020'!R41+'DES-TRIAL-BAL-2020'!R41+'DMP-TRIAL-BAL-2020'!R41</f>
        <v>0</v>
      </c>
      <c r="Z41" s="528">
        <f>+'NF-KSF-TRIAL-BAL-2020'!S41+'RA-TRIAL-BAL-2020'!S41+'DES-TRIAL-BAL-2020'!S41+'DMP-TRIAL-BAL-2020'!S41</f>
        <v>0</v>
      </c>
      <c r="AA41" s="347">
        <f>+'NF-KSF-TRIAL-BAL-2020'!T41+'RA-TRIAL-BAL-2020'!T41+'DES-TRIAL-BAL-2020'!T41+'DMP-TRIAL-BAL-2020'!T41</f>
        <v>0</v>
      </c>
      <c r="AB41" s="51"/>
      <c r="AC41" s="8">
        <v>0</v>
      </c>
      <c r="AD41" s="9">
        <v>0</v>
      </c>
      <c r="AE41" s="29">
        <v>0</v>
      </c>
      <c r="AF41" s="9">
        <v>0</v>
      </c>
      <c r="AG41" s="579">
        <v>0</v>
      </c>
      <c r="AH41" s="584">
        <v>0</v>
      </c>
      <c r="AI41" s="51"/>
      <c r="AJ41" s="1497">
        <f t="shared" si="13"/>
        <v>1681</v>
      </c>
      <c r="AK41" s="8">
        <v>0</v>
      </c>
      <c r="AL41" s="970">
        <f t="shared" si="14"/>
        <v>0</v>
      </c>
      <c r="AM41" s="326">
        <f t="shared" si="15"/>
        <v>0</v>
      </c>
      <c r="AN41" s="970">
        <f t="shared" si="16"/>
        <v>0</v>
      </c>
      <c r="AO41" s="579">
        <v>0</v>
      </c>
      <c r="AP41" s="28">
        <f t="shared" si="21"/>
        <v>0</v>
      </c>
      <c r="AQ41" s="43"/>
      <c r="AR41" s="358">
        <f t="shared" si="17"/>
        <v>0</v>
      </c>
      <c r="AS41" s="359">
        <f t="shared" si="18"/>
        <v>0</v>
      </c>
      <c r="AT41" s="360">
        <f t="shared" si="19"/>
        <v>0</v>
      </c>
      <c r="AU41" s="43"/>
      <c r="AV41" s="2119">
        <f t="shared" si="20"/>
        <v>0</v>
      </c>
      <c r="AW41" s="119"/>
      <c r="AX41" s="2125">
        <f t="shared" si="10"/>
        <v>0</v>
      </c>
      <c r="AY41" s="43"/>
      <c r="AZ41" s="43"/>
      <c r="BA41" s="43"/>
      <c r="BB41" s="43"/>
      <c r="BC41" s="43"/>
      <c r="BD41" s="43"/>
    </row>
    <row r="42" spans="1:56" ht="15.75">
      <c r="A42" s="88">
        <v>1685</v>
      </c>
      <c r="B42" s="378" t="s">
        <v>966</v>
      </c>
      <c r="C42" s="1033"/>
      <c r="D42" s="1033"/>
      <c r="E42" s="1033"/>
      <c r="F42" s="1033"/>
      <c r="G42" s="1033"/>
      <c r="H42" s="1033"/>
      <c r="I42" s="1033"/>
      <c r="J42" s="1033"/>
      <c r="K42" s="1033"/>
      <c r="L42" s="574"/>
      <c r="M42" s="51" t="s">
        <v>265</v>
      </c>
      <c r="N42" s="113">
        <f t="shared" si="8"/>
        <v>1685</v>
      </c>
      <c r="O42" s="575">
        <v>0</v>
      </c>
      <c r="P42" s="576"/>
      <c r="Q42" s="325"/>
      <c r="R42" s="324"/>
      <c r="S42" s="579">
        <v>0</v>
      </c>
      <c r="T42" s="580">
        <f t="shared" si="12"/>
        <v>0</v>
      </c>
      <c r="U42" s="51"/>
      <c r="V42" s="541">
        <f>+'NF-KSF-TRIAL-BAL-2020'!O42+'RA-TRIAL-BAL-2020'!O42+'DES-TRIAL-BAL-2020'!O42+'DMP-TRIAL-BAL-2020'!O42</f>
        <v>0</v>
      </c>
      <c r="W42" s="529">
        <f>+'NF-KSF-TRIAL-BAL-2020'!P42+'RA-TRIAL-BAL-2020'!P42+'DES-TRIAL-BAL-2020'!P42+'DMP-TRIAL-BAL-2020'!P42</f>
        <v>0</v>
      </c>
      <c r="X42" s="528">
        <f>+'NF-KSF-TRIAL-BAL-2020'!Q42+'RA-TRIAL-BAL-2020'!Q42+'DES-TRIAL-BAL-2020'!Q42+'DMP-TRIAL-BAL-2020'!Q42</f>
        <v>0</v>
      </c>
      <c r="Y42" s="529">
        <f>+'NF-KSF-TRIAL-BAL-2020'!R42+'RA-TRIAL-BAL-2020'!R42+'DES-TRIAL-BAL-2020'!R42+'DMP-TRIAL-BAL-2020'!R42</f>
        <v>0</v>
      </c>
      <c r="Z42" s="528">
        <f>+'NF-KSF-TRIAL-BAL-2020'!S42+'RA-TRIAL-BAL-2020'!S42+'DES-TRIAL-BAL-2020'!S42+'DMP-TRIAL-BAL-2020'!S42</f>
        <v>0</v>
      </c>
      <c r="AA42" s="347">
        <f>+'NF-KSF-TRIAL-BAL-2020'!T42+'RA-TRIAL-BAL-2020'!T42+'DES-TRIAL-BAL-2020'!T42+'DMP-TRIAL-BAL-2020'!T42</f>
        <v>0</v>
      </c>
      <c r="AB42" s="51"/>
      <c r="AC42" s="8">
        <v>0</v>
      </c>
      <c r="AD42" s="9">
        <v>0</v>
      </c>
      <c r="AE42" s="29">
        <v>0</v>
      </c>
      <c r="AF42" s="9">
        <v>0</v>
      </c>
      <c r="AG42" s="579">
        <v>0</v>
      </c>
      <c r="AH42" s="584">
        <v>0</v>
      </c>
      <c r="AI42" s="51"/>
      <c r="AJ42" s="1497">
        <f t="shared" si="13"/>
        <v>1685</v>
      </c>
      <c r="AK42" s="8">
        <v>0</v>
      </c>
      <c r="AL42" s="970">
        <f t="shared" si="14"/>
        <v>0</v>
      </c>
      <c r="AM42" s="326">
        <f t="shared" si="15"/>
        <v>0</v>
      </c>
      <c r="AN42" s="970">
        <f t="shared" si="16"/>
        <v>0</v>
      </c>
      <c r="AO42" s="579">
        <v>0</v>
      </c>
      <c r="AP42" s="28">
        <f t="shared" si="21"/>
        <v>0</v>
      </c>
      <c r="AQ42" s="43"/>
      <c r="AR42" s="358">
        <f t="shared" si="17"/>
        <v>0</v>
      </c>
      <c r="AS42" s="359">
        <f t="shared" si="18"/>
        <v>0</v>
      </c>
      <c r="AT42" s="360">
        <f t="shared" si="19"/>
        <v>0</v>
      </c>
      <c r="AU42" s="43"/>
      <c r="AV42" s="2119">
        <f t="shared" si="20"/>
        <v>0</v>
      </c>
      <c r="AW42" s="119"/>
      <c r="AX42" s="2125">
        <f t="shared" si="10"/>
        <v>0</v>
      </c>
      <c r="AY42" s="43"/>
      <c r="AZ42" s="43"/>
      <c r="BA42" s="43"/>
      <c r="BB42" s="43"/>
      <c r="BC42" s="43"/>
      <c r="BD42" s="43"/>
    </row>
    <row r="43" spans="1:56" ht="15.75">
      <c r="A43" s="88">
        <v>1686</v>
      </c>
      <c r="B43" s="378" t="s">
        <v>967</v>
      </c>
      <c r="C43" s="1033"/>
      <c r="D43" s="1033"/>
      <c r="E43" s="1033"/>
      <c r="F43" s="1033"/>
      <c r="G43" s="1033"/>
      <c r="H43" s="1033"/>
      <c r="I43" s="1033"/>
      <c r="J43" s="1033"/>
      <c r="K43" s="1033"/>
      <c r="L43" s="574"/>
      <c r="M43" s="51" t="s">
        <v>265</v>
      </c>
      <c r="N43" s="113">
        <f t="shared" si="8"/>
        <v>1686</v>
      </c>
      <c r="O43" s="575">
        <v>0</v>
      </c>
      <c r="P43" s="576"/>
      <c r="Q43" s="325"/>
      <c r="R43" s="324"/>
      <c r="S43" s="579">
        <v>0</v>
      </c>
      <c r="T43" s="580">
        <f t="shared" si="12"/>
        <v>0</v>
      </c>
      <c r="U43" s="51"/>
      <c r="V43" s="541">
        <f>+'NF-KSF-TRIAL-BAL-2020'!O43+'RA-TRIAL-BAL-2020'!O43+'DES-TRIAL-BAL-2020'!O43+'DMP-TRIAL-BAL-2020'!O43</f>
        <v>0</v>
      </c>
      <c r="W43" s="529">
        <f>+'NF-KSF-TRIAL-BAL-2020'!P43+'RA-TRIAL-BAL-2020'!P43+'DES-TRIAL-BAL-2020'!P43+'DMP-TRIAL-BAL-2020'!P43</f>
        <v>0</v>
      </c>
      <c r="X43" s="528">
        <f>+'NF-KSF-TRIAL-BAL-2020'!Q43+'RA-TRIAL-BAL-2020'!Q43+'DES-TRIAL-BAL-2020'!Q43+'DMP-TRIAL-BAL-2020'!Q43</f>
        <v>0</v>
      </c>
      <c r="Y43" s="529">
        <f>+'NF-KSF-TRIAL-BAL-2020'!R43+'RA-TRIAL-BAL-2020'!R43+'DES-TRIAL-BAL-2020'!R43+'DMP-TRIAL-BAL-2020'!R43</f>
        <v>0</v>
      </c>
      <c r="Z43" s="528">
        <f>+'NF-KSF-TRIAL-BAL-2020'!S43+'RA-TRIAL-BAL-2020'!S43+'DES-TRIAL-BAL-2020'!S43+'DMP-TRIAL-BAL-2020'!S43</f>
        <v>0</v>
      </c>
      <c r="AA43" s="347">
        <f>+'NF-KSF-TRIAL-BAL-2020'!T43+'RA-TRIAL-BAL-2020'!T43+'DES-TRIAL-BAL-2020'!T43+'DMP-TRIAL-BAL-2020'!T43</f>
        <v>0</v>
      </c>
      <c r="AB43" s="51"/>
      <c r="AC43" s="8">
        <v>0</v>
      </c>
      <c r="AD43" s="9">
        <v>0</v>
      </c>
      <c r="AE43" s="29">
        <v>0</v>
      </c>
      <c r="AF43" s="9">
        <v>0</v>
      </c>
      <c r="AG43" s="579">
        <v>0</v>
      </c>
      <c r="AH43" s="584">
        <v>0</v>
      </c>
      <c r="AI43" s="51"/>
      <c r="AJ43" s="1497">
        <f t="shared" si="13"/>
        <v>1686</v>
      </c>
      <c r="AK43" s="8">
        <v>0</v>
      </c>
      <c r="AL43" s="970">
        <f t="shared" si="14"/>
        <v>0</v>
      </c>
      <c r="AM43" s="326">
        <f t="shared" si="15"/>
        <v>0</v>
      </c>
      <c r="AN43" s="970">
        <f t="shared" si="16"/>
        <v>0</v>
      </c>
      <c r="AO43" s="579">
        <v>0</v>
      </c>
      <c r="AP43" s="28">
        <f t="shared" si="21"/>
        <v>0</v>
      </c>
      <c r="AQ43" s="43"/>
      <c r="AR43" s="358">
        <f t="shared" si="17"/>
        <v>0</v>
      </c>
      <c r="AS43" s="359">
        <f t="shared" si="18"/>
        <v>0</v>
      </c>
      <c r="AT43" s="360">
        <f t="shared" si="19"/>
        <v>0</v>
      </c>
      <c r="AU43" s="43"/>
      <c r="AV43" s="2119">
        <f t="shared" si="20"/>
        <v>0</v>
      </c>
      <c r="AW43" s="119"/>
      <c r="AX43" s="2125">
        <f t="shared" si="10"/>
        <v>0</v>
      </c>
      <c r="AY43" s="43"/>
      <c r="AZ43" s="43"/>
      <c r="BA43" s="43"/>
      <c r="BB43" s="43"/>
      <c r="BC43" s="43"/>
      <c r="BD43" s="43"/>
    </row>
    <row r="44" spans="1:56" ht="15.75">
      <c r="A44" s="88">
        <v>1688</v>
      </c>
      <c r="B44" s="378" t="s">
        <v>968</v>
      </c>
      <c r="C44" s="1033"/>
      <c r="D44" s="1033"/>
      <c r="E44" s="1033"/>
      <c r="F44" s="1033"/>
      <c r="G44" s="1033"/>
      <c r="H44" s="1033"/>
      <c r="I44" s="1033"/>
      <c r="J44" s="1033"/>
      <c r="K44" s="1033"/>
      <c r="L44" s="574"/>
      <c r="M44" s="51" t="s">
        <v>265</v>
      </c>
      <c r="N44" s="113">
        <f t="shared" si="8"/>
        <v>1688</v>
      </c>
      <c r="O44" s="575">
        <v>0</v>
      </c>
      <c r="P44" s="576"/>
      <c r="Q44" s="325"/>
      <c r="R44" s="324"/>
      <c r="S44" s="579">
        <v>0</v>
      </c>
      <c r="T44" s="580">
        <f t="shared" si="12"/>
        <v>0</v>
      </c>
      <c r="U44" s="51"/>
      <c r="V44" s="541">
        <f>+'NF-KSF-TRIAL-BAL-2020'!O44+'RA-TRIAL-BAL-2020'!O44+'DES-TRIAL-BAL-2020'!O44+'DMP-TRIAL-BAL-2020'!O44</f>
        <v>0</v>
      </c>
      <c r="W44" s="529">
        <f>+'NF-KSF-TRIAL-BAL-2020'!P44+'RA-TRIAL-BAL-2020'!P44+'DES-TRIAL-BAL-2020'!P44+'DMP-TRIAL-BAL-2020'!P44</f>
        <v>0</v>
      </c>
      <c r="X44" s="528">
        <f>+'NF-KSF-TRIAL-BAL-2020'!Q44+'RA-TRIAL-BAL-2020'!Q44+'DES-TRIAL-BAL-2020'!Q44+'DMP-TRIAL-BAL-2020'!Q44</f>
        <v>0</v>
      </c>
      <c r="Y44" s="529">
        <f>+'NF-KSF-TRIAL-BAL-2020'!R44+'RA-TRIAL-BAL-2020'!R44+'DES-TRIAL-BAL-2020'!R44+'DMP-TRIAL-BAL-2020'!R44</f>
        <v>0</v>
      </c>
      <c r="Z44" s="528">
        <f>+'NF-KSF-TRIAL-BAL-2020'!S44+'RA-TRIAL-BAL-2020'!S44+'DES-TRIAL-BAL-2020'!S44+'DMP-TRIAL-BAL-2020'!S44</f>
        <v>0</v>
      </c>
      <c r="AA44" s="347">
        <f>+'NF-KSF-TRIAL-BAL-2020'!T44+'RA-TRIAL-BAL-2020'!T44+'DES-TRIAL-BAL-2020'!T44+'DMP-TRIAL-BAL-2020'!T44</f>
        <v>0</v>
      </c>
      <c r="AB44" s="51"/>
      <c r="AC44" s="8">
        <v>0</v>
      </c>
      <c r="AD44" s="9">
        <v>0</v>
      </c>
      <c r="AE44" s="29">
        <v>0</v>
      </c>
      <c r="AF44" s="9">
        <v>0</v>
      </c>
      <c r="AG44" s="579">
        <v>0</v>
      </c>
      <c r="AH44" s="584">
        <v>0</v>
      </c>
      <c r="AI44" s="51"/>
      <c r="AJ44" s="1497">
        <f t="shared" si="13"/>
        <v>1688</v>
      </c>
      <c r="AK44" s="8">
        <v>0</v>
      </c>
      <c r="AL44" s="970">
        <f t="shared" si="14"/>
        <v>0</v>
      </c>
      <c r="AM44" s="326">
        <f t="shared" si="15"/>
        <v>0</v>
      </c>
      <c r="AN44" s="970">
        <f t="shared" si="16"/>
        <v>0</v>
      </c>
      <c r="AO44" s="579">
        <v>0</v>
      </c>
      <c r="AP44" s="28">
        <f t="shared" si="21"/>
        <v>0</v>
      </c>
      <c r="AQ44" s="43"/>
      <c r="AR44" s="358">
        <f t="shared" si="17"/>
        <v>0</v>
      </c>
      <c r="AS44" s="359">
        <f t="shared" si="18"/>
        <v>0</v>
      </c>
      <c r="AT44" s="360">
        <f t="shared" si="19"/>
        <v>0</v>
      </c>
      <c r="AU44" s="43"/>
      <c r="AV44" s="2119">
        <f t="shared" si="20"/>
        <v>0</v>
      </c>
      <c r="AW44" s="119"/>
      <c r="AX44" s="2125">
        <f t="shared" si="10"/>
        <v>0</v>
      </c>
      <c r="AY44" s="43"/>
      <c r="AZ44" s="43"/>
      <c r="BA44" s="43"/>
      <c r="BB44" s="43"/>
      <c r="BC44" s="43"/>
      <c r="BD44" s="43"/>
    </row>
    <row r="45" spans="1:56" ht="15.75">
      <c r="A45" s="88">
        <v>1689</v>
      </c>
      <c r="B45" s="378" t="s">
        <v>969</v>
      </c>
      <c r="C45" s="1033"/>
      <c r="D45" s="1033"/>
      <c r="E45" s="1033"/>
      <c r="F45" s="1033"/>
      <c r="G45" s="1033"/>
      <c r="H45" s="1033"/>
      <c r="I45" s="1033"/>
      <c r="J45" s="1033"/>
      <c r="K45" s="1033"/>
      <c r="L45" s="574"/>
      <c r="M45" s="51" t="s">
        <v>265</v>
      </c>
      <c r="N45" s="113">
        <f t="shared" si="8"/>
        <v>1689</v>
      </c>
      <c r="O45" s="575">
        <v>0</v>
      </c>
      <c r="P45" s="576"/>
      <c r="Q45" s="325"/>
      <c r="R45" s="324"/>
      <c r="S45" s="579">
        <v>0</v>
      </c>
      <c r="T45" s="580">
        <f t="shared" si="12"/>
        <v>0</v>
      </c>
      <c r="U45" s="51"/>
      <c r="V45" s="541">
        <f>+'NF-KSF-TRIAL-BAL-2020'!O45+'RA-TRIAL-BAL-2020'!O45+'DES-TRIAL-BAL-2020'!O45+'DMP-TRIAL-BAL-2020'!O45</f>
        <v>0</v>
      </c>
      <c r="W45" s="529">
        <f>+'NF-KSF-TRIAL-BAL-2020'!P45+'RA-TRIAL-BAL-2020'!P45+'DES-TRIAL-BAL-2020'!P45+'DMP-TRIAL-BAL-2020'!P45</f>
        <v>0</v>
      </c>
      <c r="X45" s="528">
        <f>+'NF-KSF-TRIAL-BAL-2020'!Q45+'RA-TRIAL-BAL-2020'!Q45+'DES-TRIAL-BAL-2020'!Q45+'DMP-TRIAL-BAL-2020'!Q45</f>
        <v>0</v>
      </c>
      <c r="Y45" s="529">
        <f>+'NF-KSF-TRIAL-BAL-2020'!R45+'RA-TRIAL-BAL-2020'!R45+'DES-TRIAL-BAL-2020'!R45+'DMP-TRIAL-BAL-2020'!R45</f>
        <v>0</v>
      </c>
      <c r="Z45" s="528">
        <f>+'NF-KSF-TRIAL-BAL-2020'!S45+'RA-TRIAL-BAL-2020'!S45+'DES-TRIAL-BAL-2020'!S45+'DMP-TRIAL-BAL-2020'!S45</f>
        <v>0</v>
      </c>
      <c r="AA45" s="347">
        <f>+'NF-KSF-TRIAL-BAL-2020'!T45+'RA-TRIAL-BAL-2020'!T45+'DES-TRIAL-BAL-2020'!T45+'DMP-TRIAL-BAL-2020'!T45</f>
        <v>0</v>
      </c>
      <c r="AB45" s="51"/>
      <c r="AC45" s="8">
        <v>0</v>
      </c>
      <c r="AD45" s="9">
        <v>0</v>
      </c>
      <c r="AE45" s="29">
        <v>0</v>
      </c>
      <c r="AF45" s="9">
        <v>0</v>
      </c>
      <c r="AG45" s="579">
        <v>0</v>
      </c>
      <c r="AH45" s="584">
        <v>0</v>
      </c>
      <c r="AI45" s="51"/>
      <c r="AJ45" s="1497">
        <f t="shared" si="13"/>
        <v>1689</v>
      </c>
      <c r="AK45" s="8">
        <v>0</v>
      </c>
      <c r="AL45" s="970">
        <f t="shared" si="14"/>
        <v>0</v>
      </c>
      <c r="AM45" s="326">
        <f t="shared" si="15"/>
        <v>0</v>
      </c>
      <c r="AN45" s="970">
        <f t="shared" si="16"/>
        <v>0</v>
      </c>
      <c r="AO45" s="579">
        <v>0</v>
      </c>
      <c r="AP45" s="28">
        <f t="shared" si="21"/>
        <v>0</v>
      </c>
      <c r="AQ45" s="43"/>
      <c r="AR45" s="358">
        <f t="shared" si="17"/>
        <v>0</v>
      </c>
      <c r="AS45" s="359">
        <f t="shared" si="18"/>
        <v>0</v>
      </c>
      <c r="AT45" s="360">
        <f t="shared" si="19"/>
        <v>0</v>
      </c>
      <c r="AU45" s="43"/>
      <c r="AV45" s="2119">
        <f t="shared" si="20"/>
        <v>0</v>
      </c>
      <c r="AW45" s="119"/>
      <c r="AX45" s="2125">
        <f t="shared" si="10"/>
        <v>0</v>
      </c>
      <c r="AY45" s="43"/>
      <c r="AZ45" s="43"/>
      <c r="BA45" s="43"/>
      <c r="BB45" s="43"/>
      <c r="BC45" s="43"/>
      <c r="BD45" s="43"/>
    </row>
    <row r="46" spans="1:56" ht="15.75">
      <c r="A46" s="370">
        <v>1701</v>
      </c>
      <c r="B46" s="378" t="s">
        <v>213</v>
      </c>
      <c r="C46" s="1033"/>
      <c r="D46" s="1033"/>
      <c r="E46" s="1033"/>
      <c r="F46" s="1033"/>
      <c r="G46" s="1033"/>
      <c r="H46" s="1033"/>
      <c r="I46" s="1033"/>
      <c r="J46" s="1033"/>
      <c r="K46" s="1033"/>
      <c r="L46" s="90"/>
      <c r="M46" s="51" t="s">
        <v>265</v>
      </c>
      <c r="N46" s="113">
        <f t="shared" si="8"/>
        <v>1701</v>
      </c>
      <c r="O46" s="8">
        <v>0</v>
      </c>
      <c r="P46" s="121"/>
      <c r="Q46" s="325"/>
      <c r="R46" s="324"/>
      <c r="S46" s="29">
        <v>0</v>
      </c>
      <c r="T46" s="28">
        <f t="shared" si="12"/>
        <v>0</v>
      </c>
      <c r="U46" s="51"/>
      <c r="V46" s="541">
        <f>+'NF-KSF-TRIAL-BAL-2020'!O46+'RA-TRIAL-BAL-2020'!O46+'DES-TRIAL-BAL-2020'!O46+'DMP-TRIAL-BAL-2020'!O46</f>
        <v>0</v>
      </c>
      <c r="W46" s="529">
        <f>+'NF-KSF-TRIAL-BAL-2020'!P46+'RA-TRIAL-BAL-2020'!P46+'DES-TRIAL-BAL-2020'!P46+'DMP-TRIAL-BAL-2020'!P46</f>
        <v>0</v>
      </c>
      <c r="X46" s="528">
        <f>+'NF-KSF-TRIAL-BAL-2020'!Q46+'RA-TRIAL-BAL-2020'!Q46+'DES-TRIAL-BAL-2020'!Q46+'DMP-TRIAL-BAL-2020'!Q46</f>
        <v>0</v>
      </c>
      <c r="Y46" s="529">
        <f>+'NF-KSF-TRIAL-BAL-2020'!R46+'RA-TRIAL-BAL-2020'!R46+'DES-TRIAL-BAL-2020'!R46+'DMP-TRIAL-BAL-2020'!R46</f>
        <v>0</v>
      </c>
      <c r="Z46" s="528">
        <f>+'NF-KSF-TRIAL-BAL-2020'!S46+'RA-TRIAL-BAL-2020'!S46+'DES-TRIAL-BAL-2020'!S46+'DMP-TRIAL-BAL-2020'!S46</f>
        <v>0</v>
      </c>
      <c r="AA46" s="347">
        <f>+'NF-KSF-TRIAL-BAL-2020'!T46+'RA-TRIAL-BAL-2020'!T46+'DES-TRIAL-BAL-2020'!T46+'DMP-TRIAL-BAL-2020'!T46</f>
        <v>0</v>
      </c>
      <c r="AB46" s="51"/>
      <c r="AC46" s="8">
        <v>0</v>
      </c>
      <c r="AD46" s="9">
        <v>0</v>
      </c>
      <c r="AE46" s="29">
        <v>0</v>
      </c>
      <c r="AF46" s="9">
        <v>0</v>
      </c>
      <c r="AG46" s="579">
        <v>0</v>
      </c>
      <c r="AH46" s="584">
        <v>0</v>
      </c>
      <c r="AI46" s="51"/>
      <c r="AJ46" s="1497">
        <f t="shared" si="13"/>
        <v>1701</v>
      </c>
      <c r="AK46" s="8">
        <v>0</v>
      </c>
      <c r="AL46" s="970">
        <f t="shared" si="14"/>
        <v>0</v>
      </c>
      <c r="AM46" s="326">
        <f t="shared" si="15"/>
        <v>0</v>
      </c>
      <c r="AN46" s="970">
        <f t="shared" si="16"/>
        <v>0</v>
      </c>
      <c r="AO46" s="29">
        <v>0</v>
      </c>
      <c r="AP46" s="28">
        <f t="shared" si="21"/>
        <v>0</v>
      </c>
      <c r="AQ46" s="43"/>
      <c r="AR46" s="358">
        <f t="shared" si="17"/>
        <v>0</v>
      </c>
      <c r="AS46" s="359">
        <f t="shared" si="18"/>
        <v>0</v>
      </c>
      <c r="AT46" s="360">
        <f t="shared" si="19"/>
        <v>0</v>
      </c>
      <c r="AU46" s="43"/>
      <c r="AV46" s="2119">
        <f t="shared" si="20"/>
        <v>0</v>
      </c>
      <c r="AW46" s="119"/>
      <c r="AX46" s="2125">
        <f t="shared" si="10"/>
        <v>0</v>
      </c>
      <c r="AY46" s="43"/>
      <c r="AZ46" s="43"/>
      <c r="BA46" s="43"/>
      <c r="BB46" s="43"/>
      <c r="BC46" s="43"/>
      <c r="BD46" s="43"/>
    </row>
    <row r="47" spans="1:56" ht="15.75">
      <c r="A47" s="88">
        <v>1702</v>
      </c>
      <c r="B47" s="378" t="s">
        <v>214</v>
      </c>
      <c r="C47" s="1033"/>
      <c r="D47" s="1033"/>
      <c r="E47" s="1033"/>
      <c r="F47" s="1033"/>
      <c r="G47" s="1033"/>
      <c r="H47" s="1033"/>
      <c r="I47" s="1033"/>
      <c r="J47" s="1033"/>
      <c r="K47" s="1033"/>
      <c r="L47" s="90"/>
      <c r="M47" s="51" t="s">
        <v>265</v>
      </c>
      <c r="N47" s="113">
        <f>+A47</f>
        <v>1702</v>
      </c>
      <c r="O47" s="8">
        <v>0</v>
      </c>
      <c r="P47" s="121"/>
      <c r="Q47" s="325"/>
      <c r="R47" s="324"/>
      <c r="S47" s="29">
        <v>0</v>
      </c>
      <c r="T47" s="28">
        <f t="shared" si="12"/>
        <v>0</v>
      </c>
      <c r="U47" s="51"/>
      <c r="V47" s="541">
        <f>+'NF-KSF-TRIAL-BAL-2020'!O47+'RA-TRIAL-BAL-2020'!O47+'DES-TRIAL-BAL-2020'!O47+'DMP-TRIAL-BAL-2020'!O47</f>
        <v>0</v>
      </c>
      <c r="W47" s="529">
        <f>+'NF-KSF-TRIAL-BAL-2020'!P47+'RA-TRIAL-BAL-2020'!P47+'DES-TRIAL-BAL-2020'!P47+'DMP-TRIAL-BAL-2020'!P47</f>
        <v>0</v>
      </c>
      <c r="X47" s="528">
        <f>+'NF-KSF-TRIAL-BAL-2020'!Q47+'RA-TRIAL-BAL-2020'!Q47+'DES-TRIAL-BAL-2020'!Q47+'DMP-TRIAL-BAL-2020'!Q47</f>
        <v>0</v>
      </c>
      <c r="Y47" s="529">
        <f>+'NF-KSF-TRIAL-BAL-2020'!R47+'RA-TRIAL-BAL-2020'!R47+'DES-TRIAL-BAL-2020'!R47+'DMP-TRIAL-BAL-2020'!R47</f>
        <v>0</v>
      </c>
      <c r="Z47" s="528">
        <f>+'NF-KSF-TRIAL-BAL-2020'!S47+'RA-TRIAL-BAL-2020'!S47+'DES-TRIAL-BAL-2020'!S47+'DMP-TRIAL-BAL-2020'!S47</f>
        <v>0</v>
      </c>
      <c r="AA47" s="347">
        <f>+'NF-KSF-TRIAL-BAL-2020'!T47+'RA-TRIAL-BAL-2020'!T47+'DES-TRIAL-BAL-2020'!T47+'DMP-TRIAL-BAL-2020'!T47</f>
        <v>0</v>
      </c>
      <c r="AB47" s="51"/>
      <c r="AC47" s="8">
        <v>0</v>
      </c>
      <c r="AD47" s="9">
        <v>0</v>
      </c>
      <c r="AE47" s="29">
        <v>0</v>
      </c>
      <c r="AF47" s="9">
        <v>0</v>
      </c>
      <c r="AG47" s="579">
        <v>0</v>
      </c>
      <c r="AH47" s="584">
        <v>0</v>
      </c>
      <c r="AI47" s="51"/>
      <c r="AJ47" s="1497">
        <f t="shared" si="13"/>
        <v>1702</v>
      </c>
      <c r="AK47" s="8">
        <v>0</v>
      </c>
      <c r="AL47" s="970">
        <f t="shared" si="14"/>
        <v>0</v>
      </c>
      <c r="AM47" s="326">
        <f t="shared" si="15"/>
        <v>0</v>
      </c>
      <c r="AN47" s="970">
        <f t="shared" si="16"/>
        <v>0</v>
      </c>
      <c r="AO47" s="29">
        <v>0</v>
      </c>
      <c r="AP47" s="28">
        <f t="shared" si="21"/>
        <v>0</v>
      </c>
      <c r="AQ47" s="43"/>
      <c r="AR47" s="358">
        <f t="shared" si="17"/>
        <v>0</v>
      </c>
      <c r="AS47" s="359">
        <f t="shared" si="18"/>
        <v>0</v>
      </c>
      <c r="AT47" s="360">
        <f t="shared" si="19"/>
        <v>0</v>
      </c>
      <c r="AU47" s="43"/>
      <c r="AV47" s="2119">
        <f t="shared" si="20"/>
        <v>0</v>
      </c>
      <c r="AW47" s="119"/>
      <c r="AX47" s="2125">
        <f t="shared" si="10"/>
        <v>0</v>
      </c>
      <c r="AY47" s="43"/>
      <c r="AZ47" s="43"/>
      <c r="BA47" s="43"/>
      <c r="BB47" s="43"/>
      <c r="BC47" s="43"/>
      <c r="BD47" s="43"/>
    </row>
    <row r="48" spans="1:56" ht="15.75">
      <c r="A48" s="88">
        <v>1707</v>
      </c>
      <c r="B48" s="378" t="s">
        <v>970</v>
      </c>
      <c r="C48" s="1033"/>
      <c r="D48" s="1033"/>
      <c r="E48" s="1033"/>
      <c r="F48" s="1033"/>
      <c r="G48" s="1033"/>
      <c r="H48" s="1033"/>
      <c r="I48" s="1033"/>
      <c r="J48" s="1033"/>
      <c r="K48" s="1033"/>
      <c r="L48" s="90"/>
      <c r="M48" s="51" t="s">
        <v>265</v>
      </c>
      <c r="N48" s="113">
        <f t="shared" si="8"/>
        <v>1707</v>
      </c>
      <c r="O48" s="8">
        <v>0</v>
      </c>
      <c r="P48" s="121"/>
      <c r="Q48" s="325"/>
      <c r="R48" s="324"/>
      <c r="S48" s="29">
        <v>0</v>
      </c>
      <c r="T48" s="28">
        <f t="shared" si="12"/>
        <v>0</v>
      </c>
      <c r="U48" s="51"/>
      <c r="V48" s="541">
        <f>+'NF-KSF-TRIAL-BAL-2020'!O48+'RA-TRIAL-BAL-2020'!O48+'DES-TRIAL-BAL-2020'!O48+'DMP-TRIAL-BAL-2020'!O48</f>
        <v>0</v>
      </c>
      <c r="W48" s="529">
        <f>+'NF-KSF-TRIAL-BAL-2020'!P48+'RA-TRIAL-BAL-2020'!P48+'DES-TRIAL-BAL-2020'!P48+'DMP-TRIAL-BAL-2020'!P48</f>
        <v>0</v>
      </c>
      <c r="X48" s="528">
        <f>+'NF-KSF-TRIAL-BAL-2020'!Q48+'RA-TRIAL-BAL-2020'!Q48+'DES-TRIAL-BAL-2020'!Q48+'DMP-TRIAL-BAL-2020'!Q48</f>
        <v>0</v>
      </c>
      <c r="Y48" s="529">
        <f>+'NF-KSF-TRIAL-BAL-2020'!R48+'RA-TRIAL-BAL-2020'!R48+'DES-TRIAL-BAL-2020'!R48+'DMP-TRIAL-BAL-2020'!R48</f>
        <v>0</v>
      </c>
      <c r="Z48" s="528">
        <f>+'NF-KSF-TRIAL-BAL-2020'!S48+'RA-TRIAL-BAL-2020'!S48+'DES-TRIAL-BAL-2020'!S48+'DMP-TRIAL-BAL-2020'!S48</f>
        <v>0</v>
      </c>
      <c r="AA48" s="347">
        <f>+'NF-KSF-TRIAL-BAL-2020'!T48+'RA-TRIAL-BAL-2020'!T48+'DES-TRIAL-BAL-2020'!T48+'DMP-TRIAL-BAL-2020'!T48</f>
        <v>0</v>
      </c>
      <c r="AB48" s="51"/>
      <c r="AC48" s="8">
        <v>0</v>
      </c>
      <c r="AD48" s="9">
        <v>0</v>
      </c>
      <c r="AE48" s="29">
        <v>0</v>
      </c>
      <c r="AF48" s="9">
        <v>0</v>
      </c>
      <c r="AG48" s="579">
        <v>0</v>
      </c>
      <c r="AH48" s="584">
        <v>0</v>
      </c>
      <c r="AI48" s="51"/>
      <c r="AJ48" s="1497">
        <f t="shared" si="13"/>
        <v>1707</v>
      </c>
      <c r="AK48" s="8">
        <v>0</v>
      </c>
      <c r="AL48" s="970">
        <f t="shared" si="14"/>
        <v>0</v>
      </c>
      <c r="AM48" s="326">
        <f t="shared" si="15"/>
        <v>0</v>
      </c>
      <c r="AN48" s="970">
        <f t="shared" si="16"/>
        <v>0</v>
      </c>
      <c r="AO48" s="29">
        <v>0</v>
      </c>
      <c r="AP48" s="28">
        <f t="shared" si="21"/>
        <v>0</v>
      </c>
      <c r="AQ48" s="43"/>
      <c r="AR48" s="358">
        <f t="shared" si="17"/>
        <v>0</v>
      </c>
      <c r="AS48" s="359">
        <f t="shared" si="18"/>
        <v>0</v>
      </c>
      <c r="AT48" s="360">
        <f t="shared" si="19"/>
        <v>0</v>
      </c>
      <c r="AU48" s="43"/>
      <c r="AV48" s="2119">
        <f t="shared" si="20"/>
        <v>0</v>
      </c>
      <c r="AW48" s="119"/>
      <c r="AX48" s="2125">
        <f t="shared" si="10"/>
        <v>0</v>
      </c>
      <c r="AY48" s="43"/>
      <c r="AZ48" s="43"/>
      <c r="BA48" s="43"/>
      <c r="BB48" s="43"/>
      <c r="BC48" s="43"/>
      <c r="BD48" s="43"/>
    </row>
    <row r="49" spans="1:56" ht="15.75">
      <c r="A49" s="88">
        <v>1708</v>
      </c>
      <c r="B49" s="378" t="s">
        <v>971</v>
      </c>
      <c r="C49" s="1033"/>
      <c r="D49" s="1033"/>
      <c r="E49" s="1033"/>
      <c r="F49" s="1033"/>
      <c r="G49" s="1033"/>
      <c r="H49" s="1033"/>
      <c r="I49" s="1033"/>
      <c r="J49" s="1033"/>
      <c r="K49" s="1033"/>
      <c r="L49" s="90"/>
      <c r="M49" s="51" t="s">
        <v>265</v>
      </c>
      <c r="N49" s="113">
        <f>+A49</f>
        <v>1708</v>
      </c>
      <c r="O49" s="8">
        <v>0</v>
      </c>
      <c r="P49" s="121"/>
      <c r="Q49" s="325"/>
      <c r="R49" s="324"/>
      <c r="S49" s="29">
        <v>0</v>
      </c>
      <c r="T49" s="28">
        <f t="shared" si="12"/>
        <v>0</v>
      </c>
      <c r="U49" s="51"/>
      <c r="V49" s="541">
        <f>+'NF-KSF-TRIAL-BAL-2020'!O49+'RA-TRIAL-BAL-2020'!O49+'DES-TRIAL-BAL-2020'!O49+'DMP-TRIAL-BAL-2020'!O49</f>
        <v>0</v>
      </c>
      <c r="W49" s="529">
        <f>+'NF-KSF-TRIAL-BAL-2020'!P49+'RA-TRIAL-BAL-2020'!P49+'DES-TRIAL-BAL-2020'!P49+'DMP-TRIAL-BAL-2020'!P49</f>
        <v>0</v>
      </c>
      <c r="X49" s="528">
        <f>+'NF-KSF-TRIAL-BAL-2020'!Q49+'RA-TRIAL-BAL-2020'!Q49+'DES-TRIAL-BAL-2020'!Q49+'DMP-TRIAL-BAL-2020'!Q49</f>
        <v>0</v>
      </c>
      <c r="Y49" s="529">
        <f>+'NF-KSF-TRIAL-BAL-2020'!R49+'RA-TRIAL-BAL-2020'!R49+'DES-TRIAL-BAL-2020'!R49+'DMP-TRIAL-BAL-2020'!R49</f>
        <v>0</v>
      </c>
      <c r="Z49" s="528">
        <f>+'NF-KSF-TRIAL-BAL-2020'!S49+'RA-TRIAL-BAL-2020'!S49+'DES-TRIAL-BAL-2020'!S49+'DMP-TRIAL-BAL-2020'!S49</f>
        <v>0</v>
      </c>
      <c r="AA49" s="347">
        <f>+'NF-KSF-TRIAL-BAL-2020'!T49+'RA-TRIAL-BAL-2020'!T49+'DES-TRIAL-BAL-2020'!T49+'DMP-TRIAL-BAL-2020'!T49</f>
        <v>0</v>
      </c>
      <c r="AB49" s="51"/>
      <c r="AC49" s="8">
        <v>0</v>
      </c>
      <c r="AD49" s="9">
        <v>0</v>
      </c>
      <c r="AE49" s="29">
        <v>0</v>
      </c>
      <c r="AF49" s="9">
        <v>0</v>
      </c>
      <c r="AG49" s="579">
        <v>0</v>
      </c>
      <c r="AH49" s="584">
        <v>0</v>
      </c>
      <c r="AI49" s="51"/>
      <c r="AJ49" s="1497">
        <f t="shared" si="13"/>
        <v>1708</v>
      </c>
      <c r="AK49" s="8">
        <v>0</v>
      </c>
      <c r="AL49" s="970">
        <f t="shared" si="14"/>
        <v>0</v>
      </c>
      <c r="AM49" s="326">
        <f t="shared" si="15"/>
        <v>0</v>
      </c>
      <c r="AN49" s="970">
        <f t="shared" si="16"/>
        <v>0</v>
      </c>
      <c r="AO49" s="29">
        <v>0</v>
      </c>
      <c r="AP49" s="28">
        <f t="shared" si="21"/>
        <v>0</v>
      </c>
      <c r="AQ49" s="43"/>
      <c r="AR49" s="358">
        <f t="shared" si="17"/>
        <v>0</v>
      </c>
      <c r="AS49" s="359">
        <f t="shared" si="18"/>
        <v>0</v>
      </c>
      <c r="AT49" s="360">
        <f t="shared" si="19"/>
        <v>0</v>
      </c>
      <c r="AU49" s="43"/>
      <c r="AV49" s="2119">
        <f t="shared" si="20"/>
        <v>0</v>
      </c>
      <c r="AW49" s="119"/>
      <c r="AX49" s="2125">
        <f t="shared" si="10"/>
        <v>0</v>
      </c>
      <c r="AY49" s="43"/>
      <c r="AZ49" s="43"/>
      <c r="BA49" s="43"/>
      <c r="BB49" s="43"/>
      <c r="BC49" s="43"/>
      <c r="BD49" s="43"/>
    </row>
    <row r="50" spans="1:56" ht="15.75">
      <c r="A50" s="88">
        <v>1911</v>
      </c>
      <c r="B50" s="378" t="s">
        <v>215</v>
      </c>
      <c r="C50" s="1033"/>
      <c r="D50" s="1033"/>
      <c r="E50" s="1033"/>
      <c r="F50" s="1033"/>
      <c r="G50" s="1033"/>
      <c r="H50" s="1033"/>
      <c r="I50" s="1033"/>
      <c r="J50" s="1033"/>
      <c r="K50" s="1033"/>
      <c r="L50" s="90"/>
      <c r="M50" s="51" t="s">
        <v>265</v>
      </c>
      <c r="N50" s="113">
        <f t="shared" si="8"/>
        <v>1911</v>
      </c>
      <c r="O50" s="8">
        <v>0</v>
      </c>
      <c r="P50" s="121">
        <v>0</v>
      </c>
      <c r="Q50" s="325">
        <v>0</v>
      </c>
      <c r="R50" s="324">
        <v>0</v>
      </c>
      <c r="S50" s="29">
        <v>0</v>
      </c>
      <c r="T50" s="28">
        <f t="shared" si="12"/>
        <v>0</v>
      </c>
      <c r="U50" s="51"/>
      <c r="V50" s="541">
        <f>+'NF-KSF-TRIAL-BAL-2020'!O50+'RA-TRIAL-BAL-2020'!O50+'DES-TRIAL-BAL-2020'!O50+'DMP-TRIAL-BAL-2020'!O50</f>
        <v>0</v>
      </c>
      <c r="W50" s="529">
        <f>+'NF-KSF-TRIAL-BAL-2020'!P50+'RA-TRIAL-BAL-2020'!P50+'DES-TRIAL-BAL-2020'!P50+'DMP-TRIAL-BAL-2020'!P50</f>
        <v>0</v>
      </c>
      <c r="X50" s="528">
        <f>+'NF-KSF-TRIAL-BAL-2020'!Q50+'RA-TRIAL-BAL-2020'!Q50+'DES-TRIAL-BAL-2020'!Q50+'DMP-TRIAL-BAL-2020'!Q50</f>
        <v>0</v>
      </c>
      <c r="Y50" s="529">
        <f>+'NF-KSF-TRIAL-BAL-2020'!R50+'RA-TRIAL-BAL-2020'!R50+'DES-TRIAL-BAL-2020'!R50+'DMP-TRIAL-BAL-2020'!R50</f>
        <v>0</v>
      </c>
      <c r="Z50" s="528">
        <f>+'NF-KSF-TRIAL-BAL-2020'!S50+'RA-TRIAL-BAL-2020'!S50+'DES-TRIAL-BAL-2020'!S50+'DMP-TRIAL-BAL-2020'!S50</f>
        <v>0</v>
      </c>
      <c r="AA50" s="347">
        <f>+'NF-KSF-TRIAL-BAL-2020'!T50+'RA-TRIAL-BAL-2020'!T50+'DES-TRIAL-BAL-2020'!T50+'DMP-TRIAL-BAL-2020'!T50</f>
        <v>0</v>
      </c>
      <c r="AB50" s="51"/>
      <c r="AC50" s="8">
        <v>0</v>
      </c>
      <c r="AD50" s="9">
        <v>0</v>
      </c>
      <c r="AE50" s="29">
        <v>0</v>
      </c>
      <c r="AF50" s="9">
        <v>0</v>
      </c>
      <c r="AG50" s="579">
        <v>0</v>
      </c>
      <c r="AH50" s="584">
        <v>0</v>
      </c>
      <c r="AI50" s="51"/>
      <c r="AJ50" s="1497">
        <f t="shared" si="13"/>
        <v>1911</v>
      </c>
      <c r="AK50" s="8">
        <v>0</v>
      </c>
      <c r="AL50" s="970">
        <f t="shared" si="14"/>
        <v>0</v>
      </c>
      <c r="AM50" s="326">
        <f t="shared" si="15"/>
        <v>0</v>
      </c>
      <c r="AN50" s="970">
        <f t="shared" si="16"/>
        <v>0</v>
      </c>
      <c r="AO50" s="29">
        <v>0</v>
      </c>
      <c r="AP50" s="28">
        <f t="shared" si="21"/>
        <v>0</v>
      </c>
      <c r="AQ50" s="43"/>
      <c r="AR50" s="358">
        <f t="shared" si="17"/>
        <v>0</v>
      </c>
      <c r="AS50" s="359">
        <f t="shared" si="18"/>
        <v>0</v>
      </c>
      <c r="AT50" s="360">
        <f t="shared" si="19"/>
        <v>0</v>
      </c>
      <c r="AU50" s="43"/>
      <c r="AV50" s="2119">
        <f t="shared" si="20"/>
        <v>0</v>
      </c>
      <c r="AW50" s="119"/>
      <c r="AX50" s="2125">
        <f t="shared" si="10"/>
        <v>0</v>
      </c>
      <c r="AY50" s="43"/>
      <c r="AZ50" s="43"/>
      <c r="BA50" s="43"/>
      <c r="BB50" s="43"/>
      <c r="BC50" s="43"/>
      <c r="BD50" s="43"/>
    </row>
    <row r="51" spans="1:56" ht="15.75">
      <c r="A51" s="88">
        <v>1912</v>
      </c>
      <c r="B51" s="378" t="s">
        <v>216</v>
      </c>
      <c r="C51" s="1033"/>
      <c r="D51" s="1033"/>
      <c r="E51" s="1033"/>
      <c r="F51" s="1033"/>
      <c r="G51" s="1033"/>
      <c r="H51" s="1033"/>
      <c r="I51" s="1033"/>
      <c r="J51" s="1033"/>
      <c r="K51" s="1033"/>
      <c r="L51" s="90"/>
      <c r="M51" s="51" t="s">
        <v>265</v>
      </c>
      <c r="N51" s="113">
        <f t="shared" si="8"/>
        <v>1912</v>
      </c>
      <c r="O51" s="8">
        <v>0</v>
      </c>
      <c r="P51" s="121"/>
      <c r="Q51" s="325"/>
      <c r="R51" s="324"/>
      <c r="S51" s="29">
        <v>0</v>
      </c>
      <c r="T51" s="28">
        <f t="shared" si="12"/>
        <v>0</v>
      </c>
      <c r="U51" s="51"/>
      <c r="V51" s="541">
        <f>+'NF-KSF-TRIAL-BAL-2020'!O51+'RA-TRIAL-BAL-2020'!O51+'DES-TRIAL-BAL-2020'!O51+'DMP-TRIAL-BAL-2020'!O51</f>
        <v>0</v>
      </c>
      <c r="W51" s="529">
        <f>+'NF-KSF-TRIAL-BAL-2020'!P51+'RA-TRIAL-BAL-2020'!P51+'DES-TRIAL-BAL-2020'!P51+'DMP-TRIAL-BAL-2020'!P51</f>
        <v>0</v>
      </c>
      <c r="X51" s="528">
        <f>+'NF-KSF-TRIAL-BAL-2020'!Q51+'RA-TRIAL-BAL-2020'!Q51+'DES-TRIAL-BAL-2020'!Q51+'DMP-TRIAL-BAL-2020'!Q51</f>
        <v>0</v>
      </c>
      <c r="Y51" s="529">
        <f>+'NF-KSF-TRIAL-BAL-2020'!R51+'RA-TRIAL-BAL-2020'!R51+'DES-TRIAL-BAL-2020'!R51+'DMP-TRIAL-BAL-2020'!R51</f>
        <v>0</v>
      </c>
      <c r="Z51" s="528">
        <f>+'NF-KSF-TRIAL-BAL-2020'!S51+'RA-TRIAL-BAL-2020'!S51+'DES-TRIAL-BAL-2020'!S51+'DMP-TRIAL-BAL-2020'!S51</f>
        <v>0</v>
      </c>
      <c r="AA51" s="347">
        <f>+'NF-KSF-TRIAL-BAL-2020'!T51+'RA-TRIAL-BAL-2020'!T51+'DES-TRIAL-BAL-2020'!T51+'DMP-TRIAL-BAL-2020'!T51</f>
        <v>0</v>
      </c>
      <c r="AB51" s="51"/>
      <c r="AC51" s="8">
        <v>0</v>
      </c>
      <c r="AD51" s="9">
        <v>0</v>
      </c>
      <c r="AE51" s="29">
        <v>0</v>
      </c>
      <c r="AF51" s="9">
        <v>0</v>
      </c>
      <c r="AG51" s="579">
        <v>0</v>
      </c>
      <c r="AH51" s="584">
        <v>0</v>
      </c>
      <c r="AI51" s="51"/>
      <c r="AJ51" s="1497">
        <f t="shared" si="13"/>
        <v>1912</v>
      </c>
      <c r="AK51" s="8">
        <v>0</v>
      </c>
      <c r="AL51" s="970">
        <f t="shared" si="14"/>
        <v>0</v>
      </c>
      <c r="AM51" s="326">
        <f t="shared" si="15"/>
        <v>0</v>
      </c>
      <c r="AN51" s="970">
        <f t="shared" si="16"/>
        <v>0</v>
      </c>
      <c r="AO51" s="29">
        <v>0</v>
      </c>
      <c r="AP51" s="28">
        <f t="shared" si="21"/>
        <v>0</v>
      </c>
      <c r="AQ51" s="43"/>
      <c r="AR51" s="358">
        <f t="shared" si="17"/>
        <v>0</v>
      </c>
      <c r="AS51" s="359">
        <f t="shared" si="18"/>
        <v>0</v>
      </c>
      <c r="AT51" s="360">
        <f t="shared" si="19"/>
        <v>0</v>
      </c>
      <c r="AU51" s="43"/>
      <c r="AV51" s="2119">
        <f t="shared" si="20"/>
        <v>0</v>
      </c>
      <c r="AW51" s="119"/>
      <c r="AX51" s="2125">
        <f t="shared" si="10"/>
        <v>0</v>
      </c>
      <c r="AY51" s="43"/>
      <c r="AZ51" s="43"/>
      <c r="BA51" s="43"/>
      <c r="BB51" s="43"/>
      <c r="BC51" s="43"/>
      <c r="BD51" s="43"/>
    </row>
    <row r="52" spans="1:56" ht="15.75">
      <c r="A52" s="88">
        <v>1913</v>
      </c>
      <c r="B52" s="378" t="s">
        <v>217</v>
      </c>
      <c r="C52" s="1033"/>
      <c r="D52" s="1033"/>
      <c r="E52" s="1033"/>
      <c r="F52" s="1033"/>
      <c r="G52" s="1033"/>
      <c r="H52" s="1033"/>
      <c r="I52" s="1033"/>
      <c r="J52" s="1033"/>
      <c r="K52" s="1033"/>
      <c r="L52" s="90"/>
      <c r="M52" s="51" t="s">
        <v>265</v>
      </c>
      <c r="N52" s="113">
        <f t="shared" si="8"/>
        <v>1913</v>
      </c>
      <c r="O52" s="8">
        <v>0</v>
      </c>
      <c r="P52" s="121"/>
      <c r="Q52" s="325"/>
      <c r="R52" s="324"/>
      <c r="S52" s="29">
        <v>0</v>
      </c>
      <c r="T52" s="28">
        <f t="shared" si="12"/>
        <v>0</v>
      </c>
      <c r="U52" s="51"/>
      <c r="V52" s="541">
        <f>+'NF-KSF-TRIAL-BAL-2020'!O52+'RA-TRIAL-BAL-2020'!O52+'DES-TRIAL-BAL-2020'!O52+'DMP-TRIAL-BAL-2020'!O52</f>
        <v>0</v>
      </c>
      <c r="W52" s="529">
        <f>+'NF-KSF-TRIAL-BAL-2020'!P52+'RA-TRIAL-BAL-2020'!P52+'DES-TRIAL-BAL-2020'!P52+'DMP-TRIAL-BAL-2020'!P52</f>
        <v>0</v>
      </c>
      <c r="X52" s="528">
        <f>+'NF-KSF-TRIAL-BAL-2020'!Q52+'RA-TRIAL-BAL-2020'!Q52+'DES-TRIAL-BAL-2020'!Q52+'DMP-TRIAL-BAL-2020'!Q52</f>
        <v>0</v>
      </c>
      <c r="Y52" s="529">
        <f>+'NF-KSF-TRIAL-BAL-2020'!R52+'RA-TRIAL-BAL-2020'!R52+'DES-TRIAL-BAL-2020'!R52+'DMP-TRIAL-BAL-2020'!R52</f>
        <v>0</v>
      </c>
      <c r="Z52" s="528">
        <f>+'NF-KSF-TRIAL-BAL-2020'!S52+'RA-TRIAL-BAL-2020'!S52+'DES-TRIAL-BAL-2020'!S52+'DMP-TRIAL-BAL-2020'!S52</f>
        <v>0</v>
      </c>
      <c r="AA52" s="347">
        <f>+'NF-KSF-TRIAL-BAL-2020'!T52+'RA-TRIAL-BAL-2020'!T52+'DES-TRIAL-BAL-2020'!T52+'DMP-TRIAL-BAL-2020'!T52</f>
        <v>0</v>
      </c>
      <c r="AB52" s="51"/>
      <c r="AC52" s="8">
        <v>0</v>
      </c>
      <c r="AD52" s="9">
        <v>0</v>
      </c>
      <c r="AE52" s="29">
        <v>0</v>
      </c>
      <c r="AF52" s="9">
        <v>0</v>
      </c>
      <c r="AG52" s="579">
        <v>0</v>
      </c>
      <c r="AH52" s="584">
        <v>0</v>
      </c>
      <c r="AI52" s="51"/>
      <c r="AJ52" s="1497">
        <f t="shared" si="13"/>
        <v>1913</v>
      </c>
      <c r="AK52" s="8">
        <v>0</v>
      </c>
      <c r="AL52" s="970">
        <f t="shared" si="14"/>
        <v>0</v>
      </c>
      <c r="AM52" s="326">
        <f t="shared" si="15"/>
        <v>0</v>
      </c>
      <c r="AN52" s="970">
        <f t="shared" si="16"/>
        <v>0</v>
      </c>
      <c r="AO52" s="29">
        <v>0</v>
      </c>
      <c r="AP52" s="28">
        <f t="shared" si="21"/>
        <v>0</v>
      </c>
      <c r="AQ52" s="43"/>
      <c r="AR52" s="358">
        <f t="shared" si="17"/>
        <v>0</v>
      </c>
      <c r="AS52" s="359">
        <f t="shared" si="18"/>
        <v>0</v>
      </c>
      <c r="AT52" s="360">
        <f t="shared" si="19"/>
        <v>0</v>
      </c>
      <c r="AU52" s="43"/>
      <c r="AV52" s="2119">
        <f t="shared" si="20"/>
        <v>0</v>
      </c>
      <c r="AW52" s="119"/>
      <c r="AX52" s="2125">
        <f t="shared" si="10"/>
        <v>0</v>
      </c>
      <c r="AY52" s="43"/>
      <c r="AZ52" s="43"/>
      <c r="BA52" s="43"/>
      <c r="BB52" s="43"/>
      <c r="BC52" s="43"/>
      <c r="BD52" s="43"/>
    </row>
    <row r="53" spans="1:56" ht="15.75">
      <c r="A53" s="88">
        <v>1914</v>
      </c>
      <c r="B53" s="378" t="s">
        <v>218</v>
      </c>
      <c r="C53" s="1033"/>
      <c r="D53" s="1033"/>
      <c r="E53" s="1033"/>
      <c r="F53" s="1033"/>
      <c r="G53" s="1033"/>
      <c r="H53" s="1033"/>
      <c r="I53" s="1033"/>
      <c r="J53" s="1033"/>
      <c r="K53" s="1033"/>
      <c r="L53" s="90"/>
      <c r="M53" s="51" t="s">
        <v>265</v>
      </c>
      <c r="N53" s="113">
        <f t="shared" si="8"/>
        <v>1914</v>
      </c>
      <c r="O53" s="8">
        <v>0</v>
      </c>
      <c r="P53" s="121"/>
      <c r="Q53" s="325"/>
      <c r="R53" s="324"/>
      <c r="S53" s="29">
        <v>0</v>
      </c>
      <c r="T53" s="28">
        <f t="shared" si="12"/>
        <v>0</v>
      </c>
      <c r="U53" s="51"/>
      <c r="V53" s="541">
        <f>+'NF-KSF-TRIAL-BAL-2020'!O53+'RA-TRIAL-BAL-2020'!O53+'DES-TRIAL-BAL-2020'!O53+'DMP-TRIAL-BAL-2020'!O53</f>
        <v>0</v>
      </c>
      <c r="W53" s="529">
        <f>+'NF-KSF-TRIAL-BAL-2020'!P53+'RA-TRIAL-BAL-2020'!P53+'DES-TRIAL-BAL-2020'!P53+'DMP-TRIAL-BAL-2020'!P53</f>
        <v>0</v>
      </c>
      <c r="X53" s="528">
        <f>+'NF-KSF-TRIAL-BAL-2020'!Q53+'RA-TRIAL-BAL-2020'!Q53+'DES-TRIAL-BAL-2020'!Q53+'DMP-TRIAL-BAL-2020'!Q53</f>
        <v>0</v>
      </c>
      <c r="Y53" s="529">
        <f>+'NF-KSF-TRIAL-BAL-2020'!R53+'RA-TRIAL-BAL-2020'!R53+'DES-TRIAL-BAL-2020'!R53+'DMP-TRIAL-BAL-2020'!R53</f>
        <v>0</v>
      </c>
      <c r="Z53" s="528">
        <f>+'NF-KSF-TRIAL-BAL-2020'!S53+'RA-TRIAL-BAL-2020'!S53+'DES-TRIAL-BAL-2020'!S53+'DMP-TRIAL-BAL-2020'!S53</f>
        <v>0</v>
      </c>
      <c r="AA53" s="347">
        <f>+'NF-KSF-TRIAL-BAL-2020'!T53+'RA-TRIAL-BAL-2020'!T53+'DES-TRIAL-BAL-2020'!T53+'DMP-TRIAL-BAL-2020'!T53</f>
        <v>0</v>
      </c>
      <c r="AB53" s="51"/>
      <c r="AC53" s="8">
        <v>0</v>
      </c>
      <c r="AD53" s="9">
        <v>0</v>
      </c>
      <c r="AE53" s="29">
        <v>0</v>
      </c>
      <c r="AF53" s="9">
        <v>0</v>
      </c>
      <c r="AG53" s="579">
        <v>0</v>
      </c>
      <c r="AH53" s="584">
        <v>0</v>
      </c>
      <c r="AI53" s="51"/>
      <c r="AJ53" s="1497">
        <f t="shared" si="13"/>
        <v>1914</v>
      </c>
      <c r="AK53" s="8">
        <v>0</v>
      </c>
      <c r="AL53" s="970">
        <f t="shared" si="14"/>
        <v>0</v>
      </c>
      <c r="AM53" s="326">
        <f t="shared" si="15"/>
        <v>0</v>
      </c>
      <c r="AN53" s="970">
        <f t="shared" si="16"/>
        <v>0</v>
      </c>
      <c r="AO53" s="29">
        <v>0</v>
      </c>
      <c r="AP53" s="28">
        <f t="shared" si="21"/>
        <v>0</v>
      </c>
      <c r="AQ53" s="43"/>
      <c r="AR53" s="358">
        <f t="shared" si="17"/>
        <v>0</v>
      </c>
      <c r="AS53" s="359">
        <f t="shared" si="18"/>
        <v>0</v>
      </c>
      <c r="AT53" s="360">
        <f t="shared" si="19"/>
        <v>0</v>
      </c>
      <c r="AU53" s="43"/>
      <c r="AV53" s="2119">
        <f t="shared" si="20"/>
        <v>0</v>
      </c>
      <c r="AW53" s="119"/>
      <c r="AX53" s="2125">
        <f t="shared" si="10"/>
        <v>0</v>
      </c>
      <c r="AY53" s="43"/>
      <c r="AZ53" s="43"/>
      <c r="BA53" s="43"/>
      <c r="BB53" s="43"/>
      <c r="BC53" s="43"/>
      <c r="BD53" s="43"/>
    </row>
    <row r="54" spans="1:56" ht="15.75">
      <c r="A54" s="88">
        <v>1917</v>
      </c>
      <c r="B54" s="378" t="s">
        <v>219</v>
      </c>
      <c r="C54" s="1033"/>
      <c r="D54" s="1033"/>
      <c r="E54" s="1033"/>
      <c r="F54" s="1033"/>
      <c r="G54" s="1033"/>
      <c r="H54" s="1033"/>
      <c r="I54" s="1033"/>
      <c r="J54" s="1033"/>
      <c r="K54" s="1033"/>
      <c r="L54" s="90"/>
      <c r="M54" s="51" t="s">
        <v>265</v>
      </c>
      <c r="N54" s="113">
        <f t="shared" si="8"/>
        <v>1917</v>
      </c>
      <c r="O54" s="120">
        <v>0</v>
      </c>
      <c r="P54" s="9">
        <v>0</v>
      </c>
      <c r="Q54" s="325">
        <v>0</v>
      </c>
      <c r="R54" s="121">
        <v>0</v>
      </c>
      <c r="S54" s="27">
        <f>+IF(ABS(+O54+Q54)&gt;=ABS(P54+R54),+O54-P54+Q54-R54,0)</f>
        <v>0</v>
      </c>
      <c r="T54" s="30">
        <v>0</v>
      </c>
      <c r="U54" s="51"/>
      <c r="V54" s="541">
        <f>+'NF-KSF-TRIAL-BAL-2020'!O54+'RA-TRIAL-BAL-2020'!O54+'DES-TRIAL-BAL-2020'!O54+'DMP-TRIAL-BAL-2020'!O54</f>
        <v>0</v>
      </c>
      <c r="W54" s="529">
        <f>+'NF-KSF-TRIAL-BAL-2020'!P54+'RA-TRIAL-BAL-2020'!P54+'DES-TRIAL-BAL-2020'!P54+'DMP-TRIAL-BAL-2020'!P54</f>
        <v>0</v>
      </c>
      <c r="X54" s="528">
        <f>+'NF-KSF-TRIAL-BAL-2020'!Q54+'RA-TRIAL-BAL-2020'!Q54+'DES-TRIAL-BAL-2020'!Q54+'DMP-TRIAL-BAL-2020'!Q54</f>
        <v>0</v>
      </c>
      <c r="Y54" s="529">
        <f>+'NF-KSF-TRIAL-BAL-2020'!R54+'RA-TRIAL-BAL-2020'!R54+'DES-TRIAL-BAL-2020'!R54+'DMP-TRIAL-BAL-2020'!R54</f>
        <v>0</v>
      </c>
      <c r="Z54" s="528">
        <f>+'NF-KSF-TRIAL-BAL-2020'!S54+'RA-TRIAL-BAL-2020'!S54+'DES-TRIAL-BAL-2020'!S54+'DMP-TRIAL-BAL-2020'!S54</f>
        <v>0</v>
      </c>
      <c r="AA54" s="347">
        <f>+'NF-KSF-TRIAL-BAL-2020'!T54+'RA-TRIAL-BAL-2020'!T54+'DES-TRIAL-BAL-2020'!T54+'DMP-TRIAL-BAL-2020'!T54</f>
        <v>0</v>
      </c>
      <c r="AB54" s="51"/>
      <c r="AC54" s="575">
        <v>0</v>
      </c>
      <c r="AD54" s="582">
        <v>0</v>
      </c>
      <c r="AE54" s="579">
        <v>0</v>
      </c>
      <c r="AF54" s="582">
        <v>0</v>
      </c>
      <c r="AG54" s="579">
        <v>0</v>
      </c>
      <c r="AH54" s="584">
        <v>0</v>
      </c>
      <c r="AI54" s="51"/>
      <c r="AJ54" s="1497">
        <f>+N54</f>
        <v>1917</v>
      </c>
      <c r="AK54" s="951">
        <f>+ROUND(+O54+V54+AC54,2)</f>
        <v>0</v>
      </c>
      <c r="AL54" s="9">
        <v>0</v>
      </c>
      <c r="AM54" s="326">
        <f>+ROUND(+Q54+X54+AE54,2)</f>
        <v>0</v>
      </c>
      <c r="AN54" s="970">
        <f>+ROUND(+R54+Y54+AF54,2)</f>
        <v>0</v>
      </c>
      <c r="AO54" s="326">
        <f>+S54+Z54+AG54</f>
        <v>0</v>
      </c>
      <c r="AP54" s="30">
        <v>0</v>
      </c>
      <c r="AQ54" s="43"/>
      <c r="AR54" s="358">
        <f>+ROUND(+SUM(AK54-AL54)-SUM(O54-P54)-SUM(V54-W54)-SUM(AC54-AD54),2)</f>
        <v>0</v>
      </c>
      <c r="AS54" s="359">
        <f>+ROUND(+SUM(AM54-AN54)-SUM(Q54-R54)-SUM(X54-Y54)-SUM(AE54-AF54),2)</f>
        <v>0</v>
      </c>
      <c r="AT54" s="360">
        <f>+ROUND(+SUM(AO54-AP54)-SUM(S54-T54)-SUM(Z54-AA54)-SUM(AG54-AH54),2)</f>
        <v>0</v>
      </c>
      <c r="AU54" s="43"/>
      <c r="AV54" s="2120">
        <f>+IF(OR(ROUND(P54,2)+ROUND(R54,2)&gt;+ROUND(O54,2)+ROUND(Q54,2),+ABS(ROUND(P54,2)+ROUND(R54,2))&gt;+ABS(ROUND(O54,2)+ROUND(Q54,2))),+(ROUND(P54,2)+ROUND(R54,2))-(ROUND(O54,2)+ROUND(Q54,2)),0)</f>
        <v>0</v>
      </c>
      <c r="AW54" s="119"/>
      <c r="AX54" s="2125">
        <f t="shared" si="10"/>
        <v>0</v>
      </c>
      <c r="AY54" s="43"/>
      <c r="AZ54" s="43"/>
      <c r="BA54" s="43"/>
      <c r="BB54" s="43"/>
      <c r="BC54" s="43"/>
      <c r="BD54" s="43"/>
    </row>
    <row r="55" spans="1:56" ht="15.75">
      <c r="A55" s="88">
        <v>1918</v>
      </c>
      <c r="B55" s="378" t="s">
        <v>952</v>
      </c>
      <c r="C55" s="1033"/>
      <c r="D55" s="1033"/>
      <c r="E55" s="1033"/>
      <c r="F55" s="1033"/>
      <c r="G55" s="1033"/>
      <c r="H55" s="1033"/>
      <c r="I55" s="1033"/>
      <c r="J55" s="1033"/>
      <c r="K55" s="1033"/>
      <c r="L55" s="90"/>
      <c r="M55" s="51" t="s">
        <v>265</v>
      </c>
      <c r="N55" s="113">
        <f t="shared" si="8"/>
        <v>1918</v>
      </c>
      <c r="O55" s="120"/>
      <c r="P55" s="9">
        <v>0</v>
      </c>
      <c r="Q55" s="325"/>
      <c r="R55" s="121"/>
      <c r="S55" s="27">
        <f>+IF(ABS(+O55+Q55)&gt;=ABS(P55+R55),+O55-P55+Q55-R55,0)</f>
        <v>0</v>
      </c>
      <c r="T55" s="30">
        <v>0</v>
      </c>
      <c r="U55" s="51"/>
      <c r="V55" s="541">
        <f>+'NF-KSF-TRIAL-BAL-2020'!O55+'RA-TRIAL-BAL-2020'!O55+'DES-TRIAL-BAL-2020'!O55+'DMP-TRIAL-BAL-2020'!O55</f>
        <v>0</v>
      </c>
      <c r="W55" s="529">
        <f>+'NF-KSF-TRIAL-BAL-2020'!P55+'RA-TRIAL-BAL-2020'!P55+'DES-TRIAL-BAL-2020'!P55+'DMP-TRIAL-BAL-2020'!P55</f>
        <v>0</v>
      </c>
      <c r="X55" s="528">
        <f>+'NF-KSF-TRIAL-BAL-2020'!Q55+'RA-TRIAL-BAL-2020'!Q55+'DES-TRIAL-BAL-2020'!Q55+'DMP-TRIAL-BAL-2020'!Q55</f>
        <v>0</v>
      </c>
      <c r="Y55" s="529">
        <f>+'NF-KSF-TRIAL-BAL-2020'!R55+'RA-TRIAL-BAL-2020'!R55+'DES-TRIAL-BAL-2020'!R55+'DMP-TRIAL-BAL-2020'!R55</f>
        <v>0</v>
      </c>
      <c r="Z55" s="528">
        <f>+'NF-KSF-TRIAL-BAL-2020'!S55+'RA-TRIAL-BAL-2020'!S55+'DES-TRIAL-BAL-2020'!S55+'DMP-TRIAL-BAL-2020'!S55</f>
        <v>0</v>
      </c>
      <c r="AA55" s="347">
        <f>+'NF-KSF-TRIAL-BAL-2020'!T55+'RA-TRIAL-BAL-2020'!T55+'DES-TRIAL-BAL-2020'!T55+'DMP-TRIAL-BAL-2020'!T55</f>
        <v>0</v>
      </c>
      <c r="AB55" s="51"/>
      <c r="AC55" s="575">
        <v>0</v>
      </c>
      <c r="AD55" s="582">
        <v>0</v>
      </c>
      <c r="AE55" s="579">
        <v>0</v>
      </c>
      <c r="AF55" s="582">
        <v>0</v>
      </c>
      <c r="AG55" s="579">
        <v>0</v>
      </c>
      <c r="AH55" s="584">
        <v>0</v>
      </c>
      <c r="AI55" s="51"/>
      <c r="AJ55" s="1497">
        <f>+N55</f>
        <v>1918</v>
      </c>
      <c r="AK55" s="951">
        <f>+ROUND(+O55+V55+AC55,2)</f>
        <v>0</v>
      </c>
      <c r="AL55" s="9">
        <v>0</v>
      </c>
      <c r="AM55" s="326">
        <f>+ROUND(+Q55+X55+AE55,2)</f>
        <v>0</v>
      </c>
      <c r="AN55" s="970">
        <f>+ROUND(+R55+Y55+AF55,2)</f>
        <v>0</v>
      </c>
      <c r="AO55" s="326">
        <f>+S55+Z55+AG55</f>
        <v>0</v>
      </c>
      <c r="AP55" s="30">
        <v>0</v>
      </c>
      <c r="AQ55" s="43"/>
      <c r="AR55" s="358">
        <f>+ROUND(+SUM(AK55-AL55)-SUM(O55-P55)-SUM(V55-W55)-SUM(AC55-AD55),2)</f>
        <v>0</v>
      </c>
      <c r="AS55" s="359">
        <f>+ROUND(+SUM(AM55-AN55)-SUM(Q55-R55)-SUM(X55-Y55)-SUM(AE55-AF55),2)</f>
        <v>0</v>
      </c>
      <c r="AT55" s="360">
        <f>+ROUND(+SUM(AO55-AP55)-SUM(S55-T55)-SUM(Z55-AA55)-SUM(AG55-AH55),2)</f>
        <v>0</v>
      </c>
      <c r="AU55" s="43"/>
      <c r="AV55" s="2120">
        <f>+IF(OR(ROUND(P55,2)+ROUND(R55,2)&gt;+ROUND(O55,2)+ROUND(Q55,2),+ABS(ROUND(P55,2)+ROUND(R55,2))&gt;+ABS(ROUND(O55,2)+ROUND(Q55,2))),+(ROUND(P55,2)+ROUND(R55,2))-(ROUND(O55,2)+ROUND(Q55,2)),0)</f>
        <v>0</v>
      </c>
      <c r="AW55" s="119"/>
      <c r="AX55" s="2125">
        <f t="shared" si="10"/>
        <v>0</v>
      </c>
      <c r="AY55" s="43"/>
      <c r="AZ55" s="43"/>
      <c r="BA55" s="43"/>
      <c r="BB55" s="43"/>
      <c r="BC55" s="43"/>
      <c r="BD55" s="43"/>
    </row>
    <row r="56" spans="1:56" ht="15.75">
      <c r="A56" s="88">
        <v>1921</v>
      </c>
      <c r="B56" s="378" t="s">
        <v>860</v>
      </c>
      <c r="C56" s="1037"/>
      <c r="D56" s="1037"/>
      <c r="E56" s="1037"/>
      <c r="F56" s="1037"/>
      <c r="G56" s="1037"/>
      <c r="H56" s="1037"/>
      <c r="I56" s="1037"/>
      <c r="J56" s="1037"/>
      <c r="K56" s="1037"/>
      <c r="L56" s="590"/>
      <c r="M56" s="51" t="s">
        <v>265</v>
      </c>
      <c r="N56" s="113">
        <f t="shared" si="8"/>
        <v>1921</v>
      </c>
      <c r="O56" s="575">
        <v>0</v>
      </c>
      <c r="P56" s="576"/>
      <c r="Q56" s="325"/>
      <c r="R56" s="324"/>
      <c r="S56" s="579">
        <v>0</v>
      </c>
      <c r="T56" s="580">
        <f t="shared" ref="T56:T67" si="22">+IF(ABS(+O56+Q56)&lt;=ABS(P56+R56),-O56+P56-Q56+R56,0)</f>
        <v>0</v>
      </c>
      <c r="U56" s="51"/>
      <c r="V56" s="541">
        <f>+'NF-KSF-TRIAL-BAL-2020'!O56+'RA-TRIAL-BAL-2020'!O56+'DES-TRIAL-BAL-2020'!O56+'DMP-TRIAL-BAL-2020'!O56</f>
        <v>0</v>
      </c>
      <c r="W56" s="529">
        <f>+'NF-KSF-TRIAL-BAL-2020'!P56+'RA-TRIAL-BAL-2020'!P56+'DES-TRIAL-BAL-2020'!P56+'DMP-TRIAL-BAL-2020'!P56</f>
        <v>0</v>
      </c>
      <c r="X56" s="587">
        <f>+'NF-KSF-TRIAL-BAL-2020'!Q56+'RA-TRIAL-BAL-2020'!Q56+'DES-TRIAL-BAL-2020'!Q56+'DMP-TRIAL-BAL-2020'!Q56</f>
        <v>0</v>
      </c>
      <c r="Y56" s="586">
        <f>+'NF-KSF-TRIAL-BAL-2020'!R56+'RA-TRIAL-BAL-2020'!R56+'DES-TRIAL-BAL-2020'!R56+'DMP-TRIAL-BAL-2020'!R56</f>
        <v>0</v>
      </c>
      <c r="Z56" s="587">
        <f>+'NF-KSF-TRIAL-BAL-2020'!S56+'RA-TRIAL-BAL-2020'!S56+'DES-TRIAL-BAL-2020'!S56+'DMP-TRIAL-BAL-2020'!S56</f>
        <v>0</v>
      </c>
      <c r="AA56" s="588">
        <f>+'NF-KSF-TRIAL-BAL-2020'!T56+'RA-TRIAL-BAL-2020'!T56+'DES-TRIAL-BAL-2020'!T56+'DMP-TRIAL-BAL-2020'!T56</f>
        <v>0</v>
      </c>
      <c r="AB56" s="51"/>
      <c r="AC56" s="575">
        <v>0</v>
      </c>
      <c r="AD56" s="582">
        <v>0</v>
      </c>
      <c r="AE56" s="579">
        <v>0</v>
      </c>
      <c r="AF56" s="582">
        <v>0</v>
      </c>
      <c r="AG56" s="579">
        <v>0</v>
      </c>
      <c r="AH56" s="584">
        <v>0</v>
      </c>
      <c r="AI56" s="51"/>
      <c r="AJ56" s="1497">
        <f t="shared" ref="AJ56:AJ67" si="23">+N56</f>
        <v>1921</v>
      </c>
      <c r="AK56" s="8">
        <v>0</v>
      </c>
      <c r="AL56" s="970">
        <f t="shared" ref="AL56:AL67" si="24">+ROUND(+P56+W56+AD56,2)</f>
        <v>0</v>
      </c>
      <c r="AM56" s="326">
        <f t="shared" ref="AM56:AM67" si="25">+ROUND(+Q56+X56+AE56,2)</f>
        <v>0</v>
      </c>
      <c r="AN56" s="970">
        <f t="shared" ref="AN56:AN67" si="26">+ROUND(+R56+Y56+AF56,2)</f>
        <v>0</v>
      </c>
      <c r="AO56" s="579">
        <v>0</v>
      </c>
      <c r="AP56" s="28">
        <f t="shared" ref="AP56:AP69" si="27">+T56+AA56+AH56</f>
        <v>0</v>
      </c>
      <c r="AQ56" s="43"/>
      <c r="AR56" s="358">
        <f t="shared" ref="AR56:AR67" si="28">+ROUND(+SUM(AK56-AL56)-SUM(O56-P56)-SUM(V56-W56)-SUM(AC56-AD56),2)</f>
        <v>0</v>
      </c>
      <c r="AS56" s="359">
        <f t="shared" ref="AS56:AS67" si="29">+ROUND(+SUM(AM56-AN56)-SUM(Q56-R56)-SUM(X56-Y56)-SUM(AE56-AF56),2)</f>
        <v>0</v>
      </c>
      <c r="AT56" s="360">
        <f t="shared" ref="AT56:AT67" si="30">+ROUND(+SUM(AO56-AP56)-SUM(S56-T56)-SUM(Z56-AA56)-SUM(AG56-AH56),2)</f>
        <v>0</v>
      </c>
      <c r="AU56" s="43"/>
      <c r="AV56" s="2119">
        <f>+IF(OR(+ROUND(O56,2)+ROUND(Q56,2)&gt;ROUND(P56,2)+ROUND(R56,2),+ABS(ROUND(O56,2)+ROUND(Q56,2))&gt;+ABS(ROUND(P56,2)+ROUND(R56,2))),+(ROUND(O56,2)+ROUND(Q56,2))-(ROUND(P56,2)+ROUND(R56,2)),0)</f>
        <v>0</v>
      </c>
      <c r="AW56" s="119"/>
      <c r="AX56" s="2125">
        <f t="shared" si="10"/>
        <v>0</v>
      </c>
      <c r="AY56" s="43"/>
      <c r="AZ56" s="43"/>
      <c r="BA56" s="43"/>
      <c r="BB56" s="43"/>
      <c r="BC56" s="43"/>
      <c r="BD56" s="43"/>
    </row>
    <row r="57" spans="1:56" ht="15.75">
      <c r="A57" s="88">
        <v>1922</v>
      </c>
      <c r="B57" s="378" t="s">
        <v>861</v>
      </c>
      <c r="C57" s="1037"/>
      <c r="D57" s="1037"/>
      <c r="E57" s="1037"/>
      <c r="F57" s="1037"/>
      <c r="G57" s="1037"/>
      <c r="H57" s="1037"/>
      <c r="I57" s="1037"/>
      <c r="J57" s="1037"/>
      <c r="K57" s="1037"/>
      <c r="L57" s="590"/>
      <c r="M57" s="51" t="s">
        <v>265</v>
      </c>
      <c r="N57" s="113">
        <f t="shared" si="8"/>
        <v>1922</v>
      </c>
      <c r="O57" s="575">
        <v>0</v>
      </c>
      <c r="P57" s="576"/>
      <c r="Q57" s="325"/>
      <c r="R57" s="324"/>
      <c r="S57" s="579">
        <v>0</v>
      </c>
      <c r="T57" s="580">
        <f t="shared" si="22"/>
        <v>0</v>
      </c>
      <c r="U57" s="51"/>
      <c r="V57" s="541">
        <f>+'NF-KSF-TRIAL-BAL-2020'!O57+'RA-TRIAL-BAL-2020'!O57+'DES-TRIAL-BAL-2020'!O57+'DMP-TRIAL-BAL-2020'!O57</f>
        <v>0</v>
      </c>
      <c r="W57" s="529">
        <f>+'NF-KSF-TRIAL-BAL-2020'!P57+'RA-TRIAL-BAL-2020'!P57+'DES-TRIAL-BAL-2020'!P57+'DMP-TRIAL-BAL-2020'!P57</f>
        <v>0</v>
      </c>
      <c r="X57" s="587">
        <f>+'NF-KSF-TRIAL-BAL-2020'!Q57+'RA-TRIAL-BAL-2020'!Q57+'DES-TRIAL-BAL-2020'!Q57+'DMP-TRIAL-BAL-2020'!Q57</f>
        <v>0</v>
      </c>
      <c r="Y57" s="586">
        <f>+'NF-KSF-TRIAL-BAL-2020'!R57+'RA-TRIAL-BAL-2020'!R57+'DES-TRIAL-BAL-2020'!R57+'DMP-TRIAL-BAL-2020'!R57</f>
        <v>0</v>
      </c>
      <c r="Z57" s="587">
        <f>+'NF-KSF-TRIAL-BAL-2020'!S57+'RA-TRIAL-BAL-2020'!S57+'DES-TRIAL-BAL-2020'!S57+'DMP-TRIAL-BAL-2020'!S57</f>
        <v>0</v>
      </c>
      <c r="AA57" s="588">
        <f>+'NF-KSF-TRIAL-BAL-2020'!T57+'RA-TRIAL-BAL-2020'!T57+'DES-TRIAL-BAL-2020'!T57+'DMP-TRIAL-BAL-2020'!T57</f>
        <v>0</v>
      </c>
      <c r="AB57" s="51"/>
      <c r="AC57" s="575">
        <v>0</v>
      </c>
      <c r="AD57" s="582">
        <v>0</v>
      </c>
      <c r="AE57" s="579">
        <v>0</v>
      </c>
      <c r="AF57" s="582">
        <v>0</v>
      </c>
      <c r="AG57" s="579">
        <v>0</v>
      </c>
      <c r="AH57" s="584">
        <v>0</v>
      </c>
      <c r="AI57" s="51"/>
      <c r="AJ57" s="1497">
        <f t="shared" si="23"/>
        <v>1922</v>
      </c>
      <c r="AK57" s="8">
        <v>0</v>
      </c>
      <c r="AL57" s="970">
        <f t="shared" si="24"/>
        <v>0</v>
      </c>
      <c r="AM57" s="326">
        <f t="shared" si="25"/>
        <v>0</v>
      </c>
      <c r="AN57" s="970">
        <f t="shared" si="26"/>
        <v>0</v>
      </c>
      <c r="AO57" s="579">
        <v>0</v>
      </c>
      <c r="AP57" s="28">
        <f t="shared" si="27"/>
        <v>0</v>
      </c>
      <c r="AQ57" s="43"/>
      <c r="AR57" s="358">
        <f t="shared" si="28"/>
        <v>0</v>
      </c>
      <c r="AS57" s="359">
        <f t="shared" si="29"/>
        <v>0</v>
      </c>
      <c r="AT57" s="360">
        <f t="shared" si="30"/>
        <v>0</v>
      </c>
      <c r="AU57" s="43"/>
      <c r="AV57" s="2119">
        <f>+IF(OR(+ROUND(O57,2)+ROUND(Q57,2)&gt;ROUND(P57,2)+ROUND(R57,2),+ABS(ROUND(O57,2)+ROUND(Q57,2))&gt;+ABS(ROUND(P57,2)+ROUND(R57,2))),+(ROUND(O57,2)+ROUND(Q57,2))-(ROUND(P57,2)+ROUND(R57,2)),0)</f>
        <v>0</v>
      </c>
      <c r="AW57" s="119"/>
      <c r="AX57" s="2125">
        <f t="shared" si="10"/>
        <v>0</v>
      </c>
      <c r="AY57" s="43"/>
      <c r="AZ57" s="43"/>
      <c r="BA57" s="43"/>
      <c r="BB57" s="43"/>
      <c r="BC57" s="43"/>
      <c r="BD57" s="43"/>
    </row>
    <row r="58" spans="1:56" ht="15.75">
      <c r="A58" s="88">
        <v>1923</v>
      </c>
      <c r="B58" s="378" t="s">
        <v>220</v>
      </c>
      <c r="C58" s="1037"/>
      <c r="D58" s="1037"/>
      <c r="E58" s="1037"/>
      <c r="F58" s="1037"/>
      <c r="G58" s="1037"/>
      <c r="H58" s="1037"/>
      <c r="I58" s="1037"/>
      <c r="J58" s="1037"/>
      <c r="K58" s="1037"/>
      <c r="L58" s="590"/>
      <c r="M58" s="51" t="s">
        <v>265</v>
      </c>
      <c r="N58" s="113">
        <f t="shared" si="8"/>
        <v>1923</v>
      </c>
      <c r="O58" s="575">
        <v>0</v>
      </c>
      <c r="P58" s="576"/>
      <c r="Q58" s="325"/>
      <c r="R58" s="324"/>
      <c r="S58" s="579">
        <v>0</v>
      </c>
      <c r="T58" s="580">
        <f t="shared" si="22"/>
        <v>0</v>
      </c>
      <c r="U58" s="51"/>
      <c r="V58" s="541">
        <f>+'NF-KSF-TRIAL-BAL-2020'!O58+'RA-TRIAL-BAL-2020'!O58+'DES-TRIAL-BAL-2020'!O58+'DMP-TRIAL-BAL-2020'!O58</f>
        <v>0</v>
      </c>
      <c r="W58" s="529">
        <f>+'NF-KSF-TRIAL-BAL-2020'!P58+'RA-TRIAL-BAL-2020'!P58+'DES-TRIAL-BAL-2020'!P58+'DMP-TRIAL-BAL-2020'!P58</f>
        <v>0</v>
      </c>
      <c r="X58" s="587">
        <f>+'NF-KSF-TRIAL-BAL-2020'!Q58+'RA-TRIAL-BAL-2020'!Q58+'DES-TRIAL-BAL-2020'!Q58+'DMP-TRIAL-BAL-2020'!Q58</f>
        <v>0</v>
      </c>
      <c r="Y58" s="586">
        <f>+'NF-KSF-TRIAL-BAL-2020'!R58+'RA-TRIAL-BAL-2020'!R58+'DES-TRIAL-BAL-2020'!R58+'DMP-TRIAL-BAL-2020'!R58</f>
        <v>0</v>
      </c>
      <c r="Z58" s="587">
        <f>+'NF-KSF-TRIAL-BAL-2020'!S58+'RA-TRIAL-BAL-2020'!S58+'DES-TRIAL-BAL-2020'!S58+'DMP-TRIAL-BAL-2020'!S58</f>
        <v>0</v>
      </c>
      <c r="AA58" s="588">
        <f>+'NF-KSF-TRIAL-BAL-2020'!T58+'RA-TRIAL-BAL-2020'!T58+'DES-TRIAL-BAL-2020'!T58+'DMP-TRIAL-BAL-2020'!T58</f>
        <v>0</v>
      </c>
      <c r="AB58" s="51"/>
      <c r="AC58" s="575">
        <v>0</v>
      </c>
      <c r="AD58" s="582">
        <v>0</v>
      </c>
      <c r="AE58" s="579">
        <v>0</v>
      </c>
      <c r="AF58" s="582">
        <v>0</v>
      </c>
      <c r="AG58" s="579">
        <v>0</v>
      </c>
      <c r="AH58" s="584">
        <v>0</v>
      </c>
      <c r="AI58" s="51"/>
      <c r="AJ58" s="1497">
        <f t="shared" si="23"/>
        <v>1923</v>
      </c>
      <c r="AK58" s="8">
        <v>0</v>
      </c>
      <c r="AL58" s="970">
        <f t="shared" si="24"/>
        <v>0</v>
      </c>
      <c r="AM58" s="326">
        <f t="shared" si="25"/>
        <v>0</v>
      </c>
      <c r="AN58" s="970">
        <f t="shared" si="26"/>
        <v>0</v>
      </c>
      <c r="AO58" s="579">
        <v>0</v>
      </c>
      <c r="AP58" s="28">
        <f t="shared" si="27"/>
        <v>0</v>
      </c>
      <c r="AQ58" s="43"/>
      <c r="AR58" s="358">
        <f t="shared" si="28"/>
        <v>0</v>
      </c>
      <c r="AS58" s="359">
        <f t="shared" si="29"/>
        <v>0</v>
      </c>
      <c r="AT58" s="360">
        <f t="shared" si="30"/>
        <v>0</v>
      </c>
      <c r="AU58" s="43"/>
      <c r="AV58" s="2119">
        <f>+IF(OR(+ROUND(O58,2)+ROUND(Q58,2)&gt;ROUND(P58,2)+ROUND(R58,2),+ABS(ROUND(O58,2)+ROUND(Q58,2))&gt;+ABS(ROUND(P58,2)+ROUND(R58,2))),+(ROUND(O58,2)+ROUND(Q58,2))-(ROUND(P58,2)+ROUND(R58,2)),0)</f>
        <v>0</v>
      </c>
      <c r="AW58" s="119"/>
      <c r="AX58" s="2125">
        <f t="shared" si="10"/>
        <v>0</v>
      </c>
      <c r="AY58" s="43"/>
      <c r="AZ58" s="43"/>
      <c r="BA58" s="43"/>
      <c r="BB58" s="43"/>
      <c r="BC58" s="43"/>
      <c r="BD58" s="43"/>
    </row>
    <row r="59" spans="1:56" ht="15.75">
      <c r="A59" s="88">
        <v>1924</v>
      </c>
      <c r="B59" s="378" t="s">
        <v>221</v>
      </c>
      <c r="C59" s="1037"/>
      <c r="D59" s="1037"/>
      <c r="E59" s="1037"/>
      <c r="F59" s="1037"/>
      <c r="G59" s="1037"/>
      <c r="H59" s="1037"/>
      <c r="I59" s="1037"/>
      <c r="J59" s="1037"/>
      <c r="K59" s="1037"/>
      <c r="L59" s="590"/>
      <c r="M59" s="51" t="s">
        <v>265</v>
      </c>
      <c r="N59" s="113">
        <f t="shared" si="8"/>
        <v>1924</v>
      </c>
      <c r="O59" s="575">
        <v>0</v>
      </c>
      <c r="P59" s="576"/>
      <c r="Q59" s="325"/>
      <c r="R59" s="324"/>
      <c r="S59" s="579">
        <v>0</v>
      </c>
      <c r="T59" s="580">
        <f t="shared" si="22"/>
        <v>0</v>
      </c>
      <c r="U59" s="51"/>
      <c r="V59" s="541">
        <f>+'NF-KSF-TRIAL-BAL-2020'!O59+'RA-TRIAL-BAL-2020'!O59+'DES-TRIAL-BAL-2020'!O59+'DMP-TRIAL-BAL-2020'!O59</f>
        <v>0</v>
      </c>
      <c r="W59" s="529">
        <f>+'NF-KSF-TRIAL-BAL-2020'!P59+'RA-TRIAL-BAL-2020'!P59+'DES-TRIAL-BAL-2020'!P59+'DMP-TRIAL-BAL-2020'!P59</f>
        <v>0</v>
      </c>
      <c r="X59" s="587">
        <f>+'NF-KSF-TRIAL-BAL-2020'!Q59+'RA-TRIAL-BAL-2020'!Q59+'DES-TRIAL-BAL-2020'!Q59+'DMP-TRIAL-BAL-2020'!Q59</f>
        <v>0</v>
      </c>
      <c r="Y59" s="586">
        <f>+'NF-KSF-TRIAL-BAL-2020'!R59+'RA-TRIAL-BAL-2020'!R59+'DES-TRIAL-BAL-2020'!R59+'DMP-TRIAL-BAL-2020'!R59</f>
        <v>0</v>
      </c>
      <c r="Z59" s="587">
        <f>+'NF-KSF-TRIAL-BAL-2020'!S59+'RA-TRIAL-BAL-2020'!S59+'DES-TRIAL-BAL-2020'!S59+'DMP-TRIAL-BAL-2020'!S59</f>
        <v>0</v>
      </c>
      <c r="AA59" s="588">
        <f>+'NF-KSF-TRIAL-BAL-2020'!T59+'RA-TRIAL-BAL-2020'!T59+'DES-TRIAL-BAL-2020'!T59+'DMP-TRIAL-BAL-2020'!T59</f>
        <v>0</v>
      </c>
      <c r="AB59" s="51"/>
      <c r="AC59" s="575">
        <v>0</v>
      </c>
      <c r="AD59" s="582">
        <v>0</v>
      </c>
      <c r="AE59" s="579">
        <v>0</v>
      </c>
      <c r="AF59" s="582">
        <v>0</v>
      </c>
      <c r="AG59" s="579">
        <v>0</v>
      </c>
      <c r="AH59" s="584">
        <v>0</v>
      </c>
      <c r="AI59" s="51"/>
      <c r="AJ59" s="1497">
        <f t="shared" si="23"/>
        <v>1924</v>
      </c>
      <c r="AK59" s="8">
        <v>0</v>
      </c>
      <c r="AL59" s="970">
        <f t="shared" si="24"/>
        <v>0</v>
      </c>
      <c r="AM59" s="326">
        <f t="shared" si="25"/>
        <v>0</v>
      </c>
      <c r="AN59" s="970">
        <f t="shared" si="26"/>
        <v>0</v>
      </c>
      <c r="AO59" s="579">
        <v>0</v>
      </c>
      <c r="AP59" s="28">
        <f t="shared" si="27"/>
        <v>0</v>
      </c>
      <c r="AQ59" s="43"/>
      <c r="AR59" s="358">
        <f t="shared" si="28"/>
        <v>0</v>
      </c>
      <c r="AS59" s="359">
        <f t="shared" si="29"/>
        <v>0</v>
      </c>
      <c r="AT59" s="360">
        <f t="shared" si="30"/>
        <v>0</v>
      </c>
      <c r="AU59" s="43"/>
      <c r="AV59" s="2119">
        <f>+IF(OR(+ROUND(O59,2)+ROUND(Q59,2)&gt;ROUND(P59,2)+ROUND(R59,2),+ABS(ROUND(O59,2)+ROUND(Q59,2))&gt;+ABS(ROUND(P59,2)+ROUND(R59,2))),+(ROUND(O59,2)+ROUND(Q59,2))-(ROUND(P59,2)+ROUND(R59,2)),0)</f>
        <v>0</v>
      </c>
      <c r="AW59" s="119"/>
      <c r="AX59" s="2125">
        <f t="shared" si="10"/>
        <v>0</v>
      </c>
      <c r="AY59" s="43"/>
      <c r="AZ59" s="43"/>
      <c r="BA59" s="43"/>
      <c r="BB59" s="43"/>
      <c r="BC59" s="43"/>
      <c r="BD59" s="43"/>
    </row>
    <row r="60" spans="1:56" ht="15.75" customHeight="1">
      <c r="A60" s="88">
        <v>1927</v>
      </c>
      <c r="B60" s="378" t="s">
        <v>222</v>
      </c>
      <c r="C60" s="1038"/>
      <c r="D60" s="1038"/>
      <c r="E60" s="1038"/>
      <c r="F60" s="1038"/>
      <c r="G60" s="1038"/>
      <c r="H60" s="1038"/>
      <c r="I60" s="1038"/>
      <c r="J60" s="1038"/>
      <c r="K60" s="1038"/>
      <c r="L60" s="590"/>
      <c r="M60" s="51" t="s">
        <v>265</v>
      </c>
      <c r="N60" s="113">
        <f t="shared" si="8"/>
        <v>1927</v>
      </c>
      <c r="O60" s="581"/>
      <c r="P60" s="576"/>
      <c r="Q60" s="325"/>
      <c r="R60" s="324"/>
      <c r="S60" s="583">
        <f>+IF(ABS(+O60+Q60)&gt;=ABS(P60+R60),+O60-P60+Q60-R60,0)</f>
        <v>0</v>
      </c>
      <c r="T60" s="580">
        <f t="shared" si="22"/>
        <v>0</v>
      </c>
      <c r="U60" s="51"/>
      <c r="V60" s="541">
        <f>+'NF-KSF-TRIAL-BAL-2020'!O60+'RA-TRIAL-BAL-2020'!O60+'DES-TRIAL-BAL-2020'!O60+'DMP-TRIAL-BAL-2020'!O60</f>
        <v>0</v>
      </c>
      <c r="W60" s="529">
        <f>+'NF-KSF-TRIAL-BAL-2020'!P60+'RA-TRIAL-BAL-2020'!P60+'DES-TRIAL-BAL-2020'!P60+'DMP-TRIAL-BAL-2020'!P60</f>
        <v>0</v>
      </c>
      <c r="X60" s="587">
        <f>+'NF-KSF-TRIAL-BAL-2020'!Q60+'RA-TRIAL-BAL-2020'!Q60+'DES-TRIAL-BAL-2020'!Q60+'DMP-TRIAL-BAL-2020'!Q60</f>
        <v>0</v>
      </c>
      <c r="Y60" s="586">
        <f>+'NF-KSF-TRIAL-BAL-2020'!R60+'RA-TRIAL-BAL-2020'!R60+'DES-TRIAL-BAL-2020'!R60+'DMP-TRIAL-BAL-2020'!R60</f>
        <v>0</v>
      </c>
      <c r="Z60" s="587">
        <f>+'NF-KSF-TRIAL-BAL-2020'!S60+'RA-TRIAL-BAL-2020'!S60+'DES-TRIAL-BAL-2020'!S60+'DMP-TRIAL-BAL-2020'!S60</f>
        <v>0</v>
      </c>
      <c r="AA60" s="588">
        <f>+'NF-KSF-TRIAL-BAL-2020'!T60+'RA-TRIAL-BAL-2020'!T60+'DES-TRIAL-BAL-2020'!T60+'DMP-TRIAL-BAL-2020'!T60</f>
        <v>0</v>
      </c>
      <c r="AB60" s="51"/>
      <c r="AC60" s="575">
        <v>0</v>
      </c>
      <c r="AD60" s="582">
        <v>0</v>
      </c>
      <c r="AE60" s="579">
        <v>0</v>
      </c>
      <c r="AF60" s="582">
        <v>0</v>
      </c>
      <c r="AG60" s="579">
        <v>0</v>
      </c>
      <c r="AH60" s="584">
        <v>0</v>
      </c>
      <c r="AI60" s="51"/>
      <c r="AJ60" s="1497">
        <f t="shared" si="23"/>
        <v>1927</v>
      </c>
      <c r="AK60" s="951">
        <f>+ROUND(+O60+V60+AC60,2)</f>
        <v>0</v>
      </c>
      <c r="AL60" s="970">
        <f t="shared" si="24"/>
        <v>0</v>
      </c>
      <c r="AM60" s="326">
        <f t="shared" si="25"/>
        <v>0</v>
      </c>
      <c r="AN60" s="970">
        <f t="shared" si="26"/>
        <v>0</v>
      </c>
      <c r="AO60" s="326">
        <f>+S60+Z60+AG60</f>
        <v>0</v>
      </c>
      <c r="AP60" s="28">
        <f t="shared" si="27"/>
        <v>0</v>
      </c>
      <c r="AQ60" s="43"/>
      <c r="AR60" s="358">
        <f t="shared" si="28"/>
        <v>0</v>
      </c>
      <c r="AS60" s="359">
        <f t="shared" si="29"/>
        <v>0</v>
      </c>
      <c r="AT60" s="360">
        <f t="shared" si="30"/>
        <v>0</v>
      </c>
      <c r="AU60" s="43"/>
      <c r="AV60" s="43"/>
      <c r="AW60" s="119"/>
      <c r="AX60" s="2125">
        <f t="shared" si="10"/>
        <v>0</v>
      </c>
      <c r="AY60" s="43"/>
      <c r="AZ60" s="43"/>
      <c r="BA60" s="43"/>
      <c r="BB60" s="43"/>
      <c r="BC60" s="43"/>
      <c r="BD60" s="43"/>
    </row>
    <row r="61" spans="1:56" ht="15.75" customHeight="1">
      <c r="A61" s="88">
        <v>1928</v>
      </c>
      <c r="B61" s="378" t="s">
        <v>223</v>
      </c>
      <c r="C61" s="1038"/>
      <c r="D61" s="1038"/>
      <c r="E61" s="1038"/>
      <c r="F61" s="1038"/>
      <c r="G61" s="1038"/>
      <c r="H61" s="1038"/>
      <c r="I61" s="1038"/>
      <c r="J61" s="1038"/>
      <c r="K61" s="1038"/>
      <c r="L61" s="590"/>
      <c r="M61" s="51" t="s">
        <v>265</v>
      </c>
      <c r="N61" s="113">
        <f t="shared" si="8"/>
        <v>1928</v>
      </c>
      <c r="O61" s="581"/>
      <c r="P61" s="576"/>
      <c r="Q61" s="325"/>
      <c r="R61" s="324"/>
      <c r="S61" s="583">
        <f>+IF(ABS(+O61+Q61)&gt;=ABS(P61+R61),+O61-P61+Q61-R61,0)</f>
        <v>0</v>
      </c>
      <c r="T61" s="580">
        <f t="shared" si="22"/>
        <v>0</v>
      </c>
      <c r="U61" s="51"/>
      <c r="V61" s="541">
        <f>+'NF-KSF-TRIAL-BAL-2020'!O61+'RA-TRIAL-BAL-2020'!O61+'DES-TRIAL-BAL-2020'!O61+'DMP-TRIAL-BAL-2020'!O61</f>
        <v>0</v>
      </c>
      <c r="W61" s="529">
        <f>+'NF-KSF-TRIAL-BAL-2020'!P61+'RA-TRIAL-BAL-2020'!P61+'DES-TRIAL-BAL-2020'!P61+'DMP-TRIAL-BAL-2020'!P61</f>
        <v>0</v>
      </c>
      <c r="X61" s="587">
        <f>+'NF-KSF-TRIAL-BAL-2020'!Q61+'RA-TRIAL-BAL-2020'!Q61+'DES-TRIAL-BAL-2020'!Q61+'DMP-TRIAL-BAL-2020'!Q61</f>
        <v>0</v>
      </c>
      <c r="Y61" s="586">
        <f>+'NF-KSF-TRIAL-BAL-2020'!R61+'RA-TRIAL-BAL-2020'!R61+'DES-TRIAL-BAL-2020'!R61+'DMP-TRIAL-BAL-2020'!R61</f>
        <v>0</v>
      </c>
      <c r="Z61" s="587">
        <f>+'NF-KSF-TRIAL-BAL-2020'!S61+'RA-TRIAL-BAL-2020'!S61+'DES-TRIAL-BAL-2020'!S61+'DMP-TRIAL-BAL-2020'!S61</f>
        <v>0</v>
      </c>
      <c r="AA61" s="588">
        <f>+'NF-KSF-TRIAL-BAL-2020'!T61+'RA-TRIAL-BAL-2020'!T61+'DES-TRIAL-BAL-2020'!T61+'DMP-TRIAL-BAL-2020'!T61</f>
        <v>0</v>
      </c>
      <c r="AB61" s="51"/>
      <c r="AC61" s="575">
        <v>0</v>
      </c>
      <c r="AD61" s="582">
        <v>0</v>
      </c>
      <c r="AE61" s="579">
        <v>0</v>
      </c>
      <c r="AF61" s="582">
        <v>0</v>
      </c>
      <c r="AG61" s="579">
        <v>0</v>
      </c>
      <c r="AH61" s="584">
        <v>0</v>
      </c>
      <c r="AI61" s="51"/>
      <c r="AJ61" s="1497">
        <f t="shared" si="23"/>
        <v>1928</v>
      </c>
      <c r="AK61" s="951">
        <f>+ROUND(+O61+V61+AC61,2)</f>
        <v>0</v>
      </c>
      <c r="AL61" s="970">
        <f t="shared" si="24"/>
        <v>0</v>
      </c>
      <c r="AM61" s="326">
        <f t="shared" si="25"/>
        <v>0</v>
      </c>
      <c r="AN61" s="970">
        <f t="shared" si="26"/>
        <v>0</v>
      </c>
      <c r="AO61" s="326">
        <f>+S61+Z61+AG61</f>
        <v>0</v>
      </c>
      <c r="AP61" s="28">
        <f t="shared" si="27"/>
        <v>0</v>
      </c>
      <c r="AQ61" s="43"/>
      <c r="AR61" s="358">
        <f t="shared" si="28"/>
        <v>0</v>
      </c>
      <c r="AS61" s="359">
        <f t="shared" si="29"/>
        <v>0</v>
      </c>
      <c r="AT61" s="360">
        <f t="shared" si="30"/>
        <v>0</v>
      </c>
      <c r="AU61" s="43"/>
      <c r="AV61" s="43"/>
      <c r="AW61" s="119"/>
      <c r="AX61" s="2125">
        <f t="shared" si="10"/>
        <v>0</v>
      </c>
      <c r="AY61" s="43"/>
      <c r="AZ61" s="43"/>
      <c r="BA61" s="43"/>
      <c r="BB61" s="43"/>
      <c r="BC61" s="43"/>
      <c r="BD61" s="43"/>
    </row>
    <row r="62" spans="1:56" ht="15.75">
      <c r="A62" s="88">
        <v>1991</v>
      </c>
      <c r="B62" s="378" t="s">
        <v>855</v>
      </c>
      <c r="C62" s="1039"/>
      <c r="D62" s="1039"/>
      <c r="E62" s="1039"/>
      <c r="F62" s="1039"/>
      <c r="G62" s="1039"/>
      <c r="H62" s="1039"/>
      <c r="I62" s="1039"/>
      <c r="J62" s="1039"/>
      <c r="K62" s="1039"/>
      <c r="L62" s="574"/>
      <c r="M62" s="51" t="s">
        <v>265</v>
      </c>
      <c r="N62" s="113">
        <f t="shared" si="8"/>
        <v>1991</v>
      </c>
      <c r="O62" s="575">
        <v>0</v>
      </c>
      <c r="P62" s="576"/>
      <c r="Q62" s="325"/>
      <c r="R62" s="324"/>
      <c r="S62" s="579">
        <v>0</v>
      </c>
      <c r="T62" s="580">
        <f t="shared" si="22"/>
        <v>0</v>
      </c>
      <c r="U62" s="51"/>
      <c r="V62" s="541">
        <f>+'NF-KSF-TRIAL-BAL-2020'!O62+'RA-TRIAL-BAL-2020'!O62+'DES-TRIAL-BAL-2020'!O62+'DMP-TRIAL-BAL-2020'!O62</f>
        <v>0</v>
      </c>
      <c r="W62" s="529">
        <f>+'NF-KSF-TRIAL-BAL-2020'!P62+'RA-TRIAL-BAL-2020'!P62+'DES-TRIAL-BAL-2020'!P62+'DMP-TRIAL-BAL-2020'!P62</f>
        <v>0</v>
      </c>
      <c r="X62" s="587">
        <f>+'NF-KSF-TRIAL-BAL-2020'!Q62+'RA-TRIAL-BAL-2020'!Q62+'DES-TRIAL-BAL-2020'!Q62+'DMP-TRIAL-BAL-2020'!Q62</f>
        <v>0</v>
      </c>
      <c r="Y62" s="586">
        <f>+'NF-KSF-TRIAL-BAL-2020'!R62+'RA-TRIAL-BAL-2020'!R62+'DES-TRIAL-BAL-2020'!R62+'DMP-TRIAL-BAL-2020'!R62</f>
        <v>0</v>
      </c>
      <c r="Z62" s="587">
        <f>+'NF-KSF-TRIAL-BAL-2020'!S62+'RA-TRIAL-BAL-2020'!S62+'DES-TRIAL-BAL-2020'!S62+'DMP-TRIAL-BAL-2020'!S62</f>
        <v>0</v>
      </c>
      <c r="AA62" s="588">
        <f>+'NF-KSF-TRIAL-BAL-2020'!T62+'RA-TRIAL-BAL-2020'!T62+'DES-TRIAL-BAL-2020'!T62+'DMP-TRIAL-BAL-2020'!T62</f>
        <v>0</v>
      </c>
      <c r="AB62" s="51"/>
      <c r="AC62" s="575">
        <v>0</v>
      </c>
      <c r="AD62" s="582">
        <v>0</v>
      </c>
      <c r="AE62" s="579">
        <v>0</v>
      </c>
      <c r="AF62" s="582">
        <v>0</v>
      </c>
      <c r="AG62" s="579">
        <v>0</v>
      </c>
      <c r="AH62" s="584">
        <v>0</v>
      </c>
      <c r="AI62" s="51"/>
      <c r="AJ62" s="1497">
        <f t="shared" si="23"/>
        <v>1991</v>
      </c>
      <c r="AK62" s="8">
        <v>0</v>
      </c>
      <c r="AL62" s="970">
        <f t="shared" si="24"/>
        <v>0</v>
      </c>
      <c r="AM62" s="326">
        <f t="shared" si="25"/>
        <v>0</v>
      </c>
      <c r="AN62" s="970">
        <f t="shared" si="26"/>
        <v>0</v>
      </c>
      <c r="AO62" s="579">
        <v>0</v>
      </c>
      <c r="AP62" s="28">
        <f t="shared" si="27"/>
        <v>0</v>
      </c>
      <c r="AQ62" s="43"/>
      <c r="AR62" s="358">
        <f t="shared" si="28"/>
        <v>0</v>
      </c>
      <c r="AS62" s="359">
        <f t="shared" si="29"/>
        <v>0</v>
      </c>
      <c r="AT62" s="360">
        <f t="shared" si="30"/>
        <v>0</v>
      </c>
      <c r="AU62" s="43"/>
      <c r="AV62" s="2119">
        <f t="shared" ref="AV62:AV69" si="31">+IF(OR(+ROUND(O62,2)+ROUND(Q62,2)&gt;ROUND(P62,2)+ROUND(R62,2),+ABS(ROUND(O62,2)+ROUND(Q62,2))&gt;+ABS(ROUND(P62,2)+ROUND(R62,2))),+(ROUND(O62,2)+ROUND(Q62,2))-(ROUND(P62,2)+ROUND(R62,2)),0)</f>
        <v>0</v>
      </c>
      <c r="AW62" s="119"/>
      <c r="AX62" s="2125">
        <f t="shared" si="10"/>
        <v>0</v>
      </c>
      <c r="AY62" s="43"/>
      <c r="AZ62" s="43"/>
      <c r="BA62" s="43"/>
      <c r="BB62" s="43"/>
      <c r="BC62" s="43"/>
      <c r="BD62" s="43"/>
    </row>
    <row r="63" spans="1:56" ht="15.75">
      <c r="A63" s="88">
        <v>1992</v>
      </c>
      <c r="B63" s="378" t="s">
        <v>856</v>
      </c>
      <c r="C63" s="1039"/>
      <c r="D63" s="1039"/>
      <c r="E63" s="1039"/>
      <c r="F63" s="1039"/>
      <c r="G63" s="1039"/>
      <c r="H63" s="1039"/>
      <c r="I63" s="1039"/>
      <c r="J63" s="1039"/>
      <c r="K63" s="1039"/>
      <c r="L63" s="574"/>
      <c r="M63" s="51" t="s">
        <v>265</v>
      </c>
      <c r="N63" s="113">
        <f t="shared" si="8"/>
        <v>1992</v>
      </c>
      <c r="O63" s="575">
        <v>0</v>
      </c>
      <c r="P63" s="576"/>
      <c r="Q63" s="325"/>
      <c r="R63" s="324"/>
      <c r="S63" s="579">
        <v>0</v>
      </c>
      <c r="T63" s="580">
        <f t="shared" si="22"/>
        <v>0</v>
      </c>
      <c r="U63" s="51"/>
      <c r="V63" s="541">
        <f>+'NF-KSF-TRIAL-BAL-2020'!O63+'RA-TRIAL-BAL-2020'!O63+'DES-TRIAL-BAL-2020'!O63+'DMP-TRIAL-BAL-2020'!O63</f>
        <v>0</v>
      </c>
      <c r="W63" s="529">
        <f>+'NF-KSF-TRIAL-BAL-2020'!P63+'RA-TRIAL-BAL-2020'!P63+'DES-TRIAL-BAL-2020'!P63+'DMP-TRIAL-BAL-2020'!P63</f>
        <v>0</v>
      </c>
      <c r="X63" s="587">
        <f>+'NF-KSF-TRIAL-BAL-2020'!Q63+'RA-TRIAL-BAL-2020'!Q63+'DES-TRIAL-BAL-2020'!Q63+'DMP-TRIAL-BAL-2020'!Q63</f>
        <v>0</v>
      </c>
      <c r="Y63" s="586">
        <f>+'NF-KSF-TRIAL-BAL-2020'!R63+'RA-TRIAL-BAL-2020'!R63+'DES-TRIAL-BAL-2020'!R63+'DMP-TRIAL-BAL-2020'!R63</f>
        <v>0</v>
      </c>
      <c r="Z63" s="587">
        <f>+'NF-KSF-TRIAL-BAL-2020'!S63+'RA-TRIAL-BAL-2020'!S63+'DES-TRIAL-BAL-2020'!S63+'DMP-TRIAL-BAL-2020'!S63</f>
        <v>0</v>
      </c>
      <c r="AA63" s="588">
        <f>+'NF-KSF-TRIAL-BAL-2020'!T63+'RA-TRIAL-BAL-2020'!T63+'DES-TRIAL-BAL-2020'!T63+'DMP-TRIAL-BAL-2020'!T63</f>
        <v>0</v>
      </c>
      <c r="AB63" s="51"/>
      <c r="AC63" s="575">
        <v>0</v>
      </c>
      <c r="AD63" s="582">
        <v>0</v>
      </c>
      <c r="AE63" s="579">
        <v>0</v>
      </c>
      <c r="AF63" s="582">
        <v>0</v>
      </c>
      <c r="AG63" s="579">
        <v>0</v>
      </c>
      <c r="AH63" s="584">
        <v>0</v>
      </c>
      <c r="AI63" s="51"/>
      <c r="AJ63" s="1497">
        <f t="shared" si="23"/>
        <v>1992</v>
      </c>
      <c r="AK63" s="8">
        <v>0</v>
      </c>
      <c r="AL63" s="970">
        <f t="shared" si="24"/>
        <v>0</v>
      </c>
      <c r="AM63" s="326">
        <f t="shared" si="25"/>
        <v>0</v>
      </c>
      <c r="AN63" s="970">
        <f t="shared" si="26"/>
        <v>0</v>
      </c>
      <c r="AO63" s="579">
        <v>0</v>
      </c>
      <c r="AP63" s="28">
        <f t="shared" si="27"/>
        <v>0</v>
      </c>
      <c r="AQ63" s="43"/>
      <c r="AR63" s="358">
        <f t="shared" si="28"/>
        <v>0</v>
      </c>
      <c r="AS63" s="359">
        <f t="shared" si="29"/>
        <v>0</v>
      </c>
      <c r="AT63" s="360">
        <f t="shared" si="30"/>
        <v>0</v>
      </c>
      <c r="AU63" s="43"/>
      <c r="AV63" s="2119">
        <f t="shared" si="31"/>
        <v>0</v>
      </c>
      <c r="AW63" s="119"/>
      <c r="AX63" s="2125">
        <f t="shared" si="10"/>
        <v>0</v>
      </c>
      <c r="AY63" s="43"/>
      <c r="AZ63" s="43"/>
      <c r="BA63" s="43"/>
      <c r="BB63" s="43"/>
      <c r="BC63" s="43"/>
      <c r="BD63" s="43"/>
    </row>
    <row r="64" spans="1:56" ht="15.75" customHeight="1">
      <c r="A64" s="88">
        <v>1993</v>
      </c>
      <c r="B64" s="378" t="s">
        <v>857</v>
      </c>
      <c r="C64" s="1039"/>
      <c r="D64" s="1039"/>
      <c r="E64" s="1039"/>
      <c r="F64" s="1039"/>
      <c r="G64" s="1039"/>
      <c r="H64" s="1039"/>
      <c r="I64" s="1039"/>
      <c r="J64" s="1039"/>
      <c r="K64" s="1039"/>
      <c r="L64" s="574"/>
      <c r="M64" s="51" t="s">
        <v>265</v>
      </c>
      <c r="N64" s="113">
        <f t="shared" si="8"/>
        <v>1993</v>
      </c>
      <c r="O64" s="575">
        <v>0</v>
      </c>
      <c r="P64" s="576"/>
      <c r="Q64" s="325"/>
      <c r="R64" s="324"/>
      <c r="S64" s="579">
        <v>0</v>
      </c>
      <c r="T64" s="580">
        <f t="shared" si="22"/>
        <v>0</v>
      </c>
      <c r="U64" s="51"/>
      <c r="V64" s="541">
        <f>+'NF-KSF-TRIAL-BAL-2020'!O64+'RA-TRIAL-BAL-2020'!O64+'DES-TRIAL-BAL-2020'!O64+'DMP-TRIAL-BAL-2020'!O64</f>
        <v>0</v>
      </c>
      <c r="W64" s="529">
        <f>+'NF-KSF-TRIAL-BAL-2020'!P64+'RA-TRIAL-BAL-2020'!P64+'DES-TRIAL-BAL-2020'!P64+'DMP-TRIAL-BAL-2020'!P64</f>
        <v>0</v>
      </c>
      <c r="X64" s="587">
        <f>+'NF-KSF-TRIAL-BAL-2020'!Q64+'RA-TRIAL-BAL-2020'!Q64+'DES-TRIAL-BAL-2020'!Q64+'DMP-TRIAL-BAL-2020'!Q64</f>
        <v>0</v>
      </c>
      <c r="Y64" s="586">
        <f>+'NF-KSF-TRIAL-BAL-2020'!R64+'RA-TRIAL-BAL-2020'!R64+'DES-TRIAL-BAL-2020'!R64+'DMP-TRIAL-BAL-2020'!R64</f>
        <v>0</v>
      </c>
      <c r="Z64" s="587">
        <f>+'NF-KSF-TRIAL-BAL-2020'!S64+'RA-TRIAL-BAL-2020'!S64+'DES-TRIAL-BAL-2020'!S64+'DMP-TRIAL-BAL-2020'!S64</f>
        <v>0</v>
      </c>
      <c r="AA64" s="588">
        <f>+'NF-KSF-TRIAL-BAL-2020'!T64+'RA-TRIAL-BAL-2020'!T64+'DES-TRIAL-BAL-2020'!T64+'DMP-TRIAL-BAL-2020'!T64</f>
        <v>0</v>
      </c>
      <c r="AB64" s="51"/>
      <c r="AC64" s="575">
        <v>0</v>
      </c>
      <c r="AD64" s="582">
        <v>0</v>
      </c>
      <c r="AE64" s="579">
        <v>0</v>
      </c>
      <c r="AF64" s="582">
        <v>0</v>
      </c>
      <c r="AG64" s="579">
        <v>0</v>
      </c>
      <c r="AH64" s="584">
        <v>0</v>
      </c>
      <c r="AI64" s="51"/>
      <c r="AJ64" s="1497">
        <f t="shared" si="23"/>
        <v>1993</v>
      </c>
      <c r="AK64" s="8">
        <v>0</v>
      </c>
      <c r="AL64" s="970">
        <f t="shared" si="24"/>
        <v>0</v>
      </c>
      <c r="AM64" s="326">
        <f t="shared" si="25"/>
        <v>0</v>
      </c>
      <c r="AN64" s="970">
        <f t="shared" si="26"/>
        <v>0</v>
      </c>
      <c r="AO64" s="579">
        <v>0</v>
      </c>
      <c r="AP64" s="28">
        <f t="shared" si="27"/>
        <v>0</v>
      </c>
      <c r="AQ64" s="43"/>
      <c r="AR64" s="358">
        <f t="shared" si="28"/>
        <v>0</v>
      </c>
      <c r="AS64" s="359">
        <f t="shared" si="29"/>
        <v>0</v>
      </c>
      <c r="AT64" s="360">
        <f t="shared" si="30"/>
        <v>0</v>
      </c>
      <c r="AU64" s="43"/>
      <c r="AV64" s="2119">
        <f t="shared" si="31"/>
        <v>0</v>
      </c>
      <c r="AW64" s="119"/>
      <c r="AX64" s="2125">
        <f t="shared" si="10"/>
        <v>0</v>
      </c>
      <c r="AY64" s="43"/>
      <c r="AZ64" s="43"/>
      <c r="BA64" s="43"/>
      <c r="BB64" s="43"/>
      <c r="BC64" s="43"/>
      <c r="BD64" s="43"/>
    </row>
    <row r="65" spans="1:56" ht="15.75" customHeight="1">
      <c r="A65" s="88">
        <v>1994</v>
      </c>
      <c r="B65" s="378" t="s">
        <v>858</v>
      </c>
      <c r="C65" s="1039"/>
      <c r="D65" s="1039"/>
      <c r="E65" s="1039"/>
      <c r="F65" s="1039"/>
      <c r="G65" s="1039"/>
      <c r="H65" s="1039"/>
      <c r="I65" s="1039"/>
      <c r="J65" s="1039"/>
      <c r="K65" s="1039"/>
      <c r="L65" s="574"/>
      <c r="M65" s="51" t="s">
        <v>265</v>
      </c>
      <c r="N65" s="113">
        <f t="shared" si="8"/>
        <v>1994</v>
      </c>
      <c r="O65" s="575">
        <v>0</v>
      </c>
      <c r="P65" s="576"/>
      <c r="Q65" s="325"/>
      <c r="R65" s="324"/>
      <c r="S65" s="579">
        <v>0</v>
      </c>
      <c r="T65" s="580">
        <f t="shared" si="22"/>
        <v>0</v>
      </c>
      <c r="U65" s="51"/>
      <c r="V65" s="541">
        <f>+'NF-KSF-TRIAL-BAL-2020'!O65+'RA-TRIAL-BAL-2020'!O65+'DES-TRIAL-BAL-2020'!O65+'DMP-TRIAL-BAL-2020'!O65</f>
        <v>0</v>
      </c>
      <c r="W65" s="529">
        <f>+'NF-KSF-TRIAL-BAL-2020'!P65+'RA-TRIAL-BAL-2020'!P65+'DES-TRIAL-BAL-2020'!P65+'DMP-TRIAL-BAL-2020'!P65</f>
        <v>0</v>
      </c>
      <c r="X65" s="587">
        <f>+'NF-KSF-TRIAL-BAL-2020'!Q65+'RA-TRIAL-BAL-2020'!Q65+'DES-TRIAL-BAL-2020'!Q65+'DMP-TRIAL-BAL-2020'!Q65</f>
        <v>0</v>
      </c>
      <c r="Y65" s="586">
        <f>+'NF-KSF-TRIAL-BAL-2020'!R65+'RA-TRIAL-BAL-2020'!R65+'DES-TRIAL-BAL-2020'!R65+'DMP-TRIAL-BAL-2020'!R65</f>
        <v>0</v>
      </c>
      <c r="Z65" s="587">
        <f>+'NF-KSF-TRIAL-BAL-2020'!S65+'RA-TRIAL-BAL-2020'!S65+'DES-TRIAL-BAL-2020'!S65+'DMP-TRIAL-BAL-2020'!S65</f>
        <v>0</v>
      </c>
      <c r="AA65" s="588">
        <f>+'NF-KSF-TRIAL-BAL-2020'!T65+'RA-TRIAL-BAL-2020'!T65+'DES-TRIAL-BAL-2020'!T65+'DMP-TRIAL-BAL-2020'!T65</f>
        <v>0</v>
      </c>
      <c r="AB65" s="51"/>
      <c r="AC65" s="575">
        <v>0</v>
      </c>
      <c r="AD65" s="582">
        <v>0</v>
      </c>
      <c r="AE65" s="579">
        <v>0</v>
      </c>
      <c r="AF65" s="582">
        <v>0</v>
      </c>
      <c r="AG65" s="579">
        <v>0</v>
      </c>
      <c r="AH65" s="584">
        <v>0</v>
      </c>
      <c r="AI65" s="51"/>
      <c r="AJ65" s="1497">
        <f t="shared" si="23"/>
        <v>1994</v>
      </c>
      <c r="AK65" s="8">
        <v>0</v>
      </c>
      <c r="AL65" s="970">
        <f t="shared" si="24"/>
        <v>0</v>
      </c>
      <c r="AM65" s="326">
        <f t="shared" si="25"/>
        <v>0</v>
      </c>
      <c r="AN65" s="970">
        <f t="shared" si="26"/>
        <v>0</v>
      </c>
      <c r="AO65" s="579">
        <v>0</v>
      </c>
      <c r="AP65" s="28">
        <f t="shared" si="27"/>
        <v>0</v>
      </c>
      <c r="AQ65" s="43"/>
      <c r="AR65" s="358">
        <f t="shared" si="28"/>
        <v>0</v>
      </c>
      <c r="AS65" s="359">
        <f t="shared" si="29"/>
        <v>0</v>
      </c>
      <c r="AT65" s="360">
        <f t="shared" si="30"/>
        <v>0</v>
      </c>
      <c r="AU65" s="43"/>
      <c r="AV65" s="2119">
        <f t="shared" si="31"/>
        <v>0</v>
      </c>
      <c r="AW65" s="119"/>
      <c r="AX65" s="2125">
        <f t="shared" si="10"/>
        <v>0</v>
      </c>
      <c r="AY65" s="43"/>
      <c r="AZ65" s="43"/>
      <c r="BA65" s="43"/>
      <c r="BB65" s="43"/>
      <c r="BC65" s="43"/>
      <c r="BD65" s="43"/>
    </row>
    <row r="66" spans="1:56" ht="15.75">
      <c r="A66" s="88">
        <v>1995</v>
      </c>
      <c r="B66" s="378" t="s">
        <v>859</v>
      </c>
      <c r="C66" s="1039"/>
      <c r="D66" s="1039"/>
      <c r="E66" s="1039"/>
      <c r="F66" s="1039"/>
      <c r="G66" s="1039"/>
      <c r="H66" s="1039"/>
      <c r="I66" s="1039"/>
      <c r="J66" s="1039"/>
      <c r="K66" s="1039"/>
      <c r="L66" s="574"/>
      <c r="M66" s="51" t="s">
        <v>265</v>
      </c>
      <c r="N66" s="113">
        <f t="shared" si="8"/>
        <v>1995</v>
      </c>
      <c r="O66" s="575">
        <v>0</v>
      </c>
      <c r="P66" s="576"/>
      <c r="Q66" s="325"/>
      <c r="R66" s="324"/>
      <c r="S66" s="579">
        <v>0</v>
      </c>
      <c r="T66" s="580">
        <f t="shared" si="22"/>
        <v>0</v>
      </c>
      <c r="U66" s="51"/>
      <c r="V66" s="541">
        <f>+'NF-KSF-TRIAL-BAL-2020'!O66+'RA-TRIAL-BAL-2020'!O66+'DES-TRIAL-BAL-2020'!O66+'DMP-TRIAL-BAL-2020'!O66</f>
        <v>0</v>
      </c>
      <c r="W66" s="529">
        <f>+'NF-KSF-TRIAL-BAL-2020'!P66+'RA-TRIAL-BAL-2020'!P66+'DES-TRIAL-BAL-2020'!P66+'DMP-TRIAL-BAL-2020'!P66</f>
        <v>0</v>
      </c>
      <c r="X66" s="587">
        <f>+'NF-KSF-TRIAL-BAL-2020'!Q66+'RA-TRIAL-BAL-2020'!Q66+'DES-TRIAL-BAL-2020'!Q66+'DMP-TRIAL-BAL-2020'!Q66</f>
        <v>0</v>
      </c>
      <c r="Y66" s="586">
        <f>+'NF-KSF-TRIAL-BAL-2020'!R66+'RA-TRIAL-BAL-2020'!R66+'DES-TRIAL-BAL-2020'!R66+'DMP-TRIAL-BAL-2020'!R66</f>
        <v>0</v>
      </c>
      <c r="Z66" s="587">
        <f>+'NF-KSF-TRIAL-BAL-2020'!S66+'RA-TRIAL-BAL-2020'!S66+'DES-TRIAL-BAL-2020'!S66+'DMP-TRIAL-BAL-2020'!S66</f>
        <v>0</v>
      </c>
      <c r="AA66" s="588">
        <f>+'NF-KSF-TRIAL-BAL-2020'!T66+'RA-TRIAL-BAL-2020'!T66+'DES-TRIAL-BAL-2020'!T66+'DMP-TRIAL-BAL-2020'!T66</f>
        <v>0</v>
      </c>
      <c r="AB66" s="51"/>
      <c r="AC66" s="575">
        <v>0</v>
      </c>
      <c r="AD66" s="582">
        <v>0</v>
      </c>
      <c r="AE66" s="579">
        <v>0</v>
      </c>
      <c r="AF66" s="582">
        <v>0</v>
      </c>
      <c r="AG66" s="579">
        <v>0</v>
      </c>
      <c r="AH66" s="584">
        <v>0</v>
      </c>
      <c r="AI66" s="51"/>
      <c r="AJ66" s="1497">
        <f t="shared" si="23"/>
        <v>1995</v>
      </c>
      <c r="AK66" s="8">
        <v>0</v>
      </c>
      <c r="AL66" s="970">
        <f t="shared" si="24"/>
        <v>0</v>
      </c>
      <c r="AM66" s="326">
        <f t="shared" si="25"/>
        <v>0</v>
      </c>
      <c r="AN66" s="970">
        <f t="shared" si="26"/>
        <v>0</v>
      </c>
      <c r="AO66" s="579">
        <v>0</v>
      </c>
      <c r="AP66" s="28">
        <f t="shared" si="27"/>
        <v>0</v>
      </c>
      <c r="AQ66" s="43"/>
      <c r="AR66" s="358">
        <f t="shared" si="28"/>
        <v>0</v>
      </c>
      <c r="AS66" s="359">
        <f t="shared" si="29"/>
        <v>0</v>
      </c>
      <c r="AT66" s="360">
        <f t="shared" si="30"/>
        <v>0</v>
      </c>
      <c r="AU66" s="43"/>
      <c r="AV66" s="2119">
        <f t="shared" si="31"/>
        <v>0</v>
      </c>
      <c r="AW66" s="119"/>
      <c r="AX66" s="2125">
        <f t="shared" si="10"/>
        <v>0</v>
      </c>
      <c r="AY66" s="43"/>
      <c r="AZ66" s="43"/>
      <c r="BA66" s="43"/>
      <c r="BB66" s="43"/>
      <c r="BC66" s="43"/>
      <c r="BD66" s="43"/>
    </row>
    <row r="67" spans="1:56" ht="15.75">
      <c r="A67" s="88">
        <v>1996</v>
      </c>
      <c r="B67" s="378" t="s">
        <v>972</v>
      </c>
      <c r="C67" s="1039"/>
      <c r="D67" s="1039"/>
      <c r="E67" s="1039"/>
      <c r="F67" s="1039"/>
      <c r="G67" s="1039"/>
      <c r="H67" s="1039"/>
      <c r="I67" s="1039"/>
      <c r="J67" s="1039"/>
      <c r="K67" s="1039"/>
      <c r="L67" s="574"/>
      <c r="M67" s="51" t="s">
        <v>265</v>
      </c>
      <c r="N67" s="113">
        <f t="shared" si="8"/>
        <v>1996</v>
      </c>
      <c r="O67" s="575">
        <v>0</v>
      </c>
      <c r="P67" s="576"/>
      <c r="Q67" s="325"/>
      <c r="R67" s="324"/>
      <c r="S67" s="579">
        <v>0</v>
      </c>
      <c r="T67" s="580">
        <f t="shared" si="22"/>
        <v>0</v>
      </c>
      <c r="U67" s="51"/>
      <c r="V67" s="541">
        <f>+'NF-KSF-TRIAL-BAL-2020'!O67+'RA-TRIAL-BAL-2020'!O67+'DES-TRIAL-BAL-2020'!O67+'DMP-TRIAL-BAL-2020'!O67</f>
        <v>0</v>
      </c>
      <c r="W67" s="529">
        <f>+'NF-KSF-TRIAL-BAL-2020'!P67+'RA-TRIAL-BAL-2020'!P67+'DES-TRIAL-BAL-2020'!P67+'DMP-TRIAL-BAL-2020'!P67</f>
        <v>0</v>
      </c>
      <c r="X67" s="587">
        <f>+'NF-KSF-TRIAL-BAL-2020'!Q67+'RA-TRIAL-BAL-2020'!Q67+'DES-TRIAL-BAL-2020'!Q67+'DMP-TRIAL-BAL-2020'!Q67</f>
        <v>0</v>
      </c>
      <c r="Y67" s="586">
        <f>+'NF-KSF-TRIAL-BAL-2020'!R67+'RA-TRIAL-BAL-2020'!R67+'DES-TRIAL-BAL-2020'!R67+'DMP-TRIAL-BAL-2020'!R67</f>
        <v>0</v>
      </c>
      <c r="Z67" s="587">
        <f>+'NF-KSF-TRIAL-BAL-2020'!S67+'RA-TRIAL-BAL-2020'!S67+'DES-TRIAL-BAL-2020'!S67+'DMP-TRIAL-BAL-2020'!S67</f>
        <v>0</v>
      </c>
      <c r="AA67" s="588">
        <f>+'NF-KSF-TRIAL-BAL-2020'!T67+'RA-TRIAL-BAL-2020'!T67+'DES-TRIAL-BAL-2020'!T67+'DMP-TRIAL-BAL-2020'!T67</f>
        <v>0</v>
      </c>
      <c r="AB67" s="51"/>
      <c r="AC67" s="575">
        <v>0</v>
      </c>
      <c r="AD67" s="582">
        <v>0</v>
      </c>
      <c r="AE67" s="579">
        <v>0</v>
      </c>
      <c r="AF67" s="582">
        <v>0</v>
      </c>
      <c r="AG67" s="579">
        <v>0</v>
      </c>
      <c r="AH67" s="584">
        <v>0</v>
      </c>
      <c r="AI67" s="51"/>
      <c r="AJ67" s="1497">
        <f t="shared" si="23"/>
        <v>1996</v>
      </c>
      <c r="AK67" s="8">
        <v>0</v>
      </c>
      <c r="AL67" s="970">
        <f t="shared" si="24"/>
        <v>0</v>
      </c>
      <c r="AM67" s="326">
        <f t="shared" si="25"/>
        <v>0</v>
      </c>
      <c r="AN67" s="970">
        <f t="shared" si="26"/>
        <v>0</v>
      </c>
      <c r="AO67" s="579">
        <v>0</v>
      </c>
      <c r="AP67" s="28">
        <f t="shared" si="27"/>
        <v>0</v>
      </c>
      <c r="AQ67" s="43"/>
      <c r="AR67" s="358">
        <f t="shared" si="28"/>
        <v>0</v>
      </c>
      <c r="AS67" s="359">
        <f t="shared" si="29"/>
        <v>0</v>
      </c>
      <c r="AT67" s="360">
        <f t="shared" si="30"/>
        <v>0</v>
      </c>
      <c r="AU67" s="43"/>
      <c r="AV67" s="2119">
        <f t="shared" si="31"/>
        <v>0</v>
      </c>
      <c r="AW67" s="119"/>
      <c r="AX67" s="2125">
        <f t="shared" si="10"/>
        <v>0</v>
      </c>
      <c r="AY67" s="43"/>
      <c r="AZ67" s="43"/>
      <c r="BA67" s="43"/>
      <c r="BB67" s="43"/>
      <c r="BC67" s="43"/>
      <c r="BD67" s="43"/>
    </row>
    <row r="68" spans="1:56" ht="15.75">
      <c r="A68" s="88">
        <v>1997</v>
      </c>
      <c r="B68" s="378" t="s">
        <v>224</v>
      </c>
      <c r="C68" s="1033"/>
      <c r="D68" s="1033"/>
      <c r="E68" s="1033"/>
      <c r="F68" s="1033"/>
      <c r="G68" s="1033"/>
      <c r="H68" s="1033"/>
      <c r="I68" s="1033"/>
      <c r="J68" s="1033"/>
      <c r="K68" s="1033"/>
      <c r="L68" s="90"/>
      <c r="M68" s="51" t="s">
        <v>265</v>
      </c>
      <c r="N68" s="113">
        <f t="shared" si="8"/>
        <v>1997</v>
      </c>
      <c r="O68" s="8">
        <v>0</v>
      </c>
      <c r="P68" s="121"/>
      <c r="Q68" s="325"/>
      <c r="R68" s="324"/>
      <c r="S68" s="29">
        <v>0</v>
      </c>
      <c r="T68" s="28">
        <f>+IF(ABS(+O68+Q68)&lt;=ABS(P68+R68),-O68+P68-Q68+R68,0)</f>
        <v>0</v>
      </c>
      <c r="U68" s="51"/>
      <c r="V68" s="541">
        <f>+'NF-KSF-TRIAL-BAL-2020'!O68+'RA-TRIAL-BAL-2020'!O68+'DES-TRIAL-BAL-2020'!O68+'DMP-TRIAL-BAL-2020'!O68</f>
        <v>0</v>
      </c>
      <c r="W68" s="529">
        <f>+'NF-KSF-TRIAL-BAL-2020'!P68+'RA-TRIAL-BAL-2020'!P68+'DES-TRIAL-BAL-2020'!P68+'DMP-TRIAL-BAL-2020'!P68</f>
        <v>0</v>
      </c>
      <c r="X68" s="528">
        <f>+'NF-KSF-TRIAL-BAL-2020'!Q68+'RA-TRIAL-BAL-2020'!Q68+'DES-TRIAL-BAL-2020'!Q68+'DMP-TRIAL-BAL-2020'!Q68</f>
        <v>0</v>
      </c>
      <c r="Y68" s="529">
        <f>+'NF-KSF-TRIAL-BAL-2020'!R68+'RA-TRIAL-BAL-2020'!R68+'DES-TRIAL-BAL-2020'!R68+'DMP-TRIAL-BAL-2020'!R68</f>
        <v>0</v>
      </c>
      <c r="Z68" s="528">
        <f>+'NF-KSF-TRIAL-BAL-2020'!S68+'RA-TRIAL-BAL-2020'!S68+'DES-TRIAL-BAL-2020'!S68+'DMP-TRIAL-BAL-2020'!S68</f>
        <v>0</v>
      </c>
      <c r="AA68" s="347">
        <f>+'NF-KSF-TRIAL-BAL-2020'!T68+'RA-TRIAL-BAL-2020'!T68+'DES-TRIAL-BAL-2020'!T68+'DMP-TRIAL-BAL-2020'!T68</f>
        <v>0</v>
      </c>
      <c r="AB68" s="51"/>
      <c r="AC68" s="575">
        <v>0</v>
      </c>
      <c r="AD68" s="582">
        <v>0</v>
      </c>
      <c r="AE68" s="579">
        <v>0</v>
      </c>
      <c r="AF68" s="582">
        <v>0</v>
      </c>
      <c r="AG68" s="579">
        <v>0</v>
      </c>
      <c r="AH68" s="584">
        <v>0</v>
      </c>
      <c r="AI68" s="51"/>
      <c r="AJ68" s="1497">
        <f t="shared" ref="AJ68:AJ79" si="32">+N68</f>
        <v>1997</v>
      </c>
      <c r="AK68" s="8">
        <v>0</v>
      </c>
      <c r="AL68" s="970">
        <f t="shared" ref="AL68:AN69" si="33">+ROUND(+P68+W68+AD68,2)</f>
        <v>0</v>
      </c>
      <c r="AM68" s="326">
        <f t="shared" si="33"/>
        <v>0</v>
      </c>
      <c r="AN68" s="970">
        <f t="shared" si="33"/>
        <v>0</v>
      </c>
      <c r="AO68" s="29">
        <v>0</v>
      </c>
      <c r="AP68" s="28">
        <f t="shared" si="27"/>
        <v>0</v>
      </c>
      <c r="AQ68" s="43"/>
      <c r="AR68" s="358">
        <f>+ROUND(+SUM(AK68-AL68)-SUM(O68-P68)-SUM(V68-W68)-SUM(AC68-AD68),2)</f>
        <v>0</v>
      </c>
      <c r="AS68" s="359">
        <f>+ROUND(+SUM(AM68-AN68)-SUM(Q68-R68)-SUM(X68-Y68)-SUM(AE68-AF68),2)</f>
        <v>0</v>
      </c>
      <c r="AT68" s="360">
        <f>+ROUND(+SUM(AO68-AP68)-SUM(S68-T68)-SUM(Z68-AA68)-SUM(AG68-AH68),2)</f>
        <v>0</v>
      </c>
      <c r="AU68" s="43"/>
      <c r="AV68" s="2119">
        <f t="shared" si="31"/>
        <v>0</v>
      </c>
      <c r="AW68" s="119"/>
      <c r="AX68" s="2125">
        <f t="shared" si="10"/>
        <v>0</v>
      </c>
      <c r="AY68" s="43"/>
      <c r="AZ68" s="43"/>
      <c r="BA68" s="43"/>
      <c r="BB68" s="43"/>
      <c r="BC68" s="43"/>
      <c r="BD68" s="43"/>
    </row>
    <row r="69" spans="1:56" ht="15.75">
      <c r="A69" s="88">
        <v>1998</v>
      </c>
      <c r="B69" s="378" t="s">
        <v>225</v>
      </c>
      <c r="C69" s="101"/>
      <c r="D69" s="101"/>
      <c r="E69" s="101"/>
      <c r="F69" s="101"/>
      <c r="G69" s="101"/>
      <c r="H69" s="101"/>
      <c r="I69" s="101"/>
      <c r="J69" s="101"/>
      <c r="K69" s="101"/>
      <c r="L69" s="102"/>
      <c r="M69" s="51" t="s">
        <v>265</v>
      </c>
      <c r="N69" s="116">
        <f t="shared" si="8"/>
        <v>1998</v>
      </c>
      <c r="O69" s="55">
        <v>0</v>
      </c>
      <c r="P69" s="127"/>
      <c r="Q69" s="325"/>
      <c r="R69" s="324"/>
      <c r="S69" s="382">
        <v>0</v>
      </c>
      <c r="T69" s="57">
        <f>+IF(ABS(+O69+Q69)&lt;=ABS(P69+R69),-O69+P69-Q69+R69,0)</f>
        <v>0</v>
      </c>
      <c r="U69" s="51"/>
      <c r="V69" s="544">
        <f>+'NF-KSF-TRIAL-BAL-2020'!O69+'RA-TRIAL-BAL-2020'!O69+'DES-TRIAL-BAL-2020'!O69+'DMP-TRIAL-BAL-2020'!O69</f>
        <v>0</v>
      </c>
      <c r="W69" s="542">
        <f>+'NF-KSF-TRIAL-BAL-2020'!P69+'RA-TRIAL-BAL-2020'!P69+'DES-TRIAL-BAL-2020'!P69+'DMP-TRIAL-BAL-2020'!P69</f>
        <v>0</v>
      </c>
      <c r="X69" s="530">
        <f>+'NF-KSF-TRIAL-BAL-2020'!Q69+'RA-TRIAL-BAL-2020'!Q69+'DES-TRIAL-BAL-2020'!Q69+'DMP-TRIAL-BAL-2020'!Q69</f>
        <v>0</v>
      </c>
      <c r="Y69" s="542">
        <f>+'NF-KSF-TRIAL-BAL-2020'!R69+'RA-TRIAL-BAL-2020'!R69+'DES-TRIAL-BAL-2020'!R69+'DMP-TRIAL-BAL-2020'!R69</f>
        <v>0</v>
      </c>
      <c r="Z69" s="530">
        <f>+'NF-KSF-TRIAL-BAL-2020'!S69+'RA-TRIAL-BAL-2020'!S69+'DES-TRIAL-BAL-2020'!S69+'DMP-TRIAL-BAL-2020'!S69</f>
        <v>0</v>
      </c>
      <c r="AA69" s="531">
        <f>+'NF-KSF-TRIAL-BAL-2020'!T69+'RA-TRIAL-BAL-2020'!T69+'DES-TRIAL-BAL-2020'!T69+'DMP-TRIAL-BAL-2020'!T69</f>
        <v>0</v>
      </c>
      <c r="AB69" s="51"/>
      <c r="AC69" s="575">
        <v>0</v>
      </c>
      <c r="AD69" s="582">
        <v>0</v>
      </c>
      <c r="AE69" s="579">
        <v>0</v>
      </c>
      <c r="AF69" s="582">
        <v>0</v>
      </c>
      <c r="AG69" s="579">
        <v>0</v>
      </c>
      <c r="AH69" s="584">
        <v>0</v>
      </c>
      <c r="AI69" s="51"/>
      <c r="AJ69" s="1498">
        <f t="shared" si="32"/>
        <v>1998</v>
      </c>
      <c r="AK69" s="55">
        <v>0</v>
      </c>
      <c r="AL69" s="1499">
        <f t="shared" si="33"/>
        <v>0</v>
      </c>
      <c r="AM69" s="1057">
        <f t="shared" si="33"/>
        <v>0</v>
      </c>
      <c r="AN69" s="1499">
        <f t="shared" si="33"/>
        <v>0</v>
      </c>
      <c r="AO69" s="382">
        <v>0</v>
      </c>
      <c r="AP69" s="28">
        <f t="shared" si="27"/>
        <v>0</v>
      </c>
      <c r="AQ69" s="43"/>
      <c r="AR69" s="389">
        <f>+ROUND(+SUM(AK69-AL69)-SUM(O69-P69)-SUM(V69-W69)-SUM(AC69-AD69),2)</f>
        <v>0</v>
      </c>
      <c r="AS69" s="390">
        <f>+ROUND(+SUM(AM69-AN69)-SUM(Q69-R69)-SUM(X69-Y69)-SUM(AE69-AF69),2)</f>
        <v>0</v>
      </c>
      <c r="AT69" s="391">
        <f>+ROUND(+SUM(AO69-AP69)-SUM(S69-T69)-SUM(Z69-AA69)-SUM(AG69-AH69),2)</f>
        <v>0</v>
      </c>
      <c r="AU69" s="43"/>
      <c r="AV69" s="2119">
        <f t="shared" si="31"/>
        <v>0</v>
      </c>
      <c r="AW69" s="119"/>
      <c r="AX69" s="2125">
        <f t="shared" si="10"/>
        <v>0</v>
      </c>
      <c r="AY69" s="43"/>
      <c r="AZ69" s="43"/>
      <c r="BA69" s="43"/>
      <c r="BB69" s="43"/>
      <c r="BC69" s="43"/>
      <c r="BD69" s="43"/>
    </row>
    <row r="70" spans="1:56" ht="15.75">
      <c r="A70" s="379" t="s">
        <v>811</v>
      </c>
      <c r="B70" s="380"/>
      <c r="C70" s="380"/>
      <c r="D70" s="380"/>
      <c r="E70" s="380"/>
      <c r="F70" s="380"/>
      <c r="G70" s="380"/>
      <c r="H70" s="380"/>
      <c r="I70" s="380"/>
      <c r="J70" s="380"/>
      <c r="K70" s="380"/>
      <c r="L70" s="381"/>
      <c r="M70" s="51" t="s">
        <v>265</v>
      </c>
      <c r="N70" s="383">
        <v>2</v>
      </c>
      <c r="O70" s="384"/>
      <c r="P70" s="385"/>
      <c r="Q70" s="386"/>
      <c r="R70" s="385"/>
      <c r="S70" s="386"/>
      <c r="T70" s="387"/>
      <c r="U70" s="51"/>
      <c r="V70" s="545"/>
      <c r="W70" s="533"/>
      <c r="X70" s="532"/>
      <c r="Y70" s="533"/>
      <c r="Z70" s="532"/>
      <c r="AA70" s="534"/>
      <c r="AB70" s="51"/>
      <c r="AC70" s="384"/>
      <c r="AD70" s="385"/>
      <c r="AE70" s="386"/>
      <c r="AF70" s="385"/>
      <c r="AG70" s="386"/>
      <c r="AH70" s="387"/>
      <c r="AI70" s="51"/>
      <c r="AJ70" s="388">
        <f t="shared" si="32"/>
        <v>2</v>
      </c>
      <c r="AK70" s="384"/>
      <c r="AL70" s="385"/>
      <c r="AM70" s="386"/>
      <c r="AN70" s="385"/>
      <c r="AO70" s="386"/>
      <c r="AP70" s="387"/>
      <c r="AQ70" s="43"/>
      <c r="AR70" s="392"/>
      <c r="AS70" s="393"/>
      <c r="AT70" s="394"/>
      <c r="AU70" s="43"/>
      <c r="AV70" s="43"/>
      <c r="AW70" s="119"/>
      <c r="AX70" s="119"/>
      <c r="AY70" s="43"/>
      <c r="AZ70" s="43"/>
      <c r="BA70" s="43"/>
      <c r="BB70" s="43"/>
      <c r="BC70" s="43"/>
      <c r="BD70" s="43"/>
    </row>
    <row r="71" spans="1:56" ht="15.75">
      <c r="A71" s="85">
        <v>2010</v>
      </c>
      <c r="B71" s="86" t="s">
        <v>973</v>
      </c>
      <c r="C71" s="86"/>
      <c r="D71" s="86"/>
      <c r="E71" s="86"/>
      <c r="F71" s="86"/>
      <c r="G71" s="86"/>
      <c r="H71" s="86"/>
      <c r="I71" s="86"/>
      <c r="J71" s="86"/>
      <c r="K71" s="86"/>
      <c r="L71" s="87"/>
      <c r="M71" s="51" t="s">
        <v>265</v>
      </c>
      <c r="N71" s="112">
        <f>+A71</f>
        <v>2010</v>
      </c>
      <c r="O71" s="323"/>
      <c r="P71" s="329">
        <v>0</v>
      </c>
      <c r="Q71" s="325"/>
      <c r="R71" s="324"/>
      <c r="S71" s="326">
        <f t="shared" ref="S71:S89" si="34">+IF(ABS(+O71+Q71)&gt;=ABS(P71+R71),+O71-P71+Q71-R71,0)</f>
        <v>0</v>
      </c>
      <c r="T71" s="331">
        <v>0</v>
      </c>
      <c r="U71" s="51"/>
      <c r="V71" s="543">
        <f>+'NF-KSF-TRIAL-BAL-2020'!O71+'RA-TRIAL-BAL-2020'!O71+'DES-TRIAL-BAL-2020'!O71+'DMP-TRIAL-BAL-2020'!O71</f>
        <v>0</v>
      </c>
      <c r="W71" s="526">
        <f>+'NF-KSF-TRIAL-BAL-2020'!P71+'RA-TRIAL-BAL-2020'!P71+'DES-TRIAL-BAL-2020'!P71+'DMP-TRIAL-BAL-2020'!P71</f>
        <v>0</v>
      </c>
      <c r="X71" s="525">
        <f>+'NF-KSF-TRIAL-BAL-2020'!Q71+'RA-TRIAL-BAL-2020'!Q71+'DES-TRIAL-BAL-2020'!Q71+'DMP-TRIAL-BAL-2020'!Q71</f>
        <v>0</v>
      </c>
      <c r="Y71" s="526">
        <f>+'NF-KSF-TRIAL-BAL-2020'!R71+'RA-TRIAL-BAL-2020'!R71+'DES-TRIAL-BAL-2020'!R71+'DMP-TRIAL-BAL-2020'!R71</f>
        <v>0</v>
      </c>
      <c r="Z71" s="525">
        <f>+'NF-KSF-TRIAL-BAL-2020'!S71+'RA-TRIAL-BAL-2020'!S71+'DES-TRIAL-BAL-2020'!S71+'DMP-TRIAL-BAL-2020'!S71</f>
        <v>0</v>
      </c>
      <c r="AA71" s="527">
        <f>+'NF-KSF-TRIAL-BAL-2020'!T71+'RA-TRIAL-BAL-2020'!T71+'DES-TRIAL-BAL-2020'!T71+'DMP-TRIAL-BAL-2020'!T71</f>
        <v>0</v>
      </c>
      <c r="AB71" s="51"/>
      <c r="AC71" s="323"/>
      <c r="AD71" s="329">
        <v>0</v>
      </c>
      <c r="AE71" s="325"/>
      <c r="AF71" s="324"/>
      <c r="AG71" s="326">
        <f>+IF(ABS(+AC71+AE71)&gt;=ABS(AD71+AF71),+AC71-AD71+AE71-AF71,0)</f>
        <v>0</v>
      </c>
      <c r="AH71" s="331">
        <v>0</v>
      </c>
      <c r="AI71" s="51"/>
      <c r="AJ71" s="1496">
        <f t="shared" si="32"/>
        <v>2010</v>
      </c>
      <c r="AK71" s="951">
        <f>+ROUND(+O71+V71+AC71,2)</f>
        <v>0</v>
      </c>
      <c r="AL71" s="329">
        <v>0</v>
      </c>
      <c r="AM71" s="326">
        <f>+ROUND(+Q71+X71+AE71,2)</f>
        <v>0</v>
      </c>
      <c r="AN71" s="970">
        <f>+ROUND(+R71+Y71+AF71,2)</f>
        <v>0</v>
      </c>
      <c r="AO71" s="326">
        <f t="shared" ref="AO71:AO93" si="35">+S71+Z71+AG71</f>
        <v>0</v>
      </c>
      <c r="AP71" s="331">
        <v>0</v>
      </c>
      <c r="AQ71" s="43"/>
      <c r="AR71" s="358">
        <f>+ROUND(+SUM(AK71-AL71)-SUM(O71-P71)-SUM(V71-W71)-SUM(AC71-AD71),2)</f>
        <v>0</v>
      </c>
      <c r="AS71" s="359">
        <f>+ROUND(+SUM(AM71-AN71)-SUM(Q71-R71)-SUM(X71-Y71)-SUM(AE71-AF71),2)</f>
        <v>0</v>
      </c>
      <c r="AT71" s="360">
        <f>+ROUND(+SUM(AO71-AP71)-SUM(S71-T71)-SUM(Z71-AA71)-SUM(AG71-AH71),2)</f>
        <v>0</v>
      </c>
      <c r="AU71" s="43"/>
      <c r="AV71" s="2120">
        <f t="shared" ref="AV71:AV89" si="36">+IF(OR(ROUND(P71,2)+ROUND(R71,2)&gt;+ROUND(O71,2)+ROUND(Q71,2),+ABS(ROUND(P71,2)+ROUND(R71,2))&gt;+ABS(ROUND(O71,2)+ROUND(Q71,2))),+(ROUND(P71,2)+ROUND(R71,2))-(ROUND(O71,2)+ROUND(Q71,2)),0)</f>
        <v>0</v>
      </c>
      <c r="AW71" s="119"/>
      <c r="AX71" s="2120">
        <f>+IF(OR(ROUND(AD71,2)+ROUND(AF71,2)&gt;+ROUND(AC71,2)+ROUND(AE71,2),+ABS(ROUND(AD71,2)+ROUND(AF71,2))&gt;+ABS(ROUND(AC71,2)+ROUND(AE71,2))),+(ROUND(AD71,2)+ROUND(AF71,2))-(ROUND(AC71,2)+ROUND(AE71,2)),0)</f>
        <v>0</v>
      </c>
      <c r="AY71" s="43"/>
      <c r="AZ71" s="43"/>
      <c r="BA71" s="43"/>
      <c r="BB71" s="43"/>
      <c r="BC71" s="43"/>
      <c r="BD71" s="43"/>
    </row>
    <row r="72" spans="1:56" ht="15.75">
      <c r="A72" s="88">
        <v>2020</v>
      </c>
      <c r="B72" s="86" t="s">
        <v>812</v>
      </c>
      <c r="C72" s="86"/>
      <c r="D72" s="86"/>
      <c r="E72" s="86"/>
      <c r="F72" s="86"/>
      <c r="G72" s="86"/>
      <c r="H72" s="86"/>
      <c r="I72" s="86"/>
      <c r="J72" s="86"/>
      <c r="K72" s="86"/>
      <c r="L72" s="90"/>
      <c r="M72" s="51" t="s">
        <v>265</v>
      </c>
      <c r="N72" s="112">
        <f t="shared" si="8"/>
        <v>2020</v>
      </c>
      <c r="O72" s="323"/>
      <c r="P72" s="329">
        <v>0</v>
      </c>
      <c r="Q72" s="325"/>
      <c r="R72" s="324"/>
      <c r="S72" s="326">
        <f t="shared" si="34"/>
        <v>0</v>
      </c>
      <c r="T72" s="331">
        <v>0</v>
      </c>
      <c r="U72" s="51"/>
      <c r="V72" s="543">
        <f>+'NF-KSF-TRIAL-BAL-2020'!O72+'RA-TRIAL-BAL-2020'!O72+'DES-TRIAL-BAL-2020'!O72+'DMP-TRIAL-BAL-2020'!O72</f>
        <v>0</v>
      </c>
      <c r="W72" s="526">
        <f>+'NF-KSF-TRIAL-BAL-2020'!P72+'RA-TRIAL-BAL-2020'!P72+'DES-TRIAL-BAL-2020'!P72+'DMP-TRIAL-BAL-2020'!P72</f>
        <v>0</v>
      </c>
      <c r="X72" s="525">
        <f>+'NF-KSF-TRIAL-BAL-2020'!Q72+'RA-TRIAL-BAL-2020'!Q72+'DES-TRIAL-BAL-2020'!Q72+'DMP-TRIAL-BAL-2020'!Q72</f>
        <v>0</v>
      </c>
      <c r="Y72" s="526">
        <f>+'NF-KSF-TRIAL-BAL-2020'!R72+'RA-TRIAL-BAL-2020'!R72+'DES-TRIAL-BAL-2020'!R72+'DMP-TRIAL-BAL-2020'!R72</f>
        <v>0</v>
      </c>
      <c r="Z72" s="525">
        <f>+'NF-KSF-TRIAL-BAL-2020'!S72+'RA-TRIAL-BAL-2020'!S72+'DES-TRIAL-BAL-2020'!S72+'DMP-TRIAL-BAL-2020'!S72</f>
        <v>0</v>
      </c>
      <c r="AA72" s="527">
        <f>+'NF-KSF-TRIAL-BAL-2020'!T72+'RA-TRIAL-BAL-2020'!T72+'DES-TRIAL-BAL-2020'!T72+'DMP-TRIAL-BAL-2020'!T72</f>
        <v>0</v>
      </c>
      <c r="AB72" s="51"/>
      <c r="AC72" s="323"/>
      <c r="AD72" s="329">
        <v>0</v>
      </c>
      <c r="AE72" s="122"/>
      <c r="AF72" s="324"/>
      <c r="AG72" s="326">
        <f t="shared" ref="AG72:AG93" si="37">+IF(ABS(+AC72+AE72)&gt;=ABS(AD72+AF72),+AC72-AD72+AE72-AF72,0)</f>
        <v>0</v>
      </c>
      <c r="AH72" s="331">
        <v>0</v>
      </c>
      <c r="AI72" s="51"/>
      <c r="AJ72" s="1496">
        <f t="shared" si="32"/>
        <v>2020</v>
      </c>
      <c r="AK72" s="951">
        <f t="shared" ref="AK72:AK91" si="38">+ROUND(+O72+V72+AC72,2)</f>
        <v>0</v>
      </c>
      <c r="AL72" s="329">
        <v>0</v>
      </c>
      <c r="AM72" s="326">
        <f t="shared" ref="AM72:AN89" si="39">+ROUND(+Q72+X72+AE72,2)</f>
        <v>0</v>
      </c>
      <c r="AN72" s="970">
        <f t="shared" si="39"/>
        <v>0</v>
      </c>
      <c r="AO72" s="326">
        <f t="shared" si="35"/>
        <v>0</v>
      </c>
      <c r="AP72" s="331">
        <v>0</v>
      </c>
      <c r="AQ72" s="43"/>
      <c r="AR72" s="358">
        <f t="shared" ref="AR72:AR101" si="40">+ROUND(+SUM(AK72-AL72)-SUM(O72-P72)-SUM(V72-W72)-SUM(AC72-AD72),2)</f>
        <v>0</v>
      </c>
      <c r="AS72" s="359">
        <f t="shared" ref="AS72:AS101" si="41">+ROUND(+SUM(AM72-AN72)-SUM(Q72-R72)-SUM(X72-Y72)-SUM(AE72-AF72),2)</f>
        <v>0</v>
      </c>
      <c r="AT72" s="360">
        <f t="shared" ref="AT72:AT101" si="42">+ROUND(+SUM(AO72-AP72)-SUM(S72-T72)-SUM(Z72-AA72)-SUM(AG72-AH72),2)</f>
        <v>0</v>
      </c>
      <c r="AU72" s="43"/>
      <c r="AV72" s="2120">
        <f t="shared" si="36"/>
        <v>0</v>
      </c>
      <c r="AW72" s="119"/>
      <c r="AX72" s="2120">
        <f t="shared" ref="AX72:AX93" si="43">+IF(OR(ROUND(AD72,2)+ROUND(AF72,2)&gt;+ROUND(AC72,2)+ROUND(AE72,2),+ABS(ROUND(AD72,2)+ROUND(AF72,2))&gt;+ABS(ROUND(AC72,2)+ROUND(AE72,2))),+(ROUND(AD72,2)+ROUND(AF72,2))-(ROUND(AC72,2)+ROUND(AE72,2)),0)</f>
        <v>0</v>
      </c>
      <c r="AY72" s="43"/>
      <c r="AZ72" s="43"/>
      <c r="BA72" s="43"/>
      <c r="BB72" s="43"/>
      <c r="BC72" s="43"/>
      <c r="BD72" s="43"/>
    </row>
    <row r="73" spans="1:56" ht="15.75">
      <c r="A73" s="88">
        <v>2031</v>
      </c>
      <c r="B73" s="86" t="s">
        <v>548</v>
      </c>
      <c r="C73" s="1033"/>
      <c r="D73" s="1033"/>
      <c r="E73" s="1033"/>
      <c r="F73" s="1033"/>
      <c r="G73" s="1033"/>
      <c r="H73" s="1033"/>
      <c r="I73" s="1033"/>
      <c r="J73" s="1033"/>
      <c r="K73" s="1033"/>
      <c r="L73" s="90"/>
      <c r="M73" s="51" t="s">
        <v>265</v>
      </c>
      <c r="N73" s="113">
        <f t="shared" si="8"/>
        <v>2031</v>
      </c>
      <c r="O73" s="120">
        <v>0</v>
      </c>
      <c r="P73" s="9">
        <v>0</v>
      </c>
      <c r="Q73" s="325">
        <v>0</v>
      </c>
      <c r="R73" s="324">
        <v>0</v>
      </c>
      <c r="S73" s="27">
        <f t="shared" si="34"/>
        <v>0</v>
      </c>
      <c r="T73" s="30">
        <v>0</v>
      </c>
      <c r="U73" s="51"/>
      <c r="V73" s="541">
        <f>+'NF-KSF-TRIAL-BAL-2020'!O73+'RA-TRIAL-BAL-2020'!O73+'DES-TRIAL-BAL-2020'!O73+'DMP-TRIAL-BAL-2020'!O73</f>
        <v>0</v>
      </c>
      <c r="W73" s="529">
        <f>+'NF-KSF-TRIAL-BAL-2020'!P73+'RA-TRIAL-BAL-2020'!P73+'DES-TRIAL-BAL-2020'!P73+'DMP-TRIAL-BAL-2020'!P73</f>
        <v>0</v>
      </c>
      <c r="X73" s="528">
        <f>+'NF-KSF-TRIAL-BAL-2020'!Q73+'RA-TRIAL-BAL-2020'!Q73+'DES-TRIAL-BAL-2020'!Q73+'DMP-TRIAL-BAL-2020'!Q73</f>
        <v>0</v>
      </c>
      <c r="Y73" s="529">
        <f>+'NF-KSF-TRIAL-BAL-2020'!R73+'RA-TRIAL-BAL-2020'!R73+'DES-TRIAL-BAL-2020'!R73+'DMP-TRIAL-BAL-2020'!R73</f>
        <v>0</v>
      </c>
      <c r="Z73" s="528">
        <f>+'NF-KSF-TRIAL-BAL-2020'!S73+'RA-TRIAL-BAL-2020'!S73+'DES-TRIAL-BAL-2020'!S73+'DMP-TRIAL-BAL-2020'!S73</f>
        <v>0</v>
      </c>
      <c r="AA73" s="347">
        <f>+'NF-KSF-TRIAL-BAL-2020'!T73+'RA-TRIAL-BAL-2020'!T73+'DES-TRIAL-BAL-2020'!T73+'DMP-TRIAL-BAL-2020'!T73</f>
        <v>0</v>
      </c>
      <c r="AB73" s="51"/>
      <c r="AC73" s="120">
        <v>0</v>
      </c>
      <c r="AD73" s="9">
        <v>0</v>
      </c>
      <c r="AE73" s="122">
        <v>0</v>
      </c>
      <c r="AF73" s="324">
        <v>0</v>
      </c>
      <c r="AG73" s="27">
        <f t="shared" si="37"/>
        <v>0</v>
      </c>
      <c r="AH73" s="30">
        <v>0</v>
      </c>
      <c r="AI73" s="51"/>
      <c r="AJ73" s="1497">
        <f t="shared" si="32"/>
        <v>2031</v>
      </c>
      <c r="AK73" s="951">
        <f t="shared" si="38"/>
        <v>0</v>
      </c>
      <c r="AL73" s="9">
        <v>0</v>
      </c>
      <c r="AM73" s="326">
        <f t="shared" si="39"/>
        <v>0</v>
      </c>
      <c r="AN73" s="970">
        <f t="shared" si="39"/>
        <v>0</v>
      </c>
      <c r="AO73" s="326">
        <f t="shared" si="35"/>
        <v>0</v>
      </c>
      <c r="AP73" s="331">
        <v>0</v>
      </c>
      <c r="AQ73" s="43"/>
      <c r="AR73" s="358">
        <f t="shared" si="40"/>
        <v>0</v>
      </c>
      <c r="AS73" s="359">
        <f t="shared" si="41"/>
        <v>0</v>
      </c>
      <c r="AT73" s="360">
        <f t="shared" si="42"/>
        <v>0</v>
      </c>
      <c r="AU73" s="43"/>
      <c r="AV73" s="2120">
        <f t="shared" si="36"/>
        <v>0</v>
      </c>
      <c r="AW73" s="119"/>
      <c r="AX73" s="2120">
        <f t="shared" si="43"/>
        <v>0</v>
      </c>
      <c r="AY73" s="43"/>
      <c r="AZ73" s="43"/>
      <c r="BA73" s="43"/>
      <c r="BB73" s="43"/>
      <c r="BC73" s="43"/>
      <c r="BD73" s="43"/>
    </row>
    <row r="74" spans="1:56" ht="15.75">
      <c r="A74" s="88">
        <v>2032</v>
      </c>
      <c r="B74" s="86" t="s">
        <v>974</v>
      </c>
      <c r="C74" s="1033"/>
      <c r="D74" s="1033"/>
      <c r="E74" s="1033"/>
      <c r="F74" s="1033"/>
      <c r="G74" s="1033"/>
      <c r="H74" s="1033"/>
      <c r="I74" s="1033"/>
      <c r="J74" s="1033"/>
      <c r="K74" s="1033"/>
      <c r="L74" s="90"/>
      <c r="M74" s="51" t="s">
        <v>265</v>
      </c>
      <c r="N74" s="113">
        <f t="shared" si="8"/>
        <v>2032</v>
      </c>
      <c r="O74" s="120"/>
      <c r="P74" s="9">
        <v>0</v>
      </c>
      <c r="Q74" s="325"/>
      <c r="R74" s="324"/>
      <c r="S74" s="27">
        <f t="shared" si="34"/>
        <v>0</v>
      </c>
      <c r="T74" s="30">
        <v>0</v>
      </c>
      <c r="U74" s="51"/>
      <c r="V74" s="541">
        <f>+'NF-KSF-TRIAL-BAL-2020'!O74+'RA-TRIAL-BAL-2020'!O74+'DES-TRIAL-BAL-2020'!O74+'DMP-TRIAL-BAL-2020'!O74</f>
        <v>0</v>
      </c>
      <c r="W74" s="529">
        <f>+'NF-KSF-TRIAL-BAL-2020'!P74+'RA-TRIAL-BAL-2020'!P74+'DES-TRIAL-BAL-2020'!P74+'DMP-TRIAL-BAL-2020'!P74</f>
        <v>0</v>
      </c>
      <c r="X74" s="528">
        <f>+'NF-KSF-TRIAL-BAL-2020'!Q74+'RA-TRIAL-BAL-2020'!Q74+'DES-TRIAL-BAL-2020'!Q74+'DMP-TRIAL-BAL-2020'!Q74</f>
        <v>0</v>
      </c>
      <c r="Y74" s="529">
        <f>+'NF-KSF-TRIAL-BAL-2020'!R74+'RA-TRIAL-BAL-2020'!R74+'DES-TRIAL-BAL-2020'!R74+'DMP-TRIAL-BAL-2020'!R74</f>
        <v>0</v>
      </c>
      <c r="Z74" s="528">
        <f>+'NF-KSF-TRIAL-BAL-2020'!S74+'RA-TRIAL-BAL-2020'!S74+'DES-TRIAL-BAL-2020'!S74+'DMP-TRIAL-BAL-2020'!S74</f>
        <v>0</v>
      </c>
      <c r="AA74" s="347">
        <f>+'NF-KSF-TRIAL-BAL-2020'!T74+'RA-TRIAL-BAL-2020'!T74+'DES-TRIAL-BAL-2020'!T74+'DMP-TRIAL-BAL-2020'!T74</f>
        <v>0</v>
      </c>
      <c r="AB74" s="51"/>
      <c r="AC74" s="120"/>
      <c r="AD74" s="9">
        <v>0</v>
      </c>
      <c r="AE74" s="122"/>
      <c r="AF74" s="324"/>
      <c r="AG74" s="27">
        <f t="shared" si="37"/>
        <v>0</v>
      </c>
      <c r="AH74" s="30">
        <v>0</v>
      </c>
      <c r="AI74" s="51"/>
      <c r="AJ74" s="1497">
        <f t="shared" si="32"/>
        <v>2032</v>
      </c>
      <c r="AK74" s="951">
        <f t="shared" si="38"/>
        <v>0</v>
      </c>
      <c r="AL74" s="9">
        <v>0</v>
      </c>
      <c r="AM74" s="326">
        <f t="shared" si="39"/>
        <v>0</v>
      </c>
      <c r="AN74" s="970">
        <f t="shared" si="39"/>
        <v>0</v>
      </c>
      <c r="AO74" s="326">
        <f t="shared" si="35"/>
        <v>0</v>
      </c>
      <c r="AP74" s="331">
        <v>0</v>
      </c>
      <c r="AQ74" s="43"/>
      <c r="AR74" s="358">
        <f t="shared" si="40"/>
        <v>0</v>
      </c>
      <c r="AS74" s="359">
        <f t="shared" si="41"/>
        <v>0</v>
      </c>
      <c r="AT74" s="360">
        <f t="shared" si="42"/>
        <v>0</v>
      </c>
      <c r="AU74" s="43"/>
      <c r="AV74" s="2120">
        <f t="shared" si="36"/>
        <v>0</v>
      </c>
      <c r="AW74" s="119"/>
      <c r="AX74" s="2120">
        <f t="shared" si="43"/>
        <v>0</v>
      </c>
      <c r="AY74" s="43"/>
      <c r="AZ74" s="43"/>
      <c r="BA74" s="43"/>
      <c r="BB74" s="43"/>
      <c r="BC74" s="43"/>
      <c r="BD74" s="43"/>
    </row>
    <row r="75" spans="1:56" ht="15.75">
      <c r="A75" s="88">
        <v>2038</v>
      </c>
      <c r="B75" s="86" t="s">
        <v>358</v>
      </c>
      <c r="C75" s="1033"/>
      <c r="D75" s="1033"/>
      <c r="E75" s="1033"/>
      <c r="F75" s="1033"/>
      <c r="G75" s="1033"/>
      <c r="H75" s="1033"/>
      <c r="I75" s="1033"/>
      <c r="J75" s="1033"/>
      <c r="K75" s="1033"/>
      <c r="L75" s="90"/>
      <c r="M75" s="51" t="s">
        <v>265</v>
      </c>
      <c r="N75" s="113">
        <f>+A75</f>
        <v>2038</v>
      </c>
      <c r="O75" s="120"/>
      <c r="P75" s="9">
        <v>0</v>
      </c>
      <c r="Q75" s="325"/>
      <c r="R75" s="324"/>
      <c r="S75" s="27">
        <f t="shared" si="34"/>
        <v>0</v>
      </c>
      <c r="T75" s="30">
        <v>0</v>
      </c>
      <c r="U75" s="51"/>
      <c r="V75" s="541">
        <f>+'NF-KSF-TRIAL-BAL-2020'!O75+'RA-TRIAL-BAL-2020'!O75+'DES-TRIAL-BAL-2020'!O75+'DMP-TRIAL-BAL-2020'!O75</f>
        <v>0</v>
      </c>
      <c r="W75" s="529">
        <f>+'NF-KSF-TRIAL-BAL-2020'!P75+'RA-TRIAL-BAL-2020'!P75+'DES-TRIAL-BAL-2020'!P75+'DMP-TRIAL-BAL-2020'!P75</f>
        <v>0</v>
      </c>
      <c r="X75" s="528">
        <f>+'NF-KSF-TRIAL-BAL-2020'!Q75+'RA-TRIAL-BAL-2020'!Q75+'DES-TRIAL-BAL-2020'!Q75+'DMP-TRIAL-BAL-2020'!Q75</f>
        <v>0</v>
      </c>
      <c r="Y75" s="529">
        <f>+'NF-KSF-TRIAL-BAL-2020'!R75+'RA-TRIAL-BAL-2020'!R75+'DES-TRIAL-BAL-2020'!R75+'DMP-TRIAL-BAL-2020'!R75</f>
        <v>0</v>
      </c>
      <c r="Z75" s="528">
        <f>+'NF-KSF-TRIAL-BAL-2020'!S75+'RA-TRIAL-BAL-2020'!S75+'DES-TRIAL-BAL-2020'!S75+'DMP-TRIAL-BAL-2020'!S75</f>
        <v>0</v>
      </c>
      <c r="AA75" s="347">
        <f>+'NF-KSF-TRIAL-BAL-2020'!T75+'RA-TRIAL-BAL-2020'!T75+'DES-TRIAL-BAL-2020'!T75+'DMP-TRIAL-BAL-2020'!T75</f>
        <v>0</v>
      </c>
      <c r="AB75" s="51"/>
      <c r="AC75" s="120"/>
      <c r="AD75" s="9">
        <v>0</v>
      </c>
      <c r="AE75" s="122"/>
      <c r="AF75" s="324"/>
      <c r="AG75" s="27">
        <f t="shared" si="37"/>
        <v>0</v>
      </c>
      <c r="AH75" s="30">
        <v>0</v>
      </c>
      <c r="AI75" s="51"/>
      <c r="AJ75" s="1497">
        <f t="shared" si="32"/>
        <v>2038</v>
      </c>
      <c r="AK75" s="951">
        <f>+ROUND(+O75+V75+AC75,2)</f>
        <v>0</v>
      </c>
      <c r="AL75" s="9">
        <v>0</v>
      </c>
      <c r="AM75" s="326">
        <f>+ROUND(+Q75+X75+AE75,2)</f>
        <v>0</v>
      </c>
      <c r="AN75" s="970">
        <f>+ROUND(+R75+Y75+AF75,2)</f>
        <v>0</v>
      </c>
      <c r="AO75" s="326">
        <f t="shared" si="35"/>
        <v>0</v>
      </c>
      <c r="AP75" s="331">
        <v>0</v>
      </c>
      <c r="AQ75" s="43"/>
      <c r="AR75" s="358">
        <f>+ROUND(+SUM(AK75-AL75)-SUM(O75-P75)-SUM(V75-W75)-SUM(AC75-AD75),2)</f>
        <v>0</v>
      </c>
      <c r="AS75" s="359">
        <f>+ROUND(+SUM(AM75-AN75)-SUM(Q75-R75)-SUM(X75-Y75)-SUM(AE75-AF75),2)</f>
        <v>0</v>
      </c>
      <c r="AT75" s="360">
        <f>+ROUND(+SUM(AO75-AP75)-SUM(S75-T75)-SUM(Z75-AA75)-SUM(AG75-AH75),2)</f>
        <v>0</v>
      </c>
      <c r="AU75" s="43"/>
      <c r="AV75" s="2120">
        <f t="shared" si="36"/>
        <v>0</v>
      </c>
      <c r="AW75" s="119"/>
      <c r="AX75" s="2120">
        <f t="shared" si="43"/>
        <v>0</v>
      </c>
      <c r="AY75" s="43"/>
      <c r="AZ75" s="43"/>
      <c r="BA75" s="43"/>
      <c r="BB75" s="43"/>
      <c r="BC75" s="43"/>
      <c r="BD75" s="43"/>
    </row>
    <row r="76" spans="1:56" ht="15.75">
      <c r="A76" s="88">
        <v>2039</v>
      </c>
      <c r="B76" s="86" t="s">
        <v>549</v>
      </c>
      <c r="C76" s="1033"/>
      <c r="D76" s="1033"/>
      <c r="E76" s="1033"/>
      <c r="F76" s="1033"/>
      <c r="G76" s="1033"/>
      <c r="H76" s="1033"/>
      <c r="I76" s="1033"/>
      <c r="J76" s="1033"/>
      <c r="K76" s="1033"/>
      <c r="L76" s="90"/>
      <c r="M76" s="51" t="s">
        <v>265</v>
      </c>
      <c r="N76" s="113">
        <f t="shared" si="8"/>
        <v>2039</v>
      </c>
      <c r="O76" s="120"/>
      <c r="P76" s="9">
        <v>0</v>
      </c>
      <c r="Q76" s="325"/>
      <c r="R76" s="324"/>
      <c r="S76" s="27">
        <f t="shared" si="34"/>
        <v>0</v>
      </c>
      <c r="T76" s="30">
        <v>0</v>
      </c>
      <c r="U76" s="51"/>
      <c r="V76" s="541">
        <f>+'NF-KSF-TRIAL-BAL-2020'!O76+'RA-TRIAL-BAL-2020'!O76+'DES-TRIAL-BAL-2020'!O76+'DMP-TRIAL-BAL-2020'!O76</f>
        <v>0</v>
      </c>
      <c r="W76" s="529">
        <f>+'NF-KSF-TRIAL-BAL-2020'!P76+'RA-TRIAL-BAL-2020'!P76+'DES-TRIAL-BAL-2020'!P76+'DMP-TRIAL-BAL-2020'!P76</f>
        <v>0</v>
      </c>
      <c r="X76" s="528">
        <f>+'NF-KSF-TRIAL-BAL-2020'!Q76+'RA-TRIAL-BAL-2020'!Q76+'DES-TRIAL-BAL-2020'!Q76+'DMP-TRIAL-BAL-2020'!Q76</f>
        <v>0</v>
      </c>
      <c r="Y76" s="529">
        <f>+'NF-KSF-TRIAL-BAL-2020'!R76+'RA-TRIAL-BAL-2020'!R76+'DES-TRIAL-BAL-2020'!R76+'DMP-TRIAL-BAL-2020'!R76</f>
        <v>0</v>
      </c>
      <c r="Z76" s="528">
        <f>+'NF-KSF-TRIAL-BAL-2020'!S76+'RA-TRIAL-BAL-2020'!S76+'DES-TRIAL-BAL-2020'!S76+'DMP-TRIAL-BAL-2020'!S76</f>
        <v>0</v>
      </c>
      <c r="AA76" s="347">
        <f>+'NF-KSF-TRIAL-BAL-2020'!T76+'RA-TRIAL-BAL-2020'!T76+'DES-TRIAL-BAL-2020'!T76+'DMP-TRIAL-BAL-2020'!T76</f>
        <v>0</v>
      </c>
      <c r="AB76" s="51"/>
      <c r="AC76" s="120"/>
      <c r="AD76" s="9">
        <v>0</v>
      </c>
      <c r="AE76" s="122"/>
      <c r="AF76" s="324"/>
      <c r="AG76" s="27">
        <f t="shared" si="37"/>
        <v>0</v>
      </c>
      <c r="AH76" s="30">
        <v>0</v>
      </c>
      <c r="AI76" s="51"/>
      <c r="AJ76" s="1497">
        <f t="shared" si="32"/>
        <v>2039</v>
      </c>
      <c r="AK76" s="951">
        <f t="shared" si="38"/>
        <v>0</v>
      </c>
      <c r="AL76" s="9">
        <v>0</v>
      </c>
      <c r="AM76" s="326">
        <f t="shared" si="39"/>
        <v>0</v>
      </c>
      <c r="AN76" s="970">
        <f t="shared" si="39"/>
        <v>0</v>
      </c>
      <c r="AO76" s="326">
        <f t="shared" si="35"/>
        <v>0</v>
      </c>
      <c r="AP76" s="331">
        <v>0</v>
      </c>
      <c r="AQ76" s="43"/>
      <c r="AR76" s="358">
        <f t="shared" si="40"/>
        <v>0</v>
      </c>
      <c r="AS76" s="359">
        <f t="shared" si="41"/>
        <v>0</v>
      </c>
      <c r="AT76" s="360">
        <f t="shared" si="42"/>
        <v>0</v>
      </c>
      <c r="AU76" s="43"/>
      <c r="AV76" s="2120">
        <f t="shared" si="36"/>
        <v>0</v>
      </c>
      <c r="AW76" s="119"/>
      <c r="AX76" s="2120">
        <f t="shared" si="43"/>
        <v>0</v>
      </c>
      <c r="AY76" s="43"/>
      <c r="AZ76" s="43"/>
      <c r="BA76" s="43"/>
      <c r="BB76" s="43"/>
      <c r="BC76" s="43"/>
      <c r="BD76" s="43"/>
    </row>
    <row r="77" spans="1:56" ht="15.75">
      <c r="A77" s="88">
        <v>2041</v>
      </c>
      <c r="B77" s="86" t="s">
        <v>550</v>
      </c>
      <c r="C77" s="1033"/>
      <c r="D77" s="1033"/>
      <c r="E77" s="1033"/>
      <c r="F77" s="1033"/>
      <c r="G77" s="1033"/>
      <c r="H77" s="1033"/>
      <c r="I77" s="1033"/>
      <c r="J77" s="1033"/>
      <c r="K77" s="1033"/>
      <c r="L77" s="90"/>
      <c r="M77" s="51" t="s">
        <v>265</v>
      </c>
      <c r="N77" s="113">
        <f t="shared" si="8"/>
        <v>2041</v>
      </c>
      <c r="O77" s="120">
        <v>37296.139999999963</v>
      </c>
      <c r="P77" s="9">
        <v>0</v>
      </c>
      <c r="Q77" s="325">
        <v>7591.2</v>
      </c>
      <c r="R77" s="324">
        <v>0</v>
      </c>
      <c r="S77" s="27">
        <f t="shared" si="34"/>
        <v>44887.33999999996</v>
      </c>
      <c r="T77" s="30">
        <v>0</v>
      </c>
      <c r="U77" s="51"/>
      <c r="V77" s="541">
        <f>+'NF-KSF-TRIAL-BAL-2020'!O77+'RA-TRIAL-BAL-2020'!O77+'DES-TRIAL-BAL-2020'!O77+'DMP-TRIAL-BAL-2020'!O77</f>
        <v>0</v>
      </c>
      <c r="W77" s="529">
        <f>+'NF-KSF-TRIAL-BAL-2020'!P77+'RA-TRIAL-BAL-2020'!P77+'DES-TRIAL-BAL-2020'!P77+'DMP-TRIAL-BAL-2020'!P77</f>
        <v>0</v>
      </c>
      <c r="X77" s="528">
        <f>+'NF-KSF-TRIAL-BAL-2020'!Q77+'RA-TRIAL-BAL-2020'!Q77+'DES-TRIAL-BAL-2020'!Q77+'DMP-TRIAL-BAL-2020'!Q77</f>
        <v>0</v>
      </c>
      <c r="Y77" s="529">
        <f>+'NF-KSF-TRIAL-BAL-2020'!R77+'RA-TRIAL-BAL-2020'!R77+'DES-TRIAL-BAL-2020'!R77+'DMP-TRIAL-BAL-2020'!R77</f>
        <v>0</v>
      </c>
      <c r="Z77" s="528">
        <f>+'NF-KSF-TRIAL-BAL-2020'!S77+'RA-TRIAL-BAL-2020'!S77+'DES-TRIAL-BAL-2020'!S77+'DMP-TRIAL-BAL-2020'!S77</f>
        <v>0</v>
      </c>
      <c r="AA77" s="347">
        <f>+'NF-KSF-TRIAL-BAL-2020'!T77+'RA-TRIAL-BAL-2020'!T77+'DES-TRIAL-BAL-2020'!T77+'DMP-TRIAL-BAL-2020'!T77</f>
        <v>0</v>
      </c>
      <c r="AB77" s="51"/>
      <c r="AC77" s="120">
        <v>0</v>
      </c>
      <c r="AD77" s="9">
        <v>0</v>
      </c>
      <c r="AE77" s="122">
        <v>0</v>
      </c>
      <c r="AF77" s="324">
        <v>0</v>
      </c>
      <c r="AG77" s="27">
        <f t="shared" si="37"/>
        <v>0</v>
      </c>
      <c r="AH77" s="30">
        <v>0</v>
      </c>
      <c r="AI77" s="51"/>
      <c r="AJ77" s="1497">
        <f t="shared" si="32"/>
        <v>2041</v>
      </c>
      <c r="AK77" s="951">
        <f t="shared" si="38"/>
        <v>37296.14</v>
      </c>
      <c r="AL77" s="9">
        <v>0</v>
      </c>
      <c r="AM77" s="326">
        <f t="shared" si="39"/>
        <v>7591.2</v>
      </c>
      <c r="AN77" s="970">
        <f t="shared" si="39"/>
        <v>0</v>
      </c>
      <c r="AO77" s="326">
        <f t="shared" si="35"/>
        <v>44887.33999999996</v>
      </c>
      <c r="AP77" s="331">
        <v>0</v>
      </c>
      <c r="AQ77" s="43"/>
      <c r="AR77" s="358">
        <f t="shared" si="40"/>
        <v>0</v>
      </c>
      <c r="AS77" s="359">
        <f t="shared" si="41"/>
        <v>0</v>
      </c>
      <c r="AT77" s="360">
        <f t="shared" si="42"/>
        <v>0</v>
      </c>
      <c r="AU77" s="43"/>
      <c r="AV77" s="2120">
        <f t="shared" si="36"/>
        <v>0</v>
      </c>
      <c r="AW77" s="119"/>
      <c r="AX77" s="2120">
        <f t="shared" si="43"/>
        <v>0</v>
      </c>
      <c r="AY77" s="43"/>
      <c r="AZ77" s="43"/>
      <c r="BA77" s="43"/>
      <c r="BB77" s="43"/>
      <c r="BC77" s="43"/>
      <c r="BD77" s="43"/>
    </row>
    <row r="78" spans="1:56" ht="15.75">
      <c r="A78" s="88">
        <v>2049</v>
      </c>
      <c r="B78" s="86" t="s">
        <v>551</v>
      </c>
      <c r="C78" s="1033"/>
      <c r="D78" s="1033"/>
      <c r="E78" s="1033"/>
      <c r="F78" s="1033"/>
      <c r="G78" s="1033"/>
      <c r="H78" s="1033"/>
      <c r="I78" s="1033"/>
      <c r="J78" s="1033"/>
      <c r="K78" s="1033"/>
      <c r="L78" s="90"/>
      <c r="M78" s="51" t="s">
        <v>265</v>
      </c>
      <c r="N78" s="113">
        <f t="shared" ref="N78:N101" si="44">+A78</f>
        <v>2049</v>
      </c>
      <c r="O78" s="120">
        <v>10203</v>
      </c>
      <c r="P78" s="9">
        <v>0</v>
      </c>
      <c r="Q78" s="325">
        <v>0</v>
      </c>
      <c r="R78" s="324">
        <v>0</v>
      </c>
      <c r="S78" s="27">
        <f t="shared" si="34"/>
        <v>10203</v>
      </c>
      <c r="T78" s="30">
        <v>0</v>
      </c>
      <c r="U78" s="51"/>
      <c r="V78" s="541">
        <f>+'NF-KSF-TRIAL-BAL-2020'!O78+'RA-TRIAL-BAL-2020'!O78+'DES-TRIAL-BAL-2020'!O78+'DMP-TRIAL-BAL-2020'!O78</f>
        <v>0</v>
      </c>
      <c r="W78" s="529">
        <f>+'NF-KSF-TRIAL-BAL-2020'!P78+'RA-TRIAL-BAL-2020'!P78+'DES-TRIAL-BAL-2020'!P78+'DMP-TRIAL-BAL-2020'!P78</f>
        <v>0</v>
      </c>
      <c r="X78" s="528">
        <f>+'NF-KSF-TRIAL-BAL-2020'!Q78+'RA-TRIAL-BAL-2020'!Q78+'DES-TRIAL-BAL-2020'!Q78+'DMP-TRIAL-BAL-2020'!Q78</f>
        <v>0</v>
      </c>
      <c r="Y78" s="529">
        <f>+'NF-KSF-TRIAL-BAL-2020'!R78+'RA-TRIAL-BAL-2020'!R78+'DES-TRIAL-BAL-2020'!R78+'DMP-TRIAL-BAL-2020'!R78</f>
        <v>0</v>
      </c>
      <c r="Z78" s="528">
        <f>+'NF-KSF-TRIAL-BAL-2020'!S78+'RA-TRIAL-BAL-2020'!S78+'DES-TRIAL-BAL-2020'!S78+'DMP-TRIAL-BAL-2020'!S78</f>
        <v>0</v>
      </c>
      <c r="AA78" s="347">
        <f>+'NF-KSF-TRIAL-BAL-2020'!T78+'RA-TRIAL-BAL-2020'!T78+'DES-TRIAL-BAL-2020'!T78+'DMP-TRIAL-BAL-2020'!T78</f>
        <v>0</v>
      </c>
      <c r="AB78" s="51"/>
      <c r="AC78" s="120">
        <v>0</v>
      </c>
      <c r="AD78" s="9">
        <v>0</v>
      </c>
      <c r="AE78" s="122">
        <v>0</v>
      </c>
      <c r="AF78" s="324">
        <v>0</v>
      </c>
      <c r="AG78" s="27">
        <f t="shared" si="37"/>
        <v>0</v>
      </c>
      <c r="AH78" s="30">
        <v>0</v>
      </c>
      <c r="AI78" s="51"/>
      <c r="AJ78" s="1497">
        <f t="shared" si="32"/>
        <v>2049</v>
      </c>
      <c r="AK78" s="951">
        <f t="shared" si="38"/>
        <v>10203</v>
      </c>
      <c r="AL78" s="9">
        <v>0</v>
      </c>
      <c r="AM78" s="326">
        <f t="shared" si="39"/>
        <v>0</v>
      </c>
      <c r="AN78" s="970">
        <f t="shared" si="39"/>
        <v>0</v>
      </c>
      <c r="AO78" s="326">
        <f t="shared" si="35"/>
        <v>10203</v>
      </c>
      <c r="AP78" s="331">
        <v>0</v>
      </c>
      <c r="AQ78" s="43"/>
      <c r="AR78" s="358">
        <f t="shared" si="40"/>
        <v>0</v>
      </c>
      <c r="AS78" s="359">
        <f t="shared" si="41"/>
        <v>0</v>
      </c>
      <c r="AT78" s="360">
        <f t="shared" si="42"/>
        <v>0</v>
      </c>
      <c r="AU78" s="43"/>
      <c r="AV78" s="2120">
        <f t="shared" si="36"/>
        <v>0</v>
      </c>
      <c r="AW78" s="119"/>
      <c r="AX78" s="2120">
        <f t="shared" si="43"/>
        <v>0</v>
      </c>
      <c r="AY78" s="43"/>
      <c r="AZ78" s="43"/>
      <c r="BA78" s="43"/>
      <c r="BB78" s="43"/>
      <c r="BC78" s="43"/>
      <c r="BD78" s="43"/>
    </row>
    <row r="79" spans="1:56" ht="15.75">
      <c r="A79" s="88">
        <v>2051</v>
      </c>
      <c r="B79" s="86" t="s">
        <v>552</v>
      </c>
      <c r="C79" s="1033"/>
      <c r="D79" s="1033"/>
      <c r="E79" s="1033"/>
      <c r="F79" s="1033"/>
      <c r="G79" s="1033"/>
      <c r="H79" s="1033"/>
      <c r="I79" s="1033"/>
      <c r="J79" s="1033"/>
      <c r="K79" s="1033"/>
      <c r="L79" s="90"/>
      <c r="M79" s="51" t="s">
        <v>265</v>
      </c>
      <c r="N79" s="113">
        <f t="shared" si="44"/>
        <v>2051</v>
      </c>
      <c r="O79" s="120"/>
      <c r="P79" s="9">
        <v>0</v>
      </c>
      <c r="Q79" s="325"/>
      <c r="R79" s="324"/>
      <c r="S79" s="27">
        <f t="shared" si="34"/>
        <v>0</v>
      </c>
      <c r="T79" s="30">
        <v>0</v>
      </c>
      <c r="U79" s="51"/>
      <c r="V79" s="541">
        <f>+'NF-KSF-TRIAL-BAL-2020'!O79+'RA-TRIAL-BAL-2020'!O79+'DES-TRIAL-BAL-2020'!O79+'DMP-TRIAL-BAL-2020'!O79</f>
        <v>0</v>
      </c>
      <c r="W79" s="529">
        <f>+'NF-KSF-TRIAL-BAL-2020'!P79+'RA-TRIAL-BAL-2020'!P79+'DES-TRIAL-BAL-2020'!P79+'DMP-TRIAL-BAL-2020'!P79</f>
        <v>0</v>
      </c>
      <c r="X79" s="528">
        <f>+'NF-KSF-TRIAL-BAL-2020'!Q79+'RA-TRIAL-BAL-2020'!Q79+'DES-TRIAL-BAL-2020'!Q79+'DMP-TRIAL-BAL-2020'!Q79</f>
        <v>0</v>
      </c>
      <c r="Y79" s="529">
        <f>+'NF-KSF-TRIAL-BAL-2020'!R79+'RA-TRIAL-BAL-2020'!R79+'DES-TRIAL-BAL-2020'!R79+'DMP-TRIAL-BAL-2020'!R79</f>
        <v>0</v>
      </c>
      <c r="Z79" s="528">
        <f>+'NF-KSF-TRIAL-BAL-2020'!S79+'RA-TRIAL-BAL-2020'!S79+'DES-TRIAL-BAL-2020'!S79+'DMP-TRIAL-BAL-2020'!S79</f>
        <v>0</v>
      </c>
      <c r="AA79" s="347">
        <f>+'NF-KSF-TRIAL-BAL-2020'!T79+'RA-TRIAL-BAL-2020'!T79+'DES-TRIAL-BAL-2020'!T79+'DMP-TRIAL-BAL-2020'!T79</f>
        <v>0</v>
      </c>
      <c r="AB79" s="51"/>
      <c r="AC79" s="120"/>
      <c r="AD79" s="9">
        <v>0</v>
      </c>
      <c r="AE79" s="122"/>
      <c r="AF79" s="324"/>
      <c r="AG79" s="27">
        <f t="shared" si="37"/>
        <v>0</v>
      </c>
      <c r="AH79" s="30">
        <v>0</v>
      </c>
      <c r="AI79" s="51"/>
      <c r="AJ79" s="1497">
        <f t="shared" si="32"/>
        <v>2051</v>
      </c>
      <c r="AK79" s="951">
        <f t="shared" si="38"/>
        <v>0</v>
      </c>
      <c r="AL79" s="9">
        <v>0</v>
      </c>
      <c r="AM79" s="326">
        <f t="shared" si="39"/>
        <v>0</v>
      </c>
      <c r="AN79" s="970">
        <f t="shared" si="39"/>
        <v>0</v>
      </c>
      <c r="AO79" s="326">
        <f t="shared" si="35"/>
        <v>0</v>
      </c>
      <c r="AP79" s="331">
        <v>0</v>
      </c>
      <c r="AQ79" s="43"/>
      <c r="AR79" s="358">
        <f t="shared" si="40"/>
        <v>0</v>
      </c>
      <c r="AS79" s="359">
        <f t="shared" si="41"/>
        <v>0</v>
      </c>
      <c r="AT79" s="360">
        <f t="shared" si="42"/>
        <v>0</v>
      </c>
      <c r="AU79" s="43"/>
      <c r="AV79" s="2120">
        <f t="shared" si="36"/>
        <v>0</v>
      </c>
      <c r="AW79" s="119"/>
      <c r="AX79" s="2120">
        <f t="shared" si="43"/>
        <v>0</v>
      </c>
      <c r="AY79" s="43"/>
      <c r="AZ79" s="43"/>
      <c r="BA79" s="43"/>
      <c r="BB79" s="43"/>
      <c r="BC79" s="43"/>
      <c r="BD79" s="43"/>
    </row>
    <row r="80" spans="1:56" ht="15.75">
      <c r="A80" s="88">
        <v>2059</v>
      </c>
      <c r="B80" s="86" t="s">
        <v>553</v>
      </c>
      <c r="C80" s="1033"/>
      <c r="D80" s="1033"/>
      <c r="E80" s="1033"/>
      <c r="F80" s="1033"/>
      <c r="G80" s="1033"/>
      <c r="H80" s="1033"/>
      <c r="I80" s="1033"/>
      <c r="J80" s="1033"/>
      <c r="K80" s="1033"/>
      <c r="L80" s="90"/>
      <c r="M80" s="51" t="s">
        <v>265</v>
      </c>
      <c r="N80" s="113">
        <f t="shared" si="44"/>
        <v>2059</v>
      </c>
      <c r="O80" s="120">
        <v>374718</v>
      </c>
      <c r="P80" s="9">
        <v>0</v>
      </c>
      <c r="Q80" s="325">
        <v>0</v>
      </c>
      <c r="R80" s="324">
        <v>0</v>
      </c>
      <c r="S80" s="27">
        <f t="shared" si="34"/>
        <v>374718</v>
      </c>
      <c r="T80" s="30">
        <v>0</v>
      </c>
      <c r="U80" s="51"/>
      <c r="V80" s="541">
        <f>+'NF-KSF-TRIAL-BAL-2020'!O80+'RA-TRIAL-BAL-2020'!O80+'DES-TRIAL-BAL-2020'!O80+'DMP-TRIAL-BAL-2020'!O80</f>
        <v>0</v>
      </c>
      <c r="W80" s="529">
        <f>+'NF-KSF-TRIAL-BAL-2020'!P80+'RA-TRIAL-BAL-2020'!P80+'DES-TRIAL-BAL-2020'!P80+'DMP-TRIAL-BAL-2020'!P80</f>
        <v>0</v>
      </c>
      <c r="X80" s="528">
        <f>+'NF-KSF-TRIAL-BAL-2020'!Q80+'RA-TRIAL-BAL-2020'!Q80+'DES-TRIAL-BAL-2020'!Q80+'DMP-TRIAL-BAL-2020'!Q80</f>
        <v>0</v>
      </c>
      <c r="Y80" s="529">
        <f>+'NF-KSF-TRIAL-BAL-2020'!R80+'RA-TRIAL-BAL-2020'!R80+'DES-TRIAL-BAL-2020'!R80+'DMP-TRIAL-BAL-2020'!R80</f>
        <v>0</v>
      </c>
      <c r="Z80" s="528">
        <f>+'NF-KSF-TRIAL-BAL-2020'!S80+'RA-TRIAL-BAL-2020'!S80+'DES-TRIAL-BAL-2020'!S80+'DMP-TRIAL-BAL-2020'!S80</f>
        <v>0</v>
      </c>
      <c r="AA80" s="347">
        <f>+'NF-KSF-TRIAL-BAL-2020'!T80+'RA-TRIAL-BAL-2020'!T80+'DES-TRIAL-BAL-2020'!T80+'DMP-TRIAL-BAL-2020'!T80</f>
        <v>0</v>
      </c>
      <c r="AB80" s="51"/>
      <c r="AC80" s="120">
        <v>0</v>
      </c>
      <c r="AD80" s="9">
        <v>0</v>
      </c>
      <c r="AE80" s="122">
        <v>0</v>
      </c>
      <c r="AF80" s="324">
        <v>0</v>
      </c>
      <c r="AG80" s="27">
        <f t="shared" si="37"/>
        <v>0</v>
      </c>
      <c r="AH80" s="30">
        <v>0</v>
      </c>
      <c r="AI80" s="51"/>
      <c r="AJ80" s="1497">
        <f t="shared" ref="AJ80:AJ145" si="45">+N80</f>
        <v>2059</v>
      </c>
      <c r="AK80" s="951">
        <f t="shared" si="38"/>
        <v>374718</v>
      </c>
      <c r="AL80" s="9">
        <v>0</v>
      </c>
      <c r="AM80" s="326">
        <f t="shared" si="39"/>
        <v>0</v>
      </c>
      <c r="AN80" s="970">
        <f t="shared" si="39"/>
        <v>0</v>
      </c>
      <c r="AO80" s="326">
        <f t="shared" si="35"/>
        <v>374718</v>
      </c>
      <c r="AP80" s="331">
        <v>0</v>
      </c>
      <c r="AQ80" s="43"/>
      <c r="AR80" s="358">
        <f t="shared" si="40"/>
        <v>0</v>
      </c>
      <c r="AS80" s="359">
        <f t="shared" si="41"/>
        <v>0</v>
      </c>
      <c r="AT80" s="360">
        <f t="shared" si="42"/>
        <v>0</v>
      </c>
      <c r="AU80" s="43"/>
      <c r="AV80" s="2120">
        <f t="shared" si="36"/>
        <v>0</v>
      </c>
      <c r="AW80" s="119"/>
      <c r="AX80" s="2120">
        <f t="shared" si="43"/>
        <v>0</v>
      </c>
      <c r="AY80" s="43"/>
      <c r="AZ80" s="43"/>
      <c r="BA80" s="43"/>
      <c r="BB80" s="43"/>
      <c r="BC80" s="43"/>
      <c r="BD80" s="43"/>
    </row>
    <row r="81" spans="1:56" ht="15.75">
      <c r="A81" s="88">
        <v>2060</v>
      </c>
      <c r="B81" s="86" t="s">
        <v>554</v>
      </c>
      <c r="C81" s="1033"/>
      <c r="D81" s="1033"/>
      <c r="E81" s="1033"/>
      <c r="F81" s="1033"/>
      <c r="G81" s="1033"/>
      <c r="H81" s="1033"/>
      <c r="I81" s="1033"/>
      <c r="J81" s="1033"/>
      <c r="K81" s="1033"/>
      <c r="L81" s="90"/>
      <c r="M81" s="51" t="s">
        <v>265</v>
      </c>
      <c r="N81" s="113">
        <f t="shared" si="44"/>
        <v>2060</v>
      </c>
      <c r="O81" s="120">
        <v>6302.3</v>
      </c>
      <c r="P81" s="9">
        <v>0</v>
      </c>
      <c r="Q81" s="325">
        <v>0</v>
      </c>
      <c r="R81" s="324">
        <v>0</v>
      </c>
      <c r="S81" s="27">
        <f t="shared" si="34"/>
        <v>6302.3</v>
      </c>
      <c r="T81" s="30">
        <v>0</v>
      </c>
      <c r="U81" s="51"/>
      <c r="V81" s="541">
        <f>+'NF-KSF-TRIAL-BAL-2020'!O81+'RA-TRIAL-BAL-2020'!O81+'DES-TRIAL-BAL-2020'!O81+'DMP-TRIAL-BAL-2020'!O81</f>
        <v>0</v>
      </c>
      <c r="W81" s="529">
        <f>+'NF-KSF-TRIAL-BAL-2020'!P81+'RA-TRIAL-BAL-2020'!P81+'DES-TRIAL-BAL-2020'!P81+'DMP-TRIAL-BAL-2020'!P81</f>
        <v>0</v>
      </c>
      <c r="X81" s="528">
        <f>+'NF-KSF-TRIAL-BAL-2020'!Q81+'RA-TRIAL-BAL-2020'!Q81+'DES-TRIAL-BAL-2020'!Q81+'DMP-TRIAL-BAL-2020'!Q81</f>
        <v>0</v>
      </c>
      <c r="Y81" s="529">
        <f>+'NF-KSF-TRIAL-BAL-2020'!R81+'RA-TRIAL-BAL-2020'!R81+'DES-TRIAL-BAL-2020'!R81+'DMP-TRIAL-BAL-2020'!R81</f>
        <v>0</v>
      </c>
      <c r="Z81" s="528">
        <f>+'NF-KSF-TRIAL-BAL-2020'!S81+'RA-TRIAL-BAL-2020'!S81+'DES-TRIAL-BAL-2020'!S81+'DMP-TRIAL-BAL-2020'!S81</f>
        <v>0</v>
      </c>
      <c r="AA81" s="347">
        <f>+'NF-KSF-TRIAL-BAL-2020'!T81+'RA-TRIAL-BAL-2020'!T81+'DES-TRIAL-BAL-2020'!T81+'DMP-TRIAL-BAL-2020'!T81</f>
        <v>0</v>
      </c>
      <c r="AB81" s="51"/>
      <c r="AC81" s="120">
        <v>0</v>
      </c>
      <c r="AD81" s="9">
        <v>0</v>
      </c>
      <c r="AE81" s="122">
        <v>0</v>
      </c>
      <c r="AF81" s="324">
        <v>0</v>
      </c>
      <c r="AG81" s="27">
        <f t="shared" si="37"/>
        <v>0</v>
      </c>
      <c r="AH81" s="30">
        <v>0</v>
      </c>
      <c r="AI81" s="51"/>
      <c r="AJ81" s="1497">
        <f t="shared" si="45"/>
        <v>2060</v>
      </c>
      <c r="AK81" s="951">
        <f t="shared" si="38"/>
        <v>6302.3</v>
      </c>
      <c r="AL81" s="9">
        <v>0</v>
      </c>
      <c r="AM81" s="326">
        <f t="shared" si="39"/>
        <v>0</v>
      </c>
      <c r="AN81" s="970">
        <f t="shared" si="39"/>
        <v>0</v>
      </c>
      <c r="AO81" s="326">
        <f t="shared" si="35"/>
        <v>6302.3</v>
      </c>
      <c r="AP81" s="331">
        <v>0</v>
      </c>
      <c r="AQ81" s="43"/>
      <c r="AR81" s="358">
        <f t="shared" si="40"/>
        <v>0</v>
      </c>
      <c r="AS81" s="359">
        <f t="shared" si="41"/>
        <v>0</v>
      </c>
      <c r="AT81" s="360">
        <f t="shared" si="42"/>
        <v>0</v>
      </c>
      <c r="AU81" s="43"/>
      <c r="AV81" s="2120">
        <f t="shared" si="36"/>
        <v>0</v>
      </c>
      <c r="AW81" s="119"/>
      <c r="AX81" s="2120">
        <f t="shared" si="43"/>
        <v>0</v>
      </c>
      <c r="AY81" s="43"/>
      <c r="AZ81" s="43"/>
      <c r="BA81" s="43"/>
      <c r="BB81" s="43"/>
      <c r="BC81" s="43"/>
      <c r="BD81" s="43"/>
    </row>
    <row r="82" spans="1:56" ht="15.75">
      <c r="A82" s="88">
        <v>2071</v>
      </c>
      <c r="B82" s="86" t="s">
        <v>43</v>
      </c>
      <c r="C82" s="1033"/>
      <c r="D82" s="1033"/>
      <c r="E82" s="1033"/>
      <c r="F82" s="1033"/>
      <c r="G82" s="1033"/>
      <c r="H82" s="1033"/>
      <c r="I82" s="1033"/>
      <c r="J82" s="1033"/>
      <c r="K82" s="1033"/>
      <c r="L82" s="90"/>
      <c r="M82" s="51" t="s">
        <v>265</v>
      </c>
      <c r="N82" s="113">
        <f t="shared" si="44"/>
        <v>2071</v>
      </c>
      <c r="O82" s="120">
        <v>0</v>
      </c>
      <c r="P82" s="9">
        <v>0</v>
      </c>
      <c r="Q82" s="325">
        <v>0</v>
      </c>
      <c r="R82" s="324">
        <v>0</v>
      </c>
      <c r="S82" s="27">
        <f t="shared" si="34"/>
        <v>0</v>
      </c>
      <c r="T82" s="30">
        <v>0</v>
      </c>
      <c r="U82" s="51"/>
      <c r="V82" s="541">
        <f>+'NF-KSF-TRIAL-BAL-2020'!O82+'RA-TRIAL-BAL-2020'!O82+'DES-TRIAL-BAL-2020'!O82+'DMP-TRIAL-BAL-2020'!O82</f>
        <v>0</v>
      </c>
      <c r="W82" s="529">
        <f>+'NF-KSF-TRIAL-BAL-2020'!P82+'RA-TRIAL-BAL-2020'!P82+'DES-TRIAL-BAL-2020'!P82+'DMP-TRIAL-BAL-2020'!P82</f>
        <v>0</v>
      </c>
      <c r="X82" s="528">
        <f>+'NF-KSF-TRIAL-BAL-2020'!Q82+'RA-TRIAL-BAL-2020'!Q82+'DES-TRIAL-BAL-2020'!Q82+'DMP-TRIAL-BAL-2020'!Q82</f>
        <v>0</v>
      </c>
      <c r="Y82" s="529">
        <f>+'NF-KSF-TRIAL-BAL-2020'!R82+'RA-TRIAL-BAL-2020'!R82+'DES-TRIAL-BAL-2020'!R82+'DMP-TRIAL-BAL-2020'!R82</f>
        <v>0</v>
      </c>
      <c r="Z82" s="528">
        <f>+'NF-KSF-TRIAL-BAL-2020'!S82+'RA-TRIAL-BAL-2020'!S82+'DES-TRIAL-BAL-2020'!S82+'DMP-TRIAL-BAL-2020'!S82</f>
        <v>0</v>
      </c>
      <c r="AA82" s="347">
        <f>+'NF-KSF-TRIAL-BAL-2020'!T82+'RA-TRIAL-BAL-2020'!T82+'DES-TRIAL-BAL-2020'!T82+'DMP-TRIAL-BAL-2020'!T82</f>
        <v>0</v>
      </c>
      <c r="AB82" s="51"/>
      <c r="AC82" s="120">
        <v>0</v>
      </c>
      <c r="AD82" s="9">
        <v>0</v>
      </c>
      <c r="AE82" s="122">
        <v>0</v>
      </c>
      <c r="AF82" s="324">
        <v>0</v>
      </c>
      <c r="AG82" s="27">
        <f t="shared" si="37"/>
        <v>0</v>
      </c>
      <c r="AH82" s="30">
        <v>0</v>
      </c>
      <c r="AI82" s="51"/>
      <c r="AJ82" s="1497">
        <f t="shared" si="45"/>
        <v>2071</v>
      </c>
      <c r="AK82" s="951">
        <f t="shared" si="38"/>
        <v>0</v>
      </c>
      <c r="AL82" s="9">
        <v>0</v>
      </c>
      <c r="AM82" s="326">
        <f t="shared" si="39"/>
        <v>0</v>
      </c>
      <c r="AN82" s="970">
        <f t="shared" si="39"/>
        <v>0</v>
      </c>
      <c r="AO82" s="326">
        <f t="shared" si="35"/>
        <v>0</v>
      </c>
      <c r="AP82" s="331">
        <v>0</v>
      </c>
      <c r="AQ82" s="43"/>
      <c r="AR82" s="358">
        <f t="shared" si="40"/>
        <v>0</v>
      </c>
      <c r="AS82" s="359">
        <f t="shared" si="41"/>
        <v>0</v>
      </c>
      <c r="AT82" s="360">
        <f t="shared" si="42"/>
        <v>0</v>
      </c>
      <c r="AU82" s="43"/>
      <c r="AV82" s="2120">
        <f t="shared" si="36"/>
        <v>0</v>
      </c>
      <c r="AW82" s="119"/>
      <c r="AX82" s="2120">
        <f t="shared" si="43"/>
        <v>0</v>
      </c>
      <c r="AY82" s="43"/>
      <c r="AZ82" s="43"/>
      <c r="BA82" s="43"/>
      <c r="BB82" s="43"/>
      <c r="BC82" s="43"/>
      <c r="BD82" s="43"/>
    </row>
    <row r="83" spans="1:56" ht="15.75">
      <c r="A83" s="88">
        <v>2079</v>
      </c>
      <c r="B83" s="86" t="s">
        <v>555</v>
      </c>
      <c r="C83" s="1033"/>
      <c r="D83" s="1033"/>
      <c r="E83" s="1033"/>
      <c r="F83" s="1033"/>
      <c r="G83" s="1033"/>
      <c r="H83" s="1033"/>
      <c r="I83" s="1033"/>
      <c r="J83" s="1033"/>
      <c r="K83" s="1033"/>
      <c r="L83" s="90"/>
      <c r="M83" s="51" t="s">
        <v>265</v>
      </c>
      <c r="N83" s="113">
        <f t="shared" si="44"/>
        <v>2079</v>
      </c>
      <c r="O83" s="120">
        <v>0</v>
      </c>
      <c r="P83" s="9">
        <v>0</v>
      </c>
      <c r="Q83" s="325">
        <v>0</v>
      </c>
      <c r="R83" s="324">
        <v>0</v>
      </c>
      <c r="S83" s="27">
        <f t="shared" si="34"/>
        <v>0</v>
      </c>
      <c r="T83" s="30">
        <v>0</v>
      </c>
      <c r="U83" s="51"/>
      <c r="V83" s="541">
        <f>+'NF-KSF-TRIAL-BAL-2020'!O83+'RA-TRIAL-BAL-2020'!O83+'DES-TRIAL-BAL-2020'!O83+'DMP-TRIAL-BAL-2020'!O83</f>
        <v>0</v>
      </c>
      <c r="W83" s="529">
        <f>+'NF-KSF-TRIAL-BAL-2020'!P83+'RA-TRIAL-BAL-2020'!P83+'DES-TRIAL-BAL-2020'!P83+'DMP-TRIAL-BAL-2020'!P83</f>
        <v>0</v>
      </c>
      <c r="X83" s="528">
        <f>+'NF-KSF-TRIAL-BAL-2020'!Q83+'RA-TRIAL-BAL-2020'!Q83+'DES-TRIAL-BAL-2020'!Q83+'DMP-TRIAL-BAL-2020'!Q83</f>
        <v>0</v>
      </c>
      <c r="Y83" s="529">
        <f>+'NF-KSF-TRIAL-BAL-2020'!R83+'RA-TRIAL-BAL-2020'!R83+'DES-TRIAL-BAL-2020'!R83+'DMP-TRIAL-BAL-2020'!R83</f>
        <v>0</v>
      </c>
      <c r="Z83" s="528">
        <f>+'NF-KSF-TRIAL-BAL-2020'!S83+'RA-TRIAL-BAL-2020'!S83+'DES-TRIAL-BAL-2020'!S83+'DMP-TRIAL-BAL-2020'!S83</f>
        <v>0</v>
      </c>
      <c r="AA83" s="347">
        <f>+'NF-KSF-TRIAL-BAL-2020'!T83+'RA-TRIAL-BAL-2020'!T83+'DES-TRIAL-BAL-2020'!T83+'DMP-TRIAL-BAL-2020'!T83</f>
        <v>0</v>
      </c>
      <c r="AB83" s="51"/>
      <c r="AC83" s="120">
        <v>0</v>
      </c>
      <c r="AD83" s="9">
        <v>0</v>
      </c>
      <c r="AE83" s="122">
        <v>0</v>
      </c>
      <c r="AF83" s="324">
        <v>0</v>
      </c>
      <c r="AG83" s="27">
        <f t="shared" si="37"/>
        <v>0</v>
      </c>
      <c r="AH83" s="30">
        <v>0</v>
      </c>
      <c r="AI83" s="51"/>
      <c r="AJ83" s="1497">
        <f t="shared" si="45"/>
        <v>2079</v>
      </c>
      <c r="AK83" s="951">
        <f t="shared" si="38"/>
        <v>0</v>
      </c>
      <c r="AL83" s="9">
        <v>0</v>
      </c>
      <c r="AM83" s="326">
        <f t="shared" si="39"/>
        <v>0</v>
      </c>
      <c r="AN83" s="970">
        <f t="shared" si="39"/>
        <v>0</v>
      </c>
      <c r="AO83" s="326">
        <f t="shared" si="35"/>
        <v>0</v>
      </c>
      <c r="AP83" s="331">
        <v>0</v>
      </c>
      <c r="AQ83" s="43"/>
      <c r="AR83" s="358">
        <f t="shared" si="40"/>
        <v>0</v>
      </c>
      <c r="AS83" s="359">
        <f t="shared" si="41"/>
        <v>0</v>
      </c>
      <c r="AT83" s="360">
        <f t="shared" si="42"/>
        <v>0</v>
      </c>
      <c r="AU83" s="43"/>
      <c r="AV83" s="2120">
        <f t="shared" si="36"/>
        <v>0</v>
      </c>
      <c r="AW83" s="119"/>
      <c r="AX83" s="2120">
        <f t="shared" si="43"/>
        <v>0</v>
      </c>
      <c r="AY83" s="43"/>
      <c r="AZ83" s="43"/>
      <c r="BA83" s="43"/>
      <c r="BB83" s="43"/>
      <c r="BC83" s="43"/>
      <c r="BD83" s="43"/>
    </row>
    <row r="84" spans="1:56" ht="15.75">
      <c r="A84" s="88">
        <v>2091</v>
      </c>
      <c r="B84" s="86" t="s">
        <v>359</v>
      </c>
      <c r="C84" s="1033"/>
      <c r="D84" s="1033"/>
      <c r="E84" s="1033"/>
      <c r="F84" s="1033"/>
      <c r="G84" s="1033"/>
      <c r="H84" s="1033"/>
      <c r="I84" s="1033"/>
      <c r="J84" s="1033"/>
      <c r="K84" s="1033"/>
      <c r="L84" s="90"/>
      <c r="M84" s="51" t="s">
        <v>265</v>
      </c>
      <c r="N84" s="113">
        <f t="shared" si="44"/>
        <v>2091</v>
      </c>
      <c r="O84" s="120"/>
      <c r="P84" s="9">
        <v>0</v>
      </c>
      <c r="Q84" s="325"/>
      <c r="R84" s="324"/>
      <c r="S84" s="27">
        <f t="shared" si="34"/>
        <v>0</v>
      </c>
      <c r="T84" s="30">
        <v>0</v>
      </c>
      <c r="U84" s="51"/>
      <c r="V84" s="541">
        <f>+'NF-KSF-TRIAL-BAL-2020'!O84+'RA-TRIAL-BAL-2020'!O84+'DES-TRIAL-BAL-2020'!O84+'DMP-TRIAL-BAL-2020'!O84</f>
        <v>0</v>
      </c>
      <c r="W84" s="529">
        <f>+'NF-KSF-TRIAL-BAL-2020'!P84+'RA-TRIAL-BAL-2020'!P84+'DES-TRIAL-BAL-2020'!P84+'DMP-TRIAL-BAL-2020'!P84</f>
        <v>0</v>
      </c>
      <c r="X84" s="528">
        <f>+'NF-KSF-TRIAL-BAL-2020'!Q84+'RA-TRIAL-BAL-2020'!Q84+'DES-TRIAL-BAL-2020'!Q84+'DMP-TRIAL-BAL-2020'!Q84</f>
        <v>0</v>
      </c>
      <c r="Y84" s="529">
        <f>+'NF-KSF-TRIAL-BAL-2020'!R84+'RA-TRIAL-BAL-2020'!R84+'DES-TRIAL-BAL-2020'!R84+'DMP-TRIAL-BAL-2020'!R84</f>
        <v>0</v>
      </c>
      <c r="Z84" s="528">
        <f>+'NF-KSF-TRIAL-BAL-2020'!S84+'RA-TRIAL-BAL-2020'!S84+'DES-TRIAL-BAL-2020'!S84+'DMP-TRIAL-BAL-2020'!S84</f>
        <v>0</v>
      </c>
      <c r="AA84" s="347">
        <f>+'NF-KSF-TRIAL-BAL-2020'!T84+'RA-TRIAL-BAL-2020'!T84+'DES-TRIAL-BAL-2020'!T84+'DMP-TRIAL-BAL-2020'!T84</f>
        <v>0</v>
      </c>
      <c r="AB84" s="51"/>
      <c r="AC84" s="120"/>
      <c r="AD84" s="9">
        <v>0</v>
      </c>
      <c r="AE84" s="122"/>
      <c r="AF84" s="324"/>
      <c r="AG84" s="27">
        <f t="shared" si="37"/>
        <v>0</v>
      </c>
      <c r="AH84" s="30">
        <v>0</v>
      </c>
      <c r="AI84" s="51"/>
      <c r="AJ84" s="1497">
        <f t="shared" si="45"/>
        <v>2091</v>
      </c>
      <c r="AK84" s="951">
        <f t="shared" si="38"/>
        <v>0</v>
      </c>
      <c r="AL84" s="9">
        <v>0</v>
      </c>
      <c r="AM84" s="326">
        <f t="shared" si="39"/>
        <v>0</v>
      </c>
      <c r="AN84" s="970">
        <f t="shared" si="39"/>
        <v>0</v>
      </c>
      <c r="AO84" s="326">
        <f t="shared" si="35"/>
        <v>0</v>
      </c>
      <c r="AP84" s="331">
        <v>0</v>
      </c>
      <c r="AQ84" s="43"/>
      <c r="AR84" s="358">
        <f t="shared" si="40"/>
        <v>0</v>
      </c>
      <c r="AS84" s="359">
        <f t="shared" si="41"/>
        <v>0</v>
      </c>
      <c r="AT84" s="360">
        <f t="shared" si="42"/>
        <v>0</v>
      </c>
      <c r="AU84" s="43"/>
      <c r="AV84" s="2120">
        <f t="shared" si="36"/>
        <v>0</v>
      </c>
      <c r="AW84" s="119"/>
      <c r="AX84" s="2120">
        <f t="shared" si="43"/>
        <v>0</v>
      </c>
      <c r="AY84" s="43"/>
      <c r="AZ84" s="43"/>
      <c r="BA84" s="43"/>
      <c r="BB84" s="43"/>
      <c r="BC84" s="43"/>
      <c r="BD84" s="43"/>
    </row>
    <row r="85" spans="1:56" ht="15.75">
      <c r="A85" s="88">
        <v>2099</v>
      </c>
      <c r="B85" s="86" t="s">
        <v>556</v>
      </c>
      <c r="C85" s="1033"/>
      <c r="D85" s="1033"/>
      <c r="E85" s="1033"/>
      <c r="F85" s="1033"/>
      <c r="G85" s="1033"/>
      <c r="H85" s="1033"/>
      <c r="I85" s="1033"/>
      <c r="J85" s="1033"/>
      <c r="K85" s="1033"/>
      <c r="L85" s="90"/>
      <c r="M85" s="51" t="s">
        <v>265</v>
      </c>
      <c r="N85" s="113">
        <f t="shared" si="44"/>
        <v>2099</v>
      </c>
      <c r="O85" s="120">
        <v>0</v>
      </c>
      <c r="P85" s="9">
        <v>0</v>
      </c>
      <c r="Q85" s="325">
        <v>0</v>
      </c>
      <c r="R85" s="324">
        <v>0</v>
      </c>
      <c r="S85" s="27">
        <f t="shared" si="34"/>
        <v>0</v>
      </c>
      <c r="T85" s="30">
        <v>0</v>
      </c>
      <c r="U85" s="51"/>
      <c r="V85" s="541">
        <f>+'NF-KSF-TRIAL-BAL-2020'!O85+'RA-TRIAL-BAL-2020'!O85+'DES-TRIAL-BAL-2020'!O85+'DMP-TRIAL-BAL-2020'!O85</f>
        <v>0</v>
      </c>
      <c r="W85" s="529">
        <f>+'NF-KSF-TRIAL-BAL-2020'!P85+'RA-TRIAL-BAL-2020'!P85+'DES-TRIAL-BAL-2020'!P85+'DMP-TRIAL-BAL-2020'!P85</f>
        <v>0</v>
      </c>
      <c r="X85" s="528">
        <f>+'NF-KSF-TRIAL-BAL-2020'!Q85+'RA-TRIAL-BAL-2020'!Q85+'DES-TRIAL-BAL-2020'!Q85+'DMP-TRIAL-BAL-2020'!Q85</f>
        <v>0</v>
      </c>
      <c r="Y85" s="529">
        <f>+'NF-KSF-TRIAL-BAL-2020'!R85+'RA-TRIAL-BAL-2020'!R85+'DES-TRIAL-BAL-2020'!R85+'DMP-TRIAL-BAL-2020'!R85</f>
        <v>0</v>
      </c>
      <c r="Z85" s="528">
        <f>+'NF-KSF-TRIAL-BAL-2020'!S85+'RA-TRIAL-BAL-2020'!S85+'DES-TRIAL-BAL-2020'!S85+'DMP-TRIAL-BAL-2020'!S85</f>
        <v>0</v>
      </c>
      <c r="AA85" s="347">
        <f>+'NF-KSF-TRIAL-BAL-2020'!T85+'RA-TRIAL-BAL-2020'!T85+'DES-TRIAL-BAL-2020'!T85+'DMP-TRIAL-BAL-2020'!T85</f>
        <v>0</v>
      </c>
      <c r="AB85" s="51"/>
      <c r="AC85" s="120">
        <v>0</v>
      </c>
      <c r="AD85" s="9">
        <v>0</v>
      </c>
      <c r="AE85" s="122">
        <v>0</v>
      </c>
      <c r="AF85" s="324">
        <v>0</v>
      </c>
      <c r="AG85" s="27">
        <f t="shared" si="37"/>
        <v>0</v>
      </c>
      <c r="AH85" s="30">
        <v>0</v>
      </c>
      <c r="AI85" s="51"/>
      <c r="AJ85" s="1497">
        <f t="shared" si="45"/>
        <v>2099</v>
      </c>
      <c r="AK85" s="951">
        <f t="shared" si="38"/>
        <v>0</v>
      </c>
      <c r="AL85" s="9">
        <v>0</v>
      </c>
      <c r="AM85" s="326">
        <f t="shared" si="39"/>
        <v>0</v>
      </c>
      <c r="AN85" s="970">
        <f t="shared" si="39"/>
        <v>0</v>
      </c>
      <c r="AO85" s="326">
        <f t="shared" si="35"/>
        <v>0</v>
      </c>
      <c r="AP85" s="331">
        <v>0</v>
      </c>
      <c r="AQ85" s="43"/>
      <c r="AR85" s="358">
        <f t="shared" si="40"/>
        <v>0</v>
      </c>
      <c r="AS85" s="359">
        <f t="shared" si="41"/>
        <v>0</v>
      </c>
      <c r="AT85" s="360">
        <f t="shared" si="42"/>
        <v>0</v>
      </c>
      <c r="AU85" s="43"/>
      <c r="AV85" s="2120">
        <f t="shared" si="36"/>
        <v>0</v>
      </c>
      <c r="AW85" s="119"/>
      <c r="AX85" s="2120">
        <f t="shared" si="43"/>
        <v>0</v>
      </c>
      <c r="AY85" s="43"/>
      <c r="AZ85" s="43"/>
      <c r="BA85" s="43"/>
      <c r="BB85" s="43"/>
      <c r="BC85" s="43"/>
      <c r="BD85" s="43"/>
    </row>
    <row r="86" spans="1:56" ht="15.75">
      <c r="A86" s="88">
        <v>2101</v>
      </c>
      <c r="B86" s="86" t="s">
        <v>360</v>
      </c>
      <c r="C86" s="1033"/>
      <c r="D86" s="1033"/>
      <c r="E86" s="1033"/>
      <c r="F86" s="1033"/>
      <c r="G86" s="1033"/>
      <c r="H86" s="1033"/>
      <c r="I86" s="1033"/>
      <c r="J86" s="1033"/>
      <c r="K86" s="1033"/>
      <c r="L86" s="90"/>
      <c r="M86" s="51" t="s">
        <v>265</v>
      </c>
      <c r="N86" s="113">
        <f t="shared" si="44"/>
        <v>2101</v>
      </c>
      <c r="O86" s="120">
        <v>2305.0099999999998</v>
      </c>
      <c r="P86" s="9">
        <v>0</v>
      </c>
      <c r="Q86" s="325">
        <v>0</v>
      </c>
      <c r="R86" s="324">
        <v>0</v>
      </c>
      <c r="S86" s="27">
        <f t="shared" si="34"/>
        <v>2305.0099999999998</v>
      </c>
      <c r="T86" s="30">
        <v>0</v>
      </c>
      <c r="U86" s="51"/>
      <c r="V86" s="541">
        <f>+'NF-KSF-TRIAL-BAL-2020'!O86+'RA-TRIAL-BAL-2020'!O86+'DES-TRIAL-BAL-2020'!O86+'DMP-TRIAL-BAL-2020'!O86</f>
        <v>0</v>
      </c>
      <c r="W86" s="529">
        <f>+'NF-KSF-TRIAL-BAL-2020'!P86+'RA-TRIAL-BAL-2020'!P86+'DES-TRIAL-BAL-2020'!P86+'DMP-TRIAL-BAL-2020'!P86</f>
        <v>0</v>
      </c>
      <c r="X86" s="528">
        <f>+'NF-KSF-TRIAL-BAL-2020'!Q86+'RA-TRIAL-BAL-2020'!Q86+'DES-TRIAL-BAL-2020'!Q86+'DMP-TRIAL-BAL-2020'!Q86</f>
        <v>0</v>
      </c>
      <c r="Y86" s="529">
        <f>+'NF-KSF-TRIAL-BAL-2020'!R86+'RA-TRIAL-BAL-2020'!R86+'DES-TRIAL-BAL-2020'!R86+'DMP-TRIAL-BAL-2020'!R86</f>
        <v>0</v>
      </c>
      <c r="Z86" s="528">
        <f>+'NF-KSF-TRIAL-BAL-2020'!S86+'RA-TRIAL-BAL-2020'!S86+'DES-TRIAL-BAL-2020'!S86+'DMP-TRIAL-BAL-2020'!S86</f>
        <v>0</v>
      </c>
      <c r="AA86" s="347">
        <f>+'NF-KSF-TRIAL-BAL-2020'!T86+'RA-TRIAL-BAL-2020'!T86+'DES-TRIAL-BAL-2020'!T86+'DMP-TRIAL-BAL-2020'!T86</f>
        <v>0</v>
      </c>
      <c r="AB86" s="51"/>
      <c r="AC86" s="120">
        <v>0</v>
      </c>
      <c r="AD86" s="9">
        <v>0</v>
      </c>
      <c r="AE86" s="122">
        <v>0</v>
      </c>
      <c r="AF86" s="324">
        <v>0</v>
      </c>
      <c r="AG86" s="27">
        <f t="shared" si="37"/>
        <v>0</v>
      </c>
      <c r="AH86" s="30">
        <v>0</v>
      </c>
      <c r="AI86" s="51"/>
      <c r="AJ86" s="1497">
        <f t="shared" si="45"/>
        <v>2101</v>
      </c>
      <c r="AK86" s="951">
        <f t="shared" si="38"/>
        <v>2305.0100000000002</v>
      </c>
      <c r="AL86" s="9">
        <v>0</v>
      </c>
      <c r="AM86" s="326">
        <f t="shared" si="39"/>
        <v>0</v>
      </c>
      <c r="AN86" s="970">
        <f t="shared" si="39"/>
        <v>0</v>
      </c>
      <c r="AO86" s="326">
        <f t="shared" si="35"/>
        <v>2305.0099999999998</v>
      </c>
      <c r="AP86" s="331">
        <v>0</v>
      </c>
      <c r="AQ86" s="43"/>
      <c r="AR86" s="358">
        <f t="shared" si="40"/>
        <v>0</v>
      </c>
      <c r="AS86" s="359">
        <f t="shared" si="41"/>
        <v>0</v>
      </c>
      <c r="AT86" s="360">
        <f t="shared" si="42"/>
        <v>0</v>
      </c>
      <c r="AU86" s="43"/>
      <c r="AV86" s="2120">
        <f t="shared" si="36"/>
        <v>0</v>
      </c>
      <c r="AW86" s="119"/>
      <c r="AX86" s="2120">
        <f t="shared" si="43"/>
        <v>0</v>
      </c>
      <c r="AY86" s="43"/>
      <c r="AZ86" s="43"/>
      <c r="BA86" s="43"/>
      <c r="BB86" s="43"/>
      <c r="BC86" s="43"/>
      <c r="BD86" s="43"/>
    </row>
    <row r="87" spans="1:56" ht="15.75">
      <c r="A87" s="88">
        <v>2102</v>
      </c>
      <c r="B87" s="86" t="s">
        <v>557</v>
      </c>
      <c r="C87" s="1033"/>
      <c r="D87" s="1033"/>
      <c r="E87" s="1033"/>
      <c r="F87" s="1033"/>
      <c r="G87" s="1033"/>
      <c r="H87" s="1033"/>
      <c r="I87" s="1033"/>
      <c r="J87" s="1033"/>
      <c r="K87" s="1033"/>
      <c r="L87" s="90"/>
      <c r="M87" s="51" t="s">
        <v>265</v>
      </c>
      <c r="N87" s="113">
        <f t="shared" si="44"/>
        <v>2102</v>
      </c>
      <c r="O87" s="120">
        <v>0</v>
      </c>
      <c r="P87" s="9">
        <v>0</v>
      </c>
      <c r="Q87" s="325">
        <v>0</v>
      </c>
      <c r="R87" s="324">
        <v>0</v>
      </c>
      <c r="S87" s="27">
        <f t="shared" si="34"/>
        <v>0</v>
      </c>
      <c r="T87" s="30">
        <v>0</v>
      </c>
      <c r="U87" s="51"/>
      <c r="V87" s="541">
        <f>+'NF-KSF-TRIAL-BAL-2020'!O87+'RA-TRIAL-BAL-2020'!O87+'DES-TRIAL-BAL-2020'!O87+'DMP-TRIAL-BAL-2020'!O87</f>
        <v>0</v>
      </c>
      <c r="W87" s="529">
        <f>+'NF-KSF-TRIAL-BAL-2020'!P87+'RA-TRIAL-BAL-2020'!P87+'DES-TRIAL-BAL-2020'!P87+'DMP-TRIAL-BAL-2020'!P87</f>
        <v>0</v>
      </c>
      <c r="X87" s="528">
        <f>+'NF-KSF-TRIAL-BAL-2020'!Q87+'RA-TRIAL-BAL-2020'!Q87+'DES-TRIAL-BAL-2020'!Q87+'DMP-TRIAL-BAL-2020'!Q87</f>
        <v>0</v>
      </c>
      <c r="Y87" s="529">
        <f>+'NF-KSF-TRIAL-BAL-2020'!R87+'RA-TRIAL-BAL-2020'!R87+'DES-TRIAL-BAL-2020'!R87+'DMP-TRIAL-BAL-2020'!R87</f>
        <v>0</v>
      </c>
      <c r="Z87" s="528">
        <f>+'NF-KSF-TRIAL-BAL-2020'!S87+'RA-TRIAL-BAL-2020'!S87+'DES-TRIAL-BAL-2020'!S87+'DMP-TRIAL-BAL-2020'!S87</f>
        <v>0</v>
      </c>
      <c r="AA87" s="347">
        <f>+'NF-KSF-TRIAL-BAL-2020'!T87+'RA-TRIAL-BAL-2020'!T87+'DES-TRIAL-BAL-2020'!T87+'DMP-TRIAL-BAL-2020'!T87</f>
        <v>0</v>
      </c>
      <c r="AB87" s="51"/>
      <c r="AC87" s="120">
        <v>0</v>
      </c>
      <c r="AD87" s="9">
        <v>0</v>
      </c>
      <c r="AE87" s="122">
        <v>0</v>
      </c>
      <c r="AF87" s="324">
        <v>0</v>
      </c>
      <c r="AG87" s="27">
        <f t="shared" si="37"/>
        <v>0</v>
      </c>
      <c r="AH87" s="30">
        <v>0</v>
      </c>
      <c r="AI87" s="51"/>
      <c r="AJ87" s="1497">
        <f t="shared" si="45"/>
        <v>2102</v>
      </c>
      <c r="AK87" s="951">
        <f t="shared" si="38"/>
        <v>0</v>
      </c>
      <c r="AL87" s="9">
        <v>0</v>
      </c>
      <c r="AM87" s="326">
        <f t="shared" si="39"/>
        <v>0</v>
      </c>
      <c r="AN87" s="970">
        <f t="shared" si="39"/>
        <v>0</v>
      </c>
      <c r="AO87" s="326">
        <f t="shared" si="35"/>
        <v>0</v>
      </c>
      <c r="AP87" s="331">
        <v>0</v>
      </c>
      <c r="AQ87" s="43"/>
      <c r="AR87" s="358">
        <f t="shared" si="40"/>
        <v>0</v>
      </c>
      <c r="AS87" s="359">
        <f t="shared" si="41"/>
        <v>0</v>
      </c>
      <c r="AT87" s="360">
        <f t="shared" si="42"/>
        <v>0</v>
      </c>
      <c r="AU87" s="43"/>
      <c r="AV87" s="2120">
        <f t="shared" si="36"/>
        <v>0</v>
      </c>
      <c r="AW87" s="119"/>
      <c r="AX87" s="2120">
        <f t="shared" si="43"/>
        <v>0</v>
      </c>
      <c r="AY87" s="43"/>
      <c r="AZ87" s="43"/>
      <c r="BA87" s="43"/>
      <c r="BB87" s="43"/>
      <c r="BC87" s="43"/>
      <c r="BD87" s="43"/>
    </row>
    <row r="88" spans="1:56" ht="15.75">
      <c r="A88" s="88">
        <v>2107</v>
      </c>
      <c r="B88" s="86" t="s">
        <v>361</v>
      </c>
      <c r="C88" s="1033"/>
      <c r="D88" s="1033"/>
      <c r="E88" s="1033"/>
      <c r="F88" s="1033"/>
      <c r="G88" s="1033"/>
      <c r="H88" s="1033"/>
      <c r="I88" s="1033"/>
      <c r="J88" s="1033"/>
      <c r="K88" s="1033"/>
      <c r="L88" s="90"/>
      <c r="M88" s="51" t="s">
        <v>265</v>
      </c>
      <c r="N88" s="113">
        <f>+A88</f>
        <v>2107</v>
      </c>
      <c r="O88" s="120"/>
      <c r="P88" s="9">
        <v>0</v>
      </c>
      <c r="Q88" s="325"/>
      <c r="R88" s="324"/>
      <c r="S88" s="27">
        <f t="shared" si="34"/>
        <v>0</v>
      </c>
      <c r="T88" s="30">
        <v>0</v>
      </c>
      <c r="U88" s="51"/>
      <c r="V88" s="541">
        <f>+'NF-KSF-TRIAL-BAL-2020'!O88+'RA-TRIAL-BAL-2020'!O88+'DES-TRIAL-BAL-2020'!O88+'DMP-TRIAL-BAL-2020'!O88</f>
        <v>0</v>
      </c>
      <c r="W88" s="529">
        <f>+'NF-KSF-TRIAL-BAL-2020'!P88+'RA-TRIAL-BAL-2020'!P88+'DES-TRIAL-BAL-2020'!P88+'DMP-TRIAL-BAL-2020'!P88</f>
        <v>0</v>
      </c>
      <c r="X88" s="528">
        <f>+'NF-KSF-TRIAL-BAL-2020'!Q88+'RA-TRIAL-BAL-2020'!Q88+'DES-TRIAL-BAL-2020'!Q88+'DMP-TRIAL-BAL-2020'!Q88</f>
        <v>0</v>
      </c>
      <c r="Y88" s="529">
        <f>+'NF-KSF-TRIAL-BAL-2020'!R88+'RA-TRIAL-BAL-2020'!R88+'DES-TRIAL-BAL-2020'!R88+'DMP-TRIAL-BAL-2020'!R88</f>
        <v>0</v>
      </c>
      <c r="Z88" s="528">
        <f>+'NF-KSF-TRIAL-BAL-2020'!S88+'RA-TRIAL-BAL-2020'!S88+'DES-TRIAL-BAL-2020'!S88+'DMP-TRIAL-BAL-2020'!S88</f>
        <v>0</v>
      </c>
      <c r="AA88" s="347">
        <f>+'NF-KSF-TRIAL-BAL-2020'!T88+'RA-TRIAL-BAL-2020'!T88+'DES-TRIAL-BAL-2020'!T88+'DMP-TRIAL-BAL-2020'!T88</f>
        <v>0</v>
      </c>
      <c r="AB88" s="51"/>
      <c r="AC88" s="120"/>
      <c r="AD88" s="9">
        <v>0</v>
      </c>
      <c r="AE88" s="122"/>
      <c r="AF88" s="324"/>
      <c r="AG88" s="27">
        <f t="shared" si="37"/>
        <v>0</v>
      </c>
      <c r="AH88" s="30">
        <v>0</v>
      </c>
      <c r="AI88" s="51"/>
      <c r="AJ88" s="1497">
        <f>+N88</f>
        <v>2107</v>
      </c>
      <c r="AK88" s="951">
        <f>+ROUND(+O88+V88+AC88,2)</f>
        <v>0</v>
      </c>
      <c r="AL88" s="9">
        <v>0</v>
      </c>
      <c r="AM88" s="326">
        <f>+ROUND(+Q88+X88+AE88,2)</f>
        <v>0</v>
      </c>
      <c r="AN88" s="970">
        <f>+ROUND(+R88+Y88+AF88,2)</f>
        <v>0</v>
      </c>
      <c r="AO88" s="326">
        <f t="shared" si="35"/>
        <v>0</v>
      </c>
      <c r="AP88" s="331">
        <v>0</v>
      </c>
      <c r="AQ88" s="43"/>
      <c r="AR88" s="358">
        <f>+ROUND(+SUM(AK88-AL88)-SUM(O88-P88)-SUM(V88-W88)-SUM(AC88-AD88),2)</f>
        <v>0</v>
      </c>
      <c r="AS88" s="359">
        <f>+ROUND(+SUM(AM88-AN88)-SUM(Q88-R88)-SUM(X88-Y88)-SUM(AE88-AF88),2)</f>
        <v>0</v>
      </c>
      <c r="AT88" s="360">
        <f>+ROUND(+SUM(AO88-AP88)-SUM(S88-T88)-SUM(Z88-AA88)-SUM(AG88-AH88),2)</f>
        <v>0</v>
      </c>
      <c r="AU88" s="43"/>
      <c r="AV88" s="2120">
        <f t="shared" si="36"/>
        <v>0</v>
      </c>
      <c r="AW88" s="119"/>
      <c r="AX88" s="2120">
        <f t="shared" si="43"/>
        <v>0</v>
      </c>
      <c r="AY88" s="43"/>
      <c r="AZ88" s="43"/>
      <c r="BA88" s="43"/>
      <c r="BB88" s="43"/>
      <c r="BC88" s="43"/>
      <c r="BD88" s="43"/>
    </row>
    <row r="89" spans="1:56" ht="15.75">
      <c r="A89" s="88">
        <v>2109</v>
      </c>
      <c r="B89" s="86" t="s">
        <v>558</v>
      </c>
      <c r="C89" s="1033"/>
      <c r="D89" s="1033"/>
      <c r="E89" s="1033"/>
      <c r="F89" s="1033"/>
      <c r="G89" s="1033"/>
      <c r="H89" s="1033"/>
      <c r="I89" s="1033"/>
      <c r="J89" s="1033"/>
      <c r="K89" s="1033"/>
      <c r="L89" s="90"/>
      <c r="M89" s="51" t="s">
        <v>265</v>
      </c>
      <c r="N89" s="113">
        <f t="shared" si="44"/>
        <v>2109</v>
      </c>
      <c r="O89" s="120">
        <v>0</v>
      </c>
      <c r="P89" s="9">
        <v>0</v>
      </c>
      <c r="Q89" s="325">
        <v>0</v>
      </c>
      <c r="R89" s="324">
        <v>0</v>
      </c>
      <c r="S89" s="27">
        <f t="shared" si="34"/>
        <v>0</v>
      </c>
      <c r="T89" s="30">
        <v>0</v>
      </c>
      <c r="U89" s="51"/>
      <c r="V89" s="541">
        <f>+'NF-KSF-TRIAL-BAL-2020'!O89+'RA-TRIAL-BAL-2020'!O89+'DES-TRIAL-BAL-2020'!O89+'DMP-TRIAL-BAL-2020'!O89</f>
        <v>0</v>
      </c>
      <c r="W89" s="529">
        <f>+'NF-KSF-TRIAL-BAL-2020'!P89+'RA-TRIAL-BAL-2020'!P89+'DES-TRIAL-BAL-2020'!P89+'DMP-TRIAL-BAL-2020'!P89</f>
        <v>0</v>
      </c>
      <c r="X89" s="528">
        <f>+'NF-KSF-TRIAL-BAL-2020'!Q89+'RA-TRIAL-BAL-2020'!Q89+'DES-TRIAL-BAL-2020'!Q89+'DMP-TRIAL-BAL-2020'!Q89</f>
        <v>0</v>
      </c>
      <c r="Y89" s="529">
        <f>+'NF-KSF-TRIAL-BAL-2020'!R89+'RA-TRIAL-BAL-2020'!R89+'DES-TRIAL-BAL-2020'!R89+'DMP-TRIAL-BAL-2020'!R89</f>
        <v>0</v>
      </c>
      <c r="Z89" s="528">
        <f>+'NF-KSF-TRIAL-BAL-2020'!S89+'RA-TRIAL-BAL-2020'!S89+'DES-TRIAL-BAL-2020'!S89+'DMP-TRIAL-BAL-2020'!S89</f>
        <v>0</v>
      </c>
      <c r="AA89" s="347">
        <f>+'NF-KSF-TRIAL-BAL-2020'!T89+'RA-TRIAL-BAL-2020'!T89+'DES-TRIAL-BAL-2020'!T89+'DMP-TRIAL-BAL-2020'!T89</f>
        <v>0</v>
      </c>
      <c r="AB89" s="51"/>
      <c r="AC89" s="120">
        <v>0</v>
      </c>
      <c r="AD89" s="9">
        <v>0</v>
      </c>
      <c r="AE89" s="122">
        <v>0</v>
      </c>
      <c r="AF89" s="324">
        <v>0</v>
      </c>
      <c r="AG89" s="27">
        <f t="shared" si="37"/>
        <v>0</v>
      </c>
      <c r="AH89" s="30">
        <v>0</v>
      </c>
      <c r="AI89" s="51"/>
      <c r="AJ89" s="1497">
        <f t="shared" si="45"/>
        <v>2109</v>
      </c>
      <c r="AK89" s="951">
        <f t="shared" si="38"/>
        <v>0</v>
      </c>
      <c r="AL89" s="9">
        <v>0</v>
      </c>
      <c r="AM89" s="326">
        <f t="shared" si="39"/>
        <v>0</v>
      </c>
      <c r="AN89" s="970">
        <f t="shared" si="39"/>
        <v>0</v>
      </c>
      <c r="AO89" s="326">
        <f t="shared" si="35"/>
        <v>0</v>
      </c>
      <c r="AP89" s="331">
        <v>0</v>
      </c>
      <c r="AQ89" s="43"/>
      <c r="AR89" s="358">
        <f t="shared" si="40"/>
        <v>0</v>
      </c>
      <c r="AS89" s="359">
        <f t="shared" si="41"/>
        <v>0</v>
      </c>
      <c r="AT89" s="360">
        <f t="shared" si="42"/>
        <v>0</v>
      </c>
      <c r="AU89" s="43"/>
      <c r="AV89" s="2120">
        <f t="shared" si="36"/>
        <v>0</v>
      </c>
      <c r="AW89" s="119"/>
      <c r="AX89" s="2120">
        <f t="shared" si="43"/>
        <v>0</v>
      </c>
      <c r="AY89" s="43"/>
      <c r="AZ89" s="43"/>
      <c r="BA89" s="43"/>
      <c r="BB89" s="43"/>
      <c r="BC89" s="43"/>
      <c r="BD89" s="43"/>
    </row>
    <row r="90" spans="1:56" ht="15.75">
      <c r="A90" s="88">
        <v>2201</v>
      </c>
      <c r="B90" s="86" t="s">
        <v>383</v>
      </c>
      <c r="C90" s="1033"/>
      <c r="D90" s="1033"/>
      <c r="E90" s="1033"/>
      <c r="F90" s="1033"/>
      <c r="G90" s="1033"/>
      <c r="H90" s="1033"/>
      <c r="I90" s="1033"/>
      <c r="J90" s="1033"/>
      <c r="K90" s="1033"/>
      <c r="L90" s="574"/>
      <c r="M90" s="51" t="s">
        <v>265</v>
      </c>
      <c r="N90" s="113">
        <f t="shared" si="44"/>
        <v>2201</v>
      </c>
      <c r="O90" s="575">
        <v>0</v>
      </c>
      <c r="P90" s="582">
        <v>0</v>
      </c>
      <c r="Q90" s="579">
        <v>0</v>
      </c>
      <c r="R90" s="582">
        <v>0</v>
      </c>
      <c r="S90" s="579">
        <v>0</v>
      </c>
      <c r="T90" s="584">
        <v>0</v>
      </c>
      <c r="U90" s="51"/>
      <c r="V90" s="541">
        <f>+'NF-KSF-TRIAL-BAL-2020'!O90+'RA-TRIAL-BAL-2020'!O90+'DES-TRIAL-BAL-2020'!O90+'DMP-TRIAL-BAL-2020'!O90</f>
        <v>0</v>
      </c>
      <c r="W90" s="529">
        <f>+'NF-KSF-TRIAL-BAL-2020'!P90+'RA-TRIAL-BAL-2020'!P90+'DES-TRIAL-BAL-2020'!P90+'DMP-TRIAL-BAL-2020'!P90</f>
        <v>0</v>
      </c>
      <c r="X90" s="587">
        <f>+'NF-KSF-TRIAL-BAL-2020'!Q90+'RA-TRIAL-BAL-2020'!Q90+'DES-TRIAL-BAL-2020'!Q90+'DMP-TRIAL-BAL-2020'!Q90</f>
        <v>0</v>
      </c>
      <c r="Y90" s="586">
        <f>+'NF-KSF-TRIAL-BAL-2020'!R90+'RA-TRIAL-BAL-2020'!R90+'DES-TRIAL-BAL-2020'!R90+'DMP-TRIAL-BAL-2020'!R90</f>
        <v>0</v>
      </c>
      <c r="Z90" s="587">
        <f>+'NF-KSF-TRIAL-BAL-2020'!S90+'RA-TRIAL-BAL-2020'!S90+'DES-TRIAL-BAL-2020'!S90+'DMP-TRIAL-BAL-2020'!S90</f>
        <v>0</v>
      </c>
      <c r="AA90" s="588">
        <f>+'NF-KSF-TRIAL-BAL-2020'!T90+'RA-TRIAL-BAL-2020'!T90+'DES-TRIAL-BAL-2020'!T90+'DMP-TRIAL-BAL-2020'!T90</f>
        <v>0</v>
      </c>
      <c r="AB90" s="51"/>
      <c r="AC90" s="581"/>
      <c r="AD90" s="582">
        <v>0</v>
      </c>
      <c r="AE90" s="122"/>
      <c r="AF90" s="324"/>
      <c r="AG90" s="583">
        <f t="shared" si="37"/>
        <v>0</v>
      </c>
      <c r="AH90" s="584">
        <v>0</v>
      </c>
      <c r="AI90" s="51"/>
      <c r="AJ90" s="1497">
        <f t="shared" si="45"/>
        <v>2201</v>
      </c>
      <c r="AK90" s="951">
        <f t="shared" si="38"/>
        <v>0</v>
      </c>
      <c r="AL90" s="9">
        <v>0</v>
      </c>
      <c r="AM90" s="326">
        <f t="shared" ref="AM90:AN93" si="46">+ROUND(+Q90+X90+AE90,2)</f>
        <v>0</v>
      </c>
      <c r="AN90" s="970">
        <f t="shared" si="46"/>
        <v>0</v>
      </c>
      <c r="AO90" s="326">
        <f t="shared" si="35"/>
        <v>0</v>
      </c>
      <c r="AP90" s="331">
        <v>0</v>
      </c>
      <c r="AQ90" s="43"/>
      <c r="AR90" s="358">
        <f t="shared" si="40"/>
        <v>0</v>
      </c>
      <c r="AS90" s="359">
        <f t="shared" si="41"/>
        <v>0</v>
      </c>
      <c r="AT90" s="360">
        <f t="shared" si="42"/>
        <v>0</v>
      </c>
      <c r="AU90" s="43"/>
      <c r="AV90" s="2125">
        <f>+IF(OR(O90&lt;&gt;0,P90&lt;&gt;0,Q90&lt;&gt;0,R90&lt;&gt;0,S90&lt;&gt;0,T90&lt;&gt;0),+IF(ABS(O90+Q90)-ABS(P90+R90)&lt;&gt;0,ABS(O90+Q90)-ABS(P90+R90),1),0)</f>
        <v>0</v>
      </c>
      <c r="AW90" s="119"/>
      <c r="AX90" s="2120">
        <f t="shared" si="43"/>
        <v>0</v>
      </c>
      <c r="AY90" s="43"/>
      <c r="AZ90" s="43"/>
      <c r="BA90" s="43"/>
      <c r="BB90" s="43"/>
      <c r="BC90" s="43"/>
      <c r="BD90" s="43"/>
    </row>
    <row r="91" spans="1:56" ht="15.75">
      <c r="A91" s="88">
        <v>2202</v>
      </c>
      <c r="B91" s="86" t="s">
        <v>384</v>
      </c>
      <c r="C91" s="1033"/>
      <c r="D91" s="1033"/>
      <c r="E91" s="1033"/>
      <c r="F91" s="1033"/>
      <c r="G91" s="1033"/>
      <c r="H91" s="1033"/>
      <c r="I91" s="1033"/>
      <c r="J91" s="1033"/>
      <c r="K91" s="1033"/>
      <c r="L91" s="574"/>
      <c r="M91" s="51" t="s">
        <v>265</v>
      </c>
      <c r="N91" s="113">
        <f t="shared" si="44"/>
        <v>2202</v>
      </c>
      <c r="O91" s="575">
        <v>0</v>
      </c>
      <c r="P91" s="582">
        <v>0</v>
      </c>
      <c r="Q91" s="579">
        <v>0</v>
      </c>
      <c r="R91" s="582">
        <v>0</v>
      </c>
      <c r="S91" s="579">
        <v>0</v>
      </c>
      <c r="T91" s="584">
        <v>0</v>
      </c>
      <c r="U91" s="51"/>
      <c r="V91" s="541">
        <f>+'NF-KSF-TRIAL-BAL-2020'!O91+'RA-TRIAL-BAL-2020'!O91+'DES-TRIAL-BAL-2020'!O91+'DMP-TRIAL-BAL-2020'!O91</f>
        <v>0</v>
      </c>
      <c r="W91" s="529">
        <f>+'NF-KSF-TRIAL-BAL-2020'!P91+'RA-TRIAL-BAL-2020'!P91+'DES-TRIAL-BAL-2020'!P91+'DMP-TRIAL-BAL-2020'!P91</f>
        <v>0</v>
      </c>
      <c r="X91" s="587">
        <f>+'NF-KSF-TRIAL-BAL-2020'!Q91+'RA-TRIAL-BAL-2020'!Q91+'DES-TRIAL-BAL-2020'!Q91+'DMP-TRIAL-BAL-2020'!Q91</f>
        <v>0</v>
      </c>
      <c r="Y91" s="586">
        <f>+'NF-KSF-TRIAL-BAL-2020'!R91+'RA-TRIAL-BAL-2020'!R91+'DES-TRIAL-BAL-2020'!R91+'DMP-TRIAL-BAL-2020'!R91</f>
        <v>0</v>
      </c>
      <c r="Z91" s="587">
        <f>+'NF-KSF-TRIAL-BAL-2020'!S91+'RA-TRIAL-BAL-2020'!S91+'DES-TRIAL-BAL-2020'!S91+'DMP-TRIAL-BAL-2020'!S91</f>
        <v>0</v>
      </c>
      <c r="AA91" s="588">
        <f>+'NF-KSF-TRIAL-BAL-2020'!T91+'RA-TRIAL-BAL-2020'!T91+'DES-TRIAL-BAL-2020'!T91+'DMP-TRIAL-BAL-2020'!T91</f>
        <v>0</v>
      </c>
      <c r="AB91" s="51"/>
      <c r="AC91" s="581"/>
      <c r="AD91" s="582">
        <v>0</v>
      </c>
      <c r="AE91" s="325"/>
      <c r="AF91" s="324"/>
      <c r="AG91" s="583">
        <f t="shared" si="37"/>
        <v>0</v>
      </c>
      <c r="AH91" s="584">
        <v>0</v>
      </c>
      <c r="AI91" s="51"/>
      <c r="AJ91" s="1497">
        <f t="shared" si="45"/>
        <v>2202</v>
      </c>
      <c r="AK91" s="951">
        <f t="shared" si="38"/>
        <v>0</v>
      </c>
      <c r="AL91" s="9">
        <v>0</v>
      </c>
      <c r="AM91" s="326">
        <f t="shared" si="46"/>
        <v>0</v>
      </c>
      <c r="AN91" s="970">
        <f t="shared" si="46"/>
        <v>0</v>
      </c>
      <c r="AO91" s="326">
        <f t="shared" si="35"/>
        <v>0</v>
      </c>
      <c r="AP91" s="331">
        <v>0</v>
      </c>
      <c r="AQ91" s="43"/>
      <c r="AR91" s="358">
        <f t="shared" si="40"/>
        <v>0</v>
      </c>
      <c r="AS91" s="359">
        <f t="shared" si="41"/>
        <v>0</v>
      </c>
      <c r="AT91" s="360">
        <f t="shared" si="42"/>
        <v>0</v>
      </c>
      <c r="AU91" s="43"/>
      <c r="AV91" s="2125">
        <f>+IF(OR(O91&lt;&gt;0,P91&lt;&gt;0,Q91&lt;&gt;0,R91&lt;&gt;0,S91&lt;&gt;0,T91&lt;&gt;0),+IF(ABS(O91+Q91)-ABS(P91+R91)&lt;&gt;0,ABS(O91+Q91)-ABS(P91+R91),1),0)</f>
        <v>0</v>
      </c>
      <c r="AW91" s="119"/>
      <c r="AX91" s="2120">
        <f t="shared" si="43"/>
        <v>0</v>
      </c>
      <c r="AY91" s="43"/>
      <c r="AZ91" s="43"/>
      <c r="BA91" s="43"/>
      <c r="BB91" s="43"/>
      <c r="BC91" s="43"/>
      <c r="BD91" s="43"/>
    </row>
    <row r="92" spans="1:56" ht="15.75">
      <c r="A92" s="88">
        <v>2203</v>
      </c>
      <c r="B92" s="86" t="s">
        <v>385</v>
      </c>
      <c r="C92" s="1033"/>
      <c r="D92" s="1033"/>
      <c r="E92" s="1033"/>
      <c r="F92" s="1033"/>
      <c r="G92" s="1033"/>
      <c r="H92" s="1033"/>
      <c r="I92" s="1033"/>
      <c r="J92" s="1033"/>
      <c r="K92" s="1033"/>
      <c r="L92" s="574"/>
      <c r="M92" s="51" t="s">
        <v>265</v>
      </c>
      <c r="N92" s="113">
        <f t="shared" si="44"/>
        <v>2203</v>
      </c>
      <c r="O92" s="575">
        <v>0</v>
      </c>
      <c r="P92" s="582">
        <v>0</v>
      </c>
      <c r="Q92" s="579">
        <v>0</v>
      </c>
      <c r="R92" s="582">
        <v>0</v>
      </c>
      <c r="S92" s="579">
        <v>0</v>
      </c>
      <c r="T92" s="584">
        <v>0</v>
      </c>
      <c r="U92" s="51"/>
      <c r="V92" s="541">
        <f>+'NF-KSF-TRIAL-BAL-2020'!O92+'RA-TRIAL-BAL-2020'!O92+'DES-TRIAL-BAL-2020'!O92+'DMP-TRIAL-BAL-2020'!O92</f>
        <v>0</v>
      </c>
      <c r="W92" s="529">
        <f>+'NF-KSF-TRIAL-BAL-2020'!P92+'RA-TRIAL-BAL-2020'!P92+'DES-TRIAL-BAL-2020'!P92+'DMP-TRIAL-BAL-2020'!P92</f>
        <v>0</v>
      </c>
      <c r="X92" s="587">
        <f>+'NF-KSF-TRIAL-BAL-2020'!Q92+'RA-TRIAL-BAL-2020'!Q92+'DES-TRIAL-BAL-2020'!Q92+'DMP-TRIAL-BAL-2020'!Q92</f>
        <v>0</v>
      </c>
      <c r="Y92" s="586">
        <f>+'NF-KSF-TRIAL-BAL-2020'!R92+'RA-TRIAL-BAL-2020'!R92+'DES-TRIAL-BAL-2020'!R92+'DMP-TRIAL-BAL-2020'!R92</f>
        <v>0</v>
      </c>
      <c r="Z92" s="587">
        <f>+'NF-KSF-TRIAL-BAL-2020'!S92+'RA-TRIAL-BAL-2020'!S92+'DES-TRIAL-BAL-2020'!S92+'DMP-TRIAL-BAL-2020'!S92</f>
        <v>0</v>
      </c>
      <c r="AA92" s="588">
        <f>+'NF-KSF-TRIAL-BAL-2020'!T92+'RA-TRIAL-BAL-2020'!T92+'DES-TRIAL-BAL-2020'!T92+'DMP-TRIAL-BAL-2020'!T92</f>
        <v>0</v>
      </c>
      <c r="AB92" s="51"/>
      <c r="AC92" s="581"/>
      <c r="AD92" s="582">
        <v>0</v>
      </c>
      <c r="AE92" s="325"/>
      <c r="AF92" s="324"/>
      <c r="AG92" s="583">
        <f t="shared" si="37"/>
        <v>0</v>
      </c>
      <c r="AH92" s="584">
        <v>0</v>
      </c>
      <c r="AI92" s="51"/>
      <c r="AJ92" s="1497">
        <f>+N92</f>
        <v>2203</v>
      </c>
      <c r="AK92" s="951">
        <f>+ROUND(+O92+V92+AC92,2)</f>
        <v>0</v>
      </c>
      <c r="AL92" s="9">
        <v>0</v>
      </c>
      <c r="AM92" s="326">
        <f t="shared" si="46"/>
        <v>0</v>
      </c>
      <c r="AN92" s="970">
        <f t="shared" si="46"/>
        <v>0</v>
      </c>
      <c r="AO92" s="326">
        <f t="shared" si="35"/>
        <v>0</v>
      </c>
      <c r="AP92" s="331">
        <v>0</v>
      </c>
      <c r="AQ92" s="43"/>
      <c r="AR92" s="358">
        <f>+ROUND(+SUM(AK92-AL92)-SUM(O92-P92)-SUM(V92-W92)-SUM(AC92-AD92),2)</f>
        <v>0</v>
      </c>
      <c r="AS92" s="359">
        <f>+ROUND(+SUM(AM92-AN92)-SUM(Q92-R92)-SUM(X92-Y92)-SUM(AE92-AF92),2)</f>
        <v>0</v>
      </c>
      <c r="AT92" s="360">
        <f>+ROUND(+SUM(AO92-AP92)-SUM(S92-T92)-SUM(Z92-AA92)-SUM(AG92-AH92),2)</f>
        <v>0</v>
      </c>
      <c r="AU92" s="43"/>
      <c r="AV92" s="2125">
        <f>+IF(OR(O92&lt;&gt;0,P92&lt;&gt;0,Q92&lt;&gt;0,R92&lt;&gt;0,S92&lt;&gt;0,T92&lt;&gt;0),+IF(ABS(O92+Q92)-ABS(P92+R92)&lt;&gt;0,ABS(O92+Q92)-ABS(P92+R92),1),0)</f>
        <v>0</v>
      </c>
      <c r="AW92" s="119"/>
      <c r="AX92" s="2120">
        <f t="shared" si="43"/>
        <v>0</v>
      </c>
      <c r="AY92" s="43"/>
      <c r="AZ92" s="43"/>
      <c r="BA92" s="43"/>
      <c r="BB92" s="43"/>
      <c r="BC92" s="43"/>
      <c r="BD92" s="43"/>
    </row>
    <row r="93" spans="1:56" ht="15.75">
      <c r="A93" s="88">
        <v>2204</v>
      </c>
      <c r="B93" s="86" t="s">
        <v>691</v>
      </c>
      <c r="C93" s="1033"/>
      <c r="D93" s="1033"/>
      <c r="E93" s="1033"/>
      <c r="F93" s="1033"/>
      <c r="G93" s="1033"/>
      <c r="H93" s="1033"/>
      <c r="I93" s="1033"/>
      <c r="J93" s="1033"/>
      <c r="K93" s="1033"/>
      <c r="L93" s="574"/>
      <c r="M93" s="51" t="s">
        <v>265</v>
      </c>
      <c r="N93" s="113">
        <f t="shared" si="44"/>
        <v>2204</v>
      </c>
      <c r="O93" s="575">
        <v>0</v>
      </c>
      <c r="P93" s="582">
        <v>0</v>
      </c>
      <c r="Q93" s="579">
        <v>0</v>
      </c>
      <c r="R93" s="582">
        <v>0</v>
      </c>
      <c r="S93" s="579">
        <v>0</v>
      </c>
      <c r="T93" s="584">
        <v>0</v>
      </c>
      <c r="U93" s="51"/>
      <c r="V93" s="541">
        <f>+'NF-KSF-TRIAL-BAL-2020'!O93+'RA-TRIAL-BAL-2020'!O93+'DES-TRIAL-BAL-2020'!O93+'DMP-TRIAL-BAL-2020'!O93</f>
        <v>0</v>
      </c>
      <c r="W93" s="529">
        <f>+'NF-KSF-TRIAL-BAL-2020'!P93+'RA-TRIAL-BAL-2020'!P93+'DES-TRIAL-BAL-2020'!P93+'DMP-TRIAL-BAL-2020'!P93</f>
        <v>0</v>
      </c>
      <c r="X93" s="587">
        <f>+'NF-KSF-TRIAL-BAL-2020'!Q93+'RA-TRIAL-BAL-2020'!Q93+'DES-TRIAL-BAL-2020'!Q93+'DMP-TRIAL-BAL-2020'!Q93</f>
        <v>0</v>
      </c>
      <c r="Y93" s="586">
        <f>+'NF-KSF-TRIAL-BAL-2020'!R93+'RA-TRIAL-BAL-2020'!R93+'DES-TRIAL-BAL-2020'!R93+'DMP-TRIAL-BAL-2020'!R93</f>
        <v>0</v>
      </c>
      <c r="Z93" s="587">
        <f>+'NF-KSF-TRIAL-BAL-2020'!S93+'RA-TRIAL-BAL-2020'!S93+'DES-TRIAL-BAL-2020'!S93+'DMP-TRIAL-BAL-2020'!S93</f>
        <v>0</v>
      </c>
      <c r="AA93" s="588">
        <f>+'NF-KSF-TRIAL-BAL-2020'!T93+'RA-TRIAL-BAL-2020'!T93+'DES-TRIAL-BAL-2020'!T93+'DMP-TRIAL-BAL-2020'!T93</f>
        <v>0</v>
      </c>
      <c r="AB93" s="51"/>
      <c r="AC93" s="581">
        <v>2211.65</v>
      </c>
      <c r="AD93" s="582">
        <v>0</v>
      </c>
      <c r="AE93" s="122">
        <v>0</v>
      </c>
      <c r="AF93" s="324">
        <v>0</v>
      </c>
      <c r="AG93" s="583">
        <f t="shared" si="37"/>
        <v>2211.65</v>
      </c>
      <c r="AH93" s="584">
        <v>0</v>
      </c>
      <c r="AI93" s="51"/>
      <c r="AJ93" s="1497">
        <f>+N93</f>
        <v>2204</v>
      </c>
      <c r="AK93" s="951">
        <f>+ROUND(+O93+V93+AC93,2)</f>
        <v>2211.65</v>
      </c>
      <c r="AL93" s="9">
        <v>0</v>
      </c>
      <c r="AM93" s="326">
        <f t="shared" si="46"/>
        <v>0</v>
      </c>
      <c r="AN93" s="970">
        <f t="shared" si="46"/>
        <v>0</v>
      </c>
      <c r="AO93" s="326">
        <f t="shared" si="35"/>
        <v>2211.65</v>
      </c>
      <c r="AP93" s="331">
        <v>0</v>
      </c>
      <c r="AQ93" s="43"/>
      <c r="AR93" s="358">
        <f>+ROUND(+SUM(AK93-AL93)-SUM(O93-P93)-SUM(V93-W93)-SUM(AC93-AD93),2)</f>
        <v>0</v>
      </c>
      <c r="AS93" s="359">
        <f>+ROUND(+SUM(AM93-AN93)-SUM(Q93-R93)-SUM(X93-Y93)-SUM(AE93-AF93),2)</f>
        <v>0</v>
      </c>
      <c r="AT93" s="360">
        <f>+ROUND(+SUM(AO93-AP93)-SUM(S93-T93)-SUM(Z93-AA93)-SUM(AG93-AH93),2)</f>
        <v>0</v>
      </c>
      <c r="AU93" s="43"/>
      <c r="AV93" s="2125">
        <f>+IF(OR(O93&lt;&gt;0,P93&lt;&gt;0,Q93&lt;&gt;0,R93&lt;&gt;0,S93&lt;&gt;0,T93&lt;&gt;0),+IF(ABS(O93+Q93)-ABS(P93+R93)&lt;&gt;0,ABS(O93+Q93)-ABS(P93+R93),1),0)</f>
        <v>0</v>
      </c>
      <c r="AW93" s="119"/>
      <c r="AX93" s="2120">
        <f t="shared" si="43"/>
        <v>0</v>
      </c>
      <c r="AY93" s="43"/>
      <c r="AZ93" s="43"/>
      <c r="BA93" s="43"/>
      <c r="BB93" s="43"/>
      <c r="BC93" s="43"/>
      <c r="BD93" s="43"/>
    </row>
    <row r="94" spans="1:56" ht="15.75">
      <c r="A94" s="591">
        <v>2412</v>
      </c>
      <c r="B94" s="1034" t="s">
        <v>975</v>
      </c>
      <c r="C94" s="1033"/>
      <c r="D94" s="1033"/>
      <c r="E94" s="1033"/>
      <c r="F94" s="1033"/>
      <c r="G94" s="1033"/>
      <c r="H94" s="1033"/>
      <c r="I94" s="1033"/>
      <c r="J94" s="1033"/>
      <c r="K94" s="1033"/>
      <c r="L94" s="574"/>
      <c r="M94" s="51" t="s">
        <v>265</v>
      </c>
      <c r="N94" s="1733">
        <f t="shared" si="44"/>
        <v>2412</v>
      </c>
      <c r="O94" s="575">
        <v>0</v>
      </c>
      <c r="P94" s="576"/>
      <c r="Q94" s="325"/>
      <c r="R94" s="324"/>
      <c r="S94" s="29">
        <v>0</v>
      </c>
      <c r="T94" s="28">
        <f t="shared" ref="T94:T101" si="47">+IF(ABS(+O94+Q94)&lt;=ABS(P94+R94),-O94+P94-Q94+R94,0)</f>
        <v>0</v>
      </c>
      <c r="U94" s="51"/>
      <c r="V94" s="541">
        <f>+'NF-KSF-TRIAL-BAL-2020'!O94+'RA-TRIAL-BAL-2020'!O94+'DES-TRIAL-BAL-2020'!O94+'DMP-TRIAL-BAL-2020'!O94</f>
        <v>0</v>
      </c>
      <c r="W94" s="529">
        <f>+'NF-KSF-TRIAL-BAL-2020'!P94+'RA-TRIAL-BAL-2020'!P94+'DES-TRIAL-BAL-2020'!P94+'DMP-TRIAL-BAL-2020'!P94</f>
        <v>0</v>
      </c>
      <c r="X94" s="587">
        <f>+'NF-KSF-TRIAL-BAL-2020'!Q94+'RA-TRIAL-BAL-2020'!Q94+'DES-TRIAL-BAL-2020'!Q94+'DMP-TRIAL-BAL-2020'!Q94</f>
        <v>0</v>
      </c>
      <c r="Y94" s="586">
        <f>+'NF-KSF-TRIAL-BAL-2020'!R94+'RA-TRIAL-BAL-2020'!R94+'DES-TRIAL-BAL-2020'!R94+'DMP-TRIAL-BAL-2020'!R94</f>
        <v>0</v>
      </c>
      <c r="Z94" s="587">
        <f>+'NF-KSF-TRIAL-BAL-2020'!S94+'RA-TRIAL-BAL-2020'!S94+'DES-TRIAL-BAL-2020'!S94+'DMP-TRIAL-BAL-2020'!S94</f>
        <v>0</v>
      </c>
      <c r="AA94" s="588">
        <f>+'NF-KSF-TRIAL-BAL-2020'!T94+'RA-TRIAL-BAL-2020'!T94+'DES-TRIAL-BAL-2020'!T94+'DMP-TRIAL-BAL-2020'!T94</f>
        <v>0</v>
      </c>
      <c r="AB94" s="51"/>
      <c r="AC94" s="575">
        <v>0</v>
      </c>
      <c r="AD94" s="582">
        <v>0</v>
      </c>
      <c r="AE94" s="579">
        <v>0</v>
      </c>
      <c r="AF94" s="582">
        <v>0</v>
      </c>
      <c r="AG94" s="29">
        <v>0</v>
      </c>
      <c r="AH94" s="28">
        <f t="shared" ref="AH94:AH101" si="48">+IF(ABS(+AC94+AE94)&lt;=ABS(AD94+AF94),-AC94+AD94-AE94+AF94,0)</f>
        <v>0</v>
      </c>
      <c r="AI94" s="51"/>
      <c r="AJ94" s="1733">
        <f t="shared" si="45"/>
        <v>2412</v>
      </c>
      <c r="AK94" s="575">
        <v>0</v>
      </c>
      <c r="AL94" s="2135">
        <f>+ROUND(+P94+W94+AD94,2)</f>
        <v>0</v>
      </c>
      <c r="AM94" s="837">
        <f>+ROUND(+Q94+X94+AE94,2)</f>
        <v>0</v>
      </c>
      <c r="AN94" s="2135">
        <f>+ROUND(+R94+Y94+AF94,2)</f>
        <v>0</v>
      </c>
      <c r="AO94" s="29">
        <v>0</v>
      </c>
      <c r="AP94" s="28">
        <f t="shared" ref="AP94:AP101" si="49">+T94+AA94+AH94</f>
        <v>0</v>
      </c>
      <c r="AQ94" s="43"/>
      <c r="AR94" s="358">
        <f t="shared" si="40"/>
        <v>0</v>
      </c>
      <c r="AS94" s="359">
        <f t="shared" si="41"/>
        <v>0</v>
      </c>
      <c r="AT94" s="360">
        <f t="shared" si="42"/>
        <v>0</v>
      </c>
      <c r="AU94" s="43"/>
      <c r="AV94" s="2119">
        <f>+IF(OR(+ROUND(O94,2)+ROUND(Q94,2)&gt;ROUND(P94,2)+ROUND(R94,2),+ABS(ROUND(O94,2)+ROUND(Q94,2))&gt;+ABS(ROUND(P94,2)+ROUND(R94,2))),+(ROUND(O94,2)+ROUND(Q94,2))-(ROUND(P94,2)+ROUND(R94,2)),0)</f>
        <v>0</v>
      </c>
      <c r="AW94" s="119"/>
      <c r="AX94" s="2125">
        <f>+IF(OR(AC94&lt;&gt;0,AD94&lt;&gt;0,AE94&lt;&gt;0,AF94&lt;&gt;0,AG94&lt;&gt;0,AH94&lt;&gt;0),+IF(ABS(AC94+AE94)-ABS(AD94+AF94)&lt;&gt;0,ABS(AC94+AE94)-ABS(AD94+AF94),1),0)</f>
        <v>0</v>
      </c>
      <c r="AY94" s="43"/>
      <c r="AZ94" s="43"/>
      <c r="BA94" s="43"/>
      <c r="BB94" s="43"/>
      <c r="BC94" s="43"/>
      <c r="BD94" s="43"/>
    </row>
    <row r="95" spans="1:56" ht="15.75">
      <c r="A95" s="591">
        <v>2413</v>
      </c>
      <c r="B95" s="1034" t="s">
        <v>976</v>
      </c>
      <c r="C95" s="1033"/>
      <c r="D95" s="1033"/>
      <c r="E95" s="1033"/>
      <c r="F95" s="1033"/>
      <c r="G95" s="1033"/>
      <c r="H95" s="1033"/>
      <c r="I95" s="1033"/>
      <c r="J95" s="1033"/>
      <c r="K95" s="1033"/>
      <c r="L95" s="574"/>
      <c r="M95" s="51" t="s">
        <v>265</v>
      </c>
      <c r="N95" s="1733">
        <f t="shared" si="44"/>
        <v>2413</v>
      </c>
      <c r="O95" s="575">
        <v>0</v>
      </c>
      <c r="P95" s="576">
        <v>0</v>
      </c>
      <c r="Q95" s="325">
        <v>0</v>
      </c>
      <c r="R95" s="324">
        <v>0</v>
      </c>
      <c r="S95" s="29">
        <v>0</v>
      </c>
      <c r="T95" s="28">
        <f t="shared" si="47"/>
        <v>0</v>
      </c>
      <c r="U95" s="51"/>
      <c r="V95" s="541">
        <f>+'NF-KSF-TRIAL-BAL-2020'!O95+'RA-TRIAL-BAL-2020'!O95+'DES-TRIAL-BAL-2020'!O95+'DMP-TRIAL-BAL-2020'!O95</f>
        <v>0</v>
      </c>
      <c r="W95" s="529">
        <f>+'NF-KSF-TRIAL-BAL-2020'!P95+'RA-TRIAL-BAL-2020'!P95+'DES-TRIAL-BAL-2020'!P95+'DMP-TRIAL-BAL-2020'!P95</f>
        <v>0</v>
      </c>
      <c r="X95" s="587">
        <f>+'NF-KSF-TRIAL-BAL-2020'!Q95+'RA-TRIAL-BAL-2020'!Q95+'DES-TRIAL-BAL-2020'!Q95+'DMP-TRIAL-BAL-2020'!Q95</f>
        <v>0</v>
      </c>
      <c r="Y95" s="586">
        <f>+'NF-KSF-TRIAL-BAL-2020'!R95+'RA-TRIAL-BAL-2020'!R95+'DES-TRIAL-BAL-2020'!R95+'DMP-TRIAL-BAL-2020'!R95</f>
        <v>0</v>
      </c>
      <c r="Z95" s="587">
        <f>+'NF-KSF-TRIAL-BAL-2020'!S95+'RA-TRIAL-BAL-2020'!S95+'DES-TRIAL-BAL-2020'!S95+'DMP-TRIAL-BAL-2020'!S95</f>
        <v>0</v>
      </c>
      <c r="AA95" s="588">
        <f>+'NF-KSF-TRIAL-BAL-2020'!T95+'RA-TRIAL-BAL-2020'!T95+'DES-TRIAL-BAL-2020'!T95+'DMP-TRIAL-BAL-2020'!T95</f>
        <v>0</v>
      </c>
      <c r="AB95" s="51"/>
      <c r="AC95" s="575">
        <v>0</v>
      </c>
      <c r="AD95" s="582">
        <v>0</v>
      </c>
      <c r="AE95" s="579">
        <v>0</v>
      </c>
      <c r="AF95" s="582">
        <v>0</v>
      </c>
      <c r="AG95" s="29">
        <v>0</v>
      </c>
      <c r="AH95" s="28">
        <f t="shared" si="48"/>
        <v>0</v>
      </c>
      <c r="AI95" s="51"/>
      <c r="AJ95" s="1733">
        <f t="shared" si="45"/>
        <v>2413</v>
      </c>
      <c r="AK95" s="575">
        <v>0</v>
      </c>
      <c r="AL95" s="2135">
        <f t="shared" ref="AL95:AL101" si="50">+ROUND(+P95+W95+AD95,2)</f>
        <v>0</v>
      </c>
      <c r="AM95" s="837">
        <f t="shared" ref="AM95:AM101" si="51">+ROUND(+Q95+X95+AE95,2)</f>
        <v>0</v>
      </c>
      <c r="AN95" s="2135">
        <f t="shared" ref="AN95:AN101" si="52">+ROUND(+R95+Y95+AF95,2)</f>
        <v>0</v>
      </c>
      <c r="AO95" s="29">
        <v>0</v>
      </c>
      <c r="AP95" s="28">
        <f t="shared" si="49"/>
        <v>0</v>
      </c>
      <c r="AQ95" s="43"/>
      <c r="AR95" s="358">
        <f t="shared" si="40"/>
        <v>0</v>
      </c>
      <c r="AS95" s="359">
        <f t="shared" si="41"/>
        <v>0</v>
      </c>
      <c r="AT95" s="360">
        <f t="shared" si="42"/>
        <v>0</v>
      </c>
      <c r="AU95" s="43"/>
      <c r="AV95" s="2119">
        <f>+IF(OR(+ROUND(O95,2)+ROUND(Q95,2)&gt;ROUND(P95,2)+ROUND(R95,2),+ABS(ROUND(O95,2)+ROUND(Q95,2))&gt;+ABS(ROUND(P95,2)+ROUND(R95,2))),+(ROUND(O95,2)+ROUND(Q95,2))-(ROUND(P95,2)+ROUND(R95,2)),0)</f>
        <v>0</v>
      </c>
      <c r="AW95" s="119"/>
      <c r="AX95" s="2125">
        <f>+IF(OR(AC95&lt;&gt;0,AD95&lt;&gt;0,AE95&lt;&gt;0,AF95&lt;&gt;0,AG95&lt;&gt;0,AH95&lt;&gt;0),+IF(ABS(AC95+AE95)-ABS(AD95+AF95)&lt;&gt;0,ABS(AC95+AE95)-ABS(AD95+AF95),1),0)</f>
        <v>0</v>
      </c>
      <c r="AY95" s="43"/>
      <c r="AZ95" s="43"/>
      <c r="BA95" s="43"/>
      <c r="BB95" s="43"/>
      <c r="BC95" s="43"/>
      <c r="BD95" s="43"/>
    </row>
    <row r="96" spans="1:56" ht="15.75">
      <c r="A96" s="591">
        <v>2414</v>
      </c>
      <c r="B96" s="1034" t="s">
        <v>977</v>
      </c>
      <c r="C96" s="1033"/>
      <c r="D96" s="1033"/>
      <c r="E96" s="1033"/>
      <c r="F96" s="1033"/>
      <c r="G96" s="1033"/>
      <c r="H96" s="1033"/>
      <c r="I96" s="1033"/>
      <c r="J96" s="1033"/>
      <c r="K96" s="1033"/>
      <c r="L96" s="574"/>
      <c r="M96" s="51" t="s">
        <v>265</v>
      </c>
      <c r="N96" s="1733">
        <f t="shared" si="44"/>
        <v>2414</v>
      </c>
      <c r="O96" s="575">
        <v>0</v>
      </c>
      <c r="P96" s="576">
        <v>23645.88</v>
      </c>
      <c r="Q96" s="325">
        <v>0</v>
      </c>
      <c r="R96" s="324">
        <v>4043.9199999999992</v>
      </c>
      <c r="S96" s="29">
        <v>0</v>
      </c>
      <c r="T96" s="28">
        <f t="shared" si="47"/>
        <v>27689.8</v>
      </c>
      <c r="U96" s="51"/>
      <c r="V96" s="541">
        <f>+'NF-KSF-TRIAL-BAL-2020'!O96+'RA-TRIAL-BAL-2020'!O96+'DES-TRIAL-BAL-2020'!O96+'DMP-TRIAL-BAL-2020'!O96</f>
        <v>0</v>
      </c>
      <c r="W96" s="529">
        <f>+'NF-KSF-TRIAL-BAL-2020'!P96+'RA-TRIAL-BAL-2020'!P96+'DES-TRIAL-BAL-2020'!P96+'DMP-TRIAL-BAL-2020'!P96</f>
        <v>0</v>
      </c>
      <c r="X96" s="587">
        <f>+'NF-KSF-TRIAL-BAL-2020'!Q96+'RA-TRIAL-BAL-2020'!Q96+'DES-TRIAL-BAL-2020'!Q96+'DMP-TRIAL-BAL-2020'!Q96</f>
        <v>0</v>
      </c>
      <c r="Y96" s="586">
        <f>+'NF-KSF-TRIAL-BAL-2020'!R96+'RA-TRIAL-BAL-2020'!R96+'DES-TRIAL-BAL-2020'!R96+'DMP-TRIAL-BAL-2020'!R96</f>
        <v>0</v>
      </c>
      <c r="Z96" s="587">
        <f>+'NF-KSF-TRIAL-BAL-2020'!S96+'RA-TRIAL-BAL-2020'!S96+'DES-TRIAL-BAL-2020'!S96+'DMP-TRIAL-BAL-2020'!S96</f>
        <v>0</v>
      </c>
      <c r="AA96" s="588">
        <f>+'NF-KSF-TRIAL-BAL-2020'!T96+'RA-TRIAL-BAL-2020'!T96+'DES-TRIAL-BAL-2020'!T96+'DMP-TRIAL-BAL-2020'!T96</f>
        <v>0</v>
      </c>
      <c r="AB96" s="51"/>
      <c r="AC96" s="575">
        <v>0</v>
      </c>
      <c r="AD96" s="582">
        <v>0</v>
      </c>
      <c r="AE96" s="579">
        <v>0</v>
      </c>
      <c r="AF96" s="582">
        <v>0</v>
      </c>
      <c r="AG96" s="29">
        <v>0</v>
      </c>
      <c r="AH96" s="28">
        <f t="shared" si="48"/>
        <v>0</v>
      </c>
      <c r="AI96" s="51"/>
      <c r="AJ96" s="1733">
        <f t="shared" si="45"/>
        <v>2414</v>
      </c>
      <c r="AK96" s="575">
        <v>0</v>
      </c>
      <c r="AL96" s="2135">
        <f t="shared" si="50"/>
        <v>23645.88</v>
      </c>
      <c r="AM96" s="837">
        <f t="shared" si="51"/>
        <v>0</v>
      </c>
      <c r="AN96" s="2135">
        <f t="shared" si="52"/>
        <v>4043.92</v>
      </c>
      <c r="AO96" s="29">
        <v>0</v>
      </c>
      <c r="AP96" s="28">
        <f t="shared" si="49"/>
        <v>27689.8</v>
      </c>
      <c r="AQ96" s="43"/>
      <c r="AR96" s="358">
        <f t="shared" si="40"/>
        <v>0</v>
      </c>
      <c r="AS96" s="359">
        <f t="shared" si="41"/>
        <v>0</v>
      </c>
      <c r="AT96" s="360">
        <f t="shared" si="42"/>
        <v>0</v>
      </c>
      <c r="AU96" s="43"/>
      <c r="AV96" s="2119">
        <f>+IF(OR(+ROUND(O96,2)+ROUND(Q96,2)&gt;ROUND(P96,2)+ROUND(R96,2),+ABS(ROUND(O96,2)+ROUND(Q96,2))&gt;+ABS(ROUND(P96,2)+ROUND(R96,2))),+(ROUND(O96,2)+ROUND(Q96,2))-(ROUND(P96,2)+ROUND(R96,2)),0)</f>
        <v>0</v>
      </c>
      <c r="AW96" s="119"/>
      <c r="AX96" s="2125">
        <f>+IF(OR(AC96&lt;&gt;0,AD96&lt;&gt;0,AE96&lt;&gt;0,AF96&lt;&gt;0,AG96&lt;&gt;0,AH96&lt;&gt;0),+IF(ABS(AC96+AE96)-ABS(AD96+AF96)&lt;&gt;0,ABS(AC96+AE96)-ABS(AD96+AF96),1),0)</f>
        <v>0</v>
      </c>
      <c r="AY96" s="43"/>
      <c r="AZ96" s="43"/>
      <c r="BA96" s="43"/>
      <c r="BB96" s="43"/>
      <c r="BC96" s="43"/>
      <c r="BD96" s="43"/>
    </row>
    <row r="97" spans="1:56" ht="15.75">
      <c r="A97" s="591">
        <v>2415</v>
      </c>
      <c r="B97" s="1034" t="s">
        <v>355</v>
      </c>
      <c r="C97" s="1034"/>
      <c r="D97" s="1034"/>
      <c r="E97" s="1034"/>
      <c r="F97" s="1033"/>
      <c r="G97" s="1033"/>
      <c r="H97" s="1033"/>
      <c r="I97" s="1033"/>
      <c r="J97" s="1033"/>
      <c r="K97" s="1033"/>
      <c r="L97" s="574"/>
      <c r="M97" s="51" t="s">
        <v>265</v>
      </c>
      <c r="N97" s="1733">
        <f t="shared" si="44"/>
        <v>2415</v>
      </c>
      <c r="O97" s="575">
        <v>0</v>
      </c>
      <c r="P97" s="576">
        <v>79874.100000000006</v>
      </c>
      <c r="Q97" s="325">
        <v>0</v>
      </c>
      <c r="R97" s="324">
        <v>16862.34</v>
      </c>
      <c r="S97" s="29">
        <v>0</v>
      </c>
      <c r="T97" s="28">
        <f t="shared" si="47"/>
        <v>96736.44</v>
      </c>
      <c r="U97" s="51"/>
      <c r="V97" s="541">
        <f>+'NF-KSF-TRIAL-BAL-2020'!O97+'RA-TRIAL-BAL-2020'!O97+'DES-TRIAL-BAL-2020'!O97+'DMP-TRIAL-BAL-2020'!O97</f>
        <v>0</v>
      </c>
      <c r="W97" s="529">
        <f>+'NF-KSF-TRIAL-BAL-2020'!P97+'RA-TRIAL-BAL-2020'!P97+'DES-TRIAL-BAL-2020'!P97+'DMP-TRIAL-BAL-2020'!P97</f>
        <v>0</v>
      </c>
      <c r="X97" s="587">
        <f>+'NF-KSF-TRIAL-BAL-2020'!Q97+'RA-TRIAL-BAL-2020'!Q97+'DES-TRIAL-BAL-2020'!Q97+'DMP-TRIAL-BAL-2020'!Q97</f>
        <v>0</v>
      </c>
      <c r="Y97" s="586">
        <f>+'NF-KSF-TRIAL-BAL-2020'!R97+'RA-TRIAL-BAL-2020'!R97+'DES-TRIAL-BAL-2020'!R97+'DMP-TRIAL-BAL-2020'!R97</f>
        <v>0</v>
      </c>
      <c r="Z97" s="587">
        <f>+'NF-KSF-TRIAL-BAL-2020'!S97+'RA-TRIAL-BAL-2020'!S97+'DES-TRIAL-BAL-2020'!S97+'DMP-TRIAL-BAL-2020'!S97</f>
        <v>0</v>
      </c>
      <c r="AA97" s="588">
        <f>+'NF-KSF-TRIAL-BAL-2020'!T97+'RA-TRIAL-BAL-2020'!T97+'DES-TRIAL-BAL-2020'!T97+'DMP-TRIAL-BAL-2020'!T97</f>
        <v>0</v>
      </c>
      <c r="AB97" s="51"/>
      <c r="AC97" s="575">
        <v>0</v>
      </c>
      <c r="AD97" s="582">
        <v>0</v>
      </c>
      <c r="AE97" s="579">
        <v>0</v>
      </c>
      <c r="AF97" s="582">
        <v>0</v>
      </c>
      <c r="AG97" s="29">
        <v>0</v>
      </c>
      <c r="AH97" s="28">
        <f t="shared" si="48"/>
        <v>0</v>
      </c>
      <c r="AI97" s="51"/>
      <c r="AJ97" s="1733">
        <f t="shared" si="45"/>
        <v>2415</v>
      </c>
      <c r="AK97" s="575">
        <v>0</v>
      </c>
      <c r="AL97" s="2135">
        <f t="shared" si="50"/>
        <v>79874.100000000006</v>
      </c>
      <c r="AM97" s="837">
        <f t="shared" si="51"/>
        <v>0</v>
      </c>
      <c r="AN97" s="2135">
        <f t="shared" si="52"/>
        <v>16862.34</v>
      </c>
      <c r="AO97" s="29">
        <v>0</v>
      </c>
      <c r="AP97" s="28">
        <f t="shared" si="49"/>
        <v>96736.44</v>
      </c>
      <c r="AQ97" s="43"/>
      <c r="AR97" s="358">
        <f t="shared" si="40"/>
        <v>0</v>
      </c>
      <c r="AS97" s="359">
        <f t="shared" si="41"/>
        <v>0</v>
      </c>
      <c r="AT97" s="360">
        <f t="shared" si="42"/>
        <v>0</v>
      </c>
      <c r="AU97" s="43"/>
      <c r="AV97" s="2119">
        <f>+IF(OR(+ROUND(O97,2)+ROUND(Q97,2)&gt;ROUND(P97,2)+ROUND(R97,2),+ABS(ROUND(O97,2)+ROUND(Q97,2))&gt;+ABS(ROUND(P97,2)+ROUND(R97,2))),+(ROUND(O97,2)+ROUND(Q97,2))-(ROUND(P97,2)+ROUND(R97,2)),0)</f>
        <v>0</v>
      </c>
      <c r="AW97" s="119"/>
      <c r="AX97" s="2125">
        <f>+IF(OR(AC97&lt;&gt;0,AD97&lt;&gt;0,AE97&lt;&gt;0,AF97&lt;&gt;0,AG97&lt;&gt;0,AH97&lt;&gt;0),+IF(ABS(AC97+AE97)-ABS(AD97+AF97)&lt;&gt;0,ABS(AC97+AE97)-ABS(AD97+AF97),1),0)</f>
        <v>0</v>
      </c>
      <c r="AY97" s="43"/>
      <c r="AZ97" s="43"/>
      <c r="BA97" s="43"/>
      <c r="BB97" s="43"/>
      <c r="BC97" s="43"/>
      <c r="BD97" s="43"/>
    </row>
    <row r="98" spans="1:56" ht="15.75">
      <c r="A98" s="591">
        <v>2416</v>
      </c>
      <c r="B98" s="1034" t="s">
        <v>356</v>
      </c>
      <c r="C98" s="1033"/>
      <c r="D98" s="1033"/>
      <c r="E98" s="1033"/>
      <c r="F98" s="1033"/>
      <c r="G98" s="1033"/>
      <c r="H98" s="1033"/>
      <c r="I98" s="1033"/>
      <c r="J98" s="1033"/>
      <c r="K98" s="1033"/>
      <c r="L98" s="574"/>
      <c r="M98" s="51" t="s">
        <v>265</v>
      </c>
      <c r="N98" s="1733">
        <f t="shared" si="44"/>
        <v>2416</v>
      </c>
      <c r="O98" s="575">
        <v>0</v>
      </c>
      <c r="P98" s="576">
        <v>1791.36</v>
      </c>
      <c r="Q98" s="325">
        <v>0</v>
      </c>
      <c r="R98" s="324">
        <v>283.62</v>
      </c>
      <c r="S98" s="29">
        <v>0</v>
      </c>
      <c r="T98" s="28">
        <f t="shared" si="47"/>
        <v>2074.98</v>
      </c>
      <c r="U98" s="51"/>
      <c r="V98" s="541">
        <f>+'NF-KSF-TRIAL-BAL-2020'!O98+'RA-TRIAL-BAL-2020'!O98+'DES-TRIAL-BAL-2020'!O98+'DMP-TRIAL-BAL-2020'!O98</f>
        <v>0</v>
      </c>
      <c r="W98" s="529">
        <f>+'NF-KSF-TRIAL-BAL-2020'!P98+'RA-TRIAL-BAL-2020'!P98+'DES-TRIAL-BAL-2020'!P98+'DMP-TRIAL-BAL-2020'!P98</f>
        <v>0</v>
      </c>
      <c r="X98" s="587">
        <f>+'NF-KSF-TRIAL-BAL-2020'!Q98+'RA-TRIAL-BAL-2020'!Q98+'DES-TRIAL-BAL-2020'!Q98+'DMP-TRIAL-BAL-2020'!Q98</f>
        <v>0</v>
      </c>
      <c r="Y98" s="586">
        <f>+'NF-KSF-TRIAL-BAL-2020'!R98+'RA-TRIAL-BAL-2020'!R98+'DES-TRIAL-BAL-2020'!R98+'DMP-TRIAL-BAL-2020'!R98</f>
        <v>0</v>
      </c>
      <c r="Z98" s="587">
        <f>+'NF-KSF-TRIAL-BAL-2020'!S98+'RA-TRIAL-BAL-2020'!S98+'DES-TRIAL-BAL-2020'!S98+'DMP-TRIAL-BAL-2020'!S98</f>
        <v>0</v>
      </c>
      <c r="AA98" s="588">
        <f>+'NF-KSF-TRIAL-BAL-2020'!T98+'RA-TRIAL-BAL-2020'!T98+'DES-TRIAL-BAL-2020'!T98+'DMP-TRIAL-BAL-2020'!T98</f>
        <v>0</v>
      </c>
      <c r="AB98" s="51"/>
      <c r="AC98" s="575">
        <v>0</v>
      </c>
      <c r="AD98" s="582">
        <v>0</v>
      </c>
      <c r="AE98" s="579">
        <v>0</v>
      </c>
      <c r="AF98" s="582">
        <v>0</v>
      </c>
      <c r="AG98" s="29">
        <v>0</v>
      </c>
      <c r="AH98" s="28">
        <f t="shared" si="48"/>
        <v>0</v>
      </c>
      <c r="AI98" s="51"/>
      <c r="AJ98" s="1733">
        <f t="shared" si="45"/>
        <v>2416</v>
      </c>
      <c r="AK98" s="575">
        <v>0</v>
      </c>
      <c r="AL98" s="2135">
        <f t="shared" si="50"/>
        <v>1791.36</v>
      </c>
      <c r="AM98" s="837">
        <f t="shared" si="51"/>
        <v>0</v>
      </c>
      <c r="AN98" s="2135">
        <f t="shared" si="52"/>
        <v>283.62</v>
      </c>
      <c r="AO98" s="29">
        <v>0</v>
      </c>
      <c r="AP98" s="28">
        <f t="shared" si="49"/>
        <v>2074.98</v>
      </c>
      <c r="AQ98" s="43"/>
      <c r="AR98" s="358">
        <f t="shared" si="40"/>
        <v>0</v>
      </c>
      <c r="AS98" s="359">
        <f t="shared" si="41"/>
        <v>0</v>
      </c>
      <c r="AT98" s="360">
        <f t="shared" si="42"/>
        <v>0</v>
      </c>
      <c r="AU98" s="43"/>
      <c r="AV98" s="2119">
        <f>+IF(OR(+ROUND(O98,2)+ROUND(Q98,2)&gt;ROUND(P98,2)+ROUND(R98,2),+ABS(ROUND(O98,2)+ROUND(Q98,2))&gt;+ABS(ROUND(P98,2)+ROUND(R98,2))),+(ROUND(O98,2)+ROUND(Q98,2))-(ROUND(P98,2)+ROUND(R98,2)),0)</f>
        <v>0</v>
      </c>
      <c r="AW98" s="119"/>
      <c r="AX98" s="2125">
        <f>+IF(OR(AC98&lt;&gt;0,AD98&lt;&gt;0,AE98&lt;&gt;0,AF98&lt;&gt;0,AG98&lt;&gt;0,AH98&lt;&gt;0),+IF(ABS(AC98+AE98)-ABS(AD98+AF98)&lt;&gt;0,ABS(AC98+AE98)-ABS(AD98+AF98),1),0)</f>
        <v>0</v>
      </c>
      <c r="AY98" s="43"/>
      <c r="AZ98" s="43"/>
      <c r="BA98" s="43"/>
      <c r="BB98" s="43"/>
      <c r="BC98" s="43"/>
      <c r="BD98" s="43"/>
    </row>
    <row r="99" spans="1:56" ht="15.75">
      <c r="A99" s="591">
        <v>2417</v>
      </c>
      <c r="B99" s="1034" t="s">
        <v>362</v>
      </c>
      <c r="C99" s="591"/>
      <c r="D99" s="1034"/>
      <c r="E99" s="591"/>
      <c r="F99" s="1034"/>
      <c r="G99" s="1033"/>
      <c r="H99" s="1033"/>
      <c r="I99" s="1033"/>
      <c r="J99" s="1033"/>
      <c r="K99" s="1033"/>
      <c r="L99" s="574"/>
      <c r="M99" s="51" t="s">
        <v>265</v>
      </c>
      <c r="N99" s="1733">
        <f t="shared" si="44"/>
        <v>2417</v>
      </c>
      <c r="O99" s="575">
        <v>0</v>
      </c>
      <c r="P99" s="582">
        <v>0</v>
      </c>
      <c r="Q99" s="579">
        <v>0</v>
      </c>
      <c r="R99" s="582">
        <v>0</v>
      </c>
      <c r="S99" s="29">
        <v>0</v>
      </c>
      <c r="T99" s="28">
        <f t="shared" si="47"/>
        <v>0</v>
      </c>
      <c r="U99" s="51"/>
      <c r="V99" s="585">
        <f>+'NF-KSF-TRIAL-BAL-2020'!O99+'RA-TRIAL-BAL-2020'!O99+'DES-TRIAL-BAL-2020'!O99+'DMP-TRIAL-BAL-2020'!O99</f>
        <v>0</v>
      </c>
      <c r="W99" s="586">
        <f>+'NF-KSF-TRIAL-BAL-2020'!P99+'RA-TRIAL-BAL-2020'!P99+'DES-TRIAL-BAL-2020'!P99+'DMP-TRIAL-BAL-2020'!P99</f>
        <v>0</v>
      </c>
      <c r="X99" s="587">
        <f>+'NF-KSF-TRIAL-BAL-2020'!Q99+'RA-TRIAL-BAL-2020'!Q99+'DES-TRIAL-BAL-2020'!Q99+'DMP-TRIAL-BAL-2020'!Q99</f>
        <v>0</v>
      </c>
      <c r="Y99" s="586">
        <f>+'NF-KSF-TRIAL-BAL-2020'!R99+'RA-TRIAL-BAL-2020'!R99+'DES-TRIAL-BAL-2020'!R99+'DMP-TRIAL-BAL-2020'!R99</f>
        <v>0</v>
      </c>
      <c r="Z99" s="587">
        <f>+'NF-KSF-TRIAL-BAL-2020'!S99+'RA-TRIAL-BAL-2020'!S99+'DES-TRIAL-BAL-2020'!S99+'DMP-TRIAL-BAL-2020'!S99</f>
        <v>0</v>
      </c>
      <c r="AA99" s="588">
        <f>+'NF-KSF-TRIAL-BAL-2020'!T99+'RA-TRIAL-BAL-2020'!T99+'DES-TRIAL-BAL-2020'!T99+'DMP-TRIAL-BAL-2020'!T99</f>
        <v>0</v>
      </c>
      <c r="AB99" s="51"/>
      <c r="AC99" s="8">
        <v>0</v>
      </c>
      <c r="AD99" s="121">
        <v>0</v>
      </c>
      <c r="AE99" s="325">
        <v>0</v>
      </c>
      <c r="AF99" s="324">
        <v>0</v>
      </c>
      <c r="AG99" s="29">
        <v>0</v>
      </c>
      <c r="AH99" s="28">
        <f>+IF(ABS(+AC99+AE99)&lt;=ABS(AD99+AF99),-AC99+AD99-AE99+AF99,0)</f>
        <v>0</v>
      </c>
      <c r="AI99" s="51"/>
      <c r="AJ99" s="1733">
        <f>+N99</f>
        <v>2417</v>
      </c>
      <c r="AK99" s="575">
        <v>0</v>
      </c>
      <c r="AL99" s="2135">
        <f t="shared" si="50"/>
        <v>0</v>
      </c>
      <c r="AM99" s="837">
        <f t="shared" si="51"/>
        <v>0</v>
      </c>
      <c r="AN99" s="2135">
        <f t="shared" si="52"/>
        <v>0</v>
      </c>
      <c r="AO99" s="29">
        <v>0</v>
      </c>
      <c r="AP99" s="28">
        <f t="shared" si="49"/>
        <v>0</v>
      </c>
      <c r="AQ99" s="43"/>
      <c r="AR99" s="358">
        <f>+ROUND(+SUM(AK99-AL99)-SUM(O99-P99)-SUM(V99-W99)-SUM(AC99-AD99),2)</f>
        <v>0</v>
      </c>
      <c r="AS99" s="359">
        <f>+ROUND(+SUM(AM99-AN99)-SUM(Q99-R99)-SUM(X99-Y99)-SUM(AE99-AF99),2)</f>
        <v>0</v>
      </c>
      <c r="AT99" s="360">
        <f>+ROUND(+SUM(AO99-AP99)-SUM(S99-T99)-SUM(Z99-AA99)-SUM(AG99-AH99),2)</f>
        <v>0</v>
      </c>
      <c r="AU99" s="43"/>
      <c r="AV99" s="2125">
        <f>+IF(OR(O99&lt;&gt;0,P99&lt;&gt;0,Q99&lt;&gt;0,R99&lt;&gt;0,S99&lt;&gt;0,T99&lt;&gt;0),+IF(ABS(O99+Q99)-ABS(P99+R99)&lt;&gt;0,ABS(O99+Q99)-ABS(P99+R99),1),0)</f>
        <v>0</v>
      </c>
      <c r="AW99" s="119"/>
      <c r="AX99" s="2119">
        <f>+IF(OR(+ROUND(AC99,2)+ROUND(AE99,2)&gt;ROUND(AD99,2)+ROUND(AF99,2),+ABS(ROUND(AC99,2)+ROUND(AE99,2))&gt;+ABS(ROUND(AD99,2)+ROUND(AF99,2))),+(ROUND(AC99,2)+ROUND(AE99,2))-(ROUND(AD99,2)+ROUND(AF99,2)),0)</f>
        <v>0</v>
      </c>
      <c r="AY99" s="43"/>
      <c r="AZ99" s="43"/>
      <c r="BA99" s="43"/>
      <c r="BB99" s="43"/>
      <c r="BC99" s="43"/>
      <c r="BD99" s="43"/>
    </row>
    <row r="100" spans="1:56" ht="15.75">
      <c r="A100" s="591">
        <v>2419</v>
      </c>
      <c r="B100" s="1034" t="s">
        <v>357</v>
      </c>
      <c r="C100" s="1033"/>
      <c r="D100" s="1033"/>
      <c r="E100" s="1033"/>
      <c r="F100" s="1033"/>
      <c r="G100" s="1033"/>
      <c r="H100" s="1033"/>
      <c r="I100" s="1033"/>
      <c r="J100" s="1033"/>
      <c r="K100" s="1033"/>
      <c r="L100" s="574"/>
      <c r="M100" s="51" t="s">
        <v>265</v>
      </c>
      <c r="N100" s="1733">
        <f t="shared" si="44"/>
        <v>2419</v>
      </c>
      <c r="O100" s="575">
        <v>0</v>
      </c>
      <c r="P100" s="576">
        <v>0</v>
      </c>
      <c r="Q100" s="122">
        <v>0</v>
      </c>
      <c r="R100" s="121">
        <v>0</v>
      </c>
      <c r="S100" s="29">
        <v>0</v>
      </c>
      <c r="T100" s="28">
        <f t="shared" si="47"/>
        <v>0</v>
      </c>
      <c r="U100" s="51"/>
      <c r="V100" s="541">
        <f>+'NF-KSF-TRIAL-BAL-2020'!O100+'RA-TRIAL-BAL-2020'!O100+'DES-TRIAL-BAL-2020'!O100+'DMP-TRIAL-BAL-2020'!O100</f>
        <v>0</v>
      </c>
      <c r="W100" s="529">
        <f>+'NF-KSF-TRIAL-BAL-2020'!P100+'RA-TRIAL-BAL-2020'!P100+'DES-TRIAL-BAL-2020'!P100+'DMP-TRIAL-BAL-2020'!P100</f>
        <v>0</v>
      </c>
      <c r="X100" s="587">
        <f>+'NF-KSF-TRIAL-BAL-2020'!Q100+'RA-TRIAL-BAL-2020'!Q100+'DES-TRIAL-BAL-2020'!Q100+'DMP-TRIAL-BAL-2020'!Q100</f>
        <v>0</v>
      </c>
      <c r="Y100" s="586">
        <f>+'NF-KSF-TRIAL-BAL-2020'!R100+'RA-TRIAL-BAL-2020'!R100+'DES-TRIAL-BAL-2020'!R100+'DMP-TRIAL-BAL-2020'!R100</f>
        <v>0</v>
      </c>
      <c r="Z100" s="587">
        <f>+'NF-KSF-TRIAL-BAL-2020'!S100+'RA-TRIAL-BAL-2020'!S100+'DES-TRIAL-BAL-2020'!S100+'DMP-TRIAL-BAL-2020'!S100</f>
        <v>0</v>
      </c>
      <c r="AA100" s="588">
        <f>+'NF-KSF-TRIAL-BAL-2020'!T100+'RA-TRIAL-BAL-2020'!T100+'DES-TRIAL-BAL-2020'!T100+'DMP-TRIAL-BAL-2020'!T100</f>
        <v>0</v>
      </c>
      <c r="AB100" s="51"/>
      <c r="AC100" s="8">
        <v>0</v>
      </c>
      <c r="AD100" s="121">
        <v>0</v>
      </c>
      <c r="AE100" s="325">
        <v>0</v>
      </c>
      <c r="AF100" s="324">
        <v>0</v>
      </c>
      <c r="AG100" s="29">
        <v>0</v>
      </c>
      <c r="AH100" s="28">
        <f>+IF(ABS(+AC100+AE100)&lt;=ABS(AD100+AF100),-AC100+AD100-AE100+AF100,0)</f>
        <v>0</v>
      </c>
      <c r="AI100" s="51"/>
      <c r="AJ100" s="1733">
        <f t="shared" si="45"/>
        <v>2419</v>
      </c>
      <c r="AK100" s="575">
        <v>0</v>
      </c>
      <c r="AL100" s="2135">
        <f t="shared" si="50"/>
        <v>0</v>
      </c>
      <c r="AM100" s="837">
        <f t="shared" si="51"/>
        <v>0</v>
      </c>
      <c r="AN100" s="2135">
        <f t="shared" si="52"/>
        <v>0</v>
      </c>
      <c r="AO100" s="29">
        <v>0</v>
      </c>
      <c r="AP100" s="28">
        <f t="shared" si="49"/>
        <v>0</v>
      </c>
      <c r="AQ100" s="43"/>
      <c r="AR100" s="358">
        <f t="shared" si="40"/>
        <v>0</v>
      </c>
      <c r="AS100" s="359">
        <f t="shared" si="41"/>
        <v>0</v>
      </c>
      <c r="AT100" s="360">
        <f t="shared" si="42"/>
        <v>0</v>
      </c>
      <c r="AU100" s="43"/>
      <c r="AV100" s="2119">
        <f>+IF(OR(+ROUND(O100,2)+ROUND(Q100,2)&gt;ROUND(P100,2)+ROUND(R100,2),+ABS(ROUND(O100,2)+ROUND(Q100,2))&gt;+ABS(ROUND(P100,2)+ROUND(R100,2))),+(ROUND(O100,2)+ROUND(Q100,2))-(ROUND(P100,2)+ROUND(R100,2)),0)</f>
        <v>0</v>
      </c>
      <c r="AW100" s="119"/>
      <c r="AX100" s="2119">
        <f>+IF(OR(+ROUND(AC100,2)+ROUND(AE100,2)&gt;ROUND(AD100,2)+ROUND(AF100,2),+ABS(ROUND(AC100,2)+ROUND(AE100,2))&gt;+ABS(ROUND(AD100,2)+ROUND(AF100,2))),+(ROUND(AC100,2)+ROUND(AE100,2))-(ROUND(AD100,2)+ROUND(AF100,2)),0)</f>
        <v>0</v>
      </c>
      <c r="AY100" s="43"/>
      <c r="AZ100" s="43"/>
      <c r="BA100" s="43"/>
      <c r="BB100" s="43"/>
      <c r="BC100" s="43"/>
      <c r="BD100" s="43"/>
    </row>
    <row r="101" spans="1:56" ht="15.75">
      <c r="A101" s="1047">
        <v>2420</v>
      </c>
      <c r="B101" s="1049" t="s">
        <v>902</v>
      </c>
      <c r="C101" s="1049"/>
      <c r="D101" s="1049"/>
      <c r="E101" s="1049"/>
      <c r="F101" s="1049"/>
      <c r="G101" s="1049"/>
      <c r="H101" s="1049"/>
      <c r="I101" s="1049"/>
      <c r="J101" s="1049"/>
      <c r="K101" s="1049"/>
      <c r="L101" s="1050"/>
      <c r="M101" s="51" t="s">
        <v>265</v>
      </c>
      <c r="N101" s="2134">
        <f t="shared" si="44"/>
        <v>2420</v>
      </c>
      <c r="O101" s="856">
        <v>0</v>
      </c>
      <c r="P101" s="597">
        <v>491.4</v>
      </c>
      <c r="Q101" s="126">
        <v>0</v>
      </c>
      <c r="R101" s="127">
        <v>77.820000000000007</v>
      </c>
      <c r="S101" s="382">
        <v>0</v>
      </c>
      <c r="T101" s="57">
        <f t="shared" si="47"/>
        <v>569.22</v>
      </c>
      <c r="U101" s="51"/>
      <c r="V101" s="544">
        <f>+'NF-KSF-TRIAL-BAL-2020'!O101+'RA-TRIAL-BAL-2020'!O101+'DES-TRIAL-BAL-2020'!O101+'DMP-TRIAL-BAL-2020'!O101</f>
        <v>0</v>
      </c>
      <c r="W101" s="542">
        <f>+'NF-KSF-TRIAL-BAL-2020'!P101+'RA-TRIAL-BAL-2020'!P101+'DES-TRIAL-BAL-2020'!P101+'DMP-TRIAL-BAL-2020'!P101</f>
        <v>0</v>
      </c>
      <c r="X101" s="602">
        <f>+'NF-KSF-TRIAL-BAL-2020'!Q101+'RA-TRIAL-BAL-2020'!Q101+'DES-TRIAL-BAL-2020'!Q101+'DMP-TRIAL-BAL-2020'!Q101</f>
        <v>0</v>
      </c>
      <c r="Y101" s="601">
        <f>+'NF-KSF-TRIAL-BAL-2020'!R101+'RA-TRIAL-BAL-2020'!R101+'DES-TRIAL-BAL-2020'!R101+'DMP-TRIAL-BAL-2020'!R101</f>
        <v>0</v>
      </c>
      <c r="Z101" s="602">
        <f>+'NF-KSF-TRIAL-BAL-2020'!S101+'RA-TRIAL-BAL-2020'!S101+'DES-TRIAL-BAL-2020'!S101+'DMP-TRIAL-BAL-2020'!S101</f>
        <v>0</v>
      </c>
      <c r="AA101" s="603">
        <f>+'NF-KSF-TRIAL-BAL-2020'!T101+'RA-TRIAL-BAL-2020'!T101+'DES-TRIAL-BAL-2020'!T101+'DMP-TRIAL-BAL-2020'!T101</f>
        <v>0</v>
      </c>
      <c r="AB101" s="51"/>
      <c r="AC101" s="856">
        <v>0</v>
      </c>
      <c r="AD101" s="839">
        <v>0</v>
      </c>
      <c r="AE101" s="857">
        <v>0</v>
      </c>
      <c r="AF101" s="839">
        <v>0</v>
      </c>
      <c r="AG101" s="29">
        <v>0</v>
      </c>
      <c r="AH101" s="28">
        <f t="shared" si="48"/>
        <v>0</v>
      </c>
      <c r="AI101" s="51"/>
      <c r="AJ101" s="2134">
        <f t="shared" si="45"/>
        <v>2420</v>
      </c>
      <c r="AK101" s="575">
        <v>0</v>
      </c>
      <c r="AL101" s="2135">
        <f t="shared" si="50"/>
        <v>491.4</v>
      </c>
      <c r="AM101" s="837">
        <f t="shared" si="51"/>
        <v>0</v>
      </c>
      <c r="AN101" s="2135">
        <f t="shared" si="52"/>
        <v>77.819999999999993</v>
      </c>
      <c r="AO101" s="29">
        <v>0</v>
      </c>
      <c r="AP101" s="28">
        <f t="shared" si="49"/>
        <v>569.22</v>
      </c>
      <c r="AQ101" s="43"/>
      <c r="AR101" s="389">
        <f t="shared" si="40"/>
        <v>0</v>
      </c>
      <c r="AS101" s="390">
        <f t="shared" si="41"/>
        <v>0</v>
      </c>
      <c r="AT101" s="391">
        <f t="shared" si="42"/>
        <v>0</v>
      </c>
      <c r="AU101" s="43"/>
      <c r="AV101" s="2119">
        <f>+IF(OR(+ROUND(O101,2)+ROUND(Q101,2)&gt;ROUND(P101,2)+ROUND(R101,2),+ABS(ROUND(O101,2)+ROUND(Q101,2))&gt;+ABS(ROUND(P101,2)+ROUND(R101,2))),+(ROUND(O101,2)+ROUND(Q101,2))-(ROUND(P101,2)+ROUND(R101,2)),0)</f>
        <v>0</v>
      </c>
      <c r="AW101" s="119"/>
      <c r="AX101" s="2125">
        <f>+IF(OR(AC101&lt;&gt;0,AD101&lt;&gt;0,AE101&lt;&gt;0,AF101&lt;&gt;0,AG101&lt;&gt;0,AH101&lt;&gt;0),+IF(ABS(AC101+AE101)-ABS(AD101+AF101)&lt;&gt;0,ABS(AC101+AE101)-ABS(AD101+AF101),1),0)</f>
        <v>0</v>
      </c>
      <c r="AY101" s="43"/>
      <c r="AZ101" s="43"/>
      <c r="BA101" s="43"/>
      <c r="BB101" s="43"/>
      <c r="BC101" s="43"/>
      <c r="BD101" s="43"/>
    </row>
    <row r="102" spans="1:56" ht="15.75">
      <c r="A102" s="379" t="s">
        <v>903</v>
      </c>
      <c r="B102" s="380"/>
      <c r="C102" s="380"/>
      <c r="D102" s="380"/>
      <c r="E102" s="380"/>
      <c r="F102" s="380"/>
      <c r="G102" s="380"/>
      <c r="H102" s="380"/>
      <c r="I102" s="380"/>
      <c r="J102" s="380"/>
      <c r="K102" s="380"/>
      <c r="L102" s="381"/>
      <c r="M102" s="51" t="s">
        <v>265</v>
      </c>
      <c r="N102" s="383">
        <v>3</v>
      </c>
      <c r="O102" s="384"/>
      <c r="P102" s="385"/>
      <c r="Q102" s="386"/>
      <c r="R102" s="385"/>
      <c r="S102" s="386"/>
      <c r="T102" s="387"/>
      <c r="U102" s="51"/>
      <c r="V102" s="545"/>
      <c r="W102" s="533"/>
      <c r="X102" s="532"/>
      <c r="Y102" s="533"/>
      <c r="Z102" s="532"/>
      <c r="AA102" s="534"/>
      <c r="AB102" s="51"/>
      <c r="AC102" s="384"/>
      <c r="AD102" s="385"/>
      <c r="AE102" s="386"/>
      <c r="AF102" s="385"/>
      <c r="AG102" s="386"/>
      <c r="AH102" s="387"/>
      <c r="AI102" s="51"/>
      <c r="AJ102" s="388">
        <f t="shared" si="45"/>
        <v>3</v>
      </c>
      <c r="AK102" s="384"/>
      <c r="AL102" s="385"/>
      <c r="AM102" s="386"/>
      <c r="AN102" s="385"/>
      <c r="AO102" s="386"/>
      <c r="AP102" s="387"/>
      <c r="AQ102" s="43"/>
      <c r="AR102" s="392"/>
      <c r="AS102" s="393"/>
      <c r="AT102" s="394"/>
      <c r="AU102" s="43"/>
      <c r="AV102" s="43"/>
      <c r="AW102" s="119"/>
      <c r="AX102" s="119"/>
      <c r="AY102" s="43"/>
      <c r="AZ102" s="43"/>
      <c r="BA102" s="43"/>
      <c r="BB102" s="43"/>
      <c r="BC102" s="43"/>
      <c r="BD102" s="43"/>
    </row>
    <row r="103" spans="1:56" ht="15.75">
      <c r="A103" s="85">
        <v>3010</v>
      </c>
      <c r="B103" s="86" t="s">
        <v>904</v>
      </c>
      <c r="C103" s="86"/>
      <c r="D103" s="86"/>
      <c r="E103" s="86"/>
      <c r="F103" s="86"/>
      <c r="G103" s="86"/>
      <c r="H103" s="86"/>
      <c r="I103" s="86"/>
      <c r="J103" s="86"/>
      <c r="K103" s="86"/>
      <c r="L103" s="87"/>
      <c r="M103" s="51" t="s">
        <v>265</v>
      </c>
      <c r="N103" s="112">
        <f t="shared" ref="N103:N112" si="53">+A103</f>
        <v>3010</v>
      </c>
      <c r="O103" s="323"/>
      <c r="P103" s="329">
        <v>0</v>
      </c>
      <c r="Q103" s="325"/>
      <c r="R103" s="324"/>
      <c r="S103" s="326">
        <f t="shared" ref="S103:S112" si="54">+IF(ABS(+O103+Q103)&gt;=ABS(P103+R103),+O103-P103+Q103-R103,0)</f>
        <v>0</v>
      </c>
      <c r="T103" s="331">
        <v>0</v>
      </c>
      <c r="U103" s="51"/>
      <c r="V103" s="543">
        <f>+'NF-KSF-TRIAL-BAL-2020'!O103+'RA-TRIAL-BAL-2020'!O103+'DES-TRIAL-BAL-2020'!O103+'DMP-TRIAL-BAL-2020'!O103</f>
        <v>0</v>
      </c>
      <c r="W103" s="526">
        <f>+'NF-KSF-TRIAL-BAL-2020'!P103+'RA-TRIAL-BAL-2020'!P103+'DES-TRIAL-BAL-2020'!P103+'DMP-TRIAL-BAL-2020'!P103</f>
        <v>0</v>
      </c>
      <c r="X103" s="525">
        <f>+'NF-KSF-TRIAL-BAL-2020'!Q103+'RA-TRIAL-BAL-2020'!Q103+'DES-TRIAL-BAL-2020'!Q103+'DMP-TRIAL-BAL-2020'!Q103</f>
        <v>0</v>
      </c>
      <c r="Y103" s="526">
        <f>+'NF-KSF-TRIAL-BAL-2020'!R103+'RA-TRIAL-BAL-2020'!R103+'DES-TRIAL-BAL-2020'!R103+'DMP-TRIAL-BAL-2020'!R103</f>
        <v>0</v>
      </c>
      <c r="Z103" s="525">
        <f>+'NF-KSF-TRIAL-BAL-2020'!S103+'RA-TRIAL-BAL-2020'!S103+'DES-TRIAL-BAL-2020'!S103+'DMP-TRIAL-BAL-2020'!S103</f>
        <v>0</v>
      </c>
      <c r="AA103" s="527">
        <f>+'NF-KSF-TRIAL-BAL-2020'!T103+'RA-TRIAL-BAL-2020'!T103+'DES-TRIAL-BAL-2020'!T103+'DMP-TRIAL-BAL-2020'!T103</f>
        <v>0</v>
      </c>
      <c r="AB103" s="51"/>
      <c r="AC103" s="323"/>
      <c r="AD103" s="329">
        <v>0</v>
      </c>
      <c r="AE103" s="325"/>
      <c r="AF103" s="324"/>
      <c r="AG103" s="326">
        <f t="shared" ref="AG103:AG112" si="55">+IF(ABS(+AC103+AE103)&gt;=ABS(AD103+AF103),+AC103-AD103+AE103-AF103,0)</f>
        <v>0</v>
      </c>
      <c r="AH103" s="331">
        <v>0</v>
      </c>
      <c r="AI103" s="51"/>
      <c r="AJ103" s="1496">
        <f t="shared" si="45"/>
        <v>3010</v>
      </c>
      <c r="AK103" s="951">
        <f t="shared" ref="AK103:AK112" si="56">+ROUND(+O103+V103+AC103,2)</f>
        <v>0</v>
      </c>
      <c r="AL103" s="329">
        <v>0</v>
      </c>
      <c r="AM103" s="326">
        <f t="shared" ref="AM103:AN112" si="57">+ROUND(+Q103+X103+AE103,2)</f>
        <v>0</v>
      </c>
      <c r="AN103" s="970">
        <f t="shared" si="57"/>
        <v>0</v>
      </c>
      <c r="AO103" s="326">
        <f t="shared" ref="AO103:AO112" si="58">+S103+Z103+AG103</f>
        <v>0</v>
      </c>
      <c r="AP103" s="331">
        <v>0</v>
      </c>
      <c r="AQ103" s="43"/>
      <c r="AR103" s="358">
        <f t="shared" ref="AR103:AR112" si="59">+ROUND(+SUM(AK103-AL103)-SUM(O103-P103)-SUM(V103-W103)-SUM(AC103-AD103),2)</f>
        <v>0</v>
      </c>
      <c r="AS103" s="359">
        <f t="shared" ref="AS103:AS112" si="60">+ROUND(+SUM(AM103-AN103)-SUM(Q103-R103)-SUM(X103-Y103)-SUM(AE103-AF103),2)</f>
        <v>0</v>
      </c>
      <c r="AT103" s="360">
        <f t="shared" ref="AT103:AT112" si="61">+ROUND(+SUM(AO103-AP103)-SUM(S103-T103)-SUM(Z103-AA103)-SUM(AG103-AH103),2)</f>
        <v>0</v>
      </c>
      <c r="AU103" s="43"/>
      <c r="AV103" s="2120">
        <f t="shared" ref="AV103:AV112" si="62">+IF(OR(ROUND(P103,2)+ROUND(R103,2)&gt;+ROUND(O103,2)+ROUND(Q103,2),+ABS(ROUND(P103,2)+ROUND(R103,2))&gt;+ABS(ROUND(O103,2)+ROUND(Q103,2))),+(ROUND(P103,2)+ROUND(R103,2))-(ROUND(O103,2)+ROUND(Q103,2)),0)</f>
        <v>0</v>
      </c>
      <c r="AW103" s="119"/>
      <c r="AX103" s="2120">
        <f t="shared" ref="AX103:AX112" si="63">+IF(OR(ROUND(AD103,2)+ROUND(AF103,2)&gt;+ROUND(AC103,2)+ROUND(AE103,2),+ABS(ROUND(AD103,2)+ROUND(AF103,2))&gt;+ABS(ROUND(AC103,2)+ROUND(AE103,2))),+(ROUND(AD103,2)+ROUND(AF103,2))-(ROUND(AC103,2)+ROUND(AE103,2)),0)</f>
        <v>0</v>
      </c>
      <c r="AY103" s="43"/>
      <c r="AZ103" s="43"/>
      <c r="BA103" s="43"/>
      <c r="BB103" s="43"/>
      <c r="BC103" s="43"/>
      <c r="BD103" s="43"/>
    </row>
    <row r="104" spans="1:56" ht="15.75">
      <c r="A104" s="88">
        <v>3020</v>
      </c>
      <c r="B104" s="1033" t="s">
        <v>363</v>
      </c>
      <c r="C104" s="1033"/>
      <c r="D104" s="1033"/>
      <c r="E104" s="1033"/>
      <c r="F104" s="1033"/>
      <c r="G104" s="1033"/>
      <c r="H104" s="1033"/>
      <c r="I104" s="1033"/>
      <c r="J104" s="1033"/>
      <c r="K104" s="1033"/>
      <c r="L104" s="90"/>
      <c r="M104" s="51" t="s">
        <v>265</v>
      </c>
      <c r="N104" s="113">
        <f t="shared" si="53"/>
        <v>3020</v>
      </c>
      <c r="O104" s="120">
        <v>25827.42</v>
      </c>
      <c r="P104" s="9">
        <v>0</v>
      </c>
      <c r="Q104" s="325">
        <v>20070.829999999998</v>
      </c>
      <c r="R104" s="324">
        <v>23021.23</v>
      </c>
      <c r="S104" s="27">
        <f t="shared" si="54"/>
        <v>22877.02</v>
      </c>
      <c r="T104" s="30">
        <v>0</v>
      </c>
      <c r="U104" s="51"/>
      <c r="V104" s="541">
        <f>+'NF-KSF-TRIAL-BAL-2020'!O104+'RA-TRIAL-BAL-2020'!O104+'DES-TRIAL-BAL-2020'!O104+'DMP-TRIAL-BAL-2020'!O104</f>
        <v>0</v>
      </c>
      <c r="W104" s="529">
        <f>+'NF-KSF-TRIAL-BAL-2020'!P104+'RA-TRIAL-BAL-2020'!P104+'DES-TRIAL-BAL-2020'!P104+'DMP-TRIAL-BAL-2020'!P104</f>
        <v>0</v>
      </c>
      <c r="X104" s="528">
        <f>+'NF-KSF-TRIAL-BAL-2020'!Q104+'RA-TRIAL-BAL-2020'!Q104+'DES-TRIAL-BAL-2020'!Q104+'DMP-TRIAL-BAL-2020'!Q104</f>
        <v>0</v>
      </c>
      <c r="Y104" s="529">
        <f>+'NF-KSF-TRIAL-BAL-2020'!R104+'RA-TRIAL-BAL-2020'!R104+'DES-TRIAL-BAL-2020'!R104+'DMP-TRIAL-BAL-2020'!R104</f>
        <v>0</v>
      </c>
      <c r="Z104" s="528">
        <f>+'NF-KSF-TRIAL-BAL-2020'!S104+'RA-TRIAL-BAL-2020'!S104+'DES-TRIAL-BAL-2020'!S104+'DMP-TRIAL-BAL-2020'!S104</f>
        <v>0</v>
      </c>
      <c r="AA104" s="347">
        <f>+'NF-KSF-TRIAL-BAL-2020'!T104+'RA-TRIAL-BAL-2020'!T104+'DES-TRIAL-BAL-2020'!T104+'DMP-TRIAL-BAL-2020'!T104</f>
        <v>0</v>
      </c>
      <c r="AB104" s="51"/>
      <c r="AC104" s="120">
        <v>0</v>
      </c>
      <c r="AD104" s="9">
        <v>0</v>
      </c>
      <c r="AE104" s="325">
        <v>0</v>
      </c>
      <c r="AF104" s="324">
        <v>0</v>
      </c>
      <c r="AG104" s="27">
        <f t="shared" si="55"/>
        <v>0</v>
      </c>
      <c r="AH104" s="30">
        <v>0</v>
      </c>
      <c r="AI104" s="51"/>
      <c r="AJ104" s="1497">
        <f t="shared" si="45"/>
        <v>3020</v>
      </c>
      <c r="AK104" s="951">
        <f t="shared" si="56"/>
        <v>25827.42</v>
      </c>
      <c r="AL104" s="9">
        <v>0</v>
      </c>
      <c r="AM104" s="326">
        <f t="shared" si="57"/>
        <v>20070.830000000002</v>
      </c>
      <c r="AN104" s="970">
        <f t="shared" si="57"/>
        <v>23021.23</v>
      </c>
      <c r="AO104" s="326">
        <f t="shared" si="58"/>
        <v>22877.02</v>
      </c>
      <c r="AP104" s="30">
        <v>0</v>
      </c>
      <c r="AQ104" s="43"/>
      <c r="AR104" s="358">
        <f t="shared" si="59"/>
        <v>0</v>
      </c>
      <c r="AS104" s="359">
        <f t="shared" si="60"/>
        <v>0</v>
      </c>
      <c r="AT104" s="360">
        <f t="shared" si="61"/>
        <v>0</v>
      </c>
      <c r="AU104" s="43"/>
      <c r="AV104" s="2120">
        <f t="shared" si="62"/>
        <v>0</v>
      </c>
      <c r="AW104" s="119"/>
      <c r="AX104" s="2120">
        <f t="shared" si="63"/>
        <v>0</v>
      </c>
      <c r="AY104" s="43"/>
      <c r="AZ104" s="43"/>
      <c r="BA104" s="43"/>
      <c r="BB104" s="43"/>
      <c r="BC104" s="43"/>
      <c r="BD104" s="43"/>
    </row>
    <row r="105" spans="1:56" ht="15.75">
      <c r="A105" s="88">
        <v>3030</v>
      </c>
      <c r="B105" s="1033" t="s">
        <v>905</v>
      </c>
      <c r="C105" s="1033"/>
      <c r="D105" s="1033"/>
      <c r="E105" s="1033"/>
      <c r="F105" s="1033"/>
      <c r="G105" s="1033"/>
      <c r="H105" s="1033"/>
      <c r="I105" s="1033"/>
      <c r="J105" s="1033"/>
      <c r="K105" s="1033"/>
      <c r="L105" s="90"/>
      <c r="M105" s="51" t="s">
        <v>265</v>
      </c>
      <c r="N105" s="113">
        <f t="shared" si="53"/>
        <v>3030</v>
      </c>
      <c r="O105" s="120">
        <v>0</v>
      </c>
      <c r="P105" s="9">
        <v>0</v>
      </c>
      <c r="Q105" s="325">
        <v>0</v>
      </c>
      <c r="R105" s="324">
        <v>0</v>
      </c>
      <c r="S105" s="27">
        <f t="shared" si="54"/>
        <v>0</v>
      </c>
      <c r="T105" s="30">
        <v>0</v>
      </c>
      <c r="U105" s="51"/>
      <c r="V105" s="541">
        <f>+'NF-KSF-TRIAL-BAL-2020'!O105+'RA-TRIAL-BAL-2020'!O105+'DES-TRIAL-BAL-2020'!O105+'DMP-TRIAL-BAL-2020'!O105</f>
        <v>0</v>
      </c>
      <c r="W105" s="529">
        <f>+'NF-KSF-TRIAL-BAL-2020'!P105+'RA-TRIAL-BAL-2020'!P105+'DES-TRIAL-BAL-2020'!P105+'DMP-TRIAL-BAL-2020'!P105</f>
        <v>0</v>
      </c>
      <c r="X105" s="528">
        <f>+'NF-KSF-TRIAL-BAL-2020'!Q105+'RA-TRIAL-BAL-2020'!Q105+'DES-TRIAL-BAL-2020'!Q105+'DMP-TRIAL-BAL-2020'!Q105</f>
        <v>0</v>
      </c>
      <c r="Y105" s="529">
        <f>+'NF-KSF-TRIAL-BAL-2020'!R105+'RA-TRIAL-BAL-2020'!R105+'DES-TRIAL-BAL-2020'!R105+'DMP-TRIAL-BAL-2020'!R105</f>
        <v>0</v>
      </c>
      <c r="Z105" s="528">
        <f>+'NF-KSF-TRIAL-BAL-2020'!S105+'RA-TRIAL-BAL-2020'!S105+'DES-TRIAL-BAL-2020'!S105+'DMP-TRIAL-BAL-2020'!S105</f>
        <v>0</v>
      </c>
      <c r="AA105" s="347">
        <f>+'NF-KSF-TRIAL-BAL-2020'!T105+'RA-TRIAL-BAL-2020'!T105+'DES-TRIAL-BAL-2020'!T105+'DMP-TRIAL-BAL-2020'!T105</f>
        <v>0</v>
      </c>
      <c r="AB105" s="51"/>
      <c r="AC105" s="120">
        <v>0</v>
      </c>
      <c r="AD105" s="9">
        <v>0</v>
      </c>
      <c r="AE105" s="122">
        <v>0</v>
      </c>
      <c r="AF105" s="121">
        <v>0</v>
      </c>
      <c r="AG105" s="27">
        <f t="shared" si="55"/>
        <v>0</v>
      </c>
      <c r="AH105" s="30">
        <v>0</v>
      </c>
      <c r="AI105" s="51"/>
      <c r="AJ105" s="1497">
        <f t="shared" si="45"/>
        <v>3030</v>
      </c>
      <c r="AK105" s="951">
        <f t="shared" si="56"/>
        <v>0</v>
      </c>
      <c r="AL105" s="9">
        <v>0</v>
      </c>
      <c r="AM105" s="326">
        <f t="shared" si="57"/>
        <v>0</v>
      </c>
      <c r="AN105" s="970">
        <f t="shared" si="57"/>
        <v>0</v>
      </c>
      <c r="AO105" s="326">
        <f t="shared" si="58"/>
        <v>0</v>
      </c>
      <c r="AP105" s="30">
        <v>0</v>
      </c>
      <c r="AQ105" s="43"/>
      <c r="AR105" s="358">
        <f t="shared" si="59"/>
        <v>0</v>
      </c>
      <c r="AS105" s="359">
        <f t="shared" si="60"/>
        <v>0</v>
      </c>
      <c r="AT105" s="360">
        <f t="shared" si="61"/>
        <v>0</v>
      </c>
      <c r="AU105" s="43"/>
      <c r="AV105" s="2120">
        <f t="shared" si="62"/>
        <v>0</v>
      </c>
      <c r="AW105" s="119"/>
      <c r="AX105" s="2120">
        <f t="shared" si="63"/>
        <v>0</v>
      </c>
      <c r="AY105" s="43"/>
      <c r="AZ105" s="43"/>
      <c r="BA105" s="43"/>
      <c r="BB105" s="43"/>
      <c r="BC105" s="43"/>
      <c r="BD105" s="43"/>
    </row>
    <row r="106" spans="1:56" ht="15.75">
      <c r="A106" s="88">
        <v>3040</v>
      </c>
      <c r="B106" s="1033" t="s">
        <v>906</v>
      </c>
      <c r="C106" s="1033"/>
      <c r="D106" s="1033"/>
      <c r="E106" s="1033"/>
      <c r="F106" s="1033"/>
      <c r="G106" s="1033"/>
      <c r="H106" s="1033"/>
      <c r="I106" s="1033"/>
      <c r="J106" s="1033"/>
      <c r="K106" s="1033"/>
      <c r="L106" s="90"/>
      <c r="M106" s="51" t="s">
        <v>265</v>
      </c>
      <c r="N106" s="113">
        <f t="shared" si="53"/>
        <v>3040</v>
      </c>
      <c r="O106" s="120">
        <v>0</v>
      </c>
      <c r="P106" s="9">
        <v>0</v>
      </c>
      <c r="Q106" s="325">
        <v>0</v>
      </c>
      <c r="R106" s="324">
        <v>0</v>
      </c>
      <c r="S106" s="27">
        <f t="shared" si="54"/>
        <v>0</v>
      </c>
      <c r="T106" s="30">
        <v>0</v>
      </c>
      <c r="U106" s="51"/>
      <c r="V106" s="541">
        <f>+'NF-KSF-TRIAL-BAL-2020'!O106+'RA-TRIAL-BAL-2020'!O106+'DES-TRIAL-BAL-2020'!O106+'DMP-TRIAL-BAL-2020'!O106</f>
        <v>0</v>
      </c>
      <c r="W106" s="529">
        <f>+'NF-KSF-TRIAL-BAL-2020'!P106+'RA-TRIAL-BAL-2020'!P106+'DES-TRIAL-BAL-2020'!P106+'DMP-TRIAL-BAL-2020'!P106</f>
        <v>0</v>
      </c>
      <c r="X106" s="528">
        <f>+'NF-KSF-TRIAL-BAL-2020'!Q106+'RA-TRIAL-BAL-2020'!Q106+'DES-TRIAL-BAL-2020'!Q106+'DMP-TRIAL-BAL-2020'!Q106</f>
        <v>0</v>
      </c>
      <c r="Y106" s="529">
        <f>+'NF-KSF-TRIAL-BAL-2020'!R106+'RA-TRIAL-BAL-2020'!R106+'DES-TRIAL-BAL-2020'!R106+'DMP-TRIAL-BAL-2020'!R106</f>
        <v>0</v>
      </c>
      <c r="Z106" s="528">
        <f>+'NF-KSF-TRIAL-BAL-2020'!S106+'RA-TRIAL-BAL-2020'!S106+'DES-TRIAL-BAL-2020'!S106+'DMP-TRIAL-BAL-2020'!S106</f>
        <v>0</v>
      </c>
      <c r="AA106" s="347">
        <f>+'NF-KSF-TRIAL-BAL-2020'!T106+'RA-TRIAL-BAL-2020'!T106+'DES-TRIAL-BAL-2020'!T106+'DMP-TRIAL-BAL-2020'!T106</f>
        <v>0</v>
      </c>
      <c r="AB106" s="51"/>
      <c r="AC106" s="120">
        <v>0</v>
      </c>
      <c r="AD106" s="9">
        <v>0</v>
      </c>
      <c r="AE106" s="325">
        <v>0</v>
      </c>
      <c r="AF106" s="324">
        <v>0</v>
      </c>
      <c r="AG106" s="27">
        <f t="shared" si="55"/>
        <v>0</v>
      </c>
      <c r="AH106" s="30">
        <v>0</v>
      </c>
      <c r="AI106" s="51"/>
      <c r="AJ106" s="1497">
        <f t="shared" si="45"/>
        <v>3040</v>
      </c>
      <c r="AK106" s="951">
        <f t="shared" si="56"/>
        <v>0</v>
      </c>
      <c r="AL106" s="9">
        <v>0</v>
      </c>
      <c r="AM106" s="326">
        <f t="shared" si="57"/>
        <v>0</v>
      </c>
      <c r="AN106" s="970">
        <f t="shared" si="57"/>
        <v>0</v>
      </c>
      <c r="AO106" s="326">
        <f t="shared" si="58"/>
        <v>0</v>
      </c>
      <c r="AP106" s="30">
        <v>0</v>
      </c>
      <c r="AQ106" s="43"/>
      <c r="AR106" s="358">
        <f t="shared" si="59"/>
        <v>0</v>
      </c>
      <c r="AS106" s="359">
        <f t="shared" si="60"/>
        <v>0</v>
      </c>
      <c r="AT106" s="360">
        <f t="shared" si="61"/>
        <v>0</v>
      </c>
      <c r="AU106" s="43"/>
      <c r="AV106" s="2120">
        <f t="shared" si="62"/>
        <v>0</v>
      </c>
      <c r="AW106" s="119"/>
      <c r="AX106" s="2120">
        <f t="shared" si="63"/>
        <v>0</v>
      </c>
      <c r="AY106" s="43"/>
      <c r="AZ106" s="43"/>
      <c r="BA106" s="43"/>
      <c r="BB106" s="43"/>
      <c r="BC106" s="43"/>
      <c r="BD106" s="43"/>
    </row>
    <row r="107" spans="1:56" ht="15.75">
      <c r="A107" s="88">
        <v>3100</v>
      </c>
      <c r="B107" s="1033" t="s">
        <v>907</v>
      </c>
      <c r="C107" s="1033"/>
      <c r="D107" s="1033"/>
      <c r="E107" s="1033"/>
      <c r="F107" s="1033"/>
      <c r="G107" s="1033"/>
      <c r="H107" s="1033"/>
      <c r="I107" s="1033"/>
      <c r="J107" s="1033"/>
      <c r="K107" s="1033"/>
      <c r="L107" s="90"/>
      <c r="M107" s="51" t="s">
        <v>265</v>
      </c>
      <c r="N107" s="113">
        <f t="shared" si="53"/>
        <v>3100</v>
      </c>
      <c r="O107" s="120"/>
      <c r="P107" s="9">
        <v>0</v>
      </c>
      <c r="Q107" s="325"/>
      <c r="R107" s="324"/>
      <c r="S107" s="27">
        <f t="shared" si="54"/>
        <v>0</v>
      </c>
      <c r="T107" s="30">
        <v>0</v>
      </c>
      <c r="U107" s="51"/>
      <c r="V107" s="541">
        <f>+'NF-KSF-TRIAL-BAL-2020'!O107+'RA-TRIAL-BAL-2020'!O107+'DES-TRIAL-BAL-2020'!O107+'DMP-TRIAL-BAL-2020'!O107</f>
        <v>0</v>
      </c>
      <c r="W107" s="529">
        <f>+'NF-KSF-TRIAL-BAL-2020'!P107+'RA-TRIAL-BAL-2020'!P107+'DES-TRIAL-BAL-2020'!P107+'DMP-TRIAL-BAL-2020'!P107</f>
        <v>0</v>
      </c>
      <c r="X107" s="528">
        <f>+'NF-KSF-TRIAL-BAL-2020'!Q107+'RA-TRIAL-BAL-2020'!Q107+'DES-TRIAL-BAL-2020'!Q107+'DMP-TRIAL-BAL-2020'!Q107</f>
        <v>0</v>
      </c>
      <c r="Y107" s="529">
        <f>+'NF-KSF-TRIAL-BAL-2020'!R107+'RA-TRIAL-BAL-2020'!R107+'DES-TRIAL-BAL-2020'!R107+'DMP-TRIAL-BAL-2020'!R107</f>
        <v>0</v>
      </c>
      <c r="Z107" s="528">
        <f>+'NF-KSF-TRIAL-BAL-2020'!S107+'RA-TRIAL-BAL-2020'!S107+'DES-TRIAL-BAL-2020'!S107+'DMP-TRIAL-BAL-2020'!S107</f>
        <v>0</v>
      </c>
      <c r="AA107" s="347">
        <f>+'NF-KSF-TRIAL-BAL-2020'!T107+'RA-TRIAL-BAL-2020'!T107+'DES-TRIAL-BAL-2020'!T107+'DMP-TRIAL-BAL-2020'!T107</f>
        <v>0</v>
      </c>
      <c r="AB107" s="51"/>
      <c r="AC107" s="120"/>
      <c r="AD107" s="9">
        <v>0</v>
      </c>
      <c r="AE107" s="325"/>
      <c r="AF107" s="324"/>
      <c r="AG107" s="27">
        <f t="shared" si="55"/>
        <v>0</v>
      </c>
      <c r="AH107" s="30">
        <v>0</v>
      </c>
      <c r="AI107" s="51"/>
      <c r="AJ107" s="1497">
        <f t="shared" si="45"/>
        <v>3100</v>
      </c>
      <c r="AK107" s="951">
        <f t="shared" si="56"/>
        <v>0</v>
      </c>
      <c r="AL107" s="9">
        <v>0</v>
      </c>
      <c r="AM107" s="326">
        <f t="shared" si="57"/>
        <v>0</v>
      </c>
      <c r="AN107" s="970">
        <f t="shared" si="57"/>
        <v>0</v>
      </c>
      <c r="AO107" s="326">
        <f t="shared" si="58"/>
        <v>0</v>
      </c>
      <c r="AP107" s="30">
        <v>0</v>
      </c>
      <c r="AQ107" s="43"/>
      <c r="AR107" s="358">
        <f t="shared" si="59"/>
        <v>0</v>
      </c>
      <c r="AS107" s="359">
        <f t="shared" si="60"/>
        <v>0</v>
      </c>
      <c r="AT107" s="360">
        <f t="shared" si="61"/>
        <v>0</v>
      </c>
      <c r="AU107" s="43"/>
      <c r="AV107" s="2120">
        <f t="shared" si="62"/>
        <v>0</v>
      </c>
      <c r="AW107" s="119"/>
      <c r="AX107" s="2120">
        <f t="shared" si="63"/>
        <v>0</v>
      </c>
      <c r="AY107" s="43"/>
      <c r="AZ107" s="43"/>
      <c r="BA107" s="43"/>
      <c r="BB107" s="43"/>
      <c r="BC107" s="43"/>
      <c r="BD107" s="43"/>
    </row>
    <row r="108" spans="1:56" ht="15.75">
      <c r="A108" s="88">
        <v>3210</v>
      </c>
      <c r="B108" s="1033" t="s">
        <v>908</v>
      </c>
      <c r="C108" s="1033"/>
      <c r="D108" s="1033"/>
      <c r="E108" s="1033"/>
      <c r="F108" s="1033"/>
      <c r="G108" s="1033"/>
      <c r="H108" s="1033"/>
      <c r="I108" s="1033"/>
      <c r="J108" s="1033"/>
      <c r="K108" s="1033"/>
      <c r="L108" s="90"/>
      <c r="M108" s="51" t="s">
        <v>265</v>
      </c>
      <c r="N108" s="113">
        <f t="shared" si="53"/>
        <v>3210</v>
      </c>
      <c r="O108" s="120"/>
      <c r="P108" s="9">
        <v>0</v>
      </c>
      <c r="Q108" s="325"/>
      <c r="R108" s="324"/>
      <c r="S108" s="27">
        <f t="shared" si="54"/>
        <v>0</v>
      </c>
      <c r="T108" s="30">
        <v>0</v>
      </c>
      <c r="U108" s="51"/>
      <c r="V108" s="541">
        <f>+'NF-KSF-TRIAL-BAL-2020'!O108+'RA-TRIAL-BAL-2020'!O108+'DES-TRIAL-BAL-2020'!O108+'DMP-TRIAL-BAL-2020'!O108</f>
        <v>0</v>
      </c>
      <c r="W108" s="529">
        <f>+'NF-KSF-TRIAL-BAL-2020'!P108+'RA-TRIAL-BAL-2020'!P108+'DES-TRIAL-BAL-2020'!P108+'DMP-TRIAL-BAL-2020'!P108</f>
        <v>0</v>
      </c>
      <c r="X108" s="528">
        <f>+'NF-KSF-TRIAL-BAL-2020'!Q108+'RA-TRIAL-BAL-2020'!Q108+'DES-TRIAL-BAL-2020'!Q108+'DMP-TRIAL-BAL-2020'!Q108</f>
        <v>0</v>
      </c>
      <c r="Y108" s="529">
        <f>+'NF-KSF-TRIAL-BAL-2020'!R108+'RA-TRIAL-BAL-2020'!R108+'DES-TRIAL-BAL-2020'!R108+'DMP-TRIAL-BAL-2020'!R108</f>
        <v>0</v>
      </c>
      <c r="Z108" s="528">
        <f>+'NF-KSF-TRIAL-BAL-2020'!S108+'RA-TRIAL-BAL-2020'!S108+'DES-TRIAL-BAL-2020'!S108+'DMP-TRIAL-BAL-2020'!S108</f>
        <v>0</v>
      </c>
      <c r="AA108" s="347">
        <f>+'NF-KSF-TRIAL-BAL-2020'!T108+'RA-TRIAL-BAL-2020'!T108+'DES-TRIAL-BAL-2020'!T108+'DMP-TRIAL-BAL-2020'!T108</f>
        <v>0</v>
      </c>
      <c r="AB108" s="51"/>
      <c r="AC108" s="120"/>
      <c r="AD108" s="9">
        <v>0</v>
      </c>
      <c r="AE108" s="122"/>
      <c r="AF108" s="121"/>
      <c r="AG108" s="27">
        <f t="shared" si="55"/>
        <v>0</v>
      </c>
      <c r="AH108" s="30">
        <v>0</v>
      </c>
      <c r="AI108" s="51"/>
      <c r="AJ108" s="1497">
        <f t="shared" si="45"/>
        <v>3210</v>
      </c>
      <c r="AK108" s="951">
        <f t="shared" si="56"/>
        <v>0</v>
      </c>
      <c r="AL108" s="9">
        <v>0</v>
      </c>
      <c r="AM108" s="326">
        <f t="shared" si="57"/>
        <v>0</v>
      </c>
      <c r="AN108" s="970">
        <f t="shared" si="57"/>
        <v>0</v>
      </c>
      <c r="AO108" s="326">
        <f t="shared" si="58"/>
        <v>0</v>
      </c>
      <c r="AP108" s="30">
        <v>0</v>
      </c>
      <c r="AQ108" s="43"/>
      <c r="AR108" s="358">
        <f t="shared" si="59"/>
        <v>0</v>
      </c>
      <c r="AS108" s="359">
        <f t="shared" si="60"/>
        <v>0</v>
      </c>
      <c r="AT108" s="360">
        <f t="shared" si="61"/>
        <v>0</v>
      </c>
      <c r="AU108" s="43"/>
      <c r="AV108" s="2120">
        <f t="shared" si="62"/>
        <v>0</v>
      </c>
      <c r="AW108" s="119"/>
      <c r="AX108" s="2120">
        <f t="shared" si="63"/>
        <v>0</v>
      </c>
      <c r="AY108" s="43"/>
      <c r="AZ108" s="43"/>
      <c r="BA108" s="43"/>
      <c r="BB108" s="43"/>
      <c r="BC108" s="43"/>
      <c r="BD108" s="43"/>
    </row>
    <row r="109" spans="1:56" ht="15.75">
      <c r="A109" s="88">
        <v>3220</v>
      </c>
      <c r="B109" s="1033" t="s">
        <v>909</v>
      </c>
      <c r="C109" s="1033"/>
      <c r="D109" s="1033"/>
      <c r="E109" s="1033"/>
      <c r="F109" s="1033"/>
      <c r="G109" s="1033"/>
      <c r="H109" s="1033"/>
      <c r="I109" s="1033"/>
      <c r="J109" s="1033"/>
      <c r="K109" s="1033"/>
      <c r="L109" s="90"/>
      <c r="M109" s="51" t="s">
        <v>265</v>
      </c>
      <c r="N109" s="113">
        <f t="shared" si="53"/>
        <v>3220</v>
      </c>
      <c r="O109" s="120"/>
      <c r="P109" s="9">
        <v>0</v>
      </c>
      <c r="Q109" s="325"/>
      <c r="R109" s="324"/>
      <c r="S109" s="27">
        <f t="shared" si="54"/>
        <v>0</v>
      </c>
      <c r="T109" s="30">
        <v>0</v>
      </c>
      <c r="U109" s="51"/>
      <c r="V109" s="541">
        <f>+'NF-KSF-TRIAL-BAL-2020'!O109+'RA-TRIAL-BAL-2020'!O109+'DES-TRIAL-BAL-2020'!O109+'DMP-TRIAL-BAL-2020'!O109</f>
        <v>0</v>
      </c>
      <c r="W109" s="529">
        <f>+'NF-KSF-TRIAL-BAL-2020'!P109+'RA-TRIAL-BAL-2020'!P109+'DES-TRIAL-BAL-2020'!P109+'DMP-TRIAL-BAL-2020'!P109</f>
        <v>0</v>
      </c>
      <c r="X109" s="528">
        <f>+'NF-KSF-TRIAL-BAL-2020'!Q109+'RA-TRIAL-BAL-2020'!Q109+'DES-TRIAL-BAL-2020'!Q109+'DMP-TRIAL-BAL-2020'!Q109</f>
        <v>0</v>
      </c>
      <c r="Y109" s="529">
        <f>+'NF-KSF-TRIAL-BAL-2020'!R109+'RA-TRIAL-BAL-2020'!R109+'DES-TRIAL-BAL-2020'!R109+'DMP-TRIAL-BAL-2020'!R109</f>
        <v>0</v>
      </c>
      <c r="Z109" s="528">
        <f>+'NF-KSF-TRIAL-BAL-2020'!S109+'RA-TRIAL-BAL-2020'!S109+'DES-TRIAL-BAL-2020'!S109+'DMP-TRIAL-BAL-2020'!S109</f>
        <v>0</v>
      </c>
      <c r="AA109" s="347">
        <f>+'NF-KSF-TRIAL-BAL-2020'!T109+'RA-TRIAL-BAL-2020'!T109+'DES-TRIAL-BAL-2020'!T109+'DMP-TRIAL-BAL-2020'!T109</f>
        <v>0</v>
      </c>
      <c r="AB109" s="51"/>
      <c r="AC109" s="120"/>
      <c r="AD109" s="9">
        <v>0</v>
      </c>
      <c r="AE109" s="325"/>
      <c r="AF109" s="324"/>
      <c r="AG109" s="27">
        <f t="shared" si="55"/>
        <v>0</v>
      </c>
      <c r="AH109" s="30">
        <v>0</v>
      </c>
      <c r="AI109" s="51"/>
      <c r="AJ109" s="1497">
        <f t="shared" si="45"/>
        <v>3220</v>
      </c>
      <c r="AK109" s="951">
        <f t="shared" si="56"/>
        <v>0</v>
      </c>
      <c r="AL109" s="9">
        <v>0</v>
      </c>
      <c r="AM109" s="326">
        <f t="shared" si="57"/>
        <v>0</v>
      </c>
      <c r="AN109" s="970">
        <f t="shared" si="57"/>
        <v>0</v>
      </c>
      <c r="AO109" s="326">
        <f t="shared" si="58"/>
        <v>0</v>
      </c>
      <c r="AP109" s="30">
        <v>0</v>
      </c>
      <c r="AQ109" s="43"/>
      <c r="AR109" s="358">
        <f t="shared" si="59"/>
        <v>0</v>
      </c>
      <c r="AS109" s="359">
        <f t="shared" si="60"/>
        <v>0</v>
      </c>
      <c r="AT109" s="360">
        <f t="shared" si="61"/>
        <v>0</v>
      </c>
      <c r="AU109" s="43"/>
      <c r="AV109" s="2120">
        <f t="shared" si="62"/>
        <v>0</v>
      </c>
      <c r="AW109" s="119"/>
      <c r="AX109" s="2120">
        <f t="shared" si="63"/>
        <v>0</v>
      </c>
      <c r="AY109" s="43"/>
      <c r="AZ109" s="43"/>
      <c r="BA109" s="43"/>
      <c r="BB109" s="43"/>
      <c r="BC109" s="43"/>
      <c r="BD109" s="43"/>
    </row>
    <row r="110" spans="1:56" ht="15.75">
      <c r="A110" s="88">
        <v>3310</v>
      </c>
      <c r="B110" s="1033" t="s">
        <v>910</v>
      </c>
      <c r="C110" s="1033"/>
      <c r="D110" s="1033"/>
      <c r="E110" s="1033"/>
      <c r="F110" s="1033"/>
      <c r="G110" s="1033"/>
      <c r="H110" s="1033"/>
      <c r="I110" s="1033"/>
      <c r="J110" s="1033"/>
      <c r="K110" s="1033"/>
      <c r="L110" s="90"/>
      <c r="M110" s="51" t="s">
        <v>265</v>
      </c>
      <c r="N110" s="113">
        <f t="shared" si="53"/>
        <v>3310</v>
      </c>
      <c r="O110" s="120"/>
      <c r="P110" s="9">
        <v>0</v>
      </c>
      <c r="Q110" s="325"/>
      <c r="R110" s="324"/>
      <c r="S110" s="27">
        <f t="shared" si="54"/>
        <v>0</v>
      </c>
      <c r="T110" s="30">
        <v>0</v>
      </c>
      <c r="U110" s="51"/>
      <c r="V110" s="541">
        <f>+'NF-KSF-TRIAL-BAL-2020'!O110+'RA-TRIAL-BAL-2020'!O110+'DES-TRIAL-BAL-2020'!O110+'DMP-TRIAL-BAL-2020'!O110</f>
        <v>0</v>
      </c>
      <c r="W110" s="529">
        <f>+'NF-KSF-TRIAL-BAL-2020'!P110+'RA-TRIAL-BAL-2020'!P110+'DES-TRIAL-BAL-2020'!P110+'DMP-TRIAL-BAL-2020'!P110</f>
        <v>0</v>
      </c>
      <c r="X110" s="528">
        <f>+'NF-KSF-TRIAL-BAL-2020'!Q110+'RA-TRIAL-BAL-2020'!Q110+'DES-TRIAL-BAL-2020'!Q110+'DMP-TRIAL-BAL-2020'!Q110</f>
        <v>0</v>
      </c>
      <c r="Y110" s="529">
        <f>+'NF-KSF-TRIAL-BAL-2020'!R110+'RA-TRIAL-BAL-2020'!R110+'DES-TRIAL-BAL-2020'!R110+'DMP-TRIAL-BAL-2020'!R110</f>
        <v>0</v>
      </c>
      <c r="Z110" s="528">
        <f>+'NF-KSF-TRIAL-BAL-2020'!S110+'RA-TRIAL-BAL-2020'!S110+'DES-TRIAL-BAL-2020'!S110+'DMP-TRIAL-BAL-2020'!S110</f>
        <v>0</v>
      </c>
      <c r="AA110" s="347">
        <f>+'NF-KSF-TRIAL-BAL-2020'!T110+'RA-TRIAL-BAL-2020'!T110+'DES-TRIAL-BAL-2020'!T110+'DMP-TRIAL-BAL-2020'!T110</f>
        <v>0</v>
      </c>
      <c r="AB110" s="51"/>
      <c r="AC110" s="120"/>
      <c r="AD110" s="9">
        <v>0</v>
      </c>
      <c r="AE110" s="325"/>
      <c r="AF110" s="324"/>
      <c r="AG110" s="27">
        <f t="shared" si="55"/>
        <v>0</v>
      </c>
      <c r="AH110" s="30">
        <v>0</v>
      </c>
      <c r="AI110" s="51"/>
      <c r="AJ110" s="1497">
        <f t="shared" si="45"/>
        <v>3310</v>
      </c>
      <c r="AK110" s="951">
        <f t="shared" si="56"/>
        <v>0</v>
      </c>
      <c r="AL110" s="9">
        <v>0</v>
      </c>
      <c r="AM110" s="326">
        <f t="shared" si="57"/>
        <v>0</v>
      </c>
      <c r="AN110" s="970">
        <f t="shared" si="57"/>
        <v>0</v>
      </c>
      <c r="AO110" s="326">
        <f t="shared" si="58"/>
        <v>0</v>
      </c>
      <c r="AP110" s="30">
        <v>0</v>
      </c>
      <c r="AQ110" s="43"/>
      <c r="AR110" s="358">
        <f t="shared" si="59"/>
        <v>0</v>
      </c>
      <c r="AS110" s="359">
        <f t="shared" si="60"/>
        <v>0</v>
      </c>
      <c r="AT110" s="360">
        <f t="shared" si="61"/>
        <v>0</v>
      </c>
      <c r="AU110" s="43"/>
      <c r="AV110" s="2120">
        <f t="shared" si="62"/>
        <v>0</v>
      </c>
      <c r="AW110" s="119"/>
      <c r="AX110" s="2120">
        <f t="shared" si="63"/>
        <v>0</v>
      </c>
      <c r="AY110" s="43"/>
      <c r="AZ110" s="43"/>
      <c r="BA110" s="43"/>
      <c r="BB110" s="43"/>
      <c r="BC110" s="43"/>
      <c r="BD110" s="43"/>
    </row>
    <row r="111" spans="1:56" ht="15.75">
      <c r="A111" s="88">
        <v>3320</v>
      </c>
      <c r="B111" s="1033" t="s">
        <v>911</v>
      </c>
      <c r="C111" s="1033"/>
      <c r="D111" s="1033"/>
      <c r="E111" s="1033"/>
      <c r="F111" s="1033"/>
      <c r="G111" s="1033"/>
      <c r="H111" s="1033"/>
      <c r="I111" s="1033"/>
      <c r="J111" s="1033"/>
      <c r="K111" s="1033"/>
      <c r="L111" s="90"/>
      <c r="M111" s="51" t="s">
        <v>265</v>
      </c>
      <c r="N111" s="113">
        <f t="shared" si="53"/>
        <v>3320</v>
      </c>
      <c r="O111" s="120"/>
      <c r="P111" s="9">
        <v>0</v>
      </c>
      <c r="Q111" s="325"/>
      <c r="R111" s="324"/>
      <c r="S111" s="27">
        <f t="shared" si="54"/>
        <v>0</v>
      </c>
      <c r="T111" s="30">
        <v>0</v>
      </c>
      <c r="U111" s="51"/>
      <c r="V111" s="541">
        <f>+'NF-KSF-TRIAL-BAL-2020'!O111+'RA-TRIAL-BAL-2020'!O111+'DES-TRIAL-BAL-2020'!O111+'DMP-TRIAL-BAL-2020'!O111</f>
        <v>0</v>
      </c>
      <c r="W111" s="529">
        <f>+'NF-KSF-TRIAL-BAL-2020'!P111+'RA-TRIAL-BAL-2020'!P111+'DES-TRIAL-BAL-2020'!P111+'DMP-TRIAL-BAL-2020'!P111</f>
        <v>0</v>
      </c>
      <c r="X111" s="528">
        <f>+'NF-KSF-TRIAL-BAL-2020'!Q111+'RA-TRIAL-BAL-2020'!Q111+'DES-TRIAL-BAL-2020'!Q111+'DMP-TRIAL-BAL-2020'!Q111</f>
        <v>0</v>
      </c>
      <c r="Y111" s="529">
        <f>+'NF-KSF-TRIAL-BAL-2020'!R111+'RA-TRIAL-BAL-2020'!R111+'DES-TRIAL-BAL-2020'!R111+'DMP-TRIAL-BAL-2020'!R111</f>
        <v>0</v>
      </c>
      <c r="Z111" s="528">
        <f>+'NF-KSF-TRIAL-BAL-2020'!S111+'RA-TRIAL-BAL-2020'!S111+'DES-TRIAL-BAL-2020'!S111+'DMP-TRIAL-BAL-2020'!S111</f>
        <v>0</v>
      </c>
      <c r="AA111" s="347">
        <f>+'NF-KSF-TRIAL-BAL-2020'!T111+'RA-TRIAL-BAL-2020'!T111+'DES-TRIAL-BAL-2020'!T111+'DMP-TRIAL-BAL-2020'!T111</f>
        <v>0</v>
      </c>
      <c r="AB111" s="51"/>
      <c r="AC111" s="120"/>
      <c r="AD111" s="9">
        <v>0</v>
      </c>
      <c r="AE111" s="122"/>
      <c r="AF111" s="121"/>
      <c r="AG111" s="27">
        <f t="shared" si="55"/>
        <v>0</v>
      </c>
      <c r="AH111" s="30">
        <v>0</v>
      </c>
      <c r="AI111" s="51"/>
      <c r="AJ111" s="1497">
        <f t="shared" si="45"/>
        <v>3320</v>
      </c>
      <c r="AK111" s="951">
        <f t="shared" si="56"/>
        <v>0</v>
      </c>
      <c r="AL111" s="9">
        <v>0</v>
      </c>
      <c r="AM111" s="326">
        <f t="shared" si="57"/>
        <v>0</v>
      </c>
      <c r="AN111" s="970">
        <f t="shared" si="57"/>
        <v>0</v>
      </c>
      <c r="AO111" s="326">
        <f t="shared" si="58"/>
        <v>0</v>
      </c>
      <c r="AP111" s="30">
        <v>0</v>
      </c>
      <c r="AQ111" s="43"/>
      <c r="AR111" s="358">
        <f t="shared" si="59"/>
        <v>0</v>
      </c>
      <c r="AS111" s="359">
        <f t="shared" si="60"/>
        <v>0</v>
      </c>
      <c r="AT111" s="360">
        <f t="shared" si="61"/>
        <v>0</v>
      </c>
      <c r="AU111" s="43"/>
      <c r="AV111" s="2120">
        <f t="shared" si="62"/>
        <v>0</v>
      </c>
      <c r="AW111" s="119"/>
      <c r="AX111" s="2120">
        <f t="shared" si="63"/>
        <v>0</v>
      </c>
      <c r="AY111" s="43"/>
      <c r="AZ111" s="43"/>
      <c r="BA111" s="43"/>
      <c r="BB111" s="43"/>
      <c r="BC111" s="43"/>
      <c r="BD111" s="43"/>
    </row>
    <row r="112" spans="1:56" ht="15.75">
      <c r="A112" s="1040">
        <v>3330</v>
      </c>
      <c r="B112" s="101" t="s">
        <v>912</v>
      </c>
      <c r="C112" s="101"/>
      <c r="D112" s="101"/>
      <c r="E112" s="101"/>
      <c r="F112" s="101"/>
      <c r="G112" s="101"/>
      <c r="H112" s="101"/>
      <c r="I112" s="101"/>
      <c r="J112" s="101"/>
      <c r="K112" s="101"/>
      <c r="L112" s="102"/>
      <c r="M112" s="51" t="s">
        <v>265</v>
      </c>
      <c r="N112" s="116">
        <f t="shared" si="53"/>
        <v>3330</v>
      </c>
      <c r="O112" s="123"/>
      <c r="P112" s="37">
        <v>0</v>
      </c>
      <c r="Q112" s="325"/>
      <c r="R112" s="324"/>
      <c r="S112" s="56">
        <f t="shared" si="54"/>
        <v>0</v>
      </c>
      <c r="T112" s="60">
        <v>0</v>
      </c>
      <c r="U112" s="51"/>
      <c r="V112" s="544">
        <f>+'NF-KSF-TRIAL-BAL-2020'!O112+'RA-TRIAL-BAL-2020'!O112+'DES-TRIAL-BAL-2020'!O112+'DMP-TRIAL-BAL-2020'!O112</f>
        <v>0</v>
      </c>
      <c r="W112" s="542">
        <f>+'NF-KSF-TRIAL-BAL-2020'!P112+'RA-TRIAL-BAL-2020'!P112+'DES-TRIAL-BAL-2020'!P112+'DMP-TRIAL-BAL-2020'!P112</f>
        <v>0</v>
      </c>
      <c r="X112" s="530">
        <f>+'NF-KSF-TRIAL-BAL-2020'!Q112+'RA-TRIAL-BAL-2020'!Q112+'DES-TRIAL-BAL-2020'!Q112+'DMP-TRIAL-BAL-2020'!Q112</f>
        <v>0</v>
      </c>
      <c r="Y112" s="542">
        <f>+'NF-KSF-TRIAL-BAL-2020'!R112+'RA-TRIAL-BAL-2020'!R112+'DES-TRIAL-BAL-2020'!R112+'DMP-TRIAL-BAL-2020'!R112</f>
        <v>0</v>
      </c>
      <c r="Z112" s="530">
        <f>+'NF-KSF-TRIAL-BAL-2020'!S112+'RA-TRIAL-BAL-2020'!S112+'DES-TRIAL-BAL-2020'!S112+'DMP-TRIAL-BAL-2020'!S112</f>
        <v>0</v>
      </c>
      <c r="AA112" s="531">
        <f>+'NF-KSF-TRIAL-BAL-2020'!T112+'RA-TRIAL-BAL-2020'!T112+'DES-TRIAL-BAL-2020'!T112+'DMP-TRIAL-BAL-2020'!T112</f>
        <v>0</v>
      </c>
      <c r="AB112" s="51"/>
      <c r="AC112" s="123"/>
      <c r="AD112" s="37">
        <v>0</v>
      </c>
      <c r="AE112" s="325"/>
      <c r="AF112" s="324"/>
      <c r="AG112" s="56">
        <f t="shared" si="55"/>
        <v>0</v>
      </c>
      <c r="AH112" s="60">
        <v>0</v>
      </c>
      <c r="AI112" s="51"/>
      <c r="AJ112" s="1498">
        <f t="shared" si="45"/>
        <v>3330</v>
      </c>
      <c r="AK112" s="1500">
        <f t="shared" si="56"/>
        <v>0</v>
      </c>
      <c r="AL112" s="37">
        <v>0</v>
      </c>
      <c r="AM112" s="1057">
        <f t="shared" si="57"/>
        <v>0</v>
      </c>
      <c r="AN112" s="1499">
        <f t="shared" si="57"/>
        <v>0</v>
      </c>
      <c r="AO112" s="1057">
        <f t="shared" si="58"/>
        <v>0</v>
      </c>
      <c r="AP112" s="60">
        <v>0</v>
      </c>
      <c r="AQ112" s="43"/>
      <c r="AR112" s="389">
        <f t="shared" si="59"/>
        <v>0</v>
      </c>
      <c r="AS112" s="390">
        <f t="shared" si="60"/>
        <v>0</v>
      </c>
      <c r="AT112" s="391">
        <f t="shared" si="61"/>
        <v>0</v>
      </c>
      <c r="AU112" s="43"/>
      <c r="AV112" s="2120">
        <f t="shared" si="62"/>
        <v>0</v>
      </c>
      <c r="AW112" s="119"/>
      <c r="AX112" s="2120">
        <f t="shared" si="63"/>
        <v>0</v>
      </c>
      <c r="AY112" s="43"/>
      <c r="AZ112" s="43"/>
      <c r="BA112" s="43"/>
      <c r="BB112" s="43"/>
      <c r="BC112" s="43"/>
      <c r="BD112" s="43"/>
    </row>
    <row r="113" spans="1:56" ht="15.75">
      <c r="A113" s="379" t="s">
        <v>913</v>
      </c>
      <c r="B113" s="380"/>
      <c r="C113" s="380"/>
      <c r="D113" s="380"/>
      <c r="E113" s="380"/>
      <c r="F113" s="380"/>
      <c r="G113" s="380"/>
      <c r="H113" s="380"/>
      <c r="I113" s="380"/>
      <c r="J113" s="380"/>
      <c r="K113" s="380"/>
      <c r="L113" s="381"/>
      <c r="M113" s="51" t="s">
        <v>265</v>
      </c>
      <c r="N113" s="383">
        <v>4</v>
      </c>
      <c r="O113" s="384"/>
      <c r="P113" s="385"/>
      <c r="Q113" s="386"/>
      <c r="R113" s="385"/>
      <c r="S113" s="386"/>
      <c r="T113" s="387"/>
      <c r="U113" s="51"/>
      <c r="V113" s="545"/>
      <c r="W113" s="533"/>
      <c r="X113" s="532"/>
      <c r="Y113" s="533"/>
      <c r="Z113" s="532">
        <f>+'NF-KSF-TRIAL-BAL-2020'!S113+'RA-TRIAL-BAL-2020'!S113+'DES-TRIAL-BAL-2020'!S113+'DMP-TRIAL-BAL-2020'!S113</f>
        <v>0</v>
      </c>
      <c r="AA113" s="534">
        <f>+'NF-KSF-TRIAL-BAL-2020'!T113+'RA-TRIAL-BAL-2020'!T113+'DES-TRIAL-BAL-2020'!T113+'DMP-TRIAL-BAL-2020'!T113</f>
        <v>0</v>
      </c>
      <c r="AB113" s="51"/>
      <c r="AC113" s="384"/>
      <c r="AD113" s="385"/>
      <c r="AE113" s="386"/>
      <c r="AF113" s="385"/>
      <c r="AG113" s="386"/>
      <c r="AH113" s="387"/>
      <c r="AI113" s="51"/>
      <c r="AJ113" s="388">
        <f t="shared" si="45"/>
        <v>4</v>
      </c>
      <c r="AK113" s="384"/>
      <c r="AL113" s="385"/>
      <c r="AM113" s="386"/>
      <c r="AN113" s="385"/>
      <c r="AO113" s="386"/>
      <c r="AP113" s="387"/>
      <c r="AQ113" s="43"/>
      <c r="AR113" s="392"/>
      <c r="AS113" s="393"/>
      <c r="AT113" s="394"/>
      <c r="AU113" s="43"/>
      <c r="AV113" s="43"/>
      <c r="AW113" s="119"/>
      <c r="AX113" s="119"/>
      <c r="AY113" s="43"/>
      <c r="AZ113" s="43"/>
      <c r="BA113" s="43"/>
      <c r="BB113" s="43"/>
      <c r="BC113" s="43"/>
      <c r="BD113" s="43"/>
    </row>
    <row r="114" spans="1:56" ht="15.75">
      <c r="A114" s="85">
        <v>4010</v>
      </c>
      <c r="B114" s="86" t="s">
        <v>200</v>
      </c>
      <c r="C114" s="86"/>
      <c r="D114" s="86"/>
      <c r="E114" s="86"/>
      <c r="F114" s="86"/>
      <c r="G114" s="86"/>
      <c r="H114" s="86"/>
      <c r="I114" s="86"/>
      <c r="J114" s="86"/>
      <c r="K114" s="86"/>
      <c r="L114" s="87"/>
      <c r="M114" s="51" t="s">
        <v>265</v>
      </c>
      <c r="N114" s="112">
        <f t="shared" ref="N114:N195" si="64">+A114</f>
        <v>4010</v>
      </c>
      <c r="O114" s="328">
        <v>0</v>
      </c>
      <c r="P114" s="324">
        <v>7167.91</v>
      </c>
      <c r="Q114" s="325">
        <v>314897.45</v>
      </c>
      <c r="R114" s="324">
        <v>307976.12999999983</v>
      </c>
      <c r="S114" s="330">
        <v>0</v>
      </c>
      <c r="T114" s="327">
        <f>+IF(ABS(+O114+Q114)&lt;=ABS(P114+R114),-O114+P114-Q114+R114,0)</f>
        <v>246.58999999979278</v>
      </c>
      <c r="U114" s="51"/>
      <c r="V114" s="543">
        <f>+'NF-KSF-TRIAL-BAL-2020'!O114+'RA-TRIAL-BAL-2020'!O114+'DES-TRIAL-BAL-2020'!O114+'DMP-TRIAL-BAL-2020'!O114</f>
        <v>0</v>
      </c>
      <c r="W114" s="526">
        <f>+'NF-KSF-TRIAL-BAL-2020'!P114+'RA-TRIAL-BAL-2020'!P114+'DES-TRIAL-BAL-2020'!P114+'DMP-TRIAL-BAL-2020'!P114</f>
        <v>0</v>
      </c>
      <c r="X114" s="525">
        <f>+'NF-KSF-TRIAL-BAL-2020'!Q114+'RA-TRIAL-BAL-2020'!Q114+'DES-TRIAL-BAL-2020'!Q114+'DMP-TRIAL-BAL-2020'!Q114</f>
        <v>0</v>
      </c>
      <c r="Y114" s="526">
        <f>+'NF-KSF-TRIAL-BAL-2020'!R114+'RA-TRIAL-BAL-2020'!R114+'DES-TRIAL-BAL-2020'!R114+'DMP-TRIAL-BAL-2020'!R114</f>
        <v>0</v>
      </c>
      <c r="Z114" s="525">
        <f>+'NF-KSF-TRIAL-BAL-2020'!S114+'RA-TRIAL-BAL-2020'!S114+'DES-TRIAL-BAL-2020'!S114+'DMP-TRIAL-BAL-2020'!S114</f>
        <v>0</v>
      </c>
      <c r="AA114" s="527">
        <f>+'NF-KSF-TRIAL-BAL-2020'!T114+'RA-TRIAL-BAL-2020'!T114+'DES-TRIAL-BAL-2020'!T114+'DMP-TRIAL-BAL-2020'!T114</f>
        <v>0</v>
      </c>
      <c r="AB114" s="51"/>
      <c r="AC114" s="328">
        <v>0</v>
      </c>
      <c r="AD114" s="324">
        <v>0</v>
      </c>
      <c r="AE114" s="325">
        <v>0</v>
      </c>
      <c r="AF114" s="324">
        <v>0</v>
      </c>
      <c r="AG114" s="330">
        <v>0</v>
      </c>
      <c r="AH114" s="327">
        <f>+IF(ABS(+AC114+AE114)&lt;=ABS(AD114+AF114),-AC114+AD114-AE114+AF114,0)</f>
        <v>0</v>
      </c>
      <c r="AI114" s="51"/>
      <c r="AJ114" s="1496">
        <f t="shared" si="45"/>
        <v>4010</v>
      </c>
      <c r="AK114" s="328">
        <v>0</v>
      </c>
      <c r="AL114" s="970">
        <f t="shared" ref="AL114:AN150" si="65">+ROUND(+P114+W114+AD114,2)</f>
        <v>7167.91</v>
      </c>
      <c r="AM114" s="326">
        <f t="shared" si="65"/>
        <v>314897.45</v>
      </c>
      <c r="AN114" s="970">
        <f t="shared" si="65"/>
        <v>307976.13</v>
      </c>
      <c r="AO114" s="330">
        <v>0</v>
      </c>
      <c r="AP114" s="28">
        <f>+T114+AA114+AH114</f>
        <v>246.58999999979278</v>
      </c>
      <c r="AQ114" s="43"/>
      <c r="AR114" s="358">
        <f t="shared" ref="AR114:AR194" si="66">+ROUND(+SUM(AK114-AL114)-SUM(O114-P114)-SUM(V114-W114)-SUM(AC114-AD114),2)</f>
        <v>0</v>
      </c>
      <c r="AS114" s="359">
        <f t="shared" ref="AS114:AS194" si="67">+ROUND(+SUM(AM114-AN114)-SUM(Q114-R114)-SUM(X114-Y114)-SUM(AE114-AF114),2)</f>
        <v>0</v>
      </c>
      <c r="AT114" s="360">
        <f t="shared" ref="AT114:AT194" si="68">+ROUND(+SUM(AO114-AP114)-SUM(S114-T114)-SUM(Z114-AA114)-SUM(AG114-AH114),2)</f>
        <v>0</v>
      </c>
      <c r="AU114" s="43"/>
      <c r="AV114" s="2119">
        <f>+IF(OR(+ROUND(O114,2)+ROUND(Q114,2)&gt;ROUND(P114,2)+ROUND(R114,2),+ABS(ROUND(O114,2)+ROUND(Q114,2))&gt;+ABS(ROUND(P114,2)+ROUND(R114,2))),+(ROUND(O114,2)+ROUND(Q114,2))-(ROUND(P114,2)+ROUND(R114,2)),0)</f>
        <v>0</v>
      </c>
      <c r="AW114" s="119"/>
      <c r="AX114" s="2119">
        <f>+IF(OR(+ROUND(AC114,2)+ROUND(AE114,2)&gt;ROUND(AD114,2)+ROUND(AF114,2),+ABS(ROUND(AC114,2)+ROUND(AE114,2))&gt;+ABS(ROUND(AD114,2)+ROUND(AF114,2))),+(ROUND(AC114,2)+ROUND(AE114,2))-(ROUND(AD114,2)+ROUND(AF114,2)),0)</f>
        <v>0</v>
      </c>
      <c r="AY114" s="43"/>
      <c r="AZ114" s="43"/>
      <c r="BA114" s="43"/>
      <c r="BB114" s="43"/>
      <c r="BC114" s="43"/>
      <c r="BD114" s="43"/>
    </row>
    <row r="115" spans="1:56" ht="15.75">
      <c r="A115" s="88">
        <v>4020</v>
      </c>
      <c r="B115" s="1033" t="s">
        <v>203</v>
      </c>
      <c r="C115" s="1033"/>
      <c r="D115" s="1033"/>
      <c r="E115" s="1033"/>
      <c r="F115" s="1033"/>
      <c r="G115" s="1033"/>
      <c r="H115" s="1033"/>
      <c r="I115" s="1033"/>
      <c r="J115" s="1033"/>
      <c r="K115" s="1033"/>
      <c r="L115" s="90"/>
      <c r="M115" s="51" t="s">
        <v>265</v>
      </c>
      <c r="N115" s="113">
        <f t="shared" si="64"/>
        <v>4020</v>
      </c>
      <c r="O115" s="120">
        <v>0</v>
      </c>
      <c r="P115" s="9">
        <v>0</v>
      </c>
      <c r="Q115" s="325">
        <v>117742.73</v>
      </c>
      <c r="R115" s="324">
        <v>117742.73</v>
      </c>
      <c r="S115" s="27">
        <f>+IF(ABS(+O115+Q115)&gt;=ABS(P115+R115),+O115-P115+Q115-R115,0)</f>
        <v>0</v>
      </c>
      <c r="T115" s="2132">
        <f>+IF(OR($N$4="03",$N$4="06",$N$4="09"),+IF(AND(ABS(+O115+Q115)&lt;ABS(P115+R115),P115+R115&lt;0),-O115+P115-Q115+R115,0),+IF(AND(N$4="12",ABS(+O115+Q115)&lt;ABS(P115+R115)),-O115+P115-Q115+R115,0))</f>
        <v>0</v>
      </c>
      <c r="U115" s="51"/>
      <c r="V115" s="541">
        <f>+'NF-KSF-TRIAL-BAL-2020'!O115+'RA-TRIAL-BAL-2020'!O115+'DES-TRIAL-BAL-2020'!O115+'DMP-TRIAL-BAL-2020'!O115</f>
        <v>0</v>
      </c>
      <c r="W115" s="529">
        <f>+'NF-KSF-TRIAL-BAL-2020'!P115+'RA-TRIAL-BAL-2020'!P115+'DES-TRIAL-BAL-2020'!P115+'DMP-TRIAL-BAL-2020'!P115</f>
        <v>0</v>
      </c>
      <c r="X115" s="528">
        <f>+'NF-KSF-TRIAL-BAL-2020'!Q115+'RA-TRIAL-BAL-2020'!Q115+'DES-TRIAL-BAL-2020'!Q115+'DMP-TRIAL-BAL-2020'!Q115</f>
        <v>0</v>
      </c>
      <c r="Y115" s="529">
        <f>+'NF-KSF-TRIAL-BAL-2020'!R115+'RA-TRIAL-BAL-2020'!R115+'DES-TRIAL-BAL-2020'!R115+'DMP-TRIAL-BAL-2020'!R115</f>
        <v>0</v>
      </c>
      <c r="Z115" s="528">
        <f>+'NF-KSF-TRIAL-BAL-2020'!S115+'RA-TRIAL-BAL-2020'!S115+'DES-TRIAL-BAL-2020'!S115+'DMP-TRIAL-BAL-2020'!S115</f>
        <v>0</v>
      </c>
      <c r="AA115" s="1951">
        <f>+'NF-KSF-TRIAL-BAL-2020'!T115+'RA-TRIAL-BAL-2020'!T115+'DES-TRIAL-BAL-2020'!T115+'DMP-TRIAL-BAL-2020'!T115</f>
        <v>0</v>
      </c>
      <c r="AB115" s="51"/>
      <c r="AC115" s="120">
        <v>0</v>
      </c>
      <c r="AD115" s="9">
        <v>0</v>
      </c>
      <c r="AE115" s="325">
        <v>0</v>
      </c>
      <c r="AF115" s="324">
        <v>0</v>
      </c>
      <c r="AG115" s="27">
        <f>+IF(ABS(+AC115+AE115)&gt;=ABS(AD115+AF115),+AC115-AD115+AE115-AF115,0)</f>
        <v>0</v>
      </c>
      <c r="AH115" s="2133">
        <f>+IF(OR($N$4="03",$N$4="06",$N$4="09"),+IF(AND(ABS(+AC115+AE115)&lt;ABS(AD115+AF115),AD115+AF115&lt;0),-AC115+AD115-AE115+AF115,0),+IF(AND(AB$4="12",ABS(+AC115+AE115)&lt;ABS(AD115+AF115)),-AC115+AD115-AE115+AF115,0))</f>
        <v>0</v>
      </c>
      <c r="AI115" s="51"/>
      <c r="AJ115" s="1497">
        <f t="shared" si="45"/>
        <v>4020</v>
      </c>
      <c r="AK115" s="951">
        <f>+ROUND(+O115+V115+AC115,2)</f>
        <v>0</v>
      </c>
      <c r="AL115" s="9">
        <v>0</v>
      </c>
      <c r="AM115" s="326">
        <f t="shared" si="65"/>
        <v>117742.73</v>
      </c>
      <c r="AN115" s="970">
        <f t="shared" si="65"/>
        <v>117742.73</v>
      </c>
      <c r="AO115" s="326">
        <f>+S115+Z115+AG115</f>
        <v>0</v>
      </c>
      <c r="AP115" s="1952">
        <f>+T115+AA115+AH115</f>
        <v>0</v>
      </c>
      <c r="AQ115" s="43"/>
      <c r="AR115" s="358">
        <f t="shared" si="66"/>
        <v>0</v>
      </c>
      <c r="AS115" s="359">
        <f t="shared" si="67"/>
        <v>0</v>
      </c>
      <c r="AT115" s="360">
        <f t="shared" si="68"/>
        <v>0</v>
      </c>
      <c r="AU115" s="43"/>
      <c r="AV115" s="2124">
        <f>+IF(OR(ROUND(P115,2)+ROUND(R115,2)&gt;+ROUND(O115,2)+ROUND(Q115,2),+AND($N$4="12",ABS(ROUND(P115,2)+ROUND(R115,2))&gt;+ABS(ROUND(O115,2)+ROUND(Q115,2)))),+(ROUND(P115,2)+ROUND(R115,2))-(ROUND(O115,2)+ROUND(Q115,2)),0)</f>
        <v>0</v>
      </c>
      <c r="AW115" s="119"/>
      <c r="AX115" s="2124">
        <f>+IF(OR(ROUND(AD115,2)+ROUND(AF115,2)&gt;+ROUND(AC115,2)+ROUND(AE115,2),+AND($N$4="12",ABS(ROUND(AD115,2)+ROUND(AF115,2))&gt;+ABS(ROUND(AC115,2)+ROUND(AE115,2)))),+(ROUND(AD115,2)+ROUND(AF115,2))-(ROUND(AC115,2)+ROUND(AE115,2)),0)</f>
        <v>0</v>
      </c>
      <c r="AY115" s="43"/>
      <c r="AZ115" s="43"/>
      <c r="BA115" s="43"/>
      <c r="BB115" s="43"/>
      <c r="BC115" s="43"/>
      <c r="BD115" s="43"/>
    </row>
    <row r="116" spans="1:56" ht="15.75">
      <c r="A116" s="88">
        <v>4030</v>
      </c>
      <c r="B116" s="1033" t="s">
        <v>204</v>
      </c>
      <c r="C116" s="1033"/>
      <c r="D116" s="1033"/>
      <c r="E116" s="1033"/>
      <c r="F116" s="1033"/>
      <c r="G116" s="1033"/>
      <c r="H116" s="1033"/>
      <c r="I116" s="1033"/>
      <c r="J116" s="1033"/>
      <c r="K116" s="1033"/>
      <c r="L116" s="90"/>
      <c r="M116" s="51" t="s">
        <v>265</v>
      </c>
      <c r="N116" s="113">
        <f t="shared" si="64"/>
        <v>4030</v>
      </c>
      <c r="O116" s="8">
        <v>0</v>
      </c>
      <c r="P116" s="121"/>
      <c r="Q116" s="325"/>
      <c r="R116" s="324"/>
      <c r="S116" s="29">
        <v>0</v>
      </c>
      <c r="T116" s="28">
        <f>+IF(ABS(+O116+Q116)&lt;=ABS(P116+R116),-O116+P116-Q116+R116,0)</f>
        <v>0</v>
      </c>
      <c r="U116" s="51"/>
      <c r="V116" s="541">
        <f>+'NF-KSF-TRIAL-BAL-2020'!O116+'RA-TRIAL-BAL-2020'!O116+'DES-TRIAL-BAL-2020'!O116+'DMP-TRIAL-BAL-2020'!O116</f>
        <v>0</v>
      </c>
      <c r="W116" s="529">
        <f>+'NF-KSF-TRIAL-BAL-2020'!P116+'RA-TRIAL-BAL-2020'!P116+'DES-TRIAL-BAL-2020'!P116+'DMP-TRIAL-BAL-2020'!P116</f>
        <v>0</v>
      </c>
      <c r="X116" s="528">
        <f>+'NF-KSF-TRIAL-BAL-2020'!Q116+'RA-TRIAL-BAL-2020'!Q116+'DES-TRIAL-BAL-2020'!Q116+'DMP-TRIAL-BAL-2020'!Q116</f>
        <v>0</v>
      </c>
      <c r="Y116" s="529">
        <f>+'NF-KSF-TRIAL-BAL-2020'!R116+'RA-TRIAL-BAL-2020'!R116+'DES-TRIAL-BAL-2020'!R116+'DMP-TRIAL-BAL-2020'!R116</f>
        <v>0</v>
      </c>
      <c r="Z116" s="528">
        <f>+'NF-KSF-TRIAL-BAL-2020'!S116+'RA-TRIAL-BAL-2020'!S116+'DES-TRIAL-BAL-2020'!S116+'DMP-TRIAL-BAL-2020'!S116</f>
        <v>0</v>
      </c>
      <c r="AA116" s="347">
        <f>+'NF-KSF-TRIAL-BAL-2020'!T116+'RA-TRIAL-BAL-2020'!T116+'DES-TRIAL-BAL-2020'!T116+'DMP-TRIAL-BAL-2020'!T116</f>
        <v>0</v>
      </c>
      <c r="AB116" s="51"/>
      <c r="AC116" s="8">
        <v>0</v>
      </c>
      <c r="AD116" s="121"/>
      <c r="AE116" s="122"/>
      <c r="AF116" s="324"/>
      <c r="AG116" s="29">
        <v>0</v>
      </c>
      <c r="AH116" s="28">
        <f>+IF(ABS(+AC116+AE116)&lt;=ABS(AD116+AF116),-AC116+AD116-AE116+AF116,0)</f>
        <v>0</v>
      </c>
      <c r="AI116" s="51"/>
      <c r="AJ116" s="1497">
        <f t="shared" si="45"/>
        <v>4030</v>
      </c>
      <c r="AK116" s="8">
        <v>0</v>
      </c>
      <c r="AL116" s="970">
        <f t="shared" si="65"/>
        <v>0</v>
      </c>
      <c r="AM116" s="326">
        <f t="shared" si="65"/>
        <v>0</v>
      </c>
      <c r="AN116" s="970">
        <f t="shared" si="65"/>
        <v>0</v>
      </c>
      <c r="AO116" s="29">
        <v>0</v>
      </c>
      <c r="AP116" s="28">
        <f>+T116+AA116+AH116</f>
        <v>0</v>
      </c>
      <c r="AQ116" s="43"/>
      <c r="AR116" s="358">
        <f t="shared" si="66"/>
        <v>0</v>
      </c>
      <c r="AS116" s="359">
        <f t="shared" si="67"/>
        <v>0</v>
      </c>
      <c r="AT116" s="360">
        <f t="shared" si="68"/>
        <v>0</v>
      </c>
      <c r="AU116" s="43"/>
      <c r="AV116" s="2119">
        <f>+IF(OR(+ROUND(O116,2)+ROUND(Q116,2)&gt;ROUND(P116,2)+ROUND(R116,2),+ABS(ROUND(O116,2)+ROUND(Q116,2))&gt;+ABS(ROUND(P116,2)+ROUND(R116,2))),+(ROUND(O116,2)+ROUND(Q116,2))-(ROUND(P116,2)+ROUND(R116,2)),0)</f>
        <v>0</v>
      </c>
      <c r="AW116" s="119"/>
      <c r="AX116" s="2119">
        <f>+IF(OR(+ROUND(AC116,2)+ROUND(AE116,2)&gt;ROUND(AD116,2)+ROUND(AF116,2),+ABS(ROUND(AC116,2)+ROUND(AE116,2))&gt;+ABS(ROUND(AD116,2)+ROUND(AF116,2))),+(ROUND(AC116,2)+ROUND(AE116,2))-(ROUND(AD116,2)+ROUND(AF116,2)),0)</f>
        <v>0</v>
      </c>
      <c r="AY116" s="43"/>
      <c r="AZ116" s="43"/>
      <c r="BA116" s="43"/>
      <c r="BB116" s="43"/>
      <c r="BC116" s="43"/>
      <c r="BD116" s="43"/>
    </row>
    <row r="117" spans="1:56" ht="15.75">
      <c r="A117" s="88">
        <v>4040</v>
      </c>
      <c r="B117" s="1033" t="s">
        <v>205</v>
      </c>
      <c r="C117" s="1033"/>
      <c r="D117" s="1033"/>
      <c r="E117" s="1033"/>
      <c r="F117" s="1033"/>
      <c r="G117" s="1033"/>
      <c r="H117" s="1033"/>
      <c r="I117" s="1033"/>
      <c r="J117" s="1033"/>
      <c r="K117" s="1033"/>
      <c r="L117" s="90"/>
      <c r="M117" s="51" t="s">
        <v>265</v>
      </c>
      <c r="N117" s="113">
        <f t="shared" si="64"/>
        <v>4040</v>
      </c>
      <c r="O117" s="120"/>
      <c r="P117" s="9">
        <v>0</v>
      </c>
      <c r="Q117" s="325"/>
      <c r="R117" s="324"/>
      <c r="S117" s="27">
        <f>+IF(ABS(+O117+Q117)&gt;=ABS(P117+R117),+O117-P117+Q117-R117,0)</f>
        <v>0</v>
      </c>
      <c r="T117" s="2132">
        <f>+IF(OR($N$4="03",$N$4="06",$N$4="09"),+IF(AND(ABS(+O117+Q117)&lt;ABS(P117+R117),P117+R117&lt;0),-O117+P117-Q117+R117,0),+IF(AND(N$4="12",ABS(+O117+Q117)&lt;ABS(P117+R117)),-O117+P117-Q117+R117,0))</f>
        <v>0</v>
      </c>
      <c r="U117" s="51"/>
      <c r="V117" s="541">
        <f>+'NF-KSF-TRIAL-BAL-2020'!O117+'RA-TRIAL-BAL-2020'!O117+'DES-TRIAL-BAL-2020'!O117+'DMP-TRIAL-BAL-2020'!O117</f>
        <v>0</v>
      </c>
      <c r="W117" s="529">
        <f>+'NF-KSF-TRIAL-BAL-2020'!P117+'RA-TRIAL-BAL-2020'!P117+'DES-TRIAL-BAL-2020'!P117+'DMP-TRIAL-BAL-2020'!P117</f>
        <v>0</v>
      </c>
      <c r="X117" s="528">
        <f>+'NF-KSF-TRIAL-BAL-2020'!Q117+'RA-TRIAL-BAL-2020'!Q117+'DES-TRIAL-BAL-2020'!Q117+'DMP-TRIAL-BAL-2020'!Q117</f>
        <v>0</v>
      </c>
      <c r="Y117" s="529">
        <f>+'NF-KSF-TRIAL-BAL-2020'!R117+'RA-TRIAL-BAL-2020'!R117+'DES-TRIAL-BAL-2020'!R117+'DMP-TRIAL-BAL-2020'!R117</f>
        <v>0</v>
      </c>
      <c r="Z117" s="528">
        <f>+'NF-KSF-TRIAL-BAL-2020'!S117+'RA-TRIAL-BAL-2020'!S117+'DES-TRIAL-BAL-2020'!S117+'DMP-TRIAL-BAL-2020'!S117</f>
        <v>0</v>
      </c>
      <c r="AA117" s="1951">
        <f>+'NF-KSF-TRIAL-BAL-2020'!T117+'RA-TRIAL-BAL-2020'!T117+'DES-TRIAL-BAL-2020'!T117+'DMP-TRIAL-BAL-2020'!T117</f>
        <v>0</v>
      </c>
      <c r="AB117" s="51"/>
      <c r="AC117" s="120"/>
      <c r="AD117" s="9">
        <v>0</v>
      </c>
      <c r="AE117" s="325"/>
      <c r="AF117" s="324"/>
      <c r="AG117" s="27">
        <f>+IF(ABS(+AC117+AE117)&gt;=ABS(AD117+AF117),+AC117-AD117+AE117-AF117,0)</f>
        <v>0</v>
      </c>
      <c r="AH117" s="2133">
        <f>+IF(OR($N$4="03",$N$4="06",$N$4="09"),+IF(AND(ABS(+AC117+AE117)&lt;ABS(AD117+AF117),AD117+AF117&lt;0),-AC117+AD117-AE117+AF117,0),+IF(AND(AB$4="12",ABS(+AC117+AE117)&lt;ABS(AD117+AF117)),-AC117+AD117-AE117+AF117,0))</f>
        <v>0</v>
      </c>
      <c r="AI117" s="51"/>
      <c r="AJ117" s="1497">
        <f t="shared" si="45"/>
        <v>4040</v>
      </c>
      <c r="AK117" s="951">
        <f>+ROUND(+O117+V117+AC117,2)</f>
        <v>0</v>
      </c>
      <c r="AL117" s="9">
        <v>0</v>
      </c>
      <c r="AM117" s="326">
        <f t="shared" si="65"/>
        <v>0</v>
      </c>
      <c r="AN117" s="970">
        <f t="shared" si="65"/>
        <v>0</v>
      </c>
      <c r="AO117" s="326">
        <f>+S117+Z117+AG117</f>
        <v>0</v>
      </c>
      <c r="AP117" s="1952">
        <f>+T117+AA117+AH117</f>
        <v>0</v>
      </c>
      <c r="AQ117" s="43"/>
      <c r="AR117" s="358">
        <f t="shared" si="66"/>
        <v>0</v>
      </c>
      <c r="AS117" s="359">
        <f t="shared" si="67"/>
        <v>0</v>
      </c>
      <c r="AT117" s="360">
        <f t="shared" si="68"/>
        <v>0</v>
      </c>
      <c r="AU117" s="43"/>
      <c r="AV117" s="2124">
        <f>+IF(OR(ROUND(P117,2)+ROUND(R117,2)&gt;+ROUND(O117,2)+ROUND(Q117,2),+AND($N$4="12",ABS(ROUND(P117,2)+ROUND(R117,2))&gt;+ABS(ROUND(O117,2)+ROUND(Q117,2)))),+(ROUND(P117,2)+ROUND(R117,2))-(ROUND(O117,2)+ROUND(Q117,2)),0)</f>
        <v>0</v>
      </c>
      <c r="AW117" s="119"/>
      <c r="AX117" s="2124">
        <f>+IF(OR(ROUND(AD117,2)+ROUND(AF117,2)&gt;+ROUND(AC117,2)+ROUND(AE117,2),+AND($N$4="12",ABS(ROUND(AD117,2)+ROUND(AF117,2))&gt;+ABS(ROUND(AC117,2)+ROUND(AE117,2)))),+(ROUND(AD117,2)+ROUND(AF117,2))-(ROUND(AC117,2)+ROUND(AE117,2)),0)</f>
        <v>0</v>
      </c>
      <c r="AY117" s="43"/>
      <c r="AZ117" s="43"/>
      <c r="BA117" s="43"/>
      <c r="BB117" s="43"/>
      <c r="BC117" s="43"/>
      <c r="BD117" s="43"/>
    </row>
    <row r="118" spans="1:56" ht="15.75">
      <c r="A118" s="88">
        <v>4050</v>
      </c>
      <c r="B118" s="1033" t="s">
        <v>473</v>
      </c>
      <c r="C118" s="1033"/>
      <c r="D118" s="1033"/>
      <c r="E118" s="1033"/>
      <c r="F118" s="1033"/>
      <c r="G118" s="1033"/>
      <c r="H118" s="1033"/>
      <c r="I118" s="1033"/>
      <c r="J118" s="1033"/>
      <c r="K118" s="1033"/>
      <c r="L118" s="90"/>
      <c r="M118" s="51" t="s">
        <v>265</v>
      </c>
      <c r="N118" s="113">
        <f t="shared" si="64"/>
        <v>4050</v>
      </c>
      <c r="O118" s="8">
        <v>0</v>
      </c>
      <c r="P118" s="121"/>
      <c r="Q118" s="325"/>
      <c r="R118" s="324"/>
      <c r="S118" s="29">
        <v>0</v>
      </c>
      <c r="T118" s="28">
        <f>+IF(ABS(+O118+Q118)&lt;=ABS(P118+R118),-O118+P118-Q118+R118,0)</f>
        <v>0</v>
      </c>
      <c r="U118" s="51"/>
      <c r="V118" s="541">
        <f>+'NF-KSF-TRIAL-BAL-2020'!O118+'RA-TRIAL-BAL-2020'!O118+'DES-TRIAL-BAL-2020'!O118+'DMP-TRIAL-BAL-2020'!O118</f>
        <v>0</v>
      </c>
      <c r="W118" s="529">
        <f>+'NF-KSF-TRIAL-BAL-2020'!P118+'RA-TRIAL-BAL-2020'!P118+'DES-TRIAL-BAL-2020'!P118+'DMP-TRIAL-BAL-2020'!P118</f>
        <v>0</v>
      </c>
      <c r="X118" s="528">
        <f>+'NF-KSF-TRIAL-BAL-2020'!Q118+'RA-TRIAL-BAL-2020'!Q118+'DES-TRIAL-BAL-2020'!Q118+'DMP-TRIAL-BAL-2020'!Q118</f>
        <v>0</v>
      </c>
      <c r="Y118" s="529">
        <f>+'NF-KSF-TRIAL-BAL-2020'!R118+'RA-TRIAL-BAL-2020'!R118+'DES-TRIAL-BAL-2020'!R118+'DMP-TRIAL-BAL-2020'!R118</f>
        <v>0</v>
      </c>
      <c r="Z118" s="528">
        <f>+'NF-KSF-TRIAL-BAL-2020'!S118+'RA-TRIAL-BAL-2020'!S118+'DES-TRIAL-BAL-2020'!S118+'DMP-TRIAL-BAL-2020'!S118</f>
        <v>0</v>
      </c>
      <c r="AA118" s="347">
        <f>+'NF-KSF-TRIAL-BAL-2020'!T118+'RA-TRIAL-BAL-2020'!T118+'DES-TRIAL-BAL-2020'!T118+'DMP-TRIAL-BAL-2020'!T118</f>
        <v>0</v>
      </c>
      <c r="AB118" s="51"/>
      <c r="AC118" s="8">
        <v>0</v>
      </c>
      <c r="AD118" s="121"/>
      <c r="AE118" s="325"/>
      <c r="AF118" s="324"/>
      <c r="AG118" s="29">
        <v>0</v>
      </c>
      <c r="AH118" s="28">
        <f>+IF(ABS(+AC118+AE118)&lt;=ABS(AD118+AF118),-AC118+AD118-AE118+AF118,0)</f>
        <v>0</v>
      </c>
      <c r="AI118" s="51"/>
      <c r="AJ118" s="1497">
        <f t="shared" si="45"/>
        <v>4050</v>
      </c>
      <c r="AK118" s="8">
        <v>0</v>
      </c>
      <c r="AL118" s="970">
        <f t="shared" si="65"/>
        <v>0</v>
      </c>
      <c r="AM118" s="326">
        <f t="shared" si="65"/>
        <v>0</v>
      </c>
      <c r="AN118" s="970">
        <f t="shared" si="65"/>
        <v>0</v>
      </c>
      <c r="AO118" s="29">
        <v>0</v>
      </c>
      <c r="AP118" s="327">
        <f>+T118+AA118+AH118</f>
        <v>0</v>
      </c>
      <c r="AQ118" s="43"/>
      <c r="AR118" s="358">
        <f t="shared" si="66"/>
        <v>0</v>
      </c>
      <c r="AS118" s="359">
        <f t="shared" si="67"/>
        <v>0</v>
      </c>
      <c r="AT118" s="360">
        <f t="shared" si="68"/>
        <v>0</v>
      </c>
      <c r="AU118" s="43"/>
      <c r="AV118" s="2119">
        <f>+IF(OR(+ROUND(O118,2)+ROUND(Q118,2)&gt;ROUND(P118,2)+ROUND(R118,2),+ABS(ROUND(O118,2)+ROUND(Q118,2))&gt;+ABS(ROUND(P118,2)+ROUND(R118,2))),+(ROUND(O118,2)+ROUND(Q118,2))-(ROUND(P118,2)+ROUND(R118,2)),0)</f>
        <v>0</v>
      </c>
      <c r="AW118" s="119"/>
      <c r="AX118" s="2119">
        <f>+IF(OR(+ROUND(AC118,2)+ROUND(AE118,2)&gt;ROUND(AD118,2)+ROUND(AF118,2),+ABS(ROUND(AC118,2)+ROUND(AE118,2))&gt;+ABS(ROUND(AD118,2)+ROUND(AF118,2))),+(ROUND(AC118,2)+ROUND(AE118,2))-(ROUND(AD118,2)+ROUND(AF118,2)),0)</f>
        <v>0</v>
      </c>
      <c r="AY118" s="43"/>
      <c r="AZ118" s="43"/>
      <c r="BA118" s="43"/>
      <c r="BB118" s="43"/>
      <c r="BC118" s="43"/>
      <c r="BD118" s="43"/>
    </row>
    <row r="119" spans="1:56" ht="15.75">
      <c r="A119" s="88">
        <v>4052</v>
      </c>
      <c r="B119" s="1033" t="s">
        <v>474</v>
      </c>
      <c r="C119" s="1033"/>
      <c r="D119" s="1033"/>
      <c r="E119" s="1033"/>
      <c r="F119" s="1033"/>
      <c r="G119" s="1033"/>
      <c r="H119" s="1033"/>
      <c r="I119" s="1033"/>
      <c r="J119" s="1033"/>
      <c r="K119" s="1033"/>
      <c r="L119" s="90"/>
      <c r="M119" s="51" t="s">
        <v>265</v>
      </c>
      <c r="N119" s="113">
        <f>+A119</f>
        <v>4052</v>
      </c>
      <c r="O119" s="120"/>
      <c r="P119" s="9">
        <v>0</v>
      </c>
      <c r="Q119" s="325"/>
      <c r="R119" s="324"/>
      <c r="S119" s="27">
        <f>+IF(ABS(+O119+Q119)&gt;=ABS(P119+R119),+O119-P119+Q119-R119,0)</f>
        <v>0</v>
      </c>
      <c r="T119" s="30">
        <v>0</v>
      </c>
      <c r="U119" s="51"/>
      <c r="V119" s="541">
        <f>+'NF-KSF-TRIAL-BAL-2020'!O119+'RA-TRIAL-BAL-2020'!O119+'DES-TRIAL-BAL-2020'!O119+'DMP-TRIAL-BAL-2020'!O119</f>
        <v>0</v>
      </c>
      <c r="W119" s="529">
        <f>+'NF-KSF-TRIAL-BAL-2020'!P119+'RA-TRIAL-BAL-2020'!P119+'DES-TRIAL-BAL-2020'!P119+'DMP-TRIAL-BAL-2020'!P119</f>
        <v>0</v>
      </c>
      <c r="X119" s="528">
        <f>+'NF-KSF-TRIAL-BAL-2020'!Q119+'RA-TRIAL-BAL-2020'!Q119+'DES-TRIAL-BAL-2020'!Q119+'DMP-TRIAL-BAL-2020'!Q119</f>
        <v>0</v>
      </c>
      <c r="Y119" s="529">
        <f>+'NF-KSF-TRIAL-BAL-2020'!R119+'RA-TRIAL-BAL-2020'!R119+'DES-TRIAL-BAL-2020'!R119+'DMP-TRIAL-BAL-2020'!R119</f>
        <v>0</v>
      </c>
      <c r="Z119" s="528">
        <f>+'NF-KSF-TRIAL-BAL-2020'!S119+'RA-TRIAL-BAL-2020'!S119+'DES-TRIAL-BAL-2020'!S119+'DMP-TRIAL-BAL-2020'!S119</f>
        <v>0</v>
      </c>
      <c r="AA119" s="347">
        <f>+'NF-KSF-TRIAL-BAL-2020'!T119+'RA-TRIAL-BAL-2020'!T119+'DES-TRIAL-BAL-2020'!T119+'DMP-TRIAL-BAL-2020'!T119</f>
        <v>0</v>
      </c>
      <c r="AB119" s="51"/>
      <c r="AC119" s="120"/>
      <c r="AD119" s="9">
        <v>0</v>
      </c>
      <c r="AE119" s="122"/>
      <c r="AF119" s="324"/>
      <c r="AG119" s="27">
        <f>+IF(ABS(+AC119+AE119)&gt;=ABS(AD119+AF119),+AC119-AD119+AE119-AF119,0)</f>
        <v>0</v>
      </c>
      <c r="AH119" s="30">
        <v>0</v>
      </c>
      <c r="AI119" s="51"/>
      <c r="AJ119" s="1497">
        <f>+N119</f>
        <v>4052</v>
      </c>
      <c r="AK119" s="951">
        <f>+ROUND(+O119+V119+AC119,2)</f>
        <v>0</v>
      </c>
      <c r="AL119" s="9">
        <v>0</v>
      </c>
      <c r="AM119" s="326">
        <f t="shared" ref="AM119:AN123" si="69">+ROUND(+Q119+X119+AE119,2)</f>
        <v>0</v>
      </c>
      <c r="AN119" s="970">
        <f t="shared" si="69"/>
        <v>0</v>
      </c>
      <c r="AO119" s="326">
        <f>+S119+Z119+AG119</f>
        <v>0</v>
      </c>
      <c r="AP119" s="30">
        <v>0</v>
      </c>
      <c r="AQ119" s="43"/>
      <c r="AR119" s="358">
        <f>+ROUND(+SUM(AK119-AL119)-SUM(O119-P119)-SUM(V119-W119)-SUM(AC119-AD119),2)</f>
        <v>0</v>
      </c>
      <c r="AS119" s="359">
        <f>+ROUND(+SUM(AM119-AN119)-SUM(Q119-R119)-SUM(X119-Y119)-SUM(AE119-AF119),2)</f>
        <v>0</v>
      </c>
      <c r="AT119" s="360">
        <f>+ROUND(+SUM(AO119-AP119)-SUM(S119-T119)-SUM(Z119-AA119)-SUM(AG119-AH119),2)</f>
        <v>0</v>
      </c>
      <c r="AU119" s="43"/>
      <c r="AV119" s="2120">
        <f>+IF(OR(ROUND(P119,2)+ROUND(R119,2)&gt;+ROUND(O119,2)+ROUND(Q119,2),+ABS(ROUND(P119,2)+ROUND(R119,2))&gt;+ABS(ROUND(O119,2)+ROUND(Q119,2))),+(ROUND(P119,2)+ROUND(R119,2))-(ROUND(O119,2)+ROUND(Q119,2)),0)</f>
        <v>0</v>
      </c>
      <c r="AW119" s="119"/>
      <c r="AX119" s="2120">
        <f>+IF(OR(ROUND(AD119,2)+ROUND(AF119,2)&gt;+ROUND(AC119,2)+ROUND(AE119,2),+ABS(ROUND(AD119,2)+ROUND(AF119,2))&gt;+ABS(ROUND(AC119,2)+ROUND(AE119,2))),+(ROUND(AD119,2)+ROUND(AF119,2))-(ROUND(AC119,2)+ROUND(AE119,2)),0)</f>
        <v>0</v>
      </c>
      <c r="AY119" s="43"/>
      <c r="AZ119" s="43"/>
      <c r="BA119" s="43"/>
      <c r="BB119" s="43"/>
      <c r="BC119" s="43"/>
      <c r="BD119" s="43"/>
    </row>
    <row r="120" spans="1:56" ht="15.75" customHeight="1">
      <c r="A120" s="88">
        <v>4057</v>
      </c>
      <c r="B120" s="1033" t="s">
        <v>475</v>
      </c>
      <c r="C120" s="1041"/>
      <c r="D120" s="1041"/>
      <c r="E120" s="1041"/>
      <c r="F120" s="1041"/>
      <c r="G120" s="1041"/>
      <c r="H120" s="1041"/>
      <c r="I120" s="1041"/>
      <c r="J120" s="1041"/>
      <c r="K120" s="1041"/>
      <c r="L120" s="590"/>
      <c r="M120" s="51" t="s">
        <v>265</v>
      </c>
      <c r="N120" s="113">
        <f>+A120</f>
        <v>4057</v>
      </c>
      <c r="O120" s="581"/>
      <c r="P120" s="576"/>
      <c r="Q120" s="325"/>
      <c r="R120" s="324"/>
      <c r="S120" s="583">
        <f>+IF(ABS(+O120+Q120)&gt;=ABS(P120+R120),+O120-P120+Q120-R120,0)</f>
        <v>0</v>
      </c>
      <c r="T120" s="580">
        <f>+IF(ABS(+O120+Q120)&lt;=ABS(P120+R120),-O120+P120-Q120+R120,0)</f>
        <v>0</v>
      </c>
      <c r="U120" s="51"/>
      <c r="V120" s="541">
        <f>+'NF-KSF-TRIAL-BAL-2020'!O120+'RA-TRIAL-BAL-2020'!O120+'DES-TRIAL-BAL-2020'!O120+'DMP-TRIAL-BAL-2020'!O120</f>
        <v>0</v>
      </c>
      <c r="W120" s="529">
        <f>+'NF-KSF-TRIAL-BAL-2020'!P120+'RA-TRIAL-BAL-2020'!P120+'DES-TRIAL-BAL-2020'!P120+'DMP-TRIAL-BAL-2020'!P120</f>
        <v>0</v>
      </c>
      <c r="X120" s="587">
        <f>+'NF-KSF-TRIAL-BAL-2020'!Q120+'RA-TRIAL-BAL-2020'!Q120+'DES-TRIAL-BAL-2020'!Q120+'DMP-TRIAL-BAL-2020'!Q120</f>
        <v>0</v>
      </c>
      <c r="Y120" s="586">
        <f>+'NF-KSF-TRIAL-BAL-2020'!R120+'RA-TRIAL-BAL-2020'!R120+'DES-TRIAL-BAL-2020'!R120+'DMP-TRIAL-BAL-2020'!R120</f>
        <v>0</v>
      </c>
      <c r="Z120" s="587">
        <f>+'NF-KSF-TRIAL-BAL-2020'!S120+'RA-TRIAL-BAL-2020'!S120+'DES-TRIAL-BAL-2020'!S120+'DMP-TRIAL-BAL-2020'!S120</f>
        <v>0</v>
      </c>
      <c r="AA120" s="588">
        <f>+'NF-KSF-TRIAL-BAL-2020'!T120+'RA-TRIAL-BAL-2020'!T120+'DES-TRIAL-BAL-2020'!T120+'DMP-TRIAL-BAL-2020'!T120</f>
        <v>0</v>
      </c>
      <c r="AB120" s="51"/>
      <c r="AC120" s="581"/>
      <c r="AD120" s="576"/>
      <c r="AE120" s="325"/>
      <c r="AF120" s="324"/>
      <c r="AG120" s="583">
        <f>+IF(ABS(+AC120+AE120)&gt;=ABS(AD120+AF120),+AC120-AD120+AE120-AF120,0)</f>
        <v>0</v>
      </c>
      <c r="AH120" s="580">
        <f>+IF(ABS(+AC120+AE120)&lt;=ABS(AD120+AF120),-AC120+AD120-AE120+AF120,0)</f>
        <v>0</v>
      </c>
      <c r="AI120" s="51"/>
      <c r="AJ120" s="1497">
        <f>+N120</f>
        <v>4057</v>
      </c>
      <c r="AK120" s="951">
        <f>+ROUND(+O120+V120+AC120,2)</f>
        <v>0</v>
      </c>
      <c r="AL120" s="970">
        <f>+ROUND(+P120+W120+AD120,2)</f>
        <v>0</v>
      </c>
      <c r="AM120" s="326">
        <f t="shared" si="69"/>
        <v>0</v>
      </c>
      <c r="AN120" s="970">
        <f t="shared" si="69"/>
        <v>0</v>
      </c>
      <c r="AO120" s="326">
        <f>+S120+Z120+AG120</f>
        <v>0</v>
      </c>
      <c r="AP120" s="28">
        <f>+T120+AA120+AH120</f>
        <v>0</v>
      </c>
      <c r="AQ120" s="43"/>
      <c r="AR120" s="358">
        <f>+ROUND(+SUM(AK120-AL120)-SUM(O120-P120)-SUM(V120-W120)-SUM(AC120-AD120),2)</f>
        <v>0</v>
      </c>
      <c r="AS120" s="359">
        <f>+ROUND(+SUM(AM120-AN120)-SUM(Q120-R120)-SUM(X120-Y120)-SUM(AE120-AF120),2)</f>
        <v>0</v>
      </c>
      <c r="AT120" s="360">
        <f>+ROUND(+SUM(AO120-AP120)-SUM(S120-T120)-SUM(Z120-AA120)-SUM(AG120-AH120),2)</f>
        <v>0</v>
      </c>
      <c r="AU120" s="43"/>
      <c r="AV120" s="43"/>
      <c r="AW120" s="119"/>
      <c r="AX120" s="119"/>
      <c r="AY120" s="43"/>
      <c r="AZ120" s="43"/>
      <c r="BA120" s="43"/>
      <c r="BB120" s="43"/>
      <c r="BC120" s="43"/>
      <c r="BD120" s="43"/>
    </row>
    <row r="121" spans="1:56" ht="15.75" customHeight="1">
      <c r="A121" s="88">
        <v>4058</v>
      </c>
      <c r="B121" s="1033" t="s">
        <v>476</v>
      </c>
      <c r="C121" s="1041"/>
      <c r="D121" s="1041"/>
      <c r="E121" s="1041"/>
      <c r="F121" s="1041"/>
      <c r="G121" s="1041"/>
      <c r="H121" s="1041"/>
      <c r="I121" s="1041"/>
      <c r="J121" s="1041"/>
      <c r="K121" s="1041"/>
      <c r="L121" s="590"/>
      <c r="M121" s="51" t="s">
        <v>265</v>
      </c>
      <c r="N121" s="113">
        <f>+A121</f>
        <v>4058</v>
      </c>
      <c r="O121" s="581"/>
      <c r="P121" s="576"/>
      <c r="Q121" s="325"/>
      <c r="R121" s="324"/>
      <c r="S121" s="583">
        <f>+IF(ABS(+O121+Q121)&gt;=ABS(P121+R121),+O121-P121+Q121-R121,0)</f>
        <v>0</v>
      </c>
      <c r="T121" s="580">
        <f>+IF(ABS(+O121+Q121)&lt;=ABS(P121+R121),-O121+P121-Q121+R121,0)</f>
        <v>0</v>
      </c>
      <c r="U121" s="51"/>
      <c r="V121" s="541">
        <f>+'NF-KSF-TRIAL-BAL-2020'!O121+'RA-TRIAL-BAL-2020'!O121+'DES-TRIAL-BAL-2020'!O121+'DMP-TRIAL-BAL-2020'!O121</f>
        <v>0</v>
      </c>
      <c r="W121" s="529">
        <f>+'NF-KSF-TRIAL-BAL-2020'!P121+'RA-TRIAL-BAL-2020'!P121+'DES-TRIAL-BAL-2020'!P121+'DMP-TRIAL-BAL-2020'!P121</f>
        <v>0</v>
      </c>
      <c r="X121" s="587">
        <f>+'NF-KSF-TRIAL-BAL-2020'!Q121+'RA-TRIAL-BAL-2020'!Q121+'DES-TRIAL-BAL-2020'!Q121+'DMP-TRIAL-BAL-2020'!Q121</f>
        <v>0</v>
      </c>
      <c r="Y121" s="586">
        <f>+'NF-KSF-TRIAL-BAL-2020'!R121+'RA-TRIAL-BAL-2020'!R121+'DES-TRIAL-BAL-2020'!R121+'DMP-TRIAL-BAL-2020'!R121</f>
        <v>0</v>
      </c>
      <c r="Z121" s="587">
        <f>+'NF-KSF-TRIAL-BAL-2020'!S121+'RA-TRIAL-BAL-2020'!S121+'DES-TRIAL-BAL-2020'!S121+'DMP-TRIAL-BAL-2020'!S121</f>
        <v>0</v>
      </c>
      <c r="AA121" s="588">
        <f>+'NF-KSF-TRIAL-BAL-2020'!T121+'RA-TRIAL-BAL-2020'!T121+'DES-TRIAL-BAL-2020'!T121+'DMP-TRIAL-BAL-2020'!T121</f>
        <v>0</v>
      </c>
      <c r="AB121" s="51"/>
      <c r="AC121" s="581"/>
      <c r="AD121" s="576"/>
      <c r="AE121" s="325"/>
      <c r="AF121" s="324"/>
      <c r="AG121" s="583">
        <f>+IF(ABS(+AC121+AE121)&gt;=ABS(AD121+AF121),+AC121-AD121+AE121-AF121,0)</f>
        <v>0</v>
      </c>
      <c r="AH121" s="580">
        <f>+IF(ABS(+AC121+AE121)&lt;=ABS(AD121+AF121),-AC121+AD121-AE121+AF121,0)</f>
        <v>0</v>
      </c>
      <c r="AI121" s="51"/>
      <c r="AJ121" s="1497">
        <f>+N121</f>
        <v>4058</v>
      </c>
      <c r="AK121" s="951">
        <f>+ROUND(+O121+V121+AC121,2)</f>
        <v>0</v>
      </c>
      <c r="AL121" s="970">
        <f>+ROUND(+P121+W121+AD121,2)</f>
        <v>0</v>
      </c>
      <c r="AM121" s="326">
        <f t="shared" si="69"/>
        <v>0</v>
      </c>
      <c r="AN121" s="970">
        <f t="shared" si="69"/>
        <v>0</v>
      </c>
      <c r="AO121" s="326">
        <f>+S121+Z121+AG121</f>
        <v>0</v>
      </c>
      <c r="AP121" s="28">
        <f>+T121+AA121+AH121</f>
        <v>0</v>
      </c>
      <c r="AQ121" s="43"/>
      <c r="AR121" s="358">
        <f>+ROUND(+SUM(AK121-AL121)-SUM(O121-P121)-SUM(V121-W121)-SUM(AC121-AD121),2)</f>
        <v>0</v>
      </c>
      <c r="AS121" s="359">
        <f>+ROUND(+SUM(AM121-AN121)-SUM(Q121-R121)-SUM(X121-Y121)-SUM(AE121-AF121),2)</f>
        <v>0</v>
      </c>
      <c r="AT121" s="360">
        <f>+ROUND(+SUM(AO121-AP121)-SUM(S121-T121)-SUM(Z121-AA121)-SUM(AG121-AH121),2)</f>
        <v>0</v>
      </c>
      <c r="AU121" s="43"/>
      <c r="AV121" s="43"/>
      <c r="AW121" s="119"/>
      <c r="AX121" s="119"/>
      <c r="AY121" s="43"/>
      <c r="AZ121" s="43"/>
      <c r="BA121" s="43"/>
      <c r="BB121" s="43"/>
      <c r="BC121" s="43"/>
      <c r="BD121" s="43"/>
    </row>
    <row r="122" spans="1:56" ht="15.75">
      <c r="A122" s="88">
        <v>4071</v>
      </c>
      <c r="B122" s="1033" t="s">
        <v>477</v>
      </c>
      <c r="C122" s="1033"/>
      <c r="D122" s="1033"/>
      <c r="E122" s="1033"/>
      <c r="F122" s="1033"/>
      <c r="G122" s="1033"/>
      <c r="H122" s="1033"/>
      <c r="I122" s="1033"/>
      <c r="J122" s="1033"/>
      <c r="K122" s="1033"/>
      <c r="L122" s="90"/>
      <c r="M122" s="51" t="s">
        <v>265</v>
      </c>
      <c r="N122" s="113">
        <f>+A122</f>
        <v>4071</v>
      </c>
      <c r="O122" s="8">
        <v>0</v>
      </c>
      <c r="P122" s="121"/>
      <c r="Q122" s="325"/>
      <c r="R122" s="324"/>
      <c r="S122" s="29">
        <v>0</v>
      </c>
      <c r="T122" s="28">
        <f>+IF(ABS(+O122+Q122)&lt;=ABS(P122+R122),-O122+P122-Q122+R122,0)</f>
        <v>0</v>
      </c>
      <c r="U122" s="51"/>
      <c r="V122" s="541">
        <f>+'NF-KSF-TRIAL-BAL-2020'!O122+'RA-TRIAL-BAL-2020'!O122+'DES-TRIAL-BAL-2020'!O122+'DMP-TRIAL-BAL-2020'!O122</f>
        <v>0</v>
      </c>
      <c r="W122" s="529">
        <f>+'NF-KSF-TRIAL-BAL-2020'!P122+'RA-TRIAL-BAL-2020'!P122+'DES-TRIAL-BAL-2020'!P122+'DMP-TRIAL-BAL-2020'!P122</f>
        <v>0</v>
      </c>
      <c r="X122" s="528">
        <f>+'NF-KSF-TRIAL-BAL-2020'!Q122+'RA-TRIAL-BAL-2020'!Q122+'DES-TRIAL-BAL-2020'!Q122+'DMP-TRIAL-BAL-2020'!Q122</f>
        <v>0</v>
      </c>
      <c r="Y122" s="529">
        <f>+'NF-KSF-TRIAL-BAL-2020'!R122+'RA-TRIAL-BAL-2020'!R122+'DES-TRIAL-BAL-2020'!R122+'DMP-TRIAL-BAL-2020'!R122</f>
        <v>0</v>
      </c>
      <c r="Z122" s="528">
        <f>+'NF-KSF-TRIAL-BAL-2020'!S122+'RA-TRIAL-BAL-2020'!S122+'DES-TRIAL-BAL-2020'!S122+'DMP-TRIAL-BAL-2020'!S122</f>
        <v>0</v>
      </c>
      <c r="AA122" s="347">
        <f>+'NF-KSF-TRIAL-BAL-2020'!T122+'RA-TRIAL-BAL-2020'!T122+'DES-TRIAL-BAL-2020'!T122+'DMP-TRIAL-BAL-2020'!T122</f>
        <v>0</v>
      </c>
      <c r="AB122" s="51"/>
      <c r="AC122" s="8">
        <v>0</v>
      </c>
      <c r="AD122" s="121"/>
      <c r="AE122" s="122"/>
      <c r="AF122" s="324"/>
      <c r="AG122" s="29">
        <v>0</v>
      </c>
      <c r="AH122" s="28">
        <f>+IF(ABS(+AC122+AE122)&lt;=ABS(AD122+AF122),-AC122+AD122-AE122+AF122,0)</f>
        <v>0</v>
      </c>
      <c r="AI122" s="51"/>
      <c r="AJ122" s="1497">
        <f>+N122</f>
        <v>4071</v>
      </c>
      <c r="AK122" s="8">
        <v>0</v>
      </c>
      <c r="AL122" s="970">
        <f>+ROUND(+P122+W122+AD122,2)</f>
        <v>0</v>
      </c>
      <c r="AM122" s="326">
        <f t="shared" si="69"/>
        <v>0</v>
      </c>
      <c r="AN122" s="970">
        <f t="shared" si="69"/>
        <v>0</v>
      </c>
      <c r="AO122" s="29">
        <v>0</v>
      </c>
      <c r="AP122" s="28">
        <f>+T122+AA122+AH122</f>
        <v>0</v>
      </c>
      <c r="AQ122" s="43"/>
      <c r="AR122" s="358">
        <f>+ROUND(+SUM(AK122-AL122)-SUM(O122-P122)-SUM(V122-W122)-SUM(AC122-AD122),2)</f>
        <v>0</v>
      </c>
      <c r="AS122" s="359">
        <f>+ROUND(+SUM(AM122-AN122)-SUM(Q122-R122)-SUM(X122-Y122)-SUM(AE122-AF122),2)</f>
        <v>0</v>
      </c>
      <c r="AT122" s="360">
        <f>+ROUND(+SUM(AO122-AP122)-SUM(S122-T122)-SUM(Z122-AA122)-SUM(AG122-AH122),2)</f>
        <v>0</v>
      </c>
      <c r="AU122" s="43"/>
      <c r="AV122" s="2119">
        <f>+IF(OR(+ROUND(O122,2)+ROUND(Q122,2)&gt;ROUND(P122,2)+ROUND(R122,2),+ABS(ROUND(O122,2)+ROUND(Q122,2))&gt;+ABS(ROUND(P122,2)+ROUND(R122,2))),+(ROUND(O122,2)+ROUND(Q122,2))-(ROUND(P122,2)+ROUND(R122,2)),0)</f>
        <v>0</v>
      </c>
      <c r="AW122" s="119"/>
      <c r="AX122" s="2119">
        <f>+IF(OR(+ROUND(AC122,2)+ROUND(AE122,2)&gt;ROUND(AD122,2)+ROUND(AF122,2),+ABS(ROUND(AC122,2)+ROUND(AE122,2))&gt;+ABS(ROUND(AD122,2)+ROUND(AF122,2))),+(ROUND(AC122,2)+ROUND(AE122,2))-(ROUND(AD122,2)+ROUND(AF122,2)),0)</f>
        <v>0</v>
      </c>
      <c r="AY122" s="43"/>
      <c r="AZ122" s="43"/>
      <c r="BA122" s="43"/>
      <c r="BB122" s="43"/>
      <c r="BC122" s="43"/>
      <c r="BD122" s="43"/>
    </row>
    <row r="123" spans="1:56" ht="15.75">
      <c r="A123" s="88">
        <v>4072</v>
      </c>
      <c r="B123" s="1033" t="s">
        <v>478</v>
      </c>
      <c r="C123" s="1033"/>
      <c r="D123" s="1033"/>
      <c r="E123" s="1033"/>
      <c r="F123" s="1033"/>
      <c r="G123" s="1033"/>
      <c r="H123" s="1033"/>
      <c r="I123" s="1033"/>
      <c r="J123" s="1033"/>
      <c r="K123" s="1033"/>
      <c r="L123" s="90"/>
      <c r="M123" s="51" t="s">
        <v>265</v>
      </c>
      <c r="N123" s="113">
        <f>+A123</f>
        <v>4072</v>
      </c>
      <c r="O123" s="120"/>
      <c r="P123" s="9">
        <v>0</v>
      </c>
      <c r="Q123" s="325"/>
      <c r="R123" s="324"/>
      <c r="S123" s="27">
        <f>+IF(ABS(+O123+Q123)&gt;=ABS(P123+R123),+O123-P123+Q123-R123,0)</f>
        <v>0</v>
      </c>
      <c r="T123" s="30">
        <v>0</v>
      </c>
      <c r="U123" s="51"/>
      <c r="V123" s="541">
        <f>+'NF-KSF-TRIAL-BAL-2020'!O123+'RA-TRIAL-BAL-2020'!O123+'DES-TRIAL-BAL-2020'!O123+'DMP-TRIAL-BAL-2020'!O123</f>
        <v>0</v>
      </c>
      <c r="W123" s="529">
        <f>+'NF-KSF-TRIAL-BAL-2020'!P123+'RA-TRIAL-BAL-2020'!P123+'DES-TRIAL-BAL-2020'!P123+'DMP-TRIAL-BAL-2020'!P123</f>
        <v>0</v>
      </c>
      <c r="X123" s="528">
        <f>+'NF-KSF-TRIAL-BAL-2020'!Q123+'RA-TRIAL-BAL-2020'!Q123+'DES-TRIAL-BAL-2020'!Q123+'DMP-TRIAL-BAL-2020'!Q123</f>
        <v>0</v>
      </c>
      <c r="Y123" s="529">
        <f>+'NF-KSF-TRIAL-BAL-2020'!R123+'RA-TRIAL-BAL-2020'!R123+'DES-TRIAL-BAL-2020'!R123+'DMP-TRIAL-BAL-2020'!R123</f>
        <v>0</v>
      </c>
      <c r="Z123" s="528">
        <f>+'NF-KSF-TRIAL-BAL-2020'!S123+'RA-TRIAL-BAL-2020'!S123+'DES-TRIAL-BAL-2020'!S123+'DMP-TRIAL-BAL-2020'!S123</f>
        <v>0</v>
      </c>
      <c r="AA123" s="347">
        <f>+'NF-KSF-TRIAL-BAL-2020'!T123+'RA-TRIAL-BAL-2020'!T123+'DES-TRIAL-BAL-2020'!T123+'DMP-TRIAL-BAL-2020'!T123</f>
        <v>0</v>
      </c>
      <c r="AB123" s="51"/>
      <c r="AC123" s="120"/>
      <c r="AD123" s="9">
        <v>0</v>
      </c>
      <c r="AE123" s="325"/>
      <c r="AF123" s="324"/>
      <c r="AG123" s="27">
        <f>+IF(ABS(+AC123+AE123)&gt;=ABS(AD123+AF123),+AC123-AD123+AE123-AF123,0)</f>
        <v>0</v>
      </c>
      <c r="AH123" s="30">
        <v>0</v>
      </c>
      <c r="AI123" s="51"/>
      <c r="AJ123" s="1497">
        <f>+N123</f>
        <v>4072</v>
      </c>
      <c r="AK123" s="951">
        <f>+ROUND(+O123+V123+AC123,2)</f>
        <v>0</v>
      </c>
      <c r="AL123" s="9">
        <v>0</v>
      </c>
      <c r="AM123" s="326">
        <f t="shared" si="69"/>
        <v>0</v>
      </c>
      <c r="AN123" s="970">
        <f t="shared" si="69"/>
        <v>0</v>
      </c>
      <c r="AO123" s="326">
        <f>+S123+Z123+AG123</f>
        <v>0</v>
      </c>
      <c r="AP123" s="30">
        <v>0</v>
      </c>
      <c r="AQ123" s="43"/>
      <c r="AR123" s="358">
        <f>+ROUND(+SUM(AK123-AL123)-SUM(O123-P123)-SUM(V123-W123)-SUM(AC123-AD123),2)</f>
        <v>0</v>
      </c>
      <c r="AS123" s="359">
        <f>+ROUND(+SUM(AM123-AN123)-SUM(Q123-R123)-SUM(X123-Y123)-SUM(AE123-AF123),2)</f>
        <v>0</v>
      </c>
      <c r="AT123" s="360">
        <f>+ROUND(+SUM(AO123-AP123)-SUM(S123-T123)-SUM(Z123-AA123)-SUM(AG123-AH123),2)</f>
        <v>0</v>
      </c>
      <c r="AU123" s="43"/>
      <c r="AV123" s="2120">
        <f>+IF(OR(ROUND(P123,2)+ROUND(R123,2)&gt;+ROUND(O123,2)+ROUND(Q123,2),+ABS(ROUND(P123,2)+ROUND(R123,2))&gt;+ABS(ROUND(O123,2)+ROUND(Q123,2))),+(ROUND(P123,2)+ROUND(R123,2))-(ROUND(O123,2)+ROUND(Q123,2)),0)</f>
        <v>0</v>
      </c>
      <c r="AW123" s="119"/>
      <c r="AX123" s="2120">
        <f>+IF(OR(ROUND(AD123,2)+ROUND(AF123,2)&gt;+ROUND(AC123,2)+ROUND(AE123,2),+ABS(ROUND(AD123,2)+ROUND(AF123,2))&gt;+ABS(ROUND(AC123,2)+ROUND(AE123,2))),+(ROUND(AD123,2)+ROUND(AF123,2))-(ROUND(AC123,2)+ROUND(AE123,2)),0)</f>
        <v>0</v>
      </c>
      <c r="AY123" s="43"/>
      <c r="AZ123" s="43"/>
      <c r="BA123" s="43"/>
      <c r="BB123" s="43"/>
      <c r="BC123" s="43"/>
      <c r="BD123" s="43"/>
    </row>
    <row r="124" spans="1:56" ht="15.75">
      <c r="A124" s="88">
        <v>4110</v>
      </c>
      <c r="B124" s="378" t="s">
        <v>206</v>
      </c>
      <c r="C124" s="1033"/>
      <c r="D124" s="1033"/>
      <c r="E124" s="1033"/>
      <c r="F124" s="1033"/>
      <c r="G124" s="1033"/>
      <c r="H124" s="1033"/>
      <c r="I124" s="1033"/>
      <c r="J124" s="1033"/>
      <c r="K124" s="1033"/>
      <c r="L124" s="90"/>
      <c r="M124" s="51" t="s">
        <v>265</v>
      </c>
      <c r="N124" s="113">
        <f t="shared" si="64"/>
        <v>4110</v>
      </c>
      <c r="O124" s="120">
        <v>0</v>
      </c>
      <c r="P124" s="9">
        <v>0</v>
      </c>
      <c r="Q124" s="325">
        <v>0</v>
      </c>
      <c r="R124" s="324">
        <v>0</v>
      </c>
      <c r="S124" s="27">
        <f>+IF(ABS(+O124+Q124)&gt;=ABS(P124+R124),+O124-P124+Q124-R124,0)</f>
        <v>0</v>
      </c>
      <c r="T124" s="30">
        <v>0</v>
      </c>
      <c r="U124" s="51"/>
      <c r="V124" s="541">
        <f>+'NF-KSF-TRIAL-BAL-2020'!O124+'RA-TRIAL-BAL-2020'!O124+'DES-TRIAL-BAL-2020'!O124+'DMP-TRIAL-BAL-2020'!O124</f>
        <v>0</v>
      </c>
      <c r="W124" s="529">
        <f>+'NF-KSF-TRIAL-BAL-2020'!P124+'RA-TRIAL-BAL-2020'!P124+'DES-TRIAL-BAL-2020'!P124+'DMP-TRIAL-BAL-2020'!P124</f>
        <v>0</v>
      </c>
      <c r="X124" s="528">
        <f>+'NF-KSF-TRIAL-BAL-2020'!Q124+'RA-TRIAL-BAL-2020'!Q124+'DES-TRIAL-BAL-2020'!Q124+'DMP-TRIAL-BAL-2020'!Q124</f>
        <v>0</v>
      </c>
      <c r="Y124" s="529">
        <f>+'NF-KSF-TRIAL-BAL-2020'!R124+'RA-TRIAL-BAL-2020'!R124+'DES-TRIAL-BAL-2020'!R124+'DMP-TRIAL-BAL-2020'!R124</f>
        <v>0</v>
      </c>
      <c r="Z124" s="528">
        <f>+'NF-KSF-TRIAL-BAL-2020'!S124+'RA-TRIAL-BAL-2020'!S124+'DES-TRIAL-BAL-2020'!S124+'DMP-TRIAL-BAL-2020'!S124</f>
        <v>0</v>
      </c>
      <c r="AA124" s="347">
        <f>+'NF-KSF-TRIAL-BAL-2020'!T124+'RA-TRIAL-BAL-2020'!T124+'DES-TRIAL-BAL-2020'!T124+'DMP-TRIAL-BAL-2020'!T124</f>
        <v>0</v>
      </c>
      <c r="AB124" s="51"/>
      <c r="AC124" s="120">
        <v>0</v>
      </c>
      <c r="AD124" s="9">
        <v>0</v>
      </c>
      <c r="AE124" s="325">
        <v>0</v>
      </c>
      <c r="AF124" s="324">
        <v>0</v>
      </c>
      <c r="AG124" s="27">
        <f>+IF(ABS(+AC124+AE124)&gt;=ABS(AD124+AF124),+AC124-AD124+AE124-AF124,0)</f>
        <v>0</v>
      </c>
      <c r="AH124" s="30">
        <v>0</v>
      </c>
      <c r="AI124" s="51"/>
      <c r="AJ124" s="1497">
        <f t="shared" si="45"/>
        <v>4110</v>
      </c>
      <c r="AK124" s="951">
        <f>+ROUND(+O124+V124+AC124,2)</f>
        <v>0</v>
      </c>
      <c r="AL124" s="9">
        <v>0</v>
      </c>
      <c r="AM124" s="326">
        <f t="shared" si="65"/>
        <v>0</v>
      </c>
      <c r="AN124" s="970">
        <f t="shared" si="65"/>
        <v>0</v>
      </c>
      <c r="AO124" s="326">
        <f>+S124+Z124+AG124</f>
        <v>0</v>
      </c>
      <c r="AP124" s="30">
        <v>0</v>
      </c>
      <c r="AQ124" s="43"/>
      <c r="AR124" s="358">
        <f t="shared" si="66"/>
        <v>0</v>
      </c>
      <c r="AS124" s="359">
        <f t="shared" si="67"/>
        <v>0</v>
      </c>
      <c r="AT124" s="360">
        <f t="shared" si="68"/>
        <v>0</v>
      </c>
      <c r="AU124" s="43"/>
      <c r="AV124" s="2120">
        <f>+IF(OR(ROUND(P124,2)+ROUND(R124,2)&gt;+ROUND(O124,2)+ROUND(Q124,2),+ABS(ROUND(P124,2)+ROUND(R124,2))&gt;+ABS(ROUND(O124,2)+ROUND(Q124,2))),+(ROUND(P124,2)+ROUND(R124,2))-(ROUND(O124,2)+ROUND(Q124,2)),0)</f>
        <v>0</v>
      </c>
      <c r="AW124" s="119"/>
      <c r="AX124" s="2120">
        <f>+IF(OR(ROUND(AD124,2)+ROUND(AF124,2)&gt;+ROUND(AC124,2)+ROUND(AE124,2),+ABS(ROUND(AD124,2)+ROUND(AF124,2))&gt;+ABS(ROUND(AC124,2)+ROUND(AE124,2))),+(ROUND(AD124,2)+ROUND(AF124,2))-(ROUND(AC124,2)+ROUND(AE124,2)),0)</f>
        <v>0</v>
      </c>
      <c r="AY124" s="43"/>
      <c r="AZ124" s="43"/>
      <c r="BA124" s="43"/>
      <c r="BB124" s="43"/>
      <c r="BC124" s="43"/>
      <c r="BD124" s="43"/>
    </row>
    <row r="125" spans="1:56" ht="15.75">
      <c r="A125" s="88">
        <v>4120</v>
      </c>
      <c r="B125" s="378" t="s">
        <v>896</v>
      </c>
      <c r="C125" s="1033"/>
      <c r="D125" s="1033"/>
      <c r="E125" s="1033"/>
      <c r="F125" s="1033"/>
      <c r="G125" s="1033"/>
      <c r="H125" s="1033"/>
      <c r="I125" s="1033"/>
      <c r="J125" s="1033"/>
      <c r="K125" s="1033"/>
      <c r="L125" s="90"/>
      <c r="M125" s="51" t="s">
        <v>265</v>
      </c>
      <c r="N125" s="113">
        <f t="shared" si="64"/>
        <v>4120</v>
      </c>
      <c r="O125" s="8">
        <v>0</v>
      </c>
      <c r="P125" s="121"/>
      <c r="Q125" s="325"/>
      <c r="R125" s="324"/>
      <c r="S125" s="29">
        <v>0</v>
      </c>
      <c r="T125" s="28">
        <f>+IF(ABS(+O125+Q125)&lt;=ABS(P125+R125),-O125+P125-Q125+R125,0)</f>
        <v>0</v>
      </c>
      <c r="U125" s="51"/>
      <c r="V125" s="541">
        <f>+'NF-KSF-TRIAL-BAL-2020'!O125+'RA-TRIAL-BAL-2020'!O125+'DES-TRIAL-BAL-2020'!O125+'DMP-TRIAL-BAL-2020'!O125</f>
        <v>0</v>
      </c>
      <c r="W125" s="529">
        <f>+'NF-KSF-TRIAL-BAL-2020'!P125+'RA-TRIAL-BAL-2020'!P125+'DES-TRIAL-BAL-2020'!P125+'DMP-TRIAL-BAL-2020'!P125</f>
        <v>0</v>
      </c>
      <c r="X125" s="528">
        <f>+'NF-KSF-TRIAL-BAL-2020'!Q125+'RA-TRIAL-BAL-2020'!Q125+'DES-TRIAL-BAL-2020'!Q125+'DMP-TRIAL-BAL-2020'!Q125</f>
        <v>0</v>
      </c>
      <c r="Y125" s="529">
        <f>+'NF-KSF-TRIAL-BAL-2020'!R125+'RA-TRIAL-BAL-2020'!R125+'DES-TRIAL-BAL-2020'!R125+'DMP-TRIAL-BAL-2020'!R125</f>
        <v>0</v>
      </c>
      <c r="Z125" s="528">
        <f>+'NF-KSF-TRIAL-BAL-2020'!S125+'RA-TRIAL-BAL-2020'!S125+'DES-TRIAL-BAL-2020'!S125+'DMP-TRIAL-BAL-2020'!S125</f>
        <v>0</v>
      </c>
      <c r="AA125" s="347">
        <f>+'NF-KSF-TRIAL-BAL-2020'!T125+'RA-TRIAL-BAL-2020'!T125+'DES-TRIAL-BAL-2020'!T125+'DMP-TRIAL-BAL-2020'!T125</f>
        <v>0</v>
      </c>
      <c r="AB125" s="51"/>
      <c r="AC125" s="8">
        <v>0</v>
      </c>
      <c r="AD125" s="121"/>
      <c r="AE125" s="325"/>
      <c r="AF125" s="324"/>
      <c r="AG125" s="29">
        <v>0</v>
      </c>
      <c r="AH125" s="28">
        <f>+IF(ABS(+AC125+AE125)&lt;=ABS(AD125+AF125),-AC125+AD125-AE125+AF125,0)</f>
        <v>0</v>
      </c>
      <c r="AI125" s="51"/>
      <c r="AJ125" s="1497">
        <f t="shared" si="45"/>
        <v>4120</v>
      </c>
      <c r="AK125" s="8">
        <v>0</v>
      </c>
      <c r="AL125" s="970">
        <f t="shared" si="65"/>
        <v>0</v>
      </c>
      <c r="AM125" s="326">
        <f t="shared" si="65"/>
        <v>0</v>
      </c>
      <c r="AN125" s="970">
        <f t="shared" si="65"/>
        <v>0</v>
      </c>
      <c r="AO125" s="29">
        <v>0</v>
      </c>
      <c r="AP125" s="28">
        <f>+T125+AA125+AH125</f>
        <v>0</v>
      </c>
      <c r="AQ125" s="43"/>
      <c r="AR125" s="358">
        <f t="shared" si="66"/>
        <v>0</v>
      </c>
      <c r="AS125" s="359">
        <f t="shared" si="67"/>
        <v>0</v>
      </c>
      <c r="AT125" s="360">
        <f t="shared" si="68"/>
        <v>0</v>
      </c>
      <c r="AU125" s="43"/>
      <c r="AV125" s="2119">
        <f>+IF(OR(+ROUND(O125,2)+ROUND(Q125,2)&gt;ROUND(P125,2)+ROUND(R125,2),+ABS(ROUND(O125,2)+ROUND(Q125,2))&gt;+ABS(ROUND(P125,2)+ROUND(R125,2))),+(ROUND(O125,2)+ROUND(Q125,2))-(ROUND(P125,2)+ROUND(R125,2)),0)</f>
        <v>0</v>
      </c>
      <c r="AW125" s="119"/>
      <c r="AX125" s="2119">
        <f>+IF(OR(+ROUND(AC125,2)+ROUND(AE125,2)&gt;ROUND(AD125,2)+ROUND(AF125,2),+ABS(ROUND(AC125,2)+ROUND(AE125,2))&gt;+ABS(ROUND(AD125,2)+ROUND(AF125,2))),+(ROUND(AC125,2)+ROUND(AE125,2))-(ROUND(AD125,2)+ROUND(AF125,2)),0)</f>
        <v>0</v>
      </c>
      <c r="AY125" s="43"/>
      <c r="AZ125" s="43"/>
      <c r="BA125" s="43"/>
      <c r="BB125" s="43"/>
      <c r="BC125" s="43"/>
      <c r="BD125" s="43"/>
    </row>
    <row r="126" spans="1:56" ht="15.75">
      <c r="A126" s="88">
        <v>4130</v>
      </c>
      <c r="B126" s="378" t="s">
        <v>897</v>
      </c>
      <c r="C126" s="1033"/>
      <c r="D126" s="1033"/>
      <c r="E126" s="1033"/>
      <c r="F126" s="1033"/>
      <c r="G126" s="1033"/>
      <c r="H126" s="1033"/>
      <c r="I126" s="1033"/>
      <c r="J126" s="1033"/>
      <c r="K126" s="1033"/>
      <c r="L126" s="90"/>
      <c r="M126" s="51" t="s">
        <v>265</v>
      </c>
      <c r="N126" s="113">
        <f t="shared" si="64"/>
        <v>4130</v>
      </c>
      <c r="O126" s="120"/>
      <c r="P126" s="9">
        <v>0</v>
      </c>
      <c r="Q126" s="325"/>
      <c r="R126" s="324"/>
      <c r="S126" s="27">
        <f>+IF(ABS(+O126+Q126)&gt;=ABS(P126+R126),+O126-P126+Q126-R126,0)</f>
        <v>0</v>
      </c>
      <c r="T126" s="30">
        <v>0</v>
      </c>
      <c r="U126" s="51"/>
      <c r="V126" s="541">
        <f>+'NF-KSF-TRIAL-BAL-2020'!O126+'RA-TRIAL-BAL-2020'!O126+'DES-TRIAL-BAL-2020'!O126+'DMP-TRIAL-BAL-2020'!O126</f>
        <v>0</v>
      </c>
      <c r="W126" s="529">
        <f>+'NF-KSF-TRIAL-BAL-2020'!P126+'RA-TRIAL-BAL-2020'!P126+'DES-TRIAL-BAL-2020'!P126+'DMP-TRIAL-BAL-2020'!P126</f>
        <v>0</v>
      </c>
      <c r="X126" s="528">
        <f>+'NF-KSF-TRIAL-BAL-2020'!Q126+'RA-TRIAL-BAL-2020'!Q126+'DES-TRIAL-BAL-2020'!Q126+'DMP-TRIAL-BAL-2020'!Q126</f>
        <v>0</v>
      </c>
      <c r="Y126" s="529">
        <f>+'NF-KSF-TRIAL-BAL-2020'!R126+'RA-TRIAL-BAL-2020'!R126+'DES-TRIAL-BAL-2020'!R126+'DMP-TRIAL-BAL-2020'!R126</f>
        <v>0</v>
      </c>
      <c r="Z126" s="528">
        <f>+'NF-KSF-TRIAL-BAL-2020'!S126+'RA-TRIAL-BAL-2020'!S126+'DES-TRIAL-BAL-2020'!S126+'DMP-TRIAL-BAL-2020'!S126</f>
        <v>0</v>
      </c>
      <c r="AA126" s="347">
        <f>+'NF-KSF-TRIAL-BAL-2020'!T126+'RA-TRIAL-BAL-2020'!T126+'DES-TRIAL-BAL-2020'!T126+'DMP-TRIAL-BAL-2020'!T126</f>
        <v>0</v>
      </c>
      <c r="AB126" s="51"/>
      <c r="AC126" s="120"/>
      <c r="AD126" s="9">
        <v>0</v>
      </c>
      <c r="AE126" s="122"/>
      <c r="AF126" s="324"/>
      <c r="AG126" s="27">
        <f>+IF(ABS(+AC126+AE126)&gt;=ABS(AD126+AF126),+AC126-AD126+AE126-AF126,0)</f>
        <v>0</v>
      </c>
      <c r="AH126" s="30">
        <v>0</v>
      </c>
      <c r="AI126" s="51"/>
      <c r="AJ126" s="1497">
        <f t="shared" si="45"/>
        <v>4130</v>
      </c>
      <c r="AK126" s="951">
        <f>+ROUND(+O126+V126+AC126,2)</f>
        <v>0</v>
      </c>
      <c r="AL126" s="9">
        <v>0</v>
      </c>
      <c r="AM126" s="326">
        <f t="shared" si="65"/>
        <v>0</v>
      </c>
      <c r="AN126" s="970">
        <f t="shared" si="65"/>
        <v>0</v>
      </c>
      <c r="AO126" s="326">
        <f>+S126+Z126+AG126</f>
        <v>0</v>
      </c>
      <c r="AP126" s="30">
        <v>0</v>
      </c>
      <c r="AQ126" s="43"/>
      <c r="AR126" s="358">
        <f t="shared" si="66"/>
        <v>0</v>
      </c>
      <c r="AS126" s="359">
        <f t="shared" si="67"/>
        <v>0</v>
      </c>
      <c r="AT126" s="360">
        <f t="shared" si="68"/>
        <v>0</v>
      </c>
      <c r="AU126" s="43"/>
      <c r="AV126" s="2120">
        <f>+IF(OR(ROUND(P126,2)+ROUND(R126,2)&gt;+ROUND(O126,2)+ROUND(Q126,2),+ABS(ROUND(P126,2)+ROUND(R126,2))&gt;+ABS(ROUND(O126,2)+ROUND(Q126,2))),+(ROUND(P126,2)+ROUND(R126,2))-(ROUND(O126,2)+ROUND(Q126,2)),0)</f>
        <v>0</v>
      </c>
      <c r="AW126" s="119"/>
      <c r="AX126" s="2120">
        <f>+IF(OR(ROUND(AD126,2)+ROUND(AF126,2)&gt;+ROUND(AC126,2)+ROUND(AE126,2),+ABS(ROUND(AD126,2)+ROUND(AF126,2))&gt;+ABS(ROUND(AC126,2)+ROUND(AE126,2))),+(ROUND(AD126,2)+ROUND(AF126,2))-(ROUND(AC126,2)+ROUND(AE126,2)),0)</f>
        <v>0</v>
      </c>
      <c r="AY126" s="43"/>
      <c r="AZ126" s="43"/>
      <c r="BA126" s="43"/>
      <c r="BB126" s="43"/>
      <c r="BC126" s="43"/>
      <c r="BD126" s="43"/>
    </row>
    <row r="127" spans="1:56" ht="15.75">
      <c r="A127" s="88">
        <v>4140</v>
      </c>
      <c r="B127" s="378" t="s">
        <v>898</v>
      </c>
      <c r="C127" s="1033"/>
      <c r="D127" s="1033"/>
      <c r="E127" s="1033"/>
      <c r="F127" s="1033"/>
      <c r="G127" s="1033"/>
      <c r="H127" s="1033"/>
      <c r="I127" s="1033"/>
      <c r="J127" s="1033"/>
      <c r="K127" s="1033"/>
      <c r="L127" s="90"/>
      <c r="M127" s="51" t="s">
        <v>265</v>
      </c>
      <c r="N127" s="113">
        <f t="shared" si="64"/>
        <v>4140</v>
      </c>
      <c r="O127" s="8">
        <v>0</v>
      </c>
      <c r="P127" s="121"/>
      <c r="Q127" s="325"/>
      <c r="R127" s="324"/>
      <c r="S127" s="29">
        <v>0</v>
      </c>
      <c r="T127" s="28">
        <f>+IF(ABS(+O127+Q127)&lt;=ABS(P127+R127),-O127+P127-Q127+R127,0)</f>
        <v>0</v>
      </c>
      <c r="U127" s="51"/>
      <c r="V127" s="541">
        <f>+'NF-KSF-TRIAL-BAL-2020'!O127+'RA-TRIAL-BAL-2020'!O127+'DES-TRIAL-BAL-2020'!O127+'DMP-TRIAL-BAL-2020'!O127</f>
        <v>0</v>
      </c>
      <c r="W127" s="529">
        <f>+'NF-KSF-TRIAL-BAL-2020'!P127+'RA-TRIAL-BAL-2020'!P127+'DES-TRIAL-BAL-2020'!P127+'DMP-TRIAL-BAL-2020'!P127</f>
        <v>0</v>
      </c>
      <c r="X127" s="528">
        <f>+'NF-KSF-TRIAL-BAL-2020'!Q127+'RA-TRIAL-BAL-2020'!Q127+'DES-TRIAL-BAL-2020'!Q127+'DMP-TRIAL-BAL-2020'!Q127</f>
        <v>0</v>
      </c>
      <c r="Y127" s="529">
        <f>+'NF-KSF-TRIAL-BAL-2020'!R127+'RA-TRIAL-BAL-2020'!R127+'DES-TRIAL-BAL-2020'!R127+'DMP-TRIAL-BAL-2020'!R127</f>
        <v>0</v>
      </c>
      <c r="Z127" s="528">
        <f>+'NF-KSF-TRIAL-BAL-2020'!S127+'RA-TRIAL-BAL-2020'!S127+'DES-TRIAL-BAL-2020'!S127+'DMP-TRIAL-BAL-2020'!S127</f>
        <v>0</v>
      </c>
      <c r="AA127" s="347">
        <f>+'NF-KSF-TRIAL-BAL-2020'!T127+'RA-TRIAL-BAL-2020'!T127+'DES-TRIAL-BAL-2020'!T127+'DMP-TRIAL-BAL-2020'!T127</f>
        <v>0</v>
      </c>
      <c r="AB127" s="51"/>
      <c r="AC127" s="8">
        <v>0</v>
      </c>
      <c r="AD127" s="121"/>
      <c r="AE127" s="325"/>
      <c r="AF127" s="324"/>
      <c r="AG127" s="29">
        <v>0</v>
      </c>
      <c r="AH127" s="28">
        <f>+IF(ABS(+AC127+AE127)&lt;=ABS(AD127+AF127),-AC127+AD127-AE127+AF127,0)</f>
        <v>0</v>
      </c>
      <c r="AI127" s="51"/>
      <c r="AJ127" s="1497">
        <f t="shared" si="45"/>
        <v>4140</v>
      </c>
      <c r="AK127" s="8">
        <v>0</v>
      </c>
      <c r="AL127" s="970">
        <f t="shared" si="65"/>
        <v>0</v>
      </c>
      <c r="AM127" s="326">
        <f t="shared" si="65"/>
        <v>0</v>
      </c>
      <c r="AN127" s="970">
        <f t="shared" si="65"/>
        <v>0</v>
      </c>
      <c r="AO127" s="29">
        <v>0</v>
      </c>
      <c r="AP127" s="28">
        <f>+T127+AA127+AH127</f>
        <v>0</v>
      </c>
      <c r="AQ127" s="43"/>
      <c r="AR127" s="358">
        <f t="shared" si="66"/>
        <v>0</v>
      </c>
      <c r="AS127" s="359">
        <f t="shared" si="67"/>
        <v>0</v>
      </c>
      <c r="AT127" s="360">
        <f t="shared" si="68"/>
        <v>0</v>
      </c>
      <c r="AU127" s="43"/>
      <c r="AV127" s="2119">
        <f>+IF(OR(+ROUND(O127,2)+ROUND(Q127,2)&gt;ROUND(P127,2)+ROUND(R127,2),+ABS(ROUND(O127,2)+ROUND(Q127,2))&gt;+ABS(ROUND(P127,2)+ROUND(R127,2))),+(ROUND(O127,2)+ROUND(Q127,2))-(ROUND(P127,2)+ROUND(R127,2)),0)</f>
        <v>0</v>
      </c>
      <c r="AW127" s="119"/>
      <c r="AX127" s="2119">
        <f>+IF(OR(+ROUND(AC127,2)+ROUND(AE127,2)&gt;ROUND(AD127,2)+ROUND(AF127,2),+ABS(ROUND(AC127,2)+ROUND(AE127,2))&gt;+ABS(ROUND(AD127,2)+ROUND(AF127,2))),+(ROUND(AC127,2)+ROUND(AE127,2))-(ROUND(AD127,2)+ROUND(AF127,2)),0)</f>
        <v>0</v>
      </c>
      <c r="AY127" s="43"/>
      <c r="AZ127" s="43"/>
      <c r="BA127" s="43"/>
      <c r="BB127" s="43"/>
      <c r="BC127" s="43"/>
      <c r="BD127" s="43"/>
    </row>
    <row r="128" spans="1:56" ht="15.75">
      <c r="A128" s="88">
        <v>4211</v>
      </c>
      <c r="B128" s="378" t="s">
        <v>480</v>
      </c>
      <c r="C128" s="1033"/>
      <c r="D128" s="1033"/>
      <c r="E128" s="1033"/>
      <c r="F128" s="1033"/>
      <c r="G128" s="1033"/>
      <c r="H128" s="1033"/>
      <c r="I128" s="1033"/>
      <c r="J128" s="1033"/>
      <c r="K128" s="1033"/>
      <c r="L128" s="90"/>
      <c r="M128" s="51" t="s">
        <v>265</v>
      </c>
      <c r="N128" s="113">
        <f t="shared" si="64"/>
        <v>4211</v>
      </c>
      <c r="O128" s="8">
        <v>0</v>
      </c>
      <c r="P128" s="121">
        <v>0</v>
      </c>
      <c r="Q128" s="325">
        <v>512302.68999999983</v>
      </c>
      <c r="R128" s="324">
        <v>512302.69</v>
      </c>
      <c r="S128" s="29">
        <v>0</v>
      </c>
      <c r="T128" s="28">
        <f>+IF(ABS(+O128+Q128)&lt;=ABS(P128+R128),-O128+P128-Q128+R128,0)</f>
        <v>1.7462298274040222E-10</v>
      </c>
      <c r="U128" s="51"/>
      <c r="V128" s="541">
        <f>+'NF-KSF-TRIAL-BAL-2020'!O128+'RA-TRIAL-BAL-2020'!O128+'DES-TRIAL-BAL-2020'!O128+'DMP-TRIAL-BAL-2020'!O128</f>
        <v>0</v>
      </c>
      <c r="W128" s="529">
        <f>+'NF-KSF-TRIAL-BAL-2020'!P128+'RA-TRIAL-BAL-2020'!P128+'DES-TRIAL-BAL-2020'!P128+'DMP-TRIAL-BAL-2020'!P128</f>
        <v>0</v>
      </c>
      <c r="X128" s="528">
        <f>+'NF-KSF-TRIAL-BAL-2020'!Q128+'RA-TRIAL-BAL-2020'!Q128+'DES-TRIAL-BAL-2020'!Q128+'DMP-TRIAL-BAL-2020'!Q128</f>
        <v>0</v>
      </c>
      <c r="Y128" s="529">
        <f>+'NF-KSF-TRIAL-BAL-2020'!R128+'RA-TRIAL-BAL-2020'!R128+'DES-TRIAL-BAL-2020'!R128+'DMP-TRIAL-BAL-2020'!R128</f>
        <v>0</v>
      </c>
      <c r="Z128" s="528">
        <f>+'NF-KSF-TRIAL-BAL-2020'!S128+'RA-TRIAL-BAL-2020'!S128+'DES-TRIAL-BAL-2020'!S128+'DMP-TRIAL-BAL-2020'!S128</f>
        <v>0</v>
      </c>
      <c r="AA128" s="347">
        <f>+'NF-KSF-TRIAL-BAL-2020'!T128+'RA-TRIAL-BAL-2020'!T128+'DES-TRIAL-BAL-2020'!T128+'DMP-TRIAL-BAL-2020'!T128</f>
        <v>0</v>
      </c>
      <c r="AB128" s="51"/>
      <c r="AC128" s="8">
        <v>0</v>
      </c>
      <c r="AD128" s="121">
        <v>0</v>
      </c>
      <c r="AE128" s="325">
        <v>0</v>
      </c>
      <c r="AF128" s="324">
        <v>0</v>
      </c>
      <c r="AG128" s="29">
        <v>0</v>
      </c>
      <c r="AH128" s="28">
        <f>+IF(ABS(+AC128+AE128)&lt;=ABS(AD128+AF128),-AC128+AD128-AE128+AF128,0)</f>
        <v>0</v>
      </c>
      <c r="AI128" s="51"/>
      <c r="AJ128" s="1497">
        <f t="shared" si="45"/>
        <v>4211</v>
      </c>
      <c r="AK128" s="8">
        <v>0</v>
      </c>
      <c r="AL128" s="970">
        <f t="shared" si="65"/>
        <v>0</v>
      </c>
      <c r="AM128" s="326">
        <f t="shared" si="65"/>
        <v>512302.69</v>
      </c>
      <c r="AN128" s="970">
        <f t="shared" si="65"/>
        <v>512302.69</v>
      </c>
      <c r="AO128" s="29">
        <v>0</v>
      </c>
      <c r="AP128" s="28">
        <f>+T128+AA128+AH128</f>
        <v>1.7462298274040222E-10</v>
      </c>
      <c r="AQ128" s="43"/>
      <c r="AR128" s="358">
        <f t="shared" si="66"/>
        <v>0</v>
      </c>
      <c r="AS128" s="359">
        <f t="shared" si="67"/>
        <v>0</v>
      </c>
      <c r="AT128" s="360">
        <f t="shared" si="68"/>
        <v>0</v>
      </c>
      <c r="AU128" s="43"/>
      <c r="AV128" s="2119">
        <f>+IF(OR(+ROUND(O128,2)+ROUND(Q128,2)&gt;ROUND(P128,2)+ROUND(R128,2),+ABS(ROUND(O128,2)+ROUND(Q128,2))&gt;+ABS(ROUND(P128,2)+ROUND(R128,2))),+(ROUND(O128,2)+ROUND(Q128,2))-(ROUND(P128,2)+ROUND(R128,2)),0)</f>
        <v>0</v>
      </c>
      <c r="AW128" s="119"/>
      <c r="AX128" s="2119">
        <f>+IF(OR(+ROUND(AC128,2)+ROUND(AE128,2)&gt;ROUND(AD128,2)+ROUND(AF128,2),+ABS(ROUND(AC128,2)+ROUND(AE128,2))&gt;+ABS(ROUND(AD128,2)+ROUND(AF128,2))),+(ROUND(AC128,2)+ROUND(AE128,2))-(ROUND(AD128,2)+ROUND(AF128,2)),0)</f>
        <v>0</v>
      </c>
      <c r="AY128" s="43"/>
      <c r="AZ128" s="43"/>
      <c r="BA128" s="43"/>
      <c r="BB128" s="43"/>
      <c r="BC128" s="43"/>
      <c r="BD128" s="43"/>
    </row>
    <row r="129" spans="1:56" ht="15.75">
      <c r="A129" s="88">
        <v>4213</v>
      </c>
      <c r="B129" s="378" t="s">
        <v>481</v>
      </c>
      <c r="C129" s="1033"/>
      <c r="D129" s="1033"/>
      <c r="E129" s="1033"/>
      <c r="F129" s="1033"/>
      <c r="G129" s="1033"/>
      <c r="H129" s="1033"/>
      <c r="I129" s="1033"/>
      <c r="J129" s="1033"/>
      <c r="K129" s="1033"/>
      <c r="L129" s="90"/>
      <c r="M129" s="51" t="s">
        <v>265</v>
      </c>
      <c r="N129" s="113">
        <f t="shared" si="64"/>
        <v>4213</v>
      </c>
      <c r="O129" s="120">
        <v>0</v>
      </c>
      <c r="P129" s="9">
        <v>0</v>
      </c>
      <c r="Q129" s="325">
        <v>0</v>
      </c>
      <c r="R129" s="324">
        <v>0</v>
      </c>
      <c r="S129" s="27">
        <f>+IF(ABS(+O129+Q129)&gt;=ABS(P129+R129),+O129-P129+Q129-R129,0)</f>
        <v>0</v>
      </c>
      <c r="T129" s="30">
        <v>0</v>
      </c>
      <c r="U129" s="51"/>
      <c r="V129" s="541">
        <f>+'NF-KSF-TRIAL-BAL-2020'!O129+'RA-TRIAL-BAL-2020'!O129+'DES-TRIAL-BAL-2020'!O129+'DMP-TRIAL-BAL-2020'!O129</f>
        <v>0</v>
      </c>
      <c r="W129" s="529">
        <f>+'NF-KSF-TRIAL-BAL-2020'!P129+'RA-TRIAL-BAL-2020'!P129+'DES-TRIAL-BAL-2020'!P129+'DMP-TRIAL-BAL-2020'!P129</f>
        <v>0</v>
      </c>
      <c r="X129" s="528">
        <f>+'NF-KSF-TRIAL-BAL-2020'!Q129+'RA-TRIAL-BAL-2020'!Q129+'DES-TRIAL-BAL-2020'!Q129+'DMP-TRIAL-BAL-2020'!Q129</f>
        <v>0</v>
      </c>
      <c r="Y129" s="529">
        <f>+'NF-KSF-TRIAL-BAL-2020'!R129+'RA-TRIAL-BAL-2020'!R129+'DES-TRIAL-BAL-2020'!R129+'DMP-TRIAL-BAL-2020'!R129</f>
        <v>0</v>
      </c>
      <c r="Z129" s="528">
        <f>+'NF-KSF-TRIAL-BAL-2020'!S129+'RA-TRIAL-BAL-2020'!S129+'DES-TRIAL-BAL-2020'!S129+'DMP-TRIAL-BAL-2020'!S129</f>
        <v>0</v>
      </c>
      <c r="AA129" s="347">
        <f>+'NF-KSF-TRIAL-BAL-2020'!T129+'RA-TRIAL-BAL-2020'!T129+'DES-TRIAL-BAL-2020'!T129+'DMP-TRIAL-BAL-2020'!T129</f>
        <v>0</v>
      </c>
      <c r="AB129" s="51"/>
      <c r="AC129" s="120">
        <v>0</v>
      </c>
      <c r="AD129" s="9">
        <v>0</v>
      </c>
      <c r="AE129" s="122">
        <v>0</v>
      </c>
      <c r="AF129" s="324">
        <v>0</v>
      </c>
      <c r="AG129" s="27">
        <f>+IF(ABS(+AC129+AE129)&gt;=ABS(AD129+AF129),+AC129-AD129+AE129-AF129,0)</f>
        <v>0</v>
      </c>
      <c r="AH129" s="30">
        <v>0</v>
      </c>
      <c r="AI129" s="51"/>
      <c r="AJ129" s="1497">
        <f t="shared" si="45"/>
        <v>4213</v>
      </c>
      <c r="AK129" s="951">
        <f>+ROUND(+O129+V129+AC129,2)</f>
        <v>0</v>
      </c>
      <c r="AL129" s="9">
        <v>0</v>
      </c>
      <c r="AM129" s="326">
        <f t="shared" si="65"/>
        <v>0</v>
      </c>
      <c r="AN129" s="970">
        <f t="shared" si="65"/>
        <v>0</v>
      </c>
      <c r="AO129" s="326">
        <f>+S129+Z129+AG129</f>
        <v>0</v>
      </c>
      <c r="AP129" s="30">
        <v>0</v>
      </c>
      <c r="AQ129" s="43"/>
      <c r="AR129" s="358">
        <f t="shared" si="66"/>
        <v>0</v>
      </c>
      <c r="AS129" s="359">
        <f t="shared" si="67"/>
        <v>0</v>
      </c>
      <c r="AT129" s="360">
        <f t="shared" si="68"/>
        <v>0</v>
      </c>
      <c r="AU129" s="43"/>
      <c r="AV129" s="2120">
        <f>+IF(OR(ROUND(P129,2)+ROUND(R129,2)&gt;+ROUND(O129,2)+ROUND(Q129,2),+ABS(ROUND(P129,2)+ROUND(R129,2))&gt;+ABS(ROUND(O129,2)+ROUND(Q129,2))),+(ROUND(P129,2)+ROUND(R129,2))-(ROUND(O129,2)+ROUND(Q129,2)),0)</f>
        <v>0</v>
      </c>
      <c r="AW129" s="119"/>
      <c r="AX129" s="2120">
        <f>+IF(OR(ROUND(AD129,2)+ROUND(AF129,2)&gt;+ROUND(AC129,2)+ROUND(AE129,2),+ABS(ROUND(AD129,2)+ROUND(AF129,2))&gt;+ABS(ROUND(AC129,2)+ROUND(AE129,2))),+(ROUND(AD129,2)+ROUND(AF129,2))-(ROUND(AC129,2)+ROUND(AE129,2)),0)</f>
        <v>0</v>
      </c>
      <c r="AY129" s="43"/>
      <c r="AZ129" s="43"/>
      <c r="BA129" s="43"/>
      <c r="BB129" s="43"/>
      <c r="BC129" s="43"/>
      <c r="BD129" s="43"/>
    </row>
    <row r="130" spans="1:56" ht="15.75">
      <c r="A130" s="88">
        <v>4222</v>
      </c>
      <c r="B130" s="378" t="s">
        <v>482</v>
      </c>
      <c r="C130" s="1033"/>
      <c r="D130" s="1033"/>
      <c r="E130" s="1033"/>
      <c r="F130" s="1033"/>
      <c r="G130" s="1033"/>
      <c r="H130" s="1033"/>
      <c r="I130" s="1033"/>
      <c r="J130" s="1033"/>
      <c r="K130" s="1033"/>
      <c r="L130" s="90"/>
      <c r="M130" s="51" t="s">
        <v>265</v>
      </c>
      <c r="N130" s="113">
        <f t="shared" si="64"/>
        <v>4222</v>
      </c>
      <c r="O130" s="8">
        <v>0</v>
      </c>
      <c r="P130" s="121"/>
      <c r="Q130" s="325"/>
      <c r="R130" s="324"/>
      <c r="S130" s="29">
        <v>0</v>
      </c>
      <c r="T130" s="28">
        <f>+IF(ABS(+O130+Q130)&lt;=ABS(P130+R130),-O130+P130-Q130+R130,0)</f>
        <v>0</v>
      </c>
      <c r="U130" s="51"/>
      <c r="V130" s="541">
        <f>+'NF-KSF-TRIAL-BAL-2020'!O130+'RA-TRIAL-BAL-2020'!O130+'DES-TRIAL-BAL-2020'!O130+'DMP-TRIAL-BAL-2020'!O130</f>
        <v>0</v>
      </c>
      <c r="W130" s="529">
        <f>+'NF-KSF-TRIAL-BAL-2020'!P130+'RA-TRIAL-BAL-2020'!P130+'DES-TRIAL-BAL-2020'!P130+'DMP-TRIAL-BAL-2020'!P130</f>
        <v>0</v>
      </c>
      <c r="X130" s="528">
        <f>+'NF-KSF-TRIAL-BAL-2020'!Q130+'RA-TRIAL-BAL-2020'!Q130+'DES-TRIAL-BAL-2020'!Q130+'DMP-TRIAL-BAL-2020'!Q130</f>
        <v>0</v>
      </c>
      <c r="Y130" s="529">
        <f>+'NF-KSF-TRIAL-BAL-2020'!R130+'RA-TRIAL-BAL-2020'!R130+'DES-TRIAL-BAL-2020'!R130+'DMP-TRIAL-BAL-2020'!R130</f>
        <v>0</v>
      </c>
      <c r="Z130" s="528">
        <f>+'NF-KSF-TRIAL-BAL-2020'!S130+'RA-TRIAL-BAL-2020'!S130+'DES-TRIAL-BAL-2020'!S130+'DMP-TRIAL-BAL-2020'!S130</f>
        <v>0</v>
      </c>
      <c r="AA130" s="347">
        <f>+'NF-KSF-TRIAL-BAL-2020'!T130+'RA-TRIAL-BAL-2020'!T130+'DES-TRIAL-BAL-2020'!T130+'DMP-TRIAL-BAL-2020'!T130</f>
        <v>0</v>
      </c>
      <c r="AB130" s="51"/>
      <c r="AC130" s="8">
        <v>0</v>
      </c>
      <c r="AD130" s="121"/>
      <c r="AE130" s="325"/>
      <c r="AF130" s="324"/>
      <c r="AG130" s="29">
        <v>0</v>
      </c>
      <c r="AH130" s="28">
        <f>+IF(ABS(+AC130+AE130)&lt;=ABS(AD130+AF130),-AC130+AD130-AE130+AF130,0)</f>
        <v>0</v>
      </c>
      <c r="AI130" s="51"/>
      <c r="AJ130" s="1497">
        <f t="shared" si="45"/>
        <v>4222</v>
      </c>
      <c r="AK130" s="8">
        <v>0</v>
      </c>
      <c r="AL130" s="970">
        <f>+ROUND(+P130+W130+AD130,2)</f>
        <v>0</v>
      </c>
      <c r="AM130" s="326">
        <f t="shared" si="65"/>
        <v>0</v>
      </c>
      <c r="AN130" s="970">
        <f t="shared" si="65"/>
        <v>0</v>
      </c>
      <c r="AO130" s="29">
        <v>0</v>
      </c>
      <c r="AP130" s="28">
        <f>+T130+AA130+AH130</f>
        <v>0</v>
      </c>
      <c r="AQ130" s="43"/>
      <c r="AR130" s="358">
        <f t="shared" si="66"/>
        <v>0</v>
      </c>
      <c r="AS130" s="359">
        <f t="shared" si="67"/>
        <v>0</v>
      </c>
      <c r="AT130" s="360">
        <f t="shared" si="68"/>
        <v>0</v>
      </c>
      <c r="AU130" s="43"/>
      <c r="AV130" s="2119">
        <f>+IF(OR(+ROUND(O130,2)+ROUND(Q130,2)&gt;ROUND(P130,2)+ROUND(R130,2),+ABS(ROUND(O130,2)+ROUND(Q130,2))&gt;+ABS(ROUND(P130,2)+ROUND(R130,2))),+(ROUND(O130,2)+ROUND(Q130,2))-(ROUND(P130,2)+ROUND(R130,2)),0)</f>
        <v>0</v>
      </c>
      <c r="AW130" s="119"/>
      <c r="AX130" s="2119">
        <f>+IF(OR(+ROUND(AC130,2)+ROUND(AE130,2)&gt;ROUND(AD130,2)+ROUND(AF130,2),+ABS(ROUND(AC130,2)+ROUND(AE130,2))&gt;+ABS(ROUND(AD130,2)+ROUND(AF130,2))),+(ROUND(AC130,2)+ROUND(AE130,2))-(ROUND(AD130,2)+ROUND(AF130,2)),0)</f>
        <v>0</v>
      </c>
      <c r="AY130" s="43"/>
      <c r="AZ130" s="43"/>
      <c r="BA130" s="43"/>
      <c r="BB130" s="43"/>
      <c r="BC130" s="43"/>
      <c r="BD130" s="43"/>
    </row>
    <row r="131" spans="1:56" ht="15.75">
      <c r="A131" s="88">
        <v>4224</v>
      </c>
      <c r="B131" s="378" t="s">
        <v>483</v>
      </c>
      <c r="C131" s="1033"/>
      <c r="D131" s="1033"/>
      <c r="E131" s="1033"/>
      <c r="F131" s="1033"/>
      <c r="G131" s="1033"/>
      <c r="H131" s="1033"/>
      <c r="I131" s="1033"/>
      <c r="J131" s="1033"/>
      <c r="K131" s="1033"/>
      <c r="L131" s="90"/>
      <c r="M131" s="51" t="s">
        <v>265</v>
      </c>
      <c r="N131" s="113">
        <f t="shared" si="64"/>
        <v>4224</v>
      </c>
      <c r="O131" s="120"/>
      <c r="P131" s="9">
        <v>0</v>
      </c>
      <c r="Q131" s="325"/>
      <c r="R131" s="324"/>
      <c r="S131" s="27">
        <f>+IF(ABS(+O131+Q131)&gt;=ABS(P131+R131),+O131-P131+Q131-R131,0)</f>
        <v>0</v>
      </c>
      <c r="T131" s="30">
        <v>0</v>
      </c>
      <c r="U131" s="51"/>
      <c r="V131" s="541">
        <f>+'NF-KSF-TRIAL-BAL-2020'!O131+'RA-TRIAL-BAL-2020'!O131+'DES-TRIAL-BAL-2020'!O131+'DMP-TRIAL-BAL-2020'!O131</f>
        <v>0</v>
      </c>
      <c r="W131" s="529">
        <f>+'NF-KSF-TRIAL-BAL-2020'!P131+'RA-TRIAL-BAL-2020'!P131+'DES-TRIAL-BAL-2020'!P131+'DMP-TRIAL-BAL-2020'!P131</f>
        <v>0</v>
      </c>
      <c r="X131" s="528">
        <f>+'NF-KSF-TRIAL-BAL-2020'!Q131+'RA-TRIAL-BAL-2020'!Q131+'DES-TRIAL-BAL-2020'!Q131+'DMP-TRIAL-BAL-2020'!Q131</f>
        <v>0</v>
      </c>
      <c r="Y131" s="529">
        <f>+'NF-KSF-TRIAL-BAL-2020'!R131+'RA-TRIAL-BAL-2020'!R131+'DES-TRIAL-BAL-2020'!R131+'DMP-TRIAL-BAL-2020'!R131</f>
        <v>0</v>
      </c>
      <c r="Z131" s="528">
        <f>+'NF-KSF-TRIAL-BAL-2020'!S131+'RA-TRIAL-BAL-2020'!S131+'DES-TRIAL-BAL-2020'!S131+'DMP-TRIAL-BAL-2020'!S131</f>
        <v>0</v>
      </c>
      <c r="AA131" s="347">
        <f>+'NF-KSF-TRIAL-BAL-2020'!T131+'RA-TRIAL-BAL-2020'!T131+'DES-TRIAL-BAL-2020'!T131+'DMP-TRIAL-BAL-2020'!T131</f>
        <v>0</v>
      </c>
      <c r="AB131" s="51"/>
      <c r="AC131" s="120"/>
      <c r="AD131" s="9">
        <v>0</v>
      </c>
      <c r="AE131" s="325"/>
      <c r="AF131" s="324"/>
      <c r="AG131" s="27">
        <f>+IF(ABS(+AC131+AE131)&gt;=ABS(AD131+AF131),+AC131-AD131+AE131-AF131,0)</f>
        <v>0</v>
      </c>
      <c r="AH131" s="30">
        <v>0</v>
      </c>
      <c r="AI131" s="51"/>
      <c r="AJ131" s="1497">
        <f t="shared" si="45"/>
        <v>4224</v>
      </c>
      <c r="AK131" s="951">
        <f>+ROUND(+O131+V131+AC131,2)</f>
        <v>0</v>
      </c>
      <c r="AL131" s="9">
        <v>0</v>
      </c>
      <c r="AM131" s="326">
        <f t="shared" si="65"/>
        <v>0</v>
      </c>
      <c r="AN131" s="970">
        <f t="shared" si="65"/>
        <v>0</v>
      </c>
      <c r="AO131" s="326">
        <f>+S131+Z131+AG131</f>
        <v>0</v>
      </c>
      <c r="AP131" s="30">
        <v>0</v>
      </c>
      <c r="AQ131" s="43"/>
      <c r="AR131" s="358">
        <f t="shared" si="66"/>
        <v>0</v>
      </c>
      <c r="AS131" s="359">
        <f t="shared" si="67"/>
        <v>0</v>
      </c>
      <c r="AT131" s="360">
        <f t="shared" si="68"/>
        <v>0</v>
      </c>
      <c r="AU131" s="43"/>
      <c r="AV131" s="2120">
        <f>+IF(OR(ROUND(P131,2)+ROUND(R131,2)&gt;+ROUND(O131,2)+ROUND(Q131,2),+ABS(ROUND(P131,2)+ROUND(R131,2))&gt;+ABS(ROUND(O131,2)+ROUND(Q131,2))),+(ROUND(P131,2)+ROUND(R131,2))-(ROUND(O131,2)+ROUND(Q131,2)),0)</f>
        <v>0</v>
      </c>
      <c r="AW131" s="119"/>
      <c r="AX131" s="2120">
        <f>+IF(OR(ROUND(AD131,2)+ROUND(AF131,2)&gt;+ROUND(AC131,2)+ROUND(AE131,2),+ABS(ROUND(AD131,2)+ROUND(AF131,2))&gt;+ABS(ROUND(AC131,2)+ROUND(AE131,2))),+(ROUND(AD131,2)+ROUND(AF131,2))-(ROUND(AC131,2)+ROUND(AE131,2)),0)</f>
        <v>0</v>
      </c>
      <c r="AY131" s="43"/>
      <c r="AZ131" s="43"/>
      <c r="BA131" s="43"/>
      <c r="BB131" s="43"/>
      <c r="BC131" s="43"/>
      <c r="BD131" s="43"/>
    </row>
    <row r="132" spans="1:56" ht="15.75">
      <c r="A132" s="88">
        <v>4230</v>
      </c>
      <c r="B132" s="378" t="s">
        <v>1001</v>
      </c>
      <c r="C132" s="1033"/>
      <c r="D132" s="1033"/>
      <c r="E132" s="1033"/>
      <c r="F132" s="1033"/>
      <c r="G132" s="1033"/>
      <c r="H132" s="1033"/>
      <c r="I132" s="1033"/>
      <c r="J132" s="1033"/>
      <c r="K132" s="1033"/>
      <c r="L132" s="90"/>
      <c r="M132" s="51" t="s">
        <v>265</v>
      </c>
      <c r="N132" s="113">
        <f t="shared" si="64"/>
        <v>4230</v>
      </c>
      <c r="O132" s="8">
        <v>0</v>
      </c>
      <c r="P132" s="369">
        <v>36846.730000000003</v>
      </c>
      <c r="Q132" s="325">
        <v>36846.730000000003</v>
      </c>
      <c r="R132" s="324">
        <v>0</v>
      </c>
      <c r="S132" s="29">
        <v>0</v>
      </c>
      <c r="T132" s="28">
        <f>+IF(ABS(+O132+Q132)&lt;=ABS(P132+R132),-O132+P132-Q132+R132,0)</f>
        <v>0</v>
      </c>
      <c r="U132" s="51"/>
      <c r="V132" s="541">
        <f>+'NF-KSF-TRIAL-BAL-2020'!O132+'RA-TRIAL-BAL-2020'!O132+'DES-TRIAL-BAL-2020'!O132+'DMP-TRIAL-BAL-2020'!O132</f>
        <v>0</v>
      </c>
      <c r="W132" s="529">
        <f>+'NF-KSF-TRIAL-BAL-2020'!P132+'RA-TRIAL-BAL-2020'!P132+'DES-TRIAL-BAL-2020'!P132+'DMP-TRIAL-BAL-2020'!P132</f>
        <v>0</v>
      </c>
      <c r="X132" s="528">
        <f>+'NF-KSF-TRIAL-BAL-2020'!Q132+'RA-TRIAL-BAL-2020'!Q132+'DES-TRIAL-BAL-2020'!Q132+'DMP-TRIAL-BAL-2020'!Q132</f>
        <v>0</v>
      </c>
      <c r="Y132" s="529">
        <f>+'NF-KSF-TRIAL-BAL-2020'!R132+'RA-TRIAL-BAL-2020'!R132+'DES-TRIAL-BAL-2020'!R132+'DMP-TRIAL-BAL-2020'!R132</f>
        <v>0</v>
      </c>
      <c r="Z132" s="528">
        <f>+'NF-KSF-TRIAL-BAL-2020'!S132+'RA-TRIAL-BAL-2020'!S132+'DES-TRIAL-BAL-2020'!S132+'DMP-TRIAL-BAL-2020'!S132</f>
        <v>0</v>
      </c>
      <c r="AA132" s="347">
        <f>+'NF-KSF-TRIAL-BAL-2020'!T132+'RA-TRIAL-BAL-2020'!T132+'DES-TRIAL-BAL-2020'!T132+'DMP-TRIAL-BAL-2020'!T132</f>
        <v>0</v>
      </c>
      <c r="AB132" s="51"/>
      <c r="AC132" s="8">
        <v>0</v>
      </c>
      <c r="AD132" s="121">
        <v>0</v>
      </c>
      <c r="AE132" s="122">
        <v>0</v>
      </c>
      <c r="AF132" s="324">
        <v>0</v>
      </c>
      <c r="AG132" s="29">
        <v>0</v>
      </c>
      <c r="AH132" s="28">
        <f>+IF(ABS(+AC132+AE132)&lt;=ABS(AD132+AF132),-AC132+AD132-AE132+AF132,0)</f>
        <v>0</v>
      </c>
      <c r="AI132" s="51"/>
      <c r="AJ132" s="1497">
        <f t="shared" si="45"/>
        <v>4230</v>
      </c>
      <c r="AK132" s="8">
        <v>0</v>
      </c>
      <c r="AL132" s="970">
        <f t="shared" si="65"/>
        <v>36846.730000000003</v>
      </c>
      <c r="AM132" s="326">
        <f t="shared" si="65"/>
        <v>36846.730000000003</v>
      </c>
      <c r="AN132" s="970">
        <f t="shared" si="65"/>
        <v>0</v>
      </c>
      <c r="AO132" s="29">
        <v>0</v>
      </c>
      <c r="AP132" s="28">
        <f>+T132+AA132+AH132</f>
        <v>0</v>
      </c>
      <c r="AQ132" s="43"/>
      <c r="AR132" s="358">
        <f t="shared" si="66"/>
        <v>0</v>
      </c>
      <c r="AS132" s="359">
        <f t="shared" si="67"/>
        <v>0</v>
      </c>
      <c r="AT132" s="360">
        <f t="shared" si="68"/>
        <v>0</v>
      </c>
      <c r="AU132" s="43"/>
      <c r="AV132" s="2119">
        <f>+IF(OR(+ROUND(O132,2)+ROUND(Q132,2)&gt;ROUND(P132,2)+ROUND(R132,2),+ABS(ROUND(O132,2)+ROUND(Q132,2))&gt;+ABS(ROUND(P132,2)+ROUND(R132,2))),+(ROUND(O132,2)+ROUND(Q132,2))-(ROUND(P132,2)+ROUND(R132,2)),0)</f>
        <v>0</v>
      </c>
      <c r="AW132" s="119"/>
      <c r="AX132" s="2119">
        <f>+IF(OR(+ROUND(AC132,2)+ROUND(AE132,2)&gt;ROUND(AD132,2)+ROUND(AF132,2),+ABS(ROUND(AC132,2)+ROUND(AE132,2))&gt;+ABS(ROUND(AD132,2)+ROUND(AF132,2))),+(ROUND(AC132,2)+ROUND(AE132,2))-(ROUND(AD132,2)+ROUND(AF132,2)),0)</f>
        <v>0</v>
      </c>
      <c r="AY132" s="43"/>
      <c r="AZ132" s="43"/>
      <c r="BA132" s="43"/>
      <c r="BB132" s="43"/>
      <c r="BC132" s="43"/>
      <c r="BD132" s="43"/>
    </row>
    <row r="133" spans="1:56" ht="15.75">
      <c r="A133" s="88">
        <v>4241</v>
      </c>
      <c r="B133" s="1032" t="s">
        <v>484</v>
      </c>
      <c r="C133" s="1033"/>
      <c r="D133" s="1033"/>
      <c r="E133" s="1033"/>
      <c r="F133" s="1033"/>
      <c r="G133" s="1033"/>
      <c r="H133" s="1033"/>
      <c r="I133" s="1033"/>
      <c r="J133" s="1033"/>
      <c r="K133" s="1033"/>
      <c r="L133" s="90"/>
      <c r="M133" s="51" t="s">
        <v>265</v>
      </c>
      <c r="N133" s="113">
        <f t="shared" si="64"/>
        <v>4241</v>
      </c>
      <c r="O133" s="8">
        <v>0</v>
      </c>
      <c r="P133" s="121"/>
      <c r="Q133" s="325"/>
      <c r="R133" s="324"/>
      <c r="S133" s="29">
        <v>0</v>
      </c>
      <c r="T133" s="28">
        <f>+IF(ABS(+O133+Q133)&lt;=ABS(P133+R133),-O133+P133-Q133+R133,0)</f>
        <v>0</v>
      </c>
      <c r="U133" s="51"/>
      <c r="V133" s="541">
        <f>+'NF-KSF-TRIAL-BAL-2020'!O133+'RA-TRIAL-BAL-2020'!O133+'DES-TRIAL-BAL-2020'!O133+'DMP-TRIAL-BAL-2020'!O133</f>
        <v>0</v>
      </c>
      <c r="W133" s="529">
        <f>+'NF-KSF-TRIAL-BAL-2020'!P133+'RA-TRIAL-BAL-2020'!P133+'DES-TRIAL-BAL-2020'!P133+'DMP-TRIAL-BAL-2020'!P133</f>
        <v>0</v>
      </c>
      <c r="X133" s="528">
        <f>+'NF-KSF-TRIAL-BAL-2020'!Q133+'RA-TRIAL-BAL-2020'!Q133+'DES-TRIAL-BAL-2020'!Q133+'DMP-TRIAL-BAL-2020'!Q133</f>
        <v>0</v>
      </c>
      <c r="Y133" s="529">
        <f>+'NF-KSF-TRIAL-BAL-2020'!R133+'RA-TRIAL-BAL-2020'!R133+'DES-TRIAL-BAL-2020'!R133+'DMP-TRIAL-BAL-2020'!R133</f>
        <v>0</v>
      </c>
      <c r="Z133" s="528">
        <f>+'NF-KSF-TRIAL-BAL-2020'!S133+'RA-TRIAL-BAL-2020'!S133+'DES-TRIAL-BAL-2020'!S133+'DMP-TRIAL-BAL-2020'!S133</f>
        <v>0</v>
      </c>
      <c r="AA133" s="347">
        <f>+'NF-KSF-TRIAL-BAL-2020'!T133+'RA-TRIAL-BAL-2020'!T133+'DES-TRIAL-BAL-2020'!T133+'DMP-TRIAL-BAL-2020'!T133</f>
        <v>0</v>
      </c>
      <c r="AB133" s="51"/>
      <c r="AC133" s="8">
        <v>0</v>
      </c>
      <c r="AD133" s="121"/>
      <c r="AE133" s="325"/>
      <c r="AF133" s="324"/>
      <c r="AG133" s="29">
        <v>0</v>
      </c>
      <c r="AH133" s="28">
        <f>+IF(ABS(+AC133+AE133)&lt;=ABS(AD133+AF133),-AC133+AD133-AE133+AF133,0)</f>
        <v>0</v>
      </c>
      <c r="AI133" s="51"/>
      <c r="AJ133" s="1497">
        <f t="shared" si="45"/>
        <v>4241</v>
      </c>
      <c r="AK133" s="8">
        <v>0</v>
      </c>
      <c r="AL133" s="970">
        <f t="shared" si="65"/>
        <v>0</v>
      </c>
      <c r="AM133" s="326">
        <f t="shared" si="65"/>
        <v>0</v>
      </c>
      <c r="AN133" s="970">
        <f t="shared" si="65"/>
        <v>0</v>
      </c>
      <c r="AO133" s="29">
        <v>0</v>
      </c>
      <c r="AP133" s="28">
        <f>+T133+AA133+AH133</f>
        <v>0</v>
      </c>
      <c r="AQ133" s="43"/>
      <c r="AR133" s="358">
        <f t="shared" si="66"/>
        <v>0</v>
      </c>
      <c r="AS133" s="359">
        <f t="shared" si="67"/>
        <v>0</v>
      </c>
      <c r="AT133" s="360">
        <f t="shared" si="68"/>
        <v>0</v>
      </c>
      <c r="AU133" s="43"/>
      <c r="AV133" s="2119">
        <f>+IF(OR(+ROUND(O133,2)+ROUND(Q133,2)&gt;ROUND(P133,2)+ROUND(R133,2),+ABS(ROUND(O133,2)+ROUND(Q133,2))&gt;+ABS(ROUND(P133,2)+ROUND(R133,2))),+(ROUND(O133,2)+ROUND(Q133,2))-(ROUND(P133,2)+ROUND(R133,2)),0)</f>
        <v>0</v>
      </c>
      <c r="AW133" s="119"/>
      <c r="AX133" s="2119">
        <f>+IF(OR(+ROUND(AC133,2)+ROUND(AE133,2)&gt;ROUND(AD133,2)+ROUND(AF133,2),+ABS(ROUND(AC133,2)+ROUND(AE133,2))&gt;+ABS(ROUND(AD133,2)+ROUND(AF133,2))),+(ROUND(AC133,2)+ROUND(AE133,2))-(ROUND(AD133,2)+ROUND(AF133,2)),0)</f>
        <v>0</v>
      </c>
      <c r="AY133" s="43"/>
      <c r="AZ133" s="43"/>
      <c r="BA133" s="43"/>
      <c r="BB133" s="43"/>
      <c r="BC133" s="43"/>
      <c r="BD133" s="43"/>
    </row>
    <row r="134" spans="1:56" ht="15.75">
      <c r="A134" s="88">
        <v>4243</v>
      </c>
      <c r="B134" s="1032" t="s">
        <v>485</v>
      </c>
      <c r="C134" s="1033"/>
      <c r="D134" s="1033"/>
      <c r="E134" s="1033"/>
      <c r="F134" s="1033"/>
      <c r="G134" s="1033"/>
      <c r="H134" s="1033"/>
      <c r="I134" s="1033"/>
      <c r="J134" s="1033"/>
      <c r="K134" s="1033"/>
      <c r="L134" s="90"/>
      <c r="M134" s="51" t="s">
        <v>265</v>
      </c>
      <c r="N134" s="113">
        <f t="shared" si="64"/>
        <v>4243</v>
      </c>
      <c r="O134" s="120"/>
      <c r="P134" s="9">
        <v>0</v>
      </c>
      <c r="Q134" s="325"/>
      <c r="R134" s="324"/>
      <c r="S134" s="27">
        <f>+IF(ABS(+O134+Q134)&gt;=ABS(P134+R134),+O134-P134+Q134-R134,0)</f>
        <v>0</v>
      </c>
      <c r="T134" s="30">
        <v>0</v>
      </c>
      <c r="U134" s="51"/>
      <c r="V134" s="541">
        <f>+'NF-KSF-TRIAL-BAL-2020'!O134+'RA-TRIAL-BAL-2020'!O134+'DES-TRIAL-BAL-2020'!O134+'DMP-TRIAL-BAL-2020'!O134</f>
        <v>0</v>
      </c>
      <c r="W134" s="529">
        <f>+'NF-KSF-TRIAL-BAL-2020'!P134+'RA-TRIAL-BAL-2020'!P134+'DES-TRIAL-BAL-2020'!P134+'DMP-TRIAL-BAL-2020'!P134</f>
        <v>0</v>
      </c>
      <c r="X134" s="528">
        <f>+'NF-KSF-TRIAL-BAL-2020'!Q134+'RA-TRIAL-BAL-2020'!Q134+'DES-TRIAL-BAL-2020'!Q134+'DMP-TRIAL-BAL-2020'!Q134</f>
        <v>0</v>
      </c>
      <c r="Y134" s="529">
        <f>+'NF-KSF-TRIAL-BAL-2020'!R134+'RA-TRIAL-BAL-2020'!R134+'DES-TRIAL-BAL-2020'!R134+'DMP-TRIAL-BAL-2020'!R134</f>
        <v>0</v>
      </c>
      <c r="Z134" s="528">
        <f>+'NF-KSF-TRIAL-BAL-2020'!S134+'RA-TRIAL-BAL-2020'!S134+'DES-TRIAL-BAL-2020'!S134+'DMP-TRIAL-BAL-2020'!S134</f>
        <v>0</v>
      </c>
      <c r="AA134" s="347">
        <f>+'NF-KSF-TRIAL-BAL-2020'!T134+'RA-TRIAL-BAL-2020'!T134+'DES-TRIAL-BAL-2020'!T134+'DMP-TRIAL-BAL-2020'!T134</f>
        <v>0</v>
      </c>
      <c r="AB134" s="51"/>
      <c r="AC134" s="120"/>
      <c r="AD134" s="9">
        <v>0</v>
      </c>
      <c r="AE134" s="325"/>
      <c r="AF134" s="324"/>
      <c r="AG134" s="27">
        <f>+IF(ABS(+AC134+AE134)&gt;=ABS(AD134+AF134),+AC134-AD134+AE134-AF134,0)</f>
        <v>0</v>
      </c>
      <c r="AH134" s="30">
        <v>0</v>
      </c>
      <c r="AI134" s="51"/>
      <c r="AJ134" s="1497">
        <f t="shared" si="45"/>
        <v>4243</v>
      </c>
      <c r="AK134" s="951">
        <f>+ROUND(+O134+V134+AC134,2)</f>
        <v>0</v>
      </c>
      <c r="AL134" s="9">
        <v>0</v>
      </c>
      <c r="AM134" s="326">
        <f t="shared" si="65"/>
        <v>0</v>
      </c>
      <c r="AN134" s="970">
        <f t="shared" si="65"/>
        <v>0</v>
      </c>
      <c r="AO134" s="326">
        <f>+S134+Z134+AG134</f>
        <v>0</v>
      </c>
      <c r="AP134" s="30">
        <v>0</v>
      </c>
      <c r="AQ134" s="43"/>
      <c r="AR134" s="358">
        <f t="shared" si="66"/>
        <v>0</v>
      </c>
      <c r="AS134" s="359">
        <f t="shared" si="67"/>
        <v>0</v>
      </c>
      <c r="AT134" s="360">
        <f t="shared" si="68"/>
        <v>0</v>
      </c>
      <c r="AU134" s="43"/>
      <c r="AV134" s="2120">
        <f>+IF(OR(ROUND(P134,2)+ROUND(R134,2)&gt;+ROUND(O134,2)+ROUND(Q134,2),+ABS(ROUND(P134,2)+ROUND(R134,2))&gt;+ABS(ROUND(O134,2)+ROUND(Q134,2))),+(ROUND(P134,2)+ROUND(R134,2))-(ROUND(O134,2)+ROUND(Q134,2)),0)</f>
        <v>0</v>
      </c>
      <c r="AW134" s="119"/>
      <c r="AX134" s="2120">
        <f>+IF(OR(ROUND(AD134,2)+ROUND(AF134,2)&gt;+ROUND(AC134,2)+ROUND(AE134,2),+ABS(ROUND(AD134,2)+ROUND(AF134,2))&gt;+ABS(ROUND(AC134,2)+ROUND(AE134,2))),+(ROUND(AD134,2)+ROUND(AF134,2))-(ROUND(AC134,2)+ROUND(AE134,2)),0)</f>
        <v>0</v>
      </c>
      <c r="AY134" s="43"/>
      <c r="AZ134" s="43"/>
      <c r="BA134" s="43"/>
      <c r="BB134" s="43"/>
      <c r="BC134" s="43"/>
      <c r="BD134" s="43"/>
    </row>
    <row r="135" spans="1:56" ht="15.75">
      <c r="A135" s="88">
        <v>4252</v>
      </c>
      <c r="B135" s="378" t="s">
        <v>486</v>
      </c>
      <c r="C135" s="1033"/>
      <c r="D135" s="1033"/>
      <c r="E135" s="1033"/>
      <c r="F135" s="1033"/>
      <c r="G135" s="1033"/>
      <c r="H135" s="1033"/>
      <c r="I135" s="1033"/>
      <c r="J135" s="1033"/>
      <c r="K135" s="1033"/>
      <c r="L135" s="90"/>
      <c r="M135" s="51" t="s">
        <v>265</v>
      </c>
      <c r="N135" s="113">
        <f t="shared" si="64"/>
        <v>4252</v>
      </c>
      <c r="O135" s="8">
        <v>0</v>
      </c>
      <c r="P135" s="121"/>
      <c r="Q135" s="325"/>
      <c r="R135" s="324"/>
      <c r="S135" s="29">
        <v>0</v>
      </c>
      <c r="T135" s="28">
        <f>+IF(ABS(+O135+Q135)&lt;=ABS(P135+R135),-O135+P135-Q135+R135,0)</f>
        <v>0</v>
      </c>
      <c r="U135" s="51"/>
      <c r="V135" s="541">
        <f>+'NF-KSF-TRIAL-BAL-2020'!O135+'RA-TRIAL-BAL-2020'!O135+'DES-TRIAL-BAL-2020'!O135+'DMP-TRIAL-BAL-2020'!O135</f>
        <v>0</v>
      </c>
      <c r="W135" s="529">
        <f>+'NF-KSF-TRIAL-BAL-2020'!P135+'RA-TRIAL-BAL-2020'!P135+'DES-TRIAL-BAL-2020'!P135+'DMP-TRIAL-BAL-2020'!P135</f>
        <v>0</v>
      </c>
      <c r="X135" s="528">
        <f>+'NF-KSF-TRIAL-BAL-2020'!Q135+'RA-TRIAL-BAL-2020'!Q135+'DES-TRIAL-BAL-2020'!Q135+'DMP-TRIAL-BAL-2020'!Q135</f>
        <v>0</v>
      </c>
      <c r="Y135" s="529">
        <f>+'NF-KSF-TRIAL-BAL-2020'!R135+'RA-TRIAL-BAL-2020'!R135+'DES-TRIAL-BAL-2020'!R135+'DMP-TRIAL-BAL-2020'!R135</f>
        <v>0</v>
      </c>
      <c r="Z135" s="528">
        <f>+'NF-KSF-TRIAL-BAL-2020'!S135+'RA-TRIAL-BAL-2020'!S135+'DES-TRIAL-BAL-2020'!S135+'DMP-TRIAL-BAL-2020'!S135</f>
        <v>0</v>
      </c>
      <c r="AA135" s="347">
        <f>+'NF-KSF-TRIAL-BAL-2020'!T135+'RA-TRIAL-BAL-2020'!T135+'DES-TRIAL-BAL-2020'!T135+'DMP-TRIAL-BAL-2020'!T135</f>
        <v>0</v>
      </c>
      <c r="AB135" s="51"/>
      <c r="AC135" s="8">
        <v>0</v>
      </c>
      <c r="AD135" s="121"/>
      <c r="AE135" s="325"/>
      <c r="AF135" s="324"/>
      <c r="AG135" s="29">
        <v>0</v>
      </c>
      <c r="AH135" s="28">
        <f>+IF(ABS(+AC135+AE135)&lt;=ABS(AD135+AF135),-AC135+AD135-AE135+AF135,0)</f>
        <v>0</v>
      </c>
      <c r="AI135" s="51"/>
      <c r="AJ135" s="1497">
        <f t="shared" si="45"/>
        <v>4252</v>
      </c>
      <c r="AK135" s="8">
        <v>0</v>
      </c>
      <c r="AL135" s="970">
        <f>+ROUND(+P135+W135+AD135,2)</f>
        <v>0</v>
      </c>
      <c r="AM135" s="326">
        <f t="shared" si="65"/>
        <v>0</v>
      </c>
      <c r="AN135" s="970">
        <f t="shared" si="65"/>
        <v>0</v>
      </c>
      <c r="AO135" s="29">
        <v>0</v>
      </c>
      <c r="AP135" s="28">
        <f>+T135+AA135+AH135</f>
        <v>0</v>
      </c>
      <c r="AQ135" s="43"/>
      <c r="AR135" s="358">
        <f t="shared" si="66"/>
        <v>0</v>
      </c>
      <c r="AS135" s="359">
        <f t="shared" si="67"/>
        <v>0</v>
      </c>
      <c r="AT135" s="360">
        <f t="shared" si="68"/>
        <v>0</v>
      </c>
      <c r="AU135" s="43"/>
      <c r="AV135" s="2119">
        <f>+IF(OR(+ROUND(O135,2)+ROUND(Q135,2)&gt;ROUND(P135,2)+ROUND(R135,2),+ABS(ROUND(O135,2)+ROUND(Q135,2))&gt;+ABS(ROUND(P135,2)+ROUND(R135,2))),+(ROUND(O135,2)+ROUND(Q135,2))-(ROUND(P135,2)+ROUND(R135,2)),0)</f>
        <v>0</v>
      </c>
      <c r="AW135" s="119"/>
      <c r="AX135" s="2119">
        <f>+IF(OR(+ROUND(AC135,2)+ROUND(AE135,2)&gt;ROUND(AD135,2)+ROUND(AF135,2),+ABS(ROUND(AC135,2)+ROUND(AE135,2))&gt;+ABS(ROUND(AD135,2)+ROUND(AF135,2))),+(ROUND(AC135,2)+ROUND(AE135,2))-(ROUND(AD135,2)+ROUND(AF135,2)),0)</f>
        <v>0</v>
      </c>
      <c r="AY135" s="43"/>
      <c r="AZ135" s="43"/>
      <c r="BA135" s="43"/>
      <c r="BB135" s="43"/>
      <c r="BC135" s="43"/>
      <c r="BD135" s="43"/>
    </row>
    <row r="136" spans="1:56" ht="15.75">
      <c r="A136" s="88">
        <v>4254</v>
      </c>
      <c r="B136" s="378" t="s">
        <v>487</v>
      </c>
      <c r="C136" s="1033"/>
      <c r="D136" s="1033"/>
      <c r="E136" s="1033"/>
      <c r="F136" s="1033"/>
      <c r="G136" s="1033"/>
      <c r="H136" s="1033"/>
      <c r="I136" s="1033"/>
      <c r="J136" s="1033"/>
      <c r="K136" s="1033"/>
      <c r="L136" s="90"/>
      <c r="M136" s="51" t="s">
        <v>265</v>
      </c>
      <c r="N136" s="113">
        <f t="shared" si="64"/>
        <v>4254</v>
      </c>
      <c r="O136" s="120"/>
      <c r="P136" s="9">
        <v>0</v>
      </c>
      <c r="Q136" s="325"/>
      <c r="R136" s="324"/>
      <c r="S136" s="27">
        <f>+IF(ABS(+O136+Q136)&gt;=ABS(P136+R136),+O136-P136+Q136-R136,0)</f>
        <v>0</v>
      </c>
      <c r="T136" s="30">
        <v>0</v>
      </c>
      <c r="U136" s="51"/>
      <c r="V136" s="541">
        <f>+'NF-KSF-TRIAL-BAL-2020'!O136+'RA-TRIAL-BAL-2020'!O136+'DES-TRIAL-BAL-2020'!O136+'DMP-TRIAL-BAL-2020'!O136</f>
        <v>0</v>
      </c>
      <c r="W136" s="529">
        <f>+'NF-KSF-TRIAL-BAL-2020'!P136+'RA-TRIAL-BAL-2020'!P136+'DES-TRIAL-BAL-2020'!P136+'DMP-TRIAL-BAL-2020'!P136</f>
        <v>0</v>
      </c>
      <c r="X136" s="528">
        <f>+'NF-KSF-TRIAL-BAL-2020'!Q136+'RA-TRIAL-BAL-2020'!Q136+'DES-TRIAL-BAL-2020'!Q136+'DMP-TRIAL-BAL-2020'!Q136</f>
        <v>0</v>
      </c>
      <c r="Y136" s="529">
        <f>+'NF-KSF-TRIAL-BAL-2020'!R136+'RA-TRIAL-BAL-2020'!R136+'DES-TRIAL-BAL-2020'!R136+'DMP-TRIAL-BAL-2020'!R136</f>
        <v>0</v>
      </c>
      <c r="Z136" s="528">
        <f>+'NF-KSF-TRIAL-BAL-2020'!S136+'RA-TRIAL-BAL-2020'!S136+'DES-TRIAL-BAL-2020'!S136+'DMP-TRIAL-BAL-2020'!S136</f>
        <v>0</v>
      </c>
      <c r="AA136" s="347">
        <f>+'NF-KSF-TRIAL-BAL-2020'!T136+'RA-TRIAL-BAL-2020'!T136+'DES-TRIAL-BAL-2020'!T136+'DMP-TRIAL-BAL-2020'!T136</f>
        <v>0</v>
      </c>
      <c r="AB136" s="51"/>
      <c r="AC136" s="120"/>
      <c r="AD136" s="9">
        <v>0</v>
      </c>
      <c r="AE136" s="122"/>
      <c r="AF136" s="324"/>
      <c r="AG136" s="27">
        <f>+IF(ABS(+AC136+AE136)&gt;=ABS(AD136+AF136),+AC136-AD136+AE136-AF136,0)</f>
        <v>0</v>
      </c>
      <c r="AH136" s="30">
        <v>0</v>
      </c>
      <c r="AI136" s="51"/>
      <c r="AJ136" s="1497">
        <f t="shared" si="45"/>
        <v>4254</v>
      </c>
      <c r="AK136" s="951">
        <f>+ROUND(+O136+V136+AC136,2)</f>
        <v>0</v>
      </c>
      <c r="AL136" s="9">
        <v>0</v>
      </c>
      <c r="AM136" s="326">
        <f t="shared" si="65"/>
        <v>0</v>
      </c>
      <c r="AN136" s="970">
        <f t="shared" si="65"/>
        <v>0</v>
      </c>
      <c r="AO136" s="326">
        <f>+S136+Z136+AG136</f>
        <v>0</v>
      </c>
      <c r="AP136" s="30">
        <v>0</v>
      </c>
      <c r="AQ136" s="43"/>
      <c r="AR136" s="358">
        <f t="shared" si="66"/>
        <v>0</v>
      </c>
      <c r="AS136" s="359">
        <f t="shared" si="67"/>
        <v>0</v>
      </c>
      <c r="AT136" s="360">
        <f t="shared" si="68"/>
        <v>0</v>
      </c>
      <c r="AU136" s="43"/>
      <c r="AV136" s="2120">
        <f>+IF(OR(ROUND(P136,2)+ROUND(R136,2)&gt;+ROUND(O136,2)+ROUND(Q136,2),+ABS(ROUND(P136,2)+ROUND(R136,2))&gt;+ABS(ROUND(O136,2)+ROUND(Q136,2))),+(ROUND(P136,2)+ROUND(R136,2))-(ROUND(O136,2)+ROUND(Q136,2)),0)</f>
        <v>0</v>
      </c>
      <c r="AW136" s="119"/>
      <c r="AX136" s="2120">
        <f>+IF(OR(ROUND(AD136,2)+ROUND(AF136,2)&gt;+ROUND(AC136,2)+ROUND(AE136,2),+ABS(ROUND(AD136,2)+ROUND(AF136,2))&gt;+ABS(ROUND(AC136,2)+ROUND(AE136,2))),+(ROUND(AD136,2)+ROUND(AF136,2))-(ROUND(AC136,2)+ROUND(AE136,2)),0)</f>
        <v>0</v>
      </c>
      <c r="AY136" s="43"/>
      <c r="AZ136" s="43"/>
      <c r="BA136" s="43"/>
      <c r="BB136" s="43"/>
      <c r="BC136" s="43"/>
      <c r="BD136" s="43"/>
    </row>
    <row r="137" spans="1:56" ht="15.75">
      <c r="A137" s="88">
        <v>4261</v>
      </c>
      <c r="B137" s="378" t="s">
        <v>488</v>
      </c>
      <c r="C137" s="1033"/>
      <c r="D137" s="1033"/>
      <c r="E137" s="1033"/>
      <c r="F137" s="1033"/>
      <c r="G137" s="1033"/>
      <c r="H137" s="1033"/>
      <c r="I137" s="1033"/>
      <c r="J137" s="1033"/>
      <c r="K137" s="1033"/>
      <c r="L137" s="90"/>
      <c r="M137" s="51" t="s">
        <v>265</v>
      </c>
      <c r="N137" s="113">
        <f t="shared" si="64"/>
        <v>4261</v>
      </c>
      <c r="O137" s="120">
        <v>0</v>
      </c>
      <c r="P137" s="9">
        <v>0</v>
      </c>
      <c r="Q137" s="325">
        <v>0</v>
      </c>
      <c r="R137" s="324">
        <v>0</v>
      </c>
      <c r="S137" s="27">
        <f>+IF(ABS(+O137+Q137)&gt;=ABS(P137+R137),+O137-P137+Q137-R137,0)</f>
        <v>0</v>
      </c>
      <c r="T137" s="30">
        <v>0</v>
      </c>
      <c r="U137" s="51"/>
      <c r="V137" s="541">
        <f>+'NF-KSF-TRIAL-BAL-2020'!O137+'RA-TRIAL-BAL-2020'!O137+'DES-TRIAL-BAL-2020'!O137+'DMP-TRIAL-BAL-2020'!O137</f>
        <v>0</v>
      </c>
      <c r="W137" s="529">
        <f>+'NF-KSF-TRIAL-BAL-2020'!P137+'RA-TRIAL-BAL-2020'!P137+'DES-TRIAL-BAL-2020'!P137+'DMP-TRIAL-BAL-2020'!P137</f>
        <v>0</v>
      </c>
      <c r="X137" s="528">
        <f>+'NF-KSF-TRIAL-BAL-2020'!Q137+'RA-TRIAL-BAL-2020'!Q137+'DES-TRIAL-BAL-2020'!Q137+'DMP-TRIAL-BAL-2020'!Q137</f>
        <v>0</v>
      </c>
      <c r="Y137" s="529">
        <f>+'NF-KSF-TRIAL-BAL-2020'!R137+'RA-TRIAL-BAL-2020'!R137+'DES-TRIAL-BAL-2020'!R137+'DMP-TRIAL-BAL-2020'!R137</f>
        <v>0</v>
      </c>
      <c r="Z137" s="528">
        <f>+'NF-KSF-TRIAL-BAL-2020'!S137+'RA-TRIAL-BAL-2020'!S137+'DES-TRIAL-BAL-2020'!S137+'DMP-TRIAL-BAL-2020'!S137</f>
        <v>0</v>
      </c>
      <c r="AA137" s="347">
        <f>+'NF-KSF-TRIAL-BAL-2020'!T137+'RA-TRIAL-BAL-2020'!T137+'DES-TRIAL-BAL-2020'!T137+'DMP-TRIAL-BAL-2020'!T137</f>
        <v>0</v>
      </c>
      <c r="AB137" s="51"/>
      <c r="AC137" s="120">
        <v>0</v>
      </c>
      <c r="AD137" s="9">
        <v>0</v>
      </c>
      <c r="AE137" s="325">
        <v>0</v>
      </c>
      <c r="AF137" s="324">
        <v>0</v>
      </c>
      <c r="AG137" s="27">
        <f>+IF(ABS(+AC137+AE137)&gt;=ABS(AD137+AF137),+AC137-AD137+AE137-AF137,0)</f>
        <v>0</v>
      </c>
      <c r="AH137" s="30">
        <v>0</v>
      </c>
      <c r="AI137" s="51"/>
      <c r="AJ137" s="1497">
        <f t="shared" si="45"/>
        <v>4261</v>
      </c>
      <c r="AK137" s="951">
        <f>+ROUND(+O137+V137+AC137,2)</f>
        <v>0</v>
      </c>
      <c r="AL137" s="9">
        <v>0</v>
      </c>
      <c r="AM137" s="326">
        <f t="shared" si="65"/>
        <v>0</v>
      </c>
      <c r="AN137" s="970">
        <f t="shared" si="65"/>
        <v>0</v>
      </c>
      <c r="AO137" s="326">
        <f>+S137+Z137+AG137</f>
        <v>0</v>
      </c>
      <c r="AP137" s="30">
        <v>0</v>
      </c>
      <c r="AQ137" s="43"/>
      <c r="AR137" s="358">
        <f t="shared" si="66"/>
        <v>0</v>
      </c>
      <c r="AS137" s="359">
        <f t="shared" si="67"/>
        <v>0</v>
      </c>
      <c r="AT137" s="360">
        <f t="shared" si="68"/>
        <v>0</v>
      </c>
      <c r="AU137" s="43"/>
      <c r="AV137" s="2120">
        <f>+IF(OR(ROUND(P137,2)+ROUND(R137,2)&gt;+ROUND(O137,2)+ROUND(Q137,2),+ABS(ROUND(P137,2)+ROUND(R137,2))&gt;+ABS(ROUND(O137,2)+ROUND(Q137,2))),+(ROUND(P137,2)+ROUND(R137,2))-(ROUND(O137,2)+ROUND(Q137,2)),0)</f>
        <v>0</v>
      </c>
      <c r="AW137" s="119"/>
      <c r="AX137" s="2120">
        <f>+IF(OR(ROUND(AD137,2)+ROUND(AF137,2)&gt;+ROUND(AC137,2)+ROUND(AE137,2),+ABS(ROUND(AD137,2)+ROUND(AF137,2))&gt;+ABS(ROUND(AC137,2)+ROUND(AE137,2))),+(ROUND(AD137,2)+ROUND(AF137,2))-(ROUND(AC137,2)+ROUND(AE137,2)),0)</f>
        <v>0</v>
      </c>
      <c r="AY137" s="43"/>
      <c r="AZ137" s="43"/>
      <c r="BA137" s="43"/>
      <c r="BB137" s="43"/>
      <c r="BC137" s="43"/>
      <c r="BD137" s="43"/>
    </row>
    <row r="138" spans="1:56" ht="15.75">
      <c r="A138" s="88">
        <v>4262</v>
      </c>
      <c r="B138" s="378" t="s">
        <v>489</v>
      </c>
      <c r="C138" s="1033"/>
      <c r="D138" s="1033"/>
      <c r="E138" s="1033"/>
      <c r="F138" s="1033"/>
      <c r="G138" s="1033"/>
      <c r="H138" s="1033"/>
      <c r="I138" s="1033"/>
      <c r="J138" s="1033"/>
      <c r="K138" s="1033"/>
      <c r="L138" s="90"/>
      <c r="M138" s="51" t="s">
        <v>265</v>
      </c>
      <c r="N138" s="113">
        <f t="shared" si="64"/>
        <v>4262</v>
      </c>
      <c r="O138" s="120"/>
      <c r="P138" s="9">
        <v>0</v>
      </c>
      <c r="Q138" s="325"/>
      <c r="R138" s="324"/>
      <c r="S138" s="27">
        <f>+IF(ABS(+O138+Q138)&gt;=ABS(P138+R138),+O138-P138+Q138-R138,0)</f>
        <v>0</v>
      </c>
      <c r="T138" s="30">
        <v>0</v>
      </c>
      <c r="U138" s="51"/>
      <c r="V138" s="541">
        <f>+'NF-KSF-TRIAL-BAL-2020'!O138+'RA-TRIAL-BAL-2020'!O138+'DES-TRIAL-BAL-2020'!O138+'DMP-TRIAL-BAL-2020'!O138</f>
        <v>0</v>
      </c>
      <c r="W138" s="529">
        <f>+'NF-KSF-TRIAL-BAL-2020'!P138+'RA-TRIAL-BAL-2020'!P138+'DES-TRIAL-BAL-2020'!P138+'DMP-TRIAL-BAL-2020'!P138</f>
        <v>0</v>
      </c>
      <c r="X138" s="528">
        <f>+'NF-KSF-TRIAL-BAL-2020'!Q138+'RA-TRIAL-BAL-2020'!Q138+'DES-TRIAL-BAL-2020'!Q138+'DMP-TRIAL-BAL-2020'!Q138</f>
        <v>0</v>
      </c>
      <c r="Y138" s="529">
        <f>+'NF-KSF-TRIAL-BAL-2020'!R138+'RA-TRIAL-BAL-2020'!R138+'DES-TRIAL-BAL-2020'!R138+'DMP-TRIAL-BAL-2020'!R138</f>
        <v>0</v>
      </c>
      <c r="Z138" s="528">
        <f>+'NF-KSF-TRIAL-BAL-2020'!S138+'RA-TRIAL-BAL-2020'!S138+'DES-TRIAL-BAL-2020'!S138+'DMP-TRIAL-BAL-2020'!S138</f>
        <v>0</v>
      </c>
      <c r="AA138" s="347">
        <f>+'NF-KSF-TRIAL-BAL-2020'!T138+'RA-TRIAL-BAL-2020'!T138+'DES-TRIAL-BAL-2020'!T138+'DMP-TRIAL-BAL-2020'!T138</f>
        <v>0</v>
      </c>
      <c r="AB138" s="51"/>
      <c r="AC138" s="120"/>
      <c r="AD138" s="9">
        <v>0</v>
      </c>
      <c r="AE138" s="325"/>
      <c r="AF138" s="324"/>
      <c r="AG138" s="27">
        <f>+IF(ABS(+AC138+AE138)&gt;=ABS(AD138+AF138),+AC138-AD138+AE138-AF138,0)</f>
        <v>0</v>
      </c>
      <c r="AH138" s="30">
        <v>0</v>
      </c>
      <c r="AI138" s="51"/>
      <c r="AJ138" s="1497">
        <f t="shared" si="45"/>
        <v>4262</v>
      </c>
      <c r="AK138" s="951">
        <f>+ROUND(+O138+V138+AC138,2)</f>
        <v>0</v>
      </c>
      <c r="AL138" s="9">
        <v>0</v>
      </c>
      <c r="AM138" s="326">
        <f t="shared" si="65"/>
        <v>0</v>
      </c>
      <c r="AN138" s="970">
        <f t="shared" si="65"/>
        <v>0</v>
      </c>
      <c r="AO138" s="326">
        <f>+S138+Z138+AG138</f>
        <v>0</v>
      </c>
      <c r="AP138" s="30">
        <v>0</v>
      </c>
      <c r="AQ138" s="43"/>
      <c r="AR138" s="358">
        <f t="shared" si="66"/>
        <v>0</v>
      </c>
      <c r="AS138" s="359">
        <f t="shared" si="67"/>
        <v>0</v>
      </c>
      <c r="AT138" s="360">
        <f t="shared" si="68"/>
        <v>0</v>
      </c>
      <c r="AU138" s="43"/>
      <c r="AV138" s="2120">
        <f>+IF(OR(ROUND(P138,2)+ROUND(R138,2)&gt;+ROUND(O138,2)+ROUND(Q138,2),+ABS(ROUND(P138,2)+ROUND(R138,2))&gt;+ABS(ROUND(O138,2)+ROUND(Q138,2))),+(ROUND(P138,2)+ROUND(R138,2))-(ROUND(O138,2)+ROUND(Q138,2)),0)</f>
        <v>0</v>
      </c>
      <c r="AW138" s="119"/>
      <c r="AX138" s="2120">
        <f>+IF(OR(ROUND(AD138,2)+ROUND(AF138,2)&gt;+ROUND(AC138,2)+ROUND(AE138,2),+ABS(ROUND(AD138,2)+ROUND(AF138,2))&gt;+ABS(ROUND(AC138,2)+ROUND(AE138,2))),+(ROUND(AD138,2)+ROUND(AF138,2))-(ROUND(AC138,2)+ROUND(AE138,2)),0)</f>
        <v>0</v>
      </c>
      <c r="AY138" s="43"/>
      <c r="AZ138" s="43"/>
      <c r="BA138" s="43"/>
      <c r="BB138" s="43"/>
      <c r="BC138" s="43"/>
      <c r="BD138" s="43"/>
    </row>
    <row r="139" spans="1:56" ht="15.75">
      <c r="A139" s="88">
        <v>4271</v>
      </c>
      <c r="B139" s="378" t="s">
        <v>392</v>
      </c>
      <c r="C139" s="1033"/>
      <c r="D139" s="1033"/>
      <c r="E139" s="1033"/>
      <c r="F139" s="1033"/>
      <c r="G139" s="1033"/>
      <c r="H139" s="1033"/>
      <c r="I139" s="1033"/>
      <c r="J139" s="1033"/>
      <c r="K139" s="1033"/>
      <c r="L139" s="90"/>
      <c r="M139" s="51" t="s">
        <v>265</v>
      </c>
      <c r="N139" s="113">
        <f t="shared" si="64"/>
        <v>4271</v>
      </c>
      <c r="O139" s="8">
        <v>0</v>
      </c>
      <c r="P139" s="121"/>
      <c r="Q139" s="325"/>
      <c r="R139" s="324"/>
      <c r="S139" s="29">
        <v>0</v>
      </c>
      <c r="T139" s="28">
        <f>+IF(ABS(+O139+Q139)&lt;=ABS(P139+R139),-O139+P139-Q139+R139,0)</f>
        <v>0</v>
      </c>
      <c r="U139" s="51"/>
      <c r="V139" s="541">
        <f>+'NF-KSF-TRIAL-BAL-2020'!O139+'RA-TRIAL-BAL-2020'!O139+'DES-TRIAL-BAL-2020'!O139+'DMP-TRIAL-BAL-2020'!O139</f>
        <v>0</v>
      </c>
      <c r="W139" s="529">
        <f>+'NF-KSF-TRIAL-BAL-2020'!P139+'RA-TRIAL-BAL-2020'!P139+'DES-TRIAL-BAL-2020'!P139+'DMP-TRIAL-BAL-2020'!P139</f>
        <v>0</v>
      </c>
      <c r="X139" s="528">
        <f>+'NF-KSF-TRIAL-BAL-2020'!Q139+'RA-TRIAL-BAL-2020'!Q139+'DES-TRIAL-BAL-2020'!Q139+'DMP-TRIAL-BAL-2020'!Q139</f>
        <v>0</v>
      </c>
      <c r="Y139" s="529">
        <f>+'NF-KSF-TRIAL-BAL-2020'!R139+'RA-TRIAL-BAL-2020'!R139+'DES-TRIAL-BAL-2020'!R139+'DMP-TRIAL-BAL-2020'!R139</f>
        <v>0</v>
      </c>
      <c r="Z139" s="528">
        <f>+'NF-KSF-TRIAL-BAL-2020'!S139+'RA-TRIAL-BAL-2020'!S139+'DES-TRIAL-BAL-2020'!S139+'DMP-TRIAL-BAL-2020'!S139</f>
        <v>0</v>
      </c>
      <c r="AA139" s="347">
        <f>+'NF-KSF-TRIAL-BAL-2020'!T139+'RA-TRIAL-BAL-2020'!T139+'DES-TRIAL-BAL-2020'!T139+'DMP-TRIAL-BAL-2020'!T139</f>
        <v>0</v>
      </c>
      <c r="AB139" s="51"/>
      <c r="AC139" s="8">
        <v>0</v>
      </c>
      <c r="AD139" s="121"/>
      <c r="AE139" s="122"/>
      <c r="AF139" s="324"/>
      <c r="AG139" s="29">
        <v>0</v>
      </c>
      <c r="AH139" s="28">
        <f>+IF(ABS(+AC139+AE139)&lt;=ABS(AD139+AF139),-AC139+AD139-AE139+AF139,0)</f>
        <v>0</v>
      </c>
      <c r="AI139" s="51"/>
      <c r="AJ139" s="1497">
        <f t="shared" si="45"/>
        <v>4271</v>
      </c>
      <c r="AK139" s="8">
        <v>0</v>
      </c>
      <c r="AL139" s="970">
        <f t="shared" si="65"/>
        <v>0</v>
      </c>
      <c r="AM139" s="326">
        <f t="shared" si="65"/>
        <v>0</v>
      </c>
      <c r="AN139" s="970">
        <f t="shared" si="65"/>
        <v>0</v>
      </c>
      <c r="AO139" s="29">
        <v>0</v>
      </c>
      <c r="AP139" s="28">
        <f>+T139+AA139+AH139</f>
        <v>0</v>
      </c>
      <c r="AQ139" s="43"/>
      <c r="AR139" s="358">
        <f t="shared" si="66"/>
        <v>0</v>
      </c>
      <c r="AS139" s="359">
        <f t="shared" si="67"/>
        <v>0</v>
      </c>
      <c r="AT139" s="360">
        <f t="shared" si="68"/>
        <v>0</v>
      </c>
      <c r="AU139" s="43"/>
      <c r="AV139" s="2119">
        <f>+IF(OR(+ROUND(O139,2)+ROUND(Q139,2)&gt;ROUND(P139,2)+ROUND(R139,2),+ABS(ROUND(O139,2)+ROUND(Q139,2))&gt;+ABS(ROUND(P139,2)+ROUND(R139,2))),+(ROUND(O139,2)+ROUND(Q139,2))-(ROUND(P139,2)+ROUND(R139,2)),0)</f>
        <v>0</v>
      </c>
      <c r="AW139" s="119"/>
      <c r="AX139" s="2119">
        <f>+IF(OR(+ROUND(AC139,2)+ROUND(AE139,2)&gt;ROUND(AD139,2)+ROUND(AF139,2),+ABS(ROUND(AC139,2)+ROUND(AE139,2))&gt;+ABS(ROUND(AD139,2)+ROUND(AF139,2))),+(ROUND(AC139,2)+ROUND(AE139,2))-(ROUND(AD139,2)+ROUND(AF139,2)),0)</f>
        <v>0</v>
      </c>
      <c r="AY139" s="43"/>
      <c r="AZ139" s="43"/>
      <c r="BA139" s="43"/>
      <c r="BB139" s="43"/>
      <c r="BC139" s="43"/>
      <c r="BD139" s="43"/>
    </row>
    <row r="140" spans="1:56" ht="15.75">
      <c r="A140" s="88">
        <v>4272</v>
      </c>
      <c r="B140" s="378" t="s">
        <v>393</v>
      </c>
      <c r="C140" s="1033"/>
      <c r="D140" s="1033"/>
      <c r="E140" s="1033"/>
      <c r="F140" s="1033"/>
      <c r="G140" s="1033"/>
      <c r="H140" s="1033"/>
      <c r="I140" s="1033"/>
      <c r="J140" s="1033"/>
      <c r="K140" s="1033"/>
      <c r="L140" s="90"/>
      <c r="M140" s="51" t="s">
        <v>265</v>
      </c>
      <c r="N140" s="113">
        <f t="shared" si="64"/>
        <v>4272</v>
      </c>
      <c r="O140" s="8">
        <v>0</v>
      </c>
      <c r="P140" s="121"/>
      <c r="Q140" s="325"/>
      <c r="R140" s="324"/>
      <c r="S140" s="29">
        <v>0</v>
      </c>
      <c r="T140" s="28">
        <f>+IF(ABS(+O140+Q140)&lt;=ABS(P140+R140),-O140+P140-Q140+R140,0)</f>
        <v>0</v>
      </c>
      <c r="U140" s="51"/>
      <c r="V140" s="541">
        <f>+'NF-KSF-TRIAL-BAL-2020'!O140+'RA-TRIAL-BAL-2020'!O140+'DES-TRIAL-BAL-2020'!O140+'DMP-TRIAL-BAL-2020'!O140</f>
        <v>0</v>
      </c>
      <c r="W140" s="529">
        <f>+'NF-KSF-TRIAL-BAL-2020'!P140+'RA-TRIAL-BAL-2020'!P140+'DES-TRIAL-BAL-2020'!P140+'DMP-TRIAL-BAL-2020'!P140</f>
        <v>0</v>
      </c>
      <c r="X140" s="528">
        <f>+'NF-KSF-TRIAL-BAL-2020'!Q140+'RA-TRIAL-BAL-2020'!Q140+'DES-TRIAL-BAL-2020'!Q140+'DMP-TRIAL-BAL-2020'!Q140</f>
        <v>0</v>
      </c>
      <c r="Y140" s="529">
        <f>+'NF-KSF-TRIAL-BAL-2020'!R140+'RA-TRIAL-BAL-2020'!R140+'DES-TRIAL-BAL-2020'!R140+'DMP-TRIAL-BAL-2020'!R140</f>
        <v>0</v>
      </c>
      <c r="Z140" s="528">
        <f>+'NF-KSF-TRIAL-BAL-2020'!S140+'RA-TRIAL-BAL-2020'!S140+'DES-TRIAL-BAL-2020'!S140+'DMP-TRIAL-BAL-2020'!S140</f>
        <v>0</v>
      </c>
      <c r="AA140" s="347">
        <f>+'NF-KSF-TRIAL-BAL-2020'!T140+'RA-TRIAL-BAL-2020'!T140+'DES-TRIAL-BAL-2020'!T140+'DMP-TRIAL-BAL-2020'!T140</f>
        <v>0</v>
      </c>
      <c r="AB140" s="51"/>
      <c r="AC140" s="8">
        <v>0</v>
      </c>
      <c r="AD140" s="121"/>
      <c r="AE140" s="325"/>
      <c r="AF140" s="324"/>
      <c r="AG140" s="29">
        <v>0</v>
      </c>
      <c r="AH140" s="28">
        <f>+IF(ABS(+AC140+AE140)&lt;=ABS(AD140+AF140),-AC140+AD140-AE140+AF140,0)</f>
        <v>0</v>
      </c>
      <c r="AI140" s="51"/>
      <c r="AJ140" s="1497">
        <f t="shared" si="45"/>
        <v>4272</v>
      </c>
      <c r="AK140" s="8">
        <v>0</v>
      </c>
      <c r="AL140" s="970">
        <f t="shared" si="65"/>
        <v>0</v>
      </c>
      <c r="AM140" s="326">
        <f t="shared" si="65"/>
        <v>0</v>
      </c>
      <c r="AN140" s="970">
        <f t="shared" si="65"/>
        <v>0</v>
      </c>
      <c r="AO140" s="29">
        <v>0</v>
      </c>
      <c r="AP140" s="28">
        <f>+T140+AA140+AH140</f>
        <v>0</v>
      </c>
      <c r="AQ140" s="43"/>
      <c r="AR140" s="358">
        <f t="shared" si="66"/>
        <v>0</v>
      </c>
      <c r="AS140" s="359">
        <f t="shared" si="67"/>
        <v>0</v>
      </c>
      <c r="AT140" s="360">
        <f t="shared" si="68"/>
        <v>0</v>
      </c>
      <c r="AU140" s="43"/>
      <c r="AV140" s="2119">
        <f>+IF(OR(+ROUND(O140,2)+ROUND(Q140,2)&gt;ROUND(P140,2)+ROUND(R140,2),+ABS(ROUND(O140,2)+ROUND(Q140,2))&gt;+ABS(ROUND(P140,2)+ROUND(R140,2))),+(ROUND(O140,2)+ROUND(Q140,2))-(ROUND(P140,2)+ROUND(R140,2)),0)</f>
        <v>0</v>
      </c>
      <c r="AW140" s="119"/>
      <c r="AX140" s="2119">
        <f>+IF(OR(+ROUND(AC140,2)+ROUND(AE140,2)&gt;ROUND(AD140,2)+ROUND(AF140,2),+ABS(ROUND(AC140,2)+ROUND(AE140,2))&gt;+ABS(ROUND(AD140,2)+ROUND(AF140,2))),+(ROUND(AC140,2)+ROUND(AE140,2))-(ROUND(AD140,2)+ROUND(AF140,2)),0)</f>
        <v>0</v>
      </c>
      <c r="AY140" s="43"/>
      <c r="AZ140" s="43"/>
      <c r="BA140" s="43"/>
      <c r="BB140" s="43"/>
      <c r="BC140" s="43"/>
      <c r="BD140" s="43"/>
    </row>
    <row r="141" spans="1:56" ht="15.75">
      <c r="A141" s="88">
        <v>4279</v>
      </c>
      <c r="B141" s="378" t="s">
        <v>479</v>
      </c>
      <c r="C141" s="378"/>
      <c r="D141" s="1033"/>
      <c r="E141" s="1033"/>
      <c r="F141" s="1033"/>
      <c r="G141" s="1033"/>
      <c r="H141" s="1033"/>
      <c r="I141" s="1033"/>
      <c r="J141" s="1033"/>
      <c r="K141" s="1033"/>
      <c r="L141" s="90"/>
      <c r="M141" s="51" t="s">
        <v>265</v>
      </c>
      <c r="N141" s="113">
        <f t="shared" si="64"/>
        <v>4279</v>
      </c>
      <c r="O141" s="120"/>
      <c r="P141" s="9">
        <v>0</v>
      </c>
      <c r="Q141" s="325"/>
      <c r="R141" s="324"/>
      <c r="S141" s="27">
        <f>+IF(ABS(+O141+Q141)&gt;=ABS(P141+R141),+O141-P141+Q141-R141,0)</f>
        <v>0</v>
      </c>
      <c r="T141" s="30">
        <v>0</v>
      </c>
      <c r="U141" s="51"/>
      <c r="V141" s="541">
        <f>+'NF-KSF-TRIAL-BAL-2020'!O141+'RA-TRIAL-BAL-2020'!O141+'DES-TRIAL-BAL-2020'!O141+'DMP-TRIAL-BAL-2020'!O141</f>
        <v>0</v>
      </c>
      <c r="W141" s="529">
        <f>+'NF-KSF-TRIAL-BAL-2020'!P141+'RA-TRIAL-BAL-2020'!P141+'DES-TRIAL-BAL-2020'!P141+'DMP-TRIAL-BAL-2020'!P141</f>
        <v>0</v>
      </c>
      <c r="X141" s="528">
        <f>+'NF-KSF-TRIAL-BAL-2020'!Q141+'RA-TRIAL-BAL-2020'!Q141+'DES-TRIAL-BAL-2020'!Q141+'DMP-TRIAL-BAL-2020'!Q141</f>
        <v>0</v>
      </c>
      <c r="Y141" s="529">
        <f>+'NF-KSF-TRIAL-BAL-2020'!R141+'RA-TRIAL-BAL-2020'!R141+'DES-TRIAL-BAL-2020'!R141+'DMP-TRIAL-BAL-2020'!R141</f>
        <v>0</v>
      </c>
      <c r="Z141" s="528">
        <f>+'NF-KSF-TRIAL-BAL-2020'!S141+'RA-TRIAL-BAL-2020'!S141+'DES-TRIAL-BAL-2020'!S141+'DMP-TRIAL-BAL-2020'!S141</f>
        <v>0</v>
      </c>
      <c r="AA141" s="347">
        <f>+'NF-KSF-TRIAL-BAL-2020'!T141+'RA-TRIAL-BAL-2020'!T141+'DES-TRIAL-BAL-2020'!T141+'DMP-TRIAL-BAL-2020'!T141</f>
        <v>0</v>
      </c>
      <c r="AB141" s="51"/>
      <c r="AC141" s="120"/>
      <c r="AD141" s="9">
        <v>0</v>
      </c>
      <c r="AE141" s="325"/>
      <c r="AF141" s="324"/>
      <c r="AG141" s="27">
        <f>+IF(ABS(+AC141+AE141)&gt;=ABS(AD141+AF141),+AC141-AD141+AE141-AF141,0)</f>
        <v>0</v>
      </c>
      <c r="AH141" s="30">
        <v>0</v>
      </c>
      <c r="AI141" s="51"/>
      <c r="AJ141" s="1497">
        <f t="shared" si="45"/>
        <v>4279</v>
      </c>
      <c r="AK141" s="951">
        <f>+ROUND(+O141+V141+AC141,2)</f>
        <v>0</v>
      </c>
      <c r="AL141" s="9">
        <v>0</v>
      </c>
      <c r="AM141" s="326">
        <f t="shared" si="65"/>
        <v>0</v>
      </c>
      <c r="AN141" s="970">
        <f t="shared" si="65"/>
        <v>0</v>
      </c>
      <c r="AO141" s="326">
        <f>+S141+Z141+AG141</f>
        <v>0</v>
      </c>
      <c r="AP141" s="30">
        <v>0</v>
      </c>
      <c r="AQ141" s="43"/>
      <c r="AR141" s="358">
        <f t="shared" si="66"/>
        <v>0</v>
      </c>
      <c r="AS141" s="359">
        <f t="shared" si="67"/>
        <v>0</v>
      </c>
      <c r="AT141" s="360">
        <f t="shared" si="68"/>
        <v>0</v>
      </c>
      <c r="AU141" s="43"/>
      <c r="AV141" s="2120">
        <f>+IF(OR(ROUND(P141,2)+ROUND(R141,2)&gt;+ROUND(O141,2)+ROUND(Q141,2),+ABS(ROUND(P141,2)+ROUND(R141,2))&gt;+ABS(ROUND(O141,2)+ROUND(Q141,2))),+(ROUND(P141,2)+ROUND(R141,2))-(ROUND(O141,2)+ROUND(Q141,2)),0)</f>
        <v>0</v>
      </c>
      <c r="AW141" s="119"/>
      <c r="AX141" s="2120">
        <f>+IF(OR(ROUND(AD141,2)+ROUND(AF141,2)&gt;+ROUND(AC141,2)+ROUND(AE141,2),+ABS(ROUND(AD141,2)+ROUND(AF141,2))&gt;+ABS(ROUND(AC141,2)+ROUND(AE141,2))),+(ROUND(AD141,2)+ROUND(AF141,2))-(ROUND(AC141,2)+ROUND(AE141,2)),0)</f>
        <v>0</v>
      </c>
      <c r="AY141" s="43"/>
      <c r="AZ141" s="43"/>
      <c r="BA141" s="43"/>
      <c r="BB141" s="43"/>
      <c r="BC141" s="43"/>
      <c r="BD141" s="43"/>
    </row>
    <row r="142" spans="1:56" ht="15.75">
      <c r="A142" s="88">
        <v>4281</v>
      </c>
      <c r="B142" s="378" t="s">
        <v>394</v>
      </c>
      <c r="C142" s="1033"/>
      <c r="D142" s="1033"/>
      <c r="E142" s="1033"/>
      <c r="F142" s="1033"/>
      <c r="G142" s="1033"/>
      <c r="H142" s="1033"/>
      <c r="I142" s="1033"/>
      <c r="J142" s="1033"/>
      <c r="K142" s="1033"/>
      <c r="L142" s="90"/>
      <c r="M142" s="51" t="s">
        <v>265</v>
      </c>
      <c r="N142" s="113">
        <f t="shared" si="64"/>
        <v>4281</v>
      </c>
      <c r="O142" s="8">
        <v>0</v>
      </c>
      <c r="P142" s="121"/>
      <c r="Q142" s="325"/>
      <c r="R142" s="324"/>
      <c r="S142" s="29">
        <v>0</v>
      </c>
      <c r="T142" s="28">
        <f>+IF(ABS(+O142+Q142)&lt;=ABS(P142+R142),-O142+P142-Q142+R142,0)</f>
        <v>0</v>
      </c>
      <c r="U142" s="51"/>
      <c r="V142" s="541">
        <f>+'NF-KSF-TRIAL-BAL-2020'!O142+'RA-TRIAL-BAL-2020'!O142+'DES-TRIAL-BAL-2020'!O142+'DMP-TRIAL-BAL-2020'!O142</f>
        <v>0</v>
      </c>
      <c r="W142" s="529">
        <f>+'NF-KSF-TRIAL-BAL-2020'!P142+'RA-TRIAL-BAL-2020'!P142+'DES-TRIAL-BAL-2020'!P142+'DMP-TRIAL-BAL-2020'!P142</f>
        <v>0</v>
      </c>
      <c r="X142" s="528">
        <f>+'NF-KSF-TRIAL-BAL-2020'!Q142+'RA-TRIAL-BAL-2020'!Q142+'DES-TRIAL-BAL-2020'!Q142+'DMP-TRIAL-BAL-2020'!Q142</f>
        <v>0</v>
      </c>
      <c r="Y142" s="529">
        <f>+'NF-KSF-TRIAL-BAL-2020'!R142+'RA-TRIAL-BAL-2020'!R142+'DES-TRIAL-BAL-2020'!R142+'DMP-TRIAL-BAL-2020'!R142</f>
        <v>0</v>
      </c>
      <c r="Z142" s="528">
        <f>+'NF-KSF-TRIAL-BAL-2020'!S142+'RA-TRIAL-BAL-2020'!S142+'DES-TRIAL-BAL-2020'!S142+'DMP-TRIAL-BAL-2020'!S142</f>
        <v>0</v>
      </c>
      <c r="AA142" s="347">
        <f>+'NF-KSF-TRIAL-BAL-2020'!T142+'RA-TRIAL-BAL-2020'!T142+'DES-TRIAL-BAL-2020'!T142+'DMP-TRIAL-BAL-2020'!T142</f>
        <v>0</v>
      </c>
      <c r="AB142" s="51"/>
      <c r="AC142" s="8">
        <v>0</v>
      </c>
      <c r="AD142" s="121"/>
      <c r="AE142" s="122"/>
      <c r="AF142" s="324"/>
      <c r="AG142" s="29">
        <v>0</v>
      </c>
      <c r="AH142" s="28">
        <f>+IF(ABS(+AC142+AE142)&lt;=ABS(AD142+AF142),-AC142+AD142-AE142+AF142,0)</f>
        <v>0</v>
      </c>
      <c r="AI142" s="51"/>
      <c r="AJ142" s="1497">
        <f t="shared" si="45"/>
        <v>4281</v>
      </c>
      <c r="AK142" s="8">
        <v>0</v>
      </c>
      <c r="AL142" s="970">
        <f t="shared" si="65"/>
        <v>0</v>
      </c>
      <c r="AM142" s="326">
        <f t="shared" si="65"/>
        <v>0</v>
      </c>
      <c r="AN142" s="970">
        <f t="shared" si="65"/>
        <v>0</v>
      </c>
      <c r="AO142" s="29">
        <v>0</v>
      </c>
      <c r="AP142" s="28">
        <f>+T142+AA142+AH142</f>
        <v>0</v>
      </c>
      <c r="AQ142" s="43"/>
      <c r="AR142" s="358">
        <f t="shared" si="66"/>
        <v>0</v>
      </c>
      <c r="AS142" s="359">
        <f t="shared" si="67"/>
        <v>0</v>
      </c>
      <c r="AT142" s="360">
        <f t="shared" si="68"/>
        <v>0</v>
      </c>
      <c r="AU142" s="43"/>
      <c r="AV142" s="2119">
        <f>+IF(OR(+ROUND(O142,2)+ROUND(Q142,2)&gt;ROUND(P142,2)+ROUND(R142,2),+ABS(ROUND(O142,2)+ROUND(Q142,2))&gt;+ABS(ROUND(P142,2)+ROUND(R142,2))),+(ROUND(O142,2)+ROUND(Q142,2))-(ROUND(P142,2)+ROUND(R142,2)),0)</f>
        <v>0</v>
      </c>
      <c r="AW142" s="119"/>
      <c r="AX142" s="2119">
        <f>+IF(OR(+ROUND(AC142,2)+ROUND(AE142,2)&gt;ROUND(AD142,2)+ROUND(AF142,2),+ABS(ROUND(AC142,2)+ROUND(AE142,2))&gt;+ABS(ROUND(AD142,2)+ROUND(AF142,2))),+(ROUND(AC142,2)+ROUND(AE142,2))-(ROUND(AD142,2)+ROUND(AF142,2)),0)</f>
        <v>0</v>
      </c>
      <c r="AY142" s="43"/>
      <c r="AZ142" s="43"/>
      <c r="BA142" s="43"/>
      <c r="BB142" s="43"/>
      <c r="BC142" s="43"/>
      <c r="BD142" s="43"/>
    </row>
    <row r="143" spans="1:56" ht="15.75">
      <c r="A143" s="88">
        <v>4282</v>
      </c>
      <c r="B143" s="378" t="s">
        <v>395</v>
      </c>
      <c r="C143" s="1033"/>
      <c r="D143" s="1033"/>
      <c r="E143" s="1033"/>
      <c r="F143" s="1033"/>
      <c r="G143" s="1033"/>
      <c r="H143" s="1033"/>
      <c r="I143" s="1033"/>
      <c r="J143" s="1033"/>
      <c r="K143" s="1033"/>
      <c r="L143" s="90"/>
      <c r="M143" s="51" t="s">
        <v>265</v>
      </c>
      <c r="N143" s="113">
        <f t="shared" si="64"/>
        <v>4282</v>
      </c>
      <c r="O143" s="8">
        <v>0</v>
      </c>
      <c r="P143" s="121"/>
      <c r="Q143" s="325"/>
      <c r="R143" s="324"/>
      <c r="S143" s="29">
        <v>0</v>
      </c>
      <c r="T143" s="28">
        <f>+IF(ABS(+O143+Q143)&lt;=ABS(P143+R143),-O143+P143-Q143+R143,0)</f>
        <v>0</v>
      </c>
      <c r="U143" s="51"/>
      <c r="V143" s="541">
        <f>+'NF-KSF-TRIAL-BAL-2020'!O143+'RA-TRIAL-BAL-2020'!O143+'DES-TRIAL-BAL-2020'!O143+'DMP-TRIAL-BAL-2020'!O143</f>
        <v>0</v>
      </c>
      <c r="W143" s="529">
        <f>+'NF-KSF-TRIAL-BAL-2020'!P143+'RA-TRIAL-BAL-2020'!P143+'DES-TRIAL-BAL-2020'!P143+'DMP-TRIAL-BAL-2020'!P143</f>
        <v>0</v>
      </c>
      <c r="X143" s="528">
        <f>+'NF-KSF-TRIAL-BAL-2020'!Q143+'RA-TRIAL-BAL-2020'!Q143+'DES-TRIAL-BAL-2020'!Q143+'DMP-TRIAL-BAL-2020'!Q143</f>
        <v>0</v>
      </c>
      <c r="Y143" s="529">
        <f>+'NF-KSF-TRIAL-BAL-2020'!R143+'RA-TRIAL-BAL-2020'!R143+'DES-TRIAL-BAL-2020'!R143+'DMP-TRIAL-BAL-2020'!R143</f>
        <v>0</v>
      </c>
      <c r="Z143" s="528">
        <f>+'NF-KSF-TRIAL-BAL-2020'!S143+'RA-TRIAL-BAL-2020'!S143+'DES-TRIAL-BAL-2020'!S143+'DMP-TRIAL-BAL-2020'!S143</f>
        <v>0</v>
      </c>
      <c r="AA143" s="347">
        <f>+'NF-KSF-TRIAL-BAL-2020'!T143+'RA-TRIAL-BAL-2020'!T143+'DES-TRIAL-BAL-2020'!T143+'DMP-TRIAL-BAL-2020'!T143</f>
        <v>0</v>
      </c>
      <c r="AB143" s="51"/>
      <c r="AC143" s="8">
        <v>0</v>
      </c>
      <c r="AD143" s="121"/>
      <c r="AE143" s="325"/>
      <c r="AF143" s="324"/>
      <c r="AG143" s="29">
        <v>0</v>
      </c>
      <c r="AH143" s="28">
        <f>+IF(ABS(+AC143+AE143)&lt;=ABS(AD143+AF143),-AC143+AD143-AE143+AF143,0)</f>
        <v>0</v>
      </c>
      <c r="AI143" s="51"/>
      <c r="AJ143" s="1497">
        <f t="shared" si="45"/>
        <v>4282</v>
      </c>
      <c r="AK143" s="8">
        <v>0</v>
      </c>
      <c r="AL143" s="970">
        <f t="shared" si="65"/>
        <v>0</v>
      </c>
      <c r="AM143" s="326">
        <f t="shared" si="65"/>
        <v>0</v>
      </c>
      <c r="AN143" s="970">
        <f t="shared" si="65"/>
        <v>0</v>
      </c>
      <c r="AO143" s="29">
        <v>0</v>
      </c>
      <c r="AP143" s="28">
        <f>+T143+AA143+AH143</f>
        <v>0</v>
      </c>
      <c r="AQ143" s="43"/>
      <c r="AR143" s="358">
        <f t="shared" si="66"/>
        <v>0</v>
      </c>
      <c r="AS143" s="359">
        <f t="shared" si="67"/>
        <v>0</v>
      </c>
      <c r="AT143" s="360">
        <f t="shared" si="68"/>
        <v>0</v>
      </c>
      <c r="AU143" s="43"/>
      <c r="AV143" s="2119">
        <f>+IF(OR(+ROUND(O143,2)+ROUND(Q143,2)&gt;ROUND(P143,2)+ROUND(R143,2),+ABS(ROUND(O143,2)+ROUND(Q143,2))&gt;+ABS(ROUND(P143,2)+ROUND(R143,2))),+(ROUND(O143,2)+ROUND(Q143,2))-(ROUND(P143,2)+ROUND(R143,2)),0)</f>
        <v>0</v>
      </c>
      <c r="AW143" s="119"/>
      <c r="AX143" s="2119">
        <f>+IF(OR(+ROUND(AC143,2)+ROUND(AE143,2)&gt;ROUND(AD143,2)+ROUND(AF143,2),+ABS(ROUND(AC143,2)+ROUND(AE143,2))&gt;+ABS(ROUND(AD143,2)+ROUND(AF143,2))),+(ROUND(AC143,2)+ROUND(AE143,2))-(ROUND(AD143,2)+ROUND(AF143,2)),0)</f>
        <v>0</v>
      </c>
      <c r="AY143" s="43"/>
      <c r="AZ143" s="43"/>
      <c r="BA143" s="43"/>
      <c r="BB143" s="43"/>
      <c r="BC143" s="43"/>
      <c r="BD143" s="43"/>
    </row>
    <row r="144" spans="1:56" ht="15.75">
      <c r="A144" s="88">
        <v>4287</v>
      </c>
      <c r="B144" s="378" t="s">
        <v>396</v>
      </c>
      <c r="C144" s="1033"/>
      <c r="D144" s="1033"/>
      <c r="E144" s="1033"/>
      <c r="F144" s="1033"/>
      <c r="G144" s="1033"/>
      <c r="H144" s="1033"/>
      <c r="I144" s="1033"/>
      <c r="J144" s="1033"/>
      <c r="K144" s="1033"/>
      <c r="L144" s="90"/>
      <c r="M144" s="51" t="s">
        <v>265</v>
      </c>
      <c r="N144" s="113">
        <f t="shared" si="64"/>
        <v>4287</v>
      </c>
      <c r="O144" s="120"/>
      <c r="P144" s="9">
        <v>0</v>
      </c>
      <c r="Q144" s="325"/>
      <c r="R144" s="324"/>
      <c r="S144" s="27">
        <f>+IF(ABS(+O144+Q144)&gt;=ABS(P144+R144),+O144-P144+Q144-R144,0)</f>
        <v>0</v>
      </c>
      <c r="T144" s="30">
        <v>0</v>
      </c>
      <c r="U144" s="51"/>
      <c r="V144" s="541">
        <f>+'NF-KSF-TRIAL-BAL-2020'!O144+'RA-TRIAL-BAL-2020'!O144+'DES-TRIAL-BAL-2020'!O144+'DMP-TRIAL-BAL-2020'!O144</f>
        <v>0</v>
      </c>
      <c r="W144" s="529">
        <f>+'NF-KSF-TRIAL-BAL-2020'!P144+'RA-TRIAL-BAL-2020'!P144+'DES-TRIAL-BAL-2020'!P144+'DMP-TRIAL-BAL-2020'!P144</f>
        <v>0</v>
      </c>
      <c r="X144" s="528">
        <f>+'NF-KSF-TRIAL-BAL-2020'!Q144+'RA-TRIAL-BAL-2020'!Q144+'DES-TRIAL-BAL-2020'!Q144+'DMP-TRIAL-BAL-2020'!Q144</f>
        <v>0</v>
      </c>
      <c r="Y144" s="529">
        <f>+'NF-KSF-TRIAL-BAL-2020'!R144+'RA-TRIAL-BAL-2020'!R144+'DES-TRIAL-BAL-2020'!R144+'DMP-TRIAL-BAL-2020'!R144</f>
        <v>0</v>
      </c>
      <c r="Z144" s="528">
        <f>+'NF-KSF-TRIAL-BAL-2020'!S144+'RA-TRIAL-BAL-2020'!S144+'DES-TRIAL-BAL-2020'!S144+'DMP-TRIAL-BAL-2020'!S144</f>
        <v>0</v>
      </c>
      <c r="AA144" s="347">
        <f>+'NF-KSF-TRIAL-BAL-2020'!T144+'RA-TRIAL-BAL-2020'!T144+'DES-TRIAL-BAL-2020'!T144+'DMP-TRIAL-BAL-2020'!T144</f>
        <v>0</v>
      </c>
      <c r="AB144" s="51"/>
      <c r="AC144" s="120"/>
      <c r="AD144" s="9">
        <v>0</v>
      </c>
      <c r="AE144" s="325"/>
      <c r="AF144" s="324"/>
      <c r="AG144" s="27">
        <f>+IF(ABS(+AC144+AE144)&gt;=ABS(AD144+AF144),+AC144-AD144+AE144-AF144,0)</f>
        <v>0</v>
      </c>
      <c r="AH144" s="30">
        <v>0</v>
      </c>
      <c r="AI144" s="51"/>
      <c r="AJ144" s="1497">
        <f t="shared" si="45"/>
        <v>4287</v>
      </c>
      <c r="AK144" s="951">
        <f>+ROUND(+O144+V144+AC144,2)</f>
        <v>0</v>
      </c>
      <c r="AL144" s="9">
        <v>0</v>
      </c>
      <c r="AM144" s="326">
        <f t="shared" si="65"/>
        <v>0</v>
      </c>
      <c r="AN144" s="970">
        <f t="shared" si="65"/>
        <v>0</v>
      </c>
      <c r="AO144" s="326">
        <f>+S144+Z144+AG144</f>
        <v>0</v>
      </c>
      <c r="AP144" s="30">
        <v>0</v>
      </c>
      <c r="AQ144" s="43"/>
      <c r="AR144" s="358">
        <f t="shared" si="66"/>
        <v>0</v>
      </c>
      <c r="AS144" s="359">
        <f t="shared" si="67"/>
        <v>0</v>
      </c>
      <c r="AT144" s="360">
        <f t="shared" si="68"/>
        <v>0</v>
      </c>
      <c r="AU144" s="43"/>
      <c r="AV144" s="2120">
        <f>+IF(OR(ROUND(P144,2)+ROUND(R144,2)&gt;+ROUND(O144,2)+ROUND(Q144,2),+ABS(ROUND(P144,2)+ROUND(R144,2))&gt;+ABS(ROUND(O144,2)+ROUND(Q144,2))),+(ROUND(P144,2)+ROUND(R144,2))-(ROUND(O144,2)+ROUND(Q144,2)),0)</f>
        <v>0</v>
      </c>
      <c r="AW144" s="119"/>
      <c r="AX144" s="2120">
        <f>+IF(OR(ROUND(AD144,2)+ROUND(AF144,2)&gt;+ROUND(AC144,2)+ROUND(AE144,2),+ABS(ROUND(AD144,2)+ROUND(AF144,2))&gt;+ABS(ROUND(AC144,2)+ROUND(AE144,2))),+(ROUND(AD144,2)+ROUND(AF144,2))-(ROUND(AC144,2)+ROUND(AE144,2)),0)</f>
        <v>0</v>
      </c>
      <c r="AY144" s="43"/>
      <c r="AZ144" s="43"/>
      <c r="BA144" s="43"/>
      <c r="BB144" s="43"/>
      <c r="BC144" s="43"/>
      <c r="BD144" s="43"/>
    </row>
    <row r="145" spans="1:56" ht="15.75">
      <c r="A145" s="88">
        <v>4288</v>
      </c>
      <c r="B145" s="378" t="s">
        <v>397</v>
      </c>
      <c r="C145" s="1033"/>
      <c r="D145" s="1033"/>
      <c r="E145" s="1033"/>
      <c r="F145" s="1033"/>
      <c r="G145" s="1033"/>
      <c r="H145" s="1033"/>
      <c r="I145" s="1033"/>
      <c r="J145" s="1033"/>
      <c r="K145" s="1033"/>
      <c r="L145" s="90"/>
      <c r="M145" s="51" t="s">
        <v>265</v>
      </c>
      <c r="N145" s="113">
        <f t="shared" si="64"/>
        <v>4288</v>
      </c>
      <c r="O145" s="120"/>
      <c r="P145" s="9">
        <v>0</v>
      </c>
      <c r="Q145" s="325"/>
      <c r="R145" s="324"/>
      <c r="S145" s="27">
        <f>+IF(ABS(+O145+Q145)&gt;=ABS(P145+R145),+O145-P145+Q145-R145,0)</f>
        <v>0</v>
      </c>
      <c r="T145" s="30">
        <v>0</v>
      </c>
      <c r="U145" s="51"/>
      <c r="V145" s="541">
        <f>+'NF-KSF-TRIAL-BAL-2020'!O145+'RA-TRIAL-BAL-2020'!O145+'DES-TRIAL-BAL-2020'!O145+'DMP-TRIAL-BAL-2020'!O145</f>
        <v>0</v>
      </c>
      <c r="W145" s="529">
        <f>+'NF-KSF-TRIAL-BAL-2020'!P145+'RA-TRIAL-BAL-2020'!P145+'DES-TRIAL-BAL-2020'!P145+'DMP-TRIAL-BAL-2020'!P145</f>
        <v>0</v>
      </c>
      <c r="X145" s="528">
        <f>+'NF-KSF-TRIAL-BAL-2020'!Q145+'RA-TRIAL-BAL-2020'!Q145+'DES-TRIAL-BAL-2020'!Q145+'DMP-TRIAL-BAL-2020'!Q145</f>
        <v>0</v>
      </c>
      <c r="Y145" s="529">
        <f>+'NF-KSF-TRIAL-BAL-2020'!R145+'RA-TRIAL-BAL-2020'!R145+'DES-TRIAL-BAL-2020'!R145+'DMP-TRIAL-BAL-2020'!R145</f>
        <v>0</v>
      </c>
      <c r="Z145" s="528">
        <f>+'NF-KSF-TRIAL-BAL-2020'!S145+'RA-TRIAL-BAL-2020'!S145+'DES-TRIAL-BAL-2020'!S145+'DMP-TRIAL-BAL-2020'!S145</f>
        <v>0</v>
      </c>
      <c r="AA145" s="347">
        <f>+'NF-KSF-TRIAL-BAL-2020'!T145+'RA-TRIAL-BAL-2020'!T145+'DES-TRIAL-BAL-2020'!T145+'DMP-TRIAL-BAL-2020'!T145</f>
        <v>0</v>
      </c>
      <c r="AB145" s="51"/>
      <c r="AC145" s="120"/>
      <c r="AD145" s="9">
        <v>0</v>
      </c>
      <c r="AE145" s="325"/>
      <c r="AF145" s="324"/>
      <c r="AG145" s="27">
        <f>+IF(ABS(+AC145+AE145)&gt;=ABS(AD145+AF145),+AC145-AD145+AE145-AF145,0)</f>
        <v>0</v>
      </c>
      <c r="AH145" s="30">
        <v>0</v>
      </c>
      <c r="AI145" s="51"/>
      <c r="AJ145" s="1497">
        <f t="shared" si="45"/>
        <v>4288</v>
      </c>
      <c r="AK145" s="951">
        <f>+ROUND(+O145+V145+AC145,2)</f>
        <v>0</v>
      </c>
      <c r="AL145" s="9">
        <v>0</v>
      </c>
      <c r="AM145" s="326">
        <f t="shared" si="65"/>
        <v>0</v>
      </c>
      <c r="AN145" s="970">
        <f t="shared" si="65"/>
        <v>0</v>
      </c>
      <c r="AO145" s="326">
        <f>+S145+Z145+AG145</f>
        <v>0</v>
      </c>
      <c r="AP145" s="30">
        <v>0</v>
      </c>
      <c r="AQ145" s="43"/>
      <c r="AR145" s="358">
        <f t="shared" si="66"/>
        <v>0</v>
      </c>
      <c r="AS145" s="359">
        <f t="shared" si="67"/>
        <v>0</v>
      </c>
      <c r="AT145" s="360">
        <f t="shared" si="68"/>
        <v>0</v>
      </c>
      <c r="AU145" s="43"/>
      <c r="AV145" s="2120">
        <f>+IF(OR(ROUND(P145,2)+ROUND(R145,2)&gt;+ROUND(O145,2)+ROUND(Q145,2),+ABS(ROUND(P145,2)+ROUND(R145,2))&gt;+ABS(ROUND(O145,2)+ROUND(Q145,2))),+(ROUND(P145,2)+ROUND(R145,2))-(ROUND(O145,2)+ROUND(Q145,2)),0)</f>
        <v>0</v>
      </c>
      <c r="AW145" s="119"/>
      <c r="AX145" s="2120">
        <f>+IF(OR(ROUND(AD145,2)+ROUND(AF145,2)&gt;+ROUND(AC145,2)+ROUND(AE145,2),+ABS(ROUND(AD145,2)+ROUND(AF145,2))&gt;+ABS(ROUND(AC145,2)+ROUND(AE145,2))),+(ROUND(AD145,2)+ROUND(AF145,2))-(ROUND(AC145,2)+ROUND(AE145,2)),0)</f>
        <v>0</v>
      </c>
      <c r="AY145" s="43"/>
      <c r="AZ145" s="43"/>
      <c r="BA145" s="43"/>
      <c r="BB145" s="43"/>
      <c r="BC145" s="43"/>
      <c r="BD145" s="43"/>
    </row>
    <row r="146" spans="1:56" ht="15.75">
      <c r="A146" s="88">
        <v>4291</v>
      </c>
      <c r="B146" s="378" t="s">
        <v>400</v>
      </c>
      <c r="C146" s="1033"/>
      <c r="D146" s="1033"/>
      <c r="E146" s="1033"/>
      <c r="F146" s="1033"/>
      <c r="G146" s="1033"/>
      <c r="H146" s="1033"/>
      <c r="I146" s="1033"/>
      <c r="J146" s="1033"/>
      <c r="K146" s="1033"/>
      <c r="L146" s="90"/>
      <c r="M146" s="51" t="s">
        <v>265</v>
      </c>
      <c r="N146" s="113">
        <f t="shared" si="64"/>
        <v>4291</v>
      </c>
      <c r="O146" s="8">
        <v>0</v>
      </c>
      <c r="P146" s="121">
        <v>0</v>
      </c>
      <c r="Q146" s="325">
        <v>0</v>
      </c>
      <c r="R146" s="324">
        <v>0</v>
      </c>
      <c r="S146" s="29">
        <v>0</v>
      </c>
      <c r="T146" s="28">
        <f>+IF(ABS(+O146+Q146)&lt;=ABS(P146+R146),-O146+P146-Q146+R146,0)</f>
        <v>0</v>
      </c>
      <c r="U146" s="51"/>
      <c r="V146" s="541">
        <f>+'NF-KSF-TRIAL-BAL-2020'!O146+'RA-TRIAL-BAL-2020'!O146+'DES-TRIAL-BAL-2020'!O146+'DMP-TRIAL-BAL-2020'!O146</f>
        <v>0</v>
      </c>
      <c r="W146" s="529">
        <f>+'NF-KSF-TRIAL-BAL-2020'!P146+'RA-TRIAL-BAL-2020'!P146+'DES-TRIAL-BAL-2020'!P146+'DMP-TRIAL-BAL-2020'!P146</f>
        <v>0</v>
      </c>
      <c r="X146" s="528">
        <f>+'NF-KSF-TRIAL-BAL-2020'!Q146+'RA-TRIAL-BAL-2020'!Q146+'DES-TRIAL-BAL-2020'!Q146+'DMP-TRIAL-BAL-2020'!Q146</f>
        <v>0</v>
      </c>
      <c r="Y146" s="529">
        <f>+'NF-KSF-TRIAL-BAL-2020'!R146+'RA-TRIAL-BAL-2020'!R146+'DES-TRIAL-BAL-2020'!R146+'DMP-TRIAL-BAL-2020'!R146</f>
        <v>0</v>
      </c>
      <c r="Z146" s="528">
        <f>+'NF-KSF-TRIAL-BAL-2020'!S146+'RA-TRIAL-BAL-2020'!S146+'DES-TRIAL-BAL-2020'!S146+'DMP-TRIAL-BAL-2020'!S146</f>
        <v>0</v>
      </c>
      <c r="AA146" s="347">
        <f>+'NF-KSF-TRIAL-BAL-2020'!T146+'RA-TRIAL-BAL-2020'!T146+'DES-TRIAL-BAL-2020'!T146+'DMP-TRIAL-BAL-2020'!T146</f>
        <v>0</v>
      </c>
      <c r="AB146" s="51"/>
      <c r="AC146" s="8">
        <v>0</v>
      </c>
      <c r="AD146" s="121">
        <v>0</v>
      </c>
      <c r="AE146" s="122">
        <v>0</v>
      </c>
      <c r="AF146" s="324">
        <v>0</v>
      </c>
      <c r="AG146" s="29">
        <v>0</v>
      </c>
      <c r="AH146" s="28">
        <f>+IF(ABS(+AC146+AE146)&lt;=ABS(AD146+AF146),-AC146+AD146-AE146+AF146,0)</f>
        <v>0</v>
      </c>
      <c r="AI146" s="51"/>
      <c r="AJ146" s="1497">
        <f t="shared" ref="AJ146:AJ218" si="70">+N146</f>
        <v>4291</v>
      </c>
      <c r="AK146" s="8">
        <v>0</v>
      </c>
      <c r="AL146" s="970">
        <f>+ROUND(+P146+W146+AD146,2)</f>
        <v>0</v>
      </c>
      <c r="AM146" s="326">
        <f t="shared" si="65"/>
        <v>0</v>
      </c>
      <c r="AN146" s="970">
        <f t="shared" si="65"/>
        <v>0</v>
      </c>
      <c r="AO146" s="29">
        <v>0</v>
      </c>
      <c r="AP146" s="28">
        <f>+T146+AA146+AH146</f>
        <v>0</v>
      </c>
      <c r="AQ146" s="43"/>
      <c r="AR146" s="358">
        <f t="shared" si="66"/>
        <v>0</v>
      </c>
      <c r="AS146" s="359">
        <f t="shared" si="67"/>
        <v>0</v>
      </c>
      <c r="AT146" s="360">
        <f t="shared" si="68"/>
        <v>0</v>
      </c>
      <c r="AU146" s="43"/>
      <c r="AV146" s="2119">
        <f>+IF(OR(+ROUND(O146,2)+ROUND(Q146,2)&gt;ROUND(P146,2)+ROUND(R146,2),+ABS(ROUND(O146,2)+ROUND(Q146,2))&gt;+ABS(ROUND(P146,2)+ROUND(R146,2))),+(ROUND(O146,2)+ROUND(Q146,2))-(ROUND(P146,2)+ROUND(R146,2)),0)</f>
        <v>0</v>
      </c>
      <c r="AW146" s="119"/>
      <c r="AX146" s="2119">
        <f>+IF(OR(+ROUND(AC146,2)+ROUND(AE146,2)&gt;ROUND(AD146,2)+ROUND(AF146,2),+ABS(ROUND(AC146,2)+ROUND(AE146,2))&gt;+ABS(ROUND(AD146,2)+ROUND(AF146,2))),+(ROUND(AC146,2)+ROUND(AE146,2))-(ROUND(AD146,2)+ROUND(AF146,2)),0)</f>
        <v>0</v>
      </c>
      <c r="AY146" s="43"/>
      <c r="AZ146" s="43"/>
      <c r="BA146" s="43"/>
      <c r="BB146" s="43"/>
      <c r="BC146" s="43"/>
      <c r="BD146" s="43"/>
    </row>
    <row r="147" spans="1:56" ht="15.75">
      <c r="A147" s="88">
        <v>4299</v>
      </c>
      <c r="B147" s="1032" t="s">
        <v>401</v>
      </c>
      <c r="C147" s="1033"/>
      <c r="D147" s="1033"/>
      <c r="E147" s="1033"/>
      <c r="F147" s="1033"/>
      <c r="G147" s="1033"/>
      <c r="H147" s="1033"/>
      <c r="I147" s="1033"/>
      <c r="J147" s="1033"/>
      <c r="K147" s="1033"/>
      <c r="L147" s="90"/>
      <c r="M147" s="51" t="s">
        <v>265</v>
      </c>
      <c r="N147" s="113">
        <f t="shared" si="64"/>
        <v>4299</v>
      </c>
      <c r="O147" s="120">
        <v>0</v>
      </c>
      <c r="P147" s="9">
        <v>0</v>
      </c>
      <c r="Q147" s="325">
        <v>0</v>
      </c>
      <c r="R147" s="324">
        <v>0</v>
      </c>
      <c r="S147" s="27">
        <f>+IF(ABS(+O147+Q147)&gt;=ABS(P147+R147),+O147-P147+Q147-R147,0)</f>
        <v>0</v>
      </c>
      <c r="T147" s="30">
        <v>0</v>
      </c>
      <c r="U147" s="51"/>
      <c r="V147" s="541">
        <f>+'NF-KSF-TRIAL-BAL-2020'!O147+'RA-TRIAL-BAL-2020'!O147+'DES-TRIAL-BAL-2020'!O147+'DMP-TRIAL-BAL-2020'!O147</f>
        <v>0</v>
      </c>
      <c r="W147" s="529">
        <f>+'NF-KSF-TRIAL-BAL-2020'!P147+'RA-TRIAL-BAL-2020'!P147+'DES-TRIAL-BAL-2020'!P147+'DMP-TRIAL-BAL-2020'!P147</f>
        <v>0</v>
      </c>
      <c r="X147" s="528">
        <f>+'NF-KSF-TRIAL-BAL-2020'!Q147+'RA-TRIAL-BAL-2020'!Q147+'DES-TRIAL-BAL-2020'!Q147+'DMP-TRIAL-BAL-2020'!Q147</f>
        <v>0</v>
      </c>
      <c r="Y147" s="529">
        <f>+'NF-KSF-TRIAL-BAL-2020'!R147+'RA-TRIAL-BAL-2020'!R147+'DES-TRIAL-BAL-2020'!R147+'DMP-TRIAL-BAL-2020'!R147</f>
        <v>0</v>
      </c>
      <c r="Z147" s="528">
        <f>+'NF-KSF-TRIAL-BAL-2020'!S147+'RA-TRIAL-BAL-2020'!S147+'DES-TRIAL-BAL-2020'!S147+'DMP-TRIAL-BAL-2020'!S147</f>
        <v>0</v>
      </c>
      <c r="AA147" s="347">
        <f>+'NF-KSF-TRIAL-BAL-2020'!T147+'RA-TRIAL-BAL-2020'!T147+'DES-TRIAL-BAL-2020'!T147+'DMP-TRIAL-BAL-2020'!T147</f>
        <v>0</v>
      </c>
      <c r="AB147" s="51"/>
      <c r="AC147" s="120">
        <v>0</v>
      </c>
      <c r="AD147" s="9">
        <v>0</v>
      </c>
      <c r="AE147" s="325">
        <v>0</v>
      </c>
      <c r="AF147" s="324">
        <v>0</v>
      </c>
      <c r="AG147" s="27">
        <f>+IF(ABS(+AC147+AE147)&gt;=ABS(AD147+AF147),+AC147-AD147+AE147-AF147,0)</f>
        <v>0</v>
      </c>
      <c r="AH147" s="30">
        <v>0</v>
      </c>
      <c r="AI147" s="51"/>
      <c r="AJ147" s="1497">
        <f t="shared" si="70"/>
        <v>4299</v>
      </c>
      <c r="AK147" s="951">
        <f>+ROUND(+O147+V147+AC147,2)</f>
        <v>0</v>
      </c>
      <c r="AL147" s="9">
        <v>0</v>
      </c>
      <c r="AM147" s="326">
        <f t="shared" si="65"/>
        <v>0</v>
      </c>
      <c r="AN147" s="970">
        <f t="shared" si="65"/>
        <v>0</v>
      </c>
      <c r="AO147" s="326">
        <f>+S147+Z147+AG147</f>
        <v>0</v>
      </c>
      <c r="AP147" s="30">
        <v>0</v>
      </c>
      <c r="AQ147" s="43"/>
      <c r="AR147" s="358">
        <f t="shared" si="66"/>
        <v>0</v>
      </c>
      <c r="AS147" s="359">
        <f t="shared" si="67"/>
        <v>0</v>
      </c>
      <c r="AT147" s="360">
        <f t="shared" si="68"/>
        <v>0</v>
      </c>
      <c r="AU147" s="43"/>
      <c r="AV147" s="2120">
        <f>+IF(OR(ROUND(P147,2)+ROUND(R147,2)&gt;+ROUND(O147,2)+ROUND(Q147,2),+ABS(ROUND(P147,2)+ROUND(R147,2))&gt;+ABS(ROUND(O147,2)+ROUND(Q147,2))),+(ROUND(P147,2)+ROUND(R147,2))-(ROUND(O147,2)+ROUND(Q147,2)),0)</f>
        <v>0</v>
      </c>
      <c r="AW147" s="119"/>
      <c r="AX147" s="2120">
        <f>+IF(OR(ROUND(AD147,2)+ROUND(AF147,2)&gt;+ROUND(AC147,2)+ROUND(AE147,2),+ABS(ROUND(AD147,2)+ROUND(AF147,2))&gt;+ABS(ROUND(AC147,2)+ROUND(AE147,2))),+(ROUND(AD147,2)+ROUND(AF147,2))-(ROUND(AC147,2)+ROUND(AE147,2)),0)</f>
        <v>0</v>
      </c>
      <c r="AY147" s="43"/>
      <c r="AZ147" s="43"/>
      <c r="BA147" s="43"/>
      <c r="BB147" s="43"/>
      <c r="BC147" s="43"/>
      <c r="BD147" s="43"/>
    </row>
    <row r="148" spans="1:56" ht="15.75">
      <c r="A148" s="417">
        <v>4301</v>
      </c>
      <c r="B148" s="2181" t="s">
        <v>2087</v>
      </c>
      <c r="C148" s="1033"/>
      <c r="D148" s="1033"/>
      <c r="E148" s="1033"/>
      <c r="F148" s="1033"/>
      <c r="G148" s="1033"/>
      <c r="H148" s="1033"/>
      <c r="I148" s="1033"/>
      <c r="J148" s="1033"/>
      <c r="K148" s="1033"/>
      <c r="L148" s="90"/>
      <c r="M148" s="51" t="s">
        <v>265</v>
      </c>
      <c r="N148" s="113">
        <f t="shared" si="64"/>
        <v>4301</v>
      </c>
      <c r="O148" s="200"/>
      <c r="P148" s="9">
        <v>0</v>
      </c>
      <c r="Q148" s="325"/>
      <c r="R148" s="324"/>
      <c r="S148" s="27">
        <f>+IF(ABS(+O148+Q148)&gt;=ABS(P148+R148),+O148-P148+Q148-R148,0)</f>
        <v>0</v>
      </c>
      <c r="T148" s="30">
        <v>0</v>
      </c>
      <c r="U148" s="51"/>
      <c r="V148" s="541">
        <f>+'NF-KSF-TRIAL-BAL-2020'!O148+'RA-TRIAL-BAL-2020'!O148+'DES-TRIAL-BAL-2020'!O148+'DMP-TRIAL-BAL-2020'!O148</f>
        <v>0</v>
      </c>
      <c r="W148" s="529">
        <f>+'NF-KSF-TRIAL-BAL-2020'!P148+'RA-TRIAL-BAL-2020'!P148+'DES-TRIAL-BAL-2020'!P148+'DMP-TRIAL-BAL-2020'!P148</f>
        <v>0</v>
      </c>
      <c r="X148" s="528">
        <f>+'NF-KSF-TRIAL-BAL-2020'!Q148+'RA-TRIAL-BAL-2020'!Q148+'DES-TRIAL-BAL-2020'!Q148+'DMP-TRIAL-BAL-2020'!Q148</f>
        <v>0</v>
      </c>
      <c r="Y148" s="529">
        <f>+'NF-KSF-TRIAL-BAL-2020'!R148+'RA-TRIAL-BAL-2020'!R148+'DES-TRIAL-BAL-2020'!R148+'DMP-TRIAL-BAL-2020'!R148</f>
        <v>0</v>
      </c>
      <c r="Z148" s="528">
        <f>+'NF-KSF-TRIAL-BAL-2020'!S148+'RA-TRIAL-BAL-2020'!S148+'DES-TRIAL-BAL-2020'!S148+'DMP-TRIAL-BAL-2020'!S148</f>
        <v>0</v>
      </c>
      <c r="AA148" s="347">
        <f>+'NF-KSF-TRIAL-BAL-2020'!T148+'RA-TRIAL-BAL-2020'!T148+'DES-TRIAL-BAL-2020'!T148+'DMP-TRIAL-BAL-2020'!T148</f>
        <v>0</v>
      </c>
      <c r="AB148" s="51"/>
      <c r="AC148" s="200"/>
      <c r="AD148" s="9">
        <v>0</v>
      </c>
      <c r="AE148" s="325"/>
      <c r="AF148" s="324"/>
      <c r="AG148" s="27">
        <f>+IF(ABS(+AC148+AE148)&gt;=ABS(AD148+AF148),+AC148-AD148+AE148-AF148,0)</f>
        <v>0</v>
      </c>
      <c r="AH148" s="30">
        <v>0</v>
      </c>
      <c r="AI148" s="51"/>
      <c r="AJ148" s="1497">
        <f t="shared" si="70"/>
        <v>4301</v>
      </c>
      <c r="AK148" s="951">
        <f>+ROUND(+O148+V148+AC148,2)</f>
        <v>0</v>
      </c>
      <c r="AL148" s="9">
        <v>0</v>
      </c>
      <c r="AM148" s="326">
        <f t="shared" si="65"/>
        <v>0</v>
      </c>
      <c r="AN148" s="970">
        <f t="shared" si="65"/>
        <v>0</v>
      </c>
      <c r="AO148" s="326">
        <f>+S148+Z148+AG148</f>
        <v>0</v>
      </c>
      <c r="AP148" s="30">
        <v>0</v>
      </c>
      <c r="AQ148" s="43"/>
      <c r="AR148" s="358">
        <f t="shared" si="66"/>
        <v>0</v>
      </c>
      <c r="AS148" s="359">
        <f t="shared" si="67"/>
        <v>0</v>
      </c>
      <c r="AT148" s="360">
        <f t="shared" si="68"/>
        <v>0</v>
      </c>
      <c r="AU148" s="43"/>
      <c r="AV148" s="2120">
        <f>+IF(OR(ROUND(P148,2)+ROUND(R148,2)&gt;+ROUND(O148,2)+ROUND(Q148,2),+ABS(ROUND(P148,2)+ROUND(R148,2))&gt;+ABS(ROUND(O148,2)+ROUND(Q148,2))),+(ROUND(P148,2)+ROUND(R148,2))-(ROUND(O148,2)+ROUND(Q148,2)),0)</f>
        <v>0</v>
      </c>
      <c r="AW148" s="119"/>
      <c r="AX148" s="2120">
        <f>+IF(OR(ROUND(AD148,2)+ROUND(AF148,2)&gt;+ROUND(AC148,2)+ROUND(AE148,2),+ABS(ROUND(AD148,2)+ROUND(AF148,2))&gt;+ABS(ROUND(AC148,2)+ROUND(AE148,2))),+(ROUND(AD148,2)+ROUND(AF148,2))-(ROUND(AC148,2)+ROUND(AE148,2)),0)</f>
        <v>0</v>
      </c>
      <c r="AY148" s="43"/>
      <c r="AZ148" s="43"/>
      <c r="BA148" s="43"/>
      <c r="BB148" s="43"/>
      <c r="BC148" s="43"/>
      <c r="BD148" s="43"/>
    </row>
    <row r="149" spans="1:56" ht="15.75">
      <c r="A149" s="417">
        <v>4303</v>
      </c>
      <c r="B149" s="378" t="s">
        <v>402</v>
      </c>
      <c r="C149" s="1033"/>
      <c r="D149" s="1033"/>
      <c r="E149" s="1033"/>
      <c r="F149" s="1033"/>
      <c r="G149" s="1033"/>
      <c r="H149" s="1033"/>
      <c r="I149" s="1033"/>
      <c r="J149" s="1033"/>
      <c r="K149" s="1033"/>
      <c r="L149" s="90"/>
      <c r="M149" s="51" t="s">
        <v>265</v>
      </c>
      <c r="N149" s="113">
        <f>+A149</f>
        <v>4303</v>
      </c>
      <c r="O149" s="200"/>
      <c r="P149" s="9">
        <v>0</v>
      </c>
      <c r="Q149" s="325"/>
      <c r="R149" s="324"/>
      <c r="S149" s="27">
        <f>+IF(ABS(+O149+Q149)&gt;=ABS(P149+R149),+O149-P149+Q149-R149,0)</f>
        <v>0</v>
      </c>
      <c r="T149" s="30">
        <v>0</v>
      </c>
      <c r="U149" s="51"/>
      <c r="V149" s="541">
        <f>+'NF-KSF-TRIAL-BAL-2020'!O149+'RA-TRIAL-BAL-2020'!O149+'DES-TRIAL-BAL-2020'!O149+'DMP-TRIAL-BAL-2020'!O149</f>
        <v>0</v>
      </c>
      <c r="W149" s="529">
        <f>+'NF-KSF-TRIAL-BAL-2020'!P149+'RA-TRIAL-BAL-2020'!P149+'DES-TRIAL-BAL-2020'!P149+'DMP-TRIAL-BAL-2020'!P149</f>
        <v>0</v>
      </c>
      <c r="X149" s="528">
        <f>+'NF-KSF-TRIAL-BAL-2020'!Q149+'RA-TRIAL-BAL-2020'!Q149+'DES-TRIAL-BAL-2020'!Q149+'DMP-TRIAL-BAL-2020'!Q149</f>
        <v>0</v>
      </c>
      <c r="Y149" s="529">
        <f>+'NF-KSF-TRIAL-BAL-2020'!R149+'RA-TRIAL-BAL-2020'!R149+'DES-TRIAL-BAL-2020'!R149+'DMP-TRIAL-BAL-2020'!R149</f>
        <v>0</v>
      </c>
      <c r="Z149" s="528">
        <f>+'NF-KSF-TRIAL-BAL-2020'!S149+'RA-TRIAL-BAL-2020'!S149+'DES-TRIAL-BAL-2020'!S149+'DMP-TRIAL-BAL-2020'!S149</f>
        <v>0</v>
      </c>
      <c r="AA149" s="347">
        <f>+'NF-KSF-TRIAL-BAL-2020'!T149+'RA-TRIAL-BAL-2020'!T149+'DES-TRIAL-BAL-2020'!T149+'DMP-TRIAL-BAL-2020'!T149</f>
        <v>0</v>
      </c>
      <c r="AB149" s="51"/>
      <c r="AC149" s="200"/>
      <c r="AD149" s="9">
        <v>0</v>
      </c>
      <c r="AE149" s="122"/>
      <c r="AF149" s="324"/>
      <c r="AG149" s="27">
        <f>+IF(ABS(+AC149+AE149)&gt;=ABS(AD149+AF149),+AC149-AD149+AE149-AF149,0)</f>
        <v>0</v>
      </c>
      <c r="AH149" s="30">
        <v>0</v>
      </c>
      <c r="AI149" s="51"/>
      <c r="AJ149" s="1497">
        <f>+N149</f>
        <v>4303</v>
      </c>
      <c r="AK149" s="951">
        <f>+ROUND(+O149+V149+AC149,2)</f>
        <v>0</v>
      </c>
      <c r="AL149" s="9">
        <v>0</v>
      </c>
      <c r="AM149" s="326">
        <f>+ROUND(+Q149+X149+AE149,2)</f>
        <v>0</v>
      </c>
      <c r="AN149" s="970">
        <f>+ROUND(+R149+Y149+AF149,2)</f>
        <v>0</v>
      </c>
      <c r="AO149" s="326">
        <f>+S149+Z149+AG149</f>
        <v>0</v>
      </c>
      <c r="AP149" s="30">
        <v>0</v>
      </c>
      <c r="AQ149" s="43"/>
      <c r="AR149" s="358">
        <f>+ROUND(+SUM(AK149-AL149)-SUM(O149-P149)-SUM(V149-W149)-SUM(AC149-AD149),2)</f>
        <v>0</v>
      </c>
      <c r="AS149" s="359">
        <f>+ROUND(+SUM(AM149-AN149)-SUM(Q149-R149)-SUM(X149-Y149)-SUM(AE149-AF149),2)</f>
        <v>0</v>
      </c>
      <c r="AT149" s="360">
        <f>+ROUND(+SUM(AO149-AP149)-SUM(S149-T149)-SUM(Z149-AA149)-SUM(AG149-AH149),2)</f>
        <v>0</v>
      </c>
      <c r="AU149" s="43"/>
      <c r="AV149" s="2120">
        <f>+IF(OR(ROUND(P149,2)+ROUND(R149,2)&gt;+ROUND(O149,2)+ROUND(Q149,2),+ABS(ROUND(P149,2)+ROUND(R149,2))&gt;+ABS(ROUND(O149,2)+ROUND(Q149,2))),+(ROUND(P149,2)+ROUND(R149,2))-(ROUND(O149,2)+ROUND(Q149,2)),0)</f>
        <v>0</v>
      </c>
      <c r="AW149" s="119"/>
      <c r="AX149" s="2120">
        <f>+IF(OR(ROUND(AD149,2)+ROUND(AF149,2)&gt;+ROUND(AC149,2)+ROUND(AE149,2),+ABS(ROUND(AD149,2)+ROUND(AF149,2))&gt;+ABS(ROUND(AC149,2)+ROUND(AE149,2))),+(ROUND(AD149,2)+ROUND(AF149,2))-(ROUND(AC149,2)+ROUND(AE149,2)),0)</f>
        <v>0</v>
      </c>
      <c r="AY149" s="43"/>
      <c r="AZ149" s="43"/>
      <c r="BA149" s="43"/>
      <c r="BB149" s="43"/>
      <c r="BC149" s="43"/>
      <c r="BD149" s="43"/>
    </row>
    <row r="150" spans="1:56" ht="15.75">
      <c r="A150" s="88">
        <v>4311</v>
      </c>
      <c r="B150" s="1033" t="s">
        <v>403</v>
      </c>
      <c r="C150" s="1033"/>
      <c r="D150" s="1033"/>
      <c r="E150" s="1033"/>
      <c r="F150" s="1033"/>
      <c r="G150" s="1033"/>
      <c r="H150" s="1033"/>
      <c r="I150" s="1033"/>
      <c r="J150" s="1033"/>
      <c r="K150" s="1033"/>
      <c r="L150" s="90"/>
      <c r="M150" s="51" t="s">
        <v>265</v>
      </c>
      <c r="N150" s="113">
        <f t="shared" si="64"/>
        <v>4311</v>
      </c>
      <c r="O150" s="8">
        <v>0</v>
      </c>
      <c r="P150" s="121"/>
      <c r="Q150" s="325"/>
      <c r="R150" s="324"/>
      <c r="S150" s="29">
        <v>0</v>
      </c>
      <c r="T150" s="28">
        <f>+IF(ABS(+O150+Q150)&lt;=ABS(P150+R150),-O150+P150-Q150+R150,0)</f>
        <v>0</v>
      </c>
      <c r="U150" s="51"/>
      <c r="V150" s="541">
        <f>+'NF-KSF-TRIAL-BAL-2020'!O150+'RA-TRIAL-BAL-2020'!O150+'DES-TRIAL-BAL-2020'!O150+'DMP-TRIAL-BAL-2020'!O150</f>
        <v>0</v>
      </c>
      <c r="W150" s="529">
        <f>+'NF-KSF-TRIAL-BAL-2020'!P150+'RA-TRIAL-BAL-2020'!P150+'DES-TRIAL-BAL-2020'!P150+'DMP-TRIAL-BAL-2020'!P150</f>
        <v>0</v>
      </c>
      <c r="X150" s="528">
        <f>+'NF-KSF-TRIAL-BAL-2020'!Q150+'RA-TRIAL-BAL-2020'!Q150+'DES-TRIAL-BAL-2020'!Q150+'DMP-TRIAL-BAL-2020'!Q150</f>
        <v>0</v>
      </c>
      <c r="Y150" s="529">
        <f>+'NF-KSF-TRIAL-BAL-2020'!R150+'RA-TRIAL-BAL-2020'!R150+'DES-TRIAL-BAL-2020'!R150+'DMP-TRIAL-BAL-2020'!R150</f>
        <v>0</v>
      </c>
      <c r="Z150" s="528">
        <f>+'NF-KSF-TRIAL-BAL-2020'!S150+'RA-TRIAL-BAL-2020'!S150+'DES-TRIAL-BAL-2020'!S150+'DMP-TRIAL-BAL-2020'!S150</f>
        <v>0</v>
      </c>
      <c r="AA150" s="347">
        <f>+'NF-KSF-TRIAL-BAL-2020'!T150+'RA-TRIAL-BAL-2020'!T150+'DES-TRIAL-BAL-2020'!T150+'DMP-TRIAL-BAL-2020'!T150</f>
        <v>0</v>
      </c>
      <c r="AB150" s="51"/>
      <c r="AC150" s="8">
        <v>0</v>
      </c>
      <c r="AD150" s="121"/>
      <c r="AE150" s="325"/>
      <c r="AF150" s="324"/>
      <c r="AG150" s="29">
        <v>0</v>
      </c>
      <c r="AH150" s="28">
        <f>+IF(ABS(+AC150+AE150)&lt;=ABS(AD150+AF150),-AC150+AD150-AE150+AF150,0)</f>
        <v>0</v>
      </c>
      <c r="AI150" s="51"/>
      <c r="AJ150" s="1497">
        <f t="shared" si="70"/>
        <v>4311</v>
      </c>
      <c r="AK150" s="8">
        <v>0</v>
      </c>
      <c r="AL150" s="970">
        <f t="shared" si="65"/>
        <v>0</v>
      </c>
      <c r="AM150" s="326">
        <f t="shared" si="65"/>
        <v>0</v>
      </c>
      <c r="AN150" s="970">
        <f t="shared" si="65"/>
        <v>0</v>
      </c>
      <c r="AO150" s="29">
        <v>0</v>
      </c>
      <c r="AP150" s="28">
        <f>+T150+AA150+AH150</f>
        <v>0</v>
      </c>
      <c r="AQ150" s="43"/>
      <c r="AR150" s="358">
        <f t="shared" si="66"/>
        <v>0</v>
      </c>
      <c r="AS150" s="359">
        <f t="shared" si="67"/>
        <v>0</v>
      </c>
      <c r="AT150" s="360">
        <f t="shared" si="68"/>
        <v>0</v>
      </c>
      <c r="AU150" s="43"/>
      <c r="AV150" s="2119">
        <f>+IF(OR(+ROUND(O150,2)+ROUND(Q150,2)&gt;ROUND(P150,2)+ROUND(R150,2),+ABS(ROUND(O150,2)+ROUND(Q150,2))&gt;+ABS(ROUND(P150,2)+ROUND(R150,2))),+(ROUND(O150,2)+ROUND(Q150,2))-(ROUND(P150,2)+ROUND(R150,2)),0)</f>
        <v>0</v>
      </c>
      <c r="AW150" s="119"/>
      <c r="AX150" s="2119">
        <f>+IF(OR(+ROUND(AC150,2)+ROUND(AE150,2)&gt;ROUND(AD150,2)+ROUND(AF150,2),+ABS(ROUND(AC150,2)+ROUND(AE150,2))&gt;+ABS(ROUND(AD150,2)+ROUND(AF150,2))),+(ROUND(AC150,2)+ROUND(AE150,2))-(ROUND(AD150,2)+ROUND(AF150,2)),0)</f>
        <v>0</v>
      </c>
      <c r="AY150" s="43"/>
      <c r="AZ150" s="43"/>
      <c r="BA150" s="43"/>
      <c r="BB150" s="43"/>
      <c r="BC150" s="43"/>
      <c r="BD150" s="43"/>
    </row>
    <row r="151" spans="1:56" ht="15.75">
      <c r="A151" s="88">
        <v>4313</v>
      </c>
      <c r="B151" s="1033" t="s">
        <v>404</v>
      </c>
      <c r="C151" s="1033"/>
      <c r="D151" s="1033"/>
      <c r="E151" s="1033"/>
      <c r="F151" s="1033"/>
      <c r="G151" s="1033"/>
      <c r="H151" s="1033"/>
      <c r="I151" s="1033"/>
      <c r="J151" s="1033"/>
      <c r="K151" s="1033"/>
      <c r="L151" s="90"/>
      <c r="M151" s="51" t="s">
        <v>265</v>
      </c>
      <c r="N151" s="113">
        <f t="shared" si="64"/>
        <v>4313</v>
      </c>
      <c r="O151" s="8">
        <v>0</v>
      </c>
      <c r="P151" s="121"/>
      <c r="Q151" s="325"/>
      <c r="R151" s="324"/>
      <c r="S151" s="29">
        <v>0</v>
      </c>
      <c r="T151" s="28">
        <f>+IF(ABS(+O151+Q151)&lt;=ABS(P151+R151),-O151+P151-Q151+R151,0)</f>
        <v>0</v>
      </c>
      <c r="U151" s="51"/>
      <c r="V151" s="541">
        <f>+'NF-KSF-TRIAL-BAL-2020'!O151+'RA-TRIAL-BAL-2020'!O151+'DES-TRIAL-BAL-2020'!O151+'DMP-TRIAL-BAL-2020'!O151</f>
        <v>0</v>
      </c>
      <c r="W151" s="529">
        <f>+'NF-KSF-TRIAL-BAL-2020'!P151+'RA-TRIAL-BAL-2020'!P151+'DES-TRIAL-BAL-2020'!P151+'DMP-TRIAL-BAL-2020'!P151</f>
        <v>0</v>
      </c>
      <c r="X151" s="528">
        <f>+'NF-KSF-TRIAL-BAL-2020'!Q151+'RA-TRIAL-BAL-2020'!Q151+'DES-TRIAL-BAL-2020'!Q151+'DMP-TRIAL-BAL-2020'!Q151</f>
        <v>0</v>
      </c>
      <c r="Y151" s="529">
        <f>+'NF-KSF-TRIAL-BAL-2020'!R151+'RA-TRIAL-BAL-2020'!R151+'DES-TRIAL-BAL-2020'!R151+'DMP-TRIAL-BAL-2020'!R151</f>
        <v>0</v>
      </c>
      <c r="Z151" s="528">
        <f>+'NF-KSF-TRIAL-BAL-2020'!S151+'RA-TRIAL-BAL-2020'!S151+'DES-TRIAL-BAL-2020'!S151+'DMP-TRIAL-BAL-2020'!S151</f>
        <v>0</v>
      </c>
      <c r="AA151" s="347">
        <f>+'NF-KSF-TRIAL-BAL-2020'!T151+'RA-TRIAL-BAL-2020'!T151+'DES-TRIAL-BAL-2020'!T151+'DMP-TRIAL-BAL-2020'!T151</f>
        <v>0</v>
      </c>
      <c r="AB151" s="51"/>
      <c r="AC151" s="8">
        <v>0</v>
      </c>
      <c r="AD151" s="121"/>
      <c r="AE151" s="325"/>
      <c r="AF151" s="324"/>
      <c r="AG151" s="29">
        <v>0</v>
      </c>
      <c r="AH151" s="28">
        <f>+IF(ABS(+AC151+AE151)&lt;=ABS(AD151+AF151),-AC151+AD151-AE151+AF151,0)</f>
        <v>0</v>
      </c>
      <c r="AI151" s="51"/>
      <c r="AJ151" s="1497">
        <f t="shared" si="70"/>
        <v>4313</v>
      </c>
      <c r="AK151" s="8">
        <v>0</v>
      </c>
      <c r="AL151" s="970">
        <f>+ROUND(+P151+W151+AD151,2)</f>
        <v>0</v>
      </c>
      <c r="AM151" s="326">
        <f>+ROUND(+Q151+X151+AE151,2)</f>
        <v>0</v>
      </c>
      <c r="AN151" s="970">
        <f>+ROUND(+R151+Y151+AF151,2)</f>
        <v>0</v>
      </c>
      <c r="AO151" s="29">
        <v>0</v>
      </c>
      <c r="AP151" s="28">
        <f>+T151+AA151+AH151</f>
        <v>0</v>
      </c>
      <c r="AQ151" s="43"/>
      <c r="AR151" s="358">
        <f t="shared" si="66"/>
        <v>0</v>
      </c>
      <c r="AS151" s="359">
        <f t="shared" si="67"/>
        <v>0</v>
      </c>
      <c r="AT151" s="360">
        <f t="shared" si="68"/>
        <v>0</v>
      </c>
      <c r="AU151" s="43"/>
      <c r="AV151" s="2119">
        <f>+IF(OR(+ROUND(O151,2)+ROUND(Q151,2)&gt;ROUND(P151,2)+ROUND(R151,2),+ABS(ROUND(O151,2)+ROUND(Q151,2))&gt;+ABS(ROUND(P151,2)+ROUND(R151,2))),+(ROUND(O151,2)+ROUND(Q151,2))-(ROUND(P151,2)+ROUND(R151,2)),0)</f>
        <v>0</v>
      </c>
      <c r="AW151" s="119"/>
      <c r="AX151" s="2119">
        <f>+IF(OR(+ROUND(AC151,2)+ROUND(AE151,2)&gt;ROUND(AD151,2)+ROUND(AF151,2),+ABS(ROUND(AC151,2)+ROUND(AE151,2))&gt;+ABS(ROUND(AD151,2)+ROUND(AF151,2))),+(ROUND(AC151,2)+ROUND(AE151,2))-(ROUND(AD151,2)+ROUND(AF151,2)),0)</f>
        <v>0</v>
      </c>
      <c r="AY151" s="43"/>
      <c r="AZ151" s="43"/>
      <c r="BA151" s="43"/>
      <c r="BB151" s="43"/>
      <c r="BC151" s="43"/>
      <c r="BD151" s="43"/>
    </row>
    <row r="152" spans="1:56" ht="15.75">
      <c r="A152" s="88">
        <v>4321</v>
      </c>
      <c r="B152" s="378" t="s">
        <v>405</v>
      </c>
      <c r="C152" s="1033"/>
      <c r="D152" s="1033"/>
      <c r="E152" s="1033"/>
      <c r="F152" s="1033"/>
      <c r="G152" s="1033"/>
      <c r="H152" s="1033"/>
      <c r="I152" s="1033"/>
      <c r="J152" s="1033"/>
      <c r="K152" s="1033"/>
      <c r="L152" s="90"/>
      <c r="M152" s="51" t="s">
        <v>265</v>
      </c>
      <c r="N152" s="113">
        <f t="shared" si="64"/>
        <v>4321</v>
      </c>
      <c r="O152" s="120"/>
      <c r="P152" s="9">
        <v>0</v>
      </c>
      <c r="Q152" s="325"/>
      <c r="R152" s="324"/>
      <c r="S152" s="27">
        <f t="shared" ref="S152:S159" si="71">+IF(ABS(+O152+Q152)&gt;=ABS(P152+R152),+O152-P152+Q152-R152,0)</f>
        <v>0</v>
      </c>
      <c r="T152" s="30">
        <v>0</v>
      </c>
      <c r="U152" s="51"/>
      <c r="V152" s="541">
        <f>+'NF-KSF-TRIAL-BAL-2020'!O152+'RA-TRIAL-BAL-2020'!O152+'DES-TRIAL-BAL-2020'!O152+'DMP-TRIAL-BAL-2020'!O152</f>
        <v>0</v>
      </c>
      <c r="W152" s="529">
        <f>+'NF-KSF-TRIAL-BAL-2020'!P152+'RA-TRIAL-BAL-2020'!P152+'DES-TRIAL-BAL-2020'!P152+'DMP-TRIAL-BAL-2020'!P152</f>
        <v>0</v>
      </c>
      <c r="X152" s="528">
        <f>+'NF-KSF-TRIAL-BAL-2020'!Q152+'RA-TRIAL-BAL-2020'!Q152+'DES-TRIAL-BAL-2020'!Q152+'DMP-TRIAL-BAL-2020'!Q152</f>
        <v>0</v>
      </c>
      <c r="Y152" s="529">
        <f>+'NF-KSF-TRIAL-BAL-2020'!R152+'RA-TRIAL-BAL-2020'!R152+'DES-TRIAL-BAL-2020'!R152+'DMP-TRIAL-BAL-2020'!R152</f>
        <v>0</v>
      </c>
      <c r="Z152" s="528">
        <f>+'NF-KSF-TRIAL-BAL-2020'!S152+'RA-TRIAL-BAL-2020'!S152+'DES-TRIAL-BAL-2020'!S152+'DMP-TRIAL-BAL-2020'!S152</f>
        <v>0</v>
      </c>
      <c r="AA152" s="347">
        <f>+'NF-KSF-TRIAL-BAL-2020'!T152+'RA-TRIAL-BAL-2020'!T152+'DES-TRIAL-BAL-2020'!T152+'DMP-TRIAL-BAL-2020'!T152</f>
        <v>0</v>
      </c>
      <c r="AB152" s="51"/>
      <c r="AC152" s="120"/>
      <c r="AD152" s="9">
        <v>0</v>
      </c>
      <c r="AE152" s="122"/>
      <c r="AF152" s="324"/>
      <c r="AG152" s="27">
        <f t="shared" ref="AG152:AG159" si="72">+IF(ABS(+AC152+AE152)&gt;=ABS(AD152+AF152),+AC152-AD152+AE152-AF152,0)</f>
        <v>0</v>
      </c>
      <c r="AH152" s="30">
        <v>0</v>
      </c>
      <c r="AI152" s="51"/>
      <c r="AJ152" s="1497">
        <f t="shared" si="70"/>
        <v>4321</v>
      </c>
      <c r="AK152" s="951">
        <f t="shared" ref="AK152:AK160" si="73">+ROUND(+O152+V152+AC152,2)</f>
        <v>0</v>
      </c>
      <c r="AL152" s="9">
        <v>0</v>
      </c>
      <c r="AM152" s="326">
        <f t="shared" ref="AM152:AN155" si="74">+ROUND(+Q152+X152+AE152,2)</f>
        <v>0</v>
      </c>
      <c r="AN152" s="970">
        <f t="shared" si="74"/>
        <v>0</v>
      </c>
      <c r="AO152" s="326">
        <f t="shared" ref="AO152:AO172" si="75">+S152+Z152+AG152</f>
        <v>0</v>
      </c>
      <c r="AP152" s="9">
        <v>0</v>
      </c>
      <c r="AQ152" s="43"/>
      <c r="AR152" s="358">
        <f t="shared" si="66"/>
        <v>0</v>
      </c>
      <c r="AS152" s="359">
        <f t="shared" si="67"/>
        <v>0</v>
      </c>
      <c r="AT152" s="360">
        <f t="shared" si="68"/>
        <v>0</v>
      </c>
      <c r="AU152" s="43"/>
      <c r="AV152" s="2120">
        <f t="shared" ref="AV152:AV159" si="76">+IF(OR(ROUND(P152,2)+ROUND(R152,2)&gt;+ROUND(O152,2)+ROUND(Q152,2),+ABS(ROUND(P152,2)+ROUND(R152,2))&gt;+ABS(ROUND(O152,2)+ROUND(Q152,2))),+(ROUND(P152,2)+ROUND(R152,2))-(ROUND(O152,2)+ROUND(Q152,2)),0)</f>
        <v>0</v>
      </c>
      <c r="AW152" s="119"/>
      <c r="AX152" s="2120">
        <f t="shared" ref="AX152:AX159" si="77">+IF(OR(ROUND(AD152,2)+ROUND(AF152,2)&gt;+ROUND(AC152,2)+ROUND(AE152,2),+ABS(ROUND(AD152,2)+ROUND(AF152,2))&gt;+ABS(ROUND(AC152,2)+ROUND(AE152,2))),+(ROUND(AD152,2)+ROUND(AF152,2))-(ROUND(AC152,2)+ROUND(AE152,2)),0)</f>
        <v>0</v>
      </c>
      <c r="AY152" s="43"/>
      <c r="AZ152" s="43"/>
      <c r="BA152" s="43"/>
      <c r="BB152" s="43"/>
      <c r="BC152" s="43"/>
      <c r="BD152" s="43"/>
    </row>
    <row r="153" spans="1:56" ht="15.75">
      <c r="A153" s="88">
        <v>4322</v>
      </c>
      <c r="B153" s="378" t="s">
        <v>406</v>
      </c>
      <c r="C153" s="1033"/>
      <c r="D153" s="1033"/>
      <c r="E153" s="1033"/>
      <c r="F153" s="1033"/>
      <c r="G153" s="1033"/>
      <c r="H153" s="1033"/>
      <c r="I153" s="1033"/>
      <c r="J153" s="1033"/>
      <c r="K153" s="1033"/>
      <c r="L153" s="90"/>
      <c r="M153" s="51" t="s">
        <v>265</v>
      </c>
      <c r="N153" s="113">
        <f t="shared" si="64"/>
        <v>4322</v>
      </c>
      <c r="O153" s="120"/>
      <c r="P153" s="9">
        <v>0</v>
      </c>
      <c r="Q153" s="325"/>
      <c r="R153" s="324"/>
      <c r="S153" s="27">
        <f t="shared" si="71"/>
        <v>0</v>
      </c>
      <c r="T153" s="30">
        <v>0</v>
      </c>
      <c r="U153" s="51"/>
      <c r="V153" s="541">
        <f>+'NF-KSF-TRIAL-BAL-2020'!O153+'RA-TRIAL-BAL-2020'!O153+'DES-TRIAL-BAL-2020'!O153+'DMP-TRIAL-BAL-2020'!O153</f>
        <v>0</v>
      </c>
      <c r="W153" s="529">
        <f>+'NF-KSF-TRIAL-BAL-2020'!P153+'RA-TRIAL-BAL-2020'!P153+'DES-TRIAL-BAL-2020'!P153+'DMP-TRIAL-BAL-2020'!P153</f>
        <v>0</v>
      </c>
      <c r="X153" s="528">
        <f>+'NF-KSF-TRIAL-BAL-2020'!Q153+'RA-TRIAL-BAL-2020'!Q153+'DES-TRIAL-BAL-2020'!Q153+'DMP-TRIAL-BAL-2020'!Q153</f>
        <v>0</v>
      </c>
      <c r="Y153" s="529">
        <f>+'NF-KSF-TRIAL-BAL-2020'!R153+'RA-TRIAL-BAL-2020'!R153+'DES-TRIAL-BAL-2020'!R153+'DMP-TRIAL-BAL-2020'!R153</f>
        <v>0</v>
      </c>
      <c r="Z153" s="528">
        <f>+'NF-KSF-TRIAL-BAL-2020'!S153+'RA-TRIAL-BAL-2020'!S153+'DES-TRIAL-BAL-2020'!S153+'DMP-TRIAL-BAL-2020'!S153</f>
        <v>0</v>
      </c>
      <c r="AA153" s="347">
        <f>+'NF-KSF-TRIAL-BAL-2020'!T153+'RA-TRIAL-BAL-2020'!T153+'DES-TRIAL-BAL-2020'!T153+'DMP-TRIAL-BAL-2020'!T153</f>
        <v>0</v>
      </c>
      <c r="AB153" s="51"/>
      <c r="AC153" s="120"/>
      <c r="AD153" s="9">
        <v>0</v>
      </c>
      <c r="AE153" s="325"/>
      <c r="AF153" s="324"/>
      <c r="AG153" s="27">
        <f t="shared" si="72"/>
        <v>0</v>
      </c>
      <c r="AH153" s="30">
        <v>0</v>
      </c>
      <c r="AI153" s="51"/>
      <c r="AJ153" s="1497">
        <f>+N153</f>
        <v>4322</v>
      </c>
      <c r="AK153" s="951">
        <f t="shared" si="73"/>
        <v>0</v>
      </c>
      <c r="AL153" s="9">
        <v>0</v>
      </c>
      <c r="AM153" s="326">
        <f t="shared" si="74"/>
        <v>0</v>
      </c>
      <c r="AN153" s="970">
        <f t="shared" si="74"/>
        <v>0</v>
      </c>
      <c r="AO153" s="326">
        <f t="shared" si="75"/>
        <v>0</v>
      </c>
      <c r="AP153" s="9">
        <v>0</v>
      </c>
      <c r="AQ153" s="43"/>
      <c r="AR153" s="358">
        <f t="shared" si="66"/>
        <v>0</v>
      </c>
      <c r="AS153" s="359">
        <f t="shared" si="67"/>
        <v>0</v>
      </c>
      <c r="AT153" s="360">
        <f t="shared" si="68"/>
        <v>0</v>
      </c>
      <c r="AU153" s="43"/>
      <c r="AV153" s="2120">
        <f t="shared" si="76"/>
        <v>0</v>
      </c>
      <c r="AW153" s="119"/>
      <c r="AX153" s="2120">
        <f t="shared" si="77"/>
        <v>0</v>
      </c>
      <c r="AY153" s="43"/>
      <c r="AZ153" s="43"/>
      <c r="BA153" s="43"/>
      <c r="BB153" s="43"/>
      <c r="BC153" s="43"/>
      <c r="BD153" s="43"/>
    </row>
    <row r="154" spans="1:56" ht="15.75">
      <c r="A154" s="88">
        <v>4327</v>
      </c>
      <c r="B154" s="378" t="s">
        <v>407</v>
      </c>
      <c r="C154" s="1033"/>
      <c r="D154" s="1033"/>
      <c r="E154" s="1033"/>
      <c r="F154" s="1033"/>
      <c r="G154" s="1033"/>
      <c r="H154" s="1033"/>
      <c r="I154" s="1033"/>
      <c r="J154" s="1033"/>
      <c r="K154" s="1033"/>
      <c r="L154" s="90"/>
      <c r="M154" s="51" t="s">
        <v>265</v>
      </c>
      <c r="N154" s="113">
        <f>+A154</f>
        <v>4327</v>
      </c>
      <c r="O154" s="120"/>
      <c r="P154" s="9">
        <v>0</v>
      </c>
      <c r="Q154" s="325"/>
      <c r="R154" s="324"/>
      <c r="S154" s="27">
        <f t="shared" si="71"/>
        <v>0</v>
      </c>
      <c r="T154" s="30">
        <v>0</v>
      </c>
      <c r="U154" s="51"/>
      <c r="V154" s="541">
        <f>+'NF-KSF-TRIAL-BAL-2020'!O154+'RA-TRIAL-BAL-2020'!O154+'DES-TRIAL-BAL-2020'!O154+'DMP-TRIAL-BAL-2020'!O154</f>
        <v>0</v>
      </c>
      <c r="W154" s="529">
        <f>+'NF-KSF-TRIAL-BAL-2020'!P154+'RA-TRIAL-BAL-2020'!P154+'DES-TRIAL-BAL-2020'!P154+'DMP-TRIAL-BAL-2020'!P154</f>
        <v>0</v>
      </c>
      <c r="X154" s="528">
        <f>+'NF-KSF-TRIAL-BAL-2020'!Q154+'RA-TRIAL-BAL-2020'!Q154+'DES-TRIAL-BAL-2020'!Q154+'DMP-TRIAL-BAL-2020'!Q154</f>
        <v>0</v>
      </c>
      <c r="Y154" s="529">
        <f>+'NF-KSF-TRIAL-BAL-2020'!R154+'RA-TRIAL-BAL-2020'!R154+'DES-TRIAL-BAL-2020'!R154+'DMP-TRIAL-BAL-2020'!R154</f>
        <v>0</v>
      </c>
      <c r="Z154" s="528">
        <f>+'NF-KSF-TRIAL-BAL-2020'!S154+'RA-TRIAL-BAL-2020'!S154+'DES-TRIAL-BAL-2020'!S154+'DMP-TRIAL-BAL-2020'!S154</f>
        <v>0</v>
      </c>
      <c r="AA154" s="347">
        <f>+'NF-KSF-TRIAL-BAL-2020'!T154+'RA-TRIAL-BAL-2020'!T154+'DES-TRIAL-BAL-2020'!T154+'DMP-TRIAL-BAL-2020'!T154</f>
        <v>0</v>
      </c>
      <c r="AB154" s="51"/>
      <c r="AC154" s="120"/>
      <c r="AD154" s="9">
        <v>0</v>
      </c>
      <c r="AE154" s="325"/>
      <c r="AF154" s="324"/>
      <c r="AG154" s="27">
        <f t="shared" si="72"/>
        <v>0</v>
      </c>
      <c r="AH154" s="30">
        <v>0</v>
      </c>
      <c r="AI154" s="51"/>
      <c r="AJ154" s="1497">
        <f>+N154</f>
        <v>4327</v>
      </c>
      <c r="AK154" s="951">
        <f>+ROUND(+O154+V154+AC154,2)</f>
        <v>0</v>
      </c>
      <c r="AL154" s="9">
        <v>0</v>
      </c>
      <c r="AM154" s="326">
        <f t="shared" si="74"/>
        <v>0</v>
      </c>
      <c r="AN154" s="970">
        <f t="shared" si="74"/>
        <v>0</v>
      </c>
      <c r="AO154" s="326">
        <f t="shared" si="75"/>
        <v>0</v>
      </c>
      <c r="AP154" s="9">
        <v>0</v>
      </c>
      <c r="AQ154" s="43"/>
      <c r="AR154" s="358">
        <f>+ROUND(+SUM(AK154-AL154)-SUM(O154-P154)-SUM(V154-W154)-SUM(AC154-AD154),2)</f>
        <v>0</v>
      </c>
      <c r="AS154" s="359">
        <f>+ROUND(+SUM(AM154-AN154)-SUM(Q154-R154)-SUM(X154-Y154)-SUM(AE154-AF154),2)</f>
        <v>0</v>
      </c>
      <c r="AT154" s="360">
        <f>+ROUND(+SUM(AO154-AP154)-SUM(S154-T154)-SUM(Z154-AA154)-SUM(AG154-AH154),2)</f>
        <v>0</v>
      </c>
      <c r="AU154" s="43"/>
      <c r="AV154" s="2120">
        <f t="shared" si="76"/>
        <v>0</v>
      </c>
      <c r="AW154" s="119"/>
      <c r="AX154" s="2120">
        <f t="shared" si="77"/>
        <v>0</v>
      </c>
      <c r="AY154" s="43"/>
      <c r="AZ154" s="43"/>
      <c r="BA154" s="43"/>
      <c r="BB154" s="43"/>
      <c r="BC154" s="43"/>
      <c r="BD154" s="43"/>
    </row>
    <row r="155" spans="1:56" ht="15.75">
      <c r="A155" s="88">
        <v>4328</v>
      </c>
      <c r="B155" s="378" t="s">
        <v>35</v>
      </c>
      <c r="C155" s="1033"/>
      <c r="D155" s="1033"/>
      <c r="E155" s="1033"/>
      <c r="F155" s="1033"/>
      <c r="G155" s="1033"/>
      <c r="H155" s="1033"/>
      <c r="I155" s="1033"/>
      <c r="J155" s="1033"/>
      <c r="K155" s="1033"/>
      <c r="L155" s="90"/>
      <c r="M155" s="51" t="s">
        <v>265</v>
      </c>
      <c r="N155" s="113">
        <f>+A155</f>
        <v>4328</v>
      </c>
      <c r="O155" s="120"/>
      <c r="P155" s="9">
        <v>0</v>
      </c>
      <c r="Q155" s="325"/>
      <c r="R155" s="324"/>
      <c r="S155" s="27">
        <f t="shared" si="71"/>
        <v>0</v>
      </c>
      <c r="T155" s="30">
        <v>0</v>
      </c>
      <c r="U155" s="51"/>
      <c r="V155" s="541">
        <f>+'NF-KSF-TRIAL-BAL-2020'!O155+'RA-TRIAL-BAL-2020'!O155+'DES-TRIAL-BAL-2020'!O155+'DMP-TRIAL-BAL-2020'!O155</f>
        <v>0</v>
      </c>
      <c r="W155" s="529">
        <f>+'NF-KSF-TRIAL-BAL-2020'!P155+'RA-TRIAL-BAL-2020'!P155+'DES-TRIAL-BAL-2020'!P155+'DMP-TRIAL-BAL-2020'!P155</f>
        <v>0</v>
      </c>
      <c r="X155" s="528">
        <f>+'NF-KSF-TRIAL-BAL-2020'!Q155+'RA-TRIAL-BAL-2020'!Q155+'DES-TRIAL-BAL-2020'!Q155+'DMP-TRIAL-BAL-2020'!Q155</f>
        <v>0</v>
      </c>
      <c r="Y155" s="529">
        <f>+'NF-KSF-TRIAL-BAL-2020'!R155+'RA-TRIAL-BAL-2020'!R155+'DES-TRIAL-BAL-2020'!R155+'DMP-TRIAL-BAL-2020'!R155</f>
        <v>0</v>
      </c>
      <c r="Z155" s="528">
        <f>+'NF-KSF-TRIAL-BAL-2020'!S155+'RA-TRIAL-BAL-2020'!S155+'DES-TRIAL-BAL-2020'!S155+'DMP-TRIAL-BAL-2020'!S155</f>
        <v>0</v>
      </c>
      <c r="AA155" s="347">
        <f>+'NF-KSF-TRIAL-BAL-2020'!T155+'RA-TRIAL-BAL-2020'!T155+'DES-TRIAL-BAL-2020'!T155+'DMP-TRIAL-BAL-2020'!T155</f>
        <v>0</v>
      </c>
      <c r="AB155" s="51"/>
      <c r="AC155" s="120"/>
      <c r="AD155" s="9">
        <v>0</v>
      </c>
      <c r="AE155" s="325"/>
      <c r="AF155" s="324"/>
      <c r="AG155" s="27">
        <f t="shared" si="72"/>
        <v>0</v>
      </c>
      <c r="AH155" s="30">
        <v>0</v>
      </c>
      <c r="AI155" s="51"/>
      <c r="AJ155" s="1497">
        <f>+N155</f>
        <v>4328</v>
      </c>
      <c r="AK155" s="951">
        <f>+ROUND(+O155+V155+AC155,2)</f>
        <v>0</v>
      </c>
      <c r="AL155" s="9">
        <v>0</v>
      </c>
      <c r="AM155" s="326">
        <f t="shared" si="74"/>
        <v>0</v>
      </c>
      <c r="AN155" s="970">
        <f t="shared" si="74"/>
        <v>0</v>
      </c>
      <c r="AO155" s="326">
        <f t="shared" si="75"/>
        <v>0</v>
      </c>
      <c r="AP155" s="9">
        <v>0</v>
      </c>
      <c r="AQ155" s="43"/>
      <c r="AR155" s="358">
        <f>+ROUND(+SUM(AK155-AL155)-SUM(O155-P155)-SUM(V155-W155)-SUM(AC155-AD155),2)</f>
        <v>0</v>
      </c>
      <c r="AS155" s="359">
        <f>+ROUND(+SUM(AM155-AN155)-SUM(Q155-R155)-SUM(X155-Y155)-SUM(AE155-AF155),2)</f>
        <v>0</v>
      </c>
      <c r="AT155" s="360">
        <f>+ROUND(+SUM(AO155-AP155)-SUM(S155-T155)-SUM(Z155-AA155)-SUM(AG155-AH155),2)</f>
        <v>0</v>
      </c>
      <c r="AU155" s="43"/>
      <c r="AV155" s="2120">
        <f t="shared" si="76"/>
        <v>0</v>
      </c>
      <c r="AW155" s="119"/>
      <c r="AX155" s="2120">
        <f t="shared" si="77"/>
        <v>0</v>
      </c>
      <c r="AY155" s="43"/>
      <c r="AZ155" s="43"/>
      <c r="BA155" s="43"/>
      <c r="BB155" s="43"/>
      <c r="BC155" s="43"/>
      <c r="BD155" s="43"/>
    </row>
    <row r="156" spans="1:56" ht="15.75">
      <c r="A156" s="88">
        <v>4331</v>
      </c>
      <c r="B156" s="378" t="s">
        <v>915</v>
      </c>
      <c r="C156" s="1033"/>
      <c r="D156" s="1033"/>
      <c r="E156" s="1033"/>
      <c r="F156" s="1033"/>
      <c r="G156" s="1033"/>
      <c r="H156" s="1033"/>
      <c r="I156" s="1033"/>
      <c r="J156" s="1033"/>
      <c r="K156" s="1033"/>
      <c r="L156" s="90"/>
      <c r="M156" s="51" t="s">
        <v>265</v>
      </c>
      <c r="N156" s="113">
        <f t="shared" si="64"/>
        <v>4331</v>
      </c>
      <c r="O156" s="120"/>
      <c r="P156" s="9">
        <v>0</v>
      </c>
      <c r="Q156" s="325"/>
      <c r="R156" s="324"/>
      <c r="S156" s="27">
        <f t="shared" si="71"/>
        <v>0</v>
      </c>
      <c r="T156" s="30">
        <v>0</v>
      </c>
      <c r="U156" s="51"/>
      <c r="V156" s="541">
        <f>+'NF-KSF-TRIAL-BAL-2020'!O156+'RA-TRIAL-BAL-2020'!O156+'DES-TRIAL-BAL-2020'!O156+'DMP-TRIAL-BAL-2020'!O156</f>
        <v>0</v>
      </c>
      <c r="W156" s="529">
        <f>+'NF-KSF-TRIAL-BAL-2020'!P156+'RA-TRIAL-BAL-2020'!P156+'DES-TRIAL-BAL-2020'!P156+'DMP-TRIAL-BAL-2020'!P156</f>
        <v>0</v>
      </c>
      <c r="X156" s="528">
        <f>+'NF-KSF-TRIAL-BAL-2020'!Q156+'RA-TRIAL-BAL-2020'!Q156+'DES-TRIAL-BAL-2020'!Q156+'DMP-TRIAL-BAL-2020'!Q156</f>
        <v>0</v>
      </c>
      <c r="Y156" s="529">
        <f>+'NF-KSF-TRIAL-BAL-2020'!R156+'RA-TRIAL-BAL-2020'!R156+'DES-TRIAL-BAL-2020'!R156+'DMP-TRIAL-BAL-2020'!R156</f>
        <v>0</v>
      </c>
      <c r="Z156" s="528">
        <f>+'NF-KSF-TRIAL-BAL-2020'!S156+'RA-TRIAL-BAL-2020'!S156+'DES-TRIAL-BAL-2020'!S156+'DMP-TRIAL-BAL-2020'!S156</f>
        <v>0</v>
      </c>
      <c r="AA156" s="347">
        <f>+'NF-KSF-TRIAL-BAL-2020'!T156+'RA-TRIAL-BAL-2020'!T156+'DES-TRIAL-BAL-2020'!T156+'DMP-TRIAL-BAL-2020'!T156</f>
        <v>0</v>
      </c>
      <c r="AB156" s="51"/>
      <c r="AC156" s="120"/>
      <c r="AD156" s="9">
        <v>0</v>
      </c>
      <c r="AE156" s="122"/>
      <c r="AF156" s="324"/>
      <c r="AG156" s="27">
        <f t="shared" si="72"/>
        <v>0</v>
      </c>
      <c r="AH156" s="30">
        <v>0</v>
      </c>
      <c r="AI156" s="51"/>
      <c r="AJ156" s="1497">
        <f t="shared" si="70"/>
        <v>4331</v>
      </c>
      <c r="AK156" s="951">
        <f t="shared" si="73"/>
        <v>0</v>
      </c>
      <c r="AL156" s="9">
        <v>0</v>
      </c>
      <c r="AM156" s="326">
        <f t="shared" ref="AM156:AN160" si="78">+ROUND(+Q156+X156+AE156,2)</f>
        <v>0</v>
      </c>
      <c r="AN156" s="970">
        <f t="shared" si="78"/>
        <v>0</v>
      </c>
      <c r="AO156" s="326">
        <f t="shared" si="75"/>
        <v>0</v>
      </c>
      <c r="AP156" s="30">
        <v>0</v>
      </c>
      <c r="AQ156" s="43"/>
      <c r="AR156" s="358">
        <f t="shared" si="66"/>
        <v>0</v>
      </c>
      <c r="AS156" s="359">
        <f t="shared" si="67"/>
        <v>0</v>
      </c>
      <c r="AT156" s="360">
        <f t="shared" si="68"/>
        <v>0</v>
      </c>
      <c r="AU156" s="43"/>
      <c r="AV156" s="2120">
        <f t="shared" si="76"/>
        <v>0</v>
      </c>
      <c r="AW156" s="119"/>
      <c r="AX156" s="2120">
        <f t="shared" si="77"/>
        <v>0</v>
      </c>
      <c r="AY156" s="43"/>
      <c r="AZ156" s="43"/>
      <c r="BA156" s="43"/>
      <c r="BB156" s="43"/>
      <c r="BC156" s="43"/>
      <c r="BD156" s="43"/>
    </row>
    <row r="157" spans="1:56" ht="15.75">
      <c r="A157" s="88">
        <v>4332</v>
      </c>
      <c r="B157" s="378" t="s">
        <v>916</v>
      </c>
      <c r="C157" s="1033"/>
      <c r="D157" s="1033"/>
      <c r="E157" s="1033"/>
      <c r="F157" s="1033"/>
      <c r="G157" s="1033"/>
      <c r="H157" s="1033"/>
      <c r="I157" s="1033"/>
      <c r="J157" s="1033"/>
      <c r="K157" s="1033"/>
      <c r="L157" s="90"/>
      <c r="M157" s="51" t="s">
        <v>265</v>
      </c>
      <c r="N157" s="113">
        <f t="shared" si="64"/>
        <v>4332</v>
      </c>
      <c r="O157" s="120"/>
      <c r="P157" s="9">
        <v>0</v>
      </c>
      <c r="Q157" s="325"/>
      <c r="R157" s="324"/>
      <c r="S157" s="27">
        <f t="shared" si="71"/>
        <v>0</v>
      </c>
      <c r="T157" s="30">
        <v>0</v>
      </c>
      <c r="U157" s="51"/>
      <c r="V157" s="541">
        <f>+'NF-KSF-TRIAL-BAL-2020'!O157+'RA-TRIAL-BAL-2020'!O157+'DES-TRIAL-BAL-2020'!O157+'DMP-TRIAL-BAL-2020'!O157</f>
        <v>0</v>
      </c>
      <c r="W157" s="529">
        <f>+'NF-KSF-TRIAL-BAL-2020'!P157+'RA-TRIAL-BAL-2020'!P157+'DES-TRIAL-BAL-2020'!P157+'DMP-TRIAL-BAL-2020'!P157</f>
        <v>0</v>
      </c>
      <c r="X157" s="528">
        <f>+'NF-KSF-TRIAL-BAL-2020'!Q157+'RA-TRIAL-BAL-2020'!Q157+'DES-TRIAL-BAL-2020'!Q157+'DMP-TRIAL-BAL-2020'!Q157</f>
        <v>0</v>
      </c>
      <c r="Y157" s="529">
        <f>+'NF-KSF-TRIAL-BAL-2020'!R157+'RA-TRIAL-BAL-2020'!R157+'DES-TRIAL-BAL-2020'!R157+'DMP-TRIAL-BAL-2020'!R157</f>
        <v>0</v>
      </c>
      <c r="Z157" s="528">
        <f>+'NF-KSF-TRIAL-BAL-2020'!S157+'RA-TRIAL-BAL-2020'!S157+'DES-TRIAL-BAL-2020'!S157+'DMP-TRIAL-BAL-2020'!S157</f>
        <v>0</v>
      </c>
      <c r="AA157" s="347">
        <f>+'NF-KSF-TRIAL-BAL-2020'!T157+'RA-TRIAL-BAL-2020'!T157+'DES-TRIAL-BAL-2020'!T157+'DMP-TRIAL-BAL-2020'!T157</f>
        <v>0</v>
      </c>
      <c r="AB157" s="51"/>
      <c r="AC157" s="120"/>
      <c r="AD157" s="9">
        <v>0</v>
      </c>
      <c r="AE157" s="325"/>
      <c r="AF157" s="324"/>
      <c r="AG157" s="27">
        <f t="shared" si="72"/>
        <v>0</v>
      </c>
      <c r="AH157" s="30">
        <v>0</v>
      </c>
      <c r="AI157" s="51"/>
      <c r="AJ157" s="1497">
        <f t="shared" si="70"/>
        <v>4332</v>
      </c>
      <c r="AK157" s="951">
        <f t="shared" si="73"/>
        <v>0</v>
      </c>
      <c r="AL157" s="9">
        <v>0</v>
      </c>
      <c r="AM157" s="326">
        <f t="shared" si="78"/>
        <v>0</v>
      </c>
      <c r="AN157" s="970">
        <f t="shared" si="78"/>
        <v>0</v>
      </c>
      <c r="AO157" s="326">
        <f t="shared" si="75"/>
        <v>0</v>
      </c>
      <c r="AP157" s="30">
        <v>0</v>
      </c>
      <c r="AQ157" s="43"/>
      <c r="AR157" s="358">
        <f t="shared" si="66"/>
        <v>0</v>
      </c>
      <c r="AS157" s="359">
        <f t="shared" si="67"/>
        <v>0</v>
      </c>
      <c r="AT157" s="360">
        <f t="shared" si="68"/>
        <v>0</v>
      </c>
      <c r="AU157" s="43"/>
      <c r="AV157" s="2120">
        <f t="shared" si="76"/>
        <v>0</v>
      </c>
      <c r="AW157" s="119"/>
      <c r="AX157" s="2120">
        <f t="shared" si="77"/>
        <v>0</v>
      </c>
      <c r="AY157" s="43"/>
      <c r="AZ157" s="43"/>
      <c r="BA157" s="43"/>
      <c r="BB157" s="43"/>
      <c r="BC157" s="43"/>
      <c r="BD157" s="43"/>
    </row>
    <row r="158" spans="1:56" ht="15.75">
      <c r="A158" s="88">
        <v>4351</v>
      </c>
      <c r="B158" s="1032" t="s">
        <v>1161</v>
      </c>
      <c r="C158" s="1033"/>
      <c r="D158" s="1033"/>
      <c r="E158" s="1033"/>
      <c r="F158" s="1033"/>
      <c r="G158" s="1033"/>
      <c r="H158" s="1033"/>
      <c r="I158" s="1033"/>
      <c r="J158" s="1033"/>
      <c r="K158" s="1033"/>
      <c r="L158" s="90"/>
      <c r="M158" s="51" t="s">
        <v>265</v>
      </c>
      <c r="N158" s="113">
        <f t="shared" si="64"/>
        <v>4351</v>
      </c>
      <c r="O158" s="120"/>
      <c r="P158" s="9">
        <v>0</v>
      </c>
      <c r="Q158" s="325"/>
      <c r="R158" s="324"/>
      <c r="S158" s="27">
        <f t="shared" si="71"/>
        <v>0</v>
      </c>
      <c r="T158" s="30">
        <v>0</v>
      </c>
      <c r="U158" s="51"/>
      <c r="V158" s="541">
        <f>+'NF-KSF-TRIAL-BAL-2020'!O158+'RA-TRIAL-BAL-2020'!O158+'DES-TRIAL-BAL-2020'!O158+'DMP-TRIAL-BAL-2020'!O158</f>
        <v>0</v>
      </c>
      <c r="W158" s="529">
        <f>+'NF-KSF-TRIAL-BAL-2020'!P158+'RA-TRIAL-BAL-2020'!P158+'DES-TRIAL-BAL-2020'!P158+'DMP-TRIAL-BAL-2020'!P158</f>
        <v>0</v>
      </c>
      <c r="X158" s="528">
        <f>+'NF-KSF-TRIAL-BAL-2020'!Q158+'RA-TRIAL-BAL-2020'!Q158+'DES-TRIAL-BAL-2020'!Q158+'DMP-TRIAL-BAL-2020'!Q158</f>
        <v>0</v>
      </c>
      <c r="Y158" s="529">
        <f>+'NF-KSF-TRIAL-BAL-2020'!R158+'RA-TRIAL-BAL-2020'!R158+'DES-TRIAL-BAL-2020'!R158+'DMP-TRIAL-BAL-2020'!R158</f>
        <v>0</v>
      </c>
      <c r="Z158" s="528">
        <f>+'NF-KSF-TRIAL-BAL-2020'!S158+'RA-TRIAL-BAL-2020'!S158+'DES-TRIAL-BAL-2020'!S158+'DMP-TRIAL-BAL-2020'!S158</f>
        <v>0</v>
      </c>
      <c r="AA158" s="347">
        <f>+'NF-KSF-TRIAL-BAL-2020'!T158+'RA-TRIAL-BAL-2020'!T158+'DES-TRIAL-BAL-2020'!T158+'DMP-TRIAL-BAL-2020'!T158</f>
        <v>0</v>
      </c>
      <c r="AB158" s="51"/>
      <c r="AC158" s="120"/>
      <c r="AD158" s="9">
        <v>0</v>
      </c>
      <c r="AE158" s="325"/>
      <c r="AF158" s="324"/>
      <c r="AG158" s="27">
        <f t="shared" si="72"/>
        <v>0</v>
      </c>
      <c r="AH158" s="30">
        <v>0</v>
      </c>
      <c r="AI158" s="51"/>
      <c r="AJ158" s="1497">
        <f t="shared" si="70"/>
        <v>4351</v>
      </c>
      <c r="AK158" s="951">
        <f t="shared" si="73"/>
        <v>0</v>
      </c>
      <c r="AL158" s="9">
        <v>0</v>
      </c>
      <c r="AM158" s="326">
        <f t="shared" si="78"/>
        <v>0</v>
      </c>
      <c r="AN158" s="970">
        <f t="shared" si="78"/>
        <v>0</v>
      </c>
      <c r="AO158" s="326">
        <f t="shared" si="75"/>
        <v>0</v>
      </c>
      <c r="AP158" s="30">
        <v>0</v>
      </c>
      <c r="AQ158" s="43"/>
      <c r="AR158" s="358">
        <f t="shared" si="66"/>
        <v>0</v>
      </c>
      <c r="AS158" s="359">
        <f t="shared" si="67"/>
        <v>0</v>
      </c>
      <c r="AT158" s="360">
        <f t="shared" si="68"/>
        <v>0</v>
      </c>
      <c r="AU158" s="43"/>
      <c r="AV158" s="2120">
        <f t="shared" si="76"/>
        <v>0</v>
      </c>
      <c r="AW158" s="119"/>
      <c r="AX158" s="2120">
        <f t="shared" si="77"/>
        <v>0</v>
      </c>
      <c r="AY158" s="43"/>
      <c r="AZ158" s="43"/>
      <c r="BA158" s="43"/>
      <c r="BB158" s="43"/>
      <c r="BC158" s="43"/>
      <c r="BD158" s="43"/>
    </row>
    <row r="159" spans="1:56" ht="15.75">
      <c r="A159" s="88">
        <v>4352</v>
      </c>
      <c r="B159" s="1032" t="s">
        <v>1162</v>
      </c>
      <c r="C159" s="1033"/>
      <c r="D159" s="1033"/>
      <c r="E159" s="1033"/>
      <c r="F159" s="1033"/>
      <c r="G159" s="1033"/>
      <c r="H159" s="1033"/>
      <c r="I159" s="1033"/>
      <c r="J159" s="1033"/>
      <c r="K159" s="1033"/>
      <c r="L159" s="90"/>
      <c r="M159" s="51" t="s">
        <v>265</v>
      </c>
      <c r="N159" s="113">
        <f t="shared" si="64"/>
        <v>4352</v>
      </c>
      <c r="O159" s="120"/>
      <c r="P159" s="9">
        <v>0</v>
      </c>
      <c r="Q159" s="325"/>
      <c r="R159" s="324"/>
      <c r="S159" s="27">
        <f t="shared" si="71"/>
        <v>0</v>
      </c>
      <c r="T159" s="30">
        <v>0</v>
      </c>
      <c r="U159" s="51"/>
      <c r="V159" s="541">
        <f>+'NF-KSF-TRIAL-BAL-2020'!O159+'RA-TRIAL-BAL-2020'!O159+'DES-TRIAL-BAL-2020'!O159+'DMP-TRIAL-BAL-2020'!O159</f>
        <v>0</v>
      </c>
      <c r="W159" s="529">
        <f>+'NF-KSF-TRIAL-BAL-2020'!P159+'RA-TRIAL-BAL-2020'!P159+'DES-TRIAL-BAL-2020'!P159+'DMP-TRIAL-BAL-2020'!P159</f>
        <v>0</v>
      </c>
      <c r="X159" s="528">
        <f>+'NF-KSF-TRIAL-BAL-2020'!Q159+'RA-TRIAL-BAL-2020'!Q159+'DES-TRIAL-BAL-2020'!Q159+'DMP-TRIAL-BAL-2020'!Q159</f>
        <v>0</v>
      </c>
      <c r="Y159" s="529">
        <f>+'NF-KSF-TRIAL-BAL-2020'!R159+'RA-TRIAL-BAL-2020'!R159+'DES-TRIAL-BAL-2020'!R159+'DMP-TRIAL-BAL-2020'!R159</f>
        <v>0</v>
      </c>
      <c r="Z159" s="528">
        <f>+'NF-KSF-TRIAL-BAL-2020'!S159+'RA-TRIAL-BAL-2020'!S159+'DES-TRIAL-BAL-2020'!S159+'DMP-TRIAL-BAL-2020'!S159</f>
        <v>0</v>
      </c>
      <c r="AA159" s="347">
        <f>+'NF-KSF-TRIAL-BAL-2020'!T159+'RA-TRIAL-BAL-2020'!T159+'DES-TRIAL-BAL-2020'!T159+'DMP-TRIAL-BAL-2020'!T159</f>
        <v>0</v>
      </c>
      <c r="AB159" s="51"/>
      <c r="AC159" s="120"/>
      <c r="AD159" s="9">
        <v>0</v>
      </c>
      <c r="AE159" s="122"/>
      <c r="AF159" s="324"/>
      <c r="AG159" s="27">
        <f t="shared" si="72"/>
        <v>0</v>
      </c>
      <c r="AH159" s="30">
        <v>0</v>
      </c>
      <c r="AI159" s="51"/>
      <c r="AJ159" s="1497">
        <f t="shared" si="70"/>
        <v>4352</v>
      </c>
      <c r="AK159" s="951">
        <f t="shared" si="73"/>
        <v>0</v>
      </c>
      <c r="AL159" s="9">
        <v>0</v>
      </c>
      <c r="AM159" s="326">
        <f t="shared" si="78"/>
        <v>0</v>
      </c>
      <c r="AN159" s="970">
        <f t="shared" si="78"/>
        <v>0</v>
      </c>
      <c r="AO159" s="326">
        <f t="shared" si="75"/>
        <v>0</v>
      </c>
      <c r="AP159" s="30">
        <v>0</v>
      </c>
      <c r="AQ159" s="43"/>
      <c r="AR159" s="358">
        <f t="shared" si="66"/>
        <v>0</v>
      </c>
      <c r="AS159" s="359">
        <f t="shared" si="67"/>
        <v>0</v>
      </c>
      <c r="AT159" s="360">
        <f t="shared" si="68"/>
        <v>0</v>
      </c>
      <c r="AU159" s="43"/>
      <c r="AV159" s="2120">
        <f t="shared" si="76"/>
        <v>0</v>
      </c>
      <c r="AW159" s="119"/>
      <c r="AX159" s="2120">
        <f t="shared" si="77"/>
        <v>0</v>
      </c>
      <c r="AY159" s="43"/>
      <c r="AZ159" s="43"/>
      <c r="BA159" s="43"/>
      <c r="BB159" s="43"/>
      <c r="BC159" s="43"/>
      <c r="BD159" s="43"/>
    </row>
    <row r="160" spans="1:56" ht="15.75">
      <c r="A160" s="88">
        <v>4360</v>
      </c>
      <c r="B160" s="1034" t="s">
        <v>664</v>
      </c>
      <c r="C160" s="1033"/>
      <c r="D160" s="1033"/>
      <c r="E160" s="1033"/>
      <c r="F160" s="1033"/>
      <c r="G160" s="1033"/>
      <c r="H160" s="1033"/>
      <c r="I160" s="1033"/>
      <c r="J160" s="1033"/>
      <c r="K160" s="1033"/>
      <c r="L160" s="90"/>
      <c r="M160" s="51" t="s">
        <v>265</v>
      </c>
      <c r="N160" s="113">
        <f t="shared" si="64"/>
        <v>4360</v>
      </c>
      <c r="O160" s="120"/>
      <c r="P160" s="121"/>
      <c r="Q160" s="325"/>
      <c r="R160" s="324"/>
      <c r="S160" s="27">
        <f t="shared" ref="S160:S172" si="79">+IF(ABS(+O160+Q160)&gt;=ABS(P160+R160),+O160-P160+Q160-R160,0)</f>
        <v>0</v>
      </c>
      <c r="T160" s="28">
        <f>+IF(ABS(+O160+Q160)&lt;=ABS(P160+R160),-O160+P160-Q160+R160,0)</f>
        <v>0</v>
      </c>
      <c r="U160" s="51"/>
      <c r="V160" s="541">
        <f>+'NF-KSF-TRIAL-BAL-2020'!O160+'RA-TRIAL-BAL-2020'!O160+'DES-TRIAL-BAL-2020'!O160+'DMP-TRIAL-BAL-2020'!O160</f>
        <v>0</v>
      </c>
      <c r="W160" s="529">
        <f>+'NF-KSF-TRIAL-BAL-2020'!P160+'RA-TRIAL-BAL-2020'!P160+'DES-TRIAL-BAL-2020'!P160+'DMP-TRIAL-BAL-2020'!P160</f>
        <v>0</v>
      </c>
      <c r="X160" s="528">
        <f>+'NF-KSF-TRIAL-BAL-2020'!Q160+'RA-TRIAL-BAL-2020'!Q160+'DES-TRIAL-BAL-2020'!Q160+'DMP-TRIAL-BAL-2020'!Q160</f>
        <v>0</v>
      </c>
      <c r="Y160" s="529">
        <f>+'NF-KSF-TRIAL-BAL-2020'!R160+'RA-TRIAL-BAL-2020'!R160+'DES-TRIAL-BAL-2020'!R160+'DMP-TRIAL-BAL-2020'!R160</f>
        <v>0</v>
      </c>
      <c r="Z160" s="528">
        <f>+'NF-KSF-TRIAL-BAL-2020'!S160+'RA-TRIAL-BAL-2020'!S160+'DES-TRIAL-BAL-2020'!S160+'DMP-TRIAL-BAL-2020'!S160</f>
        <v>0</v>
      </c>
      <c r="AA160" s="347">
        <f>+'NF-KSF-TRIAL-BAL-2020'!T160+'RA-TRIAL-BAL-2020'!T160+'DES-TRIAL-BAL-2020'!T160+'DMP-TRIAL-BAL-2020'!T160</f>
        <v>0</v>
      </c>
      <c r="AB160" s="51"/>
      <c r="AC160" s="120"/>
      <c r="AD160" s="121"/>
      <c r="AE160" s="325"/>
      <c r="AF160" s="324"/>
      <c r="AG160" s="27">
        <f t="shared" ref="AG160:AG172" si="80">+IF(ABS(+AC160+AE160)&gt;=ABS(AD160+AF160),+AC160-AD160+AE160-AF160,0)</f>
        <v>0</v>
      </c>
      <c r="AH160" s="28">
        <f>+IF(ABS(+AC160+AE160)&lt;=ABS(AD160+AF160),-AC160+AD160-AE160+AF160,0)</f>
        <v>0</v>
      </c>
      <c r="AI160" s="51"/>
      <c r="AJ160" s="1497">
        <f t="shared" si="70"/>
        <v>4360</v>
      </c>
      <c r="AK160" s="951">
        <f t="shared" si="73"/>
        <v>0</v>
      </c>
      <c r="AL160" s="970">
        <f>+ROUND(+P160+W160+AD160,2)</f>
        <v>0</v>
      </c>
      <c r="AM160" s="326">
        <f t="shared" si="78"/>
        <v>0</v>
      </c>
      <c r="AN160" s="970">
        <f t="shared" si="78"/>
        <v>0</v>
      </c>
      <c r="AO160" s="326">
        <f t="shared" si="75"/>
        <v>0</v>
      </c>
      <c r="AP160" s="28">
        <f>+T160+AA160+AH160</f>
        <v>0</v>
      </c>
      <c r="AQ160" s="43"/>
      <c r="AR160" s="358">
        <f t="shared" si="66"/>
        <v>0</v>
      </c>
      <c r="AS160" s="359">
        <f t="shared" si="67"/>
        <v>0</v>
      </c>
      <c r="AT160" s="360">
        <f t="shared" si="68"/>
        <v>0</v>
      </c>
      <c r="AU160" s="43"/>
      <c r="AV160" s="43"/>
      <c r="AW160" s="119"/>
      <c r="AX160" s="119"/>
      <c r="AY160" s="43"/>
      <c r="AZ160" s="43"/>
      <c r="BA160" s="43"/>
      <c r="BB160" s="43"/>
      <c r="BC160" s="43"/>
      <c r="BD160" s="43"/>
    </row>
    <row r="161" spans="1:56" ht="15.75">
      <c r="A161" s="88">
        <v>4371</v>
      </c>
      <c r="B161" s="378" t="s">
        <v>36</v>
      </c>
      <c r="C161" s="1033"/>
      <c r="D161" s="1033"/>
      <c r="E161" s="1033"/>
      <c r="F161" s="1033"/>
      <c r="G161" s="1033"/>
      <c r="H161" s="1033"/>
      <c r="I161" s="1033"/>
      <c r="J161" s="1033"/>
      <c r="K161" s="1033"/>
      <c r="L161" s="90"/>
      <c r="M161" s="51" t="s">
        <v>265</v>
      </c>
      <c r="N161" s="113">
        <f t="shared" si="64"/>
        <v>4371</v>
      </c>
      <c r="O161" s="120"/>
      <c r="P161" s="9">
        <v>0</v>
      </c>
      <c r="Q161" s="325"/>
      <c r="R161" s="324"/>
      <c r="S161" s="27">
        <f t="shared" si="79"/>
        <v>0</v>
      </c>
      <c r="T161" s="30">
        <v>0</v>
      </c>
      <c r="U161" s="51"/>
      <c r="V161" s="541">
        <f>+'NF-KSF-TRIAL-BAL-2020'!O161+'RA-TRIAL-BAL-2020'!O161+'DES-TRIAL-BAL-2020'!O161+'DMP-TRIAL-BAL-2020'!O161</f>
        <v>0</v>
      </c>
      <c r="W161" s="529">
        <f>+'NF-KSF-TRIAL-BAL-2020'!P161+'RA-TRIAL-BAL-2020'!P161+'DES-TRIAL-BAL-2020'!P161+'DMP-TRIAL-BAL-2020'!P161</f>
        <v>0</v>
      </c>
      <c r="X161" s="528">
        <f>+'NF-KSF-TRIAL-BAL-2020'!Q161+'RA-TRIAL-BAL-2020'!Q161+'DES-TRIAL-BAL-2020'!Q161+'DMP-TRIAL-BAL-2020'!Q161</f>
        <v>0</v>
      </c>
      <c r="Y161" s="529">
        <f>+'NF-KSF-TRIAL-BAL-2020'!R161+'RA-TRIAL-BAL-2020'!R161+'DES-TRIAL-BAL-2020'!R161+'DMP-TRIAL-BAL-2020'!R161</f>
        <v>0</v>
      </c>
      <c r="Z161" s="528">
        <f>+'NF-KSF-TRIAL-BAL-2020'!S161+'RA-TRIAL-BAL-2020'!S161+'DES-TRIAL-BAL-2020'!S161+'DMP-TRIAL-BAL-2020'!S161</f>
        <v>0</v>
      </c>
      <c r="AA161" s="347">
        <f>+'NF-KSF-TRIAL-BAL-2020'!T161+'RA-TRIAL-BAL-2020'!T161+'DES-TRIAL-BAL-2020'!T161+'DMP-TRIAL-BAL-2020'!T161</f>
        <v>0</v>
      </c>
      <c r="AB161" s="51"/>
      <c r="AC161" s="120"/>
      <c r="AD161" s="9">
        <v>0</v>
      </c>
      <c r="AE161" s="325"/>
      <c r="AF161" s="324"/>
      <c r="AG161" s="27">
        <f t="shared" si="80"/>
        <v>0</v>
      </c>
      <c r="AH161" s="30">
        <v>0</v>
      </c>
      <c r="AI161" s="51"/>
      <c r="AJ161" s="1497">
        <f t="shared" si="70"/>
        <v>4371</v>
      </c>
      <c r="AK161" s="951">
        <f t="shared" ref="AK161:AK172" si="81">+ROUND(+O161+V161+AC161,2)</f>
        <v>0</v>
      </c>
      <c r="AL161" s="9">
        <v>0</v>
      </c>
      <c r="AM161" s="326">
        <f t="shared" ref="AM161:AN166" si="82">+ROUND(+Q161+X161+AE161,2)</f>
        <v>0</v>
      </c>
      <c r="AN161" s="970">
        <f t="shared" si="82"/>
        <v>0</v>
      </c>
      <c r="AO161" s="326">
        <f t="shared" si="75"/>
        <v>0</v>
      </c>
      <c r="AP161" s="30">
        <v>0</v>
      </c>
      <c r="AQ161" s="43"/>
      <c r="AR161" s="358">
        <f t="shared" si="66"/>
        <v>0</v>
      </c>
      <c r="AS161" s="359">
        <f t="shared" si="67"/>
        <v>0</v>
      </c>
      <c r="AT161" s="360">
        <f t="shared" si="68"/>
        <v>0</v>
      </c>
      <c r="AU161" s="43"/>
      <c r="AV161" s="2120">
        <f t="shared" ref="AV161:AV172" si="83">+IF(OR(ROUND(P161,2)+ROUND(R161,2)&gt;+ROUND(O161,2)+ROUND(Q161,2),+ABS(ROUND(P161,2)+ROUND(R161,2))&gt;+ABS(ROUND(O161,2)+ROUND(Q161,2))),+(ROUND(P161,2)+ROUND(R161,2))-(ROUND(O161,2)+ROUND(Q161,2)),0)</f>
        <v>0</v>
      </c>
      <c r="AW161" s="119"/>
      <c r="AX161" s="2120">
        <f t="shared" ref="AX161:AX172" si="84">+IF(OR(ROUND(AD161,2)+ROUND(AF161,2)&gt;+ROUND(AC161,2)+ROUND(AE161,2),+ABS(ROUND(AD161,2)+ROUND(AF161,2))&gt;+ABS(ROUND(AC161,2)+ROUND(AE161,2))),+(ROUND(AD161,2)+ROUND(AF161,2))-(ROUND(AC161,2)+ROUND(AE161,2)),0)</f>
        <v>0</v>
      </c>
      <c r="AY161" s="43"/>
      <c r="AZ161" s="43"/>
      <c r="BA161" s="43"/>
      <c r="BB161" s="43"/>
      <c r="BC161" s="43"/>
      <c r="BD161" s="43"/>
    </row>
    <row r="162" spans="1:56" ht="15.75">
      <c r="A162" s="88">
        <v>4372</v>
      </c>
      <c r="B162" s="378" t="s">
        <v>37</v>
      </c>
      <c r="C162" s="1033"/>
      <c r="D162" s="1033"/>
      <c r="E162" s="1033"/>
      <c r="F162" s="1033"/>
      <c r="G162" s="1033"/>
      <c r="H162" s="1033"/>
      <c r="I162" s="1033"/>
      <c r="J162" s="1033"/>
      <c r="K162" s="1033"/>
      <c r="L162" s="90"/>
      <c r="M162" s="51" t="s">
        <v>265</v>
      </c>
      <c r="N162" s="113">
        <f t="shared" si="64"/>
        <v>4372</v>
      </c>
      <c r="O162" s="120"/>
      <c r="P162" s="9">
        <v>0</v>
      </c>
      <c r="Q162" s="325"/>
      <c r="R162" s="324"/>
      <c r="S162" s="27">
        <f t="shared" si="79"/>
        <v>0</v>
      </c>
      <c r="T162" s="30">
        <v>0</v>
      </c>
      <c r="U162" s="51"/>
      <c r="V162" s="541">
        <f>+'NF-KSF-TRIAL-BAL-2020'!O162+'RA-TRIAL-BAL-2020'!O162+'DES-TRIAL-BAL-2020'!O162+'DMP-TRIAL-BAL-2020'!O162</f>
        <v>0</v>
      </c>
      <c r="W162" s="529">
        <f>+'NF-KSF-TRIAL-BAL-2020'!P162+'RA-TRIAL-BAL-2020'!P162+'DES-TRIAL-BAL-2020'!P162+'DMP-TRIAL-BAL-2020'!P162</f>
        <v>0</v>
      </c>
      <c r="X162" s="528">
        <f>+'NF-KSF-TRIAL-BAL-2020'!Q162+'RA-TRIAL-BAL-2020'!Q162+'DES-TRIAL-BAL-2020'!Q162+'DMP-TRIAL-BAL-2020'!Q162</f>
        <v>0</v>
      </c>
      <c r="Y162" s="529">
        <f>+'NF-KSF-TRIAL-BAL-2020'!R162+'RA-TRIAL-BAL-2020'!R162+'DES-TRIAL-BAL-2020'!R162+'DMP-TRIAL-BAL-2020'!R162</f>
        <v>0</v>
      </c>
      <c r="Z162" s="528">
        <f>+'NF-KSF-TRIAL-BAL-2020'!S162+'RA-TRIAL-BAL-2020'!S162+'DES-TRIAL-BAL-2020'!S162+'DMP-TRIAL-BAL-2020'!S162</f>
        <v>0</v>
      </c>
      <c r="AA162" s="347">
        <f>+'NF-KSF-TRIAL-BAL-2020'!T162+'RA-TRIAL-BAL-2020'!T162+'DES-TRIAL-BAL-2020'!T162+'DMP-TRIAL-BAL-2020'!T162</f>
        <v>0</v>
      </c>
      <c r="AB162" s="51"/>
      <c r="AC162" s="120"/>
      <c r="AD162" s="9">
        <v>0</v>
      </c>
      <c r="AE162" s="122"/>
      <c r="AF162" s="324"/>
      <c r="AG162" s="27">
        <f t="shared" si="80"/>
        <v>0</v>
      </c>
      <c r="AH162" s="30">
        <v>0</v>
      </c>
      <c r="AI162" s="51"/>
      <c r="AJ162" s="1497">
        <f t="shared" si="70"/>
        <v>4372</v>
      </c>
      <c r="AK162" s="951">
        <f t="shared" si="81"/>
        <v>0</v>
      </c>
      <c r="AL162" s="9">
        <v>0</v>
      </c>
      <c r="AM162" s="326">
        <f t="shared" si="82"/>
        <v>0</v>
      </c>
      <c r="AN162" s="970">
        <f t="shared" si="82"/>
        <v>0</v>
      </c>
      <c r="AO162" s="326">
        <f t="shared" si="75"/>
        <v>0</v>
      </c>
      <c r="AP162" s="30">
        <v>0</v>
      </c>
      <c r="AQ162" s="43"/>
      <c r="AR162" s="358">
        <f t="shared" si="66"/>
        <v>0</v>
      </c>
      <c r="AS162" s="359">
        <f t="shared" si="67"/>
        <v>0</v>
      </c>
      <c r="AT162" s="360">
        <f t="shared" si="68"/>
        <v>0</v>
      </c>
      <c r="AU162" s="43"/>
      <c r="AV162" s="2120">
        <f t="shared" si="83"/>
        <v>0</v>
      </c>
      <c r="AW162" s="119"/>
      <c r="AX162" s="2120">
        <f t="shared" si="84"/>
        <v>0</v>
      </c>
      <c r="AY162" s="43"/>
      <c r="AZ162" s="43"/>
      <c r="BA162" s="43"/>
      <c r="BB162" s="43"/>
      <c r="BC162" s="43"/>
      <c r="BD162" s="43"/>
    </row>
    <row r="163" spans="1:56" ht="15.75">
      <c r="A163" s="88">
        <v>4373</v>
      </c>
      <c r="B163" s="378" t="s">
        <v>38</v>
      </c>
      <c r="C163" s="1033"/>
      <c r="D163" s="1033"/>
      <c r="E163" s="1033"/>
      <c r="F163" s="1033"/>
      <c r="G163" s="1033"/>
      <c r="H163" s="1033"/>
      <c r="I163" s="1033"/>
      <c r="J163" s="1033"/>
      <c r="K163" s="1033"/>
      <c r="L163" s="90"/>
      <c r="M163" s="51" t="s">
        <v>265</v>
      </c>
      <c r="N163" s="113">
        <f t="shared" si="64"/>
        <v>4373</v>
      </c>
      <c r="O163" s="120"/>
      <c r="P163" s="9">
        <v>0</v>
      </c>
      <c r="Q163" s="325"/>
      <c r="R163" s="324"/>
      <c r="S163" s="27">
        <f t="shared" si="79"/>
        <v>0</v>
      </c>
      <c r="T163" s="30">
        <v>0</v>
      </c>
      <c r="U163" s="51"/>
      <c r="V163" s="541">
        <f>+'NF-KSF-TRIAL-BAL-2020'!O163+'RA-TRIAL-BAL-2020'!O163+'DES-TRIAL-BAL-2020'!O163+'DMP-TRIAL-BAL-2020'!O163</f>
        <v>0</v>
      </c>
      <c r="W163" s="529">
        <f>+'NF-KSF-TRIAL-BAL-2020'!P163+'RA-TRIAL-BAL-2020'!P163+'DES-TRIAL-BAL-2020'!P163+'DMP-TRIAL-BAL-2020'!P163</f>
        <v>0</v>
      </c>
      <c r="X163" s="528">
        <f>+'NF-KSF-TRIAL-BAL-2020'!Q163+'RA-TRIAL-BAL-2020'!Q163+'DES-TRIAL-BAL-2020'!Q163+'DMP-TRIAL-BAL-2020'!Q163</f>
        <v>0</v>
      </c>
      <c r="Y163" s="529">
        <f>+'NF-KSF-TRIAL-BAL-2020'!R163+'RA-TRIAL-BAL-2020'!R163+'DES-TRIAL-BAL-2020'!R163+'DMP-TRIAL-BAL-2020'!R163</f>
        <v>0</v>
      </c>
      <c r="Z163" s="528">
        <f>+'NF-KSF-TRIAL-BAL-2020'!S163+'RA-TRIAL-BAL-2020'!S163+'DES-TRIAL-BAL-2020'!S163+'DMP-TRIAL-BAL-2020'!S163</f>
        <v>0</v>
      </c>
      <c r="AA163" s="347">
        <f>+'NF-KSF-TRIAL-BAL-2020'!T163+'RA-TRIAL-BAL-2020'!T163+'DES-TRIAL-BAL-2020'!T163+'DMP-TRIAL-BAL-2020'!T163</f>
        <v>0</v>
      </c>
      <c r="AB163" s="51"/>
      <c r="AC163" s="120"/>
      <c r="AD163" s="9">
        <v>0</v>
      </c>
      <c r="AE163" s="325"/>
      <c r="AF163" s="324"/>
      <c r="AG163" s="27">
        <f t="shared" si="80"/>
        <v>0</v>
      </c>
      <c r="AH163" s="30">
        <v>0</v>
      </c>
      <c r="AI163" s="51"/>
      <c r="AJ163" s="1497">
        <f t="shared" si="70"/>
        <v>4373</v>
      </c>
      <c r="AK163" s="951">
        <f t="shared" si="81"/>
        <v>0</v>
      </c>
      <c r="AL163" s="9">
        <v>0</v>
      </c>
      <c r="AM163" s="326">
        <f t="shared" si="82"/>
        <v>0</v>
      </c>
      <c r="AN163" s="970">
        <f t="shared" si="82"/>
        <v>0</v>
      </c>
      <c r="AO163" s="326">
        <f t="shared" si="75"/>
        <v>0</v>
      </c>
      <c r="AP163" s="30">
        <v>0</v>
      </c>
      <c r="AQ163" s="43"/>
      <c r="AR163" s="358">
        <f t="shared" si="66"/>
        <v>0</v>
      </c>
      <c r="AS163" s="359">
        <f t="shared" si="67"/>
        <v>0</v>
      </c>
      <c r="AT163" s="360">
        <f t="shared" si="68"/>
        <v>0</v>
      </c>
      <c r="AU163" s="43"/>
      <c r="AV163" s="2120">
        <f t="shared" si="83"/>
        <v>0</v>
      </c>
      <c r="AW163" s="119"/>
      <c r="AX163" s="2120">
        <f t="shared" si="84"/>
        <v>0</v>
      </c>
      <c r="AY163" s="43"/>
      <c r="AZ163" s="43"/>
      <c r="BA163" s="43"/>
      <c r="BB163" s="43"/>
      <c r="BC163" s="43"/>
      <c r="BD163" s="43"/>
    </row>
    <row r="164" spans="1:56" ht="15.75">
      <c r="A164" s="88">
        <v>4374</v>
      </c>
      <c r="B164" s="378" t="s">
        <v>39</v>
      </c>
      <c r="C164" s="1033"/>
      <c r="D164" s="1033"/>
      <c r="E164" s="1033"/>
      <c r="F164" s="1033"/>
      <c r="G164" s="1033"/>
      <c r="H164" s="1033"/>
      <c r="I164" s="1033"/>
      <c r="J164" s="1033"/>
      <c r="K164" s="1033"/>
      <c r="L164" s="90"/>
      <c r="M164" s="51" t="s">
        <v>265</v>
      </c>
      <c r="N164" s="113">
        <f t="shared" si="64"/>
        <v>4374</v>
      </c>
      <c r="O164" s="120"/>
      <c r="P164" s="9">
        <v>0</v>
      </c>
      <c r="Q164" s="325"/>
      <c r="R164" s="324"/>
      <c r="S164" s="27">
        <f t="shared" si="79"/>
        <v>0</v>
      </c>
      <c r="T164" s="30">
        <v>0</v>
      </c>
      <c r="U164" s="51"/>
      <c r="V164" s="541">
        <f>+'NF-KSF-TRIAL-BAL-2020'!O164+'RA-TRIAL-BAL-2020'!O164+'DES-TRIAL-BAL-2020'!O164+'DMP-TRIAL-BAL-2020'!O164</f>
        <v>0</v>
      </c>
      <c r="W164" s="529">
        <f>+'NF-KSF-TRIAL-BAL-2020'!P164+'RA-TRIAL-BAL-2020'!P164+'DES-TRIAL-BAL-2020'!P164+'DMP-TRIAL-BAL-2020'!P164</f>
        <v>0</v>
      </c>
      <c r="X164" s="528">
        <f>+'NF-KSF-TRIAL-BAL-2020'!Q164+'RA-TRIAL-BAL-2020'!Q164+'DES-TRIAL-BAL-2020'!Q164+'DMP-TRIAL-BAL-2020'!Q164</f>
        <v>0</v>
      </c>
      <c r="Y164" s="529">
        <f>+'NF-KSF-TRIAL-BAL-2020'!R164+'RA-TRIAL-BAL-2020'!R164+'DES-TRIAL-BAL-2020'!R164+'DMP-TRIAL-BAL-2020'!R164</f>
        <v>0</v>
      </c>
      <c r="Z164" s="528">
        <f>+'NF-KSF-TRIAL-BAL-2020'!S164+'RA-TRIAL-BAL-2020'!S164+'DES-TRIAL-BAL-2020'!S164+'DMP-TRIAL-BAL-2020'!S164</f>
        <v>0</v>
      </c>
      <c r="AA164" s="347">
        <f>+'NF-KSF-TRIAL-BAL-2020'!T164+'RA-TRIAL-BAL-2020'!T164+'DES-TRIAL-BAL-2020'!T164+'DMP-TRIAL-BAL-2020'!T164</f>
        <v>0</v>
      </c>
      <c r="AB164" s="51"/>
      <c r="AC164" s="120"/>
      <c r="AD164" s="9">
        <v>0</v>
      </c>
      <c r="AE164" s="325"/>
      <c r="AF164" s="324"/>
      <c r="AG164" s="27">
        <f t="shared" si="80"/>
        <v>0</v>
      </c>
      <c r="AH164" s="30">
        <v>0</v>
      </c>
      <c r="AI164" s="51"/>
      <c r="AJ164" s="1497">
        <f t="shared" si="70"/>
        <v>4374</v>
      </c>
      <c r="AK164" s="951">
        <f t="shared" si="81"/>
        <v>0</v>
      </c>
      <c r="AL164" s="9">
        <v>0</v>
      </c>
      <c r="AM164" s="326">
        <f t="shared" si="82"/>
        <v>0</v>
      </c>
      <c r="AN164" s="970">
        <f t="shared" si="82"/>
        <v>0</v>
      </c>
      <c r="AO164" s="326">
        <f t="shared" si="75"/>
        <v>0</v>
      </c>
      <c r="AP164" s="30">
        <v>0</v>
      </c>
      <c r="AQ164" s="43"/>
      <c r="AR164" s="358">
        <f t="shared" si="66"/>
        <v>0</v>
      </c>
      <c r="AS164" s="359">
        <f t="shared" si="67"/>
        <v>0</v>
      </c>
      <c r="AT164" s="360">
        <f t="shared" si="68"/>
        <v>0</v>
      </c>
      <c r="AU164" s="43"/>
      <c r="AV164" s="2120">
        <f t="shared" si="83"/>
        <v>0</v>
      </c>
      <c r="AW164" s="119"/>
      <c r="AX164" s="2120">
        <f t="shared" si="84"/>
        <v>0</v>
      </c>
      <c r="AY164" s="43"/>
      <c r="AZ164" s="43"/>
      <c r="BA164" s="43"/>
      <c r="BB164" s="43"/>
      <c r="BC164" s="43"/>
      <c r="BD164" s="43"/>
    </row>
    <row r="165" spans="1:56" ht="15.75">
      <c r="A165" s="88">
        <v>4375</v>
      </c>
      <c r="B165" s="378" t="s">
        <v>40</v>
      </c>
      <c r="C165" s="1033"/>
      <c r="D165" s="1033"/>
      <c r="E165" s="1033"/>
      <c r="F165" s="1033"/>
      <c r="G165" s="1033"/>
      <c r="H165" s="1033"/>
      <c r="I165" s="1033"/>
      <c r="J165" s="1033"/>
      <c r="K165" s="1033"/>
      <c r="L165" s="90"/>
      <c r="M165" s="51" t="s">
        <v>265</v>
      </c>
      <c r="N165" s="113">
        <f t="shared" si="64"/>
        <v>4375</v>
      </c>
      <c r="O165" s="120"/>
      <c r="P165" s="9">
        <v>0</v>
      </c>
      <c r="Q165" s="325"/>
      <c r="R165" s="324"/>
      <c r="S165" s="27">
        <f t="shared" si="79"/>
        <v>0</v>
      </c>
      <c r="T165" s="30">
        <v>0</v>
      </c>
      <c r="U165" s="51"/>
      <c r="V165" s="541">
        <f>+'NF-KSF-TRIAL-BAL-2020'!O165+'RA-TRIAL-BAL-2020'!O165+'DES-TRIAL-BAL-2020'!O165+'DMP-TRIAL-BAL-2020'!O165</f>
        <v>0</v>
      </c>
      <c r="W165" s="529">
        <f>+'NF-KSF-TRIAL-BAL-2020'!P165+'RA-TRIAL-BAL-2020'!P165+'DES-TRIAL-BAL-2020'!P165+'DMP-TRIAL-BAL-2020'!P165</f>
        <v>0</v>
      </c>
      <c r="X165" s="528">
        <f>+'NF-KSF-TRIAL-BAL-2020'!Q165+'RA-TRIAL-BAL-2020'!Q165+'DES-TRIAL-BAL-2020'!Q165+'DMP-TRIAL-BAL-2020'!Q165</f>
        <v>0</v>
      </c>
      <c r="Y165" s="529">
        <f>+'NF-KSF-TRIAL-BAL-2020'!R165+'RA-TRIAL-BAL-2020'!R165+'DES-TRIAL-BAL-2020'!R165+'DMP-TRIAL-BAL-2020'!R165</f>
        <v>0</v>
      </c>
      <c r="Z165" s="528">
        <f>+'NF-KSF-TRIAL-BAL-2020'!S165+'RA-TRIAL-BAL-2020'!S165+'DES-TRIAL-BAL-2020'!S165+'DMP-TRIAL-BAL-2020'!S165</f>
        <v>0</v>
      </c>
      <c r="AA165" s="347">
        <f>+'NF-KSF-TRIAL-BAL-2020'!T165+'RA-TRIAL-BAL-2020'!T165+'DES-TRIAL-BAL-2020'!T165+'DMP-TRIAL-BAL-2020'!T165</f>
        <v>0</v>
      </c>
      <c r="AB165" s="51"/>
      <c r="AC165" s="120"/>
      <c r="AD165" s="9">
        <v>0</v>
      </c>
      <c r="AE165" s="325"/>
      <c r="AF165" s="324"/>
      <c r="AG165" s="27">
        <f t="shared" si="80"/>
        <v>0</v>
      </c>
      <c r="AH165" s="30">
        <v>0</v>
      </c>
      <c r="AI165" s="51"/>
      <c r="AJ165" s="1497">
        <f t="shared" si="70"/>
        <v>4375</v>
      </c>
      <c r="AK165" s="951">
        <f t="shared" si="81"/>
        <v>0</v>
      </c>
      <c r="AL165" s="9">
        <v>0</v>
      </c>
      <c r="AM165" s="326">
        <f t="shared" si="82"/>
        <v>0</v>
      </c>
      <c r="AN165" s="970">
        <f t="shared" si="82"/>
        <v>0</v>
      </c>
      <c r="AO165" s="326">
        <f t="shared" si="75"/>
        <v>0</v>
      </c>
      <c r="AP165" s="30">
        <v>0</v>
      </c>
      <c r="AQ165" s="43"/>
      <c r="AR165" s="358">
        <f t="shared" si="66"/>
        <v>0</v>
      </c>
      <c r="AS165" s="359">
        <f t="shared" si="67"/>
        <v>0</v>
      </c>
      <c r="AT165" s="360">
        <f t="shared" si="68"/>
        <v>0</v>
      </c>
      <c r="AU165" s="43"/>
      <c r="AV165" s="2120">
        <f t="shared" si="83"/>
        <v>0</v>
      </c>
      <c r="AW165" s="119"/>
      <c r="AX165" s="2120">
        <f t="shared" si="84"/>
        <v>0</v>
      </c>
      <c r="AY165" s="43"/>
      <c r="AZ165" s="43"/>
      <c r="BA165" s="43"/>
      <c r="BB165" s="43"/>
      <c r="BC165" s="43"/>
      <c r="BD165" s="43"/>
    </row>
    <row r="166" spans="1:56" ht="15.75">
      <c r="A166" s="88">
        <v>4376</v>
      </c>
      <c r="B166" s="378" t="s">
        <v>41</v>
      </c>
      <c r="C166" s="1033"/>
      <c r="D166" s="1033"/>
      <c r="E166" s="1033"/>
      <c r="F166" s="1033"/>
      <c r="G166" s="1033"/>
      <c r="H166" s="1033"/>
      <c r="I166" s="1033"/>
      <c r="J166" s="1033"/>
      <c r="K166" s="1033"/>
      <c r="L166" s="90"/>
      <c r="M166" s="51" t="s">
        <v>265</v>
      </c>
      <c r="N166" s="113">
        <f t="shared" si="64"/>
        <v>4376</v>
      </c>
      <c r="O166" s="120"/>
      <c r="P166" s="9">
        <v>0</v>
      </c>
      <c r="Q166" s="325"/>
      <c r="R166" s="324"/>
      <c r="S166" s="27">
        <f t="shared" si="79"/>
        <v>0</v>
      </c>
      <c r="T166" s="30">
        <v>0</v>
      </c>
      <c r="U166" s="51"/>
      <c r="V166" s="541">
        <f>+'NF-KSF-TRIAL-BAL-2020'!O166+'RA-TRIAL-BAL-2020'!O166+'DES-TRIAL-BAL-2020'!O166+'DMP-TRIAL-BAL-2020'!O166</f>
        <v>0</v>
      </c>
      <c r="W166" s="529">
        <f>+'NF-KSF-TRIAL-BAL-2020'!P166+'RA-TRIAL-BAL-2020'!P166+'DES-TRIAL-BAL-2020'!P166+'DMP-TRIAL-BAL-2020'!P166</f>
        <v>0</v>
      </c>
      <c r="X166" s="528">
        <f>+'NF-KSF-TRIAL-BAL-2020'!Q166+'RA-TRIAL-BAL-2020'!Q166+'DES-TRIAL-BAL-2020'!Q166+'DMP-TRIAL-BAL-2020'!Q166</f>
        <v>0</v>
      </c>
      <c r="Y166" s="529">
        <f>+'NF-KSF-TRIAL-BAL-2020'!R166+'RA-TRIAL-BAL-2020'!R166+'DES-TRIAL-BAL-2020'!R166+'DMP-TRIAL-BAL-2020'!R166</f>
        <v>0</v>
      </c>
      <c r="Z166" s="528">
        <f>+'NF-KSF-TRIAL-BAL-2020'!S166+'RA-TRIAL-BAL-2020'!S166+'DES-TRIAL-BAL-2020'!S166+'DMP-TRIAL-BAL-2020'!S166</f>
        <v>0</v>
      </c>
      <c r="AA166" s="347">
        <f>+'NF-KSF-TRIAL-BAL-2020'!T166+'RA-TRIAL-BAL-2020'!T166+'DES-TRIAL-BAL-2020'!T166+'DMP-TRIAL-BAL-2020'!T166</f>
        <v>0</v>
      </c>
      <c r="AB166" s="51"/>
      <c r="AC166" s="120"/>
      <c r="AD166" s="9">
        <v>0</v>
      </c>
      <c r="AE166" s="122"/>
      <c r="AF166" s="324"/>
      <c r="AG166" s="27">
        <f t="shared" si="80"/>
        <v>0</v>
      </c>
      <c r="AH166" s="30">
        <v>0</v>
      </c>
      <c r="AI166" s="51"/>
      <c r="AJ166" s="1497">
        <f t="shared" si="70"/>
        <v>4376</v>
      </c>
      <c r="AK166" s="951">
        <f t="shared" si="81"/>
        <v>0</v>
      </c>
      <c r="AL166" s="9">
        <v>0</v>
      </c>
      <c r="AM166" s="326">
        <f t="shared" si="82"/>
        <v>0</v>
      </c>
      <c r="AN166" s="970">
        <f t="shared" si="82"/>
        <v>0</v>
      </c>
      <c r="AO166" s="326">
        <f t="shared" si="75"/>
        <v>0</v>
      </c>
      <c r="AP166" s="30">
        <v>0</v>
      </c>
      <c r="AQ166" s="43"/>
      <c r="AR166" s="358">
        <f t="shared" si="66"/>
        <v>0</v>
      </c>
      <c r="AS166" s="359">
        <f t="shared" si="67"/>
        <v>0</v>
      </c>
      <c r="AT166" s="360">
        <f t="shared" si="68"/>
        <v>0</v>
      </c>
      <c r="AU166" s="43"/>
      <c r="AV166" s="2120">
        <f t="shared" si="83"/>
        <v>0</v>
      </c>
      <c r="AW166" s="119"/>
      <c r="AX166" s="2120">
        <f t="shared" si="84"/>
        <v>0</v>
      </c>
      <c r="AY166" s="43"/>
      <c r="AZ166" s="43"/>
      <c r="BA166" s="43"/>
      <c r="BB166" s="43"/>
      <c r="BC166" s="43"/>
      <c r="BD166" s="43"/>
    </row>
    <row r="167" spans="1:56" ht="15.75">
      <c r="A167" s="88">
        <v>4379</v>
      </c>
      <c r="B167" s="378" t="s">
        <v>42</v>
      </c>
      <c r="C167" s="1033"/>
      <c r="D167" s="1033"/>
      <c r="E167" s="1033"/>
      <c r="F167" s="1033"/>
      <c r="G167" s="1033"/>
      <c r="H167" s="1033"/>
      <c r="I167" s="1033"/>
      <c r="J167" s="1033"/>
      <c r="K167" s="1033"/>
      <c r="L167" s="90"/>
      <c r="M167" s="51" t="s">
        <v>265</v>
      </c>
      <c r="N167" s="113">
        <f t="shared" ref="N167:N172" si="85">+A167</f>
        <v>4379</v>
      </c>
      <c r="O167" s="120"/>
      <c r="P167" s="9">
        <v>0</v>
      </c>
      <c r="Q167" s="325"/>
      <c r="R167" s="324"/>
      <c r="S167" s="27">
        <f t="shared" si="79"/>
        <v>0</v>
      </c>
      <c r="T167" s="30">
        <v>0</v>
      </c>
      <c r="U167" s="51"/>
      <c r="V167" s="541">
        <f>+'NF-KSF-TRIAL-BAL-2020'!O167+'RA-TRIAL-BAL-2020'!O167+'DES-TRIAL-BAL-2020'!O167+'DMP-TRIAL-BAL-2020'!O167</f>
        <v>0</v>
      </c>
      <c r="W167" s="529">
        <f>+'NF-KSF-TRIAL-BAL-2020'!P167+'RA-TRIAL-BAL-2020'!P167+'DES-TRIAL-BAL-2020'!P167+'DMP-TRIAL-BAL-2020'!P167</f>
        <v>0</v>
      </c>
      <c r="X167" s="528">
        <f>+'NF-KSF-TRIAL-BAL-2020'!Q167+'RA-TRIAL-BAL-2020'!Q167+'DES-TRIAL-BAL-2020'!Q167+'DMP-TRIAL-BAL-2020'!Q167</f>
        <v>0</v>
      </c>
      <c r="Y167" s="529">
        <f>+'NF-KSF-TRIAL-BAL-2020'!R167+'RA-TRIAL-BAL-2020'!R167+'DES-TRIAL-BAL-2020'!R167+'DMP-TRIAL-BAL-2020'!R167</f>
        <v>0</v>
      </c>
      <c r="Z167" s="528">
        <f>+'NF-KSF-TRIAL-BAL-2020'!S167+'RA-TRIAL-BAL-2020'!S167+'DES-TRIAL-BAL-2020'!S167+'DMP-TRIAL-BAL-2020'!S167</f>
        <v>0</v>
      </c>
      <c r="AA167" s="347">
        <f>+'NF-KSF-TRIAL-BAL-2020'!T167+'RA-TRIAL-BAL-2020'!T167+'DES-TRIAL-BAL-2020'!T167+'DMP-TRIAL-BAL-2020'!T167</f>
        <v>0</v>
      </c>
      <c r="AB167" s="51"/>
      <c r="AC167" s="120"/>
      <c r="AD167" s="9">
        <v>0</v>
      </c>
      <c r="AE167" s="325"/>
      <c r="AF167" s="324"/>
      <c r="AG167" s="27">
        <f t="shared" si="80"/>
        <v>0</v>
      </c>
      <c r="AH167" s="30">
        <v>0</v>
      </c>
      <c r="AI167" s="51"/>
      <c r="AJ167" s="1497">
        <f t="shared" ref="AJ167:AJ172" si="86">+N167</f>
        <v>4379</v>
      </c>
      <c r="AK167" s="951">
        <f t="shared" si="81"/>
        <v>0</v>
      </c>
      <c r="AL167" s="9">
        <v>0</v>
      </c>
      <c r="AM167" s="326">
        <f t="shared" ref="AM167:AN172" si="87">+ROUND(+Q167+X167+AE167,2)</f>
        <v>0</v>
      </c>
      <c r="AN167" s="970">
        <f t="shared" si="87"/>
        <v>0</v>
      </c>
      <c r="AO167" s="326">
        <f t="shared" si="75"/>
        <v>0</v>
      </c>
      <c r="AP167" s="30">
        <v>0</v>
      </c>
      <c r="AQ167" s="43"/>
      <c r="AR167" s="358">
        <f t="shared" ref="AR167:AR172" si="88">+ROUND(+SUM(AK167-AL167)-SUM(O167-P167)-SUM(V167-W167)-SUM(AC167-AD167),2)</f>
        <v>0</v>
      </c>
      <c r="AS167" s="359">
        <f t="shared" ref="AS167:AS172" si="89">+ROUND(+SUM(AM167-AN167)-SUM(Q167-R167)-SUM(X167-Y167)-SUM(AE167-AF167),2)</f>
        <v>0</v>
      </c>
      <c r="AT167" s="360">
        <f t="shared" ref="AT167:AT172" si="90">+ROUND(+SUM(AO167-AP167)-SUM(S167-T167)-SUM(Z167-AA167)-SUM(AG167-AH167),2)</f>
        <v>0</v>
      </c>
      <c r="AU167" s="43"/>
      <c r="AV167" s="2120">
        <f t="shared" si="83"/>
        <v>0</v>
      </c>
      <c r="AW167" s="119"/>
      <c r="AX167" s="2120">
        <f t="shared" si="84"/>
        <v>0</v>
      </c>
      <c r="AY167" s="43"/>
      <c r="AZ167" s="43"/>
      <c r="BA167" s="43"/>
      <c r="BB167" s="43"/>
      <c r="BC167" s="43"/>
      <c r="BD167" s="43"/>
    </row>
    <row r="168" spans="1:56" ht="15.75">
      <c r="A168" s="88">
        <v>4381</v>
      </c>
      <c r="B168" s="378" t="s">
        <v>917</v>
      </c>
      <c r="C168" s="1033"/>
      <c r="D168" s="1033"/>
      <c r="E168" s="1033"/>
      <c r="F168" s="1033"/>
      <c r="G168" s="1033"/>
      <c r="H168" s="1033"/>
      <c r="I168" s="1033"/>
      <c r="J168" s="1033"/>
      <c r="K168" s="1033"/>
      <c r="L168" s="90"/>
      <c r="M168" s="51" t="s">
        <v>265</v>
      </c>
      <c r="N168" s="113">
        <f t="shared" si="85"/>
        <v>4381</v>
      </c>
      <c r="O168" s="120"/>
      <c r="P168" s="9">
        <v>0</v>
      </c>
      <c r="Q168" s="325"/>
      <c r="R168" s="324"/>
      <c r="S168" s="27">
        <f t="shared" si="79"/>
        <v>0</v>
      </c>
      <c r="T168" s="30">
        <v>0</v>
      </c>
      <c r="U168" s="51"/>
      <c r="V168" s="541">
        <f>+'NF-KSF-TRIAL-BAL-2020'!O168+'RA-TRIAL-BAL-2020'!O168+'DES-TRIAL-BAL-2020'!O168+'DMP-TRIAL-BAL-2020'!O168</f>
        <v>0</v>
      </c>
      <c r="W168" s="529">
        <f>+'NF-KSF-TRIAL-BAL-2020'!P168+'RA-TRIAL-BAL-2020'!P168+'DES-TRIAL-BAL-2020'!P168+'DMP-TRIAL-BAL-2020'!P168</f>
        <v>0</v>
      </c>
      <c r="X168" s="528">
        <f>+'NF-KSF-TRIAL-BAL-2020'!Q168+'RA-TRIAL-BAL-2020'!Q168+'DES-TRIAL-BAL-2020'!Q168+'DMP-TRIAL-BAL-2020'!Q168</f>
        <v>0</v>
      </c>
      <c r="Y168" s="529">
        <f>+'NF-KSF-TRIAL-BAL-2020'!R168+'RA-TRIAL-BAL-2020'!R168+'DES-TRIAL-BAL-2020'!R168+'DMP-TRIAL-BAL-2020'!R168</f>
        <v>0</v>
      </c>
      <c r="Z168" s="528">
        <f>+'NF-KSF-TRIAL-BAL-2020'!S168+'RA-TRIAL-BAL-2020'!S168+'DES-TRIAL-BAL-2020'!S168+'DMP-TRIAL-BAL-2020'!S168</f>
        <v>0</v>
      </c>
      <c r="AA168" s="347">
        <f>+'NF-KSF-TRIAL-BAL-2020'!T168+'RA-TRIAL-BAL-2020'!T168+'DES-TRIAL-BAL-2020'!T168+'DMP-TRIAL-BAL-2020'!T168</f>
        <v>0</v>
      </c>
      <c r="AB168" s="51"/>
      <c r="AC168" s="120"/>
      <c r="AD168" s="9">
        <v>0</v>
      </c>
      <c r="AE168" s="325"/>
      <c r="AF168" s="324"/>
      <c r="AG168" s="27">
        <f t="shared" si="80"/>
        <v>0</v>
      </c>
      <c r="AH168" s="30">
        <v>0</v>
      </c>
      <c r="AI168" s="51"/>
      <c r="AJ168" s="1497">
        <f t="shared" si="86"/>
        <v>4381</v>
      </c>
      <c r="AK168" s="951">
        <f t="shared" si="81"/>
        <v>0</v>
      </c>
      <c r="AL168" s="9">
        <v>0</v>
      </c>
      <c r="AM168" s="326">
        <f t="shared" si="87"/>
        <v>0</v>
      </c>
      <c r="AN168" s="970">
        <f t="shared" si="87"/>
        <v>0</v>
      </c>
      <c r="AO168" s="326">
        <f t="shared" si="75"/>
        <v>0</v>
      </c>
      <c r="AP168" s="30">
        <v>0</v>
      </c>
      <c r="AQ168" s="43"/>
      <c r="AR168" s="358">
        <f t="shared" si="88"/>
        <v>0</v>
      </c>
      <c r="AS168" s="359">
        <f t="shared" si="89"/>
        <v>0</v>
      </c>
      <c r="AT168" s="360">
        <f t="shared" si="90"/>
        <v>0</v>
      </c>
      <c r="AU168" s="43"/>
      <c r="AV168" s="2120">
        <f t="shared" si="83"/>
        <v>0</v>
      </c>
      <c r="AW168" s="119"/>
      <c r="AX168" s="2120">
        <f t="shared" si="84"/>
        <v>0</v>
      </c>
      <c r="AY168" s="43"/>
      <c r="AZ168" s="43"/>
      <c r="BA168" s="43"/>
      <c r="BB168" s="43"/>
      <c r="BC168" s="43"/>
      <c r="BD168" s="43"/>
    </row>
    <row r="169" spans="1:56" ht="15.75">
      <c r="A169" s="88">
        <v>4382</v>
      </c>
      <c r="B169" s="378" t="s">
        <v>918</v>
      </c>
      <c r="C169" s="1033"/>
      <c r="D169" s="1033"/>
      <c r="E169" s="1033"/>
      <c r="F169" s="1033"/>
      <c r="G169" s="1033"/>
      <c r="H169" s="1033"/>
      <c r="I169" s="1033"/>
      <c r="J169" s="1033"/>
      <c r="K169" s="1033"/>
      <c r="L169" s="90"/>
      <c r="M169" s="51" t="s">
        <v>265</v>
      </c>
      <c r="N169" s="113">
        <f t="shared" si="85"/>
        <v>4382</v>
      </c>
      <c r="O169" s="120"/>
      <c r="P169" s="9">
        <v>0</v>
      </c>
      <c r="Q169" s="325"/>
      <c r="R169" s="324"/>
      <c r="S169" s="27">
        <f t="shared" si="79"/>
        <v>0</v>
      </c>
      <c r="T169" s="30">
        <v>0</v>
      </c>
      <c r="U169" s="51"/>
      <c r="V169" s="541">
        <f>+'NF-KSF-TRIAL-BAL-2020'!O169+'RA-TRIAL-BAL-2020'!O169+'DES-TRIAL-BAL-2020'!O169+'DMP-TRIAL-BAL-2020'!O169</f>
        <v>0</v>
      </c>
      <c r="W169" s="529">
        <f>+'NF-KSF-TRIAL-BAL-2020'!P169+'RA-TRIAL-BAL-2020'!P169+'DES-TRIAL-BAL-2020'!P169+'DMP-TRIAL-BAL-2020'!P169</f>
        <v>0</v>
      </c>
      <c r="X169" s="528">
        <f>+'NF-KSF-TRIAL-BAL-2020'!Q169+'RA-TRIAL-BAL-2020'!Q169+'DES-TRIAL-BAL-2020'!Q169+'DMP-TRIAL-BAL-2020'!Q169</f>
        <v>0</v>
      </c>
      <c r="Y169" s="529">
        <f>+'NF-KSF-TRIAL-BAL-2020'!R169+'RA-TRIAL-BAL-2020'!R169+'DES-TRIAL-BAL-2020'!R169+'DMP-TRIAL-BAL-2020'!R169</f>
        <v>0</v>
      </c>
      <c r="Z169" s="528">
        <f>+'NF-KSF-TRIAL-BAL-2020'!S169+'RA-TRIAL-BAL-2020'!S169+'DES-TRIAL-BAL-2020'!S169+'DMP-TRIAL-BAL-2020'!S169</f>
        <v>0</v>
      </c>
      <c r="AA169" s="347">
        <f>+'NF-KSF-TRIAL-BAL-2020'!T169+'RA-TRIAL-BAL-2020'!T169+'DES-TRIAL-BAL-2020'!T169+'DMP-TRIAL-BAL-2020'!T169</f>
        <v>0</v>
      </c>
      <c r="AB169" s="51"/>
      <c r="AC169" s="120"/>
      <c r="AD169" s="9">
        <v>0</v>
      </c>
      <c r="AE169" s="122"/>
      <c r="AF169" s="324"/>
      <c r="AG169" s="27">
        <f t="shared" si="80"/>
        <v>0</v>
      </c>
      <c r="AH169" s="30">
        <v>0</v>
      </c>
      <c r="AI169" s="51"/>
      <c r="AJ169" s="1497">
        <f t="shared" si="86"/>
        <v>4382</v>
      </c>
      <c r="AK169" s="951">
        <f t="shared" si="81"/>
        <v>0</v>
      </c>
      <c r="AL169" s="9">
        <v>0</v>
      </c>
      <c r="AM169" s="326">
        <f t="shared" si="87"/>
        <v>0</v>
      </c>
      <c r="AN169" s="970">
        <f t="shared" si="87"/>
        <v>0</v>
      </c>
      <c r="AO169" s="326">
        <f t="shared" si="75"/>
        <v>0</v>
      </c>
      <c r="AP169" s="30">
        <v>0</v>
      </c>
      <c r="AQ169" s="43"/>
      <c r="AR169" s="358">
        <f t="shared" si="88"/>
        <v>0</v>
      </c>
      <c r="AS169" s="359">
        <f t="shared" si="89"/>
        <v>0</v>
      </c>
      <c r="AT169" s="360">
        <f t="shared" si="90"/>
        <v>0</v>
      </c>
      <c r="AU169" s="43"/>
      <c r="AV169" s="2120">
        <f t="shared" si="83"/>
        <v>0</v>
      </c>
      <c r="AW169" s="119"/>
      <c r="AX169" s="2120">
        <f t="shared" si="84"/>
        <v>0</v>
      </c>
      <c r="AY169" s="43"/>
      <c r="AZ169" s="43"/>
      <c r="BA169" s="43"/>
      <c r="BB169" s="43"/>
      <c r="BC169" s="43"/>
      <c r="BD169" s="43"/>
    </row>
    <row r="170" spans="1:56" ht="15.75">
      <c r="A170" s="88">
        <v>4383</v>
      </c>
      <c r="B170" s="378" t="s">
        <v>919</v>
      </c>
      <c r="C170" s="1033"/>
      <c r="D170" s="1033"/>
      <c r="E170" s="1033"/>
      <c r="F170" s="1033"/>
      <c r="G170" s="1033"/>
      <c r="H170" s="1033"/>
      <c r="I170" s="1033"/>
      <c r="J170" s="1033"/>
      <c r="K170" s="1033"/>
      <c r="L170" s="90"/>
      <c r="M170" s="51" t="s">
        <v>265</v>
      </c>
      <c r="N170" s="113">
        <f t="shared" si="85"/>
        <v>4383</v>
      </c>
      <c r="O170" s="120"/>
      <c r="P170" s="9">
        <v>0</v>
      </c>
      <c r="Q170" s="325"/>
      <c r="R170" s="324"/>
      <c r="S170" s="27">
        <f t="shared" si="79"/>
        <v>0</v>
      </c>
      <c r="T170" s="30">
        <v>0</v>
      </c>
      <c r="U170" s="51"/>
      <c r="V170" s="541">
        <f>+'NF-KSF-TRIAL-BAL-2020'!O170+'RA-TRIAL-BAL-2020'!O170+'DES-TRIAL-BAL-2020'!O170+'DMP-TRIAL-BAL-2020'!O170</f>
        <v>0</v>
      </c>
      <c r="W170" s="529">
        <f>+'NF-KSF-TRIAL-BAL-2020'!P170+'RA-TRIAL-BAL-2020'!P170+'DES-TRIAL-BAL-2020'!P170+'DMP-TRIAL-BAL-2020'!P170</f>
        <v>0</v>
      </c>
      <c r="X170" s="528">
        <f>+'NF-KSF-TRIAL-BAL-2020'!Q170+'RA-TRIAL-BAL-2020'!Q170+'DES-TRIAL-BAL-2020'!Q170+'DMP-TRIAL-BAL-2020'!Q170</f>
        <v>0</v>
      </c>
      <c r="Y170" s="529">
        <f>+'NF-KSF-TRIAL-BAL-2020'!R170+'RA-TRIAL-BAL-2020'!R170+'DES-TRIAL-BAL-2020'!R170+'DMP-TRIAL-BAL-2020'!R170</f>
        <v>0</v>
      </c>
      <c r="Z170" s="528">
        <f>+'NF-KSF-TRIAL-BAL-2020'!S170+'RA-TRIAL-BAL-2020'!S170+'DES-TRIAL-BAL-2020'!S170+'DMP-TRIAL-BAL-2020'!S170</f>
        <v>0</v>
      </c>
      <c r="AA170" s="347">
        <f>+'NF-KSF-TRIAL-BAL-2020'!T170+'RA-TRIAL-BAL-2020'!T170+'DES-TRIAL-BAL-2020'!T170+'DMP-TRIAL-BAL-2020'!T170</f>
        <v>0</v>
      </c>
      <c r="AB170" s="51"/>
      <c r="AC170" s="120"/>
      <c r="AD170" s="9">
        <v>0</v>
      </c>
      <c r="AE170" s="325"/>
      <c r="AF170" s="324"/>
      <c r="AG170" s="27">
        <f t="shared" si="80"/>
        <v>0</v>
      </c>
      <c r="AH170" s="30">
        <v>0</v>
      </c>
      <c r="AI170" s="51"/>
      <c r="AJ170" s="1497">
        <f t="shared" si="86"/>
        <v>4383</v>
      </c>
      <c r="AK170" s="951">
        <f t="shared" si="81"/>
        <v>0</v>
      </c>
      <c r="AL170" s="9">
        <v>0</v>
      </c>
      <c r="AM170" s="326">
        <f t="shared" si="87"/>
        <v>0</v>
      </c>
      <c r="AN170" s="970">
        <f t="shared" si="87"/>
        <v>0</v>
      </c>
      <c r="AO170" s="326">
        <f t="shared" si="75"/>
        <v>0</v>
      </c>
      <c r="AP170" s="30">
        <v>0</v>
      </c>
      <c r="AQ170" s="43"/>
      <c r="AR170" s="358">
        <f t="shared" si="88"/>
        <v>0</v>
      </c>
      <c r="AS170" s="359">
        <f t="shared" si="89"/>
        <v>0</v>
      </c>
      <c r="AT170" s="360">
        <f t="shared" si="90"/>
        <v>0</v>
      </c>
      <c r="AU170" s="43"/>
      <c r="AV170" s="2120">
        <f t="shared" si="83"/>
        <v>0</v>
      </c>
      <c r="AW170" s="119"/>
      <c r="AX170" s="2120">
        <f t="shared" si="84"/>
        <v>0</v>
      </c>
      <c r="AY170" s="43"/>
      <c r="AZ170" s="43"/>
      <c r="BA170" s="43"/>
      <c r="BB170" s="43"/>
      <c r="BC170" s="43"/>
      <c r="BD170" s="43"/>
    </row>
    <row r="171" spans="1:56" ht="15.75">
      <c r="A171" s="88">
        <v>4384</v>
      </c>
      <c r="B171" s="378" t="s">
        <v>920</v>
      </c>
      <c r="C171" s="1033"/>
      <c r="D171" s="1033"/>
      <c r="E171" s="1033"/>
      <c r="F171" s="1033"/>
      <c r="G171" s="1033"/>
      <c r="H171" s="1033"/>
      <c r="I171" s="1033"/>
      <c r="J171" s="1033"/>
      <c r="K171" s="1033"/>
      <c r="L171" s="90"/>
      <c r="M171" s="51" t="s">
        <v>265</v>
      </c>
      <c r="N171" s="113">
        <f t="shared" si="85"/>
        <v>4384</v>
      </c>
      <c r="O171" s="120"/>
      <c r="P171" s="9">
        <v>0</v>
      </c>
      <c r="Q171" s="325"/>
      <c r="R171" s="324"/>
      <c r="S171" s="27">
        <f t="shared" si="79"/>
        <v>0</v>
      </c>
      <c r="T171" s="30">
        <v>0</v>
      </c>
      <c r="U171" s="51"/>
      <c r="V171" s="541">
        <f>+'NF-KSF-TRIAL-BAL-2020'!O171+'RA-TRIAL-BAL-2020'!O171+'DES-TRIAL-BAL-2020'!O171+'DMP-TRIAL-BAL-2020'!O171</f>
        <v>0</v>
      </c>
      <c r="W171" s="529">
        <f>+'NF-KSF-TRIAL-BAL-2020'!P171+'RA-TRIAL-BAL-2020'!P171+'DES-TRIAL-BAL-2020'!P171+'DMP-TRIAL-BAL-2020'!P171</f>
        <v>0</v>
      </c>
      <c r="X171" s="528">
        <f>+'NF-KSF-TRIAL-BAL-2020'!Q171+'RA-TRIAL-BAL-2020'!Q171+'DES-TRIAL-BAL-2020'!Q171+'DMP-TRIAL-BAL-2020'!Q171</f>
        <v>0</v>
      </c>
      <c r="Y171" s="529">
        <f>+'NF-KSF-TRIAL-BAL-2020'!R171+'RA-TRIAL-BAL-2020'!R171+'DES-TRIAL-BAL-2020'!R171+'DMP-TRIAL-BAL-2020'!R171</f>
        <v>0</v>
      </c>
      <c r="Z171" s="528">
        <f>+'NF-KSF-TRIAL-BAL-2020'!S171+'RA-TRIAL-BAL-2020'!S171+'DES-TRIAL-BAL-2020'!S171+'DMP-TRIAL-BAL-2020'!S171</f>
        <v>0</v>
      </c>
      <c r="AA171" s="347">
        <f>+'NF-KSF-TRIAL-BAL-2020'!T171+'RA-TRIAL-BAL-2020'!T171+'DES-TRIAL-BAL-2020'!T171+'DMP-TRIAL-BAL-2020'!T171</f>
        <v>0</v>
      </c>
      <c r="AB171" s="51"/>
      <c r="AC171" s="120"/>
      <c r="AD171" s="9">
        <v>0</v>
      </c>
      <c r="AE171" s="325"/>
      <c r="AF171" s="324"/>
      <c r="AG171" s="27">
        <f t="shared" si="80"/>
        <v>0</v>
      </c>
      <c r="AH171" s="30">
        <v>0</v>
      </c>
      <c r="AI171" s="51"/>
      <c r="AJ171" s="1497">
        <f t="shared" si="86"/>
        <v>4384</v>
      </c>
      <c r="AK171" s="951">
        <f t="shared" si="81"/>
        <v>0</v>
      </c>
      <c r="AL171" s="9">
        <v>0</v>
      </c>
      <c r="AM171" s="326">
        <f t="shared" si="87"/>
        <v>0</v>
      </c>
      <c r="AN171" s="970">
        <f t="shared" si="87"/>
        <v>0</v>
      </c>
      <c r="AO171" s="326">
        <f t="shared" si="75"/>
        <v>0</v>
      </c>
      <c r="AP171" s="30">
        <v>0</v>
      </c>
      <c r="AQ171" s="43"/>
      <c r="AR171" s="358">
        <f t="shared" si="88"/>
        <v>0</v>
      </c>
      <c r="AS171" s="359">
        <f t="shared" si="89"/>
        <v>0</v>
      </c>
      <c r="AT171" s="360">
        <f t="shared" si="90"/>
        <v>0</v>
      </c>
      <c r="AU171" s="43"/>
      <c r="AV171" s="2120">
        <f t="shared" si="83"/>
        <v>0</v>
      </c>
      <c r="AW171" s="119"/>
      <c r="AX171" s="2120">
        <f t="shared" si="84"/>
        <v>0</v>
      </c>
      <c r="AY171" s="43"/>
      <c r="AZ171" s="43"/>
      <c r="BA171" s="43"/>
      <c r="BB171" s="43"/>
      <c r="BC171" s="43"/>
      <c r="BD171" s="43"/>
    </row>
    <row r="172" spans="1:56" ht="15.75">
      <c r="A172" s="88">
        <v>4385</v>
      </c>
      <c r="B172" s="378" t="s">
        <v>921</v>
      </c>
      <c r="C172" s="1033"/>
      <c r="D172" s="1033"/>
      <c r="E172" s="1033"/>
      <c r="F172" s="1033"/>
      <c r="G172" s="1033"/>
      <c r="H172" s="1033"/>
      <c r="I172" s="1033"/>
      <c r="J172" s="1033"/>
      <c r="K172" s="1033"/>
      <c r="L172" s="90"/>
      <c r="M172" s="51" t="s">
        <v>265</v>
      </c>
      <c r="N172" s="113">
        <f t="shared" si="85"/>
        <v>4385</v>
      </c>
      <c r="O172" s="120"/>
      <c r="P172" s="9">
        <v>0</v>
      </c>
      <c r="Q172" s="325"/>
      <c r="R172" s="324"/>
      <c r="S172" s="27">
        <f t="shared" si="79"/>
        <v>0</v>
      </c>
      <c r="T172" s="30">
        <v>0</v>
      </c>
      <c r="U172" s="51"/>
      <c r="V172" s="541">
        <f>+'NF-KSF-TRIAL-BAL-2020'!O172+'RA-TRIAL-BAL-2020'!O172+'DES-TRIAL-BAL-2020'!O172+'DMP-TRIAL-BAL-2020'!O172</f>
        <v>0</v>
      </c>
      <c r="W172" s="529">
        <f>+'NF-KSF-TRIAL-BAL-2020'!P172+'RA-TRIAL-BAL-2020'!P172+'DES-TRIAL-BAL-2020'!P172+'DMP-TRIAL-BAL-2020'!P172</f>
        <v>0</v>
      </c>
      <c r="X172" s="528">
        <f>+'NF-KSF-TRIAL-BAL-2020'!Q172+'RA-TRIAL-BAL-2020'!Q172+'DES-TRIAL-BAL-2020'!Q172+'DMP-TRIAL-BAL-2020'!Q172</f>
        <v>0</v>
      </c>
      <c r="Y172" s="529">
        <f>+'NF-KSF-TRIAL-BAL-2020'!R172+'RA-TRIAL-BAL-2020'!R172+'DES-TRIAL-BAL-2020'!R172+'DMP-TRIAL-BAL-2020'!R172</f>
        <v>0</v>
      </c>
      <c r="Z172" s="528">
        <f>+'NF-KSF-TRIAL-BAL-2020'!S172+'RA-TRIAL-BAL-2020'!S172+'DES-TRIAL-BAL-2020'!S172+'DMP-TRIAL-BAL-2020'!S172</f>
        <v>0</v>
      </c>
      <c r="AA172" s="347">
        <f>+'NF-KSF-TRIAL-BAL-2020'!T172+'RA-TRIAL-BAL-2020'!T172+'DES-TRIAL-BAL-2020'!T172+'DMP-TRIAL-BAL-2020'!T172</f>
        <v>0</v>
      </c>
      <c r="AB172" s="51"/>
      <c r="AC172" s="120"/>
      <c r="AD172" s="9">
        <v>0</v>
      </c>
      <c r="AE172" s="122"/>
      <c r="AF172" s="324"/>
      <c r="AG172" s="27">
        <f t="shared" si="80"/>
        <v>0</v>
      </c>
      <c r="AH172" s="30">
        <v>0</v>
      </c>
      <c r="AI172" s="51"/>
      <c r="AJ172" s="1497">
        <f t="shared" si="86"/>
        <v>4385</v>
      </c>
      <c r="AK172" s="951">
        <f t="shared" si="81"/>
        <v>0</v>
      </c>
      <c r="AL172" s="9">
        <v>0</v>
      </c>
      <c r="AM172" s="326">
        <f t="shared" si="87"/>
        <v>0</v>
      </c>
      <c r="AN172" s="970">
        <f t="shared" si="87"/>
        <v>0</v>
      </c>
      <c r="AO172" s="326">
        <f t="shared" si="75"/>
        <v>0</v>
      </c>
      <c r="AP172" s="30">
        <v>0</v>
      </c>
      <c r="AQ172" s="43"/>
      <c r="AR172" s="358">
        <f t="shared" si="88"/>
        <v>0</v>
      </c>
      <c r="AS172" s="359">
        <f t="shared" si="89"/>
        <v>0</v>
      </c>
      <c r="AT172" s="360">
        <f t="shared" si="90"/>
        <v>0</v>
      </c>
      <c r="AU172" s="43"/>
      <c r="AV172" s="2120">
        <f t="shared" si="83"/>
        <v>0</v>
      </c>
      <c r="AW172" s="119"/>
      <c r="AX172" s="2120">
        <f t="shared" si="84"/>
        <v>0</v>
      </c>
      <c r="AY172" s="43"/>
      <c r="AZ172" s="43"/>
      <c r="BA172" s="43"/>
      <c r="BB172" s="43"/>
      <c r="BC172" s="43"/>
      <c r="BD172" s="43"/>
    </row>
    <row r="173" spans="1:56" ht="15.75">
      <c r="A173" s="88">
        <v>4393</v>
      </c>
      <c r="B173" s="1033" t="s">
        <v>922</v>
      </c>
      <c r="C173" s="1033"/>
      <c r="D173" s="1033"/>
      <c r="E173" s="1033"/>
      <c r="F173" s="1033"/>
      <c r="G173" s="1033"/>
      <c r="H173" s="1033"/>
      <c r="I173" s="1033"/>
      <c r="J173" s="1033"/>
      <c r="K173" s="1033"/>
      <c r="L173" s="90"/>
      <c r="M173" s="51" t="s">
        <v>265</v>
      </c>
      <c r="N173" s="113">
        <f t="shared" si="64"/>
        <v>4393</v>
      </c>
      <c r="O173" s="8">
        <v>0</v>
      </c>
      <c r="P173" s="121"/>
      <c r="Q173" s="325"/>
      <c r="R173" s="324"/>
      <c r="S173" s="29">
        <v>0</v>
      </c>
      <c r="T173" s="28">
        <f>+IF(ABS(+O173+Q173)&lt;=ABS(P173+R173),-O173+P173-Q173+R173,0)</f>
        <v>0</v>
      </c>
      <c r="U173" s="51"/>
      <c r="V173" s="541">
        <f>+'NF-KSF-TRIAL-BAL-2020'!O173+'RA-TRIAL-BAL-2020'!O173+'DES-TRIAL-BAL-2020'!O173+'DMP-TRIAL-BAL-2020'!O173</f>
        <v>0</v>
      </c>
      <c r="W173" s="529">
        <f>+'NF-KSF-TRIAL-BAL-2020'!P173+'RA-TRIAL-BAL-2020'!P173+'DES-TRIAL-BAL-2020'!P173+'DMP-TRIAL-BAL-2020'!P173</f>
        <v>0</v>
      </c>
      <c r="X173" s="528">
        <f>+'NF-KSF-TRIAL-BAL-2020'!Q173+'RA-TRIAL-BAL-2020'!Q173+'DES-TRIAL-BAL-2020'!Q173+'DMP-TRIAL-BAL-2020'!Q173</f>
        <v>0</v>
      </c>
      <c r="Y173" s="529">
        <f>+'NF-KSF-TRIAL-BAL-2020'!R173+'RA-TRIAL-BAL-2020'!R173+'DES-TRIAL-BAL-2020'!R173+'DMP-TRIAL-BAL-2020'!R173</f>
        <v>0</v>
      </c>
      <c r="Z173" s="528">
        <f>+'NF-KSF-TRIAL-BAL-2020'!S173+'RA-TRIAL-BAL-2020'!S173+'DES-TRIAL-BAL-2020'!S173+'DMP-TRIAL-BAL-2020'!S173</f>
        <v>0</v>
      </c>
      <c r="AA173" s="347">
        <f>+'NF-KSF-TRIAL-BAL-2020'!T173+'RA-TRIAL-BAL-2020'!T173+'DES-TRIAL-BAL-2020'!T173+'DMP-TRIAL-BAL-2020'!T173</f>
        <v>0</v>
      </c>
      <c r="AB173" s="51"/>
      <c r="AC173" s="8">
        <v>0</v>
      </c>
      <c r="AD173" s="121"/>
      <c r="AE173" s="325"/>
      <c r="AF173" s="324"/>
      <c r="AG173" s="29">
        <v>0</v>
      </c>
      <c r="AH173" s="28">
        <f>+IF(ABS(+AC173+AE173)&lt;=ABS(AD173+AF173),-AC173+AD173-AE173+AF173,0)</f>
        <v>0</v>
      </c>
      <c r="AI173" s="51"/>
      <c r="AJ173" s="1497">
        <f t="shared" si="70"/>
        <v>4393</v>
      </c>
      <c r="AK173" s="8">
        <v>0</v>
      </c>
      <c r="AL173" s="970">
        <f t="shared" ref="AL173:AN175" si="91">+ROUND(+P173+W173+AD173,2)</f>
        <v>0</v>
      </c>
      <c r="AM173" s="326">
        <f t="shared" si="91"/>
        <v>0</v>
      </c>
      <c r="AN173" s="970">
        <f t="shared" si="91"/>
        <v>0</v>
      </c>
      <c r="AO173" s="29">
        <v>0</v>
      </c>
      <c r="AP173" s="28">
        <f t="shared" ref="AP173:AP184" si="92">+T173+AA173+AH173</f>
        <v>0</v>
      </c>
      <c r="AQ173" s="43"/>
      <c r="AR173" s="358">
        <f t="shared" si="66"/>
        <v>0</v>
      </c>
      <c r="AS173" s="359">
        <f t="shared" si="67"/>
        <v>0</v>
      </c>
      <c r="AT173" s="360">
        <f t="shared" si="68"/>
        <v>0</v>
      </c>
      <c r="AU173" s="43"/>
      <c r="AV173" s="2119">
        <f>+IF(OR(+ROUND(O173,2)+ROUND(Q173,2)&gt;ROUND(P173,2)+ROUND(R173,2),+ABS(ROUND(O173,2)+ROUND(Q173,2))&gt;+ABS(ROUND(P173,2)+ROUND(R173,2))),+(ROUND(O173,2)+ROUND(Q173,2))-(ROUND(P173,2)+ROUND(R173,2)),0)</f>
        <v>0</v>
      </c>
      <c r="AW173" s="119"/>
      <c r="AX173" s="2119">
        <f>+IF(OR(+ROUND(AC173,2)+ROUND(AE173,2)&gt;ROUND(AD173,2)+ROUND(AF173,2),+ABS(ROUND(AC173,2)+ROUND(AE173,2))&gt;+ABS(ROUND(AD173,2)+ROUND(AF173,2))),+(ROUND(AC173,2)+ROUND(AE173,2))-(ROUND(AD173,2)+ROUND(AF173,2)),0)</f>
        <v>0</v>
      </c>
      <c r="AY173" s="43"/>
      <c r="AZ173" s="43"/>
      <c r="BA173" s="43"/>
      <c r="BB173" s="43"/>
      <c r="BC173" s="43"/>
      <c r="BD173" s="43"/>
    </row>
    <row r="174" spans="1:56" ht="15.75">
      <c r="A174" s="88">
        <v>4397</v>
      </c>
      <c r="B174" s="1033" t="s">
        <v>923</v>
      </c>
      <c r="C174" s="1033"/>
      <c r="D174" s="1033"/>
      <c r="E174" s="1033"/>
      <c r="F174" s="1033"/>
      <c r="G174" s="1033"/>
      <c r="H174" s="1033"/>
      <c r="I174" s="1033"/>
      <c r="J174" s="1033"/>
      <c r="K174" s="1033"/>
      <c r="L174" s="90"/>
      <c r="M174" s="51" t="s">
        <v>265</v>
      </c>
      <c r="N174" s="113">
        <f t="shared" si="64"/>
        <v>4397</v>
      </c>
      <c r="O174" s="8">
        <v>0</v>
      </c>
      <c r="P174" s="121"/>
      <c r="Q174" s="325"/>
      <c r="R174" s="324"/>
      <c r="S174" s="29">
        <v>0</v>
      </c>
      <c r="T174" s="28">
        <f>+IF(ABS(+O174+Q174)&lt;=ABS(P174+R174),-O174+P174-Q174+R174,0)</f>
        <v>0</v>
      </c>
      <c r="U174" s="51"/>
      <c r="V174" s="541">
        <f>+'NF-KSF-TRIAL-BAL-2020'!O174+'RA-TRIAL-BAL-2020'!O174+'DES-TRIAL-BAL-2020'!O174+'DMP-TRIAL-BAL-2020'!O174</f>
        <v>0</v>
      </c>
      <c r="W174" s="529">
        <f>+'NF-KSF-TRIAL-BAL-2020'!P174+'RA-TRIAL-BAL-2020'!P174+'DES-TRIAL-BAL-2020'!P174+'DMP-TRIAL-BAL-2020'!P174</f>
        <v>0</v>
      </c>
      <c r="X174" s="528">
        <f>+'NF-KSF-TRIAL-BAL-2020'!Q174+'RA-TRIAL-BAL-2020'!Q174+'DES-TRIAL-BAL-2020'!Q174+'DMP-TRIAL-BAL-2020'!Q174</f>
        <v>0</v>
      </c>
      <c r="Y174" s="529">
        <f>+'NF-KSF-TRIAL-BAL-2020'!R174+'RA-TRIAL-BAL-2020'!R174+'DES-TRIAL-BAL-2020'!R174+'DMP-TRIAL-BAL-2020'!R174</f>
        <v>0</v>
      </c>
      <c r="Z174" s="528">
        <f>+'NF-KSF-TRIAL-BAL-2020'!S174+'RA-TRIAL-BAL-2020'!S174+'DES-TRIAL-BAL-2020'!S174+'DMP-TRIAL-BAL-2020'!S174</f>
        <v>0</v>
      </c>
      <c r="AA174" s="347">
        <f>+'NF-KSF-TRIAL-BAL-2020'!T174+'RA-TRIAL-BAL-2020'!T174+'DES-TRIAL-BAL-2020'!T174+'DMP-TRIAL-BAL-2020'!T174</f>
        <v>0</v>
      </c>
      <c r="AB174" s="51"/>
      <c r="AC174" s="8">
        <v>0</v>
      </c>
      <c r="AD174" s="121"/>
      <c r="AE174" s="325"/>
      <c r="AF174" s="324"/>
      <c r="AG174" s="29">
        <v>0</v>
      </c>
      <c r="AH174" s="28">
        <f>+IF(ABS(+AC174+AE174)&lt;=ABS(AD174+AF174),-AC174+AD174-AE174+AF174,0)</f>
        <v>0</v>
      </c>
      <c r="AI174" s="51"/>
      <c r="AJ174" s="1497">
        <f t="shared" si="70"/>
        <v>4397</v>
      </c>
      <c r="AK174" s="8">
        <v>0</v>
      </c>
      <c r="AL174" s="970">
        <f t="shared" si="91"/>
        <v>0</v>
      </c>
      <c r="AM174" s="326">
        <f t="shared" si="91"/>
        <v>0</v>
      </c>
      <c r="AN174" s="970">
        <f t="shared" si="91"/>
        <v>0</v>
      </c>
      <c r="AO174" s="29">
        <v>0</v>
      </c>
      <c r="AP174" s="28">
        <f t="shared" si="92"/>
        <v>0</v>
      </c>
      <c r="AQ174" s="43"/>
      <c r="AR174" s="358">
        <f t="shared" si="66"/>
        <v>0</v>
      </c>
      <c r="AS174" s="359">
        <f t="shared" si="67"/>
        <v>0</v>
      </c>
      <c r="AT174" s="360">
        <f t="shared" si="68"/>
        <v>0</v>
      </c>
      <c r="AU174" s="43"/>
      <c r="AV174" s="2119">
        <f>+IF(OR(+ROUND(O174,2)+ROUND(Q174,2)&gt;ROUND(P174,2)+ROUND(R174,2),+ABS(ROUND(O174,2)+ROUND(Q174,2))&gt;+ABS(ROUND(P174,2)+ROUND(R174,2))),+(ROUND(O174,2)+ROUND(Q174,2))-(ROUND(P174,2)+ROUND(R174,2)),0)</f>
        <v>0</v>
      </c>
      <c r="AW174" s="119"/>
      <c r="AX174" s="2119">
        <f>+IF(OR(+ROUND(AC174,2)+ROUND(AE174,2)&gt;ROUND(AD174,2)+ROUND(AF174,2),+ABS(ROUND(AC174,2)+ROUND(AE174,2))&gt;+ABS(ROUND(AD174,2)+ROUND(AF174,2))),+(ROUND(AC174,2)+ROUND(AE174,2))-(ROUND(AD174,2)+ROUND(AF174,2)),0)</f>
        <v>0</v>
      </c>
      <c r="AY174" s="43"/>
      <c r="AZ174" s="43"/>
      <c r="BA174" s="43"/>
      <c r="BB174" s="43"/>
      <c r="BC174" s="43"/>
      <c r="BD174" s="43"/>
    </row>
    <row r="175" spans="1:56" ht="15.75">
      <c r="A175" s="88">
        <v>4398</v>
      </c>
      <c r="B175" s="1033" t="s">
        <v>924</v>
      </c>
      <c r="C175" s="1033"/>
      <c r="D175" s="1033"/>
      <c r="E175" s="1033"/>
      <c r="F175" s="1033"/>
      <c r="G175" s="1033"/>
      <c r="H175" s="1033"/>
      <c r="I175" s="1033"/>
      <c r="J175" s="1033"/>
      <c r="K175" s="1033"/>
      <c r="L175" s="90"/>
      <c r="M175" s="51" t="s">
        <v>265</v>
      </c>
      <c r="N175" s="113">
        <f>+A175</f>
        <v>4398</v>
      </c>
      <c r="O175" s="8">
        <v>0</v>
      </c>
      <c r="P175" s="121"/>
      <c r="Q175" s="325"/>
      <c r="R175" s="324"/>
      <c r="S175" s="29">
        <v>0</v>
      </c>
      <c r="T175" s="28">
        <f>+IF(ABS(+O175+Q175)&lt;=ABS(P175+R175),-O175+P175-Q175+R175,0)</f>
        <v>0</v>
      </c>
      <c r="U175" s="51"/>
      <c r="V175" s="541">
        <f>+'NF-KSF-TRIAL-BAL-2020'!O175+'RA-TRIAL-BAL-2020'!O175+'DES-TRIAL-BAL-2020'!O175+'DMP-TRIAL-BAL-2020'!O175</f>
        <v>0</v>
      </c>
      <c r="W175" s="529">
        <f>+'NF-KSF-TRIAL-BAL-2020'!P175+'RA-TRIAL-BAL-2020'!P175+'DES-TRIAL-BAL-2020'!P175+'DMP-TRIAL-BAL-2020'!P175</f>
        <v>0</v>
      </c>
      <c r="X175" s="528">
        <f>+'NF-KSF-TRIAL-BAL-2020'!Q175+'RA-TRIAL-BAL-2020'!Q175+'DES-TRIAL-BAL-2020'!Q175+'DMP-TRIAL-BAL-2020'!Q175</f>
        <v>0</v>
      </c>
      <c r="Y175" s="529">
        <f>+'NF-KSF-TRIAL-BAL-2020'!R175+'RA-TRIAL-BAL-2020'!R175+'DES-TRIAL-BAL-2020'!R175+'DMP-TRIAL-BAL-2020'!R175</f>
        <v>0</v>
      </c>
      <c r="Z175" s="528">
        <f>+'NF-KSF-TRIAL-BAL-2020'!S175+'RA-TRIAL-BAL-2020'!S175+'DES-TRIAL-BAL-2020'!S175+'DMP-TRIAL-BAL-2020'!S175</f>
        <v>0</v>
      </c>
      <c r="AA175" s="347">
        <f>+'NF-KSF-TRIAL-BAL-2020'!T175+'RA-TRIAL-BAL-2020'!T175+'DES-TRIAL-BAL-2020'!T175+'DMP-TRIAL-BAL-2020'!T175</f>
        <v>0</v>
      </c>
      <c r="AB175" s="51"/>
      <c r="AC175" s="8">
        <v>0</v>
      </c>
      <c r="AD175" s="121"/>
      <c r="AE175" s="325"/>
      <c r="AF175" s="324"/>
      <c r="AG175" s="29">
        <v>0</v>
      </c>
      <c r="AH175" s="28">
        <f>+IF(ABS(+AC175+AE175)&lt;=ABS(AD175+AF175),-AC175+AD175-AE175+AF175,0)</f>
        <v>0</v>
      </c>
      <c r="AI175" s="51"/>
      <c r="AJ175" s="1497">
        <f>+N175</f>
        <v>4398</v>
      </c>
      <c r="AK175" s="8">
        <v>0</v>
      </c>
      <c r="AL175" s="970">
        <f t="shared" si="91"/>
        <v>0</v>
      </c>
      <c r="AM175" s="326">
        <f t="shared" si="91"/>
        <v>0</v>
      </c>
      <c r="AN175" s="970">
        <f t="shared" si="91"/>
        <v>0</v>
      </c>
      <c r="AO175" s="29">
        <v>0</v>
      </c>
      <c r="AP175" s="28">
        <f t="shared" si="92"/>
        <v>0</v>
      </c>
      <c r="AQ175" s="43"/>
      <c r="AR175" s="358">
        <f>+ROUND(+SUM(AK175-AL175)-SUM(O175-P175)-SUM(V175-W175)-SUM(AC175-AD175),2)</f>
        <v>0</v>
      </c>
      <c r="AS175" s="359">
        <f>+ROUND(+SUM(AM175-AN175)-SUM(Q175-R175)-SUM(X175-Y175)-SUM(AE175-AF175),2)</f>
        <v>0</v>
      </c>
      <c r="AT175" s="360">
        <f>+ROUND(+SUM(AO175-AP175)-SUM(S175-T175)-SUM(Z175-AA175)-SUM(AG175-AH175),2)</f>
        <v>0</v>
      </c>
      <c r="AU175" s="43"/>
      <c r="AV175" s="2119">
        <f>+IF(OR(+ROUND(O175,2)+ROUND(Q175,2)&gt;ROUND(P175,2)+ROUND(R175,2),+ABS(ROUND(O175,2)+ROUND(Q175,2))&gt;+ABS(ROUND(P175,2)+ROUND(R175,2))),+(ROUND(O175,2)+ROUND(Q175,2))-(ROUND(P175,2)+ROUND(R175,2)),0)</f>
        <v>0</v>
      </c>
      <c r="AW175" s="119"/>
      <c r="AX175" s="2119">
        <f>+IF(OR(+ROUND(AC175,2)+ROUND(AE175,2)&gt;ROUND(AD175,2)+ROUND(AF175,2),+ABS(ROUND(AC175,2)+ROUND(AE175,2))&gt;+ABS(ROUND(AD175,2)+ROUND(AF175,2))),+(ROUND(AC175,2)+ROUND(AE175,2))-(ROUND(AD175,2)+ROUND(AF175,2)),0)</f>
        <v>0</v>
      </c>
      <c r="AY175" s="43"/>
      <c r="AZ175" s="43"/>
      <c r="BA175" s="43"/>
      <c r="BB175" s="43"/>
      <c r="BC175" s="43"/>
      <c r="BD175" s="43"/>
    </row>
    <row r="176" spans="1:56" ht="15.75">
      <c r="A176" s="88">
        <v>4500</v>
      </c>
      <c r="B176" s="1033" t="s">
        <v>925</v>
      </c>
      <c r="C176" s="1033"/>
      <c r="D176" s="1033"/>
      <c r="E176" s="1033"/>
      <c r="F176" s="1033"/>
      <c r="G176" s="1033"/>
      <c r="H176" s="1033"/>
      <c r="I176" s="1033"/>
      <c r="J176" s="1033"/>
      <c r="K176" s="1033"/>
      <c r="L176" s="90"/>
      <c r="M176" s="51" t="s">
        <v>265</v>
      </c>
      <c r="N176" s="113">
        <f t="shared" si="64"/>
        <v>4500</v>
      </c>
      <c r="O176" s="120">
        <v>0</v>
      </c>
      <c r="P176" s="121">
        <v>0</v>
      </c>
      <c r="Q176" s="325">
        <v>0</v>
      </c>
      <c r="R176" s="324">
        <v>0</v>
      </c>
      <c r="S176" s="27">
        <f>+IF(ABS(+O176+Q176)&gt;=ABS(P176+R176),+O176-P176+Q176-R176,0)</f>
        <v>0</v>
      </c>
      <c r="T176" s="28">
        <f t="shared" ref="T176:T218" si="93">+IF(ABS(+O176+Q176)&lt;=ABS(P176+R176),-O176+P176-Q176+R176,0)</f>
        <v>0</v>
      </c>
      <c r="U176" s="51"/>
      <c r="V176" s="541">
        <f>+'NF-KSF-TRIAL-BAL-2020'!O176+'RA-TRIAL-BAL-2020'!O176+'DES-TRIAL-BAL-2020'!O176+'DMP-TRIAL-BAL-2020'!O176</f>
        <v>0</v>
      </c>
      <c r="W176" s="529">
        <f>+'NF-KSF-TRIAL-BAL-2020'!P176+'RA-TRIAL-BAL-2020'!P176+'DES-TRIAL-BAL-2020'!P176+'DMP-TRIAL-BAL-2020'!P176</f>
        <v>0</v>
      </c>
      <c r="X176" s="528">
        <f>+'NF-KSF-TRIAL-BAL-2020'!Q176+'RA-TRIAL-BAL-2020'!Q176+'DES-TRIAL-BAL-2020'!Q176+'DMP-TRIAL-BAL-2020'!Q176</f>
        <v>0</v>
      </c>
      <c r="Y176" s="529">
        <f>+'NF-KSF-TRIAL-BAL-2020'!R176+'RA-TRIAL-BAL-2020'!R176+'DES-TRIAL-BAL-2020'!R176+'DMP-TRIAL-BAL-2020'!R176</f>
        <v>0</v>
      </c>
      <c r="Z176" s="528">
        <f>+'NF-KSF-TRIAL-BAL-2020'!S176+'RA-TRIAL-BAL-2020'!S176+'DES-TRIAL-BAL-2020'!S176+'DMP-TRIAL-BAL-2020'!S176</f>
        <v>0</v>
      </c>
      <c r="AA176" s="347">
        <f>+'NF-KSF-TRIAL-BAL-2020'!T176+'RA-TRIAL-BAL-2020'!T176+'DES-TRIAL-BAL-2020'!T176+'DMP-TRIAL-BAL-2020'!T176</f>
        <v>0</v>
      </c>
      <c r="AB176" s="51"/>
      <c r="AC176" s="120">
        <v>0</v>
      </c>
      <c r="AD176" s="121">
        <v>0</v>
      </c>
      <c r="AE176" s="325">
        <v>0</v>
      </c>
      <c r="AF176" s="324">
        <v>0</v>
      </c>
      <c r="AG176" s="27">
        <f t="shared" ref="AG176:AG219" si="94">+IF(ABS(+AC176+AE176)&gt;=ABS(AD176+AF176),+AC176-AD176+AE176-AF176,0)</f>
        <v>0</v>
      </c>
      <c r="AH176" s="28">
        <f t="shared" ref="AH176:AH218" si="95">+IF(ABS(+AC176+AE176)&lt;=ABS(AD176+AF176),-AC176+AD176-AE176+AF176,0)</f>
        <v>0</v>
      </c>
      <c r="AI176" s="51"/>
      <c r="AJ176" s="1497">
        <f t="shared" si="70"/>
        <v>4500</v>
      </c>
      <c r="AK176" s="951">
        <f t="shared" ref="AK176:AK183" si="96">+ROUND(+O176+V176+AC176,2)</f>
        <v>0</v>
      </c>
      <c r="AL176" s="970">
        <f t="shared" ref="AL176:AL183" si="97">+ROUND(+P176+W176+AD176,2)</f>
        <v>0</v>
      </c>
      <c r="AM176" s="326">
        <f>+ROUND(+Q176+X176+AE176,2)</f>
        <v>0</v>
      </c>
      <c r="AN176" s="970">
        <f>+ROUND(+R176+Y176+AF176,2)</f>
        <v>0</v>
      </c>
      <c r="AO176" s="326">
        <f t="shared" ref="AO176:AO183" si="98">+S176+Z176+AG176</f>
        <v>0</v>
      </c>
      <c r="AP176" s="28">
        <f t="shared" si="92"/>
        <v>0</v>
      </c>
      <c r="AQ176" s="43"/>
      <c r="AR176" s="358">
        <f t="shared" si="66"/>
        <v>0</v>
      </c>
      <c r="AS176" s="359">
        <f t="shared" si="67"/>
        <v>0</v>
      </c>
      <c r="AT176" s="360">
        <f t="shared" si="68"/>
        <v>0</v>
      </c>
      <c r="AU176" s="43"/>
      <c r="AV176" s="43"/>
      <c r="AW176" s="119"/>
      <c r="AX176" s="119"/>
      <c r="AY176" s="43"/>
      <c r="AZ176" s="43"/>
      <c r="BA176" s="43"/>
      <c r="BB176" s="43"/>
      <c r="BC176" s="43"/>
      <c r="BD176" s="43"/>
    </row>
    <row r="177" spans="1:56" ht="15.75" customHeight="1">
      <c r="A177" s="88">
        <v>4501</v>
      </c>
      <c r="B177" s="1033" t="s">
        <v>226</v>
      </c>
      <c r="C177" s="88"/>
      <c r="D177" s="1041"/>
      <c r="E177" s="1041"/>
      <c r="F177" s="1041"/>
      <c r="G177" s="1041"/>
      <c r="H177" s="1041"/>
      <c r="I177" s="1041"/>
      <c r="J177" s="1041"/>
      <c r="K177" s="1041"/>
      <c r="L177" s="590"/>
      <c r="M177" s="51" t="s">
        <v>265</v>
      </c>
      <c r="N177" s="113">
        <f t="shared" si="64"/>
        <v>4501</v>
      </c>
      <c r="O177" s="581"/>
      <c r="P177" s="576"/>
      <c r="Q177" s="325"/>
      <c r="R177" s="324"/>
      <c r="S177" s="583">
        <f>+IF(ABS(+O177+Q177)&gt;=ABS(P177+R177),+O177-P177+Q177-R177,0)</f>
        <v>0</v>
      </c>
      <c r="T177" s="580">
        <f t="shared" si="93"/>
        <v>0</v>
      </c>
      <c r="U177" s="51"/>
      <c r="V177" s="541">
        <f>+'NF-KSF-TRIAL-BAL-2020'!O177+'RA-TRIAL-BAL-2020'!O177+'DES-TRIAL-BAL-2020'!O177+'DMP-TRIAL-BAL-2020'!O177</f>
        <v>0</v>
      </c>
      <c r="W177" s="529">
        <f>+'NF-KSF-TRIAL-BAL-2020'!P177+'RA-TRIAL-BAL-2020'!P177+'DES-TRIAL-BAL-2020'!P177+'DMP-TRIAL-BAL-2020'!P177</f>
        <v>0</v>
      </c>
      <c r="X177" s="587">
        <f>+'NF-KSF-TRIAL-BAL-2020'!Q177+'RA-TRIAL-BAL-2020'!Q177+'DES-TRIAL-BAL-2020'!Q177+'DMP-TRIAL-BAL-2020'!Q177</f>
        <v>0</v>
      </c>
      <c r="Y177" s="586">
        <f>+'NF-KSF-TRIAL-BAL-2020'!R177+'RA-TRIAL-BAL-2020'!R177+'DES-TRIAL-BAL-2020'!R177+'DMP-TRIAL-BAL-2020'!R177</f>
        <v>0</v>
      </c>
      <c r="Z177" s="587">
        <f>+'NF-KSF-TRIAL-BAL-2020'!S177+'RA-TRIAL-BAL-2020'!S177+'DES-TRIAL-BAL-2020'!S177+'DMP-TRIAL-BAL-2020'!S177</f>
        <v>0</v>
      </c>
      <c r="AA177" s="588">
        <f>+'NF-KSF-TRIAL-BAL-2020'!T177+'RA-TRIAL-BAL-2020'!T177+'DES-TRIAL-BAL-2020'!T177+'DMP-TRIAL-BAL-2020'!T177</f>
        <v>0</v>
      </c>
      <c r="AB177" s="51"/>
      <c r="AC177" s="575">
        <v>0</v>
      </c>
      <c r="AD177" s="582">
        <v>0</v>
      </c>
      <c r="AE177" s="579">
        <v>0</v>
      </c>
      <c r="AF177" s="582">
        <v>0</v>
      </c>
      <c r="AG177" s="579">
        <v>0</v>
      </c>
      <c r="AH177" s="582">
        <v>0</v>
      </c>
      <c r="AI177" s="51"/>
      <c r="AJ177" s="1497">
        <f t="shared" si="70"/>
        <v>4501</v>
      </c>
      <c r="AK177" s="951">
        <f t="shared" si="96"/>
        <v>0</v>
      </c>
      <c r="AL177" s="970">
        <f t="shared" si="97"/>
        <v>0</v>
      </c>
      <c r="AM177" s="326">
        <f>+ROUND(+Q177+X177+AE177,2)</f>
        <v>0</v>
      </c>
      <c r="AN177" s="970">
        <f>+ROUND(+R177+Y177+AF177,2)</f>
        <v>0</v>
      </c>
      <c r="AO177" s="326">
        <f t="shared" si="98"/>
        <v>0</v>
      </c>
      <c r="AP177" s="28">
        <f t="shared" si="92"/>
        <v>0</v>
      </c>
      <c r="AQ177" s="43"/>
      <c r="AR177" s="358">
        <f t="shared" si="66"/>
        <v>0</v>
      </c>
      <c r="AS177" s="359">
        <f t="shared" si="67"/>
        <v>0</v>
      </c>
      <c r="AT177" s="360">
        <f t="shared" si="68"/>
        <v>0</v>
      </c>
      <c r="AU177" s="43"/>
      <c r="AV177" s="43"/>
      <c r="AW177" s="119"/>
      <c r="AX177" s="2125">
        <f>+IF(OR(AC177&lt;&gt;0,AD177&lt;&gt;0,AE177&lt;&gt;0,AF177&lt;&gt;0,AG177&lt;&gt;0,AH177&lt;&gt;0),+IF(ABS(AC177+AE177)-ABS(AD177+AF177)&lt;&gt;0,ABS(AC177+AE177)-ABS(AD177+AF177),1),0)</f>
        <v>0</v>
      </c>
      <c r="AY177" s="43"/>
      <c r="AZ177" s="43"/>
      <c r="BA177" s="43"/>
      <c r="BB177" s="43"/>
      <c r="BC177" s="43"/>
      <c r="BD177" s="43"/>
    </row>
    <row r="178" spans="1:56" ht="15.75" customHeight="1">
      <c r="A178" s="88">
        <v>4502</v>
      </c>
      <c r="B178" s="1033" t="s">
        <v>227</v>
      </c>
      <c r="C178" s="88"/>
      <c r="D178" s="1041"/>
      <c r="E178" s="1041"/>
      <c r="F178" s="1041"/>
      <c r="G178" s="1041"/>
      <c r="H178" s="1041"/>
      <c r="I178" s="1041"/>
      <c r="J178" s="1041"/>
      <c r="K178" s="1041"/>
      <c r="L178" s="590"/>
      <c r="M178" s="51" t="s">
        <v>265</v>
      </c>
      <c r="N178" s="113">
        <f t="shared" si="64"/>
        <v>4502</v>
      </c>
      <c r="O178" s="581"/>
      <c r="P178" s="576"/>
      <c r="Q178" s="325"/>
      <c r="R178" s="324"/>
      <c r="S178" s="583">
        <f>+IF(ABS(+O178+Q178)&gt;=ABS(P178+R178),+O178-P178+Q178-R178,0)</f>
        <v>0</v>
      </c>
      <c r="T178" s="580">
        <f>+IF(ABS(+O178+Q178)&lt;=ABS(P178+R178),-O178+P178-Q178+R178,0)</f>
        <v>0</v>
      </c>
      <c r="U178" s="51"/>
      <c r="V178" s="541">
        <f>+'NF-KSF-TRIAL-BAL-2020'!O178+'RA-TRIAL-BAL-2020'!O178+'DES-TRIAL-BAL-2020'!O178+'DMP-TRIAL-BAL-2020'!O178</f>
        <v>0</v>
      </c>
      <c r="W178" s="529">
        <f>+'NF-KSF-TRIAL-BAL-2020'!P178+'RA-TRIAL-BAL-2020'!P178+'DES-TRIAL-BAL-2020'!P178+'DMP-TRIAL-BAL-2020'!P178</f>
        <v>0</v>
      </c>
      <c r="X178" s="587">
        <f>+'NF-KSF-TRIAL-BAL-2020'!Q178+'RA-TRIAL-BAL-2020'!Q178+'DES-TRIAL-BAL-2020'!Q178+'DMP-TRIAL-BAL-2020'!Q178</f>
        <v>0</v>
      </c>
      <c r="Y178" s="586">
        <f>+'NF-KSF-TRIAL-BAL-2020'!R178+'RA-TRIAL-BAL-2020'!R178+'DES-TRIAL-BAL-2020'!R178+'DMP-TRIAL-BAL-2020'!R178</f>
        <v>0</v>
      </c>
      <c r="Z178" s="587">
        <f>+'NF-KSF-TRIAL-BAL-2020'!S178+'RA-TRIAL-BAL-2020'!S178+'DES-TRIAL-BAL-2020'!S178+'DMP-TRIAL-BAL-2020'!S178</f>
        <v>0</v>
      </c>
      <c r="AA178" s="588">
        <f>+'NF-KSF-TRIAL-BAL-2020'!T178+'RA-TRIAL-BAL-2020'!T178+'DES-TRIAL-BAL-2020'!T178+'DMP-TRIAL-BAL-2020'!T178</f>
        <v>0</v>
      </c>
      <c r="AB178" s="51"/>
      <c r="AC178" s="581"/>
      <c r="AD178" s="576"/>
      <c r="AE178" s="325"/>
      <c r="AF178" s="324"/>
      <c r="AG178" s="583">
        <f>+IF(ABS(+AC178+AE178)&gt;=ABS(AD178+AF178),+AC178-AD178+AE178-AF178,0)</f>
        <v>0</v>
      </c>
      <c r="AH178" s="580">
        <f>+IF(ABS(+AC178+AE178)&lt;=ABS(AD178+AF178),-AC178+AD178-AE178+AF178,0)</f>
        <v>0</v>
      </c>
      <c r="AI178" s="51"/>
      <c r="AJ178" s="1497">
        <f>+N178</f>
        <v>4502</v>
      </c>
      <c r="AK178" s="951">
        <f t="shared" si="96"/>
        <v>0</v>
      </c>
      <c r="AL178" s="970">
        <f t="shared" si="97"/>
        <v>0</v>
      </c>
      <c r="AM178" s="326">
        <f t="shared" ref="AM178:AN180" si="99">+ROUND(+Q178+X178+AE178,2)</f>
        <v>0</v>
      </c>
      <c r="AN178" s="970">
        <f t="shared" si="99"/>
        <v>0</v>
      </c>
      <c r="AO178" s="326">
        <f t="shared" si="98"/>
        <v>0</v>
      </c>
      <c r="AP178" s="28">
        <f t="shared" si="92"/>
        <v>0</v>
      </c>
      <c r="AQ178" s="43"/>
      <c r="AR178" s="358">
        <f>+ROUND(+SUM(AK178-AL178)-SUM(O178-P178)-SUM(V178-W178)-SUM(AC178-AD178),2)</f>
        <v>0</v>
      </c>
      <c r="AS178" s="359">
        <f>+ROUND(+SUM(AM178-AN178)-SUM(Q178-R178)-SUM(X178-Y178)-SUM(AE178-AF178),2)</f>
        <v>0</v>
      </c>
      <c r="AT178" s="360">
        <f>+ROUND(+SUM(AO178-AP178)-SUM(S178-T178)-SUM(Z178-AA178)-SUM(AG178-AH178),2)</f>
        <v>0</v>
      </c>
      <c r="AU178" s="43"/>
      <c r="AV178" s="43"/>
      <c r="AW178" s="119"/>
      <c r="AX178" s="119"/>
      <c r="AY178" s="43"/>
      <c r="AZ178" s="43"/>
      <c r="BA178" s="43"/>
      <c r="BB178" s="43"/>
      <c r="BC178" s="43"/>
      <c r="BD178" s="43"/>
    </row>
    <row r="179" spans="1:56" ht="15.75" customHeight="1">
      <c r="A179" s="88">
        <v>4503</v>
      </c>
      <c r="B179" s="1033" t="s">
        <v>228</v>
      </c>
      <c r="C179" s="88"/>
      <c r="D179" s="1041"/>
      <c r="E179" s="1041"/>
      <c r="F179" s="1041"/>
      <c r="G179" s="1041"/>
      <c r="H179" s="1041"/>
      <c r="I179" s="1041"/>
      <c r="J179" s="1041"/>
      <c r="K179" s="1041"/>
      <c r="L179" s="590"/>
      <c r="M179" s="51" t="s">
        <v>265</v>
      </c>
      <c r="N179" s="113">
        <f t="shared" si="64"/>
        <v>4503</v>
      </c>
      <c r="O179" s="575">
        <v>0</v>
      </c>
      <c r="P179" s="582">
        <v>0</v>
      </c>
      <c r="Q179" s="579">
        <v>0</v>
      </c>
      <c r="R179" s="582">
        <v>0</v>
      </c>
      <c r="S179" s="579">
        <v>0</v>
      </c>
      <c r="T179" s="584">
        <v>0</v>
      </c>
      <c r="U179" s="51"/>
      <c r="V179" s="541">
        <f>+'NF-KSF-TRIAL-BAL-2020'!O179+'RA-TRIAL-BAL-2020'!O179+'DES-TRIAL-BAL-2020'!O179+'DMP-TRIAL-BAL-2020'!O179</f>
        <v>0</v>
      </c>
      <c r="W179" s="529">
        <f>+'NF-KSF-TRIAL-BAL-2020'!P179+'RA-TRIAL-BAL-2020'!P179+'DES-TRIAL-BAL-2020'!P179+'DMP-TRIAL-BAL-2020'!P179</f>
        <v>0</v>
      </c>
      <c r="X179" s="587">
        <f>+'NF-KSF-TRIAL-BAL-2020'!Q179+'RA-TRIAL-BAL-2020'!Q179+'DES-TRIAL-BAL-2020'!Q179+'DMP-TRIAL-BAL-2020'!Q179</f>
        <v>0</v>
      </c>
      <c r="Y179" s="586">
        <f>+'NF-KSF-TRIAL-BAL-2020'!R179+'RA-TRIAL-BAL-2020'!R179+'DES-TRIAL-BAL-2020'!R179+'DMP-TRIAL-BAL-2020'!R179</f>
        <v>0</v>
      </c>
      <c r="Z179" s="587">
        <f>+'NF-KSF-TRIAL-BAL-2020'!S179+'RA-TRIAL-BAL-2020'!S179+'DES-TRIAL-BAL-2020'!S179+'DMP-TRIAL-BAL-2020'!S179</f>
        <v>0</v>
      </c>
      <c r="AA179" s="588">
        <f>+'NF-KSF-TRIAL-BAL-2020'!T179+'RA-TRIAL-BAL-2020'!T179+'DES-TRIAL-BAL-2020'!T179+'DMP-TRIAL-BAL-2020'!T179</f>
        <v>0</v>
      </c>
      <c r="AB179" s="51"/>
      <c r="AC179" s="581"/>
      <c r="AD179" s="576"/>
      <c r="AE179" s="325"/>
      <c r="AF179" s="324"/>
      <c r="AG179" s="583">
        <f>+IF(ABS(+AC179+AE179)&gt;=ABS(AD179+AF179),+AC179-AD179+AE179-AF179,0)</f>
        <v>0</v>
      </c>
      <c r="AH179" s="580">
        <f>+IF(ABS(+AC179+AE179)&lt;=ABS(AD179+AF179),-AC179+AD179-AE179+AF179,0)</f>
        <v>0</v>
      </c>
      <c r="AI179" s="51"/>
      <c r="AJ179" s="1497">
        <f>+N179</f>
        <v>4503</v>
      </c>
      <c r="AK179" s="951">
        <f t="shared" si="96"/>
        <v>0</v>
      </c>
      <c r="AL179" s="970">
        <f t="shared" si="97"/>
        <v>0</v>
      </c>
      <c r="AM179" s="326">
        <f t="shared" si="99"/>
        <v>0</v>
      </c>
      <c r="AN179" s="970">
        <f t="shared" si="99"/>
        <v>0</v>
      </c>
      <c r="AO179" s="326">
        <f t="shared" si="98"/>
        <v>0</v>
      </c>
      <c r="AP179" s="28">
        <f t="shared" si="92"/>
        <v>0</v>
      </c>
      <c r="AQ179" s="43"/>
      <c r="AR179" s="358">
        <f>+ROUND(+SUM(AK179-AL179)-SUM(O179-P179)-SUM(V179-W179)-SUM(AC179-AD179),2)</f>
        <v>0</v>
      </c>
      <c r="AS179" s="359">
        <f>+ROUND(+SUM(AM179-AN179)-SUM(Q179-R179)-SUM(X179-Y179)-SUM(AE179-AF179),2)</f>
        <v>0</v>
      </c>
      <c r="AT179" s="360">
        <f>+ROUND(+SUM(AO179-AP179)-SUM(S179-T179)-SUM(Z179-AA179)-SUM(AG179-AH179),2)</f>
        <v>0</v>
      </c>
      <c r="AU179" s="43"/>
      <c r="AV179" s="2125">
        <f>+IF(OR(O179&lt;&gt;0,P179&lt;&gt;0,Q179&lt;&gt;0,R179&lt;&gt;0,S179&lt;&gt;0,T179&lt;&gt;0),+IF(ABS(O179+Q179)-ABS(P179+R179)&lt;&gt;0,ABS(O179+Q179)-ABS(P179+R179),1),0)</f>
        <v>0</v>
      </c>
      <c r="AW179" s="119"/>
      <c r="AX179" s="119"/>
      <c r="AY179" s="43"/>
      <c r="AZ179" s="43"/>
      <c r="BA179" s="43"/>
      <c r="BB179" s="43"/>
      <c r="BC179" s="43"/>
      <c r="BD179" s="43"/>
    </row>
    <row r="180" spans="1:56" ht="15.75" customHeight="1">
      <c r="A180" s="88">
        <v>4510</v>
      </c>
      <c r="B180" s="1033" t="s">
        <v>229</v>
      </c>
      <c r="C180" s="88"/>
      <c r="D180" s="1038"/>
      <c r="E180" s="1038"/>
      <c r="F180" s="1038"/>
      <c r="G180" s="1038"/>
      <c r="H180" s="1038"/>
      <c r="I180" s="1038"/>
      <c r="J180" s="1038"/>
      <c r="K180" s="1038"/>
      <c r="L180" s="590"/>
      <c r="M180" s="51" t="s">
        <v>265</v>
      </c>
      <c r="N180" s="113">
        <f t="shared" si="64"/>
        <v>4510</v>
      </c>
      <c r="O180" s="581">
        <v>0</v>
      </c>
      <c r="P180" s="576">
        <v>4000</v>
      </c>
      <c r="Q180" s="325">
        <v>44522.38</v>
      </c>
      <c r="R180" s="324">
        <v>40522.379999999997</v>
      </c>
      <c r="S180" s="583">
        <f>+IF(ABS(+O180+Q180)&gt;=ABS(P180+R180),+O180-P180+Q180-R180,0)</f>
        <v>0</v>
      </c>
      <c r="T180" s="580">
        <f>+IF(ABS(+O180+Q180)&lt;=ABS(P180+R180),-O180+P180-Q180+R180,0)</f>
        <v>0</v>
      </c>
      <c r="U180" s="51"/>
      <c r="V180" s="541">
        <f>+'NF-KSF-TRIAL-BAL-2020'!O180+'RA-TRIAL-BAL-2020'!O180+'DES-TRIAL-BAL-2020'!O180+'DMP-TRIAL-BAL-2020'!O180</f>
        <v>0</v>
      </c>
      <c r="W180" s="529">
        <f>+'NF-KSF-TRIAL-BAL-2020'!P180+'RA-TRIAL-BAL-2020'!P180+'DES-TRIAL-BAL-2020'!P180+'DMP-TRIAL-BAL-2020'!P180</f>
        <v>0</v>
      </c>
      <c r="X180" s="587">
        <f>+'NF-KSF-TRIAL-BAL-2020'!Q180+'RA-TRIAL-BAL-2020'!Q180+'DES-TRIAL-BAL-2020'!Q180+'DMP-TRIAL-BAL-2020'!Q180</f>
        <v>0</v>
      </c>
      <c r="Y180" s="586">
        <f>+'NF-KSF-TRIAL-BAL-2020'!R180+'RA-TRIAL-BAL-2020'!R180+'DES-TRIAL-BAL-2020'!R180+'DMP-TRIAL-BAL-2020'!R180</f>
        <v>0</v>
      </c>
      <c r="Z180" s="587">
        <f>+'NF-KSF-TRIAL-BAL-2020'!S180+'RA-TRIAL-BAL-2020'!S180+'DES-TRIAL-BAL-2020'!S180+'DMP-TRIAL-BAL-2020'!S180</f>
        <v>0</v>
      </c>
      <c r="AA180" s="588">
        <f>+'NF-KSF-TRIAL-BAL-2020'!T180+'RA-TRIAL-BAL-2020'!T180+'DES-TRIAL-BAL-2020'!T180+'DMP-TRIAL-BAL-2020'!T180</f>
        <v>0</v>
      </c>
      <c r="AB180" s="51"/>
      <c r="AC180" s="581">
        <v>0</v>
      </c>
      <c r="AD180" s="576">
        <v>0</v>
      </c>
      <c r="AE180" s="122">
        <v>0</v>
      </c>
      <c r="AF180" s="121">
        <v>0</v>
      </c>
      <c r="AG180" s="583">
        <f>+IF(ABS(+AC180+AE180)&gt;=ABS(AD180+AF180),+AC180-AD180+AE180-AF180,0)</f>
        <v>0</v>
      </c>
      <c r="AH180" s="580">
        <f>+IF(ABS(+AC180+AE180)&lt;=ABS(AD180+AF180),-AC180+AD180-AE180+AF180,0)</f>
        <v>0</v>
      </c>
      <c r="AI180" s="51"/>
      <c r="AJ180" s="1497">
        <f>+N180</f>
        <v>4510</v>
      </c>
      <c r="AK180" s="951">
        <f t="shared" si="96"/>
        <v>0</v>
      </c>
      <c r="AL180" s="970">
        <f t="shared" si="97"/>
        <v>4000</v>
      </c>
      <c r="AM180" s="326">
        <f t="shared" si="99"/>
        <v>44522.38</v>
      </c>
      <c r="AN180" s="970">
        <f t="shared" si="99"/>
        <v>40522.379999999997</v>
      </c>
      <c r="AO180" s="326">
        <f t="shared" si="98"/>
        <v>0</v>
      </c>
      <c r="AP180" s="28">
        <f t="shared" si="92"/>
        <v>0</v>
      </c>
      <c r="AQ180" s="43"/>
      <c r="AR180" s="358">
        <f>+ROUND(+SUM(AK180-AL180)-SUM(O180-P180)-SUM(V180-W180)-SUM(AC180-AD180),2)</f>
        <v>0</v>
      </c>
      <c r="AS180" s="359">
        <f>+ROUND(+SUM(AM180-AN180)-SUM(Q180-R180)-SUM(X180-Y180)-SUM(AE180-AF180),2)</f>
        <v>0</v>
      </c>
      <c r="AT180" s="360">
        <f>+ROUND(+SUM(AO180-AP180)-SUM(S180-T180)-SUM(Z180-AA180)-SUM(AG180-AH180),2)</f>
        <v>0</v>
      </c>
      <c r="AU180" s="43"/>
      <c r="AV180" s="43"/>
      <c r="AW180" s="119"/>
      <c r="AX180" s="119"/>
      <c r="AY180" s="43"/>
      <c r="AZ180" s="43"/>
      <c r="BA180" s="43"/>
      <c r="BB180" s="43"/>
      <c r="BC180" s="43"/>
      <c r="BD180" s="43"/>
    </row>
    <row r="181" spans="1:56" ht="15.75">
      <c r="A181" s="88">
        <v>4511</v>
      </c>
      <c r="B181" s="378" t="s">
        <v>230</v>
      </c>
      <c r="C181" s="1033"/>
      <c r="D181" s="1033"/>
      <c r="E181" s="1033"/>
      <c r="F181" s="1033"/>
      <c r="G181" s="1033"/>
      <c r="H181" s="1033"/>
      <c r="I181" s="1033"/>
      <c r="J181" s="1033"/>
      <c r="K181" s="1033"/>
      <c r="L181" s="90"/>
      <c r="M181" s="51" t="s">
        <v>265</v>
      </c>
      <c r="N181" s="113">
        <f t="shared" si="64"/>
        <v>4511</v>
      </c>
      <c r="O181" s="120">
        <v>0</v>
      </c>
      <c r="P181" s="121">
        <v>0</v>
      </c>
      <c r="Q181" s="325">
        <v>0</v>
      </c>
      <c r="R181" s="324">
        <v>0</v>
      </c>
      <c r="S181" s="27">
        <f>+IF(ABS(+O181+Q181)&gt;=ABS(P181+R181),+O181-P181+Q181-R181,0)</f>
        <v>0</v>
      </c>
      <c r="T181" s="28">
        <f t="shared" si="93"/>
        <v>0</v>
      </c>
      <c r="U181" s="51"/>
      <c r="V181" s="541">
        <f>+'NF-KSF-TRIAL-BAL-2020'!O181+'RA-TRIAL-BAL-2020'!O181+'DES-TRIAL-BAL-2020'!O181+'DMP-TRIAL-BAL-2020'!O181</f>
        <v>0</v>
      </c>
      <c r="W181" s="529">
        <f>+'NF-KSF-TRIAL-BAL-2020'!P181+'RA-TRIAL-BAL-2020'!P181+'DES-TRIAL-BAL-2020'!P181+'DMP-TRIAL-BAL-2020'!P181</f>
        <v>0</v>
      </c>
      <c r="X181" s="528">
        <f>+'NF-KSF-TRIAL-BAL-2020'!Q181+'RA-TRIAL-BAL-2020'!Q181+'DES-TRIAL-BAL-2020'!Q181+'DMP-TRIAL-BAL-2020'!Q181</f>
        <v>0</v>
      </c>
      <c r="Y181" s="529">
        <f>+'NF-KSF-TRIAL-BAL-2020'!R181+'RA-TRIAL-BAL-2020'!R181+'DES-TRIAL-BAL-2020'!R181+'DMP-TRIAL-BAL-2020'!R181</f>
        <v>0</v>
      </c>
      <c r="Z181" s="528">
        <f>+'NF-KSF-TRIAL-BAL-2020'!S181+'RA-TRIAL-BAL-2020'!S181+'DES-TRIAL-BAL-2020'!S181+'DMP-TRIAL-BAL-2020'!S181</f>
        <v>0</v>
      </c>
      <c r="AA181" s="347">
        <f>+'NF-KSF-TRIAL-BAL-2020'!T181+'RA-TRIAL-BAL-2020'!T181+'DES-TRIAL-BAL-2020'!T181+'DMP-TRIAL-BAL-2020'!T181</f>
        <v>0</v>
      </c>
      <c r="AB181" s="51"/>
      <c r="AC181" s="120">
        <v>0</v>
      </c>
      <c r="AD181" s="121">
        <v>0</v>
      </c>
      <c r="AE181" s="325">
        <v>0</v>
      </c>
      <c r="AF181" s="324">
        <v>0</v>
      </c>
      <c r="AG181" s="27">
        <f t="shared" si="94"/>
        <v>0</v>
      </c>
      <c r="AH181" s="28">
        <f t="shared" si="95"/>
        <v>0</v>
      </c>
      <c r="AI181" s="51"/>
      <c r="AJ181" s="1497">
        <f t="shared" si="70"/>
        <v>4511</v>
      </c>
      <c r="AK181" s="951">
        <f t="shared" si="96"/>
        <v>0</v>
      </c>
      <c r="AL181" s="970">
        <f t="shared" si="97"/>
        <v>0</v>
      </c>
      <c r="AM181" s="326">
        <f t="shared" ref="AM181:AN186" si="100">+ROUND(+Q181+X181+AE181,2)</f>
        <v>0</v>
      </c>
      <c r="AN181" s="970">
        <f t="shared" si="100"/>
        <v>0</v>
      </c>
      <c r="AO181" s="326">
        <f t="shared" si="98"/>
        <v>0</v>
      </c>
      <c r="AP181" s="28">
        <f t="shared" si="92"/>
        <v>0</v>
      </c>
      <c r="AQ181" s="43"/>
      <c r="AR181" s="358">
        <f t="shared" si="66"/>
        <v>0</v>
      </c>
      <c r="AS181" s="359">
        <f t="shared" si="67"/>
        <v>0</v>
      </c>
      <c r="AT181" s="360">
        <f t="shared" si="68"/>
        <v>0</v>
      </c>
      <c r="AU181" s="43"/>
      <c r="AV181" s="43"/>
      <c r="AW181" s="119"/>
      <c r="AX181" s="119"/>
      <c r="AY181" s="43"/>
      <c r="AZ181" s="43"/>
      <c r="BA181" s="43"/>
      <c r="BB181" s="43"/>
      <c r="BC181" s="43"/>
      <c r="BD181" s="43"/>
    </row>
    <row r="182" spans="1:56" ht="15.75">
      <c r="A182" s="88">
        <v>4512</v>
      </c>
      <c r="B182" s="1042" t="s">
        <v>231</v>
      </c>
      <c r="C182" s="1033"/>
      <c r="D182" s="1033"/>
      <c r="E182" s="1033"/>
      <c r="F182" s="1033"/>
      <c r="G182" s="1033"/>
      <c r="H182" s="1033"/>
      <c r="I182" s="1033"/>
      <c r="J182" s="1033"/>
      <c r="K182" s="1033"/>
      <c r="L182" s="90"/>
      <c r="M182" s="51" t="s">
        <v>265</v>
      </c>
      <c r="N182" s="113">
        <f t="shared" si="64"/>
        <v>4512</v>
      </c>
      <c r="O182" s="120">
        <v>0</v>
      </c>
      <c r="P182" s="121">
        <v>0</v>
      </c>
      <c r="Q182" s="325">
        <v>0</v>
      </c>
      <c r="R182" s="324">
        <v>0</v>
      </c>
      <c r="S182" s="27">
        <f>+IF(ABS(+O182+Q182)&gt;=ABS(P182+R182),+O182-P182+Q182-R182,0)</f>
        <v>0</v>
      </c>
      <c r="T182" s="28">
        <f t="shared" si="93"/>
        <v>0</v>
      </c>
      <c r="U182" s="51"/>
      <c r="V182" s="541">
        <f>+'NF-KSF-TRIAL-BAL-2020'!O182+'RA-TRIAL-BAL-2020'!O182+'DES-TRIAL-BAL-2020'!O182+'DMP-TRIAL-BAL-2020'!O182</f>
        <v>0</v>
      </c>
      <c r="W182" s="529">
        <f>+'NF-KSF-TRIAL-BAL-2020'!P182+'RA-TRIAL-BAL-2020'!P182+'DES-TRIAL-BAL-2020'!P182+'DMP-TRIAL-BAL-2020'!P182</f>
        <v>0</v>
      </c>
      <c r="X182" s="528">
        <f>+'NF-KSF-TRIAL-BAL-2020'!Q182+'RA-TRIAL-BAL-2020'!Q182+'DES-TRIAL-BAL-2020'!Q182+'DMP-TRIAL-BAL-2020'!Q182</f>
        <v>0</v>
      </c>
      <c r="Y182" s="529">
        <f>+'NF-KSF-TRIAL-BAL-2020'!R182+'RA-TRIAL-BAL-2020'!R182+'DES-TRIAL-BAL-2020'!R182+'DMP-TRIAL-BAL-2020'!R182</f>
        <v>0</v>
      </c>
      <c r="Z182" s="528">
        <f>+'NF-KSF-TRIAL-BAL-2020'!S182+'RA-TRIAL-BAL-2020'!S182+'DES-TRIAL-BAL-2020'!S182+'DMP-TRIAL-BAL-2020'!S182</f>
        <v>0</v>
      </c>
      <c r="AA182" s="347">
        <f>+'NF-KSF-TRIAL-BAL-2020'!T182+'RA-TRIAL-BAL-2020'!T182+'DES-TRIAL-BAL-2020'!T182+'DMP-TRIAL-BAL-2020'!T182</f>
        <v>0</v>
      </c>
      <c r="AB182" s="51"/>
      <c r="AC182" s="120">
        <v>0</v>
      </c>
      <c r="AD182" s="121">
        <v>0</v>
      </c>
      <c r="AE182" s="325">
        <v>0</v>
      </c>
      <c r="AF182" s="324">
        <v>0</v>
      </c>
      <c r="AG182" s="27">
        <f t="shared" si="94"/>
        <v>0</v>
      </c>
      <c r="AH182" s="28">
        <f t="shared" si="95"/>
        <v>0</v>
      </c>
      <c r="AI182" s="51"/>
      <c r="AJ182" s="1497">
        <f t="shared" si="70"/>
        <v>4512</v>
      </c>
      <c r="AK182" s="951">
        <f t="shared" si="96"/>
        <v>0</v>
      </c>
      <c r="AL182" s="970">
        <f t="shared" si="97"/>
        <v>0</v>
      </c>
      <c r="AM182" s="326">
        <f t="shared" si="100"/>
        <v>0</v>
      </c>
      <c r="AN182" s="970">
        <f t="shared" si="100"/>
        <v>0</v>
      </c>
      <c r="AO182" s="326">
        <f t="shared" si="98"/>
        <v>0</v>
      </c>
      <c r="AP182" s="28">
        <f t="shared" si="92"/>
        <v>0</v>
      </c>
      <c r="AQ182" s="43"/>
      <c r="AR182" s="358">
        <f t="shared" si="66"/>
        <v>0</v>
      </c>
      <c r="AS182" s="359">
        <f t="shared" si="67"/>
        <v>0</v>
      </c>
      <c r="AT182" s="360">
        <f t="shared" si="68"/>
        <v>0</v>
      </c>
      <c r="AU182" s="43"/>
      <c r="AV182" s="43"/>
      <c r="AW182" s="119"/>
      <c r="AX182" s="119"/>
      <c r="AY182" s="43"/>
      <c r="AZ182" s="43"/>
      <c r="BA182" s="43"/>
      <c r="BB182" s="43"/>
      <c r="BC182" s="43"/>
      <c r="BD182" s="43"/>
    </row>
    <row r="183" spans="1:56" ht="15.75" customHeight="1">
      <c r="A183" s="88">
        <v>4518</v>
      </c>
      <c r="B183" s="1042" t="s">
        <v>233</v>
      </c>
      <c r="C183" s="1038"/>
      <c r="D183" s="1038"/>
      <c r="E183" s="1038"/>
      <c r="F183" s="1038"/>
      <c r="G183" s="1038"/>
      <c r="H183" s="1038"/>
      <c r="I183" s="1038"/>
      <c r="J183" s="1038"/>
      <c r="K183" s="1038"/>
      <c r="L183" s="590"/>
      <c r="M183" s="51" t="s">
        <v>265</v>
      </c>
      <c r="N183" s="113">
        <f t="shared" si="64"/>
        <v>4518</v>
      </c>
      <c r="O183" s="581"/>
      <c r="P183" s="576"/>
      <c r="Q183" s="325"/>
      <c r="R183" s="324"/>
      <c r="S183" s="583">
        <f>+IF(ABS(+O183+Q183)&gt;=ABS(P183+R183),+O183-P183+Q183-R183,0)</f>
        <v>0</v>
      </c>
      <c r="T183" s="580">
        <f t="shared" si="93"/>
        <v>0</v>
      </c>
      <c r="U183" s="51"/>
      <c r="V183" s="541">
        <f>+'NF-KSF-TRIAL-BAL-2020'!O183+'RA-TRIAL-BAL-2020'!O183+'DES-TRIAL-BAL-2020'!O183+'DMP-TRIAL-BAL-2020'!O183</f>
        <v>0</v>
      </c>
      <c r="W183" s="529">
        <f>+'NF-KSF-TRIAL-BAL-2020'!P183+'RA-TRIAL-BAL-2020'!P183+'DES-TRIAL-BAL-2020'!P183+'DMP-TRIAL-BAL-2020'!P183</f>
        <v>0</v>
      </c>
      <c r="X183" s="587">
        <f>+'NF-KSF-TRIAL-BAL-2020'!Q183+'RA-TRIAL-BAL-2020'!Q183+'DES-TRIAL-BAL-2020'!Q183+'DMP-TRIAL-BAL-2020'!Q183</f>
        <v>0</v>
      </c>
      <c r="Y183" s="586">
        <f>+'NF-KSF-TRIAL-BAL-2020'!R183+'RA-TRIAL-BAL-2020'!R183+'DES-TRIAL-BAL-2020'!R183+'DMP-TRIAL-BAL-2020'!R183</f>
        <v>0</v>
      </c>
      <c r="Z183" s="587">
        <f>+'NF-KSF-TRIAL-BAL-2020'!S183+'RA-TRIAL-BAL-2020'!S183+'DES-TRIAL-BAL-2020'!S183+'DMP-TRIAL-BAL-2020'!S183</f>
        <v>0</v>
      </c>
      <c r="AA183" s="588">
        <f>+'NF-KSF-TRIAL-BAL-2020'!T183+'RA-TRIAL-BAL-2020'!T183+'DES-TRIAL-BAL-2020'!T183+'DMP-TRIAL-BAL-2020'!T183</f>
        <v>0</v>
      </c>
      <c r="AB183" s="51"/>
      <c r="AC183" s="581"/>
      <c r="AD183" s="576"/>
      <c r="AE183" s="122"/>
      <c r="AF183" s="121"/>
      <c r="AG183" s="583">
        <f t="shared" si="94"/>
        <v>0</v>
      </c>
      <c r="AH183" s="580">
        <f t="shared" si="95"/>
        <v>0</v>
      </c>
      <c r="AI183" s="51"/>
      <c r="AJ183" s="1497">
        <f t="shared" si="70"/>
        <v>4518</v>
      </c>
      <c r="AK183" s="951">
        <f t="shared" si="96"/>
        <v>0</v>
      </c>
      <c r="AL183" s="970">
        <f t="shared" si="97"/>
        <v>0</v>
      </c>
      <c r="AM183" s="326">
        <f t="shared" si="100"/>
        <v>0</v>
      </c>
      <c r="AN183" s="970">
        <f t="shared" si="100"/>
        <v>0</v>
      </c>
      <c r="AO183" s="326">
        <f t="shared" si="98"/>
        <v>0</v>
      </c>
      <c r="AP183" s="28">
        <f t="shared" si="92"/>
        <v>0</v>
      </c>
      <c r="AQ183" s="43"/>
      <c r="AR183" s="358">
        <f t="shared" si="66"/>
        <v>0</v>
      </c>
      <c r="AS183" s="359">
        <f t="shared" si="67"/>
        <v>0</v>
      </c>
      <c r="AT183" s="360">
        <f t="shared" si="68"/>
        <v>0</v>
      </c>
      <c r="AU183" s="43"/>
      <c r="AV183" s="43"/>
      <c r="AW183" s="119"/>
      <c r="AX183" s="119"/>
      <c r="AY183" s="43"/>
      <c r="AZ183" s="43"/>
      <c r="BA183" s="43"/>
      <c r="BB183" s="43"/>
      <c r="BC183" s="43"/>
      <c r="BD183" s="43"/>
    </row>
    <row r="184" spans="1:56" ht="15.75">
      <c r="A184" s="88">
        <v>4520</v>
      </c>
      <c r="B184" s="1042" t="s">
        <v>234</v>
      </c>
      <c r="C184" s="1033"/>
      <c r="D184" s="1033"/>
      <c r="E184" s="1033"/>
      <c r="F184" s="1033"/>
      <c r="G184" s="1033"/>
      <c r="H184" s="1033"/>
      <c r="I184" s="1033"/>
      <c r="J184" s="1033"/>
      <c r="K184" s="1033"/>
      <c r="L184" s="574"/>
      <c r="M184" s="51" t="s">
        <v>265</v>
      </c>
      <c r="N184" s="113">
        <f t="shared" si="64"/>
        <v>4520</v>
      </c>
      <c r="O184" s="575">
        <v>0</v>
      </c>
      <c r="P184" s="576"/>
      <c r="Q184" s="325"/>
      <c r="R184" s="324"/>
      <c r="S184" s="579">
        <v>0</v>
      </c>
      <c r="T184" s="580">
        <f>+IF(ABS(+O184+Q184)&lt;=ABS(P184+R184),-O184+P184-Q184+R184,0)</f>
        <v>0</v>
      </c>
      <c r="U184" s="51"/>
      <c r="V184" s="541">
        <f>+'NF-KSF-TRIAL-BAL-2020'!O184+'RA-TRIAL-BAL-2020'!O184+'DES-TRIAL-BAL-2020'!O184+'DMP-TRIAL-BAL-2020'!O184</f>
        <v>0</v>
      </c>
      <c r="W184" s="529">
        <f>+'NF-KSF-TRIAL-BAL-2020'!P184+'RA-TRIAL-BAL-2020'!P184+'DES-TRIAL-BAL-2020'!P184+'DMP-TRIAL-BAL-2020'!P184</f>
        <v>0</v>
      </c>
      <c r="X184" s="587">
        <f>+'NF-KSF-TRIAL-BAL-2020'!Q184+'RA-TRIAL-BAL-2020'!Q184+'DES-TRIAL-BAL-2020'!Q184+'DMP-TRIAL-BAL-2020'!Q184</f>
        <v>0</v>
      </c>
      <c r="Y184" s="586">
        <f>+'NF-KSF-TRIAL-BAL-2020'!R184+'RA-TRIAL-BAL-2020'!R184+'DES-TRIAL-BAL-2020'!R184+'DMP-TRIAL-BAL-2020'!R184</f>
        <v>0</v>
      </c>
      <c r="Z184" s="587">
        <f>+'NF-KSF-TRIAL-BAL-2020'!S184+'RA-TRIAL-BAL-2020'!S184+'DES-TRIAL-BAL-2020'!S184+'DMP-TRIAL-BAL-2020'!S184</f>
        <v>0</v>
      </c>
      <c r="AA184" s="588">
        <f>+'NF-KSF-TRIAL-BAL-2020'!T184+'RA-TRIAL-BAL-2020'!T184+'DES-TRIAL-BAL-2020'!T184+'DMP-TRIAL-BAL-2020'!T184</f>
        <v>0</v>
      </c>
      <c r="AB184" s="51"/>
      <c r="AC184" s="575">
        <v>0</v>
      </c>
      <c r="AD184" s="576"/>
      <c r="AE184" s="325"/>
      <c r="AF184" s="324"/>
      <c r="AG184" s="579">
        <v>0</v>
      </c>
      <c r="AH184" s="580">
        <f>+IF(ABS(+AC184+AE184)&lt;=ABS(AD184+AF184),-AC184+AD184-AE184+AF184,0)</f>
        <v>0</v>
      </c>
      <c r="AI184" s="51"/>
      <c r="AJ184" s="1497">
        <f>+N184</f>
        <v>4520</v>
      </c>
      <c r="AK184" s="8">
        <v>0</v>
      </c>
      <c r="AL184" s="970">
        <f>+ROUND(+P184+W184+AD184,2)</f>
        <v>0</v>
      </c>
      <c r="AM184" s="326">
        <f t="shared" si="100"/>
        <v>0</v>
      </c>
      <c r="AN184" s="970">
        <f t="shared" si="100"/>
        <v>0</v>
      </c>
      <c r="AO184" s="29">
        <v>0</v>
      </c>
      <c r="AP184" s="28">
        <f t="shared" si="92"/>
        <v>0</v>
      </c>
      <c r="AQ184" s="43"/>
      <c r="AR184" s="358">
        <f>+ROUND(+SUM(AK184-AL184)-SUM(O184-P184)-SUM(V184-W184)-SUM(AC184-AD184),2)</f>
        <v>0</v>
      </c>
      <c r="AS184" s="359">
        <f>+ROUND(+SUM(AM184-AN184)-SUM(Q184-R184)-SUM(X184-Y184)-SUM(AE184-AF184),2)</f>
        <v>0</v>
      </c>
      <c r="AT184" s="360">
        <f>+ROUND(+SUM(AO184-AP184)-SUM(S184-T184)-SUM(Z184-AA184)-SUM(AG184-AH184),2)</f>
        <v>0</v>
      </c>
      <c r="AU184" s="43"/>
      <c r="AV184" s="2119">
        <f>+IF(OR(+ROUND(O184,2)+ROUND(Q184,2)&gt;ROUND(P184,2)+ROUND(R184,2),+ABS(ROUND(O184,2)+ROUND(Q184,2))&gt;+ABS(ROUND(P184,2)+ROUND(R184,2))),+(ROUND(O184,2)+ROUND(Q184,2))-(ROUND(P184,2)+ROUND(R184,2)),0)</f>
        <v>0</v>
      </c>
      <c r="AW184" s="119"/>
      <c r="AX184" s="2119">
        <f>+IF(OR(+ROUND(AC184,2)+ROUND(AE184,2)&gt;ROUND(AD184,2)+ROUND(AF184,2),+ABS(ROUND(AC184,2)+ROUND(AE184,2))&gt;+ABS(ROUND(AD184,2)+ROUND(AF184,2))),+(ROUND(AC184,2)+ROUND(AE184,2))-(ROUND(AD184,2)+ROUND(AF184,2)),0)</f>
        <v>0</v>
      </c>
      <c r="AY184" s="43"/>
      <c r="AZ184" s="43"/>
      <c r="BA184" s="43"/>
      <c r="BB184" s="43"/>
      <c r="BC184" s="43"/>
      <c r="BD184" s="43"/>
    </row>
    <row r="185" spans="1:56" ht="15.75">
      <c r="A185" s="88">
        <v>4522</v>
      </c>
      <c r="B185" s="1033" t="s">
        <v>235</v>
      </c>
      <c r="C185" s="1033"/>
      <c r="D185" s="1033"/>
      <c r="E185" s="1033"/>
      <c r="F185" s="1033"/>
      <c r="G185" s="1033"/>
      <c r="H185" s="1033"/>
      <c r="I185" s="1033"/>
      <c r="J185" s="1033"/>
      <c r="K185" s="1033"/>
      <c r="L185" s="90"/>
      <c r="M185" s="51" t="s">
        <v>265</v>
      </c>
      <c r="N185" s="113">
        <f t="shared" si="64"/>
        <v>4522</v>
      </c>
      <c r="O185" s="120"/>
      <c r="P185" s="9">
        <v>0</v>
      </c>
      <c r="Q185" s="325"/>
      <c r="R185" s="324"/>
      <c r="S185" s="27">
        <f>+IF(ABS(+O185+Q185)&gt;=ABS(P185+R185),+O185-P185+Q185-R185,0)</f>
        <v>0</v>
      </c>
      <c r="T185" s="30">
        <v>0</v>
      </c>
      <c r="U185" s="51"/>
      <c r="V185" s="541">
        <f>+'NF-KSF-TRIAL-BAL-2020'!O185+'RA-TRIAL-BAL-2020'!O185+'DES-TRIAL-BAL-2020'!O185+'DMP-TRIAL-BAL-2020'!O185</f>
        <v>0</v>
      </c>
      <c r="W185" s="529">
        <f>+'NF-KSF-TRIAL-BAL-2020'!P185+'RA-TRIAL-BAL-2020'!P185+'DES-TRIAL-BAL-2020'!P185+'DMP-TRIAL-BAL-2020'!P185</f>
        <v>0</v>
      </c>
      <c r="X185" s="528">
        <f>+'NF-KSF-TRIAL-BAL-2020'!Q185+'RA-TRIAL-BAL-2020'!Q185+'DES-TRIAL-BAL-2020'!Q185+'DMP-TRIAL-BAL-2020'!Q185</f>
        <v>0</v>
      </c>
      <c r="Y185" s="529">
        <f>+'NF-KSF-TRIAL-BAL-2020'!R185+'RA-TRIAL-BAL-2020'!R185+'DES-TRIAL-BAL-2020'!R185+'DMP-TRIAL-BAL-2020'!R185</f>
        <v>0</v>
      </c>
      <c r="Z185" s="528">
        <f>+'NF-KSF-TRIAL-BAL-2020'!S185+'RA-TRIAL-BAL-2020'!S185+'DES-TRIAL-BAL-2020'!S185+'DMP-TRIAL-BAL-2020'!S185</f>
        <v>0</v>
      </c>
      <c r="AA185" s="347">
        <f>+'NF-KSF-TRIAL-BAL-2020'!T185+'RA-TRIAL-BAL-2020'!T185+'DES-TRIAL-BAL-2020'!T185+'DMP-TRIAL-BAL-2020'!T185</f>
        <v>0</v>
      </c>
      <c r="AB185" s="51"/>
      <c r="AC185" s="120"/>
      <c r="AD185" s="9">
        <v>0</v>
      </c>
      <c r="AE185" s="325"/>
      <c r="AF185" s="324"/>
      <c r="AG185" s="27">
        <f>+IF(ABS(+AC185+AE185)&gt;=ABS(AD185+AF185),+AC185-AD185+AE185-AF185,0)</f>
        <v>0</v>
      </c>
      <c r="AH185" s="30">
        <v>0</v>
      </c>
      <c r="AI185" s="51"/>
      <c r="AJ185" s="1497">
        <f t="shared" si="70"/>
        <v>4522</v>
      </c>
      <c r="AK185" s="951">
        <f>+ROUND(+O185+V185+AC185,2)</f>
        <v>0</v>
      </c>
      <c r="AL185" s="9">
        <v>0</v>
      </c>
      <c r="AM185" s="326">
        <f t="shared" si="100"/>
        <v>0</v>
      </c>
      <c r="AN185" s="970">
        <f t="shared" si="100"/>
        <v>0</v>
      </c>
      <c r="AO185" s="326">
        <f>+S185+Z185+AG185</f>
        <v>0</v>
      </c>
      <c r="AP185" s="30">
        <v>0</v>
      </c>
      <c r="AQ185" s="43"/>
      <c r="AR185" s="358">
        <f t="shared" si="66"/>
        <v>0</v>
      </c>
      <c r="AS185" s="359">
        <f t="shared" si="67"/>
        <v>0</v>
      </c>
      <c r="AT185" s="360">
        <f t="shared" si="68"/>
        <v>0</v>
      </c>
      <c r="AU185" s="43"/>
      <c r="AV185" s="2120">
        <f>+IF(OR(ROUND(P185,2)+ROUND(R185,2)&gt;+ROUND(O185,2)+ROUND(Q185,2),+ABS(ROUND(P185,2)+ROUND(R185,2))&gt;+ABS(ROUND(O185,2)+ROUND(Q185,2))),+(ROUND(P185,2)+ROUND(R185,2))-(ROUND(O185,2)+ROUND(Q185,2)),0)</f>
        <v>0</v>
      </c>
      <c r="AW185" s="119"/>
      <c r="AX185" s="2120">
        <f>+IF(OR(ROUND(AD185,2)+ROUND(AF185,2)&gt;+ROUND(AC185,2)+ROUND(AE185,2),+ABS(ROUND(AD185,2)+ROUND(AF185,2))&gt;+ABS(ROUND(AC185,2)+ROUND(AE185,2))),+(ROUND(AD185,2)+ROUND(AF185,2))-(ROUND(AC185,2)+ROUND(AE185,2)),0)</f>
        <v>0</v>
      </c>
      <c r="AY185" s="43"/>
      <c r="AZ185" s="43"/>
      <c r="BA185" s="43"/>
      <c r="BB185" s="43"/>
      <c r="BC185" s="43"/>
      <c r="BD185" s="43"/>
    </row>
    <row r="186" spans="1:56" ht="15.75">
      <c r="A186" s="88">
        <v>4523</v>
      </c>
      <c r="B186" s="1033" t="s">
        <v>236</v>
      </c>
      <c r="C186" s="1033"/>
      <c r="D186" s="1033"/>
      <c r="E186" s="1033"/>
      <c r="F186" s="1033"/>
      <c r="G186" s="1033"/>
      <c r="H186" s="1033"/>
      <c r="I186" s="1033"/>
      <c r="J186" s="1033"/>
      <c r="K186" s="1033"/>
      <c r="L186" s="574"/>
      <c r="M186" s="51" t="s">
        <v>265</v>
      </c>
      <c r="N186" s="113">
        <f t="shared" si="64"/>
        <v>4523</v>
      </c>
      <c r="O186" s="575">
        <v>0</v>
      </c>
      <c r="P186" s="576"/>
      <c r="Q186" s="325"/>
      <c r="R186" s="324"/>
      <c r="S186" s="579">
        <v>0</v>
      </c>
      <c r="T186" s="580">
        <f>+IF(ABS(+O186+Q186)&lt;=ABS(P186+R186),-O186+P186-Q186+R186,0)</f>
        <v>0</v>
      </c>
      <c r="U186" s="51"/>
      <c r="V186" s="541">
        <f>+'NF-KSF-TRIAL-BAL-2020'!O186+'RA-TRIAL-BAL-2020'!O186+'DES-TRIAL-BAL-2020'!O186+'DMP-TRIAL-BAL-2020'!O186</f>
        <v>0</v>
      </c>
      <c r="W186" s="529">
        <f>+'NF-KSF-TRIAL-BAL-2020'!P186+'RA-TRIAL-BAL-2020'!P186+'DES-TRIAL-BAL-2020'!P186+'DMP-TRIAL-BAL-2020'!P186</f>
        <v>0</v>
      </c>
      <c r="X186" s="587">
        <f>+'NF-KSF-TRIAL-BAL-2020'!Q186+'RA-TRIAL-BAL-2020'!Q186+'DES-TRIAL-BAL-2020'!Q186+'DMP-TRIAL-BAL-2020'!Q186</f>
        <v>0</v>
      </c>
      <c r="Y186" s="586">
        <f>+'NF-KSF-TRIAL-BAL-2020'!R186+'RA-TRIAL-BAL-2020'!R186+'DES-TRIAL-BAL-2020'!R186+'DMP-TRIAL-BAL-2020'!R186</f>
        <v>0</v>
      </c>
      <c r="Z186" s="587">
        <f>+'NF-KSF-TRIAL-BAL-2020'!S186+'RA-TRIAL-BAL-2020'!S186+'DES-TRIAL-BAL-2020'!S186+'DMP-TRIAL-BAL-2020'!S186</f>
        <v>0</v>
      </c>
      <c r="AA186" s="588">
        <f>+'NF-KSF-TRIAL-BAL-2020'!T186+'RA-TRIAL-BAL-2020'!T186+'DES-TRIAL-BAL-2020'!T186+'DMP-TRIAL-BAL-2020'!T186</f>
        <v>0</v>
      </c>
      <c r="AB186" s="51"/>
      <c r="AC186" s="575">
        <v>0</v>
      </c>
      <c r="AD186" s="576"/>
      <c r="AE186" s="122"/>
      <c r="AF186" s="324"/>
      <c r="AG186" s="579">
        <v>0</v>
      </c>
      <c r="AH186" s="580">
        <f>+IF(ABS(+AC186+AE186)&lt;=ABS(AD186+AF186),-AC186+AD186-AE186+AF186,0)</f>
        <v>0</v>
      </c>
      <c r="AI186" s="51"/>
      <c r="AJ186" s="1497">
        <f t="shared" si="70"/>
        <v>4523</v>
      </c>
      <c r="AK186" s="8">
        <v>0</v>
      </c>
      <c r="AL186" s="970">
        <f>+ROUND(+P186+W186+AD186,2)</f>
        <v>0</v>
      </c>
      <c r="AM186" s="326">
        <f t="shared" si="100"/>
        <v>0</v>
      </c>
      <c r="AN186" s="970">
        <f t="shared" si="100"/>
        <v>0</v>
      </c>
      <c r="AO186" s="29">
        <v>0</v>
      </c>
      <c r="AP186" s="28">
        <f>+T186+AA186+AH186</f>
        <v>0</v>
      </c>
      <c r="AQ186" s="43"/>
      <c r="AR186" s="358">
        <f t="shared" si="66"/>
        <v>0</v>
      </c>
      <c r="AS186" s="359">
        <f t="shared" si="67"/>
        <v>0</v>
      </c>
      <c r="AT186" s="360">
        <f t="shared" si="68"/>
        <v>0</v>
      </c>
      <c r="AU186" s="43"/>
      <c r="AV186" s="2119">
        <f>+IF(OR(+ROUND(O186,2)+ROUND(Q186,2)&gt;ROUND(P186,2)+ROUND(R186,2),+ABS(ROUND(O186,2)+ROUND(Q186,2))&gt;+ABS(ROUND(P186,2)+ROUND(R186,2))),+(ROUND(O186,2)+ROUND(Q186,2))-(ROUND(P186,2)+ROUND(R186,2)),0)</f>
        <v>0</v>
      </c>
      <c r="AW186" s="119"/>
      <c r="AX186" s="2119">
        <f>+IF(OR(+ROUND(AC186,2)+ROUND(AE186,2)&gt;ROUND(AD186,2)+ROUND(AF186,2),+ABS(ROUND(AC186,2)+ROUND(AE186,2))&gt;+ABS(ROUND(AD186,2)+ROUND(AF186,2))),+(ROUND(AC186,2)+ROUND(AE186,2))-(ROUND(AD186,2)+ROUND(AF186,2)),0)</f>
        <v>0</v>
      </c>
      <c r="AY186" s="43"/>
      <c r="AZ186" s="43"/>
      <c r="BA186" s="43"/>
      <c r="BB186" s="43"/>
      <c r="BC186" s="43"/>
      <c r="BD186" s="43"/>
    </row>
    <row r="187" spans="1:56" ht="15.75">
      <c r="A187" s="88">
        <v>4544</v>
      </c>
      <c r="B187" s="1033" t="s">
        <v>862</v>
      </c>
      <c r="C187" s="1033"/>
      <c r="D187" s="1033"/>
      <c r="E187" s="1033"/>
      <c r="F187" s="1033"/>
      <c r="G187" s="1033"/>
      <c r="H187" s="1033"/>
      <c r="I187" s="1033"/>
      <c r="J187" s="1033"/>
      <c r="K187" s="1033"/>
      <c r="L187" s="574"/>
      <c r="M187" s="51" t="s">
        <v>265</v>
      </c>
      <c r="N187" s="113">
        <f t="shared" si="64"/>
        <v>4544</v>
      </c>
      <c r="O187" s="575">
        <v>0</v>
      </c>
      <c r="P187" s="576">
        <v>0</v>
      </c>
      <c r="Q187" s="325">
        <v>0</v>
      </c>
      <c r="R187" s="324">
        <v>0</v>
      </c>
      <c r="S187" s="579">
        <v>0</v>
      </c>
      <c r="T187" s="580">
        <f>+IF(ABS(+O187+Q187)&lt;=ABS(P187+R187),-O187+P187-Q187+R187,0)</f>
        <v>0</v>
      </c>
      <c r="U187" s="51"/>
      <c r="V187" s="541">
        <f>+'NF-KSF-TRIAL-BAL-2020'!O187+'RA-TRIAL-BAL-2020'!O187+'DES-TRIAL-BAL-2020'!O187+'DMP-TRIAL-BAL-2020'!O187</f>
        <v>0</v>
      </c>
      <c r="W187" s="529">
        <f>+'NF-KSF-TRIAL-BAL-2020'!P187+'RA-TRIAL-BAL-2020'!P187+'DES-TRIAL-BAL-2020'!P187+'DMP-TRIAL-BAL-2020'!P187</f>
        <v>0</v>
      </c>
      <c r="X187" s="528">
        <f>+'NF-KSF-TRIAL-BAL-2020'!Q187+'RA-TRIAL-BAL-2020'!Q187+'DES-TRIAL-BAL-2020'!Q187+'DMP-TRIAL-BAL-2020'!Q187</f>
        <v>0</v>
      </c>
      <c r="Y187" s="529">
        <f>+'NF-KSF-TRIAL-BAL-2020'!R187+'RA-TRIAL-BAL-2020'!R187+'DES-TRIAL-BAL-2020'!R187+'DMP-TRIAL-BAL-2020'!R187</f>
        <v>0</v>
      </c>
      <c r="Z187" s="528">
        <f>+'NF-KSF-TRIAL-BAL-2020'!S187+'RA-TRIAL-BAL-2020'!S187+'DES-TRIAL-BAL-2020'!S187+'DMP-TRIAL-BAL-2020'!S187</f>
        <v>0</v>
      </c>
      <c r="AA187" s="347">
        <f>+'NF-KSF-TRIAL-BAL-2020'!T187+'RA-TRIAL-BAL-2020'!T187+'DES-TRIAL-BAL-2020'!T187+'DMP-TRIAL-BAL-2020'!T187</f>
        <v>0</v>
      </c>
      <c r="AB187" s="51"/>
      <c r="AC187" s="575">
        <v>0</v>
      </c>
      <c r="AD187" s="576">
        <v>0</v>
      </c>
      <c r="AE187" s="325">
        <v>0</v>
      </c>
      <c r="AF187" s="324">
        <v>0</v>
      </c>
      <c r="AG187" s="579">
        <v>0</v>
      </c>
      <c r="AH187" s="580">
        <f>+IF(ABS(+AC187+AE187)&lt;=ABS(AD187+AF187),-AC187+AD187-AE187+AF187,0)</f>
        <v>0</v>
      </c>
      <c r="AI187" s="51"/>
      <c r="AJ187" s="1497">
        <f>+N187</f>
        <v>4544</v>
      </c>
      <c r="AK187" s="8">
        <v>0</v>
      </c>
      <c r="AL187" s="970">
        <f>+ROUND(+P187+W187+AD187,2)</f>
        <v>0</v>
      </c>
      <c r="AM187" s="326">
        <f>+ROUND(+Q187+X187+AE187,2)</f>
        <v>0</v>
      </c>
      <c r="AN187" s="970">
        <f>+ROUND(+R187+Y187+AF187,2)</f>
        <v>0</v>
      </c>
      <c r="AO187" s="29">
        <v>0</v>
      </c>
      <c r="AP187" s="28">
        <f>+T187+AA187+AH187</f>
        <v>0</v>
      </c>
      <c r="AQ187" s="43"/>
      <c r="AR187" s="358">
        <f t="shared" si="66"/>
        <v>0</v>
      </c>
      <c r="AS187" s="359">
        <f t="shared" si="67"/>
        <v>0</v>
      </c>
      <c r="AT187" s="360">
        <f t="shared" si="68"/>
        <v>0</v>
      </c>
      <c r="AU187" s="43"/>
      <c r="AV187" s="2119">
        <f>+IF(OR(+ROUND(O187,2)+ROUND(Q187,2)&gt;ROUND(P187,2)+ROUND(R187,2),+ABS(ROUND(O187,2)+ROUND(Q187,2))&gt;+ABS(ROUND(P187,2)+ROUND(R187,2))),+(ROUND(O187,2)+ROUND(Q187,2))-(ROUND(P187,2)+ROUND(R187,2)),0)</f>
        <v>0</v>
      </c>
      <c r="AW187" s="119"/>
      <c r="AX187" s="2119">
        <f>+IF(OR(+ROUND(AC187,2)+ROUND(AE187,2)&gt;ROUND(AD187,2)+ROUND(AF187,2),+ABS(ROUND(AC187,2)+ROUND(AE187,2))&gt;+ABS(ROUND(AD187,2)+ROUND(AF187,2))),+(ROUND(AC187,2)+ROUND(AE187,2))-(ROUND(AD187,2)+ROUND(AF187,2)),0)</f>
        <v>0</v>
      </c>
      <c r="AY187" s="43"/>
      <c r="AZ187" s="43"/>
      <c r="BA187" s="43"/>
      <c r="BB187" s="43"/>
      <c r="BC187" s="43"/>
      <c r="BD187" s="43"/>
    </row>
    <row r="188" spans="1:56" ht="15.75">
      <c r="A188" s="88">
        <v>4545</v>
      </c>
      <c r="B188" s="1033" t="s">
        <v>863</v>
      </c>
      <c r="C188" s="1033"/>
      <c r="D188" s="1033"/>
      <c r="E188" s="1033"/>
      <c r="F188" s="1033"/>
      <c r="G188" s="1033"/>
      <c r="H188" s="1033"/>
      <c r="I188" s="1033"/>
      <c r="J188" s="1033"/>
      <c r="K188" s="1033"/>
      <c r="L188" s="574"/>
      <c r="M188" s="51" t="s">
        <v>265</v>
      </c>
      <c r="N188" s="113">
        <f t="shared" si="64"/>
        <v>4545</v>
      </c>
      <c r="O188" s="581"/>
      <c r="P188" s="582">
        <v>0</v>
      </c>
      <c r="Q188" s="325"/>
      <c r="R188" s="324"/>
      <c r="S188" s="583">
        <f>+IF(ABS(+O188+Q188)&gt;=ABS(P188+R188),+O188-P188+Q188-R188,0)</f>
        <v>0</v>
      </c>
      <c r="T188" s="584">
        <v>0</v>
      </c>
      <c r="U188" s="51"/>
      <c r="V188" s="541">
        <f>+'NF-KSF-TRIAL-BAL-2020'!O188+'RA-TRIAL-BAL-2020'!O188+'DES-TRIAL-BAL-2020'!O188+'DMP-TRIAL-BAL-2020'!O188</f>
        <v>0</v>
      </c>
      <c r="W188" s="529">
        <f>+'NF-KSF-TRIAL-BAL-2020'!P188+'RA-TRIAL-BAL-2020'!P188+'DES-TRIAL-BAL-2020'!P188+'DMP-TRIAL-BAL-2020'!P188</f>
        <v>0</v>
      </c>
      <c r="X188" s="587">
        <f>+'NF-KSF-TRIAL-BAL-2020'!Q188+'RA-TRIAL-BAL-2020'!Q188+'DES-TRIAL-BAL-2020'!Q188+'DMP-TRIAL-BAL-2020'!Q188</f>
        <v>0</v>
      </c>
      <c r="Y188" s="586">
        <f>+'NF-KSF-TRIAL-BAL-2020'!R188+'RA-TRIAL-BAL-2020'!R188+'DES-TRIAL-BAL-2020'!R188+'DMP-TRIAL-BAL-2020'!R188</f>
        <v>0</v>
      </c>
      <c r="Z188" s="587">
        <f>+'NF-KSF-TRIAL-BAL-2020'!S188+'RA-TRIAL-BAL-2020'!S188+'DES-TRIAL-BAL-2020'!S188+'DMP-TRIAL-BAL-2020'!S188</f>
        <v>0</v>
      </c>
      <c r="AA188" s="588">
        <f>+'NF-KSF-TRIAL-BAL-2020'!T188+'RA-TRIAL-BAL-2020'!T188+'DES-TRIAL-BAL-2020'!T188+'DMP-TRIAL-BAL-2020'!T188</f>
        <v>0</v>
      </c>
      <c r="AB188" s="51"/>
      <c r="AC188" s="581"/>
      <c r="AD188" s="582">
        <v>0</v>
      </c>
      <c r="AE188" s="325"/>
      <c r="AF188" s="324"/>
      <c r="AG188" s="583">
        <f>+IF(ABS(+AC188+AE188)&gt;=ABS(AD188+AF188),+AC188-AD188+AE188-AF188,0)</f>
        <v>0</v>
      </c>
      <c r="AH188" s="584">
        <v>0</v>
      </c>
      <c r="AI188" s="51"/>
      <c r="AJ188" s="1497">
        <f>+N188</f>
        <v>4545</v>
      </c>
      <c r="AK188" s="951">
        <f>+ROUND(+O188+V188+AC188,2)</f>
        <v>0</v>
      </c>
      <c r="AL188" s="9">
        <v>0</v>
      </c>
      <c r="AM188" s="326">
        <f t="shared" ref="AM188:AN190" si="101">+ROUND(+Q188+X188+AE188,2)</f>
        <v>0</v>
      </c>
      <c r="AN188" s="970">
        <f t="shared" si="101"/>
        <v>0</v>
      </c>
      <c r="AO188" s="326">
        <f>+S188+Z188+AG188</f>
        <v>0</v>
      </c>
      <c r="AP188" s="30">
        <v>0</v>
      </c>
      <c r="AQ188" s="43"/>
      <c r="AR188" s="358">
        <f>+ROUND(+SUM(AK188-AL188)-SUM(O188-P188)-SUM(V188-W188)-SUM(AC188-AD188),2)</f>
        <v>0</v>
      </c>
      <c r="AS188" s="359">
        <f>+ROUND(+SUM(AM188-AN188)-SUM(Q188-R188)-SUM(X188-Y188)-SUM(AE188-AF188),2)</f>
        <v>0</v>
      </c>
      <c r="AT188" s="360">
        <f>+ROUND(+SUM(AO188-AP188)-SUM(S188-T188)-SUM(Z188-AA188)-SUM(AG188-AH188),2)</f>
        <v>0</v>
      </c>
      <c r="AU188" s="43"/>
      <c r="AV188" s="2120">
        <f>+IF(OR(ROUND(P188,2)+ROUND(R188,2)&gt;+ROUND(O188,2)+ROUND(Q188,2),+ABS(ROUND(P188,2)+ROUND(R188,2))&gt;+ABS(ROUND(O188,2)+ROUND(Q188,2))),+(ROUND(P188,2)+ROUND(R188,2))-(ROUND(O188,2)+ROUND(Q188,2)),0)</f>
        <v>0</v>
      </c>
      <c r="AW188" s="119"/>
      <c r="AX188" s="2120">
        <f>+IF(OR(ROUND(AD188,2)+ROUND(AF188,2)&gt;+ROUND(AC188,2)+ROUND(AE188,2),+ABS(ROUND(AD188,2)+ROUND(AF188,2))&gt;+ABS(ROUND(AC188,2)+ROUND(AE188,2))),+(ROUND(AD188,2)+ROUND(AF188,2))-(ROUND(AC188,2)+ROUND(AE188,2)),0)</f>
        <v>0</v>
      </c>
      <c r="AY188" s="43"/>
      <c r="AZ188" s="43"/>
      <c r="BA188" s="43"/>
      <c r="BB188" s="43"/>
      <c r="BC188" s="43"/>
      <c r="BD188" s="43"/>
    </row>
    <row r="189" spans="1:56" ht="15.75">
      <c r="A189" s="88">
        <v>4547</v>
      </c>
      <c r="B189" s="1033" t="s">
        <v>864</v>
      </c>
      <c r="C189" s="1033"/>
      <c r="D189" s="1033"/>
      <c r="E189" s="1033"/>
      <c r="F189" s="1033"/>
      <c r="G189" s="1033"/>
      <c r="H189" s="1033"/>
      <c r="I189" s="1033"/>
      <c r="J189" s="1033"/>
      <c r="K189" s="1033"/>
      <c r="L189" s="574"/>
      <c r="M189" s="51" t="s">
        <v>265</v>
      </c>
      <c r="N189" s="113">
        <f t="shared" si="64"/>
        <v>4547</v>
      </c>
      <c r="O189" s="581"/>
      <c r="P189" s="582">
        <v>0</v>
      </c>
      <c r="Q189" s="325"/>
      <c r="R189" s="324"/>
      <c r="S189" s="583">
        <f>+IF(ABS(+O189+Q189)&gt;=ABS(P189+R189),+O189-P189+Q189-R189,0)</f>
        <v>0</v>
      </c>
      <c r="T189" s="584">
        <v>0</v>
      </c>
      <c r="U189" s="51"/>
      <c r="V189" s="541">
        <f>+'NF-KSF-TRIAL-BAL-2020'!O189+'RA-TRIAL-BAL-2020'!O189+'DES-TRIAL-BAL-2020'!O189+'DMP-TRIAL-BAL-2020'!O189</f>
        <v>0</v>
      </c>
      <c r="W189" s="529">
        <f>+'NF-KSF-TRIAL-BAL-2020'!P189+'RA-TRIAL-BAL-2020'!P189+'DES-TRIAL-BAL-2020'!P189+'DMP-TRIAL-BAL-2020'!P189</f>
        <v>0</v>
      </c>
      <c r="X189" s="587">
        <f>+'NF-KSF-TRIAL-BAL-2020'!Q189+'RA-TRIAL-BAL-2020'!Q189+'DES-TRIAL-BAL-2020'!Q189+'DMP-TRIAL-BAL-2020'!Q189</f>
        <v>0</v>
      </c>
      <c r="Y189" s="586">
        <f>+'NF-KSF-TRIAL-BAL-2020'!R189+'RA-TRIAL-BAL-2020'!R189+'DES-TRIAL-BAL-2020'!R189+'DMP-TRIAL-BAL-2020'!R189</f>
        <v>0</v>
      </c>
      <c r="Z189" s="587">
        <f>+'NF-KSF-TRIAL-BAL-2020'!S189+'RA-TRIAL-BAL-2020'!S189+'DES-TRIAL-BAL-2020'!S189+'DMP-TRIAL-BAL-2020'!S189</f>
        <v>0</v>
      </c>
      <c r="AA189" s="588">
        <f>+'NF-KSF-TRIAL-BAL-2020'!T189+'RA-TRIAL-BAL-2020'!T189+'DES-TRIAL-BAL-2020'!T189+'DMP-TRIAL-BAL-2020'!T189</f>
        <v>0</v>
      </c>
      <c r="AB189" s="51"/>
      <c r="AC189" s="581"/>
      <c r="AD189" s="582">
        <v>0</v>
      </c>
      <c r="AE189" s="325"/>
      <c r="AF189" s="324"/>
      <c r="AG189" s="583">
        <f>+IF(ABS(+AC189+AE189)&gt;=ABS(AD189+AF189),+AC189-AD189+AE189-AF189,0)</f>
        <v>0</v>
      </c>
      <c r="AH189" s="584">
        <v>0</v>
      </c>
      <c r="AI189" s="51"/>
      <c r="AJ189" s="1497">
        <f>+N189</f>
        <v>4547</v>
      </c>
      <c r="AK189" s="951">
        <f>+ROUND(+O189+V189+AC189,2)</f>
        <v>0</v>
      </c>
      <c r="AL189" s="9">
        <v>0</v>
      </c>
      <c r="AM189" s="326">
        <f t="shared" si="101"/>
        <v>0</v>
      </c>
      <c r="AN189" s="970">
        <f t="shared" si="101"/>
        <v>0</v>
      </c>
      <c r="AO189" s="326">
        <f>+S189+Z189+AG189</f>
        <v>0</v>
      </c>
      <c r="AP189" s="30">
        <v>0</v>
      </c>
      <c r="AQ189" s="43"/>
      <c r="AR189" s="358">
        <f>+ROUND(+SUM(AK189-AL189)-SUM(O189-P189)-SUM(V189-W189)-SUM(AC189-AD189),2)</f>
        <v>0</v>
      </c>
      <c r="AS189" s="359">
        <f>+ROUND(+SUM(AM189-AN189)-SUM(Q189-R189)-SUM(X189-Y189)-SUM(AE189-AF189),2)</f>
        <v>0</v>
      </c>
      <c r="AT189" s="360">
        <f>+ROUND(+SUM(AO189-AP189)-SUM(S189-T189)-SUM(Z189-AA189)-SUM(AG189-AH189),2)</f>
        <v>0</v>
      </c>
      <c r="AU189" s="43"/>
      <c r="AV189" s="2120">
        <f>+IF(OR(ROUND(P189,2)+ROUND(R189,2)&gt;+ROUND(O189,2)+ROUND(Q189,2),+ABS(ROUND(P189,2)+ROUND(R189,2))&gt;+ABS(ROUND(O189,2)+ROUND(Q189,2))),+(ROUND(P189,2)+ROUND(R189,2))-(ROUND(O189,2)+ROUND(Q189,2)),0)</f>
        <v>0</v>
      </c>
      <c r="AW189" s="119"/>
      <c r="AX189" s="2120">
        <f>+IF(OR(ROUND(AD189,2)+ROUND(AF189,2)&gt;+ROUND(AC189,2)+ROUND(AE189,2),+ABS(ROUND(AD189,2)+ROUND(AF189,2))&gt;+ABS(ROUND(AC189,2)+ROUND(AE189,2))),+(ROUND(AD189,2)+ROUND(AF189,2))-(ROUND(AC189,2)+ROUND(AE189,2)),0)</f>
        <v>0</v>
      </c>
      <c r="AY189" s="43"/>
      <c r="AZ189" s="43"/>
      <c r="BA189" s="43"/>
      <c r="BB189" s="43"/>
      <c r="BC189" s="43"/>
      <c r="BD189" s="43"/>
    </row>
    <row r="190" spans="1:56" ht="15.75">
      <c r="A190" s="88">
        <v>4548</v>
      </c>
      <c r="B190" s="378" t="s">
        <v>865</v>
      </c>
      <c r="C190" s="1033"/>
      <c r="D190" s="1033"/>
      <c r="E190" s="1033"/>
      <c r="F190" s="1033"/>
      <c r="G190" s="1033"/>
      <c r="H190" s="1033"/>
      <c r="I190" s="1033"/>
      <c r="J190" s="1033"/>
      <c r="K190" s="1033"/>
      <c r="L190" s="90"/>
      <c r="M190" s="51" t="s">
        <v>265</v>
      </c>
      <c r="N190" s="113">
        <f t="shared" si="64"/>
        <v>4548</v>
      </c>
      <c r="O190" s="8">
        <v>0</v>
      </c>
      <c r="P190" s="121"/>
      <c r="Q190" s="325"/>
      <c r="R190" s="324"/>
      <c r="S190" s="29">
        <v>0</v>
      </c>
      <c r="T190" s="28">
        <f>+IF(ABS(+O190+Q190)&lt;=ABS(P190+R190),-O190+P190-Q190+R190,0)</f>
        <v>0</v>
      </c>
      <c r="U190" s="51"/>
      <c r="V190" s="541">
        <f>+'NF-KSF-TRIAL-BAL-2020'!O190+'RA-TRIAL-BAL-2020'!O190+'DES-TRIAL-BAL-2020'!O190+'DMP-TRIAL-BAL-2020'!O190</f>
        <v>0</v>
      </c>
      <c r="W190" s="529">
        <f>+'NF-KSF-TRIAL-BAL-2020'!P190+'RA-TRIAL-BAL-2020'!P190+'DES-TRIAL-BAL-2020'!P190+'DMP-TRIAL-BAL-2020'!P190</f>
        <v>0</v>
      </c>
      <c r="X190" s="528">
        <f>+'NF-KSF-TRIAL-BAL-2020'!Q190+'RA-TRIAL-BAL-2020'!Q190+'DES-TRIAL-BAL-2020'!Q190+'DMP-TRIAL-BAL-2020'!Q190</f>
        <v>0</v>
      </c>
      <c r="Y190" s="529">
        <f>+'NF-KSF-TRIAL-BAL-2020'!R190+'RA-TRIAL-BAL-2020'!R190+'DES-TRIAL-BAL-2020'!R190+'DMP-TRIAL-BAL-2020'!R190</f>
        <v>0</v>
      </c>
      <c r="Z190" s="528">
        <f>+'NF-KSF-TRIAL-BAL-2020'!S190+'RA-TRIAL-BAL-2020'!S190+'DES-TRIAL-BAL-2020'!S190+'DMP-TRIAL-BAL-2020'!S190</f>
        <v>0</v>
      </c>
      <c r="AA190" s="347">
        <f>+'NF-KSF-TRIAL-BAL-2020'!T190+'RA-TRIAL-BAL-2020'!T190+'DES-TRIAL-BAL-2020'!T190+'DMP-TRIAL-BAL-2020'!T190</f>
        <v>0</v>
      </c>
      <c r="AB190" s="51"/>
      <c r="AC190" s="8">
        <v>0</v>
      </c>
      <c r="AD190" s="121"/>
      <c r="AE190" s="122"/>
      <c r="AF190" s="324"/>
      <c r="AG190" s="29">
        <v>0</v>
      </c>
      <c r="AH190" s="28">
        <f>+IF(ABS(+AC190+AE190)&lt;=ABS(AD190+AF190),-AC190+AD190-AE190+AF190,0)</f>
        <v>0</v>
      </c>
      <c r="AI190" s="51"/>
      <c r="AJ190" s="1497">
        <f>+N190</f>
        <v>4548</v>
      </c>
      <c r="AK190" s="8">
        <v>0</v>
      </c>
      <c r="AL190" s="970">
        <f t="shared" ref="AL190:AL195" si="102">+ROUND(+P190+W190+AD190,2)</f>
        <v>0</v>
      </c>
      <c r="AM190" s="326">
        <f t="shared" si="101"/>
        <v>0</v>
      </c>
      <c r="AN190" s="970">
        <f t="shared" si="101"/>
        <v>0</v>
      </c>
      <c r="AO190" s="29">
        <v>0</v>
      </c>
      <c r="AP190" s="28">
        <f t="shared" ref="AP190:AP195" si="103">+T190+AA190+AH190</f>
        <v>0</v>
      </c>
      <c r="AQ190" s="43"/>
      <c r="AR190" s="358">
        <f t="shared" si="66"/>
        <v>0</v>
      </c>
      <c r="AS190" s="359">
        <f t="shared" si="67"/>
        <v>0</v>
      </c>
      <c r="AT190" s="360">
        <f t="shared" si="68"/>
        <v>0</v>
      </c>
      <c r="AU190" s="43"/>
      <c r="AV190" s="2119">
        <f>+IF(OR(+ROUND(O190,2)+ROUND(Q190,2)&gt;ROUND(P190,2)+ROUND(R190,2),+ABS(ROUND(O190,2)+ROUND(Q190,2))&gt;+ABS(ROUND(P190,2)+ROUND(R190,2))),+(ROUND(O190,2)+ROUND(Q190,2))-(ROUND(P190,2)+ROUND(R190,2)),0)</f>
        <v>0</v>
      </c>
      <c r="AW190" s="119"/>
      <c r="AX190" s="2119">
        <f>+IF(OR(+ROUND(AC190,2)+ROUND(AE190,2)&gt;ROUND(AD190,2)+ROUND(AF190,2),+ABS(ROUND(AC190,2)+ROUND(AE190,2))&gt;+ABS(ROUND(AD190,2)+ROUND(AF190,2))),+(ROUND(AC190,2)+ROUND(AE190,2))-(ROUND(AD190,2)+ROUND(AF190,2)),0)</f>
        <v>0</v>
      </c>
      <c r="AY190" s="43"/>
      <c r="AZ190" s="43"/>
      <c r="BA190" s="43"/>
      <c r="BB190" s="43"/>
      <c r="BC190" s="43"/>
      <c r="BD190" s="43"/>
    </row>
    <row r="191" spans="1:56" ht="15.75">
      <c r="A191" s="88">
        <v>4555</v>
      </c>
      <c r="B191" s="378" t="s">
        <v>866</v>
      </c>
      <c r="C191" s="1033"/>
      <c r="D191" s="1033"/>
      <c r="E191" s="1033"/>
      <c r="F191" s="1033"/>
      <c r="G191" s="1033"/>
      <c r="H191" s="1033"/>
      <c r="I191" s="1033"/>
      <c r="J191" s="1033"/>
      <c r="K191" s="1033"/>
      <c r="L191" s="90"/>
      <c r="M191" s="51" t="s">
        <v>265</v>
      </c>
      <c r="N191" s="113">
        <f t="shared" si="64"/>
        <v>4555</v>
      </c>
      <c r="O191" s="120">
        <v>0</v>
      </c>
      <c r="P191" s="121">
        <v>7000</v>
      </c>
      <c r="Q191" s="325">
        <v>125644.07</v>
      </c>
      <c r="R191" s="324">
        <v>118644.06999999999</v>
      </c>
      <c r="S191" s="27">
        <f>+IF(ABS(+O191+Q191)&gt;=ABS(P191+R191),+O191-P191+Q191-R191,0)</f>
        <v>1.4551915228366852E-11</v>
      </c>
      <c r="T191" s="28">
        <f t="shared" si="93"/>
        <v>-1.4551915228366852E-11</v>
      </c>
      <c r="U191" s="51"/>
      <c r="V191" s="541">
        <f>+'NF-KSF-TRIAL-BAL-2020'!O191+'RA-TRIAL-BAL-2020'!O191+'DES-TRIAL-BAL-2020'!O191+'DMP-TRIAL-BAL-2020'!O191</f>
        <v>0</v>
      </c>
      <c r="W191" s="529">
        <f>+'NF-KSF-TRIAL-BAL-2020'!P191+'RA-TRIAL-BAL-2020'!P191+'DES-TRIAL-BAL-2020'!P191+'DMP-TRIAL-BAL-2020'!P191</f>
        <v>0</v>
      </c>
      <c r="X191" s="528">
        <f>+'NF-KSF-TRIAL-BAL-2020'!Q191+'RA-TRIAL-BAL-2020'!Q191+'DES-TRIAL-BAL-2020'!Q191+'DMP-TRIAL-BAL-2020'!Q191</f>
        <v>0</v>
      </c>
      <c r="Y191" s="529">
        <f>+'NF-KSF-TRIAL-BAL-2020'!R191+'RA-TRIAL-BAL-2020'!R191+'DES-TRIAL-BAL-2020'!R191+'DMP-TRIAL-BAL-2020'!R191</f>
        <v>0</v>
      </c>
      <c r="Z191" s="528">
        <f>+'NF-KSF-TRIAL-BAL-2020'!S191+'RA-TRIAL-BAL-2020'!S191+'DES-TRIAL-BAL-2020'!S191+'DMP-TRIAL-BAL-2020'!S191</f>
        <v>0</v>
      </c>
      <c r="AA191" s="347">
        <f>+'NF-KSF-TRIAL-BAL-2020'!T191+'RA-TRIAL-BAL-2020'!T191+'DES-TRIAL-BAL-2020'!T191+'DMP-TRIAL-BAL-2020'!T191</f>
        <v>0</v>
      </c>
      <c r="AB191" s="51"/>
      <c r="AC191" s="120">
        <v>0</v>
      </c>
      <c r="AD191" s="121">
        <v>0</v>
      </c>
      <c r="AE191" s="325">
        <v>0</v>
      </c>
      <c r="AF191" s="324">
        <v>0</v>
      </c>
      <c r="AG191" s="27">
        <f t="shared" si="94"/>
        <v>0</v>
      </c>
      <c r="AH191" s="28">
        <f t="shared" si="95"/>
        <v>0</v>
      </c>
      <c r="AI191" s="51"/>
      <c r="AJ191" s="1497">
        <f t="shared" si="70"/>
        <v>4555</v>
      </c>
      <c r="AK191" s="951">
        <f>+ROUND(+O191+V191+AC191,2)</f>
        <v>0</v>
      </c>
      <c r="AL191" s="970">
        <f t="shared" si="102"/>
        <v>7000</v>
      </c>
      <c r="AM191" s="326">
        <f t="shared" ref="AM191:AN194" si="104">+ROUND(+Q191+X191+AE191,2)</f>
        <v>125644.07</v>
      </c>
      <c r="AN191" s="970">
        <f t="shared" si="104"/>
        <v>118644.07</v>
      </c>
      <c r="AO191" s="326">
        <f>+S191+Z191+AG191</f>
        <v>1.4551915228366852E-11</v>
      </c>
      <c r="AP191" s="28">
        <f t="shared" si="103"/>
        <v>-1.4551915228366852E-11</v>
      </c>
      <c r="AQ191" s="43"/>
      <c r="AR191" s="358">
        <f t="shared" si="66"/>
        <v>0</v>
      </c>
      <c r="AS191" s="359">
        <f t="shared" si="67"/>
        <v>0</v>
      </c>
      <c r="AT191" s="360">
        <f t="shared" si="68"/>
        <v>0</v>
      </c>
      <c r="AU191" s="43"/>
      <c r="AV191" s="2120"/>
      <c r="AW191" s="119"/>
      <c r="AX191" s="119"/>
      <c r="AY191" s="43"/>
      <c r="AZ191" s="43"/>
      <c r="BA191" s="43"/>
      <c r="BB191" s="43"/>
      <c r="BC191" s="43"/>
      <c r="BD191" s="43"/>
    </row>
    <row r="192" spans="1:56" ht="15.75" customHeight="1">
      <c r="A192" s="88">
        <v>4556</v>
      </c>
      <c r="B192" s="378" t="s">
        <v>867</v>
      </c>
      <c r="C192" s="1038"/>
      <c r="D192" s="1038"/>
      <c r="E192" s="1038"/>
      <c r="F192" s="1038"/>
      <c r="G192" s="1038"/>
      <c r="H192" s="1038"/>
      <c r="I192" s="1038"/>
      <c r="J192" s="1038"/>
      <c r="K192" s="1038"/>
      <c r="L192" s="590"/>
      <c r="M192" s="51" t="s">
        <v>265</v>
      </c>
      <c r="N192" s="113">
        <f t="shared" si="64"/>
        <v>4556</v>
      </c>
      <c r="O192" s="581">
        <v>0</v>
      </c>
      <c r="P192" s="576">
        <v>0</v>
      </c>
      <c r="Q192" s="325">
        <v>39677.65</v>
      </c>
      <c r="R192" s="324">
        <v>39677.649999999994</v>
      </c>
      <c r="S192" s="583">
        <f>+IF(ABS(+O192+Q192)&gt;=ABS(P192+R192),+O192-P192+Q192-R192,0)</f>
        <v>7.2759576141834259E-12</v>
      </c>
      <c r="T192" s="580">
        <f t="shared" si="93"/>
        <v>-7.2759576141834259E-12</v>
      </c>
      <c r="U192" s="51"/>
      <c r="V192" s="541">
        <f>+'NF-KSF-TRIAL-BAL-2020'!O192+'RA-TRIAL-BAL-2020'!O192+'DES-TRIAL-BAL-2020'!O192+'DMP-TRIAL-BAL-2020'!O192</f>
        <v>0</v>
      </c>
      <c r="W192" s="529">
        <f>+'NF-KSF-TRIAL-BAL-2020'!P192+'RA-TRIAL-BAL-2020'!P192+'DES-TRIAL-BAL-2020'!P192+'DMP-TRIAL-BAL-2020'!P192</f>
        <v>0</v>
      </c>
      <c r="X192" s="587">
        <f>+'NF-KSF-TRIAL-BAL-2020'!Q192+'RA-TRIAL-BAL-2020'!Q192+'DES-TRIAL-BAL-2020'!Q192+'DMP-TRIAL-BAL-2020'!Q192</f>
        <v>0</v>
      </c>
      <c r="Y192" s="586">
        <f>+'NF-KSF-TRIAL-BAL-2020'!R192+'RA-TRIAL-BAL-2020'!R192+'DES-TRIAL-BAL-2020'!R192+'DMP-TRIAL-BAL-2020'!R192</f>
        <v>0</v>
      </c>
      <c r="Z192" s="587">
        <f>+'NF-KSF-TRIAL-BAL-2020'!S192+'RA-TRIAL-BAL-2020'!S192+'DES-TRIAL-BAL-2020'!S192+'DMP-TRIAL-BAL-2020'!S192</f>
        <v>0</v>
      </c>
      <c r="AA192" s="588">
        <f>+'NF-KSF-TRIAL-BAL-2020'!T192+'RA-TRIAL-BAL-2020'!T192+'DES-TRIAL-BAL-2020'!T192+'DMP-TRIAL-BAL-2020'!T192</f>
        <v>0</v>
      </c>
      <c r="AB192" s="51"/>
      <c r="AC192" s="581">
        <v>0</v>
      </c>
      <c r="AD192" s="576">
        <v>0</v>
      </c>
      <c r="AE192" s="325">
        <v>0</v>
      </c>
      <c r="AF192" s="324">
        <v>0</v>
      </c>
      <c r="AG192" s="583">
        <f t="shared" si="94"/>
        <v>0</v>
      </c>
      <c r="AH192" s="580">
        <f t="shared" si="95"/>
        <v>0</v>
      </c>
      <c r="AI192" s="51"/>
      <c r="AJ192" s="1497">
        <f t="shared" si="70"/>
        <v>4556</v>
      </c>
      <c r="AK192" s="951">
        <f>+ROUND(+O192+V192+AC192,2)</f>
        <v>0</v>
      </c>
      <c r="AL192" s="970">
        <f t="shared" si="102"/>
        <v>0</v>
      </c>
      <c r="AM192" s="326">
        <f t="shared" si="104"/>
        <v>39677.65</v>
      </c>
      <c r="AN192" s="970">
        <f t="shared" si="104"/>
        <v>39677.65</v>
      </c>
      <c r="AO192" s="326">
        <f>+S192+Z192+AG192</f>
        <v>7.2759576141834259E-12</v>
      </c>
      <c r="AP192" s="28">
        <f t="shared" si="103"/>
        <v>-7.2759576141834259E-12</v>
      </c>
      <c r="AQ192" s="43"/>
      <c r="AR192" s="358">
        <f t="shared" si="66"/>
        <v>0</v>
      </c>
      <c r="AS192" s="359">
        <f t="shared" si="67"/>
        <v>0</v>
      </c>
      <c r="AT192" s="360">
        <f t="shared" si="68"/>
        <v>0</v>
      </c>
      <c r="AU192" s="43"/>
      <c r="AV192" s="2120"/>
      <c r="AW192" s="119"/>
      <c r="AX192" s="119"/>
      <c r="AY192" s="43"/>
      <c r="AZ192" s="43"/>
      <c r="BA192" s="43"/>
      <c r="BB192" s="43"/>
      <c r="BC192" s="43"/>
      <c r="BD192" s="43"/>
    </row>
    <row r="193" spans="1:56" ht="15.75">
      <c r="A193" s="346">
        <v>4557</v>
      </c>
      <c r="B193" s="1032" t="s">
        <v>868</v>
      </c>
      <c r="C193" s="345"/>
      <c r="D193" s="1033"/>
      <c r="E193" s="1033"/>
      <c r="F193" s="1033"/>
      <c r="G193" s="1033"/>
      <c r="H193" s="1033"/>
      <c r="I193" s="1033"/>
      <c r="J193" s="1033"/>
      <c r="K193" s="1033"/>
      <c r="L193" s="90"/>
      <c r="M193" s="51" t="s">
        <v>265</v>
      </c>
      <c r="N193" s="113">
        <f t="shared" si="64"/>
        <v>4557</v>
      </c>
      <c r="O193" s="120">
        <v>0</v>
      </c>
      <c r="P193" s="121">
        <v>0</v>
      </c>
      <c r="Q193" s="325">
        <v>20632.3</v>
      </c>
      <c r="R193" s="324">
        <v>20632.3</v>
      </c>
      <c r="S193" s="27">
        <f>+IF(ABS(+O193+Q193)&gt;=ABS(P193+R193),+O193-P193+Q193-R193,0)</f>
        <v>0</v>
      </c>
      <c r="T193" s="28">
        <f t="shared" si="93"/>
        <v>0</v>
      </c>
      <c r="U193" s="51"/>
      <c r="V193" s="541">
        <f>+'NF-KSF-TRIAL-BAL-2020'!O193+'RA-TRIAL-BAL-2020'!O193+'DES-TRIAL-BAL-2020'!O193+'DMP-TRIAL-BAL-2020'!O193</f>
        <v>0</v>
      </c>
      <c r="W193" s="529">
        <f>+'NF-KSF-TRIAL-BAL-2020'!P193+'RA-TRIAL-BAL-2020'!P193+'DES-TRIAL-BAL-2020'!P193+'DMP-TRIAL-BAL-2020'!P193</f>
        <v>0</v>
      </c>
      <c r="X193" s="528">
        <f>+'NF-KSF-TRIAL-BAL-2020'!Q193+'RA-TRIAL-BAL-2020'!Q193+'DES-TRIAL-BAL-2020'!Q193+'DMP-TRIAL-BAL-2020'!Q193</f>
        <v>0</v>
      </c>
      <c r="Y193" s="529">
        <f>+'NF-KSF-TRIAL-BAL-2020'!R193+'RA-TRIAL-BAL-2020'!R193+'DES-TRIAL-BAL-2020'!R193+'DMP-TRIAL-BAL-2020'!R193</f>
        <v>0</v>
      </c>
      <c r="Z193" s="528">
        <f>+'NF-KSF-TRIAL-BAL-2020'!S193+'RA-TRIAL-BAL-2020'!S193+'DES-TRIAL-BAL-2020'!S193+'DMP-TRIAL-BAL-2020'!S193</f>
        <v>0</v>
      </c>
      <c r="AA193" s="347">
        <f>+'NF-KSF-TRIAL-BAL-2020'!T193+'RA-TRIAL-BAL-2020'!T193+'DES-TRIAL-BAL-2020'!T193+'DMP-TRIAL-BAL-2020'!T193</f>
        <v>0</v>
      </c>
      <c r="AB193" s="51"/>
      <c r="AC193" s="120">
        <v>0</v>
      </c>
      <c r="AD193" s="121">
        <v>0</v>
      </c>
      <c r="AE193" s="122">
        <v>0</v>
      </c>
      <c r="AF193" s="121">
        <v>0</v>
      </c>
      <c r="AG193" s="27">
        <f t="shared" si="94"/>
        <v>0</v>
      </c>
      <c r="AH193" s="28">
        <f t="shared" si="95"/>
        <v>0</v>
      </c>
      <c r="AI193" s="51"/>
      <c r="AJ193" s="1497">
        <f t="shared" si="70"/>
        <v>4557</v>
      </c>
      <c r="AK193" s="951">
        <f>+ROUND(+O193+V193+AC193,2)</f>
        <v>0</v>
      </c>
      <c r="AL193" s="970">
        <f t="shared" si="102"/>
        <v>0</v>
      </c>
      <c r="AM193" s="326">
        <f t="shared" si="104"/>
        <v>20632.3</v>
      </c>
      <c r="AN193" s="970">
        <f t="shared" si="104"/>
        <v>20632.3</v>
      </c>
      <c r="AO193" s="326">
        <f>+S193+Z193+AG193</f>
        <v>0</v>
      </c>
      <c r="AP193" s="28">
        <f t="shared" si="103"/>
        <v>0</v>
      </c>
      <c r="AQ193" s="43"/>
      <c r="AR193" s="358">
        <f t="shared" si="66"/>
        <v>0</v>
      </c>
      <c r="AS193" s="359">
        <f t="shared" si="67"/>
        <v>0</v>
      </c>
      <c r="AT193" s="360">
        <f t="shared" si="68"/>
        <v>0</v>
      </c>
      <c r="AU193" s="43"/>
      <c r="AV193" s="2120"/>
      <c r="AW193" s="119"/>
      <c r="AX193" s="119"/>
      <c r="AY193" s="43"/>
      <c r="AZ193" s="43"/>
      <c r="BA193" s="43"/>
      <c r="BB193" s="43"/>
      <c r="BC193" s="43"/>
      <c r="BD193" s="43"/>
    </row>
    <row r="194" spans="1:56" ht="15.75">
      <c r="A194" s="88">
        <v>4558</v>
      </c>
      <c r="B194" s="378" t="s">
        <v>869</v>
      </c>
      <c r="C194" s="1033"/>
      <c r="D194" s="1033"/>
      <c r="E194" s="1033"/>
      <c r="F194" s="1033"/>
      <c r="G194" s="1033"/>
      <c r="H194" s="1033"/>
      <c r="I194" s="1033"/>
      <c r="J194" s="1033"/>
      <c r="K194" s="1033"/>
      <c r="L194" s="90"/>
      <c r="M194" s="51" t="s">
        <v>265</v>
      </c>
      <c r="N194" s="113">
        <f t="shared" si="64"/>
        <v>4558</v>
      </c>
      <c r="O194" s="120">
        <v>0</v>
      </c>
      <c r="P194" s="121">
        <v>0</v>
      </c>
      <c r="Q194" s="325">
        <v>0</v>
      </c>
      <c r="R194" s="324">
        <v>0</v>
      </c>
      <c r="S194" s="27">
        <f>+IF(ABS(+O194+Q194)&gt;=ABS(P194+R194),+O194-P194+Q194-R194,0)</f>
        <v>0</v>
      </c>
      <c r="T194" s="28">
        <f t="shared" si="93"/>
        <v>0</v>
      </c>
      <c r="U194" s="51"/>
      <c r="V194" s="541">
        <f>+'NF-KSF-TRIAL-BAL-2020'!O194+'RA-TRIAL-BAL-2020'!O194+'DES-TRIAL-BAL-2020'!O194+'DMP-TRIAL-BAL-2020'!O194</f>
        <v>0</v>
      </c>
      <c r="W194" s="529">
        <f>+'NF-KSF-TRIAL-BAL-2020'!P194+'RA-TRIAL-BAL-2020'!P194+'DES-TRIAL-BAL-2020'!P194+'DMP-TRIAL-BAL-2020'!P194</f>
        <v>0</v>
      </c>
      <c r="X194" s="528">
        <f>+'NF-KSF-TRIAL-BAL-2020'!Q194+'RA-TRIAL-BAL-2020'!Q194+'DES-TRIAL-BAL-2020'!Q194+'DMP-TRIAL-BAL-2020'!Q194</f>
        <v>0</v>
      </c>
      <c r="Y194" s="529">
        <f>+'NF-KSF-TRIAL-BAL-2020'!R194+'RA-TRIAL-BAL-2020'!R194+'DES-TRIAL-BAL-2020'!R194+'DMP-TRIAL-BAL-2020'!R194</f>
        <v>0</v>
      </c>
      <c r="Z194" s="528">
        <f>+'NF-KSF-TRIAL-BAL-2020'!S194+'RA-TRIAL-BAL-2020'!S194+'DES-TRIAL-BAL-2020'!S194+'DMP-TRIAL-BAL-2020'!S194</f>
        <v>0</v>
      </c>
      <c r="AA194" s="347">
        <f>+'NF-KSF-TRIAL-BAL-2020'!T194+'RA-TRIAL-BAL-2020'!T194+'DES-TRIAL-BAL-2020'!T194+'DMP-TRIAL-BAL-2020'!T194</f>
        <v>0</v>
      </c>
      <c r="AB194" s="51"/>
      <c r="AC194" s="120">
        <v>0</v>
      </c>
      <c r="AD194" s="121">
        <v>0</v>
      </c>
      <c r="AE194" s="325">
        <v>0</v>
      </c>
      <c r="AF194" s="324">
        <v>0</v>
      </c>
      <c r="AG194" s="27">
        <f t="shared" si="94"/>
        <v>0</v>
      </c>
      <c r="AH194" s="28">
        <f t="shared" si="95"/>
        <v>0</v>
      </c>
      <c r="AI194" s="51"/>
      <c r="AJ194" s="1497">
        <f t="shared" si="70"/>
        <v>4558</v>
      </c>
      <c r="AK194" s="951">
        <f>+ROUND(+O194+V194+AC194,2)</f>
        <v>0</v>
      </c>
      <c r="AL194" s="970">
        <f t="shared" si="102"/>
        <v>0</v>
      </c>
      <c r="AM194" s="326">
        <f t="shared" si="104"/>
        <v>0</v>
      </c>
      <c r="AN194" s="970">
        <f t="shared" si="104"/>
        <v>0</v>
      </c>
      <c r="AO194" s="326">
        <f>+S194+Z194+AG194</f>
        <v>0</v>
      </c>
      <c r="AP194" s="28">
        <f t="shared" si="103"/>
        <v>0</v>
      </c>
      <c r="AQ194" s="43"/>
      <c r="AR194" s="358">
        <f t="shared" si="66"/>
        <v>0</v>
      </c>
      <c r="AS194" s="359">
        <f t="shared" si="67"/>
        <v>0</v>
      </c>
      <c r="AT194" s="360">
        <f t="shared" si="68"/>
        <v>0</v>
      </c>
      <c r="AU194" s="43"/>
      <c r="AV194" s="2120"/>
      <c r="AW194" s="119"/>
      <c r="AX194" s="119"/>
      <c r="AY194" s="43"/>
      <c r="AZ194" s="43"/>
      <c r="BA194" s="43"/>
      <c r="BB194" s="43"/>
      <c r="BC194" s="43"/>
      <c r="BD194" s="43"/>
    </row>
    <row r="195" spans="1:56" ht="15.75">
      <c r="A195" s="88">
        <v>4560</v>
      </c>
      <c r="B195" s="378" t="s">
        <v>870</v>
      </c>
      <c r="C195" s="1033"/>
      <c r="D195" s="1033"/>
      <c r="E195" s="1033"/>
      <c r="F195" s="1033"/>
      <c r="G195" s="1033"/>
      <c r="H195" s="1033"/>
      <c r="I195" s="1033"/>
      <c r="J195" s="1033"/>
      <c r="K195" s="1033"/>
      <c r="L195" s="574"/>
      <c r="M195" s="51" t="s">
        <v>265</v>
      </c>
      <c r="N195" s="113">
        <f t="shared" si="64"/>
        <v>4560</v>
      </c>
      <c r="O195" s="575">
        <v>0</v>
      </c>
      <c r="P195" s="576"/>
      <c r="Q195" s="325"/>
      <c r="R195" s="324"/>
      <c r="S195" s="579">
        <v>0</v>
      </c>
      <c r="T195" s="580">
        <f>+IF(ABS(+O195+Q195)&lt;=ABS(P195+R195),-O195+P195-Q195+R195,0)</f>
        <v>0</v>
      </c>
      <c r="U195" s="51"/>
      <c r="V195" s="541">
        <f>+'NF-KSF-TRIAL-BAL-2020'!O195+'RA-TRIAL-BAL-2020'!O195+'DES-TRIAL-BAL-2020'!O195+'DMP-TRIAL-BAL-2020'!O195</f>
        <v>0</v>
      </c>
      <c r="W195" s="529">
        <f>+'NF-KSF-TRIAL-BAL-2020'!P195+'RA-TRIAL-BAL-2020'!P195+'DES-TRIAL-BAL-2020'!P195+'DMP-TRIAL-BAL-2020'!P195</f>
        <v>0</v>
      </c>
      <c r="X195" s="587">
        <f>+'NF-KSF-TRIAL-BAL-2020'!Q195+'RA-TRIAL-BAL-2020'!Q195+'DES-TRIAL-BAL-2020'!Q195+'DMP-TRIAL-BAL-2020'!Q195</f>
        <v>0</v>
      </c>
      <c r="Y195" s="586">
        <f>+'NF-KSF-TRIAL-BAL-2020'!R195+'RA-TRIAL-BAL-2020'!R195+'DES-TRIAL-BAL-2020'!R195+'DMP-TRIAL-BAL-2020'!R195</f>
        <v>0</v>
      </c>
      <c r="Z195" s="587">
        <f>+'NF-KSF-TRIAL-BAL-2020'!S195+'RA-TRIAL-BAL-2020'!S195+'DES-TRIAL-BAL-2020'!S195+'DMP-TRIAL-BAL-2020'!S195</f>
        <v>0</v>
      </c>
      <c r="AA195" s="588">
        <f>+'NF-KSF-TRIAL-BAL-2020'!T195+'RA-TRIAL-BAL-2020'!T195+'DES-TRIAL-BAL-2020'!T195+'DMP-TRIAL-BAL-2020'!T195</f>
        <v>0</v>
      </c>
      <c r="AB195" s="51"/>
      <c r="AC195" s="575">
        <v>0</v>
      </c>
      <c r="AD195" s="576"/>
      <c r="AE195" s="325"/>
      <c r="AF195" s="324"/>
      <c r="AG195" s="579">
        <v>0</v>
      </c>
      <c r="AH195" s="580">
        <f>+IF(ABS(+AC195+AE195)&lt;=ABS(AD195+AF195),-AC195+AD195-AE195+AF195,0)</f>
        <v>0</v>
      </c>
      <c r="AI195" s="51"/>
      <c r="AJ195" s="1497">
        <f t="shared" si="70"/>
        <v>4560</v>
      </c>
      <c r="AK195" s="8">
        <v>0</v>
      </c>
      <c r="AL195" s="970">
        <f t="shared" si="102"/>
        <v>0</v>
      </c>
      <c r="AM195" s="326">
        <f t="shared" ref="AM195:AN199" si="105">+ROUND(+Q195+X195+AE195,2)</f>
        <v>0</v>
      </c>
      <c r="AN195" s="970">
        <f t="shared" si="105"/>
        <v>0</v>
      </c>
      <c r="AO195" s="29">
        <v>0</v>
      </c>
      <c r="AP195" s="28">
        <f t="shared" si="103"/>
        <v>0</v>
      </c>
      <c r="AQ195" s="43"/>
      <c r="AR195" s="358">
        <f>+ROUND(+SUM(AK195-AL195)-SUM(O195-P195)-SUM(V195-W195)-SUM(AC195-AD195),2)</f>
        <v>0</v>
      </c>
      <c r="AS195" s="359">
        <f>+ROUND(+SUM(AM195-AN195)-SUM(Q195-R195)-SUM(X195-Y195)-SUM(AE195-AF195),2)</f>
        <v>0</v>
      </c>
      <c r="AT195" s="360">
        <f>+ROUND(+SUM(AO195-AP195)-SUM(S195-T195)-SUM(Z195-AA195)-SUM(AG195-AH195),2)</f>
        <v>0</v>
      </c>
      <c r="AU195" s="43"/>
      <c r="AV195" s="2119">
        <f>+IF(OR(+ROUND(O195,2)+ROUND(Q195,2)&gt;ROUND(P195,2)+ROUND(R195,2),+ABS(ROUND(O195,2)+ROUND(Q195,2))&gt;+ABS(ROUND(P195,2)+ROUND(R195,2))),+(ROUND(O195,2)+ROUND(Q195,2))-(ROUND(P195,2)+ROUND(R195,2)),0)</f>
        <v>0</v>
      </c>
      <c r="AW195" s="119"/>
      <c r="AX195" s="2119">
        <f>+IF(OR(+ROUND(AC195,2)+ROUND(AE195,2)&gt;ROUND(AD195,2)+ROUND(AF195,2),+ABS(ROUND(AC195,2)+ROUND(AE195,2))&gt;+ABS(ROUND(AD195,2)+ROUND(AF195,2))),+(ROUND(AC195,2)+ROUND(AE195,2))-(ROUND(AD195,2)+ROUND(AF195,2)),0)</f>
        <v>0</v>
      </c>
      <c r="AY195" s="43"/>
      <c r="AZ195" s="43"/>
      <c r="BA195" s="43"/>
      <c r="BB195" s="43"/>
      <c r="BC195" s="43"/>
      <c r="BD195" s="43"/>
    </row>
    <row r="196" spans="1:56" ht="15.75">
      <c r="A196" s="88">
        <v>4567</v>
      </c>
      <c r="B196" s="378" t="s">
        <v>871</v>
      </c>
      <c r="C196" s="1033"/>
      <c r="D196" s="1033"/>
      <c r="E196" s="1033"/>
      <c r="F196" s="1033"/>
      <c r="G196" s="1033"/>
      <c r="H196" s="1033"/>
      <c r="I196" s="1033"/>
      <c r="J196" s="1033"/>
      <c r="K196" s="1033"/>
      <c r="L196" s="574"/>
      <c r="M196" s="51" t="s">
        <v>265</v>
      </c>
      <c r="N196" s="113">
        <f t="shared" ref="N196:N259" si="106">+A196</f>
        <v>4567</v>
      </c>
      <c r="O196" s="581"/>
      <c r="P196" s="582">
        <v>0</v>
      </c>
      <c r="Q196" s="325"/>
      <c r="R196" s="324"/>
      <c r="S196" s="583">
        <f>+IF(ABS(+O196+Q196)&gt;=ABS(P196+R196),+O196-P196+Q196-R196,0)</f>
        <v>0</v>
      </c>
      <c r="T196" s="584">
        <v>0</v>
      </c>
      <c r="U196" s="51"/>
      <c r="V196" s="541">
        <f>+'NF-KSF-TRIAL-BAL-2020'!O196+'RA-TRIAL-BAL-2020'!O196+'DES-TRIAL-BAL-2020'!O196+'DMP-TRIAL-BAL-2020'!O196</f>
        <v>0</v>
      </c>
      <c r="W196" s="529">
        <f>+'NF-KSF-TRIAL-BAL-2020'!P196+'RA-TRIAL-BAL-2020'!P196+'DES-TRIAL-BAL-2020'!P196+'DMP-TRIAL-BAL-2020'!P196</f>
        <v>0</v>
      </c>
      <c r="X196" s="587">
        <f>+'NF-KSF-TRIAL-BAL-2020'!Q196+'RA-TRIAL-BAL-2020'!Q196+'DES-TRIAL-BAL-2020'!Q196+'DMP-TRIAL-BAL-2020'!Q196</f>
        <v>0</v>
      </c>
      <c r="Y196" s="586">
        <f>+'NF-KSF-TRIAL-BAL-2020'!R196+'RA-TRIAL-BAL-2020'!R196+'DES-TRIAL-BAL-2020'!R196+'DMP-TRIAL-BAL-2020'!R196</f>
        <v>0</v>
      </c>
      <c r="Z196" s="587">
        <f>+'NF-KSF-TRIAL-BAL-2020'!S196+'RA-TRIAL-BAL-2020'!S196+'DES-TRIAL-BAL-2020'!S196+'DMP-TRIAL-BAL-2020'!S196</f>
        <v>0</v>
      </c>
      <c r="AA196" s="588">
        <f>+'NF-KSF-TRIAL-BAL-2020'!T196+'RA-TRIAL-BAL-2020'!T196+'DES-TRIAL-BAL-2020'!T196+'DMP-TRIAL-BAL-2020'!T196</f>
        <v>0</v>
      </c>
      <c r="AB196" s="51"/>
      <c r="AC196" s="581"/>
      <c r="AD196" s="582">
        <v>0</v>
      </c>
      <c r="AE196" s="122"/>
      <c r="AF196" s="324"/>
      <c r="AG196" s="583">
        <f>+IF(ABS(+AC196+AE196)&gt;=ABS(AD196+AF196),+AC196-AD196+AE196-AF196,0)</f>
        <v>0</v>
      </c>
      <c r="AH196" s="584">
        <v>0</v>
      </c>
      <c r="AI196" s="51"/>
      <c r="AJ196" s="1497">
        <f>+N196</f>
        <v>4567</v>
      </c>
      <c r="AK196" s="951">
        <f>+ROUND(+O196+V196+AC196,2)</f>
        <v>0</v>
      </c>
      <c r="AL196" s="9">
        <v>0</v>
      </c>
      <c r="AM196" s="326">
        <f t="shared" si="105"/>
        <v>0</v>
      </c>
      <c r="AN196" s="970">
        <f t="shared" si="105"/>
        <v>0</v>
      </c>
      <c r="AO196" s="326">
        <f>+S196+Z196+AG196</f>
        <v>0</v>
      </c>
      <c r="AP196" s="30">
        <v>0</v>
      </c>
      <c r="AQ196" s="43"/>
      <c r="AR196" s="358">
        <f>+ROUND(+SUM(AK196-AL196)-SUM(O196-P196)-SUM(V196-W196)-SUM(AC196-AD196),2)</f>
        <v>0</v>
      </c>
      <c r="AS196" s="359">
        <f>+ROUND(+SUM(AM196-AN196)-SUM(Q196-R196)-SUM(X196-Y196)-SUM(AE196-AF196),2)</f>
        <v>0</v>
      </c>
      <c r="AT196" s="360">
        <f>+ROUND(+SUM(AO196-AP196)-SUM(S196-T196)-SUM(Z196-AA196)-SUM(AG196-AH196),2)</f>
        <v>0</v>
      </c>
      <c r="AU196" s="43"/>
      <c r="AV196" s="2120">
        <f>+IF(OR(ROUND(P196,2)+ROUND(R196,2)&gt;+ROUND(O196,2)+ROUND(Q196,2),+ABS(ROUND(P196,2)+ROUND(R196,2))&gt;+ABS(ROUND(O196,2)+ROUND(Q196,2))),+(ROUND(P196,2)+ROUND(R196,2))-(ROUND(O196,2)+ROUND(Q196,2)),0)</f>
        <v>0</v>
      </c>
      <c r="AW196" s="119"/>
      <c r="AX196" s="2120">
        <f>+IF(OR(ROUND(AD196,2)+ROUND(AF196,2)&gt;+ROUND(AC196,2)+ROUND(AE196,2),+ABS(ROUND(AD196,2)+ROUND(AF196,2))&gt;+ABS(ROUND(AC196,2)+ROUND(AE196,2))),+(ROUND(AD196,2)+ROUND(AF196,2))-(ROUND(AC196,2)+ROUND(AE196,2)),0)</f>
        <v>0</v>
      </c>
      <c r="AY196" s="43"/>
      <c r="AZ196" s="43"/>
      <c r="BA196" s="43"/>
      <c r="BB196" s="43"/>
      <c r="BC196" s="43"/>
      <c r="BD196" s="43"/>
    </row>
    <row r="197" spans="1:56" ht="15.75">
      <c r="A197" s="88">
        <v>4568</v>
      </c>
      <c r="B197" s="378" t="s">
        <v>872</v>
      </c>
      <c r="C197" s="1033"/>
      <c r="D197" s="1033"/>
      <c r="E197" s="1033"/>
      <c r="F197" s="1033"/>
      <c r="G197" s="1033"/>
      <c r="H197" s="1033"/>
      <c r="I197" s="1033"/>
      <c r="J197" s="1033"/>
      <c r="K197" s="1033"/>
      <c r="L197" s="574"/>
      <c r="M197" s="51" t="s">
        <v>265</v>
      </c>
      <c r="N197" s="113">
        <f t="shared" si="106"/>
        <v>4568</v>
      </c>
      <c r="O197" s="575">
        <v>0</v>
      </c>
      <c r="P197" s="576"/>
      <c r="Q197" s="325"/>
      <c r="R197" s="324"/>
      <c r="S197" s="579">
        <v>0</v>
      </c>
      <c r="T197" s="580">
        <f>+IF(ABS(+O197+Q197)&lt;=ABS(P197+R197),-O197+P197-Q197+R197,0)</f>
        <v>0</v>
      </c>
      <c r="U197" s="51"/>
      <c r="V197" s="541">
        <f>+'NF-KSF-TRIAL-BAL-2020'!O197+'RA-TRIAL-BAL-2020'!O197+'DES-TRIAL-BAL-2020'!O197+'DMP-TRIAL-BAL-2020'!O197</f>
        <v>0</v>
      </c>
      <c r="W197" s="529">
        <f>+'NF-KSF-TRIAL-BAL-2020'!P197+'RA-TRIAL-BAL-2020'!P197+'DES-TRIAL-BAL-2020'!P197+'DMP-TRIAL-BAL-2020'!P197</f>
        <v>0</v>
      </c>
      <c r="X197" s="587">
        <f>+'NF-KSF-TRIAL-BAL-2020'!Q197+'RA-TRIAL-BAL-2020'!Q197+'DES-TRIAL-BAL-2020'!Q197+'DMP-TRIAL-BAL-2020'!Q197</f>
        <v>0</v>
      </c>
      <c r="Y197" s="586">
        <f>+'NF-KSF-TRIAL-BAL-2020'!R197+'RA-TRIAL-BAL-2020'!R197+'DES-TRIAL-BAL-2020'!R197+'DMP-TRIAL-BAL-2020'!R197</f>
        <v>0</v>
      </c>
      <c r="Z197" s="587">
        <f>+'NF-KSF-TRIAL-BAL-2020'!S197+'RA-TRIAL-BAL-2020'!S197+'DES-TRIAL-BAL-2020'!S197+'DMP-TRIAL-BAL-2020'!S197</f>
        <v>0</v>
      </c>
      <c r="AA197" s="588">
        <f>+'NF-KSF-TRIAL-BAL-2020'!T197+'RA-TRIAL-BAL-2020'!T197+'DES-TRIAL-BAL-2020'!T197+'DMP-TRIAL-BAL-2020'!T197</f>
        <v>0</v>
      </c>
      <c r="AB197" s="51"/>
      <c r="AC197" s="575">
        <v>0</v>
      </c>
      <c r="AD197" s="576"/>
      <c r="AE197" s="325"/>
      <c r="AF197" s="324"/>
      <c r="AG197" s="579">
        <v>0</v>
      </c>
      <c r="AH197" s="580">
        <f>+IF(ABS(+AC197+AE197)&lt;=ABS(AD197+AF197),-AC197+AD197-AE197+AF197,0)</f>
        <v>0</v>
      </c>
      <c r="AI197" s="51"/>
      <c r="AJ197" s="1497">
        <f>+N197</f>
        <v>4568</v>
      </c>
      <c r="AK197" s="8">
        <v>0</v>
      </c>
      <c r="AL197" s="970">
        <f t="shared" ref="AL197:AL207" si="107">+ROUND(+P197+W197+AD197,2)</f>
        <v>0</v>
      </c>
      <c r="AM197" s="326">
        <f t="shared" si="105"/>
        <v>0</v>
      </c>
      <c r="AN197" s="970">
        <f t="shared" si="105"/>
        <v>0</v>
      </c>
      <c r="AO197" s="29">
        <v>0</v>
      </c>
      <c r="AP197" s="28">
        <f t="shared" ref="AP197:AP218" si="108">+T197+AA197+AH197</f>
        <v>0</v>
      </c>
      <c r="AQ197" s="43"/>
      <c r="AR197" s="358">
        <f>+ROUND(+SUM(AK197-AL197)-SUM(O197-P197)-SUM(V197-W197)-SUM(AC197-AD197),2)</f>
        <v>0</v>
      </c>
      <c r="AS197" s="359">
        <f>+ROUND(+SUM(AM197-AN197)-SUM(Q197-R197)-SUM(X197-Y197)-SUM(AE197-AF197),2)</f>
        <v>0</v>
      </c>
      <c r="AT197" s="360">
        <f>+ROUND(+SUM(AO197-AP197)-SUM(S197-T197)-SUM(Z197-AA197)-SUM(AG197-AH197),2)</f>
        <v>0</v>
      </c>
      <c r="AU197" s="43"/>
      <c r="AV197" s="2119">
        <f>+IF(OR(+ROUND(O197,2)+ROUND(Q197,2)&gt;ROUND(P197,2)+ROUND(R197,2),+ABS(ROUND(O197,2)+ROUND(Q197,2))&gt;+ABS(ROUND(P197,2)+ROUND(R197,2))),+(ROUND(O197,2)+ROUND(Q197,2))-(ROUND(P197,2)+ROUND(R197,2)),0)</f>
        <v>0</v>
      </c>
      <c r="AW197" s="119"/>
      <c r="AX197" s="2119">
        <f>+IF(OR(+ROUND(AC197,2)+ROUND(AE197,2)&gt;ROUND(AD197,2)+ROUND(AF197,2),+ABS(ROUND(AC197,2)+ROUND(AE197,2))&gt;+ABS(ROUND(AD197,2)+ROUND(AF197,2))),+(ROUND(AC197,2)+ROUND(AE197,2))-(ROUND(AD197,2)+ROUND(AF197,2)),0)</f>
        <v>0</v>
      </c>
      <c r="AY197" s="43"/>
      <c r="AZ197" s="43"/>
      <c r="BA197" s="43"/>
      <c r="BB197" s="43"/>
      <c r="BC197" s="43"/>
      <c r="BD197" s="43"/>
    </row>
    <row r="198" spans="1:56" ht="15.75">
      <c r="A198" s="88">
        <v>4598</v>
      </c>
      <c r="B198" s="378" t="s">
        <v>873</v>
      </c>
      <c r="C198" s="1033"/>
      <c r="D198" s="1033"/>
      <c r="E198" s="1033"/>
      <c r="F198" s="1033"/>
      <c r="G198" s="1033"/>
      <c r="H198" s="1033"/>
      <c r="I198" s="1033"/>
      <c r="J198" s="1033"/>
      <c r="K198" s="1033"/>
      <c r="L198" s="574"/>
      <c r="M198" s="51" t="s">
        <v>265</v>
      </c>
      <c r="N198" s="113">
        <f t="shared" si="106"/>
        <v>4598</v>
      </c>
      <c r="O198" s="581"/>
      <c r="P198" s="576"/>
      <c r="Q198" s="325"/>
      <c r="R198" s="324"/>
      <c r="S198" s="2270">
        <f>+IF($C$8=9900,+IF(ABS(+O198+Q198)&gt;=ABS(P198+R198),+O198-P198+Q198-R198,0),0)</f>
        <v>0</v>
      </c>
      <c r="T198" s="2271">
        <f>+IF($C$8=9900,0,+IF(ABS(+O198+Q198)&lt;=ABS(P198+R198),-O198+P198-Q198+R198,0))</f>
        <v>0</v>
      </c>
      <c r="U198" s="51"/>
      <c r="V198" s="541">
        <f>+'NF-KSF-TRIAL-BAL-2020'!O198+'RA-TRIAL-BAL-2020'!O198+'DES-TRIAL-BAL-2020'!O198+'DMP-TRIAL-BAL-2020'!O198</f>
        <v>0</v>
      </c>
      <c r="W198" s="529">
        <f>+'NF-KSF-TRIAL-BAL-2020'!P198+'RA-TRIAL-BAL-2020'!P198+'DES-TRIAL-BAL-2020'!P198+'DMP-TRIAL-BAL-2020'!P198</f>
        <v>0</v>
      </c>
      <c r="X198" s="587">
        <f>+'NF-KSF-TRIAL-BAL-2020'!Q198+'RA-TRIAL-BAL-2020'!Q198+'DES-TRIAL-BAL-2020'!Q198+'DMP-TRIAL-BAL-2020'!Q198</f>
        <v>0</v>
      </c>
      <c r="Y198" s="586">
        <f>+'NF-KSF-TRIAL-BAL-2020'!R198+'RA-TRIAL-BAL-2020'!R198+'DES-TRIAL-BAL-2020'!R198+'DMP-TRIAL-BAL-2020'!R198</f>
        <v>0</v>
      </c>
      <c r="Z198" s="587">
        <f>+'NF-KSF-TRIAL-BAL-2020'!S198+'RA-TRIAL-BAL-2020'!S198+'DES-TRIAL-BAL-2020'!S198+'DMP-TRIAL-BAL-2020'!S198</f>
        <v>0</v>
      </c>
      <c r="AA198" s="588">
        <f>+'NF-KSF-TRIAL-BAL-2020'!T198+'RA-TRIAL-BAL-2020'!T198+'DES-TRIAL-BAL-2020'!T198+'DMP-TRIAL-BAL-2020'!T198</f>
        <v>0</v>
      </c>
      <c r="AB198" s="51"/>
      <c r="AC198" s="575">
        <v>0</v>
      </c>
      <c r="AD198" s="576"/>
      <c r="AE198" s="325"/>
      <c r="AF198" s="324"/>
      <c r="AG198" s="579">
        <v>0</v>
      </c>
      <c r="AH198" s="580">
        <f>+IF(ABS(+AC198+AE198)&lt;=ABS(AD198+AF198),-AC198+AD198-AE198+AF198,0)</f>
        <v>0</v>
      </c>
      <c r="AI198" s="51"/>
      <c r="AJ198" s="1497">
        <f t="shared" si="70"/>
        <v>4598</v>
      </c>
      <c r="AK198" s="951">
        <f>+ROUND(+O198+V198+AC198,2)</f>
        <v>0</v>
      </c>
      <c r="AL198" s="970">
        <f t="shared" si="107"/>
        <v>0</v>
      </c>
      <c r="AM198" s="326">
        <f t="shared" si="105"/>
        <v>0</v>
      </c>
      <c r="AN198" s="970">
        <f t="shared" si="105"/>
        <v>0</v>
      </c>
      <c r="AO198" s="326">
        <f>+S198+Z198+AG198</f>
        <v>0</v>
      </c>
      <c r="AP198" s="28">
        <f t="shared" si="108"/>
        <v>0</v>
      </c>
      <c r="AQ198" s="43"/>
      <c r="AR198" s="358">
        <f t="shared" ref="AR198:AR274" si="109">+ROUND(+SUM(AK198-AL198)-SUM(O198-P198)-SUM(V198-W198)-SUM(AC198-AD198),2)</f>
        <v>0</v>
      </c>
      <c r="AS198" s="359">
        <f t="shared" ref="AS198:AS274" si="110">+ROUND(+SUM(AM198-AN198)-SUM(Q198-R198)-SUM(X198-Y198)-SUM(AE198-AF198),2)</f>
        <v>0</v>
      </c>
      <c r="AT198" s="360">
        <f t="shared" ref="AT198:AT274" si="111">+ROUND(+SUM(AO198-AP198)-SUM(S198-T198)-SUM(Z198-AA198)-SUM(AG198-AH198),2)</f>
        <v>0</v>
      </c>
      <c r="AU198" s="43"/>
      <c r="AV198" s="2125">
        <f>+IF($C$8=9900,+IF(OR(ROUND(P198,2)+ROUND(R198,2)&gt;+ROUND(O198,2)+ROUND(Q198,2),+ABS(ROUND(P198,2)+ROUND(R198,2))&gt;+ABS(ROUND(O198,2)+ROUND(Q198,2))),+(ROUND(P198,2)+ROUND(R198,2))-(ROUND(O198,2)+ROUND(Q198,2)),0),+IF(OR(+ROUND(O198,2)+ROUND(Q198,2)&gt;ROUND(P198,2)+ROUND(R198,2),+ABS(ROUND(O198,2)+ROUND(Q198,2))&gt;+ABS(ROUND(P198,2)+ROUND(R198,2))),+(ROUND(O198,2)+ROUND(Q198,2))-(ROUND(P198,2)+ROUND(R198,2)),0))</f>
        <v>0</v>
      </c>
      <c r="AW198" s="119"/>
      <c r="AX198" s="2119">
        <f>+IF(OR(+ROUND(AC198,2)+ROUND(AE198,2)&gt;ROUND(AD198,2)+ROUND(AF198,2),+ABS(ROUND(AC198,2)+ROUND(AE198,2))&gt;+ABS(ROUND(AD198,2)+ROUND(AF198,2))),+(ROUND(AC198,2)+ROUND(AE198,2))-(ROUND(AD198,2)+ROUND(AF198,2)),0)</f>
        <v>0</v>
      </c>
      <c r="AY198" s="43"/>
      <c r="AZ198" s="43"/>
      <c r="BA198" s="43"/>
      <c r="BB198" s="43"/>
      <c r="BC198" s="43"/>
      <c r="BD198" s="43"/>
    </row>
    <row r="199" spans="1:56" ht="15.75" customHeight="1">
      <c r="A199" s="88">
        <v>4599</v>
      </c>
      <c r="B199" s="378" t="s">
        <v>232</v>
      </c>
      <c r="C199" s="1038"/>
      <c r="D199" s="1038"/>
      <c r="E199" s="1038"/>
      <c r="F199" s="1038"/>
      <c r="G199" s="1038"/>
      <c r="H199" s="1038"/>
      <c r="I199" s="1038"/>
      <c r="J199" s="1038"/>
      <c r="K199" s="1038"/>
      <c r="L199" s="590"/>
      <c r="M199" s="51" t="s">
        <v>265</v>
      </c>
      <c r="N199" s="113">
        <f t="shared" si="106"/>
        <v>4599</v>
      </c>
      <c r="O199" s="581"/>
      <c r="P199" s="576"/>
      <c r="Q199" s="325"/>
      <c r="R199" s="324"/>
      <c r="S199" s="583">
        <f t="shared" ref="S199:S219" si="112">+IF(ABS(+O199+Q199)&gt;=ABS(P199+R199),+O199-P199+Q199-R199,0)</f>
        <v>0</v>
      </c>
      <c r="T199" s="580">
        <f>+IF(ABS(+O199+Q199)&lt;=ABS(P199+R199),-O199+P199-Q199+R199,0)</f>
        <v>0</v>
      </c>
      <c r="U199" s="51"/>
      <c r="V199" s="541">
        <f>+'NF-KSF-TRIAL-BAL-2020'!O199+'RA-TRIAL-BAL-2020'!O199+'DES-TRIAL-BAL-2020'!O199+'DMP-TRIAL-BAL-2020'!O199</f>
        <v>0</v>
      </c>
      <c r="W199" s="529">
        <f>+'NF-KSF-TRIAL-BAL-2020'!P199+'RA-TRIAL-BAL-2020'!P199+'DES-TRIAL-BAL-2020'!P199+'DMP-TRIAL-BAL-2020'!P199</f>
        <v>0</v>
      </c>
      <c r="X199" s="587">
        <f>+'NF-KSF-TRIAL-BAL-2020'!Q199+'RA-TRIAL-BAL-2020'!Q199+'DES-TRIAL-BAL-2020'!Q199+'DMP-TRIAL-BAL-2020'!Q199</f>
        <v>0</v>
      </c>
      <c r="Y199" s="586">
        <f>+'NF-KSF-TRIAL-BAL-2020'!R199+'RA-TRIAL-BAL-2020'!R199+'DES-TRIAL-BAL-2020'!R199+'DMP-TRIAL-BAL-2020'!R199</f>
        <v>0</v>
      </c>
      <c r="Z199" s="587">
        <f>+'NF-KSF-TRIAL-BAL-2020'!S199+'RA-TRIAL-BAL-2020'!S199+'DES-TRIAL-BAL-2020'!S199+'DMP-TRIAL-BAL-2020'!S199</f>
        <v>0</v>
      </c>
      <c r="AA199" s="588">
        <f>+'NF-KSF-TRIAL-BAL-2020'!T199+'RA-TRIAL-BAL-2020'!T199+'DES-TRIAL-BAL-2020'!T199+'DMP-TRIAL-BAL-2020'!T199</f>
        <v>0</v>
      </c>
      <c r="AB199" s="51"/>
      <c r="AC199" s="581"/>
      <c r="AD199" s="576"/>
      <c r="AE199" s="325"/>
      <c r="AF199" s="324"/>
      <c r="AG199" s="583">
        <f>+IF(ABS(+AC199+AE199)&gt;=ABS(AD199+AF199),+AC199-AD199+AE199-AF199,0)</f>
        <v>0</v>
      </c>
      <c r="AH199" s="580">
        <f>+IF(ABS(+AC199+AE199)&lt;=ABS(AD199+AF199),-AC199+AD199-AE199+AF199,0)</f>
        <v>0</v>
      </c>
      <c r="AI199" s="51"/>
      <c r="AJ199" s="1497">
        <f>+N199</f>
        <v>4599</v>
      </c>
      <c r="AK199" s="951">
        <f t="shared" ref="AK199:AK207" si="113">+ROUND(+O199+V199+AC199,2)</f>
        <v>0</v>
      </c>
      <c r="AL199" s="970">
        <f t="shared" si="107"/>
        <v>0</v>
      </c>
      <c r="AM199" s="326">
        <f t="shared" si="105"/>
        <v>0</v>
      </c>
      <c r="AN199" s="970">
        <f t="shared" si="105"/>
        <v>0</v>
      </c>
      <c r="AO199" s="326">
        <f t="shared" ref="AO199:AO219" si="114">+S199+Z199+AG199</f>
        <v>0</v>
      </c>
      <c r="AP199" s="28">
        <f t="shared" si="108"/>
        <v>0</v>
      </c>
      <c r="AQ199" s="43"/>
      <c r="AR199" s="358">
        <f>+ROUND(+SUM(AK199-AL199)-SUM(O199-P199)-SUM(V199-W199)-SUM(AC199-AD199),2)</f>
        <v>0</v>
      </c>
      <c r="AS199" s="359">
        <f>+ROUND(+SUM(AM199-AN199)-SUM(Q199-R199)-SUM(X199-Y199)-SUM(AE199-AF199),2)</f>
        <v>0</v>
      </c>
      <c r="AT199" s="360">
        <f>+ROUND(+SUM(AO199-AP199)-SUM(S199-T199)-SUM(Z199-AA199)-SUM(AG199-AH199),2)</f>
        <v>0</v>
      </c>
      <c r="AU199" s="43"/>
      <c r="AV199" s="43"/>
      <c r="AW199" s="119"/>
      <c r="AX199" s="119"/>
      <c r="AY199" s="43"/>
      <c r="AZ199" s="43"/>
      <c r="BA199" s="43"/>
      <c r="BB199" s="43"/>
      <c r="BC199" s="43"/>
      <c r="BD199" s="43"/>
    </row>
    <row r="200" spans="1:56" ht="15.75">
      <c r="A200" s="88">
        <v>4611</v>
      </c>
      <c r="B200" s="378" t="s">
        <v>874</v>
      </c>
      <c r="C200" s="1033"/>
      <c r="D200" s="1033"/>
      <c r="E200" s="1033"/>
      <c r="F200" s="1033"/>
      <c r="G200" s="1033"/>
      <c r="H200" s="1033"/>
      <c r="I200" s="1033"/>
      <c r="J200" s="1033"/>
      <c r="K200" s="1033"/>
      <c r="L200" s="90"/>
      <c r="M200" s="51" t="s">
        <v>265</v>
      </c>
      <c r="N200" s="113">
        <f t="shared" si="106"/>
        <v>4611</v>
      </c>
      <c r="O200" s="120"/>
      <c r="P200" s="121"/>
      <c r="Q200" s="325"/>
      <c r="R200" s="324"/>
      <c r="S200" s="27">
        <f t="shared" si="112"/>
        <v>0</v>
      </c>
      <c r="T200" s="28">
        <f t="shared" si="93"/>
        <v>0</v>
      </c>
      <c r="U200" s="51"/>
      <c r="V200" s="541">
        <f>+'NF-KSF-TRIAL-BAL-2020'!O200+'RA-TRIAL-BAL-2020'!O200+'DES-TRIAL-BAL-2020'!O200+'DMP-TRIAL-BAL-2020'!O200</f>
        <v>0</v>
      </c>
      <c r="W200" s="529">
        <f>+'NF-KSF-TRIAL-BAL-2020'!P200+'RA-TRIAL-BAL-2020'!P200+'DES-TRIAL-BAL-2020'!P200+'DMP-TRIAL-BAL-2020'!P200</f>
        <v>0</v>
      </c>
      <c r="X200" s="528">
        <f>+'NF-KSF-TRIAL-BAL-2020'!Q200+'RA-TRIAL-BAL-2020'!Q200+'DES-TRIAL-BAL-2020'!Q200+'DMP-TRIAL-BAL-2020'!Q200</f>
        <v>0</v>
      </c>
      <c r="Y200" s="529">
        <f>+'NF-KSF-TRIAL-BAL-2020'!R200+'RA-TRIAL-BAL-2020'!R200+'DES-TRIAL-BAL-2020'!R200+'DMP-TRIAL-BAL-2020'!R200</f>
        <v>0</v>
      </c>
      <c r="Z200" s="528">
        <f>+'NF-KSF-TRIAL-BAL-2020'!S200+'RA-TRIAL-BAL-2020'!S200+'DES-TRIAL-BAL-2020'!S200+'DMP-TRIAL-BAL-2020'!S200</f>
        <v>0</v>
      </c>
      <c r="AA200" s="347">
        <f>+'NF-KSF-TRIAL-BAL-2020'!T200+'RA-TRIAL-BAL-2020'!T200+'DES-TRIAL-BAL-2020'!T200+'DMP-TRIAL-BAL-2020'!T200</f>
        <v>0</v>
      </c>
      <c r="AB200" s="51"/>
      <c r="AC200" s="120"/>
      <c r="AD200" s="121"/>
      <c r="AE200" s="122"/>
      <c r="AF200" s="121"/>
      <c r="AG200" s="27">
        <f t="shared" si="94"/>
        <v>0</v>
      </c>
      <c r="AH200" s="28">
        <f t="shared" si="95"/>
        <v>0</v>
      </c>
      <c r="AI200" s="51"/>
      <c r="AJ200" s="1497">
        <f t="shared" si="70"/>
        <v>4611</v>
      </c>
      <c r="AK200" s="951">
        <f t="shared" si="113"/>
        <v>0</v>
      </c>
      <c r="AL200" s="970">
        <f t="shared" si="107"/>
        <v>0</v>
      </c>
      <c r="AM200" s="326">
        <f t="shared" ref="AM200:AN207" si="115">+ROUND(+Q200+X200+AE200,2)</f>
        <v>0</v>
      </c>
      <c r="AN200" s="970">
        <f t="shared" si="115"/>
        <v>0</v>
      </c>
      <c r="AO200" s="326">
        <f t="shared" si="114"/>
        <v>0</v>
      </c>
      <c r="AP200" s="28">
        <f t="shared" si="108"/>
        <v>0</v>
      </c>
      <c r="AQ200" s="43"/>
      <c r="AR200" s="358">
        <f t="shared" si="109"/>
        <v>0</v>
      </c>
      <c r="AS200" s="359">
        <f t="shared" si="110"/>
        <v>0</v>
      </c>
      <c r="AT200" s="360">
        <f t="shared" si="111"/>
        <v>0</v>
      </c>
      <c r="AU200" s="43"/>
      <c r="AV200" s="43"/>
      <c r="AW200" s="119"/>
      <c r="AX200" s="119"/>
      <c r="AY200" s="43"/>
      <c r="AZ200" s="43"/>
      <c r="BA200" s="43"/>
      <c r="BB200" s="43"/>
      <c r="BC200" s="43"/>
      <c r="BD200" s="43"/>
    </row>
    <row r="201" spans="1:56" ht="15.75" customHeight="1">
      <c r="A201" s="88">
        <v>4612</v>
      </c>
      <c r="B201" s="378" t="s">
        <v>875</v>
      </c>
      <c r="C201" s="1038"/>
      <c r="D201" s="1038"/>
      <c r="E201" s="1038"/>
      <c r="F201" s="1038"/>
      <c r="G201" s="1038"/>
      <c r="H201" s="1038"/>
      <c r="I201" s="1038"/>
      <c r="J201" s="1038"/>
      <c r="K201" s="1038"/>
      <c r="L201" s="590"/>
      <c r="M201" s="51" t="s">
        <v>265</v>
      </c>
      <c r="N201" s="113">
        <f t="shared" si="106"/>
        <v>4612</v>
      </c>
      <c r="O201" s="581"/>
      <c r="P201" s="576"/>
      <c r="Q201" s="325"/>
      <c r="R201" s="324"/>
      <c r="S201" s="583">
        <f t="shared" si="112"/>
        <v>0</v>
      </c>
      <c r="T201" s="580">
        <f t="shared" si="93"/>
        <v>0</v>
      </c>
      <c r="U201" s="51"/>
      <c r="V201" s="541">
        <f>+'NF-KSF-TRIAL-BAL-2020'!O201+'RA-TRIAL-BAL-2020'!O201+'DES-TRIAL-BAL-2020'!O201+'DMP-TRIAL-BAL-2020'!O201</f>
        <v>0</v>
      </c>
      <c r="W201" s="529">
        <f>+'NF-KSF-TRIAL-BAL-2020'!P201+'RA-TRIAL-BAL-2020'!P201+'DES-TRIAL-BAL-2020'!P201+'DMP-TRIAL-BAL-2020'!P201</f>
        <v>0</v>
      </c>
      <c r="X201" s="587">
        <f>+'NF-KSF-TRIAL-BAL-2020'!Q201+'RA-TRIAL-BAL-2020'!Q201+'DES-TRIAL-BAL-2020'!Q201+'DMP-TRIAL-BAL-2020'!Q201</f>
        <v>0</v>
      </c>
      <c r="Y201" s="586">
        <f>+'NF-KSF-TRIAL-BAL-2020'!R201+'RA-TRIAL-BAL-2020'!R201+'DES-TRIAL-BAL-2020'!R201+'DMP-TRIAL-BAL-2020'!R201</f>
        <v>0</v>
      </c>
      <c r="Z201" s="587">
        <f>+'NF-KSF-TRIAL-BAL-2020'!S201+'RA-TRIAL-BAL-2020'!S201+'DES-TRIAL-BAL-2020'!S201+'DMP-TRIAL-BAL-2020'!S201</f>
        <v>0</v>
      </c>
      <c r="AA201" s="588">
        <f>+'NF-KSF-TRIAL-BAL-2020'!T201+'RA-TRIAL-BAL-2020'!T201+'DES-TRIAL-BAL-2020'!T201+'DMP-TRIAL-BAL-2020'!T201</f>
        <v>0</v>
      </c>
      <c r="AB201" s="51"/>
      <c r="AC201" s="581"/>
      <c r="AD201" s="576"/>
      <c r="AE201" s="325"/>
      <c r="AF201" s="324"/>
      <c r="AG201" s="583">
        <f t="shared" si="94"/>
        <v>0</v>
      </c>
      <c r="AH201" s="580">
        <f t="shared" si="95"/>
        <v>0</v>
      </c>
      <c r="AI201" s="51"/>
      <c r="AJ201" s="1497">
        <f t="shared" si="70"/>
        <v>4612</v>
      </c>
      <c r="AK201" s="951">
        <f t="shared" si="113"/>
        <v>0</v>
      </c>
      <c r="AL201" s="970">
        <f t="shared" si="107"/>
        <v>0</v>
      </c>
      <c r="AM201" s="326">
        <f t="shared" si="115"/>
        <v>0</v>
      </c>
      <c r="AN201" s="970">
        <f t="shared" si="115"/>
        <v>0</v>
      </c>
      <c r="AO201" s="326">
        <f t="shared" si="114"/>
        <v>0</v>
      </c>
      <c r="AP201" s="28">
        <f t="shared" si="108"/>
        <v>0</v>
      </c>
      <c r="AQ201" s="43"/>
      <c r="AR201" s="358">
        <f t="shared" si="109"/>
        <v>0</v>
      </c>
      <c r="AS201" s="359">
        <f t="shared" si="110"/>
        <v>0</v>
      </c>
      <c r="AT201" s="360">
        <f t="shared" si="111"/>
        <v>0</v>
      </c>
      <c r="AU201" s="43"/>
      <c r="AV201" s="43"/>
      <c r="AW201" s="119"/>
      <c r="AX201" s="119"/>
      <c r="AY201" s="43"/>
      <c r="AZ201" s="43"/>
      <c r="BA201" s="43"/>
      <c r="BB201" s="43"/>
      <c r="BC201" s="43"/>
      <c r="BD201" s="43"/>
    </row>
    <row r="202" spans="1:56" ht="15.75">
      <c r="A202" s="88">
        <v>4614</v>
      </c>
      <c r="B202" s="1033" t="s">
        <v>876</v>
      </c>
      <c r="C202" s="1033"/>
      <c r="D202" s="1033"/>
      <c r="E202" s="1033"/>
      <c r="F202" s="1033"/>
      <c r="G202" s="1033"/>
      <c r="H202" s="1033"/>
      <c r="I202" s="1033"/>
      <c r="J202" s="1033"/>
      <c r="K202" s="1033"/>
      <c r="L202" s="90"/>
      <c r="M202" s="51" t="s">
        <v>265</v>
      </c>
      <c r="N202" s="113">
        <f t="shared" si="106"/>
        <v>4614</v>
      </c>
      <c r="O202" s="120">
        <v>0</v>
      </c>
      <c r="P202" s="121">
        <v>0</v>
      </c>
      <c r="Q202" s="325">
        <v>0</v>
      </c>
      <c r="R202" s="324">
        <v>0</v>
      </c>
      <c r="S202" s="27">
        <f t="shared" si="112"/>
        <v>0</v>
      </c>
      <c r="T202" s="28">
        <f t="shared" si="93"/>
        <v>0</v>
      </c>
      <c r="U202" s="51"/>
      <c r="V202" s="541">
        <f>+'NF-KSF-TRIAL-BAL-2020'!O202+'RA-TRIAL-BAL-2020'!O202+'DES-TRIAL-BAL-2020'!O202+'DMP-TRIAL-BAL-2020'!O202</f>
        <v>0</v>
      </c>
      <c r="W202" s="529">
        <f>+'NF-KSF-TRIAL-BAL-2020'!P202+'RA-TRIAL-BAL-2020'!P202+'DES-TRIAL-BAL-2020'!P202+'DMP-TRIAL-BAL-2020'!P202</f>
        <v>0</v>
      </c>
      <c r="X202" s="528">
        <f>+'NF-KSF-TRIAL-BAL-2020'!Q202+'RA-TRIAL-BAL-2020'!Q202+'DES-TRIAL-BAL-2020'!Q202+'DMP-TRIAL-BAL-2020'!Q202</f>
        <v>0</v>
      </c>
      <c r="Y202" s="529">
        <f>+'NF-KSF-TRIAL-BAL-2020'!R202+'RA-TRIAL-BAL-2020'!R202+'DES-TRIAL-BAL-2020'!R202+'DMP-TRIAL-BAL-2020'!R202</f>
        <v>0</v>
      </c>
      <c r="Z202" s="528">
        <f>+'NF-KSF-TRIAL-BAL-2020'!S202+'RA-TRIAL-BAL-2020'!S202+'DES-TRIAL-BAL-2020'!S202+'DMP-TRIAL-BAL-2020'!S202</f>
        <v>0</v>
      </c>
      <c r="AA202" s="347">
        <f>+'NF-KSF-TRIAL-BAL-2020'!T202+'RA-TRIAL-BAL-2020'!T202+'DES-TRIAL-BAL-2020'!T202+'DMP-TRIAL-BAL-2020'!T202</f>
        <v>0</v>
      </c>
      <c r="AB202" s="51"/>
      <c r="AC202" s="120">
        <v>0</v>
      </c>
      <c r="AD202" s="121">
        <v>0</v>
      </c>
      <c r="AE202" s="325">
        <v>0</v>
      </c>
      <c r="AF202" s="324">
        <v>0</v>
      </c>
      <c r="AG202" s="27">
        <f t="shared" si="94"/>
        <v>0</v>
      </c>
      <c r="AH202" s="28">
        <f t="shared" si="95"/>
        <v>0</v>
      </c>
      <c r="AI202" s="51"/>
      <c r="AJ202" s="1497">
        <f t="shared" si="70"/>
        <v>4614</v>
      </c>
      <c r="AK202" s="951">
        <f t="shared" si="113"/>
        <v>0</v>
      </c>
      <c r="AL202" s="970">
        <f t="shared" si="107"/>
        <v>0</v>
      </c>
      <c r="AM202" s="326">
        <f t="shared" si="115"/>
        <v>0</v>
      </c>
      <c r="AN202" s="970">
        <f t="shared" si="115"/>
        <v>0</v>
      </c>
      <c r="AO202" s="326">
        <f t="shared" si="114"/>
        <v>0</v>
      </c>
      <c r="AP202" s="28">
        <f t="shared" si="108"/>
        <v>0</v>
      </c>
      <c r="AQ202" s="43"/>
      <c r="AR202" s="358">
        <f t="shared" si="109"/>
        <v>0</v>
      </c>
      <c r="AS202" s="359">
        <f t="shared" si="110"/>
        <v>0</v>
      </c>
      <c r="AT202" s="360">
        <f t="shared" si="111"/>
        <v>0</v>
      </c>
      <c r="AU202" s="43"/>
      <c r="AV202" s="43"/>
      <c r="AW202" s="119"/>
      <c r="AX202" s="119"/>
      <c r="AY202" s="43"/>
      <c r="AZ202" s="43"/>
      <c r="BA202" s="43"/>
      <c r="BB202" s="43"/>
      <c r="BC202" s="43"/>
      <c r="BD202" s="43"/>
    </row>
    <row r="203" spans="1:56" ht="15.75">
      <c r="A203" s="88">
        <v>4615</v>
      </c>
      <c r="B203" s="1033" t="s">
        <v>877</v>
      </c>
      <c r="C203" s="1033"/>
      <c r="D203" s="1033"/>
      <c r="E203" s="1033"/>
      <c r="F203" s="1033"/>
      <c r="G203" s="1033"/>
      <c r="H203" s="1033"/>
      <c r="I203" s="1033"/>
      <c r="J203" s="1033"/>
      <c r="K203" s="1033"/>
      <c r="L203" s="90"/>
      <c r="M203" s="51" t="s">
        <v>265</v>
      </c>
      <c r="N203" s="113">
        <f t="shared" si="106"/>
        <v>4615</v>
      </c>
      <c r="O203" s="120"/>
      <c r="P203" s="121"/>
      <c r="Q203" s="325"/>
      <c r="R203" s="324"/>
      <c r="S203" s="27">
        <f t="shared" si="112"/>
        <v>0</v>
      </c>
      <c r="T203" s="28">
        <f t="shared" si="93"/>
        <v>0</v>
      </c>
      <c r="U203" s="51"/>
      <c r="V203" s="541">
        <f>+'NF-KSF-TRIAL-BAL-2020'!O203+'RA-TRIAL-BAL-2020'!O203+'DES-TRIAL-BAL-2020'!O203+'DMP-TRIAL-BAL-2020'!O203</f>
        <v>0</v>
      </c>
      <c r="W203" s="529">
        <f>+'NF-KSF-TRIAL-BAL-2020'!P203+'RA-TRIAL-BAL-2020'!P203+'DES-TRIAL-BAL-2020'!P203+'DMP-TRIAL-BAL-2020'!P203</f>
        <v>0</v>
      </c>
      <c r="X203" s="528">
        <f>+'NF-KSF-TRIAL-BAL-2020'!Q203+'RA-TRIAL-BAL-2020'!Q203+'DES-TRIAL-BAL-2020'!Q203+'DMP-TRIAL-BAL-2020'!Q203</f>
        <v>0</v>
      </c>
      <c r="Y203" s="529">
        <f>+'NF-KSF-TRIAL-BAL-2020'!R203+'RA-TRIAL-BAL-2020'!R203+'DES-TRIAL-BAL-2020'!R203+'DMP-TRIAL-BAL-2020'!R203</f>
        <v>0</v>
      </c>
      <c r="Z203" s="528">
        <f>+'NF-KSF-TRIAL-BAL-2020'!S203+'RA-TRIAL-BAL-2020'!S203+'DES-TRIAL-BAL-2020'!S203+'DMP-TRIAL-BAL-2020'!S203</f>
        <v>0</v>
      </c>
      <c r="AA203" s="347">
        <f>+'NF-KSF-TRIAL-BAL-2020'!T203+'RA-TRIAL-BAL-2020'!T203+'DES-TRIAL-BAL-2020'!T203+'DMP-TRIAL-BAL-2020'!T203</f>
        <v>0</v>
      </c>
      <c r="AB203" s="51"/>
      <c r="AC203" s="120"/>
      <c r="AD203" s="121"/>
      <c r="AE203" s="122"/>
      <c r="AF203" s="121"/>
      <c r="AG203" s="27">
        <f t="shared" si="94"/>
        <v>0</v>
      </c>
      <c r="AH203" s="28">
        <f t="shared" si="95"/>
        <v>0</v>
      </c>
      <c r="AI203" s="51"/>
      <c r="AJ203" s="1497">
        <f t="shared" si="70"/>
        <v>4615</v>
      </c>
      <c r="AK203" s="951">
        <f t="shared" si="113"/>
        <v>0</v>
      </c>
      <c r="AL203" s="970">
        <f t="shared" si="107"/>
        <v>0</v>
      </c>
      <c r="AM203" s="326">
        <f t="shared" si="115"/>
        <v>0</v>
      </c>
      <c r="AN203" s="970">
        <f t="shared" si="115"/>
        <v>0</v>
      </c>
      <c r="AO203" s="326">
        <f t="shared" si="114"/>
        <v>0</v>
      </c>
      <c r="AP203" s="28">
        <f t="shared" si="108"/>
        <v>0</v>
      </c>
      <c r="AQ203" s="43"/>
      <c r="AR203" s="358">
        <f t="shared" si="109"/>
        <v>0</v>
      </c>
      <c r="AS203" s="359">
        <f t="shared" si="110"/>
        <v>0</v>
      </c>
      <c r="AT203" s="360">
        <f t="shared" si="111"/>
        <v>0</v>
      </c>
      <c r="AU203" s="43"/>
      <c r="AV203" s="43"/>
      <c r="AW203" s="119"/>
      <c r="AX203" s="119"/>
      <c r="AY203" s="43"/>
      <c r="AZ203" s="43"/>
      <c r="BA203" s="43"/>
      <c r="BB203" s="43"/>
      <c r="BC203" s="43"/>
      <c r="BD203" s="43"/>
    </row>
    <row r="204" spans="1:56" ht="15.75">
      <c r="A204" s="88">
        <v>4622</v>
      </c>
      <c r="B204" s="1033" t="s">
        <v>878</v>
      </c>
      <c r="C204" s="1033"/>
      <c r="D204" s="1033"/>
      <c r="E204" s="1033"/>
      <c r="F204" s="1033"/>
      <c r="G204" s="1033"/>
      <c r="H204" s="1033"/>
      <c r="I204" s="1033"/>
      <c r="J204" s="1033"/>
      <c r="K204" s="1033"/>
      <c r="L204" s="90"/>
      <c r="M204" s="51" t="s">
        <v>265</v>
      </c>
      <c r="N204" s="113">
        <f t="shared" si="106"/>
        <v>4622</v>
      </c>
      <c r="O204" s="120"/>
      <c r="P204" s="121"/>
      <c r="Q204" s="325"/>
      <c r="R204" s="324"/>
      <c r="S204" s="27">
        <f t="shared" si="112"/>
        <v>0</v>
      </c>
      <c r="T204" s="28">
        <f t="shared" si="93"/>
        <v>0</v>
      </c>
      <c r="U204" s="51"/>
      <c r="V204" s="541">
        <f>+'NF-KSF-TRIAL-BAL-2020'!O204+'RA-TRIAL-BAL-2020'!O204+'DES-TRIAL-BAL-2020'!O204+'DMP-TRIAL-BAL-2020'!O204</f>
        <v>0</v>
      </c>
      <c r="W204" s="529">
        <f>+'NF-KSF-TRIAL-BAL-2020'!P204+'RA-TRIAL-BAL-2020'!P204+'DES-TRIAL-BAL-2020'!P204+'DMP-TRIAL-BAL-2020'!P204</f>
        <v>0</v>
      </c>
      <c r="X204" s="528">
        <f>+'NF-KSF-TRIAL-BAL-2020'!Q204+'RA-TRIAL-BAL-2020'!Q204+'DES-TRIAL-BAL-2020'!Q204+'DMP-TRIAL-BAL-2020'!Q204</f>
        <v>0</v>
      </c>
      <c r="Y204" s="529">
        <f>+'NF-KSF-TRIAL-BAL-2020'!R204+'RA-TRIAL-BAL-2020'!R204+'DES-TRIAL-BAL-2020'!R204+'DMP-TRIAL-BAL-2020'!R204</f>
        <v>0</v>
      </c>
      <c r="Z204" s="528">
        <f>+'NF-KSF-TRIAL-BAL-2020'!S204+'RA-TRIAL-BAL-2020'!S204+'DES-TRIAL-BAL-2020'!S204+'DMP-TRIAL-BAL-2020'!S204</f>
        <v>0</v>
      </c>
      <c r="AA204" s="347">
        <f>+'NF-KSF-TRIAL-BAL-2020'!T204+'RA-TRIAL-BAL-2020'!T204+'DES-TRIAL-BAL-2020'!T204+'DMP-TRIAL-BAL-2020'!T204</f>
        <v>0</v>
      </c>
      <c r="AB204" s="51"/>
      <c r="AC204" s="120"/>
      <c r="AD204" s="121"/>
      <c r="AE204" s="325"/>
      <c r="AF204" s="324"/>
      <c r="AG204" s="27">
        <f t="shared" si="94"/>
        <v>0</v>
      </c>
      <c r="AH204" s="28">
        <f t="shared" si="95"/>
        <v>0</v>
      </c>
      <c r="AI204" s="51"/>
      <c r="AJ204" s="1497">
        <f t="shared" si="70"/>
        <v>4622</v>
      </c>
      <c r="AK204" s="951">
        <f t="shared" si="113"/>
        <v>0</v>
      </c>
      <c r="AL204" s="970">
        <f t="shared" si="107"/>
        <v>0</v>
      </c>
      <c r="AM204" s="326">
        <f t="shared" si="115"/>
        <v>0</v>
      </c>
      <c r="AN204" s="970">
        <f t="shared" si="115"/>
        <v>0</v>
      </c>
      <c r="AO204" s="326">
        <f t="shared" si="114"/>
        <v>0</v>
      </c>
      <c r="AP204" s="28">
        <f t="shared" si="108"/>
        <v>0</v>
      </c>
      <c r="AQ204" s="43"/>
      <c r="AR204" s="358">
        <f t="shared" si="109"/>
        <v>0</v>
      </c>
      <c r="AS204" s="359">
        <f t="shared" si="110"/>
        <v>0</v>
      </c>
      <c r="AT204" s="360">
        <f t="shared" si="111"/>
        <v>0</v>
      </c>
      <c r="AU204" s="43"/>
      <c r="AV204" s="43"/>
      <c r="AW204" s="119"/>
      <c r="AX204" s="119"/>
      <c r="AY204" s="43"/>
      <c r="AZ204" s="43"/>
      <c r="BA204" s="43"/>
      <c r="BB204" s="43"/>
      <c r="BC204" s="43"/>
      <c r="BD204" s="43"/>
    </row>
    <row r="205" spans="1:56" ht="15.75">
      <c r="A205" s="88">
        <v>4624</v>
      </c>
      <c r="B205" s="1033" t="s">
        <v>879</v>
      </c>
      <c r="C205" s="1033"/>
      <c r="D205" s="1033"/>
      <c r="E205" s="1033"/>
      <c r="F205" s="1033"/>
      <c r="G205" s="1033"/>
      <c r="H205" s="1033"/>
      <c r="I205" s="1033"/>
      <c r="J205" s="1033"/>
      <c r="K205" s="1033"/>
      <c r="L205" s="90"/>
      <c r="M205" s="51" t="s">
        <v>265</v>
      </c>
      <c r="N205" s="113">
        <f t="shared" si="106"/>
        <v>4624</v>
      </c>
      <c r="O205" s="120">
        <v>0</v>
      </c>
      <c r="P205" s="121">
        <v>0</v>
      </c>
      <c r="Q205" s="325">
        <v>0</v>
      </c>
      <c r="R205" s="324">
        <v>0</v>
      </c>
      <c r="S205" s="27">
        <f t="shared" si="112"/>
        <v>0</v>
      </c>
      <c r="T205" s="28">
        <f t="shared" si="93"/>
        <v>0</v>
      </c>
      <c r="U205" s="51"/>
      <c r="V205" s="541">
        <f>+'NF-KSF-TRIAL-BAL-2020'!O205+'RA-TRIAL-BAL-2020'!O205+'DES-TRIAL-BAL-2020'!O205+'DMP-TRIAL-BAL-2020'!O205</f>
        <v>0</v>
      </c>
      <c r="W205" s="529">
        <f>+'NF-KSF-TRIAL-BAL-2020'!P205+'RA-TRIAL-BAL-2020'!P205+'DES-TRIAL-BAL-2020'!P205+'DMP-TRIAL-BAL-2020'!P205</f>
        <v>0</v>
      </c>
      <c r="X205" s="528">
        <f>+'NF-KSF-TRIAL-BAL-2020'!Q205+'RA-TRIAL-BAL-2020'!Q205+'DES-TRIAL-BAL-2020'!Q205+'DMP-TRIAL-BAL-2020'!Q205</f>
        <v>0</v>
      </c>
      <c r="Y205" s="529">
        <f>+'NF-KSF-TRIAL-BAL-2020'!R205+'RA-TRIAL-BAL-2020'!R205+'DES-TRIAL-BAL-2020'!R205+'DMP-TRIAL-BAL-2020'!R205</f>
        <v>0</v>
      </c>
      <c r="Z205" s="528">
        <f>+'NF-KSF-TRIAL-BAL-2020'!S205+'RA-TRIAL-BAL-2020'!S205+'DES-TRIAL-BAL-2020'!S205+'DMP-TRIAL-BAL-2020'!S205</f>
        <v>0</v>
      </c>
      <c r="AA205" s="347">
        <f>+'NF-KSF-TRIAL-BAL-2020'!T205+'RA-TRIAL-BAL-2020'!T205+'DES-TRIAL-BAL-2020'!T205+'DMP-TRIAL-BAL-2020'!T205</f>
        <v>0</v>
      </c>
      <c r="AB205" s="51"/>
      <c r="AC205" s="120">
        <v>0</v>
      </c>
      <c r="AD205" s="121">
        <v>0</v>
      </c>
      <c r="AE205" s="325">
        <v>0</v>
      </c>
      <c r="AF205" s="324">
        <v>0</v>
      </c>
      <c r="AG205" s="27">
        <f t="shared" si="94"/>
        <v>0</v>
      </c>
      <c r="AH205" s="28">
        <f t="shared" si="95"/>
        <v>0</v>
      </c>
      <c r="AI205" s="51"/>
      <c r="AJ205" s="1497">
        <f t="shared" si="70"/>
        <v>4624</v>
      </c>
      <c r="AK205" s="951">
        <f t="shared" si="113"/>
        <v>0</v>
      </c>
      <c r="AL205" s="970">
        <f t="shared" si="107"/>
        <v>0</v>
      </c>
      <c r="AM205" s="326">
        <f t="shared" si="115"/>
        <v>0</v>
      </c>
      <c r="AN205" s="970">
        <f t="shared" si="115"/>
        <v>0</v>
      </c>
      <c r="AO205" s="326">
        <f t="shared" si="114"/>
        <v>0</v>
      </c>
      <c r="AP205" s="28">
        <f t="shared" si="108"/>
        <v>0</v>
      </c>
      <c r="AQ205" s="43"/>
      <c r="AR205" s="358">
        <f t="shared" si="109"/>
        <v>0</v>
      </c>
      <c r="AS205" s="359">
        <f t="shared" si="110"/>
        <v>0</v>
      </c>
      <c r="AT205" s="360">
        <f t="shared" si="111"/>
        <v>0</v>
      </c>
      <c r="AU205" s="43"/>
      <c r="AV205" s="43"/>
      <c r="AW205" s="119"/>
      <c r="AX205" s="119"/>
      <c r="AY205" s="43"/>
      <c r="AZ205" s="43"/>
      <c r="BA205" s="43"/>
      <c r="BB205" s="43"/>
      <c r="BC205" s="43"/>
      <c r="BD205" s="43"/>
    </row>
    <row r="206" spans="1:56" ht="15.75" customHeight="1">
      <c r="A206" s="88">
        <v>4625</v>
      </c>
      <c r="B206" s="378" t="s">
        <v>880</v>
      </c>
      <c r="C206" s="88"/>
      <c r="D206" s="1038"/>
      <c r="E206" s="1038"/>
      <c r="F206" s="1038"/>
      <c r="G206" s="1038"/>
      <c r="H206" s="1038"/>
      <c r="I206" s="1038"/>
      <c r="J206" s="1038"/>
      <c r="K206" s="1038"/>
      <c r="L206" s="590"/>
      <c r="M206" s="51" t="s">
        <v>265</v>
      </c>
      <c r="N206" s="113">
        <f t="shared" si="106"/>
        <v>4625</v>
      </c>
      <c r="O206" s="581"/>
      <c r="P206" s="576"/>
      <c r="Q206" s="325"/>
      <c r="R206" s="324"/>
      <c r="S206" s="583">
        <f t="shared" si="112"/>
        <v>0</v>
      </c>
      <c r="T206" s="580">
        <f>+IF(ABS(+O206+Q206)&lt;=ABS(P206+R206),-O206+P206-Q206+R206,0)</f>
        <v>0</v>
      </c>
      <c r="U206" s="51"/>
      <c r="V206" s="541">
        <f>+'NF-KSF-TRIAL-BAL-2020'!O206+'RA-TRIAL-BAL-2020'!O206+'DES-TRIAL-BAL-2020'!O206+'DMP-TRIAL-BAL-2020'!O206</f>
        <v>0</v>
      </c>
      <c r="W206" s="529">
        <f>+'NF-KSF-TRIAL-BAL-2020'!P206+'RA-TRIAL-BAL-2020'!P206+'DES-TRIAL-BAL-2020'!P206+'DMP-TRIAL-BAL-2020'!P206</f>
        <v>0</v>
      </c>
      <c r="X206" s="587">
        <f>+'NF-KSF-TRIAL-BAL-2020'!Q206+'RA-TRIAL-BAL-2020'!Q206+'DES-TRIAL-BAL-2020'!Q206+'DMP-TRIAL-BAL-2020'!Q206</f>
        <v>0</v>
      </c>
      <c r="Y206" s="586">
        <f>+'NF-KSF-TRIAL-BAL-2020'!R206+'RA-TRIAL-BAL-2020'!R206+'DES-TRIAL-BAL-2020'!R206+'DMP-TRIAL-BAL-2020'!R206</f>
        <v>0</v>
      </c>
      <c r="Z206" s="587">
        <f>+'NF-KSF-TRIAL-BAL-2020'!S206+'RA-TRIAL-BAL-2020'!S206+'DES-TRIAL-BAL-2020'!S206+'DMP-TRIAL-BAL-2020'!S206</f>
        <v>0</v>
      </c>
      <c r="AA206" s="588">
        <f>+'NF-KSF-TRIAL-BAL-2020'!T206+'RA-TRIAL-BAL-2020'!T206+'DES-TRIAL-BAL-2020'!T206+'DMP-TRIAL-BAL-2020'!T206</f>
        <v>0</v>
      </c>
      <c r="AB206" s="51"/>
      <c r="AC206" s="581"/>
      <c r="AD206" s="576"/>
      <c r="AE206" s="122"/>
      <c r="AF206" s="121"/>
      <c r="AG206" s="583">
        <f>+IF(ABS(+AC206+AE206)&gt;=ABS(AD206+AF206),+AC206-AD206+AE206-AF206,0)</f>
        <v>0</v>
      </c>
      <c r="AH206" s="580">
        <f>+IF(ABS(+AC206+AE206)&lt;=ABS(AD206+AF206),-AC206+AD206-AE206+AF206,0)</f>
        <v>0</v>
      </c>
      <c r="AI206" s="51"/>
      <c r="AJ206" s="1497">
        <f>+N206</f>
        <v>4625</v>
      </c>
      <c r="AK206" s="951">
        <f t="shared" si="113"/>
        <v>0</v>
      </c>
      <c r="AL206" s="970">
        <f t="shared" si="107"/>
        <v>0</v>
      </c>
      <c r="AM206" s="326">
        <f t="shared" si="115"/>
        <v>0</v>
      </c>
      <c r="AN206" s="970">
        <f t="shared" si="115"/>
        <v>0</v>
      </c>
      <c r="AO206" s="326">
        <f t="shared" si="114"/>
        <v>0</v>
      </c>
      <c r="AP206" s="28">
        <f t="shared" si="108"/>
        <v>0</v>
      </c>
      <c r="AQ206" s="43"/>
      <c r="AR206" s="358">
        <f>+ROUND(+SUM(AK206-AL206)-SUM(O206-P206)-SUM(V206-W206)-SUM(AC206-AD206),2)</f>
        <v>0</v>
      </c>
      <c r="AS206" s="359">
        <f>+ROUND(+SUM(AM206-AN206)-SUM(Q206-R206)-SUM(X206-Y206)-SUM(AE206-AF206),2)</f>
        <v>0</v>
      </c>
      <c r="AT206" s="360">
        <f>+ROUND(+SUM(AO206-AP206)-SUM(S206-T206)-SUM(Z206-AA206)-SUM(AG206-AH206),2)</f>
        <v>0</v>
      </c>
      <c r="AU206" s="43"/>
      <c r="AV206" s="43"/>
      <c r="AW206" s="119"/>
      <c r="AX206" s="119"/>
      <c r="AY206" s="43"/>
      <c r="AZ206" s="43"/>
      <c r="BA206" s="43"/>
      <c r="BB206" s="43"/>
      <c r="BC206" s="43"/>
      <c r="BD206" s="43"/>
    </row>
    <row r="207" spans="1:56" ht="15.75">
      <c r="A207" s="88">
        <v>4630</v>
      </c>
      <c r="B207" s="378" t="s">
        <v>881</v>
      </c>
      <c r="C207" s="88"/>
      <c r="D207" s="1033"/>
      <c r="E207" s="1033"/>
      <c r="F207" s="1033"/>
      <c r="G207" s="1033"/>
      <c r="H207" s="1033"/>
      <c r="I207" s="1033"/>
      <c r="J207" s="1033"/>
      <c r="K207" s="1033"/>
      <c r="L207" s="574"/>
      <c r="M207" s="51" t="s">
        <v>265</v>
      </c>
      <c r="N207" s="113">
        <f t="shared" si="106"/>
        <v>4630</v>
      </c>
      <c r="O207" s="581">
        <v>0</v>
      </c>
      <c r="P207" s="576">
        <v>0</v>
      </c>
      <c r="Q207" s="325">
        <v>0</v>
      </c>
      <c r="R207" s="324">
        <v>0</v>
      </c>
      <c r="S207" s="583">
        <f t="shared" si="112"/>
        <v>0</v>
      </c>
      <c r="T207" s="580">
        <f t="shared" si="93"/>
        <v>0</v>
      </c>
      <c r="U207" s="51"/>
      <c r="V207" s="541">
        <f>+'NF-KSF-TRIAL-BAL-2020'!O207+'RA-TRIAL-BAL-2020'!O207+'DES-TRIAL-BAL-2020'!O207+'DMP-TRIAL-BAL-2020'!O207</f>
        <v>0</v>
      </c>
      <c r="W207" s="529">
        <f>+'NF-KSF-TRIAL-BAL-2020'!P207+'RA-TRIAL-BAL-2020'!P207+'DES-TRIAL-BAL-2020'!P207+'DMP-TRIAL-BAL-2020'!P207</f>
        <v>0</v>
      </c>
      <c r="X207" s="587">
        <f>+'NF-KSF-TRIAL-BAL-2020'!Q207+'RA-TRIAL-BAL-2020'!Q207+'DES-TRIAL-BAL-2020'!Q207+'DMP-TRIAL-BAL-2020'!Q207</f>
        <v>0</v>
      </c>
      <c r="Y207" s="586">
        <f>+'NF-KSF-TRIAL-BAL-2020'!R207+'RA-TRIAL-BAL-2020'!R207+'DES-TRIAL-BAL-2020'!R207+'DMP-TRIAL-BAL-2020'!R207</f>
        <v>0</v>
      </c>
      <c r="Z207" s="587">
        <f>+'NF-KSF-TRIAL-BAL-2020'!S207+'RA-TRIAL-BAL-2020'!S207+'DES-TRIAL-BAL-2020'!S207+'DMP-TRIAL-BAL-2020'!S207</f>
        <v>0</v>
      </c>
      <c r="AA207" s="588">
        <f>+'NF-KSF-TRIAL-BAL-2020'!T207+'RA-TRIAL-BAL-2020'!T207+'DES-TRIAL-BAL-2020'!T207+'DMP-TRIAL-BAL-2020'!T207</f>
        <v>0</v>
      </c>
      <c r="AB207" s="51"/>
      <c r="AC207" s="581">
        <v>0</v>
      </c>
      <c r="AD207" s="576">
        <v>0</v>
      </c>
      <c r="AE207" s="325">
        <v>0</v>
      </c>
      <c r="AF207" s="324">
        <v>0</v>
      </c>
      <c r="AG207" s="583">
        <f t="shared" si="94"/>
        <v>0</v>
      </c>
      <c r="AH207" s="580">
        <f t="shared" si="95"/>
        <v>0</v>
      </c>
      <c r="AI207" s="51"/>
      <c r="AJ207" s="1497">
        <f t="shared" si="70"/>
        <v>4630</v>
      </c>
      <c r="AK207" s="951">
        <f t="shared" si="113"/>
        <v>0</v>
      </c>
      <c r="AL207" s="970">
        <f t="shared" si="107"/>
        <v>0</v>
      </c>
      <c r="AM207" s="326">
        <f t="shared" si="115"/>
        <v>0</v>
      </c>
      <c r="AN207" s="970">
        <f t="shared" si="115"/>
        <v>0</v>
      </c>
      <c r="AO207" s="326">
        <f t="shared" si="114"/>
        <v>0</v>
      </c>
      <c r="AP207" s="28">
        <f t="shared" si="108"/>
        <v>0</v>
      </c>
      <c r="AQ207" s="43"/>
      <c r="AR207" s="358">
        <f t="shared" si="109"/>
        <v>0</v>
      </c>
      <c r="AS207" s="359">
        <f t="shared" si="110"/>
        <v>0</v>
      </c>
      <c r="AT207" s="360">
        <f t="shared" si="111"/>
        <v>0</v>
      </c>
      <c r="AU207" s="43"/>
      <c r="AV207" s="43"/>
      <c r="AW207" s="119"/>
      <c r="AX207" s="119"/>
      <c r="AY207" s="43"/>
      <c r="AZ207" s="43"/>
      <c r="BA207" s="43"/>
      <c r="BB207" s="43"/>
      <c r="BC207" s="43"/>
      <c r="BD207" s="43"/>
    </row>
    <row r="208" spans="1:56" ht="15.75">
      <c r="A208" s="88">
        <v>4651</v>
      </c>
      <c r="B208" s="378" t="s">
        <v>882</v>
      </c>
      <c r="C208" s="88"/>
      <c r="D208" s="1043"/>
      <c r="E208" s="1043"/>
      <c r="F208" s="1043"/>
      <c r="G208" s="1043"/>
      <c r="H208" s="1043"/>
      <c r="I208" s="1043"/>
      <c r="J208" s="1043"/>
      <c r="K208" s="1043"/>
      <c r="L208" s="574"/>
      <c r="M208" s="51" t="s">
        <v>265</v>
      </c>
      <c r="N208" s="113">
        <f t="shared" si="106"/>
        <v>4651</v>
      </c>
      <c r="O208" s="581"/>
      <c r="P208" s="576"/>
      <c r="Q208" s="325"/>
      <c r="R208" s="324"/>
      <c r="S208" s="583">
        <f t="shared" si="112"/>
        <v>0</v>
      </c>
      <c r="T208" s="580">
        <f>+IF(ABS(+O208+Q208)&lt;=ABS(P208+R208),-O208+P208-Q208+R208,0)</f>
        <v>0</v>
      </c>
      <c r="U208" s="51"/>
      <c r="V208" s="541">
        <f>+'NF-KSF-TRIAL-BAL-2020'!O208+'RA-TRIAL-BAL-2020'!O208+'DES-TRIAL-BAL-2020'!O208+'DMP-TRIAL-BAL-2020'!O208</f>
        <v>0</v>
      </c>
      <c r="W208" s="529">
        <f>+'NF-KSF-TRIAL-BAL-2020'!P208+'RA-TRIAL-BAL-2020'!P208+'DES-TRIAL-BAL-2020'!P208+'DMP-TRIAL-BAL-2020'!P208</f>
        <v>0</v>
      </c>
      <c r="X208" s="587">
        <f>+'NF-KSF-TRIAL-BAL-2020'!Q208+'RA-TRIAL-BAL-2020'!Q208+'DES-TRIAL-BAL-2020'!Q208+'DMP-TRIAL-BAL-2020'!Q208</f>
        <v>0</v>
      </c>
      <c r="Y208" s="586">
        <f>+'NF-KSF-TRIAL-BAL-2020'!R208+'RA-TRIAL-BAL-2020'!R208+'DES-TRIAL-BAL-2020'!R208+'DMP-TRIAL-BAL-2020'!R208</f>
        <v>0</v>
      </c>
      <c r="Z208" s="587">
        <f>+'NF-KSF-TRIAL-BAL-2020'!S208+'RA-TRIAL-BAL-2020'!S208+'DES-TRIAL-BAL-2020'!S208+'DMP-TRIAL-BAL-2020'!S208</f>
        <v>0</v>
      </c>
      <c r="AA208" s="588">
        <f>+'NF-KSF-TRIAL-BAL-2020'!T208+'RA-TRIAL-BAL-2020'!T208+'DES-TRIAL-BAL-2020'!T208+'DMP-TRIAL-BAL-2020'!T208</f>
        <v>0</v>
      </c>
      <c r="AB208" s="51"/>
      <c r="AC208" s="581"/>
      <c r="AD208" s="576"/>
      <c r="AE208" s="325"/>
      <c r="AF208" s="324"/>
      <c r="AG208" s="583">
        <f>+IF(ABS(+AC208+AE208)&gt;=ABS(AD208+AF208),+AC208-AD208+AE208-AF208,0)</f>
        <v>0</v>
      </c>
      <c r="AH208" s="580">
        <f>+IF(ABS(+AC208+AE208)&lt;=ABS(AD208+AF208),-AC208+AD208-AE208+AF208,0)</f>
        <v>0</v>
      </c>
      <c r="AI208" s="51"/>
      <c r="AJ208" s="1497">
        <f>+N208</f>
        <v>4651</v>
      </c>
      <c r="AK208" s="951">
        <f t="shared" ref="AK208:AN210" si="116">+ROUND(+O208+V208+AC208,2)</f>
        <v>0</v>
      </c>
      <c r="AL208" s="970">
        <f t="shared" si="116"/>
        <v>0</v>
      </c>
      <c r="AM208" s="326">
        <f t="shared" si="116"/>
        <v>0</v>
      </c>
      <c r="AN208" s="970">
        <f t="shared" si="116"/>
        <v>0</v>
      </c>
      <c r="AO208" s="326">
        <f t="shared" si="114"/>
        <v>0</v>
      </c>
      <c r="AP208" s="28">
        <f t="shared" si="108"/>
        <v>0</v>
      </c>
      <c r="AQ208" s="43"/>
      <c r="AR208" s="358">
        <f>+ROUND(+SUM(AK208-AL208)-SUM(O208-P208)-SUM(V208-W208)-SUM(AC208-AD208),2)</f>
        <v>0</v>
      </c>
      <c r="AS208" s="359">
        <f>+ROUND(+SUM(AM208-AN208)-SUM(Q208-R208)-SUM(X208-Y208)-SUM(AE208-AF208),2)</f>
        <v>0</v>
      </c>
      <c r="AT208" s="360">
        <f>+ROUND(+SUM(AO208-AP208)-SUM(S208-T208)-SUM(Z208-AA208)-SUM(AG208-AH208),2)</f>
        <v>0</v>
      </c>
      <c r="AU208" s="43"/>
      <c r="AV208" s="43"/>
      <c r="AW208" s="119"/>
      <c r="AX208" s="119"/>
      <c r="AY208" s="43"/>
      <c r="AZ208" s="43"/>
      <c r="BA208" s="43"/>
      <c r="BB208" s="43"/>
      <c r="BC208" s="43"/>
      <c r="BD208" s="43"/>
    </row>
    <row r="209" spans="1:56" ht="15.75" customHeight="1">
      <c r="A209" s="88">
        <v>4655</v>
      </c>
      <c r="B209" s="378" t="s">
        <v>883</v>
      </c>
      <c r="C209" s="88"/>
      <c r="D209" s="1038"/>
      <c r="E209" s="1038"/>
      <c r="F209" s="1038"/>
      <c r="G209" s="1038"/>
      <c r="H209" s="1038"/>
      <c r="I209" s="1038"/>
      <c r="J209" s="1038"/>
      <c r="K209" s="1038"/>
      <c r="L209" s="590"/>
      <c r="M209" s="51" t="s">
        <v>265</v>
      </c>
      <c r="N209" s="113">
        <f t="shared" si="106"/>
        <v>4655</v>
      </c>
      <c r="O209" s="581"/>
      <c r="P209" s="576"/>
      <c r="Q209" s="325"/>
      <c r="R209" s="324"/>
      <c r="S209" s="583">
        <f t="shared" si="112"/>
        <v>0</v>
      </c>
      <c r="T209" s="580">
        <f>+IF(ABS(+O209+Q209)&lt;=ABS(P209+R209),-O209+P209-Q209+R209,0)</f>
        <v>0</v>
      </c>
      <c r="U209" s="51"/>
      <c r="V209" s="541">
        <f>+'NF-KSF-TRIAL-BAL-2020'!O209+'RA-TRIAL-BAL-2020'!O209+'DES-TRIAL-BAL-2020'!O209+'DMP-TRIAL-BAL-2020'!O209</f>
        <v>0</v>
      </c>
      <c r="W209" s="529">
        <f>+'NF-KSF-TRIAL-BAL-2020'!P209+'RA-TRIAL-BAL-2020'!P209+'DES-TRIAL-BAL-2020'!P209+'DMP-TRIAL-BAL-2020'!P209</f>
        <v>0</v>
      </c>
      <c r="X209" s="587">
        <f>+'NF-KSF-TRIAL-BAL-2020'!Q209+'RA-TRIAL-BAL-2020'!Q209+'DES-TRIAL-BAL-2020'!Q209+'DMP-TRIAL-BAL-2020'!Q209</f>
        <v>0</v>
      </c>
      <c r="Y209" s="586">
        <f>+'NF-KSF-TRIAL-BAL-2020'!R209+'RA-TRIAL-BAL-2020'!R209+'DES-TRIAL-BAL-2020'!R209+'DMP-TRIAL-BAL-2020'!R209</f>
        <v>0</v>
      </c>
      <c r="Z209" s="587">
        <f>+'NF-KSF-TRIAL-BAL-2020'!S209+'RA-TRIAL-BAL-2020'!S209+'DES-TRIAL-BAL-2020'!S209+'DMP-TRIAL-BAL-2020'!S209</f>
        <v>0</v>
      </c>
      <c r="AA209" s="588">
        <f>+'NF-KSF-TRIAL-BAL-2020'!T209+'RA-TRIAL-BAL-2020'!T209+'DES-TRIAL-BAL-2020'!T209+'DMP-TRIAL-BAL-2020'!T209</f>
        <v>0</v>
      </c>
      <c r="AB209" s="51"/>
      <c r="AC209" s="581"/>
      <c r="AD209" s="576"/>
      <c r="AE209" s="325"/>
      <c r="AF209" s="324"/>
      <c r="AG209" s="583">
        <f>+IF(ABS(+AC209+AE209)&gt;=ABS(AD209+AF209),+AC209-AD209+AE209-AF209,0)</f>
        <v>0</v>
      </c>
      <c r="AH209" s="580">
        <f>+IF(ABS(+AC209+AE209)&lt;=ABS(AD209+AF209),-AC209+AD209-AE209+AF209,0)</f>
        <v>0</v>
      </c>
      <c r="AI209" s="51"/>
      <c r="AJ209" s="1497">
        <f>+N209</f>
        <v>4655</v>
      </c>
      <c r="AK209" s="951">
        <f>+ROUND(+O209+V209+AC209,2)</f>
        <v>0</v>
      </c>
      <c r="AL209" s="970">
        <f t="shared" si="116"/>
        <v>0</v>
      </c>
      <c r="AM209" s="326">
        <f t="shared" si="116"/>
        <v>0</v>
      </c>
      <c r="AN209" s="970">
        <f t="shared" si="116"/>
        <v>0</v>
      </c>
      <c r="AO209" s="326">
        <f t="shared" si="114"/>
        <v>0</v>
      </c>
      <c r="AP209" s="28">
        <f t="shared" si="108"/>
        <v>0</v>
      </c>
      <c r="AQ209" s="43"/>
      <c r="AR209" s="358">
        <f>+ROUND(+SUM(AK209-AL209)-SUM(O209-P209)-SUM(V209-W209)-SUM(AC209-AD209),2)</f>
        <v>0</v>
      </c>
      <c r="AS209" s="359">
        <f>+ROUND(+SUM(AM209-AN209)-SUM(Q209-R209)-SUM(X209-Y209)-SUM(AE209-AF209),2)</f>
        <v>0</v>
      </c>
      <c r="AT209" s="360">
        <f>+ROUND(+SUM(AO209-AP209)-SUM(S209-T209)-SUM(Z209-AA209)-SUM(AG209-AH209),2)</f>
        <v>0</v>
      </c>
      <c r="AU209" s="43"/>
      <c r="AV209" s="43"/>
      <c r="AW209" s="119"/>
      <c r="AX209" s="119"/>
      <c r="AY209" s="43"/>
      <c r="AZ209" s="43"/>
      <c r="BA209" s="43"/>
      <c r="BB209" s="43"/>
      <c r="BC209" s="43"/>
      <c r="BD209" s="43"/>
    </row>
    <row r="210" spans="1:56" ht="15.75">
      <c r="A210" s="88">
        <v>4659</v>
      </c>
      <c r="B210" s="378" t="s">
        <v>884</v>
      </c>
      <c r="C210" s="88"/>
      <c r="D210" s="1033"/>
      <c r="E210" s="1033"/>
      <c r="F210" s="1033"/>
      <c r="G210" s="1033"/>
      <c r="H210" s="1033"/>
      <c r="I210" s="1033"/>
      <c r="J210" s="1033"/>
      <c r="K210" s="1033"/>
      <c r="L210" s="574"/>
      <c r="M210" s="51" t="s">
        <v>265</v>
      </c>
      <c r="N210" s="113">
        <f t="shared" si="106"/>
        <v>4659</v>
      </c>
      <c r="O210" s="581"/>
      <c r="P210" s="576"/>
      <c r="Q210" s="325"/>
      <c r="R210" s="324"/>
      <c r="S210" s="583">
        <f t="shared" si="112"/>
        <v>0</v>
      </c>
      <c r="T210" s="580">
        <f>+IF(ABS(+O210+Q210)&lt;=ABS(P210+R210),-O210+P210-Q210+R210,0)</f>
        <v>0</v>
      </c>
      <c r="U210" s="51"/>
      <c r="V210" s="541">
        <f>+'NF-KSF-TRIAL-BAL-2020'!O210+'RA-TRIAL-BAL-2020'!O210+'DES-TRIAL-BAL-2020'!O210+'DMP-TRIAL-BAL-2020'!O210</f>
        <v>0</v>
      </c>
      <c r="W210" s="529">
        <f>+'NF-KSF-TRIAL-BAL-2020'!P210+'RA-TRIAL-BAL-2020'!P210+'DES-TRIAL-BAL-2020'!P210+'DMP-TRIAL-BAL-2020'!P210</f>
        <v>0</v>
      </c>
      <c r="X210" s="587">
        <f>+'NF-KSF-TRIAL-BAL-2020'!Q210+'RA-TRIAL-BAL-2020'!Q210+'DES-TRIAL-BAL-2020'!Q210+'DMP-TRIAL-BAL-2020'!Q210</f>
        <v>0</v>
      </c>
      <c r="Y210" s="586">
        <f>+'NF-KSF-TRIAL-BAL-2020'!R210+'RA-TRIAL-BAL-2020'!R210+'DES-TRIAL-BAL-2020'!R210+'DMP-TRIAL-BAL-2020'!R210</f>
        <v>0</v>
      </c>
      <c r="Z210" s="587">
        <f>+'NF-KSF-TRIAL-BAL-2020'!S210+'RA-TRIAL-BAL-2020'!S210+'DES-TRIAL-BAL-2020'!S210+'DMP-TRIAL-BAL-2020'!S210</f>
        <v>0</v>
      </c>
      <c r="AA210" s="588">
        <f>+'NF-KSF-TRIAL-BAL-2020'!T210+'RA-TRIAL-BAL-2020'!T210+'DES-TRIAL-BAL-2020'!T210+'DMP-TRIAL-BAL-2020'!T210</f>
        <v>0</v>
      </c>
      <c r="AB210" s="51"/>
      <c r="AC210" s="581"/>
      <c r="AD210" s="576"/>
      <c r="AE210" s="122"/>
      <c r="AF210" s="121"/>
      <c r="AG210" s="583">
        <f>+IF(ABS(+AC210+AE210)&gt;=ABS(AD210+AF210),+AC210-AD210+AE210-AF210,0)</f>
        <v>0</v>
      </c>
      <c r="AH210" s="580">
        <f>+IF(ABS(+AC210+AE210)&lt;=ABS(AD210+AF210),-AC210+AD210-AE210+AF210,0)</f>
        <v>0</v>
      </c>
      <c r="AI210" s="51"/>
      <c r="AJ210" s="1497">
        <f>+N210</f>
        <v>4659</v>
      </c>
      <c r="AK210" s="951">
        <f t="shared" si="116"/>
        <v>0</v>
      </c>
      <c r="AL210" s="970">
        <f t="shared" si="116"/>
        <v>0</v>
      </c>
      <c r="AM210" s="326">
        <f t="shared" si="116"/>
        <v>0</v>
      </c>
      <c r="AN210" s="970">
        <f t="shared" si="116"/>
        <v>0</v>
      </c>
      <c r="AO210" s="326">
        <f t="shared" si="114"/>
        <v>0</v>
      </c>
      <c r="AP210" s="28">
        <f t="shared" si="108"/>
        <v>0</v>
      </c>
      <c r="AQ210" s="43"/>
      <c r="AR210" s="358">
        <f>+ROUND(+SUM(AK210-AL210)-SUM(O210-P210)-SUM(V210-W210)-SUM(AC210-AD210),2)</f>
        <v>0</v>
      </c>
      <c r="AS210" s="359">
        <f>+ROUND(+SUM(AM210-AN210)-SUM(Q210-R210)-SUM(X210-Y210)-SUM(AE210-AF210),2)</f>
        <v>0</v>
      </c>
      <c r="AT210" s="360">
        <f>+ROUND(+SUM(AO210-AP210)-SUM(S210-T210)-SUM(Z210-AA210)-SUM(AG210-AH210),2)</f>
        <v>0</v>
      </c>
      <c r="AU210" s="43"/>
      <c r="AV210" s="43"/>
      <c r="AW210" s="119"/>
      <c r="AX210" s="119"/>
      <c r="AY210" s="43"/>
      <c r="AZ210" s="43"/>
      <c r="BA210" s="43"/>
      <c r="BB210" s="43"/>
      <c r="BC210" s="43"/>
      <c r="BD210" s="43"/>
    </row>
    <row r="211" spans="1:56" ht="15.75">
      <c r="A211" s="88">
        <v>4671</v>
      </c>
      <c r="B211" s="378" t="s">
        <v>885</v>
      </c>
      <c r="C211" s="88"/>
      <c r="D211" s="1033"/>
      <c r="E211" s="1033"/>
      <c r="F211" s="1033"/>
      <c r="G211" s="1033"/>
      <c r="H211" s="1033"/>
      <c r="I211" s="1033"/>
      <c r="J211" s="1033"/>
      <c r="K211" s="1033"/>
      <c r="L211" s="574"/>
      <c r="M211" s="51" t="s">
        <v>265</v>
      </c>
      <c r="N211" s="113">
        <f t="shared" si="106"/>
        <v>4671</v>
      </c>
      <c r="O211" s="581"/>
      <c r="P211" s="576"/>
      <c r="Q211" s="325"/>
      <c r="R211" s="324"/>
      <c r="S211" s="583">
        <f t="shared" si="112"/>
        <v>0</v>
      </c>
      <c r="T211" s="580">
        <f t="shared" si="93"/>
        <v>0</v>
      </c>
      <c r="U211" s="51"/>
      <c r="V211" s="541">
        <f>+'NF-KSF-TRIAL-BAL-2020'!O211+'RA-TRIAL-BAL-2020'!O211+'DES-TRIAL-BAL-2020'!O211+'DMP-TRIAL-BAL-2020'!O211</f>
        <v>0</v>
      </c>
      <c r="W211" s="529">
        <f>+'NF-KSF-TRIAL-BAL-2020'!P211+'RA-TRIAL-BAL-2020'!P211+'DES-TRIAL-BAL-2020'!P211+'DMP-TRIAL-BAL-2020'!P211</f>
        <v>0</v>
      </c>
      <c r="X211" s="587">
        <f>+'NF-KSF-TRIAL-BAL-2020'!Q211+'RA-TRIAL-BAL-2020'!Q211+'DES-TRIAL-BAL-2020'!Q211+'DMP-TRIAL-BAL-2020'!Q211</f>
        <v>0</v>
      </c>
      <c r="Y211" s="586">
        <f>+'NF-KSF-TRIAL-BAL-2020'!R211+'RA-TRIAL-BAL-2020'!R211+'DES-TRIAL-BAL-2020'!R211+'DMP-TRIAL-BAL-2020'!R211</f>
        <v>0</v>
      </c>
      <c r="Z211" s="587">
        <f>+'NF-KSF-TRIAL-BAL-2020'!S211+'RA-TRIAL-BAL-2020'!S211+'DES-TRIAL-BAL-2020'!S211+'DMP-TRIAL-BAL-2020'!S211</f>
        <v>0</v>
      </c>
      <c r="AA211" s="588">
        <f>+'NF-KSF-TRIAL-BAL-2020'!T211+'RA-TRIAL-BAL-2020'!T211+'DES-TRIAL-BAL-2020'!T211+'DMP-TRIAL-BAL-2020'!T211</f>
        <v>0</v>
      </c>
      <c r="AB211" s="51"/>
      <c r="AC211" s="581"/>
      <c r="AD211" s="576"/>
      <c r="AE211" s="325"/>
      <c r="AF211" s="324"/>
      <c r="AG211" s="583">
        <f t="shared" si="94"/>
        <v>0</v>
      </c>
      <c r="AH211" s="580">
        <f t="shared" si="95"/>
        <v>0</v>
      </c>
      <c r="AI211" s="51"/>
      <c r="AJ211" s="1497">
        <f t="shared" si="70"/>
        <v>4671</v>
      </c>
      <c r="AK211" s="951">
        <f t="shared" ref="AK211:AL218" si="117">+ROUND(+O211+V211+AC211,2)</f>
        <v>0</v>
      </c>
      <c r="AL211" s="970">
        <f t="shared" si="117"/>
        <v>0</v>
      </c>
      <c r="AM211" s="326">
        <f t="shared" ref="AM211:AN218" si="118">+ROUND(+Q211+X211+AE211,2)</f>
        <v>0</v>
      </c>
      <c r="AN211" s="970">
        <f t="shared" si="118"/>
        <v>0</v>
      </c>
      <c r="AO211" s="326">
        <f t="shared" si="114"/>
        <v>0</v>
      </c>
      <c r="AP211" s="28">
        <f t="shared" si="108"/>
        <v>0</v>
      </c>
      <c r="AQ211" s="43"/>
      <c r="AR211" s="358">
        <f t="shared" si="109"/>
        <v>0</v>
      </c>
      <c r="AS211" s="359">
        <f t="shared" si="110"/>
        <v>0</v>
      </c>
      <c r="AT211" s="360">
        <f t="shared" si="111"/>
        <v>0</v>
      </c>
      <c r="AU211" s="43"/>
      <c r="AV211" s="43"/>
      <c r="AW211" s="119"/>
      <c r="AX211" s="119"/>
      <c r="AY211" s="43"/>
      <c r="AZ211" s="43"/>
      <c r="BA211" s="43"/>
      <c r="BB211" s="43"/>
      <c r="BC211" s="43"/>
      <c r="BD211" s="43"/>
    </row>
    <row r="212" spans="1:56" ht="15.75" customHeight="1">
      <c r="A212" s="88">
        <v>4672</v>
      </c>
      <c r="B212" s="378" t="s">
        <v>886</v>
      </c>
      <c r="C212" s="88"/>
      <c r="D212" s="1038"/>
      <c r="E212" s="1038"/>
      <c r="F212" s="1038"/>
      <c r="G212" s="1038"/>
      <c r="H212" s="1038"/>
      <c r="I212" s="1038"/>
      <c r="J212" s="1038"/>
      <c r="K212" s="1038"/>
      <c r="L212" s="590"/>
      <c r="M212" s="51" t="s">
        <v>265</v>
      </c>
      <c r="N212" s="113">
        <f t="shared" si="106"/>
        <v>4672</v>
      </c>
      <c r="O212" s="581"/>
      <c r="P212" s="576"/>
      <c r="Q212" s="325"/>
      <c r="R212" s="324"/>
      <c r="S212" s="583">
        <f t="shared" si="112"/>
        <v>0</v>
      </c>
      <c r="T212" s="580">
        <f t="shared" si="93"/>
        <v>0</v>
      </c>
      <c r="U212" s="51"/>
      <c r="V212" s="541">
        <f>+'NF-KSF-TRIAL-BAL-2020'!O212+'RA-TRIAL-BAL-2020'!O212+'DES-TRIAL-BAL-2020'!O212+'DMP-TRIAL-BAL-2020'!O212</f>
        <v>0</v>
      </c>
      <c r="W212" s="529">
        <f>+'NF-KSF-TRIAL-BAL-2020'!P212+'RA-TRIAL-BAL-2020'!P212+'DES-TRIAL-BAL-2020'!P212+'DMP-TRIAL-BAL-2020'!P212</f>
        <v>0</v>
      </c>
      <c r="X212" s="587">
        <f>+'NF-KSF-TRIAL-BAL-2020'!Q212+'RA-TRIAL-BAL-2020'!Q212+'DES-TRIAL-BAL-2020'!Q212+'DMP-TRIAL-BAL-2020'!Q212</f>
        <v>0</v>
      </c>
      <c r="Y212" s="586">
        <f>+'NF-KSF-TRIAL-BAL-2020'!R212+'RA-TRIAL-BAL-2020'!R212+'DES-TRIAL-BAL-2020'!R212+'DMP-TRIAL-BAL-2020'!R212</f>
        <v>0</v>
      </c>
      <c r="Z212" s="587">
        <f>+'NF-KSF-TRIAL-BAL-2020'!S212+'RA-TRIAL-BAL-2020'!S212+'DES-TRIAL-BAL-2020'!S212+'DMP-TRIAL-BAL-2020'!S212</f>
        <v>0</v>
      </c>
      <c r="AA212" s="588">
        <f>+'NF-KSF-TRIAL-BAL-2020'!T212+'RA-TRIAL-BAL-2020'!T212+'DES-TRIAL-BAL-2020'!T212+'DMP-TRIAL-BAL-2020'!T212</f>
        <v>0</v>
      </c>
      <c r="AB212" s="51"/>
      <c r="AC212" s="581"/>
      <c r="AD212" s="576"/>
      <c r="AE212" s="325"/>
      <c r="AF212" s="324"/>
      <c r="AG212" s="583">
        <f t="shared" si="94"/>
        <v>0</v>
      </c>
      <c r="AH212" s="580">
        <f t="shared" si="95"/>
        <v>0</v>
      </c>
      <c r="AI212" s="51"/>
      <c r="AJ212" s="1497">
        <f t="shared" si="70"/>
        <v>4672</v>
      </c>
      <c r="AK212" s="951">
        <f t="shared" si="117"/>
        <v>0</v>
      </c>
      <c r="AL212" s="970">
        <f t="shared" si="117"/>
        <v>0</v>
      </c>
      <c r="AM212" s="326">
        <f t="shared" si="118"/>
        <v>0</v>
      </c>
      <c r="AN212" s="970">
        <f t="shared" si="118"/>
        <v>0</v>
      </c>
      <c r="AO212" s="326">
        <f t="shared" si="114"/>
        <v>0</v>
      </c>
      <c r="AP212" s="28">
        <f t="shared" si="108"/>
        <v>0</v>
      </c>
      <c r="AQ212" s="43"/>
      <c r="AR212" s="358">
        <f t="shared" si="109"/>
        <v>0</v>
      </c>
      <c r="AS212" s="359">
        <f t="shared" si="110"/>
        <v>0</v>
      </c>
      <c r="AT212" s="360">
        <f t="shared" si="111"/>
        <v>0</v>
      </c>
      <c r="AU212" s="43"/>
      <c r="AV212" s="43"/>
      <c r="AW212" s="119"/>
      <c r="AX212" s="119"/>
      <c r="AY212" s="43"/>
      <c r="AZ212" s="43"/>
      <c r="BA212" s="43"/>
      <c r="BB212" s="43"/>
      <c r="BC212" s="43"/>
      <c r="BD212" s="43"/>
    </row>
    <row r="213" spans="1:56" ht="15.75">
      <c r="A213" s="88">
        <v>4674</v>
      </c>
      <c r="B213" s="378" t="s">
        <v>887</v>
      </c>
      <c r="C213" s="88"/>
      <c r="D213" s="1033"/>
      <c r="E213" s="1033"/>
      <c r="F213" s="1033"/>
      <c r="G213" s="1033"/>
      <c r="H213" s="1033"/>
      <c r="I213" s="1033"/>
      <c r="J213" s="1033"/>
      <c r="K213" s="1033"/>
      <c r="L213" s="574"/>
      <c r="M213" s="51" t="s">
        <v>265</v>
      </c>
      <c r="N213" s="113">
        <f t="shared" si="106"/>
        <v>4674</v>
      </c>
      <c r="O213" s="581"/>
      <c r="P213" s="576"/>
      <c r="Q213" s="325"/>
      <c r="R213" s="324"/>
      <c r="S213" s="583">
        <f t="shared" si="112"/>
        <v>0</v>
      </c>
      <c r="T213" s="580">
        <f t="shared" si="93"/>
        <v>0</v>
      </c>
      <c r="U213" s="51"/>
      <c r="V213" s="541">
        <f>+'NF-KSF-TRIAL-BAL-2020'!O213+'RA-TRIAL-BAL-2020'!O213+'DES-TRIAL-BAL-2020'!O213+'DMP-TRIAL-BAL-2020'!O213</f>
        <v>0</v>
      </c>
      <c r="W213" s="529">
        <f>+'NF-KSF-TRIAL-BAL-2020'!P213+'RA-TRIAL-BAL-2020'!P213+'DES-TRIAL-BAL-2020'!P213+'DMP-TRIAL-BAL-2020'!P213</f>
        <v>0</v>
      </c>
      <c r="X213" s="587">
        <f>+'NF-KSF-TRIAL-BAL-2020'!Q213+'RA-TRIAL-BAL-2020'!Q213+'DES-TRIAL-BAL-2020'!Q213+'DMP-TRIAL-BAL-2020'!Q213</f>
        <v>0</v>
      </c>
      <c r="Y213" s="586">
        <f>+'NF-KSF-TRIAL-BAL-2020'!R213+'RA-TRIAL-BAL-2020'!R213+'DES-TRIAL-BAL-2020'!R213+'DMP-TRIAL-BAL-2020'!R213</f>
        <v>0</v>
      </c>
      <c r="Z213" s="587">
        <f>+'NF-KSF-TRIAL-BAL-2020'!S213+'RA-TRIAL-BAL-2020'!S213+'DES-TRIAL-BAL-2020'!S213+'DMP-TRIAL-BAL-2020'!S213</f>
        <v>0</v>
      </c>
      <c r="AA213" s="588">
        <f>+'NF-KSF-TRIAL-BAL-2020'!T213+'RA-TRIAL-BAL-2020'!T213+'DES-TRIAL-BAL-2020'!T213+'DMP-TRIAL-BAL-2020'!T213</f>
        <v>0</v>
      </c>
      <c r="AB213" s="51"/>
      <c r="AC213" s="581"/>
      <c r="AD213" s="576"/>
      <c r="AE213" s="122"/>
      <c r="AF213" s="121"/>
      <c r="AG213" s="583">
        <f t="shared" si="94"/>
        <v>0</v>
      </c>
      <c r="AH213" s="580">
        <f t="shared" si="95"/>
        <v>0</v>
      </c>
      <c r="AI213" s="51"/>
      <c r="AJ213" s="1497">
        <f t="shared" si="70"/>
        <v>4674</v>
      </c>
      <c r="AK213" s="951">
        <f t="shared" si="117"/>
        <v>0</v>
      </c>
      <c r="AL213" s="970">
        <f t="shared" si="117"/>
        <v>0</v>
      </c>
      <c r="AM213" s="326">
        <f t="shared" si="118"/>
        <v>0</v>
      </c>
      <c r="AN213" s="970">
        <f t="shared" si="118"/>
        <v>0</v>
      </c>
      <c r="AO213" s="326">
        <f t="shared" si="114"/>
        <v>0</v>
      </c>
      <c r="AP213" s="28">
        <f t="shared" si="108"/>
        <v>0</v>
      </c>
      <c r="AQ213" s="43"/>
      <c r="AR213" s="358">
        <f t="shared" si="109"/>
        <v>0</v>
      </c>
      <c r="AS213" s="359">
        <f t="shared" si="110"/>
        <v>0</v>
      </c>
      <c r="AT213" s="360">
        <f t="shared" si="111"/>
        <v>0</v>
      </c>
      <c r="AU213" s="43"/>
      <c r="AV213" s="43"/>
      <c r="AW213" s="119"/>
      <c r="AX213" s="119"/>
      <c r="AY213" s="43"/>
      <c r="AZ213" s="43"/>
      <c r="BA213" s="43"/>
      <c r="BB213" s="43"/>
      <c r="BC213" s="43"/>
      <c r="BD213" s="43"/>
    </row>
    <row r="214" spans="1:56" ht="15.75" customHeight="1">
      <c r="A214" s="88">
        <v>4675</v>
      </c>
      <c r="B214" s="378" t="s">
        <v>888</v>
      </c>
      <c r="C214" s="88"/>
      <c r="D214" s="1038"/>
      <c r="E214" s="1038"/>
      <c r="F214" s="1038"/>
      <c r="G214" s="1038"/>
      <c r="H214" s="1038"/>
      <c r="I214" s="1038"/>
      <c r="J214" s="1038"/>
      <c r="K214" s="1038"/>
      <c r="L214" s="590"/>
      <c r="M214" s="51" t="s">
        <v>265</v>
      </c>
      <c r="N214" s="113">
        <f t="shared" si="106"/>
        <v>4675</v>
      </c>
      <c r="O214" s="581"/>
      <c r="P214" s="576"/>
      <c r="Q214" s="325"/>
      <c r="R214" s="324"/>
      <c r="S214" s="583">
        <f t="shared" si="112"/>
        <v>0</v>
      </c>
      <c r="T214" s="580">
        <f>+IF(ABS(+O214+Q214)&lt;=ABS(P214+R214),-O214+P214-Q214+R214,0)</f>
        <v>0</v>
      </c>
      <c r="U214" s="51"/>
      <c r="V214" s="541">
        <f>+'NF-KSF-TRIAL-BAL-2020'!O214+'RA-TRIAL-BAL-2020'!O214+'DES-TRIAL-BAL-2020'!O214+'DMP-TRIAL-BAL-2020'!O214</f>
        <v>0</v>
      </c>
      <c r="W214" s="529">
        <f>+'NF-KSF-TRIAL-BAL-2020'!P214+'RA-TRIAL-BAL-2020'!P214+'DES-TRIAL-BAL-2020'!P214+'DMP-TRIAL-BAL-2020'!P214</f>
        <v>0</v>
      </c>
      <c r="X214" s="587">
        <f>+'NF-KSF-TRIAL-BAL-2020'!Q214+'RA-TRIAL-BAL-2020'!Q214+'DES-TRIAL-BAL-2020'!Q214+'DMP-TRIAL-BAL-2020'!Q214</f>
        <v>0</v>
      </c>
      <c r="Y214" s="586">
        <f>+'NF-KSF-TRIAL-BAL-2020'!R214+'RA-TRIAL-BAL-2020'!R214+'DES-TRIAL-BAL-2020'!R214+'DMP-TRIAL-BAL-2020'!R214</f>
        <v>0</v>
      </c>
      <c r="Z214" s="587">
        <f>+'NF-KSF-TRIAL-BAL-2020'!S214+'RA-TRIAL-BAL-2020'!S214+'DES-TRIAL-BAL-2020'!S214+'DMP-TRIAL-BAL-2020'!S214</f>
        <v>0</v>
      </c>
      <c r="AA214" s="588">
        <f>+'NF-KSF-TRIAL-BAL-2020'!T214+'RA-TRIAL-BAL-2020'!T214+'DES-TRIAL-BAL-2020'!T214+'DMP-TRIAL-BAL-2020'!T214</f>
        <v>0</v>
      </c>
      <c r="AB214" s="51"/>
      <c r="AC214" s="581"/>
      <c r="AD214" s="576"/>
      <c r="AE214" s="325"/>
      <c r="AF214" s="324"/>
      <c r="AG214" s="583">
        <f>+IF(ABS(+AC214+AE214)&gt;=ABS(AD214+AF214),+AC214-AD214+AE214-AF214,0)</f>
        <v>0</v>
      </c>
      <c r="AH214" s="580">
        <f>+IF(ABS(+AC214+AE214)&lt;=ABS(AD214+AF214),-AC214+AD214-AE214+AF214,0)</f>
        <v>0</v>
      </c>
      <c r="AI214" s="51"/>
      <c r="AJ214" s="1497">
        <f>+N214</f>
        <v>4675</v>
      </c>
      <c r="AK214" s="951">
        <f t="shared" si="117"/>
        <v>0</v>
      </c>
      <c r="AL214" s="970">
        <f t="shared" si="117"/>
        <v>0</v>
      </c>
      <c r="AM214" s="326">
        <f t="shared" si="118"/>
        <v>0</v>
      </c>
      <c r="AN214" s="970">
        <f t="shared" si="118"/>
        <v>0</v>
      </c>
      <c r="AO214" s="326">
        <f t="shared" si="114"/>
        <v>0</v>
      </c>
      <c r="AP214" s="28">
        <f t="shared" si="108"/>
        <v>0</v>
      </c>
      <c r="AQ214" s="43"/>
      <c r="AR214" s="358">
        <f>+ROUND(+SUM(AK214-AL214)-SUM(O214-P214)-SUM(V214-W214)-SUM(AC214-AD214),2)</f>
        <v>0</v>
      </c>
      <c r="AS214" s="359">
        <f>+ROUND(+SUM(AM214-AN214)-SUM(Q214-R214)-SUM(X214-Y214)-SUM(AE214-AF214),2)</f>
        <v>0</v>
      </c>
      <c r="AT214" s="360">
        <f>+ROUND(+SUM(AO214-AP214)-SUM(S214-T214)-SUM(Z214-AA214)-SUM(AG214-AH214),2)</f>
        <v>0</v>
      </c>
      <c r="AU214" s="43"/>
      <c r="AV214" s="43"/>
      <c r="AW214" s="119"/>
      <c r="AX214" s="119"/>
      <c r="AY214" s="43"/>
      <c r="AZ214" s="43"/>
      <c r="BA214" s="43"/>
      <c r="BB214" s="43"/>
      <c r="BC214" s="43"/>
      <c r="BD214" s="43"/>
    </row>
    <row r="215" spans="1:56" ht="15.75">
      <c r="A215" s="88">
        <v>4679</v>
      </c>
      <c r="B215" s="378" t="s">
        <v>889</v>
      </c>
      <c r="C215" s="88"/>
      <c r="D215" s="1033"/>
      <c r="E215" s="1033"/>
      <c r="F215" s="1033"/>
      <c r="G215" s="1033"/>
      <c r="H215" s="1033"/>
      <c r="I215" s="1033"/>
      <c r="J215" s="1033"/>
      <c r="K215" s="1033"/>
      <c r="L215" s="574"/>
      <c r="M215" s="51" t="s">
        <v>265</v>
      </c>
      <c r="N215" s="113">
        <f t="shared" si="106"/>
        <v>4679</v>
      </c>
      <c r="O215" s="581">
        <v>0</v>
      </c>
      <c r="P215" s="576">
        <v>0</v>
      </c>
      <c r="Q215" s="325">
        <v>0</v>
      </c>
      <c r="R215" s="324">
        <v>0</v>
      </c>
      <c r="S215" s="583">
        <f t="shared" si="112"/>
        <v>0</v>
      </c>
      <c r="T215" s="580">
        <f t="shared" si="93"/>
        <v>0</v>
      </c>
      <c r="U215" s="51"/>
      <c r="V215" s="541">
        <f>+'NF-KSF-TRIAL-BAL-2020'!O215+'RA-TRIAL-BAL-2020'!O215+'DES-TRIAL-BAL-2020'!O215+'DMP-TRIAL-BAL-2020'!O215</f>
        <v>0</v>
      </c>
      <c r="W215" s="529">
        <f>+'NF-KSF-TRIAL-BAL-2020'!P215+'RA-TRIAL-BAL-2020'!P215+'DES-TRIAL-BAL-2020'!P215+'DMP-TRIAL-BAL-2020'!P215</f>
        <v>0</v>
      </c>
      <c r="X215" s="587">
        <f>+'NF-KSF-TRIAL-BAL-2020'!Q215+'RA-TRIAL-BAL-2020'!Q215+'DES-TRIAL-BAL-2020'!Q215+'DMP-TRIAL-BAL-2020'!Q215</f>
        <v>0</v>
      </c>
      <c r="Y215" s="586">
        <f>+'NF-KSF-TRIAL-BAL-2020'!R215+'RA-TRIAL-BAL-2020'!R215+'DES-TRIAL-BAL-2020'!R215+'DMP-TRIAL-BAL-2020'!R215</f>
        <v>0</v>
      </c>
      <c r="Z215" s="587">
        <f>+'NF-KSF-TRIAL-BAL-2020'!S215+'RA-TRIAL-BAL-2020'!S215+'DES-TRIAL-BAL-2020'!S215+'DMP-TRIAL-BAL-2020'!S215</f>
        <v>0</v>
      </c>
      <c r="AA215" s="588">
        <f>+'NF-KSF-TRIAL-BAL-2020'!T215+'RA-TRIAL-BAL-2020'!T215+'DES-TRIAL-BAL-2020'!T215+'DMP-TRIAL-BAL-2020'!T215</f>
        <v>0</v>
      </c>
      <c r="AB215" s="51"/>
      <c r="AC215" s="581">
        <v>0</v>
      </c>
      <c r="AD215" s="576">
        <v>0</v>
      </c>
      <c r="AE215" s="325">
        <v>0</v>
      </c>
      <c r="AF215" s="324">
        <v>0</v>
      </c>
      <c r="AG215" s="583">
        <f t="shared" si="94"/>
        <v>0</v>
      </c>
      <c r="AH215" s="580">
        <f t="shared" si="95"/>
        <v>0</v>
      </c>
      <c r="AI215" s="51"/>
      <c r="AJ215" s="1497">
        <f t="shared" si="70"/>
        <v>4679</v>
      </c>
      <c r="AK215" s="951">
        <f t="shared" si="117"/>
        <v>0</v>
      </c>
      <c r="AL215" s="970">
        <f t="shared" si="117"/>
        <v>0</v>
      </c>
      <c r="AM215" s="326">
        <f t="shared" si="118"/>
        <v>0</v>
      </c>
      <c r="AN215" s="970">
        <f t="shared" si="118"/>
        <v>0</v>
      </c>
      <c r="AO215" s="326">
        <f t="shared" si="114"/>
        <v>0</v>
      </c>
      <c r="AP215" s="28">
        <f t="shared" si="108"/>
        <v>0</v>
      </c>
      <c r="AQ215" s="43"/>
      <c r="AR215" s="358">
        <f t="shared" si="109"/>
        <v>0</v>
      </c>
      <c r="AS215" s="359">
        <f t="shared" si="110"/>
        <v>0</v>
      </c>
      <c r="AT215" s="360">
        <f t="shared" si="111"/>
        <v>0</v>
      </c>
      <c r="AU215" s="43"/>
      <c r="AV215" s="43"/>
      <c r="AW215" s="119"/>
      <c r="AX215" s="119"/>
      <c r="AY215" s="43"/>
      <c r="AZ215" s="43"/>
      <c r="BA215" s="43"/>
      <c r="BB215" s="43"/>
      <c r="BC215" s="43"/>
      <c r="BD215" s="43"/>
    </row>
    <row r="216" spans="1:56" ht="15.75">
      <c r="A216" s="88">
        <v>4682</v>
      </c>
      <c r="B216" s="378" t="s">
        <v>890</v>
      </c>
      <c r="C216" s="88"/>
      <c r="D216" s="1033"/>
      <c r="E216" s="1033"/>
      <c r="F216" s="1033"/>
      <c r="G216" s="1033"/>
      <c r="H216" s="1033"/>
      <c r="I216" s="1033"/>
      <c r="J216" s="1033"/>
      <c r="K216" s="1033"/>
      <c r="L216" s="574"/>
      <c r="M216" s="51" t="s">
        <v>265</v>
      </c>
      <c r="N216" s="113">
        <f t="shared" si="106"/>
        <v>4682</v>
      </c>
      <c r="O216" s="581">
        <v>0</v>
      </c>
      <c r="P216" s="576">
        <v>0</v>
      </c>
      <c r="Q216" s="325">
        <v>0</v>
      </c>
      <c r="R216" s="324">
        <v>0</v>
      </c>
      <c r="S216" s="583">
        <f t="shared" si="112"/>
        <v>0</v>
      </c>
      <c r="T216" s="580">
        <f t="shared" si="93"/>
        <v>0</v>
      </c>
      <c r="U216" s="51"/>
      <c r="V216" s="541">
        <f>+'NF-KSF-TRIAL-BAL-2020'!O216+'RA-TRIAL-BAL-2020'!O216+'DES-TRIAL-BAL-2020'!O216+'DMP-TRIAL-BAL-2020'!O216</f>
        <v>0</v>
      </c>
      <c r="W216" s="529">
        <f>+'NF-KSF-TRIAL-BAL-2020'!P216+'RA-TRIAL-BAL-2020'!P216+'DES-TRIAL-BAL-2020'!P216+'DMP-TRIAL-BAL-2020'!P216</f>
        <v>0</v>
      </c>
      <c r="X216" s="587">
        <f>+'NF-KSF-TRIAL-BAL-2020'!Q216+'RA-TRIAL-BAL-2020'!Q216+'DES-TRIAL-BAL-2020'!Q216+'DMP-TRIAL-BAL-2020'!Q216</f>
        <v>0</v>
      </c>
      <c r="Y216" s="586">
        <f>+'NF-KSF-TRIAL-BAL-2020'!R216+'RA-TRIAL-BAL-2020'!R216+'DES-TRIAL-BAL-2020'!R216+'DMP-TRIAL-BAL-2020'!R216</f>
        <v>0</v>
      </c>
      <c r="Z216" s="587">
        <f>+'NF-KSF-TRIAL-BAL-2020'!S216+'RA-TRIAL-BAL-2020'!S216+'DES-TRIAL-BAL-2020'!S216+'DMP-TRIAL-BAL-2020'!S216</f>
        <v>0</v>
      </c>
      <c r="AA216" s="588">
        <f>+'NF-KSF-TRIAL-BAL-2020'!T216+'RA-TRIAL-BAL-2020'!T216+'DES-TRIAL-BAL-2020'!T216+'DMP-TRIAL-BAL-2020'!T216</f>
        <v>0</v>
      </c>
      <c r="AB216" s="51"/>
      <c r="AC216" s="581">
        <v>0</v>
      </c>
      <c r="AD216" s="576">
        <v>0</v>
      </c>
      <c r="AE216" s="122">
        <v>0</v>
      </c>
      <c r="AF216" s="121">
        <v>0</v>
      </c>
      <c r="AG216" s="583">
        <f t="shared" si="94"/>
        <v>0</v>
      </c>
      <c r="AH216" s="580">
        <f t="shared" si="95"/>
        <v>0</v>
      </c>
      <c r="AI216" s="51"/>
      <c r="AJ216" s="1497">
        <f t="shared" si="70"/>
        <v>4682</v>
      </c>
      <c r="AK216" s="951">
        <f t="shared" si="117"/>
        <v>0</v>
      </c>
      <c r="AL216" s="970">
        <f t="shared" si="117"/>
        <v>0</v>
      </c>
      <c r="AM216" s="326">
        <f t="shared" si="118"/>
        <v>0</v>
      </c>
      <c r="AN216" s="970">
        <f t="shared" si="118"/>
        <v>0</v>
      </c>
      <c r="AO216" s="326">
        <f t="shared" si="114"/>
        <v>0</v>
      </c>
      <c r="AP216" s="28">
        <f t="shared" si="108"/>
        <v>0</v>
      </c>
      <c r="AQ216" s="43"/>
      <c r="AR216" s="358">
        <f t="shared" si="109"/>
        <v>0</v>
      </c>
      <c r="AS216" s="359">
        <f t="shared" si="110"/>
        <v>0</v>
      </c>
      <c r="AT216" s="360">
        <f t="shared" si="111"/>
        <v>0</v>
      </c>
      <c r="AU216" s="43"/>
      <c r="AV216" s="43"/>
      <c r="AW216" s="119"/>
      <c r="AX216" s="119"/>
      <c r="AY216" s="43"/>
      <c r="AZ216" s="43"/>
      <c r="BA216" s="43"/>
      <c r="BB216" s="43"/>
      <c r="BC216" s="43"/>
      <c r="BD216" s="43"/>
    </row>
    <row r="217" spans="1:56" ht="15.75">
      <c r="A217" s="88">
        <v>4684</v>
      </c>
      <c r="B217" s="378" t="s">
        <v>891</v>
      </c>
      <c r="C217" s="88"/>
      <c r="D217" s="1033"/>
      <c r="E217" s="1033"/>
      <c r="F217" s="1033"/>
      <c r="G217" s="1033"/>
      <c r="H217" s="1033"/>
      <c r="I217" s="1033"/>
      <c r="J217" s="1033"/>
      <c r="K217" s="1033"/>
      <c r="L217" s="574"/>
      <c r="M217" s="51" t="s">
        <v>265</v>
      </c>
      <c r="N217" s="113">
        <f t="shared" si="106"/>
        <v>4684</v>
      </c>
      <c r="O217" s="581">
        <v>0</v>
      </c>
      <c r="P217" s="576">
        <v>13259.24</v>
      </c>
      <c r="Q217" s="325">
        <v>9974.68</v>
      </c>
      <c r="R217" s="324">
        <v>18106</v>
      </c>
      <c r="S217" s="583">
        <f t="shared" si="112"/>
        <v>0</v>
      </c>
      <c r="T217" s="580">
        <f t="shared" si="93"/>
        <v>21390.559999999998</v>
      </c>
      <c r="U217" s="51"/>
      <c r="V217" s="541">
        <f>+'NF-KSF-TRIAL-BAL-2020'!O217+'RA-TRIAL-BAL-2020'!O217+'DES-TRIAL-BAL-2020'!O217+'DMP-TRIAL-BAL-2020'!O217</f>
        <v>0</v>
      </c>
      <c r="W217" s="529">
        <f>+'NF-KSF-TRIAL-BAL-2020'!P217+'RA-TRIAL-BAL-2020'!P217+'DES-TRIAL-BAL-2020'!P217+'DMP-TRIAL-BAL-2020'!P217</f>
        <v>0</v>
      </c>
      <c r="X217" s="587">
        <f>+'NF-KSF-TRIAL-BAL-2020'!Q217+'RA-TRIAL-BAL-2020'!Q217+'DES-TRIAL-BAL-2020'!Q217+'DMP-TRIAL-BAL-2020'!Q217</f>
        <v>0</v>
      </c>
      <c r="Y217" s="586">
        <f>+'NF-KSF-TRIAL-BAL-2020'!R217+'RA-TRIAL-BAL-2020'!R217+'DES-TRIAL-BAL-2020'!R217+'DMP-TRIAL-BAL-2020'!R217</f>
        <v>0</v>
      </c>
      <c r="Z217" s="587">
        <f>+'NF-KSF-TRIAL-BAL-2020'!S217+'RA-TRIAL-BAL-2020'!S217+'DES-TRIAL-BAL-2020'!S217+'DMP-TRIAL-BAL-2020'!S217</f>
        <v>0</v>
      </c>
      <c r="AA217" s="588">
        <f>+'NF-KSF-TRIAL-BAL-2020'!T217+'RA-TRIAL-BAL-2020'!T217+'DES-TRIAL-BAL-2020'!T217+'DMP-TRIAL-BAL-2020'!T217</f>
        <v>0</v>
      </c>
      <c r="AB217" s="51"/>
      <c r="AC217" s="581">
        <v>0</v>
      </c>
      <c r="AD217" s="576">
        <v>0</v>
      </c>
      <c r="AE217" s="325">
        <v>0</v>
      </c>
      <c r="AF217" s="324">
        <v>0</v>
      </c>
      <c r="AG217" s="583">
        <f t="shared" si="94"/>
        <v>0</v>
      </c>
      <c r="AH217" s="580">
        <f t="shared" si="95"/>
        <v>0</v>
      </c>
      <c r="AI217" s="51"/>
      <c r="AJ217" s="1497">
        <f t="shared" si="70"/>
        <v>4684</v>
      </c>
      <c r="AK217" s="951">
        <f t="shared" si="117"/>
        <v>0</v>
      </c>
      <c r="AL217" s="970">
        <f t="shared" si="117"/>
        <v>13259.24</v>
      </c>
      <c r="AM217" s="326">
        <f t="shared" si="118"/>
        <v>9974.68</v>
      </c>
      <c r="AN217" s="970">
        <f t="shared" si="118"/>
        <v>18106</v>
      </c>
      <c r="AO217" s="326">
        <f t="shared" si="114"/>
        <v>0</v>
      </c>
      <c r="AP217" s="28">
        <f t="shared" si="108"/>
        <v>21390.559999999998</v>
      </c>
      <c r="AQ217" s="43"/>
      <c r="AR217" s="358">
        <f t="shared" si="109"/>
        <v>0</v>
      </c>
      <c r="AS217" s="359">
        <f t="shared" si="110"/>
        <v>0</v>
      </c>
      <c r="AT217" s="360">
        <f t="shared" si="111"/>
        <v>0</v>
      </c>
      <c r="AU217" s="43"/>
      <c r="AV217" s="43"/>
      <c r="AW217" s="119"/>
      <c r="AX217" s="119"/>
      <c r="AY217" s="43"/>
      <c r="AZ217" s="43"/>
      <c r="BA217" s="43"/>
      <c r="BB217" s="43"/>
      <c r="BC217" s="43"/>
      <c r="BD217" s="43"/>
    </row>
    <row r="218" spans="1:56" ht="15.75" customHeight="1">
      <c r="A218" s="88">
        <v>4685</v>
      </c>
      <c r="B218" s="378" t="s">
        <v>892</v>
      </c>
      <c r="C218" s="88"/>
      <c r="D218" s="1038"/>
      <c r="E218" s="1038"/>
      <c r="F218" s="1038"/>
      <c r="G218" s="1038"/>
      <c r="H218" s="1038"/>
      <c r="I218" s="1038"/>
      <c r="J218" s="1038"/>
      <c r="K218" s="1038"/>
      <c r="L218" s="590"/>
      <c r="M218" s="51" t="s">
        <v>265</v>
      </c>
      <c r="N218" s="113">
        <f t="shared" si="106"/>
        <v>4685</v>
      </c>
      <c r="O218" s="581"/>
      <c r="P218" s="576"/>
      <c r="Q218" s="325"/>
      <c r="R218" s="324"/>
      <c r="S218" s="583">
        <f t="shared" si="112"/>
        <v>0</v>
      </c>
      <c r="T218" s="580">
        <f t="shared" si="93"/>
        <v>0</v>
      </c>
      <c r="U218" s="51"/>
      <c r="V218" s="541">
        <f>+'NF-KSF-TRIAL-BAL-2020'!O218+'RA-TRIAL-BAL-2020'!O218+'DES-TRIAL-BAL-2020'!O218+'DMP-TRIAL-BAL-2020'!O218</f>
        <v>0</v>
      </c>
      <c r="W218" s="529">
        <f>+'NF-KSF-TRIAL-BAL-2020'!P218+'RA-TRIAL-BAL-2020'!P218+'DES-TRIAL-BAL-2020'!P218+'DMP-TRIAL-BAL-2020'!P218</f>
        <v>0</v>
      </c>
      <c r="X218" s="587">
        <f>+'NF-KSF-TRIAL-BAL-2020'!Q218+'RA-TRIAL-BAL-2020'!Q218+'DES-TRIAL-BAL-2020'!Q218+'DMP-TRIAL-BAL-2020'!Q218</f>
        <v>0</v>
      </c>
      <c r="Y218" s="586">
        <f>+'NF-KSF-TRIAL-BAL-2020'!R218+'RA-TRIAL-BAL-2020'!R218+'DES-TRIAL-BAL-2020'!R218+'DMP-TRIAL-BAL-2020'!R218</f>
        <v>0</v>
      </c>
      <c r="Z218" s="587">
        <f>+'NF-KSF-TRIAL-BAL-2020'!S218+'RA-TRIAL-BAL-2020'!S218+'DES-TRIAL-BAL-2020'!S218+'DMP-TRIAL-BAL-2020'!S218</f>
        <v>0</v>
      </c>
      <c r="AA218" s="588">
        <f>+'NF-KSF-TRIAL-BAL-2020'!T218+'RA-TRIAL-BAL-2020'!T218+'DES-TRIAL-BAL-2020'!T218+'DMP-TRIAL-BAL-2020'!T218</f>
        <v>0</v>
      </c>
      <c r="AB218" s="51"/>
      <c r="AC218" s="581"/>
      <c r="AD218" s="576"/>
      <c r="AE218" s="325"/>
      <c r="AF218" s="324"/>
      <c r="AG218" s="583">
        <f t="shared" si="94"/>
        <v>0</v>
      </c>
      <c r="AH218" s="580">
        <f t="shared" si="95"/>
        <v>0</v>
      </c>
      <c r="AI218" s="51"/>
      <c r="AJ218" s="1497">
        <f t="shared" si="70"/>
        <v>4685</v>
      </c>
      <c r="AK218" s="951">
        <f t="shared" si="117"/>
        <v>0</v>
      </c>
      <c r="AL218" s="970">
        <f t="shared" si="117"/>
        <v>0</v>
      </c>
      <c r="AM218" s="326">
        <f t="shared" si="118"/>
        <v>0</v>
      </c>
      <c r="AN218" s="970">
        <f t="shared" si="118"/>
        <v>0</v>
      </c>
      <c r="AO218" s="326">
        <f t="shared" si="114"/>
        <v>0</v>
      </c>
      <c r="AP218" s="28">
        <f t="shared" si="108"/>
        <v>0</v>
      </c>
      <c r="AQ218" s="43"/>
      <c r="AR218" s="358">
        <f t="shared" si="109"/>
        <v>0</v>
      </c>
      <c r="AS218" s="359">
        <f t="shared" si="110"/>
        <v>0</v>
      </c>
      <c r="AT218" s="360">
        <f t="shared" si="111"/>
        <v>0</v>
      </c>
      <c r="AU218" s="43"/>
      <c r="AV218" s="43"/>
      <c r="AW218" s="119"/>
      <c r="AX218" s="119"/>
      <c r="AY218" s="43"/>
      <c r="AZ218" s="43"/>
      <c r="BA218" s="43"/>
      <c r="BB218" s="43"/>
      <c r="BC218" s="43"/>
      <c r="BD218" s="43"/>
    </row>
    <row r="219" spans="1:56" ht="15.75">
      <c r="A219" s="88">
        <v>4691</v>
      </c>
      <c r="B219" s="378" t="s">
        <v>893</v>
      </c>
      <c r="C219" s="88"/>
      <c r="D219" s="1033"/>
      <c r="E219" s="1033"/>
      <c r="F219" s="1033"/>
      <c r="G219" s="1033"/>
      <c r="H219" s="1033"/>
      <c r="I219" s="1033"/>
      <c r="J219" s="1033"/>
      <c r="K219" s="1033"/>
      <c r="L219" s="574"/>
      <c r="M219" s="51" t="s">
        <v>265</v>
      </c>
      <c r="N219" s="113">
        <f t="shared" si="106"/>
        <v>4691</v>
      </c>
      <c r="O219" s="581"/>
      <c r="P219" s="582">
        <v>0</v>
      </c>
      <c r="Q219" s="325"/>
      <c r="R219" s="324"/>
      <c r="S219" s="583">
        <f t="shared" si="112"/>
        <v>0</v>
      </c>
      <c r="T219" s="584">
        <v>0</v>
      </c>
      <c r="U219" s="51"/>
      <c r="V219" s="541">
        <f>+'NF-KSF-TRIAL-BAL-2020'!O219+'RA-TRIAL-BAL-2020'!O219+'DES-TRIAL-BAL-2020'!O219+'DMP-TRIAL-BAL-2020'!O219</f>
        <v>0</v>
      </c>
      <c r="W219" s="529">
        <f>+'NF-KSF-TRIAL-BAL-2020'!P219+'RA-TRIAL-BAL-2020'!P219+'DES-TRIAL-BAL-2020'!P219+'DMP-TRIAL-BAL-2020'!P219</f>
        <v>0</v>
      </c>
      <c r="X219" s="587">
        <f>+'NF-KSF-TRIAL-BAL-2020'!Q219+'RA-TRIAL-BAL-2020'!Q219+'DES-TRIAL-BAL-2020'!Q219+'DMP-TRIAL-BAL-2020'!Q219</f>
        <v>0</v>
      </c>
      <c r="Y219" s="586">
        <f>+'NF-KSF-TRIAL-BAL-2020'!R219+'RA-TRIAL-BAL-2020'!R219+'DES-TRIAL-BAL-2020'!R219+'DMP-TRIAL-BAL-2020'!R219</f>
        <v>0</v>
      </c>
      <c r="Z219" s="587">
        <f>+'NF-KSF-TRIAL-BAL-2020'!S219+'RA-TRIAL-BAL-2020'!S219+'DES-TRIAL-BAL-2020'!S219+'DMP-TRIAL-BAL-2020'!S219</f>
        <v>0</v>
      </c>
      <c r="AA219" s="588">
        <f>+'NF-KSF-TRIAL-BAL-2020'!T219+'RA-TRIAL-BAL-2020'!T219+'DES-TRIAL-BAL-2020'!T219+'DMP-TRIAL-BAL-2020'!T219</f>
        <v>0</v>
      </c>
      <c r="AB219" s="51"/>
      <c r="AC219" s="581"/>
      <c r="AD219" s="582">
        <v>0</v>
      </c>
      <c r="AE219" s="325"/>
      <c r="AF219" s="324"/>
      <c r="AG219" s="583">
        <f t="shared" si="94"/>
        <v>0</v>
      </c>
      <c r="AH219" s="584">
        <v>0</v>
      </c>
      <c r="AI219" s="51"/>
      <c r="AJ219" s="1497">
        <f t="shared" ref="AJ219:AJ224" si="119">+N219</f>
        <v>4691</v>
      </c>
      <c r="AK219" s="951">
        <f>+ROUND(+O219+V219+AC219,2)</f>
        <v>0</v>
      </c>
      <c r="AL219" s="9">
        <v>0</v>
      </c>
      <c r="AM219" s="326">
        <f t="shared" ref="AM219:AN224" si="120">+ROUND(+Q219+X219+AE219,2)</f>
        <v>0</v>
      </c>
      <c r="AN219" s="970">
        <f t="shared" si="120"/>
        <v>0</v>
      </c>
      <c r="AO219" s="326">
        <f t="shared" si="114"/>
        <v>0</v>
      </c>
      <c r="AP219" s="30">
        <v>0</v>
      </c>
      <c r="AQ219" s="43"/>
      <c r="AR219" s="358">
        <f t="shared" ref="AR219:AR224" si="121">+ROUND(+SUM(AK219-AL219)-SUM(O219-P219)-SUM(V219-W219)-SUM(AC219-AD219),2)</f>
        <v>0</v>
      </c>
      <c r="AS219" s="359">
        <f t="shared" ref="AS219:AS224" si="122">+ROUND(+SUM(AM219-AN219)-SUM(Q219-R219)-SUM(X219-Y219)-SUM(AE219-AF219),2)</f>
        <v>0</v>
      </c>
      <c r="AT219" s="360">
        <f t="shared" ref="AT219:AT224" si="123">+ROUND(+SUM(AO219-AP219)-SUM(S219-T219)-SUM(Z219-AA219)-SUM(AG219-AH219),2)</f>
        <v>0</v>
      </c>
      <c r="AU219" s="43"/>
      <c r="AV219" s="2120">
        <f>+IF(OR(ROUND(P219,2)+ROUND(R219,2)&gt;+ROUND(O219,2)+ROUND(Q219,2),+ABS(ROUND(P219,2)+ROUND(R219,2))&gt;+ABS(ROUND(O219,2)+ROUND(Q219,2))),+(ROUND(P219,2)+ROUND(R219,2))-(ROUND(O219,2)+ROUND(Q219,2)),0)</f>
        <v>0</v>
      </c>
      <c r="AW219" s="119"/>
      <c r="AX219" s="2120">
        <f>+IF(OR(ROUND(AD219,2)+ROUND(AF219,2)&gt;+ROUND(AC219,2)+ROUND(AE219,2),+ABS(ROUND(AD219,2)+ROUND(AF219,2))&gt;+ABS(ROUND(AC219,2)+ROUND(AE219,2))),+(ROUND(AD219,2)+ROUND(AF219,2))-(ROUND(AC219,2)+ROUND(AE219,2)),0)</f>
        <v>0</v>
      </c>
      <c r="AY219" s="43"/>
      <c r="AZ219" s="43"/>
      <c r="BA219" s="43"/>
      <c r="BB219" s="43"/>
      <c r="BC219" s="43"/>
      <c r="BD219" s="43"/>
    </row>
    <row r="220" spans="1:56" ht="15.75">
      <c r="A220" s="88">
        <v>4692</v>
      </c>
      <c r="B220" s="378" t="s">
        <v>894</v>
      </c>
      <c r="C220" s="88"/>
      <c r="D220" s="1033"/>
      <c r="E220" s="1033"/>
      <c r="F220" s="1033"/>
      <c r="G220" s="1033"/>
      <c r="H220" s="1033"/>
      <c r="I220" s="1033"/>
      <c r="J220" s="1033"/>
      <c r="K220" s="1033"/>
      <c r="L220" s="574"/>
      <c r="M220" s="51" t="s">
        <v>265</v>
      </c>
      <c r="N220" s="113">
        <f t="shared" si="106"/>
        <v>4692</v>
      </c>
      <c r="O220" s="575">
        <v>0</v>
      </c>
      <c r="P220" s="576"/>
      <c r="Q220" s="325"/>
      <c r="R220" s="324"/>
      <c r="S220" s="579">
        <v>0</v>
      </c>
      <c r="T220" s="580">
        <f>+IF(ABS(+O220+Q220)&lt;=ABS(P220+R220),-O220+P220-Q220+R220,0)</f>
        <v>0</v>
      </c>
      <c r="U220" s="51"/>
      <c r="V220" s="541">
        <f>+'NF-KSF-TRIAL-BAL-2020'!O220+'RA-TRIAL-BAL-2020'!O220+'DES-TRIAL-BAL-2020'!O220+'DMP-TRIAL-BAL-2020'!O220</f>
        <v>0</v>
      </c>
      <c r="W220" s="529">
        <f>+'NF-KSF-TRIAL-BAL-2020'!P220+'RA-TRIAL-BAL-2020'!P220+'DES-TRIAL-BAL-2020'!P220+'DMP-TRIAL-BAL-2020'!P220</f>
        <v>0</v>
      </c>
      <c r="X220" s="587">
        <f>+'NF-KSF-TRIAL-BAL-2020'!Q220+'RA-TRIAL-BAL-2020'!Q220+'DES-TRIAL-BAL-2020'!Q220+'DMP-TRIAL-BAL-2020'!Q220</f>
        <v>0</v>
      </c>
      <c r="Y220" s="586">
        <f>+'NF-KSF-TRIAL-BAL-2020'!R220+'RA-TRIAL-BAL-2020'!R220+'DES-TRIAL-BAL-2020'!R220+'DMP-TRIAL-BAL-2020'!R220</f>
        <v>0</v>
      </c>
      <c r="Z220" s="587">
        <f>+'NF-KSF-TRIAL-BAL-2020'!S220+'RA-TRIAL-BAL-2020'!S220+'DES-TRIAL-BAL-2020'!S220+'DMP-TRIAL-BAL-2020'!S220</f>
        <v>0</v>
      </c>
      <c r="AA220" s="588">
        <f>+'NF-KSF-TRIAL-BAL-2020'!T220+'RA-TRIAL-BAL-2020'!T220+'DES-TRIAL-BAL-2020'!T220+'DMP-TRIAL-BAL-2020'!T220</f>
        <v>0</v>
      </c>
      <c r="AB220" s="51"/>
      <c r="AC220" s="575">
        <v>0</v>
      </c>
      <c r="AD220" s="576"/>
      <c r="AE220" s="122"/>
      <c r="AF220" s="324"/>
      <c r="AG220" s="579">
        <v>0</v>
      </c>
      <c r="AH220" s="580">
        <f>+IF(ABS(+AC220+AE220)&lt;=ABS(AD220+AF220),-AC220+AD220-AE220+AF220,0)</f>
        <v>0</v>
      </c>
      <c r="AI220" s="51"/>
      <c r="AJ220" s="1497">
        <f t="shared" si="119"/>
        <v>4692</v>
      </c>
      <c r="AK220" s="8">
        <v>0</v>
      </c>
      <c r="AL220" s="970">
        <f>+ROUND(+P220+W220+AD220,2)</f>
        <v>0</v>
      </c>
      <c r="AM220" s="326">
        <f t="shared" si="120"/>
        <v>0</v>
      </c>
      <c r="AN220" s="970">
        <f t="shared" si="120"/>
        <v>0</v>
      </c>
      <c r="AO220" s="29">
        <v>0</v>
      </c>
      <c r="AP220" s="28">
        <f>+T220+AA220+AH220</f>
        <v>0</v>
      </c>
      <c r="AQ220" s="43"/>
      <c r="AR220" s="358">
        <f t="shared" si="121"/>
        <v>0</v>
      </c>
      <c r="AS220" s="359">
        <f t="shared" si="122"/>
        <v>0</v>
      </c>
      <c r="AT220" s="360">
        <f t="shared" si="123"/>
        <v>0</v>
      </c>
      <c r="AU220" s="43"/>
      <c r="AV220" s="2119">
        <f>+IF(OR(+ROUND(O220,2)+ROUND(Q220,2)&gt;ROUND(P220,2)+ROUND(R220,2),+ABS(ROUND(O220,2)+ROUND(Q220,2))&gt;+ABS(ROUND(P220,2)+ROUND(R220,2))),+(ROUND(O220,2)+ROUND(Q220,2))-(ROUND(P220,2)+ROUND(R220,2)),0)</f>
        <v>0</v>
      </c>
      <c r="AW220" s="119"/>
      <c r="AX220" s="2119">
        <f>+IF(OR(+ROUND(AC220,2)+ROUND(AE220,2)&gt;ROUND(AD220,2)+ROUND(AF220,2),+ABS(ROUND(AC220,2)+ROUND(AE220,2))&gt;+ABS(ROUND(AD220,2)+ROUND(AF220,2))),+(ROUND(AC220,2)+ROUND(AE220,2))-(ROUND(AD220,2)+ROUND(AF220,2)),0)</f>
        <v>0</v>
      </c>
      <c r="AY220" s="43"/>
      <c r="AZ220" s="43"/>
      <c r="BA220" s="43"/>
      <c r="BB220" s="43"/>
      <c r="BC220" s="43"/>
      <c r="BD220" s="43"/>
    </row>
    <row r="221" spans="1:56" ht="15.75">
      <c r="A221" s="88">
        <v>4693</v>
      </c>
      <c r="B221" s="378" t="s">
        <v>895</v>
      </c>
      <c r="C221" s="88"/>
      <c r="D221" s="1033"/>
      <c r="E221" s="1033"/>
      <c r="F221" s="1033"/>
      <c r="G221" s="1033"/>
      <c r="H221" s="1033"/>
      <c r="I221" s="1033"/>
      <c r="J221" s="1033"/>
      <c r="K221" s="1033"/>
      <c r="L221" s="574"/>
      <c r="M221" s="51" t="s">
        <v>265</v>
      </c>
      <c r="N221" s="113">
        <f t="shared" si="106"/>
        <v>4693</v>
      </c>
      <c r="O221" s="581"/>
      <c r="P221" s="582">
        <v>0</v>
      </c>
      <c r="Q221" s="325"/>
      <c r="R221" s="324"/>
      <c r="S221" s="583">
        <f>+IF(ABS(+O221+Q221)&gt;=ABS(P221+R221),+O221-P221+Q221-R221,0)</f>
        <v>0</v>
      </c>
      <c r="T221" s="584">
        <v>0</v>
      </c>
      <c r="U221" s="51"/>
      <c r="V221" s="541">
        <f>+'NF-KSF-TRIAL-BAL-2020'!O221+'RA-TRIAL-BAL-2020'!O221+'DES-TRIAL-BAL-2020'!O221+'DMP-TRIAL-BAL-2020'!O221</f>
        <v>0</v>
      </c>
      <c r="W221" s="529">
        <f>+'NF-KSF-TRIAL-BAL-2020'!P221+'RA-TRIAL-BAL-2020'!P221+'DES-TRIAL-BAL-2020'!P221+'DMP-TRIAL-BAL-2020'!P221</f>
        <v>0</v>
      </c>
      <c r="X221" s="587">
        <f>+'NF-KSF-TRIAL-BAL-2020'!Q221+'RA-TRIAL-BAL-2020'!Q221+'DES-TRIAL-BAL-2020'!Q221+'DMP-TRIAL-BAL-2020'!Q221</f>
        <v>0</v>
      </c>
      <c r="Y221" s="586">
        <f>+'NF-KSF-TRIAL-BAL-2020'!R221+'RA-TRIAL-BAL-2020'!R221+'DES-TRIAL-BAL-2020'!R221+'DMP-TRIAL-BAL-2020'!R221</f>
        <v>0</v>
      </c>
      <c r="Z221" s="587">
        <f>+'NF-KSF-TRIAL-BAL-2020'!S221+'RA-TRIAL-BAL-2020'!S221+'DES-TRIAL-BAL-2020'!S221+'DMP-TRIAL-BAL-2020'!S221</f>
        <v>0</v>
      </c>
      <c r="AA221" s="588">
        <f>+'NF-KSF-TRIAL-BAL-2020'!T221+'RA-TRIAL-BAL-2020'!T221+'DES-TRIAL-BAL-2020'!T221+'DMP-TRIAL-BAL-2020'!T221</f>
        <v>0</v>
      </c>
      <c r="AB221" s="51"/>
      <c r="AC221" s="581"/>
      <c r="AD221" s="582">
        <v>0</v>
      </c>
      <c r="AE221" s="325"/>
      <c r="AF221" s="324"/>
      <c r="AG221" s="583">
        <f>+IF(ABS(+AC221+AE221)&gt;=ABS(AD221+AF221),+AC221-AD221+AE221-AF221,0)</f>
        <v>0</v>
      </c>
      <c r="AH221" s="584">
        <v>0</v>
      </c>
      <c r="AI221" s="51"/>
      <c r="AJ221" s="1497">
        <f t="shared" si="119"/>
        <v>4693</v>
      </c>
      <c r="AK221" s="951">
        <f>+ROUND(+O221+V221+AC221,2)</f>
        <v>0</v>
      </c>
      <c r="AL221" s="9">
        <v>0</v>
      </c>
      <c r="AM221" s="326">
        <f t="shared" si="120"/>
        <v>0</v>
      </c>
      <c r="AN221" s="970">
        <f t="shared" si="120"/>
        <v>0</v>
      </c>
      <c r="AO221" s="326">
        <f>+S221+Z221+AG221</f>
        <v>0</v>
      </c>
      <c r="AP221" s="30">
        <v>0</v>
      </c>
      <c r="AQ221" s="43"/>
      <c r="AR221" s="358">
        <f t="shared" si="121"/>
        <v>0</v>
      </c>
      <c r="AS221" s="359">
        <f t="shared" si="122"/>
        <v>0</v>
      </c>
      <c r="AT221" s="360">
        <f t="shared" si="123"/>
        <v>0</v>
      </c>
      <c r="AU221" s="43"/>
      <c r="AV221" s="2120">
        <f>+IF(OR(ROUND(P221,2)+ROUND(R221,2)&gt;+ROUND(O221,2)+ROUND(Q221,2),+ABS(ROUND(P221,2)+ROUND(R221,2))&gt;+ABS(ROUND(O221,2)+ROUND(Q221,2))),+(ROUND(P221,2)+ROUND(R221,2))-(ROUND(O221,2)+ROUND(Q221,2)),0)</f>
        <v>0</v>
      </c>
      <c r="AW221" s="119"/>
      <c r="AX221" s="2120">
        <f>+IF(OR(ROUND(AD221,2)+ROUND(AF221,2)&gt;+ROUND(AC221,2)+ROUND(AE221,2),+ABS(ROUND(AD221,2)+ROUND(AF221,2))&gt;+ABS(ROUND(AC221,2)+ROUND(AE221,2))),+(ROUND(AD221,2)+ROUND(AF221,2))-(ROUND(AC221,2)+ROUND(AE221,2)),0)</f>
        <v>0</v>
      </c>
      <c r="AY221" s="43"/>
      <c r="AZ221" s="43"/>
      <c r="BA221" s="43"/>
      <c r="BB221" s="43"/>
      <c r="BC221" s="43"/>
      <c r="BD221" s="43"/>
    </row>
    <row r="222" spans="1:56" ht="15.75">
      <c r="A222" s="88">
        <v>4694</v>
      </c>
      <c r="B222" s="378" t="s">
        <v>268</v>
      </c>
      <c r="C222" s="88"/>
      <c r="D222" s="1033"/>
      <c r="E222" s="1033"/>
      <c r="F222" s="1033"/>
      <c r="G222" s="1033"/>
      <c r="H222" s="1033"/>
      <c r="I222" s="1033"/>
      <c r="J222" s="1033"/>
      <c r="K222" s="1033"/>
      <c r="L222" s="574"/>
      <c r="M222" s="51" t="s">
        <v>265</v>
      </c>
      <c r="N222" s="113">
        <f t="shared" si="106"/>
        <v>4694</v>
      </c>
      <c r="O222" s="575">
        <v>0</v>
      </c>
      <c r="P222" s="576"/>
      <c r="Q222" s="325"/>
      <c r="R222" s="324"/>
      <c r="S222" s="579">
        <v>0</v>
      </c>
      <c r="T222" s="580">
        <f>+IF(ABS(+O222+Q222)&lt;=ABS(P222+R222),-O222+P222-Q222+R222,0)</f>
        <v>0</v>
      </c>
      <c r="U222" s="51"/>
      <c r="V222" s="541">
        <f>+'NF-KSF-TRIAL-BAL-2020'!O222+'RA-TRIAL-BAL-2020'!O222+'DES-TRIAL-BAL-2020'!O222+'DMP-TRIAL-BAL-2020'!O222</f>
        <v>0</v>
      </c>
      <c r="W222" s="529">
        <f>+'NF-KSF-TRIAL-BAL-2020'!P222+'RA-TRIAL-BAL-2020'!P222+'DES-TRIAL-BAL-2020'!P222+'DMP-TRIAL-BAL-2020'!P222</f>
        <v>0</v>
      </c>
      <c r="X222" s="587">
        <f>+'NF-KSF-TRIAL-BAL-2020'!Q222+'RA-TRIAL-BAL-2020'!Q222+'DES-TRIAL-BAL-2020'!Q222+'DMP-TRIAL-BAL-2020'!Q222</f>
        <v>0</v>
      </c>
      <c r="Y222" s="586">
        <f>+'NF-KSF-TRIAL-BAL-2020'!R222+'RA-TRIAL-BAL-2020'!R222+'DES-TRIAL-BAL-2020'!R222+'DMP-TRIAL-BAL-2020'!R222</f>
        <v>0</v>
      </c>
      <c r="Z222" s="587">
        <f>+'NF-KSF-TRIAL-BAL-2020'!S222+'RA-TRIAL-BAL-2020'!S222+'DES-TRIAL-BAL-2020'!S222+'DMP-TRIAL-BAL-2020'!S222</f>
        <v>0</v>
      </c>
      <c r="AA222" s="588">
        <f>+'NF-KSF-TRIAL-BAL-2020'!T222+'RA-TRIAL-BAL-2020'!T222+'DES-TRIAL-BAL-2020'!T222+'DMP-TRIAL-BAL-2020'!T222</f>
        <v>0</v>
      </c>
      <c r="AB222" s="51"/>
      <c r="AC222" s="575">
        <v>0</v>
      </c>
      <c r="AD222" s="576"/>
      <c r="AE222" s="325"/>
      <c r="AF222" s="324"/>
      <c r="AG222" s="579">
        <v>0</v>
      </c>
      <c r="AH222" s="580">
        <f>+IF(ABS(+AC222+AE222)&lt;=ABS(AD222+AF222),-AC222+AD222-AE222+AF222,0)</f>
        <v>0</v>
      </c>
      <c r="AI222" s="51"/>
      <c r="AJ222" s="1497">
        <f t="shared" si="119"/>
        <v>4694</v>
      </c>
      <c r="AK222" s="8">
        <v>0</v>
      </c>
      <c r="AL222" s="970">
        <f>+ROUND(+P222+W222+AD222,2)</f>
        <v>0</v>
      </c>
      <c r="AM222" s="326">
        <f t="shared" si="120"/>
        <v>0</v>
      </c>
      <c r="AN222" s="970">
        <f t="shared" si="120"/>
        <v>0</v>
      </c>
      <c r="AO222" s="29">
        <v>0</v>
      </c>
      <c r="AP222" s="28">
        <f>+T222+AA222+AH222</f>
        <v>0</v>
      </c>
      <c r="AQ222" s="43"/>
      <c r="AR222" s="358">
        <f t="shared" si="121"/>
        <v>0</v>
      </c>
      <c r="AS222" s="359">
        <f t="shared" si="122"/>
        <v>0</v>
      </c>
      <c r="AT222" s="360">
        <f t="shared" si="123"/>
        <v>0</v>
      </c>
      <c r="AU222" s="43"/>
      <c r="AV222" s="2119">
        <f>+IF(OR(+ROUND(O222,2)+ROUND(Q222,2)&gt;ROUND(P222,2)+ROUND(R222,2),+ABS(ROUND(O222,2)+ROUND(Q222,2))&gt;+ABS(ROUND(P222,2)+ROUND(R222,2))),+(ROUND(O222,2)+ROUND(Q222,2))-(ROUND(P222,2)+ROUND(R222,2)),0)</f>
        <v>0</v>
      </c>
      <c r="AW222" s="119"/>
      <c r="AX222" s="2119">
        <f>+IF(OR(+ROUND(AC222,2)+ROUND(AE222,2)&gt;ROUND(AD222,2)+ROUND(AF222,2),+ABS(ROUND(AC222,2)+ROUND(AE222,2))&gt;+ABS(ROUND(AD222,2)+ROUND(AF222,2))),+(ROUND(AC222,2)+ROUND(AE222,2))-(ROUND(AD222,2)+ROUND(AF222,2)),0)</f>
        <v>0</v>
      </c>
      <c r="AY222" s="43"/>
      <c r="AZ222" s="43"/>
      <c r="BA222" s="43"/>
      <c r="BB222" s="43"/>
      <c r="BC222" s="43"/>
      <c r="BD222" s="43"/>
    </row>
    <row r="223" spans="1:56" ht="15.75">
      <c r="A223" s="88">
        <v>4695</v>
      </c>
      <c r="B223" s="378" t="s">
        <v>269</v>
      </c>
      <c r="C223" s="88"/>
      <c r="D223" s="1033"/>
      <c r="E223" s="1033"/>
      <c r="F223" s="1033"/>
      <c r="G223" s="1033"/>
      <c r="H223" s="1033"/>
      <c r="I223" s="1033"/>
      <c r="J223" s="1033"/>
      <c r="K223" s="1033"/>
      <c r="L223" s="574"/>
      <c r="M223" s="51" t="s">
        <v>265</v>
      </c>
      <c r="N223" s="113">
        <f t="shared" si="106"/>
        <v>4695</v>
      </c>
      <c r="O223" s="581"/>
      <c r="P223" s="582">
        <v>0</v>
      </c>
      <c r="Q223" s="325"/>
      <c r="R223" s="324"/>
      <c r="S223" s="583">
        <f>+IF(ABS(+O223+Q223)&gt;=ABS(P223+R223),+O223-P223+Q223-R223,0)</f>
        <v>0</v>
      </c>
      <c r="T223" s="584">
        <v>0</v>
      </c>
      <c r="U223" s="51"/>
      <c r="V223" s="541">
        <f>+'NF-KSF-TRIAL-BAL-2020'!O223+'RA-TRIAL-BAL-2020'!O223+'DES-TRIAL-BAL-2020'!O223+'DMP-TRIAL-BAL-2020'!O223</f>
        <v>0</v>
      </c>
      <c r="W223" s="529">
        <f>+'NF-KSF-TRIAL-BAL-2020'!P223+'RA-TRIAL-BAL-2020'!P223+'DES-TRIAL-BAL-2020'!P223+'DMP-TRIAL-BAL-2020'!P223</f>
        <v>0</v>
      </c>
      <c r="X223" s="587">
        <f>+'NF-KSF-TRIAL-BAL-2020'!Q223+'RA-TRIAL-BAL-2020'!Q223+'DES-TRIAL-BAL-2020'!Q223+'DMP-TRIAL-BAL-2020'!Q223</f>
        <v>0</v>
      </c>
      <c r="Y223" s="586">
        <f>+'NF-KSF-TRIAL-BAL-2020'!R223+'RA-TRIAL-BAL-2020'!R223+'DES-TRIAL-BAL-2020'!R223+'DMP-TRIAL-BAL-2020'!R223</f>
        <v>0</v>
      </c>
      <c r="Z223" s="587">
        <f>+'NF-KSF-TRIAL-BAL-2020'!S223+'RA-TRIAL-BAL-2020'!S223+'DES-TRIAL-BAL-2020'!S223+'DMP-TRIAL-BAL-2020'!S223</f>
        <v>0</v>
      </c>
      <c r="AA223" s="588">
        <f>+'NF-KSF-TRIAL-BAL-2020'!T223+'RA-TRIAL-BAL-2020'!T223+'DES-TRIAL-BAL-2020'!T223+'DMP-TRIAL-BAL-2020'!T223</f>
        <v>0</v>
      </c>
      <c r="AB223" s="51"/>
      <c r="AC223" s="581"/>
      <c r="AD223" s="582">
        <v>0</v>
      </c>
      <c r="AE223" s="122"/>
      <c r="AF223" s="324"/>
      <c r="AG223" s="583">
        <f>+IF(ABS(+AC223+AE223)&gt;=ABS(AD223+AF223),+AC223-AD223+AE223-AF223,0)</f>
        <v>0</v>
      </c>
      <c r="AH223" s="584">
        <v>0</v>
      </c>
      <c r="AI223" s="51"/>
      <c r="AJ223" s="1497">
        <f t="shared" si="119"/>
        <v>4695</v>
      </c>
      <c r="AK223" s="951">
        <f>+ROUND(+O223+V223+AC223,2)</f>
        <v>0</v>
      </c>
      <c r="AL223" s="9">
        <v>0</v>
      </c>
      <c r="AM223" s="326">
        <f t="shared" si="120"/>
        <v>0</v>
      </c>
      <c r="AN223" s="970">
        <f t="shared" si="120"/>
        <v>0</v>
      </c>
      <c r="AO223" s="326">
        <f>+S223+Z223+AG223</f>
        <v>0</v>
      </c>
      <c r="AP223" s="30">
        <v>0</v>
      </c>
      <c r="AQ223" s="43"/>
      <c r="AR223" s="358">
        <f t="shared" si="121"/>
        <v>0</v>
      </c>
      <c r="AS223" s="359">
        <f t="shared" si="122"/>
        <v>0</v>
      </c>
      <c r="AT223" s="360">
        <f t="shared" si="123"/>
        <v>0</v>
      </c>
      <c r="AU223" s="43"/>
      <c r="AV223" s="2120">
        <f>+IF(OR(ROUND(P223,2)+ROUND(R223,2)&gt;+ROUND(O223,2)+ROUND(Q223,2),+ABS(ROUND(P223,2)+ROUND(R223,2))&gt;+ABS(ROUND(O223,2)+ROUND(Q223,2))),+(ROUND(P223,2)+ROUND(R223,2))-(ROUND(O223,2)+ROUND(Q223,2)),0)</f>
        <v>0</v>
      </c>
      <c r="AW223" s="119"/>
      <c r="AX223" s="2120">
        <f>+IF(OR(ROUND(AD223,2)+ROUND(AF223,2)&gt;+ROUND(AC223,2)+ROUND(AE223,2),+ABS(ROUND(AD223,2)+ROUND(AF223,2))&gt;+ABS(ROUND(AC223,2)+ROUND(AE223,2))),+(ROUND(AD223,2)+ROUND(AF223,2))-(ROUND(AC223,2)+ROUND(AE223,2)),0)</f>
        <v>0</v>
      </c>
      <c r="AY223" s="43"/>
      <c r="AZ223" s="43"/>
      <c r="BA223" s="43"/>
      <c r="BB223" s="43"/>
      <c r="BC223" s="43"/>
      <c r="BD223" s="43"/>
    </row>
    <row r="224" spans="1:56" ht="15.75">
      <c r="A224" s="88">
        <v>4696</v>
      </c>
      <c r="B224" s="378" t="s">
        <v>270</v>
      </c>
      <c r="C224" s="88"/>
      <c r="D224" s="1033"/>
      <c r="E224" s="1033"/>
      <c r="F224" s="1033"/>
      <c r="G224" s="1033"/>
      <c r="H224" s="1033"/>
      <c r="I224" s="1033"/>
      <c r="J224" s="1033"/>
      <c r="K224" s="1033"/>
      <c r="L224" s="574"/>
      <c r="M224" s="51" t="s">
        <v>265</v>
      </c>
      <c r="N224" s="113">
        <f t="shared" si="106"/>
        <v>4696</v>
      </c>
      <c r="O224" s="575">
        <v>0</v>
      </c>
      <c r="P224" s="576"/>
      <c r="Q224" s="325"/>
      <c r="R224" s="324"/>
      <c r="S224" s="579">
        <v>0</v>
      </c>
      <c r="T224" s="580">
        <f>+IF(ABS(+O224+Q224)&lt;=ABS(P224+R224),-O224+P224-Q224+R224,0)</f>
        <v>0</v>
      </c>
      <c r="U224" s="51"/>
      <c r="V224" s="541">
        <f>+'NF-KSF-TRIAL-BAL-2020'!O224+'RA-TRIAL-BAL-2020'!O224+'DES-TRIAL-BAL-2020'!O224+'DMP-TRIAL-BAL-2020'!O224</f>
        <v>0</v>
      </c>
      <c r="W224" s="529">
        <f>+'NF-KSF-TRIAL-BAL-2020'!P224+'RA-TRIAL-BAL-2020'!P224+'DES-TRIAL-BAL-2020'!P224+'DMP-TRIAL-BAL-2020'!P224</f>
        <v>0</v>
      </c>
      <c r="X224" s="587">
        <f>+'NF-KSF-TRIAL-BAL-2020'!Q224+'RA-TRIAL-BAL-2020'!Q224+'DES-TRIAL-BAL-2020'!Q224+'DMP-TRIAL-BAL-2020'!Q224</f>
        <v>0</v>
      </c>
      <c r="Y224" s="586">
        <f>+'NF-KSF-TRIAL-BAL-2020'!R224+'RA-TRIAL-BAL-2020'!R224+'DES-TRIAL-BAL-2020'!R224+'DMP-TRIAL-BAL-2020'!R224</f>
        <v>0</v>
      </c>
      <c r="Z224" s="587">
        <f>+'NF-KSF-TRIAL-BAL-2020'!S224+'RA-TRIAL-BAL-2020'!S224+'DES-TRIAL-BAL-2020'!S224+'DMP-TRIAL-BAL-2020'!S224</f>
        <v>0</v>
      </c>
      <c r="AA224" s="588">
        <f>+'NF-KSF-TRIAL-BAL-2020'!T224+'RA-TRIAL-BAL-2020'!T224+'DES-TRIAL-BAL-2020'!T224+'DMP-TRIAL-BAL-2020'!T224</f>
        <v>0</v>
      </c>
      <c r="AB224" s="51"/>
      <c r="AC224" s="575">
        <v>0</v>
      </c>
      <c r="AD224" s="576"/>
      <c r="AE224" s="325"/>
      <c r="AF224" s="324"/>
      <c r="AG224" s="579">
        <v>0</v>
      </c>
      <c r="AH224" s="580">
        <f>+IF(ABS(+AC224+AE224)&lt;=ABS(AD224+AF224),-AC224+AD224-AE224+AF224,0)</f>
        <v>0</v>
      </c>
      <c r="AI224" s="51"/>
      <c r="AJ224" s="1497">
        <f t="shared" si="119"/>
        <v>4696</v>
      </c>
      <c r="AK224" s="8">
        <v>0</v>
      </c>
      <c r="AL224" s="970">
        <f>+ROUND(+P224+W224+AD224,2)</f>
        <v>0</v>
      </c>
      <c r="AM224" s="326">
        <f t="shared" si="120"/>
        <v>0</v>
      </c>
      <c r="AN224" s="970">
        <f t="shared" si="120"/>
        <v>0</v>
      </c>
      <c r="AO224" s="29">
        <v>0</v>
      </c>
      <c r="AP224" s="28">
        <f>+T224+AA224+AH224</f>
        <v>0</v>
      </c>
      <c r="AQ224" s="43"/>
      <c r="AR224" s="358">
        <f t="shared" si="121"/>
        <v>0</v>
      </c>
      <c r="AS224" s="359">
        <f t="shared" si="122"/>
        <v>0</v>
      </c>
      <c r="AT224" s="360">
        <f t="shared" si="123"/>
        <v>0</v>
      </c>
      <c r="AU224" s="43"/>
      <c r="AV224" s="2119">
        <f>+IF(OR(+ROUND(O224,2)+ROUND(Q224,2)&gt;ROUND(P224,2)+ROUND(R224,2),+ABS(ROUND(O224,2)+ROUND(Q224,2))&gt;+ABS(ROUND(P224,2)+ROUND(R224,2))),+(ROUND(O224,2)+ROUND(Q224,2))-(ROUND(P224,2)+ROUND(R224,2)),0)</f>
        <v>0</v>
      </c>
      <c r="AW224" s="119"/>
      <c r="AX224" s="2119">
        <f>+IF(OR(+ROUND(AC224,2)+ROUND(AE224,2)&gt;ROUND(AD224,2)+ROUND(AF224,2),+ABS(ROUND(AC224,2)+ROUND(AE224,2))&gt;+ABS(ROUND(AD224,2)+ROUND(AF224,2))),+(ROUND(AC224,2)+ROUND(AE224,2))-(ROUND(AD224,2)+ROUND(AF224,2)),0)</f>
        <v>0</v>
      </c>
      <c r="AY224" s="43"/>
      <c r="AZ224" s="43"/>
      <c r="BA224" s="43"/>
      <c r="BB224" s="43"/>
      <c r="BC224" s="43"/>
      <c r="BD224" s="43"/>
    </row>
    <row r="225" spans="1:56" ht="15.75">
      <c r="A225" s="88">
        <v>4830</v>
      </c>
      <c r="B225" s="378" t="s">
        <v>271</v>
      </c>
      <c r="C225" s="88"/>
      <c r="D225" s="1033"/>
      <c r="E225" s="1033"/>
      <c r="F225" s="1033"/>
      <c r="G225" s="1033"/>
      <c r="H225" s="1033"/>
      <c r="I225" s="1033"/>
      <c r="J225" s="1033"/>
      <c r="K225" s="1033"/>
      <c r="L225" s="574"/>
      <c r="M225" s="51" t="s">
        <v>265</v>
      </c>
      <c r="N225" s="113">
        <f t="shared" si="106"/>
        <v>4830</v>
      </c>
      <c r="O225" s="575">
        <v>0</v>
      </c>
      <c r="P225" s="576"/>
      <c r="Q225" s="325"/>
      <c r="R225" s="324"/>
      <c r="S225" s="579">
        <v>0</v>
      </c>
      <c r="T225" s="580">
        <f>+IF(ABS(+O225+Q225)&lt;=ABS(P225+R225),-O225+P225-Q225+R225,0)</f>
        <v>0</v>
      </c>
      <c r="U225" s="51"/>
      <c r="V225" s="541">
        <f>+'NF-KSF-TRIAL-BAL-2020'!O225+'RA-TRIAL-BAL-2020'!O225+'DES-TRIAL-BAL-2020'!O225+'DMP-TRIAL-BAL-2020'!O225</f>
        <v>0</v>
      </c>
      <c r="W225" s="529">
        <f>+'NF-KSF-TRIAL-BAL-2020'!P225+'RA-TRIAL-BAL-2020'!P225+'DES-TRIAL-BAL-2020'!P225+'DMP-TRIAL-BAL-2020'!P225</f>
        <v>0</v>
      </c>
      <c r="X225" s="587">
        <f>+'NF-KSF-TRIAL-BAL-2020'!Q225+'RA-TRIAL-BAL-2020'!Q225+'DES-TRIAL-BAL-2020'!Q225+'DMP-TRIAL-BAL-2020'!Q225</f>
        <v>0</v>
      </c>
      <c r="Y225" s="586">
        <f>+'NF-KSF-TRIAL-BAL-2020'!R225+'RA-TRIAL-BAL-2020'!R225+'DES-TRIAL-BAL-2020'!R225+'DMP-TRIAL-BAL-2020'!R225</f>
        <v>0</v>
      </c>
      <c r="Z225" s="587">
        <f>+'NF-KSF-TRIAL-BAL-2020'!S225+'RA-TRIAL-BAL-2020'!S225+'DES-TRIAL-BAL-2020'!S225+'DMP-TRIAL-BAL-2020'!S225</f>
        <v>0</v>
      </c>
      <c r="AA225" s="588">
        <f>+'NF-KSF-TRIAL-BAL-2020'!T225+'RA-TRIAL-BAL-2020'!T225+'DES-TRIAL-BAL-2020'!T225+'DMP-TRIAL-BAL-2020'!T225</f>
        <v>0</v>
      </c>
      <c r="AB225" s="51"/>
      <c r="AC225" s="575">
        <v>0</v>
      </c>
      <c r="AD225" s="576"/>
      <c r="AE225" s="325"/>
      <c r="AF225" s="324"/>
      <c r="AG225" s="579">
        <v>0</v>
      </c>
      <c r="AH225" s="580">
        <f>+IF(ABS(+AC225+AE225)&lt;=ABS(AD225+AF225),-AC225+AD225-AE225+AF225,0)</f>
        <v>0</v>
      </c>
      <c r="AI225" s="51"/>
      <c r="AJ225" s="1497">
        <f t="shared" ref="AJ225:AJ325" si="124">+N225</f>
        <v>4830</v>
      </c>
      <c r="AK225" s="8">
        <v>0</v>
      </c>
      <c r="AL225" s="970">
        <f>+ROUND(+P225+W225+AD225,2)</f>
        <v>0</v>
      </c>
      <c r="AM225" s="326">
        <f t="shared" ref="AM225:AN228" si="125">+ROUND(+Q225+X225+AE225,2)</f>
        <v>0</v>
      </c>
      <c r="AN225" s="970">
        <f t="shared" si="125"/>
        <v>0</v>
      </c>
      <c r="AO225" s="29">
        <v>0</v>
      </c>
      <c r="AP225" s="28">
        <f>+T225+AA225+AH225</f>
        <v>0</v>
      </c>
      <c r="AQ225" s="43"/>
      <c r="AR225" s="358">
        <f t="shared" si="109"/>
        <v>0</v>
      </c>
      <c r="AS225" s="359">
        <f t="shared" si="110"/>
        <v>0</v>
      </c>
      <c r="AT225" s="360">
        <f t="shared" si="111"/>
        <v>0</v>
      </c>
      <c r="AU225" s="43"/>
      <c r="AV225" s="2119">
        <f>+IF(OR(+ROUND(O225,2)+ROUND(Q225,2)&gt;ROUND(P225,2)+ROUND(R225,2),+ABS(ROUND(O225,2)+ROUND(Q225,2))&gt;+ABS(ROUND(P225,2)+ROUND(R225,2))),+(ROUND(O225,2)+ROUND(Q225,2))-(ROUND(P225,2)+ROUND(R225,2)),0)</f>
        <v>0</v>
      </c>
      <c r="AW225" s="119"/>
      <c r="AX225" s="2119">
        <f>+IF(OR(+ROUND(AC225,2)+ROUND(AE225,2)&gt;ROUND(AD225,2)+ROUND(AF225,2),+ABS(ROUND(AC225,2)+ROUND(AE225,2))&gt;+ABS(ROUND(AD225,2)+ROUND(AF225,2))),+(ROUND(AC225,2)+ROUND(AE225,2))-(ROUND(AD225,2)+ROUND(AF225,2)),0)</f>
        <v>0</v>
      </c>
      <c r="AY225" s="43"/>
      <c r="AZ225" s="43"/>
      <c r="BA225" s="43"/>
      <c r="BB225" s="43"/>
      <c r="BC225" s="43"/>
      <c r="BD225" s="43"/>
    </row>
    <row r="226" spans="1:56" ht="15.75">
      <c r="A226" s="88">
        <v>4831</v>
      </c>
      <c r="B226" s="378" t="s">
        <v>272</v>
      </c>
      <c r="C226" s="88"/>
      <c r="D226" s="1033"/>
      <c r="E226" s="1033"/>
      <c r="F226" s="1033"/>
      <c r="G226" s="1033"/>
      <c r="H226" s="1033"/>
      <c r="I226" s="1033"/>
      <c r="J226" s="1033"/>
      <c r="K226" s="1033"/>
      <c r="L226" s="574"/>
      <c r="M226" s="51" t="s">
        <v>265</v>
      </c>
      <c r="N226" s="113">
        <f t="shared" si="106"/>
        <v>4831</v>
      </c>
      <c r="O226" s="575">
        <v>0</v>
      </c>
      <c r="P226" s="576">
        <v>0</v>
      </c>
      <c r="Q226" s="325">
        <v>0</v>
      </c>
      <c r="R226" s="324">
        <v>0</v>
      </c>
      <c r="S226" s="579">
        <v>0</v>
      </c>
      <c r="T226" s="580">
        <f>+IF(ABS(+O226+Q226)&lt;=ABS(P226+R226),-O226+P226-Q226+R226,0)</f>
        <v>0</v>
      </c>
      <c r="U226" s="51"/>
      <c r="V226" s="541">
        <f>+'NF-KSF-TRIAL-BAL-2020'!O226+'RA-TRIAL-BAL-2020'!O226+'DES-TRIAL-BAL-2020'!O226+'DMP-TRIAL-BAL-2020'!O226</f>
        <v>0</v>
      </c>
      <c r="W226" s="529">
        <f>+'NF-KSF-TRIAL-BAL-2020'!P226+'RA-TRIAL-BAL-2020'!P226+'DES-TRIAL-BAL-2020'!P226+'DMP-TRIAL-BAL-2020'!P226</f>
        <v>0</v>
      </c>
      <c r="X226" s="587">
        <f>+'NF-KSF-TRIAL-BAL-2020'!Q226+'RA-TRIAL-BAL-2020'!Q226+'DES-TRIAL-BAL-2020'!Q226+'DMP-TRIAL-BAL-2020'!Q226</f>
        <v>0</v>
      </c>
      <c r="Y226" s="586">
        <f>+'NF-KSF-TRIAL-BAL-2020'!R226+'RA-TRIAL-BAL-2020'!R226+'DES-TRIAL-BAL-2020'!R226+'DMP-TRIAL-BAL-2020'!R226</f>
        <v>0</v>
      </c>
      <c r="Z226" s="587">
        <f>+'NF-KSF-TRIAL-BAL-2020'!S226+'RA-TRIAL-BAL-2020'!S226+'DES-TRIAL-BAL-2020'!S226+'DMP-TRIAL-BAL-2020'!S226</f>
        <v>0</v>
      </c>
      <c r="AA226" s="588">
        <f>+'NF-KSF-TRIAL-BAL-2020'!T226+'RA-TRIAL-BAL-2020'!T226+'DES-TRIAL-BAL-2020'!T226+'DMP-TRIAL-BAL-2020'!T226</f>
        <v>0</v>
      </c>
      <c r="AB226" s="51"/>
      <c r="AC226" s="575">
        <v>0</v>
      </c>
      <c r="AD226" s="576">
        <v>0</v>
      </c>
      <c r="AE226" s="122">
        <v>0</v>
      </c>
      <c r="AF226" s="324">
        <v>0</v>
      </c>
      <c r="AG226" s="579">
        <v>0</v>
      </c>
      <c r="AH226" s="580">
        <f>+IF(ABS(+AC226+AE226)&lt;=ABS(AD226+AF226),-AC226+AD226-AE226+AF226,0)</f>
        <v>0</v>
      </c>
      <c r="AI226" s="51"/>
      <c r="AJ226" s="1497">
        <f t="shared" si="124"/>
        <v>4831</v>
      </c>
      <c r="AK226" s="8">
        <v>0</v>
      </c>
      <c r="AL226" s="970">
        <f>+ROUND(+P226+W226+AD226,2)</f>
        <v>0</v>
      </c>
      <c r="AM226" s="326">
        <f t="shared" si="125"/>
        <v>0</v>
      </c>
      <c r="AN226" s="970">
        <f t="shared" si="125"/>
        <v>0</v>
      </c>
      <c r="AO226" s="29">
        <v>0</v>
      </c>
      <c r="AP226" s="28">
        <f>+T226+AA226+AH226</f>
        <v>0</v>
      </c>
      <c r="AQ226" s="43"/>
      <c r="AR226" s="358">
        <f t="shared" si="109"/>
        <v>0</v>
      </c>
      <c r="AS226" s="359">
        <f t="shared" si="110"/>
        <v>0</v>
      </c>
      <c r="AT226" s="360">
        <f t="shared" si="111"/>
        <v>0</v>
      </c>
      <c r="AU226" s="43"/>
      <c r="AV226" s="2119">
        <f>+IF(OR(+ROUND(O226,2)+ROUND(Q226,2)&gt;ROUND(P226,2)+ROUND(R226,2),+ABS(ROUND(O226,2)+ROUND(Q226,2))&gt;+ABS(ROUND(P226,2)+ROUND(R226,2))),+(ROUND(O226,2)+ROUND(Q226,2))-(ROUND(P226,2)+ROUND(R226,2)),0)</f>
        <v>0</v>
      </c>
      <c r="AW226" s="119"/>
      <c r="AX226" s="2119">
        <f>+IF(OR(+ROUND(AC226,2)+ROUND(AE226,2)&gt;ROUND(AD226,2)+ROUND(AF226,2),+ABS(ROUND(AC226,2)+ROUND(AE226,2))&gt;+ABS(ROUND(AD226,2)+ROUND(AF226,2))),+(ROUND(AC226,2)+ROUND(AE226,2))-(ROUND(AD226,2)+ROUND(AF226,2)),0)</f>
        <v>0</v>
      </c>
      <c r="AY226" s="43"/>
      <c r="AZ226" s="43"/>
      <c r="BA226" s="43"/>
      <c r="BB226" s="43"/>
      <c r="BC226" s="43"/>
      <c r="BD226" s="43"/>
    </row>
    <row r="227" spans="1:56" ht="15.75">
      <c r="A227" s="88">
        <v>4832</v>
      </c>
      <c r="B227" s="378" t="s">
        <v>273</v>
      </c>
      <c r="C227" s="88"/>
      <c r="D227" s="1033"/>
      <c r="E227" s="1033"/>
      <c r="F227" s="1033"/>
      <c r="G227" s="1033"/>
      <c r="H227" s="1033"/>
      <c r="I227" s="1033"/>
      <c r="J227" s="1033"/>
      <c r="K227" s="1033"/>
      <c r="L227" s="574"/>
      <c r="M227" s="51" t="s">
        <v>265</v>
      </c>
      <c r="N227" s="113">
        <f t="shared" si="106"/>
        <v>4832</v>
      </c>
      <c r="O227" s="575">
        <v>0</v>
      </c>
      <c r="P227" s="576"/>
      <c r="Q227" s="325"/>
      <c r="R227" s="324"/>
      <c r="S227" s="579">
        <v>0</v>
      </c>
      <c r="T227" s="580">
        <f>+IF(ABS(+O227+Q227)&lt;=ABS(P227+R227),-O227+P227-Q227+R227,0)</f>
        <v>0</v>
      </c>
      <c r="U227" s="51"/>
      <c r="V227" s="541">
        <f>+'NF-KSF-TRIAL-BAL-2020'!O227+'RA-TRIAL-BAL-2020'!O227+'DES-TRIAL-BAL-2020'!O227+'DMP-TRIAL-BAL-2020'!O227</f>
        <v>0</v>
      </c>
      <c r="W227" s="529">
        <f>+'NF-KSF-TRIAL-BAL-2020'!P227+'RA-TRIAL-BAL-2020'!P227+'DES-TRIAL-BAL-2020'!P227+'DMP-TRIAL-BAL-2020'!P227</f>
        <v>0</v>
      </c>
      <c r="X227" s="587">
        <f>+'NF-KSF-TRIAL-BAL-2020'!Q227+'RA-TRIAL-BAL-2020'!Q227+'DES-TRIAL-BAL-2020'!Q227+'DMP-TRIAL-BAL-2020'!Q227</f>
        <v>0</v>
      </c>
      <c r="Y227" s="586">
        <f>+'NF-KSF-TRIAL-BAL-2020'!R227+'RA-TRIAL-BAL-2020'!R227+'DES-TRIAL-BAL-2020'!R227+'DMP-TRIAL-BAL-2020'!R227</f>
        <v>0</v>
      </c>
      <c r="Z227" s="587">
        <f>+'NF-KSF-TRIAL-BAL-2020'!S227+'RA-TRIAL-BAL-2020'!S227+'DES-TRIAL-BAL-2020'!S227+'DMP-TRIAL-BAL-2020'!S227</f>
        <v>0</v>
      </c>
      <c r="AA227" s="588">
        <f>+'NF-KSF-TRIAL-BAL-2020'!T227+'RA-TRIAL-BAL-2020'!T227+'DES-TRIAL-BAL-2020'!T227+'DMP-TRIAL-BAL-2020'!T227</f>
        <v>0</v>
      </c>
      <c r="AB227" s="51"/>
      <c r="AC227" s="575">
        <v>0</v>
      </c>
      <c r="AD227" s="576"/>
      <c r="AE227" s="325"/>
      <c r="AF227" s="324"/>
      <c r="AG227" s="579">
        <v>0</v>
      </c>
      <c r="AH227" s="580">
        <f>+IF(ABS(+AC227+AE227)&lt;=ABS(AD227+AF227),-AC227+AD227-AE227+AF227,0)</f>
        <v>0</v>
      </c>
      <c r="AI227" s="51"/>
      <c r="AJ227" s="1497">
        <f t="shared" si="124"/>
        <v>4832</v>
      </c>
      <c r="AK227" s="8">
        <v>0</v>
      </c>
      <c r="AL227" s="970">
        <f>+ROUND(+P227+W227+AD227,2)</f>
        <v>0</v>
      </c>
      <c r="AM227" s="326">
        <f t="shared" si="125"/>
        <v>0</v>
      </c>
      <c r="AN227" s="970">
        <f t="shared" si="125"/>
        <v>0</v>
      </c>
      <c r="AO227" s="29">
        <v>0</v>
      </c>
      <c r="AP227" s="28">
        <f>+T227+AA227+AH227</f>
        <v>0</v>
      </c>
      <c r="AQ227" s="43"/>
      <c r="AR227" s="358">
        <f t="shared" si="109"/>
        <v>0</v>
      </c>
      <c r="AS227" s="359">
        <f t="shared" si="110"/>
        <v>0</v>
      </c>
      <c r="AT227" s="360">
        <f t="shared" si="111"/>
        <v>0</v>
      </c>
      <c r="AU227" s="43"/>
      <c r="AV227" s="2119">
        <f>+IF(OR(+ROUND(O227,2)+ROUND(Q227,2)&gt;ROUND(P227,2)+ROUND(R227,2),+ABS(ROUND(O227,2)+ROUND(Q227,2))&gt;+ABS(ROUND(P227,2)+ROUND(R227,2))),+(ROUND(O227,2)+ROUND(Q227,2))-(ROUND(P227,2)+ROUND(R227,2)),0)</f>
        <v>0</v>
      </c>
      <c r="AW227" s="119"/>
      <c r="AX227" s="2119">
        <f>+IF(OR(+ROUND(AC227,2)+ROUND(AE227,2)&gt;ROUND(AD227,2)+ROUND(AF227,2),+ABS(ROUND(AC227,2)+ROUND(AE227,2))&gt;+ABS(ROUND(AD227,2)+ROUND(AF227,2))),+(ROUND(AC227,2)+ROUND(AE227,2))-(ROUND(AD227,2)+ROUND(AF227,2)),0)</f>
        <v>0</v>
      </c>
      <c r="AY227" s="43"/>
      <c r="AZ227" s="43"/>
      <c r="BA227" s="43"/>
      <c r="BB227" s="43"/>
      <c r="BC227" s="43"/>
      <c r="BD227" s="43"/>
    </row>
    <row r="228" spans="1:56" ht="15.75">
      <c r="A228" s="88">
        <v>4835</v>
      </c>
      <c r="B228" s="378" t="s">
        <v>274</v>
      </c>
      <c r="C228" s="88"/>
      <c r="D228" s="1033"/>
      <c r="E228" s="1033"/>
      <c r="F228" s="1033"/>
      <c r="G228" s="1033"/>
      <c r="H228" s="1033"/>
      <c r="I228" s="1033"/>
      <c r="J228" s="1033"/>
      <c r="K228" s="1033"/>
      <c r="L228" s="574"/>
      <c r="M228" s="51" t="s">
        <v>265</v>
      </c>
      <c r="N228" s="113">
        <f t="shared" si="106"/>
        <v>4835</v>
      </c>
      <c r="O228" s="575">
        <v>0</v>
      </c>
      <c r="P228" s="576"/>
      <c r="Q228" s="325"/>
      <c r="R228" s="324"/>
      <c r="S228" s="579">
        <v>0</v>
      </c>
      <c r="T228" s="580">
        <f>+IF(ABS(+O228+Q228)&lt;=ABS(P228+R228),-O228+P228-Q228+R228,0)</f>
        <v>0</v>
      </c>
      <c r="U228" s="51"/>
      <c r="V228" s="541">
        <f>+'NF-KSF-TRIAL-BAL-2020'!O228+'RA-TRIAL-BAL-2020'!O228+'DES-TRIAL-BAL-2020'!O228+'DMP-TRIAL-BAL-2020'!O228</f>
        <v>0</v>
      </c>
      <c r="W228" s="529">
        <f>+'NF-KSF-TRIAL-BAL-2020'!P228+'RA-TRIAL-BAL-2020'!P228+'DES-TRIAL-BAL-2020'!P228+'DMP-TRIAL-BAL-2020'!P228</f>
        <v>0</v>
      </c>
      <c r="X228" s="587">
        <f>+'NF-KSF-TRIAL-BAL-2020'!Q228+'RA-TRIAL-BAL-2020'!Q228+'DES-TRIAL-BAL-2020'!Q228+'DMP-TRIAL-BAL-2020'!Q228</f>
        <v>0</v>
      </c>
      <c r="Y228" s="586">
        <f>+'NF-KSF-TRIAL-BAL-2020'!R228+'RA-TRIAL-BAL-2020'!R228+'DES-TRIAL-BAL-2020'!R228+'DMP-TRIAL-BAL-2020'!R228</f>
        <v>0</v>
      </c>
      <c r="Z228" s="587">
        <f>+'NF-KSF-TRIAL-BAL-2020'!S228+'RA-TRIAL-BAL-2020'!S228+'DES-TRIAL-BAL-2020'!S228+'DMP-TRIAL-BAL-2020'!S228</f>
        <v>0</v>
      </c>
      <c r="AA228" s="588">
        <f>+'NF-KSF-TRIAL-BAL-2020'!T228+'RA-TRIAL-BAL-2020'!T228+'DES-TRIAL-BAL-2020'!T228+'DMP-TRIAL-BAL-2020'!T228</f>
        <v>0</v>
      </c>
      <c r="AB228" s="51"/>
      <c r="AC228" s="575">
        <v>0</v>
      </c>
      <c r="AD228" s="576"/>
      <c r="AE228" s="325"/>
      <c r="AF228" s="324"/>
      <c r="AG228" s="579">
        <v>0</v>
      </c>
      <c r="AH228" s="580">
        <f>+IF(ABS(+AC228+AE228)&lt;=ABS(AD228+AF228),-AC228+AD228-AE228+AF228,0)</f>
        <v>0</v>
      </c>
      <c r="AI228" s="51"/>
      <c r="AJ228" s="1497">
        <f t="shared" si="124"/>
        <v>4835</v>
      </c>
      <c r="AK228" s="8">
        <v>0</v>
      </c>
      <c r="AL228" s="970">
        <f>+ROUND(+P228+W228+AD228,2)</f>
        <v>0</v>
      </c>
      <c r="AM228" s="326">
        <f t="shared" si="125"/>
        <v>0</v>
      </c>
      <c r="AN228" s="970">
        <f t="shared" si="125"/>
        <v>0</v>
      </c>
      <c r="AO228" s="29">
        <v>0</v>
      </c>
      <c r="AP228" s="28">
        <f>+T228+AA228+AH228</f>
        <v>0</v>
      </c>
      <c r="AQ228" s="43"/>
      <c r="AR228" s="358">
        <f t="shared" si="109"/>
        <v>0</v>
      </c>
      <c r="AS228" s="359">
        <f t="shared" si="110"/>
        <v>0</v>
      </c>
      <c r="AT228" s="360">
        <f t="shared" si="111"/>
        <v>0</v>
      </c>
      <c r="AU228" s="43"/>
      <c r="AV228" s="2119">
        <f>+IF(OR(+ROUND(O228,2)+ROUND(Q228,2)&gt;ROUND(P228,2)+ROUND(R228,2),+ABS(ROUND(O228,2)+ROUND(Q228,2))&gt;+ABS(ROUND(P228,2)+ROUND(R228,2))),+(ROUND(O228,2)+ROUND(Q228,2))-(ROUND(P228,2)+ROUND(R228,2)),0)</f>
        <v>0</v>
      </c>
      <c r="AW228" s="119"/>
      <c r="AX228" s="2119">
        <f>+IF(OR(+ROUND(AC228,2)+ROUND(AE228,2)&gt;ROUND(AD228,2)+ROUND(AF228,2),+ABS(ROUND(AC228,2)+ROUND(AE228,2))&gt;+ABS(ROUND(AD228,2)+ROUND(AF228,2))),+(ROUND(AC228,2)+ROUND(AE228,2))-(ROUND(AD228,2)+ROUND(AF228,2)),0)</f>
        <v>0</v>
      </c>
      <c r="AY228" s="43"/>
      <c r="AZ228" s="43"/>
      <c r="BA228" s="43"/>
      <c r="BB228" s="43"/>
      <c r="BC228" s="43"/>
      <c r="BD228" s="43"/>
    </row>
    <row r="229" spans="1:56" ht="15.75">
      <c r="A229" s="88">
        <v>4841</v>
      </c>
      <c r="B229" s="378" t="s">
        <v>275</v>
      </c>
      <c r="C229" s="88"/>
      <c r="D229" s="1033"/>
      <c r="E229" s="1033"/>
      <c r="F229" s="1033"/>
      <c r="G229" s="1033"/>
      <c r="H229" s="1033"/>
      <c r="I229" s="1033"/>
      <c r="J229" s="1033"/>
      <c r="K229" s="1033"/>
      <c r="L229" s="574"/>
      <c r="M229" s="51" t="s">
        <v>265</v>
      </c>
      <c r="N229" s="113">
        <f t="shared" si="106"/>
        <v>4841</v>
      </c>
      <c r="O229" s="581"/>
      <c r="P229" s="582">
        <v>0</v>
      </c>
      <c r="Q229" s="325"/>
      <c r="R229" s="324"/>
      <c r="S229" s="583">
        <f>+IF(ABS(+O229+Q229)&gt;=ABS(P229+R229),+O229-P229+Q229-R229,0)</f>
        <v>0</v>
      </c>
      <c r="T229" s="584">
        <v>0</v>
      </c>
      <c r="U229" s="51"/>
      <c r="V229" s="541">
        <f>+'NF-KSF-TRIAL-BAL-2020'!O229+'RA-TRIAL-BAL-2020'!O229+'DES-TRIAL-BAL-2020'!O229+'DMP-TRIAL-BAL-2020'!O229</f>
        <v>0</v>
      </c>
      <c r="W229" s="529">
        <f>+'NF-KSF-TRIAL-BAL-2020'!P229+'RA-TRIAL-BAL-2020'!P229+'DES-TRIAL-BAL-2020'!P229+'DMP-TRIAL-BAL-2020'!P229</f>
        <v>0</v>
      </c>
      <c r="X229" s="587">
        <f>+'NF-KSF-TRIAL-BAL-2020'!Q229+'RA-TRIAL-BAL-2020'!Q229+'DES-TRIAL-BAL-2020'!Q229+'DMP-TRIAL-BAL-2020'!Q229</f>
        <v>0</v>
      </c>
      <c r="Y229" s="586">
        <f>+'NF-KSF-TRIAL-BAL-2020'!R229+'RA-TRIAL-BAL-2020'!R229+'DES-TRIAL-BAL-2020'!R229+'DMP-TRIAL-BAL-2020'!R229</f>
        <v>0</v>
      </c>
      <c r="Z229" s="587">
        <f>+'NF-KSF-TRIAL-BAL-2020'!S229+'RA-TRIAL-BAL-2020'!S229+'DES-TRIAL-BAL-2020'!S229+'DMP-TRIAL-BAL-2020'!S229</f>
        <v>0</v>
      </c>
      <c r="AA229" s="588">
        <f>+'NF-KSF-TRIAL-BAL-2020'!T229+'RA-TRIAL-BAL-2020'!T229+'DES-TRIAL-BAL-2020'!T229+'DMP-TRIAL-BAL-2020'!T229</f>
        <v>0</v>
      </c>
      <c r="AB229" s="51"/>
      <c r="AC229" s="581"/>
      <c r="AD229" s="582">
        <v>0</v>
      </c>
      <c r="AE229" s="325"/>
      <c r="AF229" s="324"/>
      <c r="AG229" s="583">
        <f>+IF(ABS(+AC229+AE229)&gt;=ABS(AD229+AF229),+AC229-AD229+AE229-AF229,0)</f>
        <v>0</v>
      </c>
      <c r="AH229" s="584">
        <v>0</v>
      </c>
      <c r="AI229" s="51"/>
      <c r="AJ229" s="1497">
        <f t="shared" ref="AJ229:AJ235" si="126">+N229</f>
        <v>4841</v>
      </c>
      <c r="AK229" s="951">
        <f>+ROUND(+O229+V229+AC229,2)</f>
        <v>0</v>
      </c>
      <c r="AL229" s="9">
        <v>0</v>
      </c>
      <c r="AM229" s="326">
        <f t="shared" ref="AM229:AN235" si="127">+ROUND(+Q229+X229+AE229,2)</f>
        <v>0</v>
      </c>
      <c r="AN229" s="970">
        <f t="shared" si="127"/>
        <v>0</v>
      </c>
      <c r="AO229" s="326">
        <f>+S229+Z229+AG229</f>
        <v>0</v>
      </c>
      <c r="AP229" s="30">
        <v>0</v>
      </c>
      <c r="AQ229" s="43"/>
      <c r="AR229" s="358">
        <f t="shared" ref="AR229:AR234" si="128">+ROUND(+SUM(AK229-AL229)-SUM(O229-P229)-SUM(V229-W229)-SUM(AC229-AD229),2)</f>
        <v>0</v>
      </c>
      <c r="AS229" s="359">
        <f t="shared" ref="AS229:AS234" si="129">+ROUND(+SUM(AM229-AN229)-SUM(Q229-R229)-SUM(X229-Y229)-SUM(AE229-AF229),2)</f>
        <v>0</v>
      </c>
      <c r="AT229" s="360">
        <f t="shared" ref="AT229:AT234" si="130">+ROUND(+SUM(AO229-AP229)-SUM(S229-T229)-SUM(Z229-AA229)-SUM(AG229-AH229),2)</f>
        <v>0</v>
      </c>
      <c r="AU229" s="43"/>
      <c r="AV229" s="2120">
        <f>+IF(OR(ROUND(P229,2)+ROUND(R229,2)&gt;+ROUND(O229,2)+ROUND(Q229,2),+ABS(ROUND(P229,2)+ROUND(R229,2))&gt;+ABS(ROUND(O229,2)+ROUND(Q229,2))),+(ROUND(P229,2)+ROUND(R229,2))-(ROUND(O229,2)+ROUND(Q229,2)),0)</f>
        <v>0</v>
      </c>
      <c r="AW229" s="119"/>
      <c r="AX229" s="2120">
        <f>+IF(OR(ROUND(AD229,2)+ROUND(AF229,2)&gt;+ROUND(AC229,2)+ROUND(AE229,2),+ABS(ROUND(AD229,2)+ROUND(AF229,2))&gt;+ABS(ROUND(AC229,2)+ROUND(AE229,2))),+(ROUND(AD229,2)+ROUND(AF229,2))-(ROUND(AC229,2)+ROUND(AE229,2)),0)</f>
        <v>0</v>
      </c>
      <c r="AY229" s="43"/>
      <c r="AZ229" s="43"/>
      <c r="BA229" s="43"/>
      <c r="BB229" s="43"/>
      <c r="BC229" s="43"/>
      <c r="BD229" s="43"/>
    </row>
    <row r="230" spans="1:56" ht="15.75">
      <c r="A230" s="88">
        <v>4843</v>
      </c>
      <c r="B230" s="378" t="s">
        <v>276</v>
      </c>
      <c r="C230" s="88"/>
      <c r="D230" s="1033"/>
      <c r="E230" s="1033"/>
      <c r="F230" s="1033"/>
      <c r="G230" s="1033"/>
      <c r="H230" s="1033"/>
      <c r="I230" s="1033"/>
      <c r="J230" s="1033"/>
      <c r="K230" s="1033"/>
      <c r="L230" s="574"/>
      <c r="M230" s="51" t="s">
        <v>265</v>
      </c>
      <c r="N230" s="113">
        <f t="shared" si="106"/>
        <v>4843</v>
      </c>
      <c r="O230" s="581"/>
      <c r="P230" s="582">
        <v>0</v>
      </c>
      <c r="Q230" s="325"/>
      <c r="R230" s="324"/>
      <c r="S230" s="583">
        <f>+IF(ABS(+O230+Q230)&gt;=ABS(P230+R230),+O230-P230+Q230-R230,0)</f>
        <v>0</v>
      </c>
      <c r="T230" s="584">
        <v>0</v>
      </c>
      <c r="U230" s="51"/>
      <c r="V230" s="541">
        <f>+'NF-KSF-TRIAL-BAL-2020'!O230+'RA-TRIAL-BAL-2020'!O230+'DES-TRIAL-BAL-2020'!O230+'DMP-TRIAL-BAL-2020'!O230</f>
        <v>0</v>
      </c>
      <c r="W230" s="529">
        <f>+'NF-KSF-TRIAL-BAL-2020'!P230+'RA-TRIAL-BAL-2020'!P230+'DES-TRIAL-BAL-2020'!P230+'DMP-TRIAL-BAL-2020'!P230</f>
        <v>0</v>
      </c>
      <c r="X230" s="587">
        <f>+'NF-KSF-TRIAL-BAL-2020'!Q230+'RA-TRIAL-BAL-2020'!Q230+'DES-TRIAL-BAL-2020'!Q230+'DMP-TRIAL-BAL-2020'!Q230</f>
        <v>0</v>
      </c>
      <c r="Y230" s="586">
        <f>+'NF-KSF-TRIAL-BAL-2020'!R230+'RA-TRIAL-BAL-2020'!R230+'DES-TRIAL-BAL-2020'!R230+'DMP-TRIAL-BAL-2020'!R230</f>
        <v>0</v>
      </c>
      <c r="Z230" s="587">
        <f>+'NF-KSF-TRIAL-BAL-2020'!S230+'RA-TRIAL-BAL-2020'!S230+'DES-TRIAL-BAL-2020'!S230+'DMP-TRIAL-BAL-2020'!S230</f>
        <v>0</v>
      </c>
      <c r="AA230" s="588">
        <f>+'NF-KSF-TRIAL-BAL-2020'!T230+'RA-TRIAL-BAL-2020'!T230+'DES-TRIAL-BAL-2020'!T230+'DMP-TRIAL-BAL-2020'!T230</f>
        <v>0</v>
      </c>
      <c r="AB230" s="51"/>
      <c r="AC230" s="581"/>
      <c r="AD230" s="582">
        <v>0</v>
      </c>
      <c r="AE230" s="122"/>
      <c r="AF230" s="324"/>
      <c r="AG230" s="583">
        <f>+IF(ABS(+AC230+AE230)&gt;=ABS(AD230+AF230),+AC230-AD230+AE230-AF230,0)</f>
        <v>0</v>
      </c>
      <c r="AH230" s="584">
        <v>0</v>
      </c>
      <c r="AI230" s="51"/>
      <c r="AJ230" s="1497">
        <f t="shared" si="126"/>
        <v>4843</v>
      </c>
      <c r="AK230" s="951">
        <f>+ROUND(+O230+V230+AC230,2)</f>
        <v>0</v>
      </c>
      <c r="AL230" s="9">
        <v>0</v>
      </c>
      <c r="AM230" s="326">
        <f t="shared" si="127"/>
        <v>0</v>
      </c>
      <c r="AN230" s="970">
        <f t="shared" si="127"/>
        <v>0</v>
      </c>
      <c r="AO230" s="326">
        <f>+S230+Z230+AG230</f>
        <v>0</v>
      </c>
      <c r="AP230" s="30">
        <v>0</v>
      </c>
      <c r="AQ230" s="43"/>
      <c r="AR230" s="358">
        <f t="shared" si="128"/>
        <v>0</v>
      </c>
      <c r="AS230" s="359">
        <f t="shared" si="129"/>
        <v>0</v>
      </c>
      <c r="AT230" s="360">
        <f t="shared" si="130"/>
        <v>0</v>
      </c>
      <c r="AU230" s="43"/>
      <c r="AV230" s="2120">
        <f>+IF(OR(ROUND(P230,2)+ROUND(R230,2)&gt;+ROUND(O230,2)+ROUND(Q230,2),+ABS(ROUND(P230,2)+ROUND(R230,2))&gt;+ABS(ROUND(O230,2)+ROUND(Q230,2))),+(ROUND(P230,2)+ROUND(R230,2))-(ROUND(O230,2)+ROUND(Q230,2)),0)</f>
        <v>0</v>
      </c>
      <c r="AW230" s="119"/>
      <c r="AX230" s="2120">
        <f>+IF(OR(ROUND(AD230,2)+ROUND(AF230,2)&gt;+ROUND(AC230,2)+ROUND(AE230,2),+ABS(ROUND(AD230,2)+ROUND(AF230,2))&gt;+ABS(ROUND(AC230,2)+ROUND(AE230,2))),+(ROUND(AD230,2)+ROUND(AF230,2))-(ROUND(AC230,2)+ROUND(AE230,2)),0)</f>
        <v>0</v>
      </c>
      <c r="AY230" s="43"/>
      <c r="AZ230" s="43"/>
      <c r="BA230" s="43"/>
      <c r="BB230" s="43"/>
      <c r="BC230" s="43"/>
      <c r="BD230" s="43"/>
    </row>
    <row r="231" spans="1:56" ht="15.75">
      <c r="A231" s="88">
        <v>4844</v>
      </c>
      <c r="B231" s="378" t="s">
        <v>277</v>
      </c>
      <c r="C231" s="88"/>
      <c r="D231" s="1033"/>
      <c r="E231" s="1033"/>
      <c r="F231" s="1033"/>
      <c r="G231" s="1033"/>
      <c r="H231" s="1033"/>
      <c r="I231" s="1033"/>
      <c r="J231" s="1033"/>
      <c r="K231" s="1033"/>
      <c r="L231" s="574"/>
      <c r="M231" s="51" t="s">
        <v>265</v>
      </c>
      <c r="N231" s="113">
        <f t="shared" si="106"/>
        <v>4844</v>
      </c>
      <c r="O231" s="581"/>
      <c r="P231" s="582">
        <v>0</v>
      </c>
      <c r="Q231" s="325"/>
      <c r="R231" s="324"/>
      <c r="S231" s="583">
        <f>+IF(ABS(+O231+Q231)&gt;=ABS(P231+R231),+O231-P231+Q231-R231,0)</f>
        <v>0</v>
      </c>
      <c r="T231" s="584">
        <v>0</v>
      </c>
      <c r="U231" s="51"/>
      <c r="V231" s="541">
        <f>+'NF-KSF-TRIAL-BAL-2020'!O231+'RA-TRIAL-BAL-2020'!O231+'DES-TRIAL-BAL-2020'!O231+'DMP-TRIAL-BAL-2020'!O231</f>
        <v>0</v>
      </c>
      <c r="W231" s="529">
        <f>+'NF-KSF-TRIAL-BAL-2020'!P231+'RA-TRIAL-BAL-2020'!P231+'DES-TRIAL-BAL-2020'!P231+'DMP-TRIAL-BAL-2020'!P231</f>
        <v>0</v>
      </c>
      <c r="X231" s="587">
        <f>+'NF-KSF-TRIAL-BAL-2020'!Q231+'RA-TRIAL-BAL-2020'!Q231+'DES-TRIAL-BAL-2020'!Q231+'DMP-TRIAL-BAL-2020'!Q231</f>
        <v>0</v>
      </c>
      <c r="Y231" s="586">
        <f>+'NF-KSF-TRIAL-BAL-2020'!R231+'RA-TRIAL-BAL-2020'!R231+'DES-TRIAL-BAL-2020'!R231+'DMP-TRIAL-BAL-2020'!R231</f>
        <v>0</v>
      </c>
      <c r="Z231" s="587">
        <f>+'NF-KSF-TRIAL-BAL-2020'!S231+'RA-TRIAL-BAL-2020'!S231+'DES-TRIAL-BAL-2020'!S231+'DMP-TRIAL-BAL-2020'!S231</f>
        <v>0</v>
      </c>
      <c r="AA231" s="588">
        <f>+'NF-KSF-TRIAL-BAL-2020'!T231+'RA-TRIAL-BAL-2020'!T231+'DES-TRIAL-BAL-2020'!T231+'DMP-TRIAL-BAL-2020'!T231</f>
        <v>0</v>
      </c>
      <c r="AB231" s="51"/>
      <c r="AC231" s="581"/>
      <c r="AD231" s="582">
        <v>0</v>
      </c>
      <c r="AE231" s="325"/>
      <c r="AF231" s="324"/>
      <c r="AG231" s="583">
        <f>+IF(ABS(+AC231+AE231)&gt;=ABS(AD231+AF231),+AC231-AD231+AE231-AF231,0)</f>
        <v>0</v>
      </c>
      <c r="AH231" s="584">
        <v>0</v>
      </c>
      <c r="AI231" s="51"/>
      <c r="AJ231" s="1497">
        <f t="shared" si="126"/>
        <v>4844</v>
      </c>
      <c r="AK231" s="951">
        <f>+ROUND(+O231+V231+AC231,2)</f>
        <v>0</v>
      </c>
      <c r="AL231" s="9">
        <v>0</v>
      </c>
      <c r="AM231" s="326">
        <f t="shared" si="127"/>
        <v>0</v>
      </c>
      <c r="AN231" s="970">
        <f t="shared" si="127"/>
        <v>0</v>
      </c>
      <c r="AO231" s="326">
        <f>+S231+Z231+AG231</f>
        <v>0</v>
      </c>
      <c r="AP231" s="30">
        <v>0</v>
      </c>
      <c r="AQ231" s="43"/>
      <c r="AR231" s="358">
        <f t="shared" si="128"/>
        <v>0</v>
      </c>
      <c r="AS231" s="359">
        <f t="shared" si="129"/>
        <v>0</v>
      </c>
      <c r="AT231" s="360">
        <f t="shared" si="130"/>
        <v>0</v>
      </c>
      <c r="AU231" s="43"/>
      <c r="AV231" s="2120">
        <f>+IF(OR(ROUND(P231,2)+ROUND(R231,2)&gt;+ROUND(O231,2)+ROUND(Q231,2),+ABS(ROUND(P231,2)+ROUND(R231,2))&gt;+ABS(ROUND(O231,2)+ROUND(Q231,2))),+(ROUND(P231,2)+ROUND(R231,2))-(ROUND(O231,2)+ROUND(Q231,2)),0)</f>
        <v>0</v>
      </c>
      <c r="AW231" s="119"/>
      <c r="AX231" s="2120">
        <f>+IF(OR(ROUND(AD231,2)+ROUND(AF231,2)&gt;+ROUND(AC231,2)+ROUND(AE231,2),+ABS(ROUND(AD231,2)+ROUND(AF231,2))&gt;+ABS(ROUND(AC231,2)+ROUND(AE231,2))),+(ROUND(AD231,2)+ROUND(AF231,2))-(ROUND(AC231,2)+ROUND(AE231,2)),0)</f>
        <v>0</v>
      </c>
      <c r="AY231" s="43"/>
      <c r="AZ231" s="43"/>
      <c r="BA231" s="43"/>
      <c r="BB231" s="43"/>
      <c r="BC231" s="43"/>
      <c r="BD231" s="43"/>
    </row>
    <row r="232" spans="1:56" ht="15.75">
      <c r="A232" s="88">
        <v>4845</v>
      </c>
      <c r="B232" s="378" t="s">
        <v>278</v>
      </c>
      <c r="C232" s="88"/>
      <c r="D232" s="1033"/>
      <c r="E232" s="1033"/>
      <c r="F232" s="1033"/>
      <c r="G232" s="1033"/>
      <c r="H232" s="1033"/>
      <c r="I232" s="1033"/>
      <c r="J232" s="1033"/>
      <c r="K232" s="1033"/>
      <c r="L232" s="574"/>
      <c r="M232" s="51" t="s">
        <v>265</v>
      </c>
      <c r="N232" s="113">
        <f t="shared" si="106"/>
        <v>4845</v>
      </c>
      <c r="O232" s="575">
        <v>0</v>
      </c>
      <c r="P232" s="576"/>
      <c r="Q232" s="325"/>
      <c r="R232" s="324"/>
      <c r="S232" s="579">
        <v>0</v>
      </c>
      <c r="T232" s="580">
        <f>+IF(ABS(+O232+Q232)&lt;=ABS(P232+R232),-O232+P232-Q232+R232,0)</f>
        <v>0</v>
      </c>
      <c r="U232" s="51"/>
      <c r="V232" s="541">
        <f>+'NF-KSF-TRIAL-BAL-2020'!O232+'RA-TRIAL-BAL-2020'!O232+'DES-TRIAL-BAL-2020'!O232+'DMP-TRIAL-BAL-2020'!O232</f>
        <v>0</v>
      </c>
      <c r="W232" s="529">
        <f>+'NF-KSF-TRIAL-BAL-2020'!P232+'RA-TRIAL-BAL-2020'!P232+'DES-TRIAL-BAL-2020'!P232+'DMP-TRIAL-BAL-2020'!P232</f>
        <v>0</v>
      </c>
      <c r="X232" s="587">
        <f>+'NF-KSF-TRIAL-BAL-2020'!Q232+'RA-TRIAL-BAL-2020'!Q232+'DES-TRIAL-BAL-2020'!Q232+'DMP-TRIAL-BAL-2020'!Q232</f>
        <v>0</v>
      </c>
      <c r="Y232" s="586">
        <f>+'NF-KSF-TRIAL-BAL-2020'!R232+'RA-TRIAL-BAL-2020'!R232+'DES-TRIAL-BAL-2020'!R232+'DMP-TRIAL-BAL-2020'!R232</f>
        <v>0</v>
      </c>
      <c r="Z232" s="587">
        <f>+'NF-KSF-TRIAL-BAL-2020'!S232+'RA-TRIAL-BAL-2020'!S232+'DES-TRIAL-BAL-2020'!S232+'DMP-TRIAL-BAL-2020'!S232</f>
        <v>0</v>
      </c>
      <c r="AA232" s="588">
        <f>+'NF-KSF-TRIAL-BAL-2020'!T232+'RA-TRIAL-BAL-2020'!T232+'DES-TRIAL-BAL-2020'!T232+'DMP-TRIAL-BAL-2020'!T232</f>
        <v>0</v>
      </c>
      <c r="AB232" s="51"/>
      <c r="AC232" s="575">
        <v>0</v>
      </c>
      <c r="AD232" s="576"/>
      <c r="AE232" s="325"/>
      <c r="AF232" s="324"/>
      <c r="AG232" s="579">
        <v>0</v>
      </c>
      <c r="AH232" s="580">
        <f>+IF(ABS(+AC232+AE232)&lt;=ABS(AD232+AF232),-AC232+AD232-AE232+AF232,0)</f>
        <v>0</v>
      </c>
      <c r="AI232" s="51"/>
      <c r="AJ232" s="1497">
        <f t="shared" si="126"/>
        <v>4845</v>
      </c>
      <c r="AK232" s="8">
        <v>0</v>
      </c>
      <c r="AL232" s="970">
        <f>+ROUND(+P232+W232+AD232,2)</f>
        <v>0</v>
      </c>
      <c r="AM232" s="326">
        <f t="shared" si="127"/>
        <v>0</v>
      </c>
      <c r="AN232" s="970">
        <f t="shared" si="127"/>
        <v>0</v>
      </c>
      <c r="AO232" s="29">
        <v>0</v>
      </c>
      <c r="AP232" s="28">
        <f>+T232+AA232+AH232</f>
        <v>0</v>
      </c>
      <c r="AQ232" s="43"/>
      <c r="AR232" s="358">
        <f t="shared" si="128"/>
        <v>0</v>
      </c>
      <c r="AS232" s="359">
        <f t="shared" si="129"/>
        <v>0</v>
      </c>
      <c r="AT232" s="360">
        <f t="shared" si="130"/>
        <v>0</v>
      </c>
      <c r="AU232" s="43"/>
      <c r="AV232" s="2119">
        <f>+IF(OR(+ROUND(O232,2)+ROUND(Q232,2)&gt;ROUND(P232,2)+ROUND(R232,2),+ABS(ROUND(O232,2)+ROUND(Q232,2))&gt;+ABS(ROUND(P232,2)+ROUND(R232,2))),+(ROUND(O232,2)+ROUND(Q232,2))-(ROUND(P232,2)+ROUND(R232,2)),0)</f>
        <v>0</v>
      </c>
      <c r="AW232" s="119"/>
      <c r="AX232" s="2119">
        <f>+IF(OR(+ROUND(AC232,2)+ROUND(AE232,2)&gt;ROUND(AD232,2)+ROUND(AF232,2),+ABS(ROUND(AC232,2)+ROUND(AE232,2))&gt;+ABS(ROUND(AD232,2)+ROUND(AF232,2))),+(ROUND(AC232,2)+ROUND(AE232,2))-(ROUND(AD232,2)+ROUND(AF232,2)),0)</f>
        <v>0</v>
      </c>
      <c r="AY232" s="43"/>
      <c r="AZ232" s="43"/>
      <c r="BA232" s="43"/>
      <c r="BB232" s="43"/>
      <c r="BC232" s="43"/>
      <c r="BD232" s="43"/>
    </row>
    <row r="233" spans="1:56" ht="15.75">
      <c r="A233" s="88">
        <v>4847</v>
      </c>
      <c r="B233" s="378" t="s">
        <v>279</v>
      </c>
      <c r="C233" s="88"/>
      <c r="D233" s="1033"/>
      <c r="E233" s="1033"/>
      <c r="F233" s="1033"/>
      <c r="G233" s="1033"/>
      <c r="H233" s="1033"/>
      <c r="I233" s="1033"/>
      <c r="J233" s="1033"/>
      <c r="K233" s="1033"/>
      <c r="L233" s="574"/>
      <c r="M233" s="51" t="s">
        <v>265</v>
      </c>
      <c r="N233" s="113">
        <f t="shared" si="106"/>
        <v>4847</v>
      </c>
      <c r="O233" s="575">
        <v>0</v>
      </c>
      <c r="P233" s="576"/>
      <c r="Q233" s="325"/>
      <c r="R233" s="324"/>
      <c r="S233" s="579">
        <v>0</v>
      </c>
      <c r="T233" s="580">
        <f>+IF(ABS(+O233+Q233)&lt;=ABS(P233+R233),-O233+P233-Q233+R233,0)</f>
        <v>0</v>
      </c>
      <c r="U233" s="51"/>
      <c r="V233" s="541">
        <f>+'NF-KSF-TRIAL-BAL-2020'!O233+'RA-TRIAL-BAL-2020'!O233+'DES-TRIAL-BAL-2020'!O233+'DMP-TRIAL-BAL-2020'!O233</f>
        <v>0</v>
      </c>
      <c r="W233" s="529">
        <f>+'NF-KSF-TRIAL-BAL-2020'!P233+'RA-TRIAL-BAL-2020'!P233+'DES-TRIAL-BAL-2020'!P233+'DMP-TRIAL-BAL-2020'!P233</f>
        <v>0</v>
      </c>
      <c r="X233" s="587">
        <f>+'NF-KSF-TRIAL-BAL-2020'!Q233+'RA-TRIAL-BAL-2020'!Q233+'DES-TRIAL-BAL-2020'!Q233+'DMP-TRIAL-BAL-2020'!Q233</f>
        <v>0</v>
      </c>
      <c r="Y233" s="586">
        <f>+'NF-KSF-TRIAL-BAL-2020'!R233+'RA-TRIAL-BAL-2020'!R233+'DES-TRIAL-BAL-2020'!R233+'DMP-TRIAL-BAL-2020'!R233</f>
        <v>0</v>
      </c>
      <c r="Z233" s="587">
        <f>+'NF-KSF-TRIAL-BAL-2020'!S233+'RA-TRIAL-BAL-2020'!S233+'DES-TRIAL-BAL-2020'!S233+'DMP-TRIAL-BAL-2020'!S233</f>
        <v>0</v>
      </c>
      <c r="AA233" s="588">
        <f>+'NF-KSF-TRIAL-BAL-2020'!T233+'RA-TRIAL-BAL-2020'!T233+'DES-TRIAL-BAL-2020'!T233+'DMP-TRIAL-BAL-2020'!T233</f>
        <v>0</v>
      </c>
      <c r="AB233" s="51"/>
      <c r="AC233" s="575">
        <v>0</v>
      </c>
      <c r="AD233" s="576"/>
      <c r="AE233" s="122"/>
      <c r="AF233" s="324"/>
      <c r="AG233" s="579">
        <v>0</v>
      </c>
      <c r="AH233" s="580">
        <f>+IF(ABS(+AC233+AE233)&lt;=ABS(AD233+AF233),-AC233+AD233-AE233+AF233,0)</f>
        <v>0</v>
      </c>
      <c r="AI233" s="51"/>
      <c r="AJ233" s="1497">
        <f t="shared" si="126"/>
        <v>4847</v>
      </c>
      <c r="AK233" s="8">
        <v>0</v>
      </c>
      <c r="AL233" s="970">
        <f>+ROUND(+P233+W233+AD233,2)</f>
        <v>0</v>
      </c>
      <c r="AM233" s="326">
        <f t="shared" si="127"/>
        <v>0</v>
      </c>
      <c r="AN233" s="970">
        <f t="shared" si="127"/>
        <v>0</v>
      </c>
      <c r="AO233" s="29">
        <v>0</v>
      </c>
      <c r="AP233" s="28">
        <f>+T233+AA233+AH233</f>
        <v>0</v>
      </c>
      <c r="AQ233" s="43"/>
      <c r="AR233" s="358">
        <f t="shared" si="128"/>
        <v>0</v>
      </c>
      <c r="AS233" s="359">
        <f t="shared" si="129"/>
        <v>0</v>
      </c>
      <c r="AT233" s="360">
        <f t="shared" si="130"/>
        <v>0</v>
      </c>
      <c r="AU233" s="43"/>
      <c r="AV233" s="2119">
        <f>+IF(OR(+ROUND(O233,2)+ROUND(Q233,2)&gt;ROUND(P233,2)+ROUND(R233,2),+ABS(ROUND(O233,2)+ROUND(Q233,2))&gt;+ABS(ROUND(P233,2)+ROUND(R233,2))),+(ROUND(O233,2)+ROUND(Q233,2))-(ROUND(P233,2)+ROUND(R233,2)),0)</f>
        <v>0</v>
      </c>
      <c r="AW233" s="119"/>
      <c r="AX233" s="2119">
        <f>+IF(OR(+ROUND(AC233,2)+ROUND(AE233,2)&gt;ROUND(AD233,2)+ROUND(AF233,2),+ABS(ROUND(AC233,2)+ROUND(AE233,2))&gt;+ABS(ROUND(AD233,2)+ROUND(AF233,2))),+(ROUND(AC233,2)+ROUND(AE233,2))-(ROUND(AD233,2)+ROUND(AF233,2)),0)</f>
        <v>0</v>
      </c>
      <c r="AY233" s="43"/>
      <c r="AZ233" s="43"/>
      <c r="BA233" s="43"/>
      <c r="BB233" s="43"/>
      <c r="BC233" s="43"/>
      <c r="BD233" s="43"/>
    </row>
    <row r="234" spans="1:56" ht="15.75">
      <c r="A234" s="88">
        <v>4848</v>
      </c>
      <c r="B234" s="378" t="s">
        <v>280</v>
      </c>
      <c r="C234" s="88"/>
      <c r="D234" s="1033"/>
      <c r="E234" s="1033"/>
      <c r="F234" s="1033"/>
      <c r="G234" s="1033"/>
      <c r="H234" s="1033"/>
      <c r="I234" s="1033"/>
      <c r="J234" s="1033"/>
      <c r="K234" s="1033"/>
      <c r="L234" s="574"/>
      <c r="M234" s="51" t="s">
        <v>265</v>
      </c>
      <c r="N234" s="113">
        <f t="shared" si="106"/>
        <v>4848</v>
      </c>
      <c r="O234" s="575">
        <v>0</v>
      </c>
      <c r="P234" s="576"/>
      <c r="Q234" s="325"/>
      <c r="R234" s="324"/>
      <c r="S234" s="579">
        <v>0</v>
      </c>
      <c r="T234" s="580">
        <f>+IF(ABS(+O234+Q234)&lt;=ABS(P234+R234),-O234+P234-Q234+R234,0)</f>
        <v>0</v>
      </c>
      <c r="U234" s="51"/>
      <c r="V234" s="541">
        <f>+'NF-KSF-TRIAL-BAL-2020'!O234+'RA-TRIAL-BAL-2020'!O234+'DES-TRIAL-BAL-2020'!O234+'DMP-TRIAL-BAL-2020'!O234</f>
        <v>0</v>
      </c>
      <c r="W234" s="529">
        <f>+'NF-KSF-TRIAL-BAL-2020'!P234+'RA-TRIAL-BAL-2020'!P234+'DES-TRIAL-BAL-2020'!P234+'DMP-TRIAL-BAL-2020'!P234</f>
        <v>0</v>
      </c>
      <c r="X234" s="587">
        <f>+'NF-KSF-TRIAL-BAL-2020'!Q234+'RA-TRIAL-BAL-2020'!Q234+'DES-TRIAL-BAL-2020'!Q234+'DMP-TRIAL-BAL-2020'!Q234</f>
        <v>0</v>
      </c>
      <c r="Y234" s="586">
        <f>+'NF-KSF-TRIAL-BAL-2020'!R234+'RA-TRIAL-BAL-2020'!R234+'DES-TRIAL-BAL-2020'!R234+'DMP-TRIAL-BAL-2020'!R234</f>
        <v>0</v>
      </c>
      <c r="Z234" s="587">
        <f>+'NF-KSF-TRIAL-BAL-2020'!S234+'RA-TRIAL-BAL-2020'!S234+'DES-TRIAL-BAL-2020'!S234+'DMP-TRIAL-BAL-2020'!S234</f>
        <v>0</v>
      </c>
      <c r="AA234" s="588">
        <f>+'NF-KSF-TRIAL-BAL-2020'!T234+'RA-TRIAL-BAL-2020'!T234+'DES-TRIAL-BAL-2020'!T234+'DMP-TRIAL-BAL-2020'!T234</f>
        <v>0</v>
      </c>
      <c r="AB234" s="51"/>
      <c r="AC234" s="575">
        <v>0</v>
      </c>
      <c r="AD234" s="576"/>
      <c r="AE234" s="325"/>
      <c r="AF234" s="324"/>
      <c r="AG234" s="579">
        <v>0</v>
      </c>
      <c r="AH234" s="580">
        <f>+IF(ABS(+AC234+AE234)&lt;=ABS(AD234+AF234),-AC234+AD234-AE234+AF234,0)</f>
        <v>0</v>
      </c>
      <c r="AI234" s="51"/>
      <c r="AJ234" s="1497">
        <f t="shared" si="126"/>
        <v>4848</v>
      </c>
      <c r="AK234" s="8">
        <v>0</v>
      </c>
      <c r="AL234" s="970">
        <f>+ROUND(+P234+W234+AD234,2)</f>
        <v>0</v>
      </c>
      <c r="AM234" s="326">
        <f t="shared" si="127"/>
        <v>0</v>
      </c>
      <c r="AN234" s="970">
        <f t="shared" si="127"/>
        <v>0</v>
      </c>
      <c r="AO234" s="29">
        <v>0</v>
      </c>
      <c r="AP234" s="28">
        <f>+T234+AA234+AH234</f>
        <v>0</v>
      </c>
      <c r="AQ234" s="43"/>
      <c r="AR234" s="358">
        <f t="shared" si="128"/>
        <v>0</v>
      </c>
      <c r="AS234" s="359">
        <f t="shared" si="129"/>
        <v>0</v>
      </c>
      <c r="AT234" s="360">
        <f t="shared" si="130"/>
        <v>0</v>
      </c>
      <c r="AU234" s="43"/>
      <c r="AV234" s="2119">
        <f>+IF(OR(+ROUND(O234,2)+ROUND(Q234,2)&gt;ROUND(P234,2)+ROUND(R234,2),+ABS(ROUND(O234,2)+ROUND(Q234,2))&gt;+ABS(ROUND(P234,2)+ROUND(R234,2))),+(ROUND(O234,2)+ROUND(Q234,2))-(ROUND(P234,2)+ROUND(R234,2)),0)</f>
        <v>0</v>
      </c>
      <c r="AW234" s="119"/>
      <c r="AX234" s="2119">
        <f>+IF(OR(+ROUND(AC234,2)+ROUND(AE234,2)&gt;ROUND(AD234,2)+ROUND(AF234,2),+ABS(ROUND(AC234,2)+ROUND(AE234,2))&gt;+ABS(ROUND(AD234,2)+ROUND(AF234,2))),+(ROUND(AC234,2)+ROUND(AE234,2))-(ROUND(AD234,2)+ROUND(AF234,2)),0)</f>
        <v>0</v>
      </c>
      <c r="AY234" s="43"/>
      <c r="AZ234" s="43"/>
      <c r="BA234" s="43"/>
      <c r="BB234" s="43"/>
      <c r="BC234" s="43"/>
      <c r="BD234" s="43"/>
    </row>
    <row r="235" spans="1:56" ht="15.75">
      <c r="A235" s="88">
        <v>4851</v>
      </c>
      <c r="B235" s="378" t="s">
        <v>281</v>
      </c>
      <c r="C235" s="88"/>
      <c r="D235" s="1033"/>
      <c r="E235" s="1033"/>
      <c r="F235" s="1033"/>
      <c r="G235" s="1033"/>
      <c r="H235" s="1033"/>
      <c r="I235" s="1033"/>
      <c r="J235" s="1033"/>
      <c r="K235" s="1033"/>
      <c r="L235" s="574"/>
      <c r="M235" s="51" t="s">
        <v>265</v>
      </c>
      <c r="N235" s="113">
        <f t="shared" si="106"/>
        <v>4851</v>
      </c>
      <c r="O235" s="575">
        <v>0</v>
      </c>
      <c r="P235" s="576"/>
      <c r="Q235" s="325"/>
      <c r="R235" s="324"/>
      <c r="S235" s="579">
        <v>0</v>
      </c>
      <c r="T235" s="580">
        <f>+IF(ABS(+O235+Q235)&lt;=ABS(P235+R235),-O235+P235-Q235+R235,0)</f>
        <v>0</v>
      </c>
      <c r="U235" s="51"/>
      <c r="V235" s="541">
        <f>+'NF-KSF-TRIAL-BAL-2020'!O235+'RA-TRIAL-BAL-2020'!O235+'DES-TRIAL-BAL-2020'!O235+'DMP-TRIAL-BAL-2020'!O235</f>
        <v>0</v>
      </c>
      <c r="W235" s="529">
        <f>+'NF-KSF-TRIAL-BAL-2020'!P235+'RA-TRIAL-BAL-2020'!P235+'DES-TRIAL-BAL-2020'!P235+'DMP-TRIAL-BAL-2020'!P235</f>
        <v>0</v>
      </c>
      <c r="X235" s="587">
        <f>+'NF-KSF-TRIAL-BAL-2020'!Q235+'RA-TRIAL-BAL-2020'!Q235+'DES-TRIAL-BAL-2020'!Q235+'DMP-TRIAL-BAL-2020'!Q235</f>
        <v>0</v>
      </c>
      <c r="Y235" s="586">
        <f>+'NF-KSF-TRIAL-BAL-2020'!R235+'RA-TRIAL-BAL-2020'!R235+'DES-TRIAL-BAL-2020'!R235+'DMP-TRIAL-BAL-2020'!R235</f>
        <v>0</v>
      </c>
      <c r="Z235" s="587">
        <f>+'NF-KSF-TRIAL-BAL-2020'!S235+'RA-TRIAL-BAL-2020'!S235+'DES-TRIAL-BAL-2020'!S235+'DMP-TRIAL-BAL-2020'!S235</f>
        <v>0</v>
      </c>
      <c r="AA235" s="588">
        <f>+'NF-KSF-TRIAL-BAL-2020'!T235+'RA-TRIAL-BAL-2020'!T235+'DES-TRIAL-BAL-2020'!T235+'DMP-TRIAL-BAL-2020'!T235</f>
        <v>0</v>
      </c>
      <c r="AB235" s="51"/>
      <c r="AC235" s="575">
        <v>0</v>
      </c>
      <c r="AD235" s="576"/>
      <c r="AE235" s="325"/>
      <c r="AF235" s="324"/>
      <c r="AG235" s="579">
        <v>0</v>
      </c>
      <c r="AH235" s="580">
        <f>+IF(ABS(+AC235+AE235)&lt;=ABS(AD235+AF235),-AC235+AD235-AE235+AF235,0)</f>
        <v>0</v>
      </c>
      <c r="AI235" s="51"/>
      <c r="AJ235" s="1497">
        <f t="shared" si="126"/>
        <v>4851</v>
      </c>
      <c r="AK235" s="8">
        <v>0</v>
      </c>
      <c r="AL235" s="970">
        <f>+ROUND(+P235+W235+AD235,2)</f>
        <v>0</v>
      </c>
      <c r="AM235" s="326">
        <f t="shared" si="127"/>
        <v>0</v>
      </c>
      <c r="AN235" s="970">
        <f t="shared" si="127"/>
        <v>0</v>
      </c>
      <c r="AO235" s="29">
        <v>0</v>
      </c>
      <c r="AP235" s="28">
        <f>+T235+AA235+AH235</f>
        <v>0</v>
      </c>
      <c r="AQ235" s="43"/>
      <c r="AR235" s="358">
        <f t="shared" si="109"/>
        <v>0</v>
      </c>
      <c r="AS235" s="359">
        <f t="shared" si="110"/>
        <v>0</v>
      </c>
      <c r="AT235" s="360">
        <f t="shared" si="111"/>
        <v>0</v>
      </c>
      <c r="AU235" s="43"/>
      <c r="AV235" s="2119">
        <f>+IF(OR(+ROUND(O235,2)+ROUND(Q235,2)&gt;ROUND(P235,2)+ROUND(R235,2),+ABS(ROUND(O235,2)+ROUND(Q235,2))&gt;+ABS(ROUND(P235,2)+ROUND(R235,2))),+(ROUND(O235,2)+ROUND(Q235,2))-(ROUND(P235,2)+ROUND(R235,2)),0)</f>
        <v>0</v>
      </c>
      <c r="AW235" s="119"/>
      <c r="AX235" s="2119">
        <f>+IF(OR(+ROUND(AC235,2)+ROUND(AE235,2)&gt;ROUND(AD235,2)+ROUND(AF235,2),+ABS(ROUND(AC235,2)+ROUND(AE235,2))&gt;+ABS(ROUND(AD235,2)+ROUND(AF235,2))),+(ROUND(AC235,2)+ROUND(AE235,2))-(ROUND(AD235,2)+ROUND(AF235,2)),0)</f>
        <v>0</v>
      </c>
      <c r="AY235" s="43"/>
      <c r="AZ235" s="43"/>
      <c r="BA235" s="43"/>
      <c r="BB235" s="43"/>
      <c r="BC235" s="43"/>
      <c r="BD235" s="43"/>
    </row>
    <row r="236" spans="1:56" ht="15.75">
      <c r="A236" s="88">
        <v>4852</v>
      </c>
      <c r="B236" s="378" t="s">
        <v>282</v>
      </c>
      <c r="C236" s="88"/>
      <c r="D236" s="1033"/>
      <c r="E236" s="1033"/>
      <c r="F236" s="1033"/>
      <c r="G236" s="1033"/>
      <c r="H236" s="1033"/>
      <c r="I236" s="1033"/>
      <c r="J236" s="1033"/>
      <c r="K236" s="1033"/>
      <c r="L236" s="574"/>
      <c r="M236" s="51" t="s">
        <v>265</v>
      </c>
      <c r="N236" s="113">
        <f t="shared" si="106"/>
        <v>4852</v>
      </c>
      <c r="O236" s="581"/>
      <c r="P236" s="582">
        <v>0</v>
      </c>
      <c r="Q236" s="325"/>
      <c r="R236" s="324"/>
      <c r="S236" s="583">
        <f>+IF(ABS(+O236+Q236)&gt;=ABS(P236+R236),+O236-P236+Q236-R236,0)</f>
        <v>0</v>
      </c>
      <c r="T236" s="584">
        <v>0</v>
      </c>
      <c r="U236" s="51"/>
      <c r="V236" s="541">
        <f>+'NF-KSF-TRIAL-BAL-2020'!O236+'RA-TRIAL-BAL-2020'!O236+'DES-TRIAL-BAL-2020'!O236+'DMP-TRIAL-BAL-2020'!O236</f>
        <v>0</v>
      </c>
      <c r="W236" s="529">
        <f>+'NF-KSF-TRIAL-BAL-2020'!P236+'RA-TRIAL-BAL-2020'!P236+'DES-TRIAL-BAL-2020'!P236+'DMP-TRIAL-BAL-2020'!P236</f>
        <v>0</v>
      </c>
      <c r="X236" s="587">
        <f>+'NF-KSF-TRIAL-BAL-2020'!Q236+'RA-TRIAL-BAL-2020'!Q236+'DES-TRIAL-BAL-2020'!Q236+'DMP-TRIAL-BAL-2020'!Q236</f>
        <v>0</v>
      </c>
      <c r="Y236" s="586">
        <f>+'NF-KSF-TRIAL-BAL-2020'!R236+'RA-TRIAL-BAL-2020'!R236+'DES-TRIAL-BAL-2020'!R236+'DMP-TRIAL-BAL-2020'!R236</f>
        <v>0</v>
      </c>
      <c r="Z236" s="587">
        <f>+'NF-KSF-TRIAL-BAL-2020'!S236+'RA-TRIAL-BAL-2020'!S236+'DES-TRIAL-BAL-2020'!S236+'DMP-TRIAL-BAL-2020'!S236</f>
        <v>0</v>
      </c>
      <c r="AA236" s="588">
        <f>+'NF-KSF-TRIAL-BAL-2020'!T236+'RA-TRIAL-BAL-2020'!T236+'DES-TRIAL-BAL-2020'!T236+'DMP-TRIAL-BAL-2020'!T236</f>
        <v>0</v>
      </c>
      <c r="AB236" s="51"/>
      <c r="AC236" s="581"/>
      <c r="AD236" s="582">
        <v>0</v>
      </c>
      <c r="AE236" s="122"/>
      <c r="AF236" s="324"/>
      <c r="AG236" s="583">
        <f>+IF(ABS(+AC236+AE236)&gt;=ABS(AD236+AF236),+AC236-AD236+AE236-AF236,0)</f>
        <v>0</v>
      </c>
      <c r="AH236" s="584">
        <v>0</v>
      </c>
      <c r="AI236" s="51"/>
      <c r="AJ236" s="1497">
        <f>+N236</f>
        <v>4852</v>
      </c>
      <c r="AK236" s="951">
        <f>+ROUND(+O236+V236+AC236,2)</f>
        <v>0</v>
      </c>
      <c r="AL236" s="9">
        <v>0</v>
      </c>
      <c r="AM236" s="326">
        <f t="shared" ref="AM236:AN240" si="131">+ROUND(+Q236+X236+AE236,2)</f>
        <v>0</v>
      </c>
      <c r="AN236" s="970">
        <f t="shared" si="131"/>
        <v>0</v>
      </c>
      <c r="AO236" s="326">
        <f>+S236+Z236+AG236</f>
        <v>0</v>
      </c>
      <c r="AP236" s="30">
        <v>0</v>
      </c>
      <c r="AQ236" s="43"/>
      <c r="AR236" s="358">
        <f>+ROUND(+SUM(AK236-AL236)-SUM(O236-P236)-SUM(V236-W236)-SUM(AC236-AD236),2)</f>
        <v>0</v>
      </c>
      <c r="AS236" s="359">
        <f>+ROUND(+SUM(AM236-AN236)-SUM(Q236-R236)-SUM(X236-Y236)-SUM(AE236-AF236),2)</f>
        <v>0</v>
      </c>
      <c r="AT236" s="360">
        <f>+ROUND(+SUM(AO236-AP236)-SUM(S236-T236)-SUM(Z236-AA236)-SUM(AG236-AH236),2)</f>
        <v>0</v>
      </c>
      <c r="AU236" s="43"/>
      <c r="AV236" s="2120">
        <f>+IF(OR(ROUND(P236,2)+ROUND(R236,2)&gt;+ROUND(O236,2)+ROUND(Q236,2),+ABS(ROUND(P236,2)+ROUND(R236,2))&gt;+ABS(ROUND(O236,2)+ROUND(Q236,2))),+(ROUND(P236,2)+ROUND(R236,2))-(ROUND(O236,2)+ROUND(Q236,2)),0)</f>
        <v>0</v>
      </c>
      <c r="AW236" s="119"/>
      <c r="AX236" s="2120">
        <f>+IF(OR(ROUND(AD236,2)+ROUND(AF236,2)&gt;+ROUND(AC236,2)+ROUND(AE236,2),+ABS(ROUND(AD236,2)+ROUND(AF236,2))&gt;+ABS(ROUND(AC236,2)+ROUND(AE236,2))),+(ROUND(AD236,2)+ROUND(AF236,2))-(ROUND(AC236,2)+ROUND(AE236,2)),0)</f>
        <v>0</v>
      </c>
      <c r="AY236" s="43"/>
      <c r="AZ236" s="43"/>
      <c r="BA236" s="43"/>
      <c r="BB236" s="43"/>
      <c r="BC236" s="43"/>
      <c r="BD236" s="43"/>
    </row>
    <row r="237" spans="1:56" ht="15.75">
      <c r="A237" s="88">
        <v>4853</v>
      </c>
      <c r="B237" s="378" t="s">
        <v>283</v>
      </c>
      <c r="C237" s="88"/>
      <c r="D237" s="1033"/>
      <c r="E237" s="1033"/>
      <c r="F237" s="1033"/>
      <c r="G237" s="1033"/>
      <c r="H237" s="1033"/>
      <c r="I237" s="1033"/>
      <c r="J237" s="1033"/>
      <c r="K237" s="1033"/>
      <c r="L237" s="574"/>
      <c r="M237" s="51" t="s">
        <v>265</v>
      </c>
      <c r="N237" s="113">
        <f t="shared" si="106"/>
        <v>4853</v>
      </c>
      <c r="O237" s="575">
        <v>0</v>
      </c>
      <c r="P237" s="576"/>
      <c r="Q237" s="325"/>
      <c r="R237" s="324"/>
      <c r="S237" s="579">
        <v>0</v>
      </c>
      <c r="T237" s="580">
        <f>+IF(ABS(+O237+Q237)&lt;=ABS(P237+R237),-O237+P237-Q237+R237,0)</f>
        <v>0</v>
      </c>
      <c r="U237" s="51"/>
      <c r="V237" s="541">
        <f>+'NF-KSF-TRIAL-BAL-2020'!O237+'RA-TRIAL-BAL-2020'!O237+'DES-TRIAL-BAL-2020'!O237+'DMP-TRIAL-BAL-2020'!O237</f>
        <v>0</v>
      </c>
      <c r="W237" s="529">
        <f>+'NF-KSF-TRIAL-BAL-2020'!P237+'RA-TRIAL-BAL-2020'!P237+'DES-TRIAL-BAL-2020'!P237+'DMP-TRIAL-BAL-2020'!P237</f>
        <v>0</v>
      </c>
      <c r="X237" s="587">
        <f>+'NF-KSF-TRIAL-BAL-2020'!Q237+'RA-TRIAL-BAL-2020'!Q237+'DES-TRIAL-BAL-2020'!Q237+'DMP-TRIAL-BAL-2020'!Q237</f>
        <v>0</v>
      </c>
      <c r="Y237" s="586">
        <f>+'NF-KSF-TRIAL-BAL-2020'!R237+'RA-TRIAL-BAL-2020'!R237+'DES-TRIAL-BAL-2020'!R237+'DMP-TRIAL-BAL-2020'!R237</f>
        <v>0</v>
      </c>
      <c r="Z237" s="587">
        <f>+'NF-KSF-TRIAL-BAL-2020'!S237+'RA-TRIAL-BAL-2020'!S237+'DES-TRIAL-BAL-2020'!S237+'DMP-TRIAL-BAL-2020'!S237</f>
        <v>0</v>
      </c>
      <c r="AA237" s="588">
        <f>+'NF-KSF-TRIAL-BAL-2020'!T237+'RA-TRIAL-BAL-2020'!T237+'DES-TRIAL-BAL-2020'!T237+'DMP-TRIAL-BAL-2020'!T237</f>
        <v>0</v>
      </c>
      <c r="AB237" s="51"/>
      <c r="AC237" s="575">
        <v>0</v>
      </c>
      <c r="AD237" s="576"/>
      <c r="AE237" s="325"/>
      <c r="AF237" s="324"/>
      <c r="AG237" s="579">
        <v>0</v>
      </c>
      <c r="AH237" s="580">
        <f>+IF(ABS(+AC237+AE237)&lt;=ABS(AD237+AF237),-AC237+AD237-AE237+AF237,0)</f>
        <v>0</v>
      </c>
      <c r="AI237" s="51"/>
      <c r="AJ237" s="1497">
        <f>+N237</f>
        <v>4853</v>
      </c>
      <c r="AK237" s="8">
        <v>0</v>
      </c>
      <c r="AL237" s="970">
        <f>+ROUND(+P237+W237+AD237,2)</f>
        <v>0</v>
      </c>
      <c r="AM237" s="326">
        <f t="shared" si="131"/>
        <v>0</v>
      </c>
      <c r="AN237" s="970">
        <f t="shared" si="131"/>
        <v>0</v>
      </c>
      <c r="AO237" s="29">
        <v>0</v>
      </c>
      <c r="AP237" s="28">
        <f>+T237+AA237+AH237</f>
        <v>0</v>
      </c>
      <c r="AQ237" s="43"/>
      <c r="AR237" s="358">
        <f>+ROUND(+SUM(AK237-AL237)-SUM(O237-P237)-SUM(V237-W237)-SUM(AC237-AD237),2)</f>
        <v>0</v>
      </c>
      <c r="AS237" s="359">
        <f>+ROUND(+SUM(AM237-AN237)-SUM(Q237-R237)-SUM(X237-Y237)-SUM(AE237-AF237),2)</f>
        <v>0</v>
      </c>
      <c r="AT237" s="360">
        <f>+ROUND(+SUM(AO237-AP237)-SUM(S237-T237)-SUM(Z237-AA237)-SUM(AG237-AH237),2)</f>
        <v>0</v>
      </c>
      <c r="AU237" s="43"/>
      <c r="AV237" s="2119">
        <f>+IF(OR(+ROUND(O237,2)+ROUND(Q237,2)&gt;ROUND(P237,2)+ROUND(R237,2),+ABS(ROUND(O237,2)+ROUND(Q237,2))&gt;+ABS(ROUND(P237,2)+ROUND(R237,2))),+(ROUND(O237,2)+ROUND(Q237,2))-(ROUND(P237,2)+ROUND(R237,2)),0)</f>
        <v>0</v>
      </c>
      <c r="AW237" s="119"/>
      <c r="AX237" s="2119">
        <f>+IF(OR(+ROUND(AC237,2)+ROUND(AE237,2)&gt;ROUND(AD237,2)+ROUND(AF237,2),+ABS(ROUND(AC237,2)+ROUND(AE237,2))&gt;+ABS(ROUND(AD237,2)+ROUND(AF237,2))),+(ROUND(AC237,2)+ROUND(AE237,2))-(ROUND(AD237,2)+ROUND(AF237,2)),0)</f>
        <v>0</v>
      </c>
      <c r="AY237" s="43"/>
      <c r="AZ237" s="43"/>
      <c r="BA237" s="43"/>
      <c r="BB237" s="43"/>
      <c r="BC237" s="43"/>
      <c r="BD237" s="43"/>
    </row>
    <row r="238" spans="1:56" ht="15.75">
      <c r="A238" s="88">
        <v>4854</v>
      </c>
      <c r="B238" s="378" t="s">
        <v>284</v>
      </c>
      <c r="C238" s="88"/>
      <c r="D238" s="1033"/>
      <c r="E238" s="1033"/>
      <c r="F238" s="1033"/>
      <c r="G238" s="1033"/>
      <c r="H238" s="1033"/>
      <c r="I238" s="1033"/>
      <c r="J238" s="1033"/>
      <c r="K238" s="1033"/>
      <c r="L238" s="574"/>
      <c r="M238" s="51" t="s">
        <v>265</v>
      </c>
      <c r="N238" s="113">
        <f t="shared" si="106"/>
        <v>4854</v>
      </c>
      <c r="O238" s="575">
        <v>0</v>
      </c>
      <c r="P238" s="576"/>
      <c r="Q238" s="325"/>
      <c r="R238" s="324"/>
      <c r="S238" s="579">
        <v>0</v>
      </c>
      <c r="T238" s="580">
        <f>+IF(ABS(+O238+Q238)&lt;=ABS(P238+R238),-O238+P238-Q238+R238,0)</f>
        <v>0</v>
      </c>
      <c r="U238" s="51"/>
      <c r="V238" s="541">
        <f>+'NF-KSF-TRIAL-BAL-2020'!O238+'RA-TRIAL-BAL-2020'!O238+'DES-TRIAL-BAL-2020'!O238+'DMP-TRIAL-BAL-2020'!O238</f>
        <v>0</v>
      </c>
      <c r="W238" s="529">
        <f>+'NF-KSF-TRIAL-BAL-2020'!P238+'RA-TRIAL-BAL-2020'!P238+'DES-TRIAL-BAL-2020'!P238+'DMP-TRIAL-BAL-2020'!P238</f>
        <v>0</v>
      </c>
      <c r="X238" s="587">
        <f>+'NF-KSF-TRIAL-BAL-2020'!Q238+'RA-TRIAL-BAL-2020'!Q238+'DES-TRIAL-BAL-2020'!Q238+'DMP-TRIAL-BAL-2020'!Q238</f>
        <v>0</v>
      </c>
      <c r="Y238" s="586">
        <f>+'NF-KSF-TRIAL-BAL-2020'!R238+'RA-TRIAL-BAL-2020'!R238+'DES-TRIAL-BAL-2020'!R238+'DMP-TRIAL-BAL-2020'!R238</f>
        <v>0</v>
      </c>
      <c r="Z238" s="587">
        <f>+'NF-KSF-TRIAL-BAL-2020'!S238+'RA-TRIAL-BAL-2020'!S238+'DES-TRIAL-BAL-2020'!S238+'DMP-TRIAL-BAL-2020'!S238</f>
        <v>0</v>
      </c>
      <c r="AA238" s="588">
        <f>+'NF-KSF-TRIAL-BAL-2020'!T238+'RA-TRIAL-BAL-2020'!T238+'DES-TRIAL-BAL-2020'!T238+'DMP-TRIAL-BAL-2020'!T238</f>
        <v>0</v>
      </c>
      <c r="AB238" s="51"/>
      <c r="AC238" s="575">
        <v>0</v>
      </c>
      <c r="AD238" s="576"/>
      <c r="AE238" s="325"/>
      <c r="AF238" s="324"/>
      <c r="AG238" s="579">
        <v>0</v>
      </c>
      <c r="AH238" s="580">
        <f>+IF(ABS(+AC238+AE238)&lt;=ABS(AD238+AF238),-AC238+AD238-AE238+AF238,0)</f>
        <v>0</v>
      </c>
      <c r="AI238" s="51"/>
      <c r="AJ238" s="1497">
        <f t="shared" si="124"/>
        <v>4854</v>
      </c>
      <c r="AK238" s="8">
        <v>0</v>
      </c>
      <c r="AL238" s="970">
        <f>+ROUND(+P238+W238+AD238,2)</f>
        <v>0</v>
      </c>
      <c r="AM238" s="326">
        <f t="shared" si="131"/>
        <v>0</v>
      </c>
      <c r="AN238" s="970">
        <f t="shared" si="131"/>
        <v>0</v>
      </c>
      <c r="AO238" s="29">
        <v>0</v>
      </c>
      <c r="AP238" s="28">
        <f>+T238+AA238+AH238</f>
        <v>0</v>
      </c>
      <c r="AQ238" s="43"/>
      <c r="AR238" s="358">
        <f t="shared" si="109"/>
        <v>0</v>
      </c>
      <c r="AS238" s="359">
        <f t="shared" si="110"/>
        <v>0</v>
      </c>
      <c r="AT238" s="360">
        <f t="shared" si="111"/>
        <v>0</v>
      </c>
      <c r="AU238" s="43"/>
      <c r="AV238" s="2119">
        <f>+IF(OR(+ROUND(O238,2)+ROUND(Q238,2)&gt;ROUND(P238,2)+ROUND(R238,2),+ABS(ROUND(O238,2)+ROUND(Q238,2))&gt;+ABS(ROUND(P238,2)+ROUND(R238,2))),+(ROUND(O238,2)+ROUND(Q238,2))-(ROUND(P238,2)+ROUND(R238,2)),0)</f>
        <v>0</v>
      </c>
      <c r="AW238" s="119"/>
      <c r="AX238" s="2119">
        <f>+IF(OR(+ROUND(AC238,2)+ROUND(AE238,2)&gt;ROUND(AD238,2)+ROUND(AF238,2),+ABS(ROUND(AC238,2)+ROUND(AE238,2))&gt;+ABS(ROUND(AD238,2)+ROUND(AF238,2))),+(ROUND(AC238,2)+ROUND(AE238,2))-(ROUND(AD238,2)+ROUND(AF238,2)),0)</f>
        <v>0</v>
      </c>
      <c r="AY238" s="43"/>
      <c r="AZ238" s="43"/>
      <c r="BA238" s="43"/>
      <c r="BB238" s="43"/>
      <c r="BC238" s="43"/>
      <c r="BD238" s="43"/>
    </row>
    <row r="239" spans="1:56" ht="15.75">
      <c r="A239" s="88">
        <v>4857</v>
      </c>
      <c r="B239" s="378" t="s">
        <v>285</v>
      </c>
      <c r="C239" s="88"/>
      <c r="D239" s="1033"/>
      <c r="E239" s="1033"/>
      <c r="F239" s="1033"/>
      <c r="G239" s="1033"/>
      <c r="H239" s="1033"/>
      <c r="I239" s="1033"/>
      <c r="J239" s="1033"/>
      <c r="K239" s="1033"/>
      <c r="L239" s="574"/>
      <c r="M239" s="51" t="s">
        <v>265</v>
      </c>
      <c r="N239" s="113">
        <f t="shared" si="106"/>
        <v>4857</v>
      </c>
      <c r="O239" s="581"/>
      <c r="P239" s="582">
        <v>0</v>
      </c>
      <c r="Q239" s="325"/>
      <c r="R239" s="324"/>
      <c r="S239" s="583">
        <f>+IF(ABS(+O239+Q239)&gt;=ABS(P239+R239),+O239-P239+Q239-R239,0)</f>
        <v>0</v>
      </c>
      <c r="T239" s="584">
        <v>0</v>
      </c>
      <c r="U239" s="51"/>
      <c r="V239" s="541">
        <f>+'NF-KSF-TRIAL-BAL-2020'!O239+'RA-TRIAL-BAL-2020'!O239+'DES-TRIAL-BAL-2020'!O239+'DMP-TRIAL-BAL-2020'!O239</f>
        <v>0</v>
      </c>
      <c r="W239" s="529">
        <f>+'NF-KSF-TRIAL-BAL-2020'!P239+'RA-TRIAL-BAL-2020'!P239+'DES-TRIAL-BAL-2020'!P239+'DMP-TRIAL-BAL-2020'!P239</f>
        <v>0</v>
      </c>
      <c r="X239" s="587">
        <f>+'NF-KSF-TRIAL-BAL-2020'!Q239+'RA-TRIAL-BAL-2020'!Q239+'DES-TRIAL-BAL-2020'!Q239+'DMP-TRIAL-BAL-2020'!Q239</f>
        <v>0</v>
      </c>
      <c r="Y239" s="586">
        <f>+'NF-KSF-TRIAL-BAL-2020'!R239+'RA-TRIAL-BAL-2020'!R239+'DES-TRIAL-BAL-2020'!R239+'DMP-TRIAL-BAL-2020'!R239</f>
        <v>0</v>
      </c>
      <c r="Z239" s="587">
        <f>+'NF-KSF-TRIAL-BAL-2020'!S239+'RA-TRIAL-BAL-2020'!S239+'DES-TRIAL-BAL-2020'!S239+'DMP-TRIAL-BAL-2020'!S239</f>
        <v>0</v>
      </c>
      <c r="AA239" s="588">
        <f>+'NF-KSF-TRIAL-BAL-2020'!T239+'RA-TRIAL-BAL-2020'!T239+'DES-TRIAL-BAL-2020'!T239+'DMP-TRIAL-BAL-2020'!T239</f>
        <v>0</v>
      </c>
      <c r="AB239" s="51"/>
      <c r="AC239" s="581"/>
      <c r="AD239" s="582">
        <v>0</v>
      </c>
      <c r="AE239" s="325"/>
      <c r="AF239" s="324"/>
      <c r="AG239" s="583">
        <f>+IF(ABS(+AC239+AE239)&gt;=ABS(AD239+AF239),+AC239-AD239+AE239-AF239,0)</f>
        <v>0</v>
      </c>
      <c r="AH239" s="584">
        <v>0</v>
      </c>
      <c r="AI239" s="51"/>
      <c r="AJ239" s="1497">
        <f>+N239</f>
        <v>4857</v>
      </c>
      <c r="AK239" s="951">
        <f>+ROUND(+O239+V239+AC239,2)</f>
        <v>0</v>
      </c>
      <c r="AL239" s="9">
        <v>0</v>
      </c>
      <c r="AM239" s="326">
        <f t="shared" si="131"/>
        <v>0</v>
      </c>
      <c r="AN239" s="970">
        <f t="shared" si="131"/>
        <v>0</v>
      </c>
      <c r="AO239" s="326">
        <f>+S239+Z239+AG239</f>
        <v>0</v>
      </c>
      <c r="AP239" s="30">
        <v>0</v>
      </c>
      <c r="AQ239" s="43"/>
      <c r="AR239" s="358">
        <f>+ROUND(+SUM(AK239-AL239)-SUM(O239-P239)-SUM(V239-W239)-SUM(AC239-AD239),2)</f>
        <v>0</v>
      </c>
      <c r="AS239" s="359">
        <f>+ROUND(+SUM(AM239-AN239)-SUM(Q239-R239)-SUM(X239-Y239)-SUM(AE239-AF239),2)</f>
        <v>0</v>
      </c>
      <c r="AT239" s="360">
        <f>+ROUND(+SUM(AO239-AP239)-SUM(S239-T239)-SUM(Z239-AA239)-SUM(AG239-AH239),2)</f>
        <v>0</v>
      </c>
      <c r="AU239" s="43"/>
      <c r="AV239" s="2120">
        <f>+IF(OR(ROUND(P239,2)+ROUND(R239,2)&gt;+ROUND(O239,2)+ROUND(Q239,2),+ABS(ROUND(P239,2)+ROUND(R239,2))&gt;+ABS(ROUND(O239,2)+ROUND(Q239,2))),+(ROUND(P239,2)+ROUND(R239,2))-(ROUND(O239,2)+ROUND(Q239,2)),0)</f>
        <v>0</v>
      </c>
      <c r="AW239" s="119"/>
      <c r="AX239" s="2120">
        <f>+IF(OR(ROUND(AD239,2)+ROUND(AF239,2)&gt;+ROUND(AC239,2)+ROUND(AE239,2),+ABS(ROUND(AD239,2)+ROUND(AF239,2))&gt;+ABS(ROUND(AC239,2)+ROUND(AE239,2))),+(ROUND(AD239,2)+ROUND(AF239,2))-(ROUND(AC239,2)+ROUND(AE239,2)),0)</f>
        <v>0</v>
      </c>
      <c r="AY239" s="43"/>
      <c r="AZ239" s="43"/>
      <c r="BA239" s="43"/>
      <c r="BB239" s="43"/>
      <c r="BC239" s="43"/>
      <c r="BD239" s="43"/>
    </row>
    <row r="240" spans="1:56" ht="15.75">
      <c r="A240" s="88">
        <v>4858</v>
      </c>
      <c r="B240" s="378" t="s">
        <v>286</v>
      </c>
      <c r="C240" s="88"/>
      <c r="D240" s="1033"/>
      <c r="E240" s="1033"/>
      <c r="F240" s="1033"/>
      <c r="G240" s="1033"/>
      <c r="H240" s="1033"/>
      <c r="I240" s="1033"/>
      <c r="J240" s="1033"/>
      <c r="K240" s="1033"/>
      <c r="L240" s="574"/>
      <c r="M240" s="51" t="s">
        <v>265</v>
      </c>
      <c r="N240" s="113">
        <f t="shared" si="106"/>
        <v>4858</v>
      </c>
      <c r="O240" s="581"/>
      <c r="P240" s="582">
        <v>0</v>
      </c>
      <c r="Q240" s="325"/>
      <c r="R240" s="324"/>
      <c r="S240" s="583">
        <f>+IF(ABS(+O240+Q240)&gt;=ABS(P240+R240),+O240-P240+Q240-R240,0)</f>
        <v>0</v>
      </c>
      <c r="T240" s="584">
        <v>0</v>
      </c>
      <c r="U240" s="51"/>
      <c r="V240" s="541">
        <f>+'NF-KSF-TRIAL-BAL-2020'!O240+'RA-TRIAL-BAL-2020'!O240+'DES-TRIAL-BAL-2020'!O240+'DMP-TRIAL-BAL-2020'!O240</f>
        <v>0</v>
      </c>
      <c r="W240" s="529">
        <f>+'NF-KSF-TRIAL-BAL-2020'!P240+'RA-TRIAL-BAL-2020'!P240+'DES-TRIAL-BAL-2020'!P240+'DMP-TRIAL-BAL-2020'!P240</f>
        <v>0</v>
      </c>
      <c r="X240" s="587">
        <f>+'NF-KSF-TRIAL-BAL-2020'!Q240+'RA-TRIAL-BAL-2020'!Q240+'DES-TRIAL-BAL-2020'!Q240+'DMP-TRIAL-BAL-2020'!Q240</f>
        <v>0</v>
      </c>
      <c r="Y240" s="586">
        <f>+'NF-KSF-TRIAL-BAL-2020'!R240+'RA-TRIAL-BAL-2020'!R240+'DES-TRIAL-BAL-2020'!R240+'DMP-TRIAL-BAL-2020'!R240</f>
        <v>0</v>
      </c>
      <c r="Z240" s="587">
        <f>+'NF-KSF-TRIAL-BAL-2020'!S240+'RA-TRIAL-BAL-2020'!S240+'DES-TRIAL-BAL-2020'!S240+'DMP-TRIAL-BAL-2020'!S240</f>
        <v>0</v>
      </c>
      <c r="AA240" s="588">
        <f>+'NF-KSF-TRIAL-BAL-2020'!T240+'RA-TRIAL-BAL-2020'!T240+'DES-TRIAL-BAL-2020'!T240+'DMP-TRIAL-BAL-2020'!T240</f>
        <v>0</v>
      </c>
      <c r="AB240" s="51"/>
      <c r="AC240" s="581"/>
      <c r="AD240" s="582">
        <v>0</v>
      </c>
      <c r="AE240" s="122"/>
      <c r="AF240" s="324"/>
      <c r="AG240" s="583">
        <f>+IF(ABS(+AC240+AE240)&gt;=ABS(AD240+AF240),+AC240-AD240+AE240-AF240,0)</f>
        <v>0</v>
      </c>
      <c r="AH240" s="584">
        <v>0</v>
      </c>
      <c r="AI240" s="51"/>
      <c r="AJ240" s="1497">
        <f t="shared" si="124"/>
        <v>4858</v>
      </c>
      <c r="AK240" s="951">
        <f>+ROUND(+O240+V240+AC240,2)</f>
        <v>0</v>
      </c>
      <c r="AL240" s="9">
        <v>0</v>
      </c>
      <c r="AM240" s="326">
        <f t="shared" si="131"/>
        <v>0</v>
      </c>
      <c r="AN240" s="970">
        <f t="shared" si="131"/>
        <v>0</v>
      </c>
      <c r="AO240" s="326">
        <f>+S240+Z240+AG240</f>
        <v>0</v>
      </c>
      <c r="AP240" s="30">
        <v>0</v>
      </c>
      <c r="AQ240" s="43"/>
      <c r="AR240" s="358">
        <f t="shared" si="109"/>
        <v>0</v>
      </c>
      <c r="AS240" s="359">
        <f t="shared" si="110"/>
        <v>0</v>
      </c>
      <c r="AT240" s="360">
        <f t="shared" si="111"/>
        <v>0</v>
      </c>
      <c r="AU240" s="43"/>
      <c r="AV240" s="2120">
        <f>+IF(OR(ROUND(P240,2)+ROUND(R240,2)&gt;+ROUND(O240,2)+ROUND(Q240,2),+ABS(ROUND(P240,2)+ROUND(R240,2))&gt;+ABS(ROUND(O240,2)+ROUND(Q240,2))),+(ROUND(P240,2)+ROUND(R240,2))-(ROUND(O240,2)+ROUND(Q240,2)),0)</f>
        <v>0</v>
      </c>
      <c r="AW240" s="119"/>
      <c r="AX240" s="2120">
        <f>+IF(OR(ROUND(AD240,2)+ROUND(AF240,2)&gt;+ROUND(AC240,2)+ROUND(AE240,2),+ABS(ROUND(AD240,2)+ROUND(AF240,2))&gt;+ABS(ROUND(AC240,2)+ROUND(AE240,2))),+(ROUND(AD240,2)+ROUND(AF240,2))-(ROUND(AC240,2)+ROUND(AE240,2)),0)</f>
        <v>0</v>
      </c>
      <c r="AY240" s="43"/>
      <c r="AZ240" s="43"/>
      <c r="BA240" s="43"/>
      <c r="BB240" s="43"/>
      <c r="BC240" s="43"/>
      <c r="BD240" s="43"/>
    </row>
    <row r="241" spans="1:56" ht="15.75">
      <c r="A241" s="88">
        <v>4861</v>
      </c>
      <c r="B241" s="378" t="s">
        <v>287</v>
      </c>
      <c r="C241" s="88"/>
      <c r="D241" s="1033"/>
      <c r="E241" s="1033"/>
      <c r="F241" s="1033"/>
      <c r="G241" s="1033"/>
      <c r="H241" s="1033"/>
      <c r="I241" s="1033"/>
      <c r="J241" s="1033"/>
      <c r="K241" s="1033"/>
      <c r="L241" s="574"/>
      <c r="M241" s="51" t="s">
        <v>265</v>
      </c>
      <c r="N241" s="113">
        <f t="shared" si="106"/>
        <v>4861</v>
      </c>
      <c r="O241" s="575">
        <v>0</v>
      </c>
      <c r="P241" s="576"/>
      <c r="Q241" s="325"/>
      <c r="R241" s="324"/>
      <c r="S241" s="579">
        <v>0</v>
      </c>
      <c r="T241" s="580">
        <f>+IF(ABS(+O241+Q241)&lt;=ABS(P241+R241),-O241+P241-Q241+R241,0)</f>
        <v>0</v>
      </c>
      <c r="U241" s="51"/>
      <c r="V241" s="541">
        <f>+'NF-KSF-TRIAL-BAL-2020'!O241+'RA-TRIAL-BAL-2020'!O241+'DES-TRIAL-BAL-2020'!O241+'DMP-TRIAL-BAL-2020'!O241</f>
        <v>0</v>
      </c>
      <c r="W241" s="529">
        <f>+'NF-KSF-TRIAL-BAL-2020'!P241+'RA-TRIAL-BAL-2020'!P241+'DES-TRIAL-BAL-2020'!P241+'DMP-TRIAL-BAL-2020'!P241</f>
        <v>0</v>
      </c>
      <c r="X241" s="587">
        <f>+'NF-KSF-TRIAL-BAL-2020'!Q241+'RA-TRIAL-BAL-2020'!Q241+'DES-TRIAL-BAL-2020'!Q241+'DMP-TRIAL-BAL-2020'!Q241</f>
        <v>0</v>
      </c>
      <c r="Y241" s="586">
        <f>+'NF-KSF-TRIAL-BAL-2020'!R241+'RA-TRIAL-BAL-2020'!R241+'DES-TRIAL-BAL-2020'!R241+'DMP-TRIAL-BAL-2020'!R241</f>
        <v>0</v>
      </c>
      <c r="Z241" s="587">
        <f>+'NF-KSF-TRIAL-BAL-2020'!S241+'RA-TRIAL-BAL-2020'!S241+'DES-TRIAL-BAL-2020'!S241+'DMP-TRIAL-BAL-2020'!S241</f>
        <v>0</v>
      </c>
      <c r="AA241" s="588">
        <f>+'NF-KSF-TRIAL-BAL-2020'!T241+'RA-TRIAL-BAL-2020'!T241+'DES-TRIAL-BAL-2020'!T241+'DMP-TRIAL-BAL-2020'!T241</f>
        <v>0</v>
      </c>
      <c r="AB241" s="51"/>
      <c r="AC241" s="575">
        <v>0</v>
      </c>
      <c r="AD241" s="576"/>
      <c r="AE241" s="325"/>
      <c r="AF241" s="324"/>
      <c r="AG241" s="579">
        <v>0</v>
      </c>
      <c r="AH241" s="580">
        <f>+IF(ABS(+AC241+AE241)&lt;=ABS(AD241+AF241),-AC241+AD241-AE241+AF241,0)</f>
        <v>0</v>
      </c>
      <c r="AI241" s="51"/>
      <c r="AJ241" s="1497">
        <f>+N241</f>
        <v>4861</v>
      </c>
      <c r="AK241" s="8">
        <v>0</v>
      </c>
      <c r="AL241" s="970">
        <f t="shared" ref="AL241:AN243" si="132">+ROUND(+P241+W241+AD241,2)</f>
        <v>0</v>
      </c>
      <c r="AM241" s="326">
        <f t="shared" si="132"/>
        <v>0</v>
      </c>
      <c r="AN241" s="970">
        <f t="shared" si="132"/>
        <v>0</v>
      </c>
      <c r="AO241" s="29">
        <v>0</v>
      </c>
      <c r="AP241" s="28">
        <f>+T241+AA241+AH241</f>
        <v>0</v>
      </c>
      <c r="AQ241" s="43"/>
      <c r="AR241" s="358">
        <f t="shared" si="109"/>
        <v>0</v>
      </c>
      <c r="AS241" s="359">
        <f t="shared" si="110"/>
        <v>0</v>
      </c>
      <c r="AT241" s="360">
        <f t="shared" si="111"/>
        <v>0</v>
      </c>
      <c r="AU241" s="43"/>
      <c r="AV241" s="2119">
        <f>+IF(OR(+ROUND(O241,2)+ROUND(Q241,2)&gt;ROUND(P241,2)+ROUND(R241,2),+ABS(ROUND(O241,2)+ROUND(Q241,2))&gt;+ABS(ROUND(P241,2)+ROUND(R241,2))),+(ROUND(O241,2)+ROUND(Q241,2))-(ROUND(P241,2)+ROUND(R241,2)),0)</f>
        <v>0</v>
      </c>
      <c r="AW241" s="119"/>
      <c r="AX241" s="2119">
        <f>+IF(OR(+ROUND(AC241,2)+ROUND(AE241,2)&gt;ROUND(AD241,2)+ROUND(AF241,2),+ABS(ROUND(AC241,2)+ROUND(AE241,2))&gt;+ABS(ROUND(AD241,2)+ROUND(AF241,2))),+(ROUND(AC241,2)+ROUND(AE241,2))-(ROUND(AD241,2)+ROUND(AF241,2)),0)</f>
        <v>0</v>
      </c>
      <c r="AY241" s="43"/>
      <c r="AZ241" s="43"/>
      <c r="BA241" s="43"/>
      <c r="BB241" s="43"/>
      <c r="BC241" s="43"/>
      <c r="BD241" s="43"/>
    </row>
    <row r="242" spans="1:56" ht="15.75">
      <c r="A242" s="88">
        <v>4862</v>
      </c>
      <c r="B242" s="378" t="s">
        <v>288</v>
      </c>
      <c r="C242" s="88"/>
      <c r="D242" s="1033"/>
      <c r="E242" s="1033"/>
      <c r="F242" s="1033"/>
      <c r="G242" s="1033"/>
      <c r="H242" s="1033"/>
      <c r="I242" s="1033"/>
      <c r="J242" s="1033"/>
      <c r="K242" s="1033"/>
      <c r="L242" s="574"/>
      <c r="M242" s="51" t="s">
        <v>265</v>
      </c>
      <c r="N242" s="113">
        <f t="shared" si="106"/>
        <v>4862</v>
      </c>
      <c r="O242" s="575">
        <v>0</v>
      </c>
      <c r="P242" s="576"/>
      <c r="Q242" s="325"/>
      <c r="R242" s="324"/>
      <c r="S242" s="579">
        <v>0</v>
      </c>
      <c r="T242" s="580">
        <f>+IF(ABS(+O242+Q242)&lt;=ABS(P242+R242),-O242+P242-Q242+R242,0)</f>
        <v>0</v>
      </c>
      <c r="U242" s="51"/>
      <c r="V242" s="541">
        <f>+'NF-KSF-TRIAL-BAL-2020'!O242+'RA-TRIAL-BAL-2020'!O242+'DES-TRIAL-BAL-2020'!O242+'DMP-TRIAL-BAL-2020'!O242</f>
        <v>0</v>
      </c>
      <c r="W242" s="529">
        <f>+'NF-KSF-TRIAL-BAL-2020'!P242+'RA-TRIAL-BAL-2020'!P242+'DES-TRIAL-BAL-2020'!P242+'DMP-TRIAL-BAL-2020'!P242</f>
        <v>0</v>
      </c>
      <c r="X242" s="587">
        <f>+'NF-KSF-TRIAL-BAL-2020'!Q242+'RA-TRIAL-BAL-2020'!Q242+'DES-TRIAL-BAL-2020'!Q242+'DMP-TRIAL-BAL-2020'!Q242</f>
        <v>0</v>
      </c>
      <c r="Y242" s="586">
        <f>+'NF-KSF-TRIAL-BAL-2020'!R242+'RA-TRIAL-BAL-2020'!R242+'DES-TRIAL-BAL-2020'!R242+'DMP-TRIAL-BAL-2020'!R242</f>
        <v>0</v>
      </c>
      <c r="Z242" s="587">
        <f>+'NF-KSF-TRIAL-BAL-2020'!S242+'RA-TRIAL-BAL-2020'!S242+'DES-TRIAL-BAL-2020'!S242+'DMP-TRIAL-BAL-2020'!S242</f>
        <v>0</v>
      </c>
      <c r="AA242" s="588">
        <f>+'NF-KSF-TRIAL-BAL-2020'!T242+'RA-TRIAL-BAL-2020'!T242+'DES-TRIAL-BAL-2020'!T242+'DMP-TRIAL-BAL-2020'!T242</f>
        <v>0</v>
      </c>
      <c r="AB242" s="51"/>
      <c r="AC242" s="575">
        <v>0</v>
      </c>
      <c r="AD242" s="576"/>
      <c r="AE242" s="325"/>
      <c r="AF242" s="324"/>
      <c r="AG242" s="579">
        <v>0</v>
      </c>
      <c r="AH242" s="580">
        <f>+IF(ABS(+AC242+AE242)&lt;=ABS(AD242+AF242),-AC242+AD242-AE242+AF242,0)</f>
        <v>0</v>
      </c>
      <c r="AI242" s="51"/>
      <c r="AJ242" s="1497">
        <f t="shared" si="124"/>
        <v>4862</v>
      </c>
      <c r="AK242" s="8">
        <v>0</v>
      </c>
      <c r="AL242" s="970">
        <f t="shared" si="132"/>
        <v>0</v>
      </c>
      <c r="AM242" s="326">
        <f t="shared" si="132"/>
        <v>0</v>
      </c>
      <c r="AN242" s="970">
        <f t="shared" si="132"/>
        <v>0</v>
      </c>
      <c r="AO242" s="29">
        <v>0</v>
      </c>
      <c r="AP242" s="28">
        <f>+T242+AA242+AH242</f>
        <v>0</v>
      </c>
      <c r="AQ242" s="43"/>
      <c r="AR242" s="358">
        <f t="shared" si="109"/>
        <v>0</v>
      </c>
      <c r="AS242" s="359">
        <f t="shared" si="110"/>
        <v>0</v>
      </c>
      <c r="AT242" s="360">
        <f t="shared" si="111"/>
        <v>0</v>
      </c>
      <c r="AU242" s="43"/>
      <c r="AV242" s="2119">
        <f>+IF(OR(+ROUND(O242,2)+ROUND(Q242,2)&gt;ROUND(P242,2)+ROUND(R242,2),+ABS(ROUND(O242,2)+ROUND(Q242,2))&gt;+ABS(ROUND(P242,2)+ROUND(R242,2))),+(ROUND(O242,2)+ROUND(Q242,2))-(ROUND(P242,2)+ROUND(R242,2)),0)</f>
        <v>0</v>
      </c>
      <c r="AW242" s="119"/>
      <c r="AX242" s="2119">
        <f>+IF(OR(+ROUND(AC242,2)+ROUND(AE242,2)&gt;ROUND(AD242,2)+ROUND(AF242,2),+ABS(ROUND(AC242,2)+ROUND(AE242,2))&gt;+ABS(ROUND(AD242,2)+ROUND(AF242,2))),+(ROUND(AC242,2)+ROUND(AE242,2))-(ROUND(AD242,2)+ROUND(AF242,2)),0)</f>
        <v>0</v>
      </c>
      <c r="AY242" s="43"/>
      <c r="AZ242" s="43"/>
      <c r="BA242" s="43"/>
      <c r="BB242" s="43"/>
      <c r="BC242" s="43"/>
      <c r="BD242" s="43"/>
    </row>
    <row r="243" spans="1:56" ht="15.75">
      <c r="A243" s="88">
        <v>4863</v>
      </c>
      <c r="B243" s="378" t="s">
        <v>289</v>
      </c>
      <c r="C243" s="88"/>
      <c r="D243" s="1033"/>
      <c r="E243" s="1033"/>
      <c r="F243" s="1033"/>
      <c r="G243" s="1033"/>
      <c r="H243" s="1033"/>
      <c r="I243" s="1033"/>
      <c r="J243" s="1033"/>
      <c r="K243" s="1033"/>
      <c r="L243" s="574"/>
      <c r="M243" s="51" t="s">
        <v>265</v>
      </c>
      <c r="N243" s="113">
        <f t="shared" si="106"/>
        <v>4863</v>
      </c>
      <c r="O243" s="575">
        <v>0</v>
      </c>
      <c r="P243" s="576"/>
      <c r="Q243" s="325"/>
      <c r="R243" s="324"/>
      <c r="S243" s="579">
        <v>0</v>
      </c>
      <c r="T243" s="580">
        <f>+IF(ABS(+O243+Q243)&lt;=ABS(P243+R243),-O243+P243-Q243+R243,0)</f>
        <v>0</v>
      </c>
      <c r="U243" s="51"/>
      <c r="V243" s="541">
        <f>+'NF-KSF-TRIAL-BAL-2020'!O243+'RA-TRIAL-BAL-2020'!O243+'DES-TRIAL-BAL-2020'!O243+'DMP-TRIAL-BAL-2020'!O243</f>
        <v>0</v>
      </c>
      <c r="W243" s="529">
        <f>+'NF-KSF-TRIAL-BAL-2020'!P243+'RA-TRIAL-BAL-2020'!P243+'DES-TRIAL-BAL-2020'!P243+'DMP-TRIAL-BAL-2020'!P243</f>
        <v>0</v>
      </c>
      <c r="X243" s="587">
        <f>+'NF-KSF-TRIAL-BAL-2020'!Q243+'RA-TRIAL-BAL-2020'!Q243+'DES-TRIAL-BAL-2020'!Q243+'DMP-TRIAL-BAL-2020'!Q243</f>
        <v>0</v>
      </c>
      <c r="Y243" s="586">
        <f>+'NF-KSF-TRIAL-BAL-2020'!R243+'RA-TRIAL-BAL-2020'!R243+'DES-TRIAL-BAL-2020'!R243+'DMP-TRIAL-BAL-2020'!R243</f>
        <v>0</v>
      </c>
      <c r="Z243" s="587">
        <f>+'NF-KSF-TRIAL-BAL-2020'!S243+'RA-TRIAL-BAL-2020'!S243+'DES-TRIAL-BAL-2020'!S243+'DMP-TRIAL-BAL-2020'!S243</f>
        <v>0</v>
      </c>
      <c r="AA243" s="588">
        <f>+'NF-KSF-TRIAL-BAL-2020'!T243+'RA-TRIAL-BAL-2020'!T243+'DES-TRIAL-BAL-2020'!T243+'DMP-TRIAL-BAL-2020'!T243</f>
        <v>0</v>
      </c>
      <c r="AB243" s="51"/>
      <c r="AC243" s="575">
        <v>0</v>
      </c>
      <c r="AD243" s="576"/>
      <c r="AE243" s="122"/>
      <c r="AF243" s="324"/>
      <c r="AG243" s="579">
        <v>0</v>
      </c>
      <c r="AH243" s="580">
        <f>+IF(ABS(+AC243+AE243)&lt;=ABS(AD243+AF243),-AC243+AD243-AE243+AF243,0)</f>
        <v>0</v>
      </c>
      <c r="AI243" s="51"/>
      <c r="AJ243" s="1497">
        <f t="shared" si="124"/>
        <v>4863</v>
      </c>
      <c r="AK243" s="8">
        <v>0</v>
      </c>
      <c r="AL243" s="970">
        <f t="shared" si="132"/>
        <v>0</v>
      </c>
      <c r="AM243" s="326">
        <f t="shared" si="132"/>
        <v>0</v>
      </c>
      <c r="AN243" s="970">
        <f t="shared" si="132"/>
        <v>0</v>
      </c>
      <c r="AO243" s="29">
        <v>0</v>
      </c>
      <c r="AP243" s="28">
        <f>+T243+AA243+AH243</f>
        <v>0</v>
      </c>
      <c r="AQ243" s="43"/>
      <c r="AR243" s="358">
        <f t="shared" si="109"/>
        <v>0</v>
      </c>
      <c r="AS243" s="359">
        <f t="shared" si="110"/>
        <v>0</v>
      </c>
      <c r="AT243" s="360">
        <f t="shared" si="111"/>
        <v>0</v>
      </c>
      <c r="AU243" s="43"/>
      <c r="AV243" s="2119">
        <f>+IF(OR(+ROUND(O243,2)+ROUND(Q243,2)&gt;ROUND(P243,2)+ROUND(R243,2),+ABS(ROUND(O243,2)+ROUND(Q243,2))&gt;+ABS(ROUND(P243,2)+ROUND(R243,2))),+(ROUND(O243,2)+ROUND(Q243,2))-(ROUND(P243,2)+ROUND(R243,2)),0)</f>
        <v>0</v>
      </c>
      <c r="AW243" s="119"/>
      <c r="AX243" s="2119">
        <f>+IF(OR(+ROUND(AC243,2)+ROUND(AE243,2)&gt;ROUND(AD243,2)+ROUND(AF243,2),+ABS(ROUND(AC243,2)+ROUND(AE243,2))&gt;+ABS(ROUND(AD243,2)+ROUND(AF243,2))),+(ROUND(AC243,2)+ROUND(AE243,2))-(ROUND(AD243,2)+ROUND(AF243,2)),0)</f>
        <v>0</v>
      </c>
      <c r="AY243" s="43"/>
      <c r="AZ243" s="43"/>
      <c r="BA243" s="43"/>
      <c r="BB243" s="43"/>
      <c r="BC243" s="43"/>
      <c r="BD243" s="43"/>
    </row>
    <row r="244" spans="1:56" ht="15.75">
      <c r="A244" s="88">
        <v>4864</v>
      </c>
      <c r="B244" s="378" t="s">
        <v>290</v>
      </c>
      <c r="C244" s="88"/>
      <c r="D244" s="1033"/>
      <c r="E244" s="1033"/>
      <c r="F244" s="1033"/>
      <c r="G244" s="1033"/>
      <c r="H244" s="1033"/>
      <c r="I244" s="1033"/>
      <c r="J244" s="1033"/>
      <c r="K244" s="1033"/>
      <c r="L244" s="574"/>
      <c r="M244" s="51" t="s">
        <v>265</v>
      </c>
      <c r="N244" s="113">
        <f t="shared" si="106"/>
        <v>4864</v>
      </c>
      <c r="O244" s="575">
        <v>0</v>
      </c>
      <c r="P244" s="576"/>
      <c r="Q244" s="325"/>
      <c r="R244" s="324"/>
      <c r="S244" s="579">
        <v>0</v>
      </c>
      <c r="T244" s="580">
        <f>+IF(ABS(+O244+Q244)&lt;=ABS(P244+R244),-O244+P244-Q244+R244,0)</f>
        <v>0</v>
      </c>
      <c r="U244" s="51"/>
      <c r="V244" s="541">
        <f>+'NF-KSF-TRIAL-BAL-2020'!O244+'RA-TRIAL-BAL-2020'!O244+'DES-TRIAL-BAL-2020'!O244+'DMP-TRIAL-BAL-2020'!O244</f>
        <v>0</v>
      </c>
      <c r="W244" s="529">
        <f>+'NF-KSF-TRIAL-BAL-2020'!P244+'RA-TRIAL-BAL-2020'!P244+'DES-TRIAL-BAL-2020'!P244+'DMP-TRIAL-BAL-2020'!P244</f>
        <v>0</v>
      </c>
      <c r="X244" s="587">
        <f>+'NF-KSF-TRIAL-BAL-2020'!Q244+'RA-TRIAL-BAL-2020'!Q244+'DES-TRIAL-BAL-2020'!Q244+'DMP-TRIAL-BAL-2020'!Q244</f>
        <v>0</v>
      </c>
      <c r="Y244" s="586">
        <f>+'NF-KSF-TRIAL-BAL-2020'!R244+'RA-TRIAL-BAL-2020'!R244+'DES-TRIAL-BAL-2020'!R244+'DMP-TRIAL-BAL-2020'!R244</f>
        <v>0</v>
      </c>
      <c r="Z244" s="587">
        <f>+'NF-KSF-TRIAL-BAL-2020'!S244+'RA-TRIAL-BAL-2020'!S244+'DES-TRIAL-BAL-2020'!S244+'DMP-TRIAL-BAL-2020'!S244</f>
        <v>0</v>
      </c>
      <c r="AA244" s="588">
        <f>+'NF-KSF-TRIAL-BAL-2020'!T244+'RA-TRIAL-BAL-2020'!T244+'DES-TRIAL-BAL-2020'!T244+'DMP-TRIAL-BAL-2020'!T244</f>
        <v>0</v>
      </c>
      <c r="AB244" s="51"/>
      <c r="AC244" s="575">
        <v>0</v>
      </c>
      <c r="AD244" s="576"/>
      <c r="AE244" s="325"/>
      <c r="AF244" s="324"/>
      <c r="AG244" s="579">
        <v>0</v>
      </c>
      <c r="AH244" s="580">
        <f>+IF(ABS(+AC244+AE244)&lt;=ABS(AD244+AF244),-AC244+AD244-AE244+AF244,0)</f>
        <v>0</v>
      </c>
      <c r="AI244" s="51"/>
      <c r="AJ244" s="1497">
        <f t="shared" si="124"/>
        <v>4864</v>
      </c>
      <c r="AK244" s="8">
        <v>0</v>
      </c>
      <c r="AL244" s="970">
        <f>+ROUND(+P244+W244+AD244,2)</f>
        <v>0</v>
      </c>
      <c r="AM244" s="326">
        <f>+ROUND(+Q244+X244+AE244,2)</f>
        <v>0</v>
      </c>
      <c r="AN244" s="970">
        <f>+ROUND(+R244+Y244+AF244,2)</f>
        <v>0</v>
      </c>
      <c r="AO244" s="29">
        <v>0</v>
      </c>
      <c r="AP244" s="28">
        <f>+T244+AA244+AH244</f>
        <v>0</v>
      </c>
      <c r="AQ244" s="43"/>
      <c r="AR244" s="358">
        <f t="shared" si="109"/>
        <v>0</v>
      </c>
      <c r="AS244" s="359">
        <f t="shared" si="110"/>
        <v>0</v>
      </c>
      <c r="AT244" s="360">
        <f t="shared" si="111"/>
        <v>0</v>
      </c>
      <c r="AU244" s="43"/>
      <c r="AV244" s="2119">
        <f>+IF(OR(+ROUND(O244,2)+ROUND(Q244,2)&gt;ROUND(P244,2)+ROUND(R244,2),+ABS(ROUND(O244,2)+ROUND(Q244,2))&gt;+ABS(ROUND(P244,2)+ROUND(R244,2))),+(ROUND(O244,2)+ROUND(Q244,2))-(ROUND(P244,2)+ROUND(R244,2)),0)</f>
        <v>0</v>
      </c>
      <c r="AW244" s="119"/>
      <c r="AX244" s="2119">
        <f>+IF(OR(+ROUND(AC244,2)+ROUND(AE244,2)&gt;ROUND(AD244,2)+ROUND(AF244,2),+ABS(ROUND(AC244,2)+ROUND(AE244,2))&gt;+ABS(ROUND(AD244,2)+ROUND(AF244,2))),+(ROUND(AC244,2)+ROUND(AE244,2))-(ROUND(AD244,2)+ROUND(AF244,2)),0)</f>
        <v>0</v>
      </c>
      <c r="AY244" s="43"/>
      <c r="AZ244" s="43"/>
      <c r="BA244" s="43"/>
      <c r="BB244" s="43"/>
      <c r="BC244" s="43"/>
      <c r="BD244" s="43"/>
    </row>
    <row r="245" spans="1:56" ht="15.75">
      <c r="A245" s="88">
        <v>4865</v>
      </c>
      <c r="B245" s="378" t="s">
        <v>291</v>
      </c>
      <c r="C245" s="88"/>
      <c r="D245" s="1033"/>
      <c r="E245" s="1033"/>
      <c r="F245" s="1033"/>
      <c r="G245" s="1033"/>
      <c r="H245" s="1033"/>
      <c r="I245" s="1033"/>
      <c r="J245" s="1033"/>
      <c r="K245" s="1033"/>
      <c r="L245" s="574"/>
      <c r="M245" s="51" t="s">
        <v>265</v>
      </c>
      <c r="N245" s="113">
        <f t="shared" si="106"/>
        <v>4865</v>
      </c>
      <c r="O245" s="581"/>
      <c r="P245" s="582">
        <v>0</v>
      </c>
      <c r="Q245" s="325"/>
      <c r="R245" s="324"/>
      <c r="S245" s="583">
        <f t="shared" ref="S245:S250" si="133">+IF(ABS(+O245+Q245)&gt;=ABS(P245+R245),+O245-P245+Q245-R245,0)</f>
        <v>0</v>
      </c>
      <c r="T245" s="584">
        <v>0</v>
      </c>
      <c r="U245" s="51"/>
      <c r="V245" s="541">
        <f>+'NF-KSF-TRIAL-BAL-2020'!O245+'RA-TRIAL-BAL-2020'!O245+'DES-TRIAL-BAL-2020'!O245+'DMP-TRIAL-BAL-2020'!O245</f>
        <v>0</v>
      </c>
      <c r="W245" s="529">
        <f>+'NF-KSF-TRIAL-BAL-2020'!P245+'RA-TRIAL-BAL-2020'!P245+'DES-TRIAL-BAL-2020'!P245+'DMP-TRIAL-BAL-2020'!P245</f>
        <v>0</v>
      </c>
      <c r="X245" s="587">
        <f>+'NF-KSF-TRIAL-BAL-2020'!Q245+'RA-TRIAL-BAL-2020'!Q245+'DES-TRIAL-BAL-2020'!Q245+'DMP-TRIAL-BAL-2020'!Q245</f>
        <v>0</v>
      </c>
      <c r="Y245" s="586">
        <f>+'NF-KSF-TRIAL-BAL-2020'!R245+'RA-TRIAL-BAL-2020'!R245+'DES-TRIAL-BAL-2020'!R245+'DMP-TRIAL-BAL-2020'!R245</f>
        <v>0</v>
      </c>
      <c r="Z245" s="587">
        <f>+'NF-KSF-TRIAL-BAL-2020'!S245+'RA-TRIAL-BAL-2020'!S245+'DES-TRIAL-BAL-2020'!S245+'DMP-TRIAL-BAL-2020'!S245</f>
        <v>0</v>
      </c>
      <c r="AA245" s="588">
        <f>+'NF-KSF-TRIAL-BAL-2020'!T245+'RA-TRIAL-BAL-2020'!T245+'DES-TRIAL-BAL-2020'!T245+'DMP-TRIAL-BAL-2020'!T245</f>
        <v>0</v>
      </c>
      <c r="AB245" s="51"/>
      <c r="AC245" s="581"/>
      <c r="AD245" s="582">
        <v>0</v>
      </c>
      <c r="AE245" s="325"/>
      <c r="AF245" s="324"/>
      <c r="AG245" s="583">
        <f t="shared" ref="AG245:AG250" si="134">+IF(ABS(+AC245+AE245)&gt;=ABS(AD245+AF245),+AC245-AD245+AE245-AF245,0)</f>
        <v>0</v>
      </c>
      <c r="AH245" s="584">
        <v>0</v>
      </c>
      <c r="AI245" s="51"/>
      <c r="AJ245" s="1497">
        <f>+N245</f>
        <v>4865</v>
      </c>
      <c r="AK245" s="951">
        <f t="shared" ref="AK245:AK250" si="135">+ROUND(+O245+V245+AC245,2)</f>
        <v>0</v>
      </c>
      <c r="AL245" s="9">
        <v>0</v>
      </c>
      <c r="AM245" s="326">
        <f t="shared" ref="AM245:AN247" si="136">+ROUND(+Q245+X245+AE245,2)</f>
        <v>0</v>
      </c>
      <c r="AN245" s="970">
        <f t="shared" si="136"/>
        <v>0</v>
      </c>
      <c r="AO245" s="326">
        <f t="shared" ref="AO245:AO250" si="137">+S245+Z245+AG245</f>
        <v>0</v>
      </c>
      <c r="AP245" s="30">
        <v>0</v>
      </c>
      <c r="AQ245" s="43"/>
      <c r="AR245" s="358">
        <f>+ROUND(+SUM(AK245-AL245)-SUM(O245-P245)-SUM(V245-W245)-SUM(AC245-AD245),2)</f>
        <v>0</v>
      </c>
      <c r="AS245" s="359">
        <f>+ROUND(+SUM(AM245-AN245)-SUM(Q245-R245)-SUM(X245-Y245)-SUM(AE245-AF245),2)</f>
        <v>0</v>
      </c>
      <c r="AT245" s="360">
        <f>+ROUND(+SUM(AO245-AP245)-SUM(S245-T245)-SUM(Z245-AA245)-SUM(AG245-AH245),2)</f>
        <v>0</v>
      </c>
      <c r="AU245" s="43"/>
      <c r="AV245" s="2120">
        <f t="shared" ref="AV245:AV250" si="138">+IF(OR(ROUND(P245,2)+ROUND(R245,2)&gt;+ROUND(O245,2)+ROUND(Q245,2),+ABS(ROUND(P245,2)+ROUND(R245,2))&gt;+ABS(ROUND(O245,2)+ROUND(Q245,2))),+(ROUND(P245,2)+ROUND(R245,2))-(ROUND(O245,2)+ROUND(Q245,2)),0)</f>
        <v>0</v>
      </c>
      <c r="AW245" s="119"/>
      <c r="AX245" s="2120">
        <f t="shared" ref="AX245:AX250" si="139">+IF(OR(ROUND(AD245,2)+ROUND(AF245,2)&gt;+ROUND(AC245,2)+ROUND(AE245,2),+ABS(ROUND(AD245,2)+ROUND(AF245,2))&gt;+ABS(ROUND(AC245,2)+ROUND(AE245,2))),+(ROUND(AD245,2)+ROUND(AF245,2))-(ROUND(AC245,2)+ROUND(AE245,2)),0)</f>
        <v>0</v>
      </c>
      <c r="AY245" s="43"/>
      <c r="AZ245" s="43"/>
      <c r="BA245" s="43"/>
      <c r="BB245" s="43"/>
      <c r="BC245" s="43"/>
      <c r="BD245" s="43"/>
    </row>
    <row r="246" spans="1:56" ht="15.75">
      <c r="A246" s="88">
        <v>4866</v>
      </c>
      <c r="B246" s="378" t="s">
        <v>292</v>
      </c>
      <c r="C246" s="88"/>
      <c r="D246" s="1033"/>
      <c r="E246" s="1033"/>
      <c r="F246" s="1033"/>
      <c r="G246" s="1033"/>
      <c r="H246" s="1033"/>
      <c r="I246" s="1033"/>
      <c r="J246" s="1033"/>
      <c r="K246" s="1033"/>
      <c r="L246" s="574"/>
      <c r="M246" s="51" t="s">
        <v>265</v>
      </c>
      <c r="N246" s="113">
        <f t="shared" si="106"/>
        <v>4866</v>
      </c>
      <c r="O246" s="581"/>
      <c r="P246" s="582">
        <v>0</v>
      </c>
      <c r="Q246" s="325"/>
      <c r="R246" s="324"/>
      <c r="S246" s="583">
        <f t="shared" si="133"/>
        <v>0</v>
      </c>
      <c r="T246" s="584">
        <v>0</v>
      </c>
      <c r="U246" s="51"/>
      <c r="V246" s="541">
        <f>+'NF-KSF-TRIAL-BAL-2020'!O246+'RA-TRIAL-BAL-2020'!O246+'DES-TRIAL-BAL-2020'!O246+'DMP-TRIAL-BAL-2020'!O246</f>
        <v>0</v>
      </c>
      <c r="W246" s="529">
        <f>+'NF-KSF-TRIAL-BAL-2020'!P246+'RA-TRIAL-BAL-2020'!P246+'DES-TRIAL-BAL-2020'!P246+'DMP-TRIAL-BAL-2020'!P246</f>
        <v>0</v>
      </c>
      <c r="X246" s="587">
        <f>+'NF-KSF-TRIAL-BAL-2020'!Q246+'RA-TRIAL-BAL-2020'!Q246+'DES-TRIAL-BAL-2020'!Q246+'DMP-TRIAL-BAL-2020'!Q246</f>
        <v>0</v>
      </c>
      <c r="Y246" s="586">
        <f>+'NF-KSF-TRIAL-BAL-2020'!R246+'RA-TRIAL-BAL-2020'!R246+'DES-TRIAL-BAL-2020'!R246+'DMP-TRIAL-BAL-2020'!R246</f>
        <v>0</v>
      </c>
      <c r="Z246" s="587">
        <f>+'NF-KSF-TRIAL-BAL-2020'!S246+'RA-TRIAL-BAL-2020'!S246+'DES-TRIAL-BAL-2020'!S246+'DMP-TRIAL-BAL-2020'!S246</f>
        <v>0</v>
      </c>
      <c r="AA246" s="588">
        <f>+'NF-KSF-TRIAL-BAL-2020'!T246+'RA-TRIAL-BAL-2020'!T246+'DES-TRIAL-BAL-2020'!T246+'DMP-TRIAL-BAL-2020'!T246</f>
        <v>0</v>
      </c>
      <c r="AB246" s="51"/>
      <c r="AC246" s="581"/>
      <c r="AD246" s="582">
        <v>0</v>
      </c>
      <c r="AE246" s="122"/>
      <c r="AF246" s="324"/>
      <c r="AG246" s="583">
        <f t="shared" si="134"/>
        <v>0</v>
      </c>
      <c r="AH246" s="584">
        <v>0</v>
      </c>
      <c r="AI246" s="51"/>
      <c r="AJ246" s="1497">
        <f>+N246</f>
        <v>4866</v>
      </c>
      <c r="AK246" s="951">
        <f t="shared" si="135"/>
        <v>0</v>
      </c>
      <c r="AL246" s="9">
        <v>0</v>
      </c>
      <c r="AM246" s="326">
        <f t="shared" si="136"/>
        <v>0</v>
      </c>
      <c r="AN246" s="970">
        <f t="shared" si="136"/>
        <v>0</v>
      </c>
      <c r="AO246" s="326">
        <f t="shared" si="137"/>
        <v>0</v>
      </c>
      <c r="AP246" s="30">
        <v>0</v>
      </c>
      <c r="AQ246" s="43"/>
      <c r="AR246" s="358">
        <f>+ROUND(+SUM(AK246-AL246)-SUM(O246-P246)-SUM(V246-W246)-SUM(AC246-AD246),2)</f>
        <v>0</v>
      </c>
      <c r="AS246" s="359">
        <f>+ROUND(+SUM(AM246-AN246)-SUM(Q246-R246)-SUM(X246-Y246)-SUM(AE246-AF246),2)</f>
        <v>0</v>
      </c>
      <c r="AT246" s="360">
        <f>+ROUND(+SUM(AO246-AP246)-SUM(S246-T246)-SUM(Z246-AA246)-SUM(AG246-AH246),2)</f>
        <v>0</v>
      </c>
      <c r="AU246" s="43"/>
      <c r="AV246" s="2120">
        <f t="shared" si="138"/>
        <v>0</v>
      </c>
      <c r="AW246" s="119"/>
      <c r="AX246" s="2120">
        <f t="shared" si="139"/>
        <v>0</v>
      </c>
      <c r="AY246" s="43"/>
      <c r="AZ246" s="43"/>
      <c r="BA246" s="43"/>
      <c r="BB246" s="43"/>
      <c r="BC246" s="43"/>
      <c r="BD246" s="43"/>
    </row>
    <row r="247" spans="1:56" ht="15.75">
      <c r="A247" s="88">
        <v>4867</v>
      </c>
      <c r="B247" s="378" t="s">
        <v>293</v>
      </c>
      <c r="C247" s="88"/>
      <c r="D247" s="1033"/>
      <c r="E247" s="1033"/>
      <c r="F247" s="1033"/>
      <c r="G247" s="1033"/>
      <c r="H247" s="1033"/>
      <c r="I247" s="1033"/>
      <c r="J247" s="1033"/>
      <c r="K247" s="1033"/>
      <c r="L247" s="574"/>
      <c r="M247" s="51" t="s">
        <v>265</v>
      </c>
      <c r="N247" s="113">
        <f t="shared" si="106"/>
        <v>4867</v>
      </c>
      <c r="O247" s="581"/>
      <c r="P247" s="582">
        <v>0</v>
      </c>
      <c r="Q247" s="325"/>
      <c r="R247" s="324"/>
      <c r="S247" s="583">
        <f t="shared" si="133"/>
        <v>0</v>
      </c>
      <c r="T247" s="584">
        <v>0</v>
      </c>
      <c r="U247" s="51"/>
      <c r="V247" s="541">
        <f>+'NF-KSF-TRIAL-BAL-2020'!O247+'RA-TRIAL-BAL-2020'!O247+'DES-TRIAL-BAL-2020'!O247+'DMP-TRIAL-BAL-2020'!O247</f>
        <v>0</v>
      </c>
      <c r="W247" s="529">
        <f>+'NF-KSF-TRIAL-BAL-2020'!P247+'RA-TRIAL-BAL-2020'!P247+'DES-TRIAL-BAL-2020'!P247+'DMP-TRIAL-BAL-2020'!P247</f>
        <v>0</v>
      </c>
      <c r="X247" s="587">
        <f>+'NF-KSF-TRIAL-BAL-2020'!Q247+'RA-TRIAL-BAL-2020'!Q247+'DES-TRIAL-BAL-2020'!Q247+'DMP-TRIAL-BAL-2020'!Q247</f>
        <v>0</v>
      </c>
      <c r="Y247" s="586">
        <f>+'NF-KSF-TRIAL-BAL-2020'!R247+'RA-TRIAL-BAL-2020'!R247+'DES-TRIAL-BAL-2020'!R247+'DMP-TRIAL-BAL-2020'!R247</f>
        <v>0</v>
      </c>
      <c r="Z247" s="587">
        <f>+'NF-KSF-TRIAL-BAL-2020'!S247+'RA-TRIAL-BAL-2020'!S247+'DES-TRIAL-BAL-2020'!S247+'DMP-TRIAL-BAL-2020'!S247</f>
        <v>0</v>
      </c>
      <c r="AA247" s="588">
        <f>+'NF-KSF-TRIAL-BAL-2020'!T247+'RA-TRIAL-BAL-2020'!T247+'DES-TRIAL-BAL-2020'!T247+'DMP-TRIAL-BAL-2020'!T247</f>
        <v>0</v>
      </c>
      <c r="AB247" s="51"/>
      <c r="AC247" s="581"/>
      <c r="AD247" s="582">
        <v>0</v>
      </c>
      <c r="AE247" s="325"/>
      <c r="AF247" s="324"/>
      <c r="AG247" s="583">
        <f t="shared" si="134"/>
        <v>0</v>
      </c>
      <c r="AH247" s="584">
        <v>0</v>
      </c>
      <c r="AI247" s="51"/>
      <c r="AJ247" s="1497">
        <f>+N247</f>
        <v>4867</v>
      </c>
      <c r="AK247" s="951">
        <f t="shared" si="135"/>
        <v>0</v>
      </c>
      <c r="AL247" s="9">
        <v>0</v>
      </c>
      <c r="AM247" s="326">
        <f t="shared" si="136"/>
        <v>0</v>
      </c>
      <c r="AN247" s="970">
        <f t="shared" si="136"/>
        <v>0</v>
      </c>
      <c r="AO247" s="326">
        <f t="shared" si="137"/>
        <v>0</v>
      </c>
      <c r="AP247" s="30">
        <v>0</v>
      </c>
      <c r="AQ247" s="43"/>
      <c r="AR247" s="358">
        <f>+ROUND(+SUM(AK247-AL247)-SUM(O247-P247)-SUM(V247-W247)-SUM(AC247-AD247),2)</f>
        <v>0</v>
      </c>
      <c r="AS247" s="359">
        <f>+ROUND(+SUM(AM247-AN247)-SUM(Q247-R247)-SUM(X247-Y247)-SUM(AE247-AF247),2)</f>
        <v>0</v>
      </c>
      <c r="AT247" s="360">
        <f>+ROUND(+SUM(AO247-AP247)-SUM(S247-T247)-SUM(Z247-AA247)-SUM(AG247-AH247),2)</f>
        <v>0</v>
      </c>
      <c r="AU247" s="43"/>
      <c r="AV247" s="2120">
        <f t="shared" si="138"/>
        <v>0</v>
      </c>
      <c r="AW247" s="119"/>
      <c r="AX247" s="2120">
        <f t="shared" si="139"/>
        <v>0</v>
      </c>
      <c r="AY247" s="43"/>
      <c r="AZ247" s="43"/>
      <c r="BA247" s="43"/>
      <c r="BB247" s="43"/>
      <c r="BC247" s="43"/>
      <c r="BD247" s="43"/>
    </row>
    <row r="248" spans="1:56" ht="15.75">
      <c r="A248" s="88">
        <v>4868</v>
      </c>
      <c r="B248" s="378" t="s">
        <v>294</v>
      </c>
      <c r="C248" s="88"/>
      <c r="D248" s="1033"/>
      <c r="E248" s="1033"/>
      <c r="F248" s="1033"/>
      <c r="G248" s="1033"/>
      <c r="H248" s="1033"/>
      <c r="I248" s="1033"/>
      <c r="J248" s="1033"/>
      <c r="K248" s="1033"/>
      <c r="L248" s="574"/>
      <c r="M248" s="51" t="s">
        <v>265</v>
      </c>
      <c r="N248" s="113">
        <f t="shared" si="106"/>
        <v>4868</v>
      </c>
      <c r="O248" s="581"/>
      <c r="P248" s="582">
        <v>0</v>
      </c>
      <c r="Q248" s="325"/>
      <c r="R248" s="324"/>
      <c r="S248" s="583">
        <f t="shared" si="133"/>
        <v>0</v>
      </c>
      <c r="T248" s="584">
        <v>0</v>
      </c>
      <c r="U248" s="51"/>
      <c r="V248" s="541">
        <f>+'NF-KSF-TRIAL-BAL-2020'!O248+'RA-TRIAL-BAL-2020'!O248+'DES-TRIAL-BAL-2020'!O248+'DMP-TRIAL-BAL-2020'!O248</f>
        <v>0</v>
      </c>
      <c r="W248" s="529">
        <f>+'NF-KSF-TRIAL-BAL-2020'!P248+'RA-TRIAL-BAL-2020'!P248+'DES-TRIAL-BAL-2020'!P248+'DMP-TRIAL-BAL-2020'!P248</f>
        <v>0</v>
      </c>
      <c r="X248" s="587">
        <f>+'NF-KSF-TRIAL-BAL-2020'!Q248+'RA-TRIAL-BAL-2020'!Q248+'DES-TRIAL-BAL-2020'!Q248+'DMP-TRIAL-BAL-2020'!Q248</f>
        <v>0</v>
      </c>
      <c r="Y248" s="586">
        <f>+'NF-KSF-TRIAL-BAL-2020'!R248+'RA-TRIAL-BAL-2020'!R248+'DES-TRIAL-BAL-2020'!R248+'DMP-TRIAL-BAL-2020'!R248</f>
        <v>0</v>
      </c>
      <c r="Z248" s="587">
        <f>+'NF-KSF-TRIAL-BAL-2020'!S248+'RA-TRIAL-BAL-2020'!S248+'DES-TRIAL-BAL-2020'!S248+'DMP-TRIAL-BAL-2020'!S248</f>
        <v>0</v>
      </c>
      <c r="AA248" s="588">
        <f>+'NF-KSF-TRIAL-BAL-2020'!T248+'RA-TRIAL-BAL-2020'!T248+'DES-TRIAL-BAL-2020'!T248+'DMP-TRIAL-BAL-2020'!T248</f>
        <v>0</v>
      </c>
      <c r="AB248" s="51"/>
      <c r="AC248" s="581"/>
      <c r="AD248" s="582">
        <v>0</v>
      </c>
      <c r="AE248" s="325"/>
      <c r="AF248" s="324"/>
      <c r="AG248" s="583">
        <f t="shared" si="134"/>
        <v>0</v>
      </c>
      <c r="AH248" s="584">
        <v>0</v>
      </c>
      <c r="AI248" s="51"/>
      <c r="AJ248" s="1497">
        <f t="shared" si="124"/>
        <v>4868</v>
      </c>
      <c r="AK248" s="951">
        <f t="shared" si="135"/>
        <v>0</v>
      </c>
      <c r="AL248" s="9">
        <v>0</v>
      </c>
      <c r="AM248" s="326">
        <f>+ROUND(+Q248+X248+AE248,2)</f>
        <v>0</v>
      </c>
      <c r="AN248" s="970">
        <f>+ROUND(+R248+Y248+AF248,2)</f>
        <v>0</v>
      </c>
      <c r="AO248" s="326">
        <f t="shared" si="137"/>
        <v>0</v>
      </c>
      <c r="AP248" s="30">
        <v>0</v>
      </c>
      <c r="AQ248" s="43"/>
      <c r="AR248" s="358">
        <f t="shared" si="109"/>
        <v>0</v>
      </c>
      <c r="AS248" s="359">
        <f t="shared" si="110"/>
        <v>0</v>
      </c>
      <c r="AT248" s="360">
        <f t="shared" si="111"/>
        <v>0</v>
      </c>
      <c r="AU248" s="43"/>
      <c r="AV248" s="2120">
        <f t="shared" si="138"/>
        <v>0</v>
      </c>
      <c r="AW248" s="119"/>
      <c r="AX248" s="2120">
        <f t="shared" si="139"/>
        <v>0</v>
      </c>
      <c r="AY248" s="43"/>
      <c r="AZ248" s="43"/>
      <c r="BA248" s="43"/>
      <c r="BB248" s="43"/>
      <c r="BC248" s="43"/>
      <c r="BD248" s="43"/>
    </row>
    <row r="249" spans="1:56" ht="15.75">
      <c r="A249" s="88">
        <v>4871</v>
      </c>
      <c r="B249" s="378" t="s">
        <v>295</v>
      </c>
      <c r="C249" s="88"/>
      <c r="D249" s="1033"/>
      <c r="E249" s="1033"/>
      <c r="F249" s="1033"/>
      <c r="G249" s="1033"/>
      <c r="H249" s="1033"/>
      <c r="I249" s="1033"/>
      <c r="J249" s="1033"/>
      <c r="K249" s="1033"/>
      <c r="L249" s="574"/>
      <c r="M249" s="51" t="s">
        <v>265</v>
      </c>
      <c r="N249" s="113">
        <f t="shared" si="106"/>
        <v>4871</v>
      </c>
      <c r="O249" s="581"/>
      <c r="P249" s="582">
        <v>0</v>
      </c>
      <c r="Q249" s="325"/>
      <c r="R249" s="324"/>
      <c r="S249" s="583">
        <f t="shared" si="133"/>
        <v>0</v>
      </c>
      <c r="T249" s="584">
        <v>0</v>
      </c>
      <c r="U249" s="51"/>
      <c r="V249" s="541">
        <f>+'NF-KSF-TRIAL-BAL-2020'!O249+'RA-TRIAL-BAL-2020'!O249+'DES-TRIAL-BAL-2020'!O249+'DMP-TRIAL-BAL-2020'!O249</f>
        <v>0</v>
      </c>
      <c r="W249" s="529">
        <f>+'NF-KSF-TRIAL-BAL-2020'!P249+'RA-TRIAL-BAL-2020'!P249+'DES-TRIAL-BAL-2020'!P249+'DMP-TRIAL-BAL-2020'!P249</f>
        <v>0</v>
      </c>
      <c r="X249" s="587">
        <f>+'NF-KSF-TRIAL-BAL-2020'!Q249+'RA-TRIAL-BAL-2020'!Q249+'DES-TRIAL-BAL-2020'!Q249+'DMP-TRIAL-BAL-2020'!Q249</f>
        <v>0</v>
      </c>
      <c r="Y249" s="586">
        <f>+'NF-KSF-TRIAL-BAL-2020'!R249+'RA-TRIAL-BAL-2020'!R249+'DES-TRIAL-BAL-2020'!R249+'DMP-TRIAL-BAL-2020'!R249</f>
        <v>0</v>
      </c>
      <c r="Z249" s="587">
        <f>+'NF-KSF-TRIAL-BAL-2020'!S249+'RA-TRIAL-BAL-2020'!S249+'DES-TRIAL-BAL-2020'!S249+'DMP-TRIAL-BAL-2020'!S249</f>
        <v>0</v>
      </c>
      <c r="AA249" s="588">
        <f>+'NF-KSF-TRIAL-BAL-2020'!T249+'RA-TRIAL-BAL-2020'!T249+'DES-TRIAL-BAL-2020'!T249+'DMP-TRIAL-BAL-2020'!T249</f>
        <v>0</v>
      </c>
      <c r="AB249" s="51"/>
      <c r="AC249" s="581"/>
      <c r="AD249" s="582">
        <v>0</v>
      </c>
      <c r="AE249" s="325"/>
      <c r="AF249" s="324"/>
      <c r="AG249" s="583">
        <f t="shared" si="134"/>
        <v>0</v>
      </c>
      <c r="AH249" s="584">
        <v>0</v>
      </c>
      <c r="AI249" s="51"/>
      <c r="AJ249" s="1497">
        <f t="shared" ref="AJ249:AJ254" si="140">+N249</f>
        <v>4871</v>
      </c>
      <c r="AK249" s="951">
        <f t="shared" si="135"/>
        <v>0</v>
      </c>
      <c r="AL249" s="9">
        <v>0</v>
      </c>
      <c r="AM249" s="326">
        <f t="shared" ref="AM249:AN254" si="141">+ROUND(+Q249+X249+AE249,2)</f>
        <v>0</v>
      </c>
      <c r="AN249" s="970">
        <f t="shared" si="141"/>
        <v>0</v>
      </c>
      <c r="AO249" s="326">
        <f t="shared" si="137"/>
        <v>0</v>
      </c>
      <c r="AP249" s="30">
        <v>0</v>
      </c>
      <c r="AQ249" s="43"/>
      <c r="AR249" s="358">
        <f t="shared" ref="AR249:AR254" si="142">+ROUND(+SUM(AK249-AL249)-SUM(O249-P249)-SUM(V249-W249)-SUM(AC249-AD249),2)</f>
        <v>0</v>
      </c>
      <c r="AS249" s="359">
        <f t="shared" ref="AS249:AS254" si="143">+ROUND(+SUM(AM249-AN249)-SUM(Q249-R249)-SUM(X249-Y249)-SUM(AE249-AF249),2)</f>
        <v>0</v>
      </c>
      <c r="AT249" s="360">
        <f t="shared" ref="AT249:AT254" si="144">+ROUND(+SUM(AO249-AP249)-SUM(S249-T249)-SUM(Z249-AA249)-SUM(AG249-AH249),2)</f>
        <v>0</v>
      </c>
      <c r="AU249" s="43"/>
      <c r="AV249" s="2120">
        <f t="shared" si="138"/>
        <v>0</v>
      </c>
      <c r="AW249" s="119"/>
      <c r="AX249" s="2120">
        <f t="shared" si="139"/>
        <v>0</v>
      </c>
      <c r="AY249" s="43"/>
      <c r="AZ249" s="43"/>
      <c r="BA249" s="43"/>
      <c r="BB249" s="43"/>
      <c r="BC249" s="43"/>
      <c r="BD249" s="43"/>
    </row>
    <row r="250" spans="1:56" ht="15.75">
      <c r="A250" s="88">
        <v>4872</v>
      </c>
      <c r="B250" s="378" t="s">
        <v>296</v>
      </c>
      <c r="C250" s="88"/>
      <c r="D250" s="1033"/>
      <c r="E250" s="1033"/>
      <c r="F250" s="1033"/>
      <c r="G250" s="1033"/>
      <c r="H250" s="1033"/>
      <c r="I250" s="1033"/>
      <c r="J250" s="1033"/>
      <c r="K250" s="1033"/>
      <c r="L250" s="574"/>
      <c r="M250" s="51" t="s">
        <v>265</v>
      </c>
      <c r="N250" s="113">
        <f t="shared" si="106"/>
        <v>4872</v>
      </c>
      <c r="O250" s="581"/>
      <c r="P250" s="582">
        <v>0</v>
      </c>
      <c r="Q250" s="325"/>
      <c r="R250" s="324"/>
      <c r="S250" s="583">
        <f t="shared" si="133"/>
        <v>0</v>
      </c>
      <c r="T250" s="584">
        <v>0</v>
      </c>
      <c r="U250" s="51"/>
      <c r="V250" s="541">
        <f>+'NF-KSF-TRIAL-BAL-2020'!O250+'RA-TRIAL-BAL-2020'!O250+'DES-TRIAL-BAL-2020'!O250+'DMP-TRIAL-BAL-2020'!O250</f>
        <v>0</v>
      </c>
      <c r="W250" s="529">
        <f>+'NF-KSF-TRIAL-BAL-2020'!P250+'RA-TRIAL-BAL-2020'!P250+'DES-TRIAL-BAL-2020'!P250+'DMP-TRIAL-BAL-2020'!P250</f>
        <v>0</v>
      </c>
      <c r="X250" s="587">
        <f>+'NF-KSF-TRIAL-BAL-2020'!Q250+'RA-TRIAL-BAL-2020'!Q250+'DES-TRIAL-BAL-2020'!Q250+'DMP-TRIAL-BAL-2020'!Q250</f>
        <v>0</v>
      </c>
      <c r="Y250" s="586">
        <f>+'NF-KSF-TRIAL-BAL-2020'!R250+'RA-TRIAL-BAL-2020'!R250+'DES-TRIAL-BAL-2020'!R250+'DMP-TRIAL-BAL-2020'!R250</f>
        <v>0</v>
      </c>
      <c r="Z250" s="587">
        <f>+'NF-KSF-TRIAL-BAL-2020'!S250+'RA-TRIAL-BAL-2020'!S250+'DES-TRIAL-BAL-2020'!S250+'DMP-TRIAL-BAL-2020'!S250</f>
        <v>0</v>
      </c>
      <c r="AA250" s="588">
        <f>+'NF-KSF-TRIAL-BAL-2020'!T250+'RA-TRIAL-BAL-2020'!T250+'DES-TRIAL-BAL-2020'!T250+'DMP-TRIAL-BAL-2020'!T250</f>
        <v>0</v>
      </c>
      <c r="AB250" s="51"/>
      <c r="AC250" s="581"/>
      <c r="AD250" s="582">
        <v>0</v>
      </c>
      <c r="AE250" s="122"/>
      <c r="AF250" s="324"/>
      <c r="AG250" s="583">
        <f t="shared" si="134"/>
        <v>0</v>
      </c>
      <c r="AH250" s="584">
        <v>0</v>
      </c>
      <c r="AI250" s="51"/>
      <c r="AJ250" s="1497">
        <f t="shared" si="140"/>
        <v>4872</v>
      </c>
      <c r="AK250" s="951">
        <f t="shared" si="135"/>
        <v>0</v>
      </c>
      <c r="AL250" s="9">
        <v>0</v>
      </c>
      <c r="AM250" s="326">
        <f t="shared" si="141"/>
        <v>0</v>
      </c>
      <c r="AN250" s="970">
        <f t="shared" si="141"/>
        <v>0</v>
      </c>
      <c r="AO250" s="326">
        <f t="shared" si="137"/>
        <v>0</v>
      </c>
      <c r="AP250" s="30">
        <v>0</v>
      </c>
      <c r="AQ250" s="43"/>
      <c r="AR250" s="358">
        <f t="shared" si="142"/>
        <v>0</v>
      </c>
      <c r="AS250" s="359">
        <f t="shared" si="143"/>
        <v>0</v>
      </c>
      <c r="AT250" s="360">
        <f t="shared" si="144"/>
        <v>0</v>
      </c>
      <c r="AU250" s="43"/>
      <c r="AV250" s="2120">
        <f t="shared" si="138"/>
        <v>0</v>
      </c>
      <c r="AW250" s="119"/>
      <c r="AX250" s="2120">
        <f t="shared" si="139"/>
        <v>0</v>
      </c>
      <c r="AY250" s="43"/>
      <c r="AZ250" s="43"/>
      <c r="BA250" s="43"/>
      <c r="BB250" s="43"/>
      <c r="BC250" s="43"/>
      <c r="BD250" s="43"/>
    </row>
    <row r="251" spans="1:56" ht="15.75">
      <c r="A251" s="88">
        <v>4877</v>
      </c>
      <c r="B251" s="378" t="s">
        <v>297</v>
      </c>
      <c r="C251" s="88"/>
      <c r="D251" s="1033"/>
      <c r="E251" s="1033"/>
      <c r="F251" s="1033"/>
      <c r="G251" s="1033"/>
      <c r="H251" s="1033"/>
      <c r="I251" s="1033"/>
      <c r="J251" s="1033"/>
      <c r="K251" s="1033"/>
      <c r="L251" s="574"/>
      <c r="M251" s="51" t="s">
        <v>265</v>
      </c>
      <c r="N251" s="113">
        <f t="shared" si="106"/>
        <v>4877</v>
      </c>
      <c r="O251" s="575">
        <v>0</v>
      </c>
      <c r="P251" s="576"/>
      <c r="Q251" s="325"/>
      <c r="R251" s="324"/>
      <c r="S251" s="579">
        <v>0</v>
      </c>
      <c r="T251" s="580">
        <f>+IF(ABS(+O251+Q251)&lt;=ABS(P251+R251),-O251+P251-Q251+R251,0)</f>
        <v>0</v>
      </c>
      <c r="U251" s="51"/>
      <c r="V251" s="541">
        <f>+'NF-KSF-TRIAL-BAL-2020'!O251+'RA-TRIAL-BAL-2020'!O251+'DES-TRIAL-BAL-2020'!O251+'DMP-TRIAL-BAL-2020'!O251</f>
        <v>0</v>
      </c>
      <c r="W251" s="529">
        <f>+'NF-KSF-TRIAL-BAL-2020'!P251+'RA-TRIAL-BAL-2020'!P251+'DES-TRIAL-BAL-2020'!P251+'DMP-TRIAL-BAL-2020'!P251</f>
        <v>0</v>
      </c>
      <c r="X251" s="587">
        <f>+'NF-KSF-TRIAL-BAL-2020'!Q251+'RA-TRIAL-BAL-2020'!Q251+'DES-TRIAL-BAL-2020'!Q251+'DMP-TRIAL-BAL-2020'!Q251</f>
        <v>0</v>
      </c>
      <c r="Y251" s="586">
        <f>+'NF-KSF-TRIAL-BAL-2020'!R251+'RA-TRIAL-BAL-2020'!R251+'DES-TRIAL-BAL-2020'!R251+'DMP-TRIAL-BAL-2020'!R251</f>
        <v>0</v>
      </c>
      <c r="Z251" s="587">
        <f>+'NF-KSF-TRIAL-BAL-2020'!S251+'RA-TRIAL-BAL-2020'!S251+'DES-TRIAL-BAL-2020'!S251+'DMP-TRIAL-BAL-2020'!S251</f>
        <v>0</v>
      </c>
      <c r="AA251" s="588">
        <f>+'NF-KSF-TRIAL-BAL-2020'!T251+'RA-TRIAL-BAL-2020'!T251+'DES-TRIAL-BAL-2020'!T251+'DMP-TRIAL-BAL-2020'!T251</f>
        <v>0</v>
      </c>
      <c r="AB251" s="51"/>
      <c r="AC251" s="575">
        <v>0</v>
      </c>
      <c r="AD251" s="576"/>
      <c r="AE251" s="325"/>
      <c r="AF251" s="324"/>
      <c r="AG251" s="579">
        <v>0</v>
      </c>
      <c r="AH251" s="580">
        <f>+IF(ABS(+AC251+AE251)&lt;=ABS(AD251+AF251),-AC251+AD251-AE251+AF251,0)</f>
        <v>0</v>
      </c>
      <c r="AI251" s="51"/>
      <c r="AJ251" s="1497">
        <f t="shared" si="140"/>
        <v>4877</v>
      </c>
      <c r="AK251" s="8">
        <v>0</v>
      </c>
      <c r="AL251" s="970">
        <f>+ROUND(+P251+W251+AD251,2)</f>
        <v>0</v>
      </c>
      <c r="AM251" s="326">
        <f t="shared" si="141"/>
        <v>0</v>
      </c>
      <c r="AN251" s="970">
        <f t="shared" si="141"/>
        <v>0</v>
      </c>
      <c r="AO251" s="29">
        <v>0</v>
      </c>
      <c r="AP251" s="28">
        <f>+T251+AA251+AH251</f>
        <v>0</v>
      </c>
      <c r="AQ251" s="43"/>
      <c r="AR251" s="358">
        <f t="shared" si="142"/>
        <v>0</v>
      </c>
      <c r="AS251" s="359">
        <f t="shared" si="143"/>
        <v>0</v>
      </c>
      <c r="AT251" s="360">
        <f t="shared" si="144"/>
        <v>0</v>
      </c>
      <c r="AU251" s="43"/>
      <c r="AV251" s="2119">
        <f>+IF(OR(+ROUND(O251,2)+ROUND(Q251,2)&gt;ROUND(P251,2)+ROUND(R251,2),+ABS(ROUND(O251,2)+ROUND(Q251,2))&gt;+ABS(ROUND(P251,2)+ROUND(R251,2))),+(ROUND(O251,2)+ROUND(Q251,2))-(ROUND(P251,2)+ROUND(R251,2)),0)</f>
        <v>0</v>
      </c>
      <c r="AW251" s="119"/>
      <c r="AX251" s="2119">
        <f>+IF(OR(+ROUND(AC251,2)+ROUND(AE251,2)&gt;ROUND(AD251,2)+ROUND(AF251,2),+ABS(ROUND(AC251,2)+ROUND(AE251,2))&gt;+ABS(ROUND(AD251,2)+ROUND(AF251,2))),+(ROUND(AC251,2)+ROUND(AE251,2))-(ROUND(AD251,2)+ROUND(AF251,2)),0)</f>
        <v>0</v>
      </c>
      <c r="AY251" s="43"/>
      <c r="AZ251" s="43"/>
      <c r="BA251" s="43"/>
      <c r="BB251" s="43"/>
      <c r="BC251" s="43"/>
      <c r="BD251" s="43"/>
    </row>
    <row r="252" spans="1:56" ht="15.75">
      <c r="A252" s="88">
        <v>4878</v>
      </c>
      <c r="B252" s="378" t="s">
        <v>298</v>
      </c>
      <c r="C252" s="88"/>
      <c r="D252" s="1033"/>
      <c r="E252" s="1033"/>
      <c r="F252" s="1033"/>
      <c r="G252" s="1033"/>
      <c r="H252" s="1033"/>
      <c r="I252" s="1033"/>
      <c r="J252" s="1033"/>
      <c r="K252" s="1033"/>
      <c r="L252" s="574"/>
      <c r="M252" s="51" t="s">
        <v>265</v>
      </c>
      <c r="N252" s="113">
        <f t="shared" si="106"/>
        <v>4878</v>
      </c>
      <c r="O252" s="575">
        <v>0</v>
      </c>
      <c r="P252" s="576"/>
      <c r="Q252" s="325"/>
      <c r="R252" s="324"/>
      <c r="S252" s="579">
        <v>0</v>
      </c>
      <c r="T252" s="580">
        <f>+IF(ABS(+O252+Q252)&lt;=ABS(P252+R252),-O252+P252-Q252+R252,0)</f>
        <v>0</v>
      </c>
      <c r="U252" s="51"/>
      <c r="V252" s="541">
        <f>+'NF-KSF-TRIAL-BAL-2020'!O252+'RA-TRIAL-BAL-2020'!O252+'DES-TRIAL-BAL-2020'!O252+'DMP-TRIAL-BAL-2020'!O252</f>
        <v>0</v>
      </c>
      <c r="W252" s="529">
        <f>+'NF-KSF-TRIAL-BAL-2020'!P252+'RA-TRIAL-BAL-2020'!P252+'DES-TRIAL-BAL-2020'!P252+'DMP-TRIAL-BAL-2020'!P252</f>
        <v>0</v>
      </c>
      <c r="X252" s="587">
        <f>+'NF-KSF-TRIAL-BAL-2020'!Q252+'RA-TRIAL-BAL-2020'!Q252+'DES-TRIAL-BAL-2020'!Q252+'DMP-TRIAL-BAL-2020'!Q252</f>
        <v>0</v>
      </c>
      <c r="Y252" s="586">
        <f>+'NF-KSF-TRIAL-BAL-2020'!R252+'RA-TRIAL-BAL-2020'!R252+'DES-TRIAL-BAL-2020'!R252+'DMP-TRIAL-BAL-2020'!R252</f>
        <v>0</v>
      </c>
      <c r="Z252" s="587">
        <f>+'NF-KSF-TRIAL-BAL-2020'!S252+'RA-TRIAL-BAL-2020'!S252+'DES-TRIAL-BAL-2020'!S252+'DMP-TRIAL-BAL-2020'!S252</f>
        <v>0</v>
      </c>
      <c r="AA252" s="588">
        <f>+'NF-KSF-TRIAL-BAL-2020'!T252+'RA-TRIAL-BAL-2020'!T252+'DES-TRIAL-BAL-2020'!T252+'DMP-TRIAL-BAL-2020'!T252</f>
        <v>0</v>
      </c>
      <c r="AB252" s="51"/>
      <c r="AC252" s="575">
        <v>0</v>
      </c>
      <c r="AD252" s="576"/>
      <c r="AE252" s="325"/>
      <c r="AF252" s="324"/>
      <c r="AG252" s="579">
        <v>0</v>
      </c>
      <c r="AH252" s="580">
        <f>+IF(ABS(+AC252+AE252)&lt;=ABS(AD252+AF252),-AC252+AD252-AE252+AF252,0)</f>
        <v>0</v>
      </c>
      <c r="AI252" s="51"/>
      <c r="AJ252" s="1497">
        <f t="shared" si="140"/>
        <v>4878</v>
      </c>
      <c r="AK252" s="8">
        <v>0</v>
      </c>
      <c r="AL252" s="970">
        <f>+ROUND(+P252+W252+AD252,2)</f>
        <v>0</v>
      </c>
      <c r="AM252" s="326">
        <f t="shared" si="141"/>
        <v>0</v>
      </c>
      <c r="AN252" s="970">
        <f t="shared" si="141"/>
        <v>0</v>
      </c>
      <c r="AO252" s="29">
        <v>0</v>
      </c>
      <c r="AP252" s="28">
        <f>+T252+AA252+AH252</f>
        <v>0</v>
      </c>
      <c r="AQ252" s="43"/>
      <c r="AR252" s="358">
        <f t="shared" si="142"/>
        <v>0</v>
      </c>
      <c r="AS252" s="359">
        <f t="shared" si="143"/>
        <v>0</v>
      </c>
      <c r="AT252" s="360">
        <f t="shared" si="144"/>
        <v>0</v>
      </c>
      <c r="AU252" s="43"/>
      <c r="AV252" s="2119">
        <f>+IF(OR(+ROUND(O252,2)+ROUND(Q252,2)&gt;ROUND(P252,2)+ROUND(R252,2),+ABS(ROUND(O252,2)+ROUND(Q252,2))&gt;+ABS(ROUND(P252,2)+ROUND(R252,2))),+(ROUND(O252,2)+ROUND(Q252,2))-(ROUND(P252,2)+ROUND(R252,2)),0)</f>
        <v>0</v>
      </c>
      <c r="AW252" s="119"/>
      <c r="AX252" s="2119">
        <f>+IF(OR(+ROUND(AC252,2)+ROUND(AE252,2)&gt;ROUND(AD252,2)+ROUND(AF252,2),+ABS(ROUND(AC252,2)+ROUND(AE252,2))&gt;+ABS(ROUND(AD252,2)+ROUND(AF252,2))),+(ROUND(AC252,2)+ROUND(AE252,2))-(ROUND(AD252,2)+ROUND(AF252,2)),0)</f>
        <v>0</v>
      </c>
      <c r="AY252" s="43"/>
      <c r="AZ252" s="43"/>
      <c r="BA252" s="43"/>
      <c r="BB252" s="43"/>
      <c r="BC252" s="43"/>
      <c r="BD252" s="43"/>
    </row>
    <row r="253" spans="1:56" ht="15.75">
      <c r="A253" s="88">
        <v>4885</v>
      </c>
      <c r="B253" s="378" t="s">
        <v>299</v>
      </c>
      <c r="C253" s="88"/>
      <c r="D253" s="1033"/>
      <c r="E253" s="1033"/>
      <c r="F253" s="1033"/>
      <c r="G253" s="1033"/>
      <c r="H253" s="1033"/>
      <c r="I253" s="1033"/>
      <c r="J253" s="1033"/>
      <c r="K253" s="1033"/>
      <c r="L253" s="574"/>
      <c r="M253" s="51" t="s">
        <v>265</v>
      </c>
      <c r="N253" s="113">
        <f t="shared" si="106"/>
        <v>4885</v>
      </c>
      <c r="O253" s="581"/>
      <c r="P253" s="582">
        <v>0</v>
      </c>
      <c r="Q253" s="325"/>
      <c r="R253" s="324"/>
      <c r="S253" s="583">
        <f>+IF(ABS(+O253+Q253)&gt;=ABS(P253+R253),+O253-P253+Q253-R253,0)</f>
        <v>0</v>
      </c>
      <c r="T253" s="584">
        <v>0</v>
      </c>
      <c r="U253" s="51"/>
      <c r="V253" s="541">
        <f>+'NF-KSF-TRIAL-BAL-2020'!O253+'RA-TRIAL-BAL-2020'!O253+'DES-TRIAL-BAL-2020'!O253+'DMP-TRIAL-BAL-2020'!O253</f>
        <v>0</v>
      </c>
      <c r="W253" s="529">
        <f>+'NF-KSF-TRIAL-BAL-2020'!P253+'RA-TRIAL-BAL-2020'!P253+'DES-TRIAL-BAL-2020'!P253+'DMP-TRIAL-BAL-2020'!P253</f>
        <v>0</v>
      </c>
      <c r="X253" s="587">
        <f>+'NF-KSF-TRIAL-BAL-2020'!Q253+'RA-TRIAL-BAL-2020'!Q253+'DES-TRIAL-BAL-2020'!Q253+'DMP-TRIAL-BAL-2020'!Q253</f>
        <v>0</v>
      </c>
      <c r="Y253" s="586">
        <f>+'NF-KSF-TRIAL-BAL-2020'!R253+'RA-TRIAL-BAL-2020'!R253+'DES-TRIAL-BAL-2020'!R253+'DMP-TRIAL-BAL-2020'!R253</f>
        <v>0</v>
      </c>
      <c r="Z253" s="587">
        <f>+'NF-KSF-TRIAL-BAL-2020'!S253+'RA-TRIAL-BAL-2020'!S253+'DES-TRIAL-BAL-2020'!S253+'DMP-TRIAL-BAL-2020'!S253</f>
        <v>0</v>
      </c>
      <c r="AA253" s="588">
        <f>+'NF-KSF-TRIAL-BAL-2020'!T253+'RA-TRIAL-BAL-2020'!T253+'DES-TRIAL-BAL-2020'!T253+'DMP-TRIAL-BAL-2020'!T253</f>
        <v>0</v>
      </c>
      <c r="AB253" s="51"/>
      <c r="AC253" s="581"/>
      <c r="AD253" s="582">
        <v>0</v>
      </c>
      <c r="AE253" s="122"/>
      <c r="AF253" s="324"/>
      <c r="AG253" s="583">
        <f>+IF(ABS(+AC253+AE253)&gt;=ABS(AD253+AF253),+AC253-AD253+AE253-AF253,0)</f>
        <v>0</v>
      </c>
      <c r="AH253" s="584">
        <v>0</v>
      </c>
      <c r="AI253" s="51"/>
      <c r="AJ253" s="1497">
        <f t="shared" si="140"/>
        <v>4885</v>
      </c>
      <c r="AK253" s="951">
        <f>+ROUND(+O253+V253+AC253,2)</f>
        <v>0</v>
      </c>
      <c r="AL253" s="9">
        <v>0</v>
      </c>
      <c r="AM253" s="326">
        <f t="shared" si="141"/>
        <v>0</v>
      </c>
      <c r="AN253" s="970">
        <f t="shared" si="141"/>
        <v>0</v>
      </c>
      <c r="AO253" s="326">
        <f>+S253+Z253+AG253</f>
        <v>0</v>
      </c>
      <c r="AP253" s="30">
        <v>0</v>
      </c>
      <c r="AQ253" s="43"/>
      <c r="AR253" s="358">
        <f t="shared" si="142"/>
        <v>0</v>
      </c>
      <c r="AS253" s="359">
        <f t="shared" si="143"/>
        <v>0</v>
      </c>
      <c r="AT253" s="360">
        <f t="shared" si="144"/>
        <v>0</v>
      </c>
      <c r="AU253" s="43"/>
      <c r="AV253" s="2120">
        <f>+IF(OR(ROUND(P253,2)+ROUND(R253,2)&gt;+ROUND(O253,2)+ROUND(Q253,2),+ABS(ROUND(P253,2)+ROUND(R253,2))&gt;+ABS(ROUND(O253,2)+ROUND(Q253,2))),+(ROUND(P253,2)+ROUND(R253,2))-(ROUND(O253,2)+ROUND(Q253,2)),0)</f>
        <v>0</v>
      </c>
      <c r="AW253" s="119"/>
      <c r="AX253" s="2120">
        <f>+IF(OR(ROUND(AD253,2)+ROUND(AF253,2)&gt;+ROUND(AC253,2)+ROUND(AE253,2),+ABS(ROUND(AD253,2)+ROUND(AF253,2))&gt;+ABS(ROUND(AC253,2)+ROUND(AE253,2))),+(ROUND(AD253,2)+ROUND(AF253,2))-(ROUND(AC253,2)+ROUND(AE253,2)),0)</f>
        <v>0</v>
      </c>
      <c r="AY253" s="43"/>
      <c r="AZ253" s="43"/>
      <c r="BA253" s="43"/>
      <c r="BB253" s="43"/>
      <c r="BC253" s="43"/>
      <c r="BD253" s="43"/>
    </row>
    <row r="254" spans="1:56" ht="15.75">
      <c r="A254" s="88">
        <v>4886</v>
      </c>
      <c r="B254" s="378" t="s">
        <v>300</v>
      </c>
      <c r="C254" s="88"/>
      <c r="D254" s="1033"/>
      <c r="E254" s="1033"/>
      <c r="F254" s="1033"/>
      <c r="G254" s="1033"/>
      <c r="H254" s="1033"/>
      <c r="I254" s="1033"/>
      <c r="J254" s="1033"/>
      <c r="K254" s="1033"/>
      <c r="L254" s="574"/>
      <c r="M254" s="51" t="s">
        <v>265</v>
      </c>
      <c r="N254" s="113">
        <f t="shared" si="106"/>
        <v>4886</v>
      </c>
      <c r="O254" s="581"/>
      <c r="P254" s="582">
        <v>0</v>
      </c>
      <c r="Q254" s="325"/>
      <c r="R254" s="324"/>
      <c r="S254" s="583">
        <f>+IF(ABS(+O254+Q254)&gt;=ABS(P254+R254),+O254-P254+Q254-R254,0)</f>
        <v>0</v>
      </c>
      <c r="T254" s="584">
        <v>0</v>
      </c>
      <c r="U254" s="51"/>
      <c r="V254" s="541">
        <f>+'NF-KSF-TRIAL-BAL-2020'!O254+'RA-TRIAL-BAL-2020'!O254+'DES-TRIAL-BAL-2020'!O254+'DMP-TRIAL-BAL-2020'!O254</f>
        <v>0</v>
      </c>
      <c r="W254" s="529">
        <f>+'NF-KSF-TRIAL-BAL-2020'!P254+'RA-TRIAL-BAL-2020'!P254+'DES-TRIAL-BAL-2020'!P254+'DMP-TRIAL-BAL-2020'!P254</f>
        <v>0</v>
      </c>
      <c r="X254" s="587">
        <f>+'NF-KSF-TRIAL-BAL-2020'!Q254+'RA-TRIAL-BAL-2020'!Q254+'DES-TRIAL-BAL-2020'!Q254+'DMP-TRIAL-BAL-2020'!Q254</f>
        <v>0</v>
      </c>
      <c r="Y254" s="586">
        <f>+'NF-KSF-TRIAL-BAL-2020'!R254+'RA-TRIAL-BAL-2020'!R254+'DES-TRIAL-BAL-2020'!R254+'DMP-TRIAL-BAL-2020'!R254</f>
        <v>0</v>
      </c>
      <c r="Z254" s="587">
        <f>+'NF-KSF-TRIAL-BAL-2020'!S254+'RA-TRIAL-BAL-2020'!S254+'DES-TRIAL-BAL-2020'!S254+'DMP-TRIAL-BAL-2020'!S254</f>
        <v>0</v>
      </c>
      <c r="AA254" s="588">
        <f>+'NF-KSF-TRIAL-BAL-2020'!T254+'RA-TRIAL-BAL-2020'!T254+'DES-TRIAL-BAL-2020'!T254+'DMP-TRIAL-BAL-2020'!T254</f>
        <v>0</v>
      </c>
      <c r="AB254" s="51"/>
      <c r="AC254" s="581"/>
      <c r="AD254" s="582">
        <v>0</v>
      </c>
      <c r="AE254" s="325"/>
      <c r="AF254" s="324"/>
      <c r="AG254" s="583">
        <f>+IF(ABS(+AC254+AE254)&gt;=ABS(AD254+AF254),+AC254-AD254+AE254-AF254,0)</f>
        <v>0</v>
      </c>
      <c r="AH254" s="584">
        <v>0</v>
      </c>
      <c r="AI254" s="51"/>
      <c r="AJ254" s="1497">
        <f t="shared" si="140"/>
        <v>4886</v>
      </c>
      <c r="AK254" s="951">
        <f>+ROUND(+O254+V254+AC254,2)</f>
        <v>0</v>
      </c>
      <c r="AL254" s="9">
        <v>0</v>
      </c>
      <c r="AM254" s="326">
        <f t="shared" si="141"/>
        <v>0</v>
      </c>
      <c r="AN254" s="970">
        <f t="shared" si="141"/>
        <v>0</v>
      </c>
      <c r="AO254" s="326">
        <f>+S254+Z254+AG254</f>
        <v>0</v>
      </c>
      <c r="AP254" s="30">
        <v>0</v>
      </c>
      <c r="AQ254" s="43"/>
      <c r="AR254" s="358">
        <f t="shared" si="142"/>
        <v>0</v>
      </c>
      <c r="AS254" s="359">
        <f t="shared" si="143"/>
        <v>0</v>
      </c>
      <c r="AT254" s="360">
        <f t="shared" si="144"/>
        <v>0</v>
      </c>
      <c r="AU254" s="43"/>
      <c r="AV254" s="2120">
        <f>+IF(OR(ROUND(P254,2)+ROUND(R254,2)&gt;+ROUND(O254,2)+ROUND(Q254,2),+ABS(ROUND(P254,2)+ROUND(R254,2))&gt;+ABS(ROUND(O254,2)+ROUND(Q254,2))),+(ROUND(P254,2)+ROUND(R254,2))-(ROUND(O254,2)+ROUND(Q254,2)),0)</f>
        <v>0</v>
      </c>
      <c r="AW254" s="119"/>
      <c r="AX254" s="2120">
        <f>+IF(OR(ROUND(AD254,2)+ROUND(AF254,2)&gt;+ROUND(AC254,2)+ROUND(AE254,2),+ABS(ROUND(AD254,2)+ROUND(AF254,2))&gt;+ABS(ROUND(AC254,2)+ROUND(AE254,2))),+(ROUND(AD254,2)+ROUND(AF254,2))-(ROUND(AC254,2)+ROUND(AE254,2)),0)</f>
        <v>0</v>
      </c>
      <c r="AY254" s="43"/>
      <c r="AZ254" s="43"/>
      <c r="BA254" s="43"/>
      <c r="BB254" s="43"/>
      <c r="BC254" s="43"/>
      <c r="BD254" s="43"/>
    </row>
    <row r="255" spans="1:56" ht="15.75">
      <c r="A255" s="88">
        <v>4887</v>
      </c>
      <c r="B255" s="378" t="s">
        <v>301</v>
      </c>
      <c r="C255" s="88"/>
      <c r="D255" s="1033"/>
      <c r="E255" s="1033"/>
      <c r="F255" s="1033"/>
      <c r="G255" s="1033"/>
      <c r="H255" s="1033"/>
      <c r="I255" s="1033"/>
      <c r="J255" s="1033"/>
      <c r="K255" s="1033"/>
      <c r="L255" s="574"/>
      <c r="M255" s="51" t="s">
        <v>265</v>
      </c>
      <c r="N255" s="113">
        <f t="shared" si="106"/>
        <v>4887</v>
      </c>
      <c r="O255" s="593">
        <v>0</v>
      </c>
      <c r="P255" s="582">
        <v>0</v>
      </c>
      <c r="Q255" s="325">
        <v>0</v>
      </c>
      <c r="R255" s="324">
        <v>0</v>
      </c>
      <c r="S255" s="583">
        <f>+IF(ABS(+O255+Q255)&gt;=ABS(P255+R255),+O255-P255+Q255-R255,0)</f>
        <v>0</v>
      </c>
      <c r="T255" s="584">
        <v>0</v>
      </c>
      <c r="U255" s="51"/>
      <c r="V255" s="541">
        <f>+'NF-KSF-TRIAL-BAL-2020'!O255+'RA-TRIAL-BAL-2020'!O255+'DES-TRIAL-BAL-2020'!O255+'DMP-TRIAL-BAL-2020'!O255</f>
        <v>0</v>
      </c>
      <c r="W255" s="529">
        <f>+'NF-KSF-TRIAL-BAL-2020'!P255+'RA-TRIAL-BAL-2020'!P255+'DES-TRIAL-BAL-2020'!P255+'DMP-TRIAL-BAL-2020'!P255</f>
        <v>0</v>
      </c>
      <c r="X255" s="587">
        <f>+'NF-KSF-TRIAL-BAL-2020'!Q255+'RA-TRIAL-BAL-2020'!Q255+'DES-TRIAL-BAL-2020'!Q255+'DMP-TRIAL-BAL-2020'!Q255</f>
        <v>0</v>
      </c>
      <c r="Y255" s="586">
        <f>+'NF-KSF-TRIAL-BAL-2020'!R255+'RA-TRIAL-BAL-2020'!R255+'DES-TRIAL-BAL-2020'!R255+'DMP-TRIAL-BAL-2020'!R255</f>
        <v>0</v>
      </c>
      <c r="Z255" s="587">
        <f>+'NF-KSF-TRIAL-BAL-2020'!S255+'RA-TRIAL-BAL-2020'!S255+'DES-TRIAL-BAL-2020'!S255+'DMP-TRIAL-BAL-2020'!S255</f>
        <v>0</v>
      </c>
      <c r="AA255" s="588">
        <f>+'NF-KSF-TRIAL-BAL-2020'!T255+'RA-TRIAL-BAL-2020'!T255+'DES-TRIAL-BAL-2020'!T255+'DMP-TRIAL-BAL-2020'!T255</f>
        <v>0</v>
      </c>
      <c r="AB255" s="51"/>
      <c r="AC255" s="593">
        <v>0</v>
      </c>
      <c r="AD255" s="582">
        <v>0</v>
      </c>
      <c r="AE255" s="325">
        <v>0</v>
      </c>
      <c r="AF255" s="324">
        <v>0</v>
      </c>
      <c r="AG255" s="583">
        <f>+IF(ABS(+AC255+AE255)&gt;=ABS(AD255+AF255),+AC255-AD255+AE255-AF255,0)</f>
        <v>0</v>
      </c>
      <c r="AH255" s="584">
        <v>0</v>
      </c>
      <c r="AI255" s="51"/>
      <c r="AJ255" s="1497">
        <f t="shared" si="124"/>
        <v>4887</v>
      </c>
      <c r="AK255" s="951">
        <f>+ROUND(+O255+V255+AC255,2)</f>
        <v>0</v>
      </c>
      <c r="AL255" s="9">
        <v>0</v>
      </c>
      <c r="AM255" s="326">
        <f>+ROUND(+Q255+X255+AE255,2)</f>
        <v>0</v>
      </c>
      <c r="AN255" s="970">
        <f>+ROUND(+R255+Y255+AF255,2)</f>
        <v>0</v>
      </c>
      <c r="AO255" s="326">
        <f>+S255+Z255+AG255</f>
        <v>0</v>
      </c>
      <c r="AP255" s="30">
        <v>0</v>
      </c>
      <c r="AQ255" s="43"/>
      <c r="AR255" s="358">
        <f t="shared" si="109"/>
        <v>0</v>
      </c>
      <c r="AS255" s="359">
        <f t="shared" si="110"/>
        <v>0</v>
      </c>
      <c r="AT255" s="360">
        <f t="shared" si="111"/>
        <v>0</v>
      </c>
      <c r="AU255" s="43"/>
      <c r="AV255" s="2120">
        <f>+IF(OR(ROUND(P255,2)+ROUND(R255,2)&gt;+ROUND(O255,2)+ROUND(Q255,2),+ABS(ROUND(P255,2)+ROUND(R255,2))&gt;+ABS(ROUND(O255,2)+ROUND(Q255,2))),+(ROUND(P255,2)+ROUND(R255,2))-(ROUND(O255,2)+ROUND(Q255,2)),0)</f>
        <v>0</v>
      </c>
      <c r="AW255" s="119"/>
      <c r="AX255" s="2120">
        <f>+IF(OR(ROUND(AD255,2)+ROUND(AF255,2)&gt;+ROUND(AC255,2)+ROUND(AE255,2),+ABS(ROUND(AD255,2)+ROUND(AF255,2))&gt;+ABS(ROUND(AC255,2)+ROUND(AE255,2))),+(ROUND(AD255,2)+ROUND(AF255,2))-(ROUND(AC255,2)+ROUND(AE255,2)),0)</f>
        <v>0</v>
      </c>
      <c r="AY255" s="43"/>
      <c r="AZ255" s="43"/>
      <c r="BA255" s="43"/>
      <c r="BB255" s="43"/>
      <c r="BC255" s="43"/>
      <c r="BD255" s="43"/>
    </row>
    <row r="256" spans="1:56" ht="15.75">
      <c r="A256" s="88">
        <v>4888</v>
      </c>
      <c r="B256" s="378" t="s">
        <v>926</v>
      </c>
      <c r="C256" s="88"/>
      <c r="D256" s="1033"/>
      <c r="E256" s="1033"/>
      <c r="F256" s="1033"/>
      <c r="G256" s="1033"/>
      <c r="H256" s="1033"/>
      <c r="I256" s="1033"/>
      <c r="J256" s="1033"/>
      <c r="K256" s="1033"/>
      <c r="L256" s="574"/>
      <c r="M256" s="51" t="s">
        <v>265</v>
      </c>
      <c r="N256" s="113">
        <f t="shared" si="106"/>
        <v>4888</v>
      </c>
      <c r="O256" s="593"/>
      <c r="P256" s="582">
        <v>0</v>
      </c>
      <c r="Q256" s="325"/>
      <c r="R256" s="324"/>
      <c r="S256" s="583">
        <f>+IF(ABS(+O256+Q256)&gt;=ABS(P256+R256),+O256-P256+Q256-R256,0)</f>
        <v>0</v>
      </c>
      <c r="T256" s="584">
        <v>0</v>
      </c>
      <c r="U256" s="51"/>
      <c r="V256" s="541">
        <f>+'NF-KSF-TRIAL-BAL-2020'!O256+'RA-TRIAL-BAL-2020'!O256+'DES-TRIAL-BAL-2020'!O256+'DMP-TRIAL-BAL-2020'!O256</f>
        <v>0</v>
      </c>
      <c r="W256" s="529">
        <f>+'NF-KSF-TRIAL-BAL-2020'!P256+'RA-TRIAL-BAL-2020'!P256+'DES-TRIAL-BAL-2020'!P256+'DMP-TRIAL-BAL-2020'!P256</f>
        <v>0</v>
      </c>
      <c r="X256" s="587">
        <f>+'NF-KSF-TRIAL-BAL-2020'!Q256+'RA-TRIAL-BAL-2020'!Q256+'DES-TRIAL-BAL-2020'!Q256+'DMP-TRIAL-BAL-2020'!Q256</f>
        <v>0</v>
      </c>
      <c r="Y256" s="586">
        <f>+'NF-KSF-TRIAL-BAL-2020'!R256+'RA-TRIAL-BAL-2020'!R256+'DES-TRIAL-BAL-2020'!R256+'DMP-TRIAL-BAL-2020'!R256</f>
        <v>0</v>
      </c>
      <c r="Z256" s="587">
        <f>+'NF-KSF-TRIAL-BAL-2020'!S256+'RA-TRIAL-BAL-2020'!S256+'DES-TRIAL-BAL-2020'!S256+'DMP-TRIAL-BAL-2020'!S256</f>
        <v>0</v>
      </c>
      <c r="AA256" s="588">
        <f>+'NF-KSF-TRIAL-BAL-2020'!T256+'RA-TRIAL-BAL-2020'!T256+'DES-TRIAL-BAL-2020'!T256+'DMP-TRIAL-BAL-2020'!T256</f>
        <v>0</v>
      </c>
      <c r="AB256" s="51"/>
      <c r="AC256" s="593"/>
      <c r="AD256" s="582">
        <v>0</v>
      </c>
      <c r="AE256" s="122"/>
      <c r="AF256" s="324"/>
      <c r="AG256" s="583">
        <f>+IF(ABS(+AC256+AE256)&gt;=ABS(AD256+AF256),+AC256-AD256+AE256-AF256,0)</f>
        <v>0</v>
      </c>
      <c r="AH256" s="584">
        <v>0</v>
      </c>
      <c r="AI256" s="51"/>
      <c r="AJ256" s="1497">
        <f t="shared" si="124"/>
        <v>4888</v>
      </c>
      <c r="AK256" s="951">
        <f>+ROUND(+O256+V256+AC256,2)</f>
        <v>0</v>
      </c>
      <c r="AL256" s="9">
        <v>0</v>
      </c>
      <c r="AM256" s="326">
        <f>+ROUND(+Q256+X256+AE256,2)</f>
        <v>0</v>
      </c>
      <c r="AN256" s="970">
        <f>+ROUND(+R256+Y256+AF256,2)</f>
        <v>0</v>
      </c>
      <c r="AO256" s="326">
        <f>+S256+Z256+AG256</f>
        <v>0</v>
      </c>
      <c r="AP256" s="30">
        <v>0</v>
      </c>
      <c r="AQ256" s="43"/>
      <c r="AR256" s="358">
        <f t="shared" si="109"/>
        <v>0</v>
      </c>
      <c r="AS256" s="359">
        <f t="shared" si="110"/>
        <v>0</v>
      </c>
      <c r="AT256" s="360">
        <f t="shared" si="111"/>
        <v>0</v>
      </c>
      <c r="AU256" s="43"/>
      <c r="AV256" s="2120">
        <f>+IF(OR(ROUND(P256,2)+ROUND(R256,2)&gt;+ROUND(O256,2)+ROUND(Q256,2),+ABS(ROUND(P256,2)+ROUND(R256,2))&gt;+ABS(ROUND(O256,2)+ROUND(Q256,2))),+(ROUND(P256,2)+ROUND(R256,2))-(ROUND(O256,2)+ROUND(Q256,2)),0)</f>
        <v>0</v>
      </c>
      <c r="AW256" s="119"/>
      <c r="AX256" s="2120">
        <f>+IF(OR(ROUND(AD256,2)+ROUND(AF256,2)&gt;+ROUND(AC256,2)+ROUND(AE256,2),+ABS(ROUND(AD256,2)+ROUND(AF256,2))&gt;+ABS(ROUND(AC256,2)+ROUND(AE256,2))),+(ROUND(AD256,2)+ROUND(AF256,2))-(ROUND(AC256,2)+ROUND(AE256,2)),0)</f>
        <v>0</v>
      </c>
      <c r="AY256" s="43"/>
      <c r="AZ256" s="43"/>
      <c r="BA256" s="43"/>
      <c r="BB256" s="43"/>
      <c r="BC256" s="43"/>
      <c r="BD256" s="43"/>
    </row>
    <row r="257" spans="1:56" ht="15.75">
      <c r="A257" s="88">
        <v>4895</v>
      </c>
      <c r="B257" s="378" t="s">
        <v>927</v>
      </c>
      <c r="C257" s="88"/>
      <c r="D257" s="1033"/>
      <c r="E257" s="1033"/>
      <c r="F257" s="1033"/>
      <c r="G257" s="1033"/>
      <c r="H257" s="1033"/>
      <c r="I257" s="1033"/>
      <c r="J257" s="1033"/>
      <c r="K257" s="1033"/>
      <c r="L257" s="574"/>
      <c r="M257" s="51" t="s">
        <v>265</v>
      </c>
      <c r="N257" s="113">
        <f t="shared" si="106"/>
        <v>4895</v>
      </c>
      <c r="O257" s="575">
        <v>0</v>
      </c>
      <c r="P257" s="576"/>
      <c r="Q257" s="325"/>
      <c r="R257" s="324"/>
      <c r="S257" s="579">
        <v>0</v>
      </c>
      <c r="T257" s="580">
        <f>+IF(ABS(+O257+Q257)&lt;=ABS(P257+R257),-O257+P257-Q257+R257,0)</f>
        <v>0</v>
      </c>
      <c r="U257" s="51"/>
      <c r="V257" s="541">
        <f>+'NF-KSF-TRIAL-BAL-2020'!O257+'RA-TRIAL-BAL-2020'!O257+'DES-TRIAL-BAL-2020'!O257+'DMP-TRIAL-BAL-2020'!O257</f>
        <v>0</v>
      </c>
      <c r="W257" s="529">
        <f>+'NF-KSF-TRIAL-BAL-2020'!P257+'RA-TRIAL-BAL-2020'!P257+'DES-TRIAL-BAL-2020'!P257+'DMP-TRIAL-BAL-2020'!P257</f>
        <v>0</v>
      </c>
      <c r="X257" s="587">
        <f>+'NF-KSF-TRIAL-BAL-2020'!Q257+'RA-TRIAL-BAL-2020'!Q257+'DES-TRIAL-BAL-2020'!Q257+'DMP-TRIAL-BAL-2020'!Q257</f>
        <v>0</v>
      </c>
      <c r="Y257" s="586">
        <f>+'NF-KSF-TRIAL-BAL-2020'!R257+'RA-TRIAL-BAL-2020'!R257+'DES-TRIAL-BAL-2020'!R257+'DMP-TRIAL-BAL-2020'!R257</f>
        <v>0</v>
      </c>
      <c r="Z257" s="587">
        <f>+'NF-KSF-TRIAL-BAL-2020'!S257+'RA-TRIAL-BAL-2020'!S257+'DES-TRIAL-BAL-2020'!S257+'DMP-TRIAL-BAL-2020'!S257</f>
        <v>0</v>
      </c>
      <c r="AA257" s="588">
        <f>+'NF-KSF-TRIAL-BAL-2020'!T257+'RA-TRIAL-BAL-2020'!T257+'DES-TRIAL-BAL-2020'!T257+'DMP-TRIAL-BAL-2020'!T257</f>
        <v>0</v>
      </c>
      <c r="AB257" s="51"/>
      <c r="AC257" s="575">
        <v>0</v>
      </c>
      <c r="AD257" s="576"/>
      <c r="AE257" s="325"/>
      <c r="AF257" s="324"/>
      <c r="AG257" s="579">
        <v>0</v>
      </c>
      <c r="AH257" s="580">
        <f>+IF(ABS(+AC257+AE257)&lt;=ABS(AD257+AF257),-AC257+AD257-AE257+AF257,0)</f>
        <v>0</v>
      </c>
      <c r="AI257" s="51"/>
      <c r="AJ257" s="1497">
        <f t="shared" si="124"/>
        <v>4895</v>
      </c>
      <c r="AK257" s="8">
        <v>0</v>
      </c>
      <c r="AL257" s="970">
        <f t="shared" ref="AL257:AN258" si="145">+ROUND(+P257+W257+AD257,2)</f>
        <v>0</v>
      </c>
      <c r="AM257" s="326">
        <f t="shared" si="145"/>
        <v>0</v>
      </c>
      <c r="AN257" s="970">
        <f t="shared" si="145"/>
        <v>0</v>
      </c>
      <c r="AO257" s="29">
        <v>0</v>
      </c>
      <c r="AP257" s="28">
        <f t="shared" ref="AP257:AP282" si="146">+T257+AA257+AH257</f>
        <v>0</v>
      </c>
      <c r="AQ257" s="43"/>
      <c r="AR257" s="358">
        <f t="shared" si="109"/>
        <v>0</v>
      </c>
      <c r="AS257" s="359">
        <f t="shared" si="110"/>
        <v>0</v>
      </c>
      <c r="AT257" s="360">
        <f t="shared" si="111"/>
        <v>0</v>
      </c>
      <c r="AU257" s="43"/>
      <c r="AV257" s="2119">
        <f t="shared" ref="AV257:AV270" si="147">+IF(OR(+ROUND(O257,2)+ROUND(Q257,2)&gt;ROUND(P257,2)+ROUND(R257,2),+ABS(ROUND(O257,2)+ROUND(Q257,2))&gt;+ABS(ROUND(P257,2)+ROUND(R257,2))),+(ROUND(O257,2)+ROUND(Q257,2))-(ROUND(P257,2)+ROUND(R257,2)),0)</f>
        <v>0</v>
      </c>
      <c r="AW257" s="119"/>
      <c r="AX257" s="2119">
        <f t="shared" ref="AX257:AX266" si="148">+IF(OR(+ROUND(AC257,2)+ROUND(AE257,2)&gt;ROUND(AD257,2)+ROUND(AF257,2),+ABS(ROUND(AC257,2)+ROUND(AE257,2))&gt;+ABS(ROUND(AD257,2)+ROUND(AF257,2))),+(ROUND(AC257,2)+ROUND(AE257,2))-(ROUND(AD257,2)+ROUND(AF257,2)),0)</f>
        <v>0</v>
      </c>
      <c r="AY257" s="43"/>
      <c r="AZ257" s="43"/>
      <c r="BA257" s="43"/>
      <c r="BB257" s="43"/>
      <c r="BC257" s="43"/>
      <c r="BD257" s="43"/>
    </row>
    <row r="258" spans="1:56" ht="15.75">
      <c r="A258" s="88">
        <v>4896</v>
      </c>
      <c r="B258" s="378" t="s">
        <v>928</v>
      </c>
      <c r="C258" s="88"/>
      <c r="D258" s="1033"/>
      <c r="E258" s="1033"/>
      <c r="F258" s="1033"/>
      <c r="G258" s="1033"/>
      <c r="H258" s="1033"/>
      <c r="I258" s="1033"/>
      <c r="J258" s="1033"/>
      <c r="K258" s="1033"/>
      <c r="L258" s="574"/>
      <c r="M258" s="51" t="s">
        <v>265</v>
      </c>
      <c r="N258" s="113">
        <f t="shared" si="106"/>
        <v>4896</v>
      </c>
      <c r="O258" s="575">
        <v>0</v>
      </c>
      <c r="P258" s="576"/>
      <c r="Q258" s="325"/>
      <c r="R258" s="324"/>
      <c r="S258" s="579">
        <v>0</v>
      </c>
      <c r="T258" s="580">
        <f>+IF(ABS(+O258+Q258)&lt;=ABS(P258+R258),-O258+P258-Q258+R258,0)</f>
        <v>0</v>
      </c>
      <c r="U258" s="51"/>
      <c r="V258" s="541">
        <f>+'NF-KSF-TRIAL-BAL-2020'!O258+'RA-TRIAL-BAL-2020'!O258+'DES-TRIAL-BAL-2020'!O258+'DMP-TRIAL-BAL-2020'!O258</f>
        <v>0</v>
      </c>
      <c r="W258" s="529">
        <f>+'NF-KSF-TRIAL-BAL-2020'!P258+'RA-TRIAL-BAL-2020'!P258+'DES-TRIAL-BAL-2020'!P258+'DMP-TRIAL-BAL-2020'!P258</f>
        <v>0</v>
      </c>
      <c r="X258" s="587">
        <f>+'NF-KSF-TRIAL-BAL-2020'!Q258+'RA-TRIAL-BAL-2020'!Q258+'DES-TRIAL-BAL-2020'!Q258+'DMP-TRIAL-BAL-2020'!Q258</f>
        <v>0</v>
      </c>
      <c r="Y258" s="586">
        <f>+'NF-KSF-TRIAL-BAL-2020'!R258+'RA-TRIAL-BAL-2020'!R258+'DES-TRIAL-BAL-2020'!R258+'DMP-TRIAL-BAL-2020'!R258</f>
        <v>0</v>
      </c>
      <c r="Z258" s="587">
        <f>+'NF-KSF-TRIAL-BAL-2020'!S258+'RA-TRIAL-BAL-2020'!S258+'DES-TRIAL-BAL-2020'!S258+'DMP-TRIAL-BAL-2020'!S258</f>
        <v>0</v>
      </c>
      <c r="AA258" s="588">
        <f>+'NF-KSF-TRIAL-BAL-2020'!T258+'RA-TRIAL-BAL-2020'!T258+'DES-TRIAL-BAL-2020'!T258+'DMP-TRIAL-BAL-2020'!T258</f>
        <v>0</v>
      </c>
      <c r="AB258" s="51"/>
      <c r="AC258" s="575">
        <v>0</v>
      </c>
      <c r="AD258" s="576"/>
      <c r="AE258" s="325"/>
      <c r="AF258" s="324"/>
      <c r="AG258" s="579">
        <v>0</v>
      </c>
      <c r="AH258" s="580">
        <f>+IF(ABS(+AC258+AE258)&lt;=ABS(AD258+AF258),-AC258+AD258-AE258+AF258,0)</f>
        <v>0</v>
      </c>
      <c r="AI258" s="51"/>
      <c r="AJ258" s="1497">
        <f t="shared" si="124"/>
        <v>4896</v>
      </c>
      <c r="AK258" s="8">
        <v>0</v>
      </c>
      <c r="AL258" s="970">
        <f t="shared" si="145"/>
        <v>0</v>
      </c>
      <c r="AM258" s="326">
        <f t="shared" si="145"/>
        <v>0</v>
      </c>
      <c r="AN258" s="970">
        <f t="shared" si="145"/>
        <v>0</v>
      </c>
      <c r="AO258" s="29">
        <v>0</v>
      </c>
      <c r="AP258" s="28">
        <f t="shared" si="146"/>
        <v>0</v>
      </c>
      <c r="AQ258" s="43"/>
      <c r="AR258" s="358">
        <f t="shared" si="109"/>
        <v>0</v>
      </c>
      <c r="AS258" s="359">
        <f t="shared" si="110"/>
        <v>0</v>
      </c>
      <c r="AT258" s="360">
        <f t="shared" si="111"/>
        <v>0</v>
      </c>
      <c r="AU258" s="43"/>
      <c r="AV258" s="2119">
        <f t="shared" si="147"/>
        <v>0</v>
      </c>
      <c r="AW258" s="119"/>
      <c r="AX258" s="2119">
        <f t="shared" si="148"/>
        <v>0</v>
      </c>
      <c r="AY258" s="43"/>
      <c r="AZ258" s="43"/>
      <c r="BA258" s="43"/>
      <c r="BB258" s="43"/>
      <c r="BC258" s="43"/>
      <c r="BD258" s="43"/>
    </row>
    <row r="259" spans="1:56" ht="15.75">
      <c r="A259" s="88">
        <v>4897</v>
      </c>
      <c r="B259" s="378" t="s">
        <v>929</v>
      </c>
      <c r="C259" s="88"/>
      <c r="D259" s="1033"/>
      <c r="E259" s="1033"/>
      <c r="F259" s="1033"/>
      <c r="G259" s="1033"/>
      <c r="H259" s="1033"/>
      <c r="I259" s="1033"/>
      <c r="J259" s="1033"/>
      <c r="K259" s="1033"/>
      <c r="L259" s="574"/>
      <c r="M259" s="51" t="s">
        <v>265</v>
      </c>
      <c r="N259" s="113">
        <f t="shared" si="106"/>
        <v>4897</v>
      </c>
      <c r="O259" s="575">
        <v>0</v>
      </c>
      <c r="P259" s="594">
        <v>0</v>
      </c>
      <c r="Q259" s="325">
        <v>31122.370000000003</v>
      </c>
      <c r="R259" s="324">
        <v>31122.370000000003</v>
      </c>
      <c r="S259" s="579">
        <v>0</v>
      </c>
      <c r="T259" s="580">
        <f t="shared" ref="T259:T274" si="149">+IF(ABS(+O259+Q259)&lt;=ABS(P259+R259),-O259+P259-Q259+R259,0)</f>
        <v>0</v>
      </c>
      <c r="U259" s="51"/>
      <c r="V259" s="541">
        <f>+'NF-KSF-TRIAL-BAL-2020'!O259+'RA-TRIAL-BAL-2020'!O259+'DES-TRIAL-BAL-2020'!O259+'DMP-TRIAL-BAL-2020'!O259</f>
        <v>0</v>
      </c>
      <c r="W259" s="529">
        <f>+'NF-KSF-TRIAL-BAL-2020'!P259+'RA-TRIAL-BAL-2020'!P259+'DES-TRIAL-BAL-2020'!P259+'DMP-TRIAL-BAL-2020'!P259</f>
        <v>0</v>
      </c>
      <c r="X259" s="587">
        <f>+'NF-KSF-TRIAL-BAL-2020'!Q259+'RA-TRIAL-BAL-2020'!Q259+'DES-TRIAL-BAL-2020'!Q259+'DMP-TRIAL-BAL-2020'!Q259</f>
        <v>0</v>
      </c>
      <c r="Y259" s="586">
        <f>+'NF-KSF-TRIAL-BAL-2020'!R259+'RA-TRIAL-BAL-2020'!R259+'DES-TRIAL-BAL-2020'!R259+'DMP-TRIAL-BAL-2020'!R259</f>
        <v>0</v>
      </c>
      <c r="Z259" s="587">
        <f>+'NF-KSF-TRIAL-BAL-2020'!S259+'RA-TRIAL-BAL-2020'!S259+'DES-TRIAL-BAL-2020'!S259+'DMP-TRIAL-BAL-2020'!S259</f>
        <v>0</v>
      </c>
      <c r="AA259" s="588">
        <f>+'NF-KSF-TRIAL-BAL-2020'!T259+'RA-TRIAL-BAL-2020'!T259+'DES-TRIAL-BAL-2020'!T259+'DMP-TRIAL-BAL-2020'!T259</f>
        <v>0</v>
      </c>
      <c r="AB259" s="51"/>
      <c r="AC259" s="575">
        <v>0</v>
      </c>
      <c r="AD259" s="594">
        <v>0</v>
      </c>
      <c r="AE259" s="325">
        <v>0</v>
      </c>
      <c r="AF259" s="324">
        <v>0</v>
      </c>
      <c r="AG259" s="579">
        <v>0</v>
      </c>
      <c r="AH259" s="580">
        <f t="shared" ref="AH259:AH274" si="150">+IF(ABS(+AC259+AE259)&lt;=ABS(AD259+AF259),-AC259+AD259-AE259+AF259,0)</f>
        <v>0</v>
      </c>
      <c r="AI259" s="51"/>
      <c r="AJ259" s="1497">
        <f t="shared" si="124"/>
        <v>4897</v>
      </c>
      <c r="AK259" s="8">
        <v>0</v>
      </c>
      <c r="AL259" s="970">
        <f t="shared" ref="AL259:AL267" si="151">+ROUND(+P259+W259+AD259,2)</f>
        <v>0</v>
      </c>
      <c r="AM259" s="326">
        <f>+ROUND(+Q259+X259+AE259,2)</f>
        <v>31122.37</v>
      </c>
      <c r="AN259" s="970">
        <f>+ROUND(+R259+Y259+AF259,2)</f>
        <v>31122.37</v>
      </c>
      <c r="AO259" s="8">
        <v>0</v>
      </c>
      <c r="AP259" s="28">
        <f t="shared" si="146"/>
        <v>0</v>
      </c>
      <c r="AQ259" s="43"/>
      <c r="AR259" s="358">
        <f t="shared" si="109"/>
        <v>0</v>
      </c>
      <c r="AS259" s="359">
        <f t="shared" si="110"/>
        <v>0</v>
      </c>
      <c r="AT259" s="360">
        <f t="shared" si="111"/>
        <v>0</v>
      </c>
      <c r="AU259" s="43"/>
      <c r="AV259" s="2119">
        <f t="shared" si="147"/>
        <v>0</v>
      </c>
      <c r="AW259" s="119"/>
      <c r="AX259" s="2119">
        <f t="shared" si="148"/>
        <v>0</v>
      </c>
      <c r="AY259" s="43"/>
      <c r="AZ259" s="43"/>
      <c r="BA259" s="43"/>
      <c r="BB259" s="43"/>
      <c r="BC259" s="43"/>
      <c r="BD259" s="43"/>
    </row>
    <row r="260" spans="1:56" ht="15.75">
      <c r="A260" s="88">
        <v>4898</v>
      </c>
      <c r="B260" s="378" t="s">
        <v>930</v>
      </c>
      <c r="C260" s="88"/>
      <c r="D260" s="1033"/>
      <c r="E260" s="1033"/>
      <c r="F260" s="1033"/>
      <c r="G260" s="1033"/>
      <c r="H260" s="1033"/>
      <c r="I260" s="1033"/>
      <c r="J260" s="1033"/>
      <c r="K260" s="1033"/>
      <c r="L260" s="574"/>
      <c r="M260" s="51" t="s">
        <v>265</v>
      </c>
      <c r="N260" s="113">
        <f t="shared" ref="N260:N284" si="152">+A260</f>
        <v>4898</v>
      </c>
      <c r="O260" s="575">
        <v>0</v>
      </c>
      <c r="P260" s="594"/>
      <c r="Q260" s="325"/>
      <c r="R260" s="324"/>
      <c r="S260" s="579">
        <v>0</v>
      </c>
      <c r="T260" s="580">
        <f t="shared" si="149"/>
        <v>0</v>
      </c>
      <c r="U260" s="51"/>
      <c r="V260" s="541">
        <f>+'NF-KSF-TRIAL-BAL-2020'!O260+'RA-TRIAL-BAL-2020'!O260+'DES-TRIAL-BAL-2020'!O260+'DMP-TRIAL-BAL-2020'!O260</f>
        <v>0</v>
      </c>
      <c r="W260" s="529">
        <f>+'NF-KSF-TRIAL-BAL-2020'!P260+'RA-TRIAL-BAL-2020'!P260+'DES-TRIAL-BAL-2020'!P260+'DMP-TRIAL-BAL-2020'!P260</f>
        <v>0</v>
      </c>
      <c r="X260" s="587">
        <f>+'NF-KSF-TRIAL-BAL-2020'!Q260+'RA-TRIAL-BAL-2020'!Q260+'DES-TRIAL-BAL-2020'!Q260+'DMP-TRIAL-BAL-2020'!Q260</f>
        <v>0</v>
      </c>
      <c r="Y260" s="586">
        <f>+'NF-KSF-TRIAL-BAL-2020'!R260+'RA-TRIAL-BAL-2020'!R260+'DES-TRIAL-BAL-2020'!R260+'DMP-TRIAL-BAL-2020'!R260</f>
        <v>0</v>
      </c>
      <c r="Z260" s="587">
        <f>+'NF-KSF-TRIAL-BAL-2020'!S260+'RA-TRIAL-BAL-2020'!S260+'DES-TRIAL-BAL-2020'!S260+'DMP-TRIAL-BAL-2020'!S260</f>
        <v>0</v>
      </c>
      <c r="AA260" s="588">
        <f>+'NF-KSF-TRIAL-BAL-2020'!T260+'RA-TRIAL-BAL-2020'!T260+'DES-TRIAL-BAL-2020'!T260+'DMP-TRIAL-BAL-2020'!T260</f>
        <v>0</v>
      </c>
      <c r="AB260" s="51"/>
      <c r="AC260" s="575">
        <v>0</v>
      </c>
      <c r="AD260" s="594"/>
      <c r="AE260" s="122"/>
      <c r="AF260" s="324"/>
      <c r="AG260" s="579">
        <v>0</v>
      </c>
      <c r="AH260" s="580">
        <f t="shared" si="150"/>
        <v>0</v>
      </c>
      <c r="AI260" s="51"/>
      <c r="AJ260" s="1497">
        <f t="shared" si="124"/>
        <v>4898</v>
      </c>
      <c r="AK260" s="8">
        <v>0</v>
      </c>
      <c r="AL260" s="970">
        <f t="shared" si="151"/>
        <v>0</v>
      </c>
      <c r="AM260" s="326">
        <f>+ROUND(+Q260+X260+AE260,2)</f>
        <v>0</v>
      </c>
      <c r="AN260" s="970">
        <f>+ROUND(+R260+Y260+AF260,2)</f>
        <v>0</v>
      </c>
      <c r="AO260" s="8">
        <v>0</v>
      </c>
      <c r="AP260" s="28">
        <f t="shared" si="146"/>
        <v>0</v>
      </c>
      <c r="AQ260" s="43"/>
      <c r="AR260" s="358">
        <f t="shared" si="109"/>
        <v>0</v>
      </c>
      <c r="AS260" s="359">
        <f t="shared" si="110"/>
        <v>0</v>
      </c>
      <c r="AT260" s="360">
        <f t="shared" si="111"/>
        <v>0</v>
      </c>
      <c r="AU260" s="43"/>
      <c r="AV260" s="2119">
        <f t="shared" si="147"/>
        <v>0</v>
      </c>
      <c r="AW260" s="119"/>
      <c r="AX260" s="2119">
        <f t="shared" si="148"/>
        <v>0</v>
      </c>
      <c r="AY260" s="43"/>
      <c r="AZ260" s="43"/>
      <c r="BA260" s="43"/>
      <c r="BB260" s="43"/>
      <c r="BC260" s="43"/>
      <c r="BD260" s="43"/>
    </row>
    <row r="261" spans="1:56" ht="15.75">
      <c r="A261" s="88">
        <v>4911</v>
      </c>
      <c r="B261" s="378" t="s">
        <v>931</v>
      </c>
      <c r="C261" s="88"/>
      <c r="D261" s="1044"/>
      <c r="E261" s="1044"/>
      <c r="F261" s="1044"/>
      <c r="G261" s="1044"/>
      <c r="H261" s="1044"/>
      <c r="I261" s="1044"/>
      <c r="J261" s="1044"/>
      <c r="K261" s="1044"/>
      <c r="L261" s="592"/>
      <c r="M261" s="51" t="s">
        <v>265</v>
      </c>
      <c r="N261" s="113">
        <f t="shared" si="152"/>
        <v>4911</v>
      </c>
      <c r="O261" s="575">
        <v>0</v>
      </c>
      <c r="P261" s="576"/>
      <c r="Q261" s="325"/>
      <c r="R261" s="324"/>
      <c r="S261" s="579">
        <v>0</v>
      </c>
      <c r="T261" s="580">
        <f t="shared" si="149"/>
        <v>0</v>
      </c>
      <c r="U261" s="52"/>
      <c r="V261" s="541">
        <f>+'NF-KSF-TRIAL-BAL-2020'!O261+'RA-TRIAL-BAL-2020'!O261+'DES-TRIAL-BAL-2020'!O261+'DMP-TRIAL-BAL-2020'!O261</f>
        <v>0</v>
      </c>
      <c r="W261" s="529">
        <f>+'NF-KSF-TRIAL-BAL-2020'!P261+'RA-TRIAL-BAL-2020'!P261+'DES-TRIAL-BAL-2020'!P261+'DMP-TRIAL-BAL-2020'!P261</f>
        <v>0</v>
      </c>
      <c r="X261" s="587">
        <f>+'NF-KSF-TRIAL-BAL-2020'!Q261+'RA-TRIAL-BAL-2020'!Q261+'DES-TRIAL-BAL-2020'!Q261+'DMP-TRIAL-BAL-2020'!Q261</f>
        <v>0</v>
      </c>
      <c r="Y261" s="586">
        <f>+'NF-KSF-TRIAL-BAL-2020'!R261+'RA-TRIAL-BAL-2020'!R261+'DES-TRIAL-BAL-2020'!R261+'DMP-TRIAL-BAL-2020'!R261</f>
        <v>0</v>
      </c>
      <c r="Z261" s="587">
        <f>+'NF-KSF-TRIAL-BAL-2020'!S261+'RA-TRIAL-BAL-2020'!S261+'DES-TRIAL-BAL-2020'!S261+'DMP-TRIAL-BAL-2020'!S261</f>
        <v>0</v>
      </c>
      <c r="AA261" s="588">
        <f>+'NF-KSF-TRIAL-BAL-2020'!T261+'RA-TRIAL-BAL-2020'!T261+'DES-TRIAL-BAL-2020'!T261+'DMP-TRIAL-BAL-2020'!T261</f>
        <v>0</v>
      </c>
      <c r="AB261" s="52"/>
      <c r="AC261" s="575">
        <v>0</v>
      </c>
      <c r="AD261" s="576"/>
      <c r="AE261" s="325"/>
      <c r="AF261" s="324"/>
      <c r="AG261" s="579">
        <v>0</v>
      </c>
      <c r="AH261" s="580">
        <f t="shared" si="150"/>
        <v>0</v>
      </c>
      <c r="AI261" s="52"/>
      <c r="AJ261" s="1497">
        <f t="shared" si="124"/>
        <v>4911</v>
      </c>
      <c r="AK261" s="8">
        <v>0</v>
      </c>
      <c r="AL261" s="970">
        <f t="shared" si="151"/>
        <v>0</v>
      </c>
      <c r="AM261" s="326">
        <f t="shared" ref="AM261:AN267" si="153">+ROUND(+Q261+X261+AE261,2)</f>
        <v>0</v>
      </c>
      <c r="AN261" s="970">
        <f t="shared" si="153"/>
        <v>0</v>
      </c>
      <c r="AO261" s="8">
        <v>0</v>
      </c>
      <c r="AP261" s="28">
        <f t="shared" si="146"/>
        <v>0</v>
      </c>
      <c r="AQ261" s="43"/>
      <c r="AR261" s="358">
        <f t="shared" si="109"/>
        <v>0</v>
      </c>
      <c r="AS261" s="359">
        <f t="shared" si="110"/>
        <v>0</v>
      </c>
      <c r="AT261" s="360">
        <f t="shared" si="111"/>
        <v>0</v>
      </c>
      <c r="AU261" s="43"/>
      <c r="AV261" s="2119">
        <f t="shared" si="147"/>
        <v>0</v>
      </c>
      <c r="AW261" s="119"/>
      <c r="AX261" s="2119">
        <f t="shared" si="148"/>
        <v>0</v>
      </c>
      <c r="AY261" s="43"/>
      <c r="AZ261" s="43"/>
      <c r="BA261" s="43"/>
      <c r="BB261" s="43"/>
      <c r="BC261" s="43"/>
      <c r="BD261" s="43"/>
    </row>
    <row r="262" spans="1:56" ht="15.75">
      <c r="A262" s="88">
        <v>4915</v>
      </c>
      <c r="B262" s="378" t="s">
        <v>932</v>
      </c>
      <c r="C262" s="88"/>
      <c r="D262" s="1033"/>
      <c r="E262" s="1033"/>
      <c r="F262" s="1033"/>
      <c r="G262" s="1033"/>
      <c r="H262" s="1033"/>
      <c r="I262" s="1033"/>
      <c r="J262" s="1033"/>
      <c r="K262" s="1033"/>
      <c r="L262" s="574"/>
      <c r="M262" s="51" t="s">
        <v>265</v>
      </c>
      <c r="N262" s="113">
        <f t="shared" si="152"/>
        <v>4915</v>
      </c>
      <c r="O262" s="575">
        <v>0</v>
      </c>
      <c r="P262" s="576"/>
      <c r="Q262" s="325"/>
      <c r="R262" s="324"/>
      <c r="S262" s="579">
        <v>0</v>
      </c>
      <c r="T262" s="580">
        <f>+IF(ABS(+O262+Q262)&lt;=ABS(P262+R262),-O262+P262-Q262+R262,0)</f>
        <v>0</v>
      </c>
      <c r="U262" s="51"/>
      <c r="V262" s="541">
        <f>+'NF-KSF-TRIAL-BAL-2020'!O262+'RA-TRIAL-BAL-2020'!O262+'DES-TRIAL-BAL-2020'!O262+'DMP-TRIAL-BAL-2020'!O262</f>
        <v>0</v>
      </c>
      <c r="W262" s="529">
        <f>+'NF-KSF-TRIAL-BAL-2020'!P262+'RA-TRIAL-BAL-2020'!P262+'DES-TRIAL-BAL-2020'!P262+'DMP-TRIAL-BAL-2020'!P262</f>
        <v>0</v>
      </c>
      <c r="X262" s="587">
        <f>+'NF-KSF-TRIAL-BAL-2020'!Q262+'RA-TRIAL-BAL-2020'!Q262+'DES-TRIAL-BAL-2020'!Q262+'DMP-TRIAL-BAL-2020'!Q262</f>
        <v>0</v>
      </c>
      <c r="Y262" s="586">
        <f>+'NF-KSF-TRIAL-BAL-2020'!R262+'RA-TRIAL-BAL-2020'!R262+'DES-TRIAL-BAL-2020'!R262+'DMP-TRIAL-BAL-2020'!R262</f>
        <v>0</v>
      </c>
      <c r="Z262" s="587">
        <f>+'NF-KSF-TRIAL-BAL-2020'!S262+'RA-TRIAL-BAL-2020'!S262+'DES-TRIAL-BAL-2020'!S262+'DMP-TRIAL-BAL-2020'!S262</f>
        <v>0</v>
      </c>
      <c r="AA262" s="588">
        <f>+'NF-KSF-TRIAL-BAL-2020'!T262+'RA-TRIAL-BAL-2020'!T262+'DES-TRIAL-BAL-2020'!T262+'DMP-TRIAL-BAL-2020'!T262</f>
        <v>0</v>
      </c>
      <c r="AB262" s="51"/>
      <c r="AC262" s="575">
        <v>0</v>
      </c>
      <c r="AD262" s="576"/>
      <c r="AE262" s="325"/>
      <c r="AF262" s="324"/>
      <c r="AG262" s="579">
        <v>0</v>
      </c>
      <c r="AH262" s="580">
        <f>+IF(ABS(+AC262+AE262)&lt;=ABS(AD262+AF262),-AC262+AD262-AE262+AF262,0)</f>
        <v>0</v>
      </c>
      <c r="AI262" s="51"/>
      <c r="AJ262" s="1497">
        <f>+N262</f>
        <v>4915</v>
      </c>
      <c r="AK262" s="8">
        <v>0</v>
      </c>
      <c r="AL262" s="970">
        <f t="shared" si="151"/>
        <v>0</v>
      </c>
      <c r="AM262" s="326">
        <f t="shared" si="153"/>
        <v>0</v>
      </c>
      <c r="AN262" s="970">
        <f t="shared" si="153"/>
        <v>0</v>
      </c>
      <c r="AO262" s="29">
        <v>0</v>
      </c>
      <c r="AP262" s="28">
        <f t="shared" si="146"/>
        <v>0</v>
      </c>
      <c r="AQ262" s="43"/>
      <c r="AR262" s="358">
        <f>+ROUND(+SUM(AK262-AL262)-SUM(O262-P262)-SUM(V262-W262)-SUM(AC262-AD262),2)</f>
        <v>0</v>
      </c>
      <c r="AS262" s="359">
        <f>+ROUND(+SUM(AM262-AN262)-SUM(Q262-R262)-SUM(X262-Y262)-SUM(AE262-AF262),2)</f>
        <v>0</v>
      </c>
      <c r="AT262" s="360">
        <f>+ROUND(+SUM(AO262-AP262)-SUM(S262-T262)-SUM(Z262-AA262)-SUM(AG262-AH262),2)</f>
        <v>0</v>
      </c>
      <c r="AU262" s="43"/>
      <c r="AV262" s="2119">
        <f t="shared" si="147"/>
        <v>0</v>
      </c>
      <c r="AW262" s="119"/>
      <c r="AX262" s="2119">
        <f t="shared" si="148"/>
        <v>0</v>
      </c>
      <c r="AY262" s="43"/>
      <c r="AZ262" s="43"/>
      <c r="BA262" s="43"/>
      <c r="BB262" s="43"/>
      <c r="BC262" s="43"/>
      <c r="BD262" s="43"/>
    </row>
    <row r="263" spans="1:56" ht="15.75">
      <c r="A263" s="88">
        <v>4916</v>
      </c>
      <c r="B263" s="378" t="s">
        <v>933</v>
      </c>
      <c r="C263" s="88"/>
      <c r="D263" s="1033"/>
      <c r="E263" s="1033"/>
      <c r="F263" s="1033"/>
      <c r="G263" s="1033"/>
      <c r="H263" s="1033"/>
      <c r="I263" s="1033"/>
      <c r="J263" s="1033"/>
      <c r="K263" s="1033"/>
      <c r="L263" s="574"/>
      <c r="M263" s="51" t="s">
        <v>265</v>
      </c>
      <c r="N263" s="113">
        <f t="shared" si="152"/>
        <v>4916</v>
      </c>
      <c r="O263" s="575">
        <v>0</v>
      </c>
      <c r="P263" s="576"/>
      <c r="Q263" s="325"/>
      <c r="R263" s="324"/>
      <c r="S263" s="579">
        <v>0</v>
      </c>
      <c r="T263" s="580">
        <f>+IF(ABS(+O263+Q263)&lt;=ABS(P263+R263),-O263+P263-Q263+R263,0)</f>
        <v>0</v>
      </c>
      <c r="U263" s="51"/>
      <c r="V263" s="541">
        <f>+'NF-KSF-TRIAL-BAL-2020'!O263+'RA-TRIAL-BAL-2020'!O263+'DES-TRIAL-BAL-2020'!O263+'DMP-TRIAL-BAL-2020'!O263</f>
        <v>0</v>
      </c>
      <c r="W263" s="529">
        <f>+'NF-KSF-TRIAL-BAL-2020'!P263+'RA-TRIAL-BAL-2020'!P263+'DES-TRIAL-BAL-2020'!P263+'DMP-TRIAL-BAL-2020'!P263</f>
        <v>0</v>
      </c>
      <c r="X263" s="587">
        <f>+'NF-KSF-TRIAL-BAL-2020'!Q263+'RA-TRIAL-BAL-2020'!Q263+'DES-TRIAL-BAL-2020'!Q263+'DMP-TRIAL-BAL-2020'!Q263</f>
        <v>0</v>
      </c>
      <c r="Y263" s="586">
        <f>+'NF-KSF-TRIAL-BAL-2020'!R263+'RA-TRIAL-BAL-2020'!R263+'DES-TRIAL-BAL-2020'!R263+'DMP-TRIAL-BAL-2020'!R263</f>
        <v>0</v>
      </c>
      <c r="Z263" s="587">
        <f>+'NF-KSF-TRIAL-BAL-2020'!S263+'RA-TRIAL-BAL-2020'!S263+'DES-TRIAL-BAL-2020'!S263+'DMP-TRIAL-BAL-2020'!S263</f>
        <v>0</v>
      </c>
      <c r="AA263" s="588">
        <f>+'NF-KSF-TRIAL-BAL-2020'!T263+'RA-TRIAL-BAL-2020'!T263+'DES-TRIAL-BAL-2020'!T263+'DMP-TRIAL-BAL-2020'!T263</f>
        <v>0</v>
      </c>
      <c r="AB263" s="51"/>
      <c r="AC263" s="575">
        <v>0</v>
      </c>
      <c r="AD263" s="576"/>
      <c r="AE263" s="325"/>
      <c r="AF263" s="324"/>
      <c r="AG263" s="579">
        <v>0</v>
      </c>
      <c r="AH263" s="580">
        <f>+IF(ABS(+AC263+AE263)&lt;=ABS(AD263+AF263),-AC263+AD263-AE263+AF263,0)</f>
        <v>0</v>
      </c>
      <c r="AI263" s="51"/>
      <c r="AJ263" s="1497">
        <f>+N263</f>
        <v>4916</v>
      </c>
      <c r="AK263" s="8">
        <v>0</v>
      </c>
      <c r="AL263" s="970">
        <f t="shared" si="151"/>
        <v>0</v>
      </c>
      <c r="AM263" s="326">
        <f t="shared" si="153"/>
        <v>0</v>
      </c>
      <c r="AN263" s="970">
        <f t="shared" si="153"/>
        <v>0</v>
      </c>
      <c r="AO263" s="29">
        <v>0</v>
      </c>
      <c r="AP263" s="28">
        <f t="shared" si="146"/>
        <v>0</v>
      </c>
      <c r="AQ263" s="43"/>
      <c r="AR263" s="358">
        <f>+ROUND(+SUM(AK263-AL263)-SUM(O263-P263)-SUM(V263-W263)-SUM(AC263-AD263),2)</f>
        <v>0</v>
      </c>
      <c r="AS263" s="359">
        <f>+ROUND(+SUM(AM263-AN263)-SUM(Q263-R263)-SUM(X263-Y263)-SUM(AE263-AF263),2)</f>
        <v>0</v>
      </c>
      <c r="AT263" s="360">
        <f>+ROUND(+SUM(AO263-AP263)-SUM(S263-T263)-SUM(Z263-AA263)-SUM(AG263-AH263),2)</f>
        <v>0</v>
      </c>
      <c r="AU263" s="43"/>
      <c r="AV263" s="2119">
        <f t="shared" si="147"/>
        <v>0</v>
      </c>
      <c r="AW263" s="119"/>
      <c r="AX263" s="2119">
        <f t="shared" si="148"/>
        <v>0</v>
      </c>
      <c r="AY263" s="43"/>
      <c r="AZ263" s="43"/>
      <c r="BA263" s="43"/>
      <c r="BB263" s="43"/>
      <c r="BC263" s="43"/>
      <c r="BD263" s="43"/>
    </row>
    <row r="264" spans="1:56" ht="15.75">
      <c r="A264" s="88">
        <v>4917</v>
      </c>
      <c r="B264" s="378" t="s">
        <v>934</v>
      </c>
      <c r="C264" s="88"/>
      <c r="D264" s="1033"/>
      <c r="E264" s="1033"/>
      <c r="F264" s="1033"/>
      <c r="G264" s="1033"/>
      <c r="H264" s="1033"/>
      <c r="I264" s="1033"/>
      <c r="J264" s="1033"/>
      <c r="K264" s="1033"/>
      <c r="L264" s="574"/>
      <c r="M264" s="51" t="s">
        <v>265</v>
      </c>
      <c r="N264" s="113">
        <f t="shared" si="152"/>
        <v>4917</v>
      </c>
      <c r="O264" s="575">
        <v>0</v>
      </c>
      <c r="P264" s="576">
        <v>0</v>
      </c>
      <c r="Q264" s="325">
        <v>0</v>
      </c>
      <c r="R264" s="324">
        <v>0</v>
      </c>
      <c r="S264" s="579">
        <v>0</v>
      </c>
      <c r="T264" s="580">
        <f t="shared" si="149"/>
        <v>0</v>
      </c>
      <c r="U264" s="51"/>
      <c r="V264" s="541">
        <f>+'NF-KSF-TRIAL-BAL-2020'!O264+'RA-TRIAL-BAL-2020'!O264+'DES-TRIAL-BAL-2020'!O264+'DMP-TRIAL-BAL-2020'!O264</f>
        <v>0</v>
      </c>
      <c r="W264" s="529">
        <f>+'NF-KSF-TRIAL-BAL-2020'!P264+'RA-TRIAL-BAL-2020'!P264+'DES-TRIAL-BAL-2020'!P264+'DMP-TRIAL-BAL-2020'!P264</f>
        <v>0</v>
      </c>
      <c r="X264" s="587">
        <f>+'NF-KSF-TRIAL-BAL-2020'!Q264+'RA-TRIAL-BAL-2020'!Q264+'DES-TRIAL-BAL-2020'!Q264+'DMP-TRIAL-BAL-2020'!Q264</f>
        <v>0</v>
      </c>
      <c r="Y264" s="586">
        <f>+'NF-KSF-TRIAL-BAL-2020'!R264+'RA-TRIAL-BAL-2020'!R264+'DES-TRIAL-BAL-2020'!R264+'DMP-TRIAL-BAL-2020'!R264</f>
        <v>0</v>
      </c>
      <c r="Z264" s="587">
        <f>+'NF-KSF-TRIAL-BAL-2020'!S264+'RA-TRIAL-BAL-2020'!S264+'DES-TRIAL-BAL-2020'!S264+'DMP-TRIAL-BAL-2020'!S264</f>
        <v>0</v>
      </c>
      <c r="AA264" s="588">
        <f>+'NF-KSF-TRIAL-BAL-2020'!T264+'RA-TRIAL-BAL-2020'!T264+'DES-TRIAL-BAL-2020'!T264+'DMP-TRIAL-BAL-2020'!T264</f>
        <v>0</v>
      </c>
      <c r="AB264" s="51"/>
      <c r="AC264" s="575">
        <v>0</v>
      </c>
      <c r="AD264" s="576">
        <v>0</v>
      </c>
      <c r="AE264" s="122">
        <v>0</v>
      </c>
      <c r="AF264" s="324">
        <v>0</v>
      </c>
      <c r="AG264" s="579">
        <v>0</v>
      </c>
      <c r="AH264" s="580">
        <f t="shared" si="150"/>
        <v>0</v>
      </c>
      <c r="AI264" s="51"/>
      <c r="AJ264" s="1497">
        <f t="shared" si="124"/>
        <v>4917</v>
      </c>
      <c r="AK264" s="8">
        <v>0</v>
      </c>
      <c r="AL264" s="970">
        <f t="shared" si="151"/>
        <v>0</v>
      </c>
      <c r="AM264" s="326">
        <f t="shared" si="153"/>
        <v>0</v>
      </c>
      <c r="AN264" s="970">
        <f t="shared" si="153"/>
        <v>0</v>
      </c>
      <c r="AO264" s="8">
        <v>0</v>
      </c>
      <c r="AP264" s="28">
        <f t="shared" si="146"/>
        <v>0</v>
      </c>
      <c r="AQ264" s="43"/>
      <c r="AR264" s="358">
        <f t="shared" si="109"/>
        <v>0</v>
      </c>
      <c r="AS264" s="359">
        <f t="shared" si="110"/>
        <v>0</v>
      </c>
      <c r="AT264" s="360">
        <f t="shared" si="111"/>
        <v>0</v>
      </c>
      <c r="AU264" s="43"/>
      <c r="AV264" s="2119">
        <f t="shared" si="147"/>
        <v>0</v>
      </c>
      <c r="AW264" s="119"/>
      <c r="AX264" s="2119">
        <f t="shared" si="148"/>
        <v>0</v>
      </c>
      <c r="AY264" s="43"/>
      <c r="AZ264" s="43"/>
      <c r="BA264" s="43"/>
      <c r="BB264" s="43"/>
      <c r="BC264" s="43"/>
      <c r="BD264" s="43"/>
    </row>
    <row r="265" spans="1:56" ht="15.75">
      <c r="A265" s="88">
        <v>4918</v>
      </c>
      <c r="B265" s="378" t="s">
        <v>935</v>
      </c>
      <c r="C265" s="88"/>
      <c r="D265" s="1033"/>
      <c r="E265" s="1033"/>
      <c r="F265" s="1033"/>
      <c r="G265" s="1033"/>
      <c r="H265" s="1033"/>
      <c r="I265" s="1033"/>
      <c r="J265" s="1033"/>
      <c r="K265" s="1033"/>
      <c r="L265" s="574"/>
      <c r="M265" s="51" t="s">
        <v>265</v>
      </c>
      <c r="N265" s="113">
        <f t="shared" si="152"/>
        <v>4918</v>
      </c>
      <c r="O265" s="575">
        <v>0</v>
      </c>
      <c r="P265" s="576"/>
      <c r="Q265" s="325"/>
      <c r="R265" s="324"/>
      <c r="S265" s="579">
        <v>0</v>
      </c>
      <c r="T265" s="580">
        <f t="shared" si="149"/>
        <v>0</v>
      </c>
      <c r="U265" s="51"/>
      <c r="V265" s="541">
        <f>+'NF-KSF-TRIAL-BAL-2020'!O265+'RA-TRIAL-BAL-2020'!O265+'DES-TRIAL-BAL-2020'!O265+'DMP-TRIAL-BAL-2020'!O265</f>
        <v>0</v>
      </c>
      <c r="W265" s="529">
        <f>+'NF-KSF-TRIAL-BAL-2020'!P265+'RA-TRIAL-BAL-2020'!P265+'DES-TRIAL-BAL-2020'!P265+'DMP-TRIAL-BAL-2020'!P265</f>
        <v>0</v>
      </c>
      <c r="X265" s="587">
        <f>+'NF-KSF-TRIAL-BAL-2020'!Q265+'RA-TRIAL-BAL-2020'!Q265+'DES-TRIAL-BAL-2020'!Q265+'DMP-TRIAL-BAL-2020'!Q265</f>
        <v>0</v>
      </c>
      <c r="Y265" s="586">
        <f>+'NF-KSF-TRIAL-BAL-2020'!R265+'RA-TRIAL-BAL-2020'!R265+'DES-TRIAL-BAL-2020'!R265+'DMP-TRIAL-BAL-2020'!R265</f>
        <v>0</v>
      </c>
      <c r="Z265" s="587">
        <f>+'NF-KSF-TRIAL-BAL-2020'!S265+'RA-TRIAL-BAL-2020'!S265+'DES-TRIAL-BAL-2020'!S265+'DMP-TRIAL-BAL-2020'!S265</f>
        <v>0</v>
      </c>
      <c r="AA265" s="588">
        <f>+'NF-KSF-TRIAL-BAL-2020'!T265+'RA-TRIAL-BAL-2020'!T265+'DES-TRIAL-BAL-2020'!T265+'DMP-TRIAL-BAL-2020'!T265</f>
        <v>0</v>
      </c>
      <c r="AB265" s="51"/>
      <c r="AC265" s="575">
        <v>0</v>
      </c>
      <c r="AD265" s="576"/>
      <c r="AE265" s="325"/>
      <c r="AF265" s="324"/>
      <c r="AG265" s="579">
        <v>0</v>
      </c>
      <c r="AH265" s="580">
        <f t="shared" si="150"/>
        <v>0</v>
      </c>
      <c r="AI265" s="51"/>
      <c r="AJ265" s="1497">
        <f t="shared" si="124"/>
        <v>4918</v>
      </c>
      <c r="AK265" s="8">
        <v>0</v>
      </c>
      <c r="AL265" s="970">
        <f t="shared" si="151"/>
        <v>0</v>
      </c>
      <c r="AM265" s="326">
        <f t="shared" si="153"/>
        <v>0</v>
      </c>
      <c r="AN265" s="970">
        <f t="shared" si="153"/>
        <v>0</v>
      </c>
      <c r="AO265" s="8">
        <v>0</v>
      </c>
      <c r="AP265" s="28">
        <f t="shared" si="146"/>
        <v>0</v>
      </c>
      <c r="AQ265" s="43"/>
      <c r="AR265" s="358">
        <f t="shared" si="109"/>
        <v>0</v>
      </c>
      <c r="AS265" s="359">
        <f t="shared" si="110"/>
        <v>0</v>
      </c>
      <c r="AT265" s="360">
        <f t="shared" si="111"/>
        <v>0</v>
      </c>
      <c r="AU265" s="43"/>
      <c r="AV265" s="2119">
        <f t="shared" si="147"/>
        <v>0</v>
      </c>
      <c r="AW265" s="119"/>
      <c r="AX265" s="2119">
        <f t="shared" si="148"/>
        <v>0</v>
      </c>
      <c r="AY265" s="43"/>
      <c r="AZ265" s="43"/>
      <c r="BA265" s="43"/>
      <c r="BB265" s="43"/>
      <c r="BC265" s="43"/>
      <c r="BD265" s="43"/>
    </row>
    <row r="266" spans="1:56" ht="15.75">
      <c r="A266" s="88">
        <v>4940</v>
      </c>
      <c r="B266" s="378" t="s">
        <v>44</v>
      </c>
      <c r="C266" s="88"/>
      <c r="D266" s="1033"/>
      <c r="E266" s="1033"/>
      <c r="F266" s="1033"/>
      <c r="G266" s="1033"/>
      <c r="H266" s="1033"/>
      <c r="I266" s="1033"/>
      <c r="J266" s="1033"/>
      <c r="K266" s="1033"/>
      <c r="L266" s="574"/>
      <c r="M266" s="51" t="s">
        <v>265</v>
      </c>
      <c r="N266" s="113">
        <f t="shared" si="152"/>
        <v>4940</v>
      </c>
      <c r="O266" s="575">
        <v>0</v>
      </c>
      <c r="P266" s="576"/>
      <c r="Q266" s="325"/>
      <c r="R266" s="324"/>
      <c r="S266" s="579">
        <v>0</v>
      </c>
      <c r="T266" s="580">
        <f t="shared" si="149"/>
        <v>0</v>
      </c>
      <c r="U266" s="51"/>
      <c r="V266" s="541">
        <f>+'NF-KSF-TRIAL-BAL-2020'!O266+'RA-TRIAL-BAL-2020'!O266+'DES-TRIAL-BAL-2020'!O266+'DMP-TRIAL-BAL-2020'!O266</f>
        <v>0</v>
      </c>
      <c r="W266" s="529">
        <f>+'NF-KSF-TRIAL-BAL-2020'!P266+'RA-TRIAL-BAL-2020'!P266+'DES-TRIAL-BAL-2020'!P266+'DMP-TRIAL-BAL-2020'!P266</f>
        <v>0</v>
      </c>
      <c r="X266" s="587">
        <f>+'NF-KSF-TRIAL-BAL-2020'!Q266+'RA-TRIAL-BAL-2020'!Q266+'DES-TRIAL-BAL-2020'!Q266+'DMP-TRIAL-BAL-2020'!Q266</f>
        <v>0</v>
      </c>
      <c r="Y266" s="586">
        <f>+'NF-KSF-TRIAL-BAL-2020'!R266+'RA-TRIAL-BAL-2020'!R266+'DES-TRIAL-BAL-2020'!R266+'DMP-TRIAL-BAL-2020'!R266</f>
        <v>0</v>
      </c>
      <c r="Z266" s="587">
        <f>+'NF-KSF-TRIAL-BAL-2020'!S266+'RA-TRIAL-BAL-2020'!S266+'DES-TRIAL-BAL-2020'!S266+'DMP-TRIAL-BAL-2020'!S266</f>
        <v>0</v>
      </c>
      <c r="AA266" s="588">
        <f>+'NF-KSF-TRIAL-BAL-2020'!T266+'RA-TRIAL-BAL-2020'!T266+'DES-TRIAL-BAL-2020'!T266+'DMP-TRIAL-BAL-2020'!T266</f>
        <v>0</v>
      </c>
      <c r="AB266" s="51"/>
      <c r="AC266" s="575">
        <v>0</v>
      </c>
      <c r="AD266" s="576"/>
      <c r="AE266" s="325"/>
      <c r="AF266" s="324"/>
      <c r="AG266" s="579">
        <v>0</v>
      </c>
      <c r="AH266" s="580">
        <f t="shared" si="150"/>
        <v>0</v>
      </c>
      <c r="AI266" s="51"/>
      <c r="AJ266" s="1497">
        <f t="shared" si="124"/>
        <v>4940</v>
      </c>
      <c r="AK266" s="8">
        <v>0</v>
      </c>
      <c r="AL266" s="970">
        <f t="shared" si="151"/>
        <v>0</v>
      </c>
      <c r="AM266" s="326">
        <f t="shared" si="153"/>
        <v>0</v>
      </c>
      <c r="AN266" s="970">
        <f t="shared" si="153"/>
        <v>0</v>
      </c>
      <c r="AO266" s="8">
        <v>0</v>
      </c>
      <c r="AP266" s="28">
        <f t="shared" si="146"/>
        <v>0</v>
      </c>
      <c r="AQ266" s="43"/>
      <c r="AR266" s="358">
        <f t="shared" si="109"/>
        <v>0</v>
      </c>
      <c r="AS266" s="359">
        <f t="shared" si="110"/>
        <v>0</v>
      </c>
      <c r="AT266" s="360">
        <f t="shared" si="111"/>
        <v>0</v>
      </c>
      <c r="AU266" s="43"/>
      <c r="AV266" s="2119">
        <f t="shared" si="147"/>
        <v>0</v>
      </c>
      <c r="AW266" s="119"/>
      <c r="AX266" s="2119">
        <f t="shared" si="148"/>
        <v>0</v>
      </c>
      <c r="AY266" s="43"/>
      <c r="AZ266" s="43"/>
      <c r="BA266" s="43"/>
      <c r="BB266" s="43"/>
      <c r="BC266" s="43"/>
      <c r="BD266" s="43"/>
    </row>
    <row r="267" spans="1:56" ht="15.75">
      <c r="A267" s="88">
        <v>4951</v>
      </c>
      <c r="B267" s="378" t="s">
        <v>238</v>
      </c>
      <c r="C267" s="88"/>
      <c r="D267" s="1033"/>
      <c r="E267" s="1033"/>
      <c r="F267" s="1033"/>
      <c r="G267" s="1033"/>
      <c r="H267" s="1033"/>
      <c r="I267" s="1033"/>
      <c r="J267" s="1033"/>
      <c r="K267" s="1033"/>
      <c r="L267" s="574"/>
      <c r="M267" s="51" t="s">
        <v>265</v>
      </c>
      <c r="N267" s="113">
        <f t="shared" si="152"/>
        <v>4951</v>
      </c>
      <c r="O267" s="575">
        <v>0</v>
      </c>
      <c r="P267" s="576"/>
      <c r="Q267" s="325"/>
      <c r="R267" s="324"/>
      <c r="S267" s="579">
        <v>0</v>
      </c>
      <c r="T267" s="580">
        <f>+IF(ABS(+O267+Q267)&lt;=ABS(P267+R267),-O267+P267-Q267+R267,0)</f>
        <v>0</v>
      </c>
      <c r="U267" s="51"/>
      <c r="V267" s="541">
        <f>+'NF-KSF-TRIAL-BAL-2020'!O267+'RA-TRIAL-BAL-2020'!O267+'DES-TRIAL-BAL-2020'!O267+'DMP-TRIAL-BAL-2020'!O267</f>
        <v>0</v>
      </c>
      <c r="W267" s="529">
        <f>+'NF-KSF-TRIAL-BAL-2020'!P267+'RA-TRIAL-BAL-2020'!P267+'DES-TRIAL-BAL-2020'!P267+'DMP-TRIAL-BAL-2020'!P267</f>
        <v>0</v>
      </c>
      <c r="X267" s="587">
        <f>+'NF-KSF-TRIAL-BAL-2020'!Q267+'RA-TRIAL-BAL-2020'!Q267+'DES-TRIAL-BAL-2020'!Q267+'DMP-TRIAL-BAL-2020'!Q267</f>
        <v>0</v>
      </c>
      <c r="Y267" s="586">
        <f>+'NF-KSF-TRIAL-BAL-2020'!R267+'RA-TRIAL-BAL-2020'!R267+'DES-TRIAL-BAL-2020'!R267+'DMP-TRIAL-BAL-2020'!R267</f>
        <v>0</v>
      </c>
      <c r="Z267" s="587">
        <f>+'NF-KSF-TRIAL-BAL-2020'!S267+'RA-TRIAL-BAL-2020'!S267+'DES-TRIAL-BAL-2020'!S267+'DMP-TRIAL-BAL-2020'!S267</f>
        <v>0</v>
      </c>
      <c r="AA267" s="588">
        <f>+'NF-KSF-TRIAL-BAL-2020'!T267+'RA-TRIAL-BAL-2020'!T267+'DES-TRIAL-BAL-2020'!T267+'DMP-TRIAL-BAL-2020'!T267</f>
        <v>0</v>
      </c>
      <c r="AB267" s="51"/>
      <c r="AC267" s="575">
        <v>0</v>
      </c>
      <c r="AD267" s="582">
        <v>0</v>
      </c>
      <c r="AE267" s="579">
        <v>0</v>
      </c>
      <c r="AF267" s="582">
        <v>0</v>
      </c>
      <c r="AG267" s="579">
        <v>0</v>
      </c>
      <c r="AH267" s="580">
        <f>+IF(ABS(+AC267+AE267)&lt;=ABS(AD267+AF267),-AC267+AD267-AE267+AF267,0)</f>
        <v>0</v>
      </c>
      <c r="AI267" s="51"/>
      <c r="AJ267" s="1497">
        <f>+N267</f>
        <v>4951</v>
      </c>
      <c r="AK267" s="951">
        <f>+ROUND(+O267+V267+AC267,2)</f>
        <v>0</v>
      </c>
      <c r="AL267" s="970">
        <f t="shared" si="151"/>
        <v>0</v>
      </c>
      <c r="AM267" s="326">
        <f t="shared" si="153"/>
        <v>0</v>
      </c>
      <c r="AN267" s="970">
        <f t="shared" si="153"/>
        <v>0</v>
      </c>
      <c r="AO267" s="326">
        <f t="shared" ref="AO267:AO283" si="154">+S267+Z267+AG267</f>
        <v>0</v>
      </c>
      <c r="AP267" s="28">
        <f t="shared" si="146"/>
        <v>0</v>
      </c>
      <c r="AQ267" s="43"/>
      <c r="AR267" s="358">
        <f>+ROUND(+SUM(AK267-AL267)-SUM(O267-P267)-SUM(V267-W267)-SUM(AC267-AD267),2)</f>
        <v>0</v>
      </c>
      <c r="AS267" s="359">
        <f>+ROUND(+SUM(AM267-AN267)-SUM(Q267-R267)-SUM(X267-Y267)-SUM(AE267-AF267),2)</f>
        <v>0</v>
      </c>
      <c r="AT267" s="360">
        <f>+ROUND(+SUM(AO267-AP267)-SUM(S267-T267)-SUM(Z267-AA267)-SUM(AG267-AH267),2)</f>
        <v>0</v>
      </c>
      <c r="AU267" s="43"/>
      <c r="AV267" s="2119">
        <f t="shared" si="147"/>
        <v>0</v>
      </c>
      <c r="AW267" s="119"/>
      <c r="AX267" s="2125">
        <f>+IF(OR(AC267&lt;&gt;0,AD267&lt;&gt;0,AE267&lt;&gt;0,AF267&lt;&gt;0,AG267&lt;&gt;0,AH267&lt;&gt;0),+IF(ABS(AC267+AE267)-ABS(AD267+AF267)&lt;&gt;0,ABS(AC267+AE267)-ABS(AD267+AF267),1),0)</f>
        <v>0</v>
      </c>
      <c r="AY267" s="43"/>
      <c r="AZ267" s="43"/>
      <c r="BA267" s="43"/>
      <c r="BB267" s="43"/>
      <c r="BC267" s="43"/>
      <c r="BD267" s="43"/>
    </row>
    <row r="268" spans="1:56" ht="15.75">
      <c r="A268" s="88">
        <v>4955</v>
      </c>
      <c r="B268" s="378" t="s">
        <v>239</v>
      </c>
      <c r="C268" s="88"/>
      <c r="D268" s="1033"/>
      <c r="E268" s="1033"/>
      <c r="F268" s="1033"/>
      <c r="G268" s="1033"/>
      <c r="H268" s="1033"/>
      <c r="I268" s="1033"/>
      <c r="J268" s="1033"/>
      <c r="K268" s="1033"/>
      <c r="L268" s="574"/>
      <c r="M268" s="51" t="s">
        <v>265</v>
      </c>
      <c r="N268" s="113">
        <f t="shared" si="152"/>
        <v>4955</v>
      </c>
      <c r="O268" s="575">
        <v>0</v>
      </c>
      <c r="P268" s="576"/>
      <c r="Q268" s="325"/>
      <c r="R268" s="324"/>
      <c r="S268" s="579">
        <v>0</v>
      </c>
      <c r="T268" s="580">
        <f>+IF(ABS(+O268+Q268)&lt;=ABS(P268+R268),-O268+P268-Q268+R268,0)</f>
        <v>0</v>
      </c>
      <c r="U268" s="51"/>
      <c r="V268" s="541">
        <f>+'NF-KSF-TRIAL-BAL-2020'!O268+'RA-TRIAL-BAL-2020'!O268+'DES-TRIAL-BAL-2020'!O268+'DMP-TRIAL-BAL-2020'!O268</f>
        <v>0</v>
      </c>
      <c r="W268" s="529">
        <f>+'NF-KSF-TRIAL-BAL-2020'!P268+'RA-TRIAL-BAL-2020'!P268+'DES-TRIAL-BAL-2020'!P268+'DMP-TRIAL-BAL-2020'!P268</f>
        <v>0</v>
      </c>
      <c r="X268" s="587">
        <f>+'NF-KSF-TRIAL-BAL-2020'!Q268+'RA-TRIAL-BAL-2020'!Q268+'DES-TRIAL-BAL-2020'!Q268+'DMP-TRIAL-BAL-2020'!Q268</f>
        <v>0</v>
      </c>
      <c r="Y268" s="586">
        <f>+'NF-KSF-TRIAL-BAL-2020'!R268+'RA-TRIAL-BAL-2020'!R268+'DES-TRIAL-BAL-2020'!R268+'DMP-TRIAL-BAL-2020'!R268</f>
        <v>0</v>
      </c>
      <c r="Z268" s="587">
        <f>+'NF-KSF-TRIAL-BAL-2020'!S268+'RA-TRIAL-BAL-2020'!S268+'DES-TRIAL-BAL-2020'!S268+'DMP-TRIAL-BAL-2020'!S268</f>
        <v>0</v>
      </c>
      <c r="AA268" s="588">
        <f>+'NF-KSF-TRIAL-BAL-2020'!T268+'RA-TRIAL-BAL-2020'!T268+'DES-TRIAL-BAL-2020'!T268+'DMP-TRIAL-BAL-2020'!T268</f>
        <v>0</v>
      </c>
      <c r="AB268" s="51"/>
      <c r="AC268" s="575">
        <v>0</v>
      </c>
      <c r="AD268" s="582">
        <v>0</v>
      </c>
      <c r="AE268" s="579">
        <v>0</v>
      </c>
      <c r="AF268" s="582">
        <v>0</v>
      </c>
      <c r="AG268" s="579">
        <v>0</v>
      </c>
      <c r="AH268" s="580">
        <f>+IF(ABS(+AC268+AE268)&lt;=ABS(AD268+AF268),-AC268+AD268-AE268+AF268,0)</f>
        <v>0</v>
      </c>
      <c r="AI268" s="51"/>
      <c r="AJ268" s="1497">
        <f>+N268</f>
        <v>4955</v>
      </c>
      <c r="AK268" s="951">
        <f t="shared" ref="AK268:AN271" si="155">+ROUND(+O268+V268+AC268,2)</f>
        <v>0</v>
      </c>
      <c r="AL268" s="970">
        <f t="shared" si="155"/>
        <v>0</v>
      </c>
      <c r="AM268" s="326">
        <f t="shared" si="155"/>
        <v>0</v>
      </c>
      <c r="AN268" s="970">
        <f t="shared" si="155"/>
        <v>0</v>
      </c>
      <c r="AO268" s="326">
        <f t="shared" si="154"/>
        <v>0</v>
      </c>
      <c r="AP268" s="28">
        <f t="shared" si="146"/>
        <v>0</v>
      </c>
      <c r="AQ268" s="43"/>
      <c r="AR268" s="358">
        <f>+ROUND(+SUM(AK268-AL268)-SUM(O268-P268)-SUM(V268-W268)-SUM(AC268-AD268),2)</f>
        <v>0</v>
      </c>
      <c r="AS268" s="359">
        <f>+ROUND(+SUM(AM268-AN268)-SUM(Q268-R268)-SUM(X268-Y268)-SUM(AE268-AF268),2)</f>
        <v>0</v>
      </c>
      <c r="AT268" s="360">
        <f>+ROUND(+SUM(AO268-AP268)-SUM(S268-T268)-SUM(Z268-AA268)-SUM(AG268-AH268),2)</f>
        <v>0</v>
      </c>
      <c r="AU268" s="43"/>
      <c r="AV268" s="2119">
        <f t="shared" si="147"/>
        <v>0</v>
      </c>
      <c r="AW268" s="119"/>
      <c r="AX268" s="2125">
        <f>+IF(OR(AC268&lt;&gt;0,AD268&lt;&gt;0,AE268&lt;&gt;0,AF268&lt;&gt;0,AG268&lt;&gt;0,AH268&lt;&gt;0),+IF(ABS(AC268+AE268)-ABS(AD268+AF268)&lt;&gt;0,ABS(AC268+AE268)-ABS(AD268+AF268),1),0)</f>
        <v>0</v>
      </c>
      <c r="AY268" s="43"/>
      <c r="AZ268" s="43"/>
      <c r="BA268" s="43"/>
      <c r="BB268" s="43"/>
      <c r="BC268" s="43"/>
      <c r="BD268" s="43"/>
    </row>
    <row r="269" spans="1:56" ht="15.75">
      <c r="A269" s="88">
        <v>4956</v>
      </c>
      <c r="B269" s="378" t="s">
        <v>240</v>
      </c>
      <c r="C269" s="88"/>
      <c r="D269" s="1033"/>
      <c r="E269" s="1033"/>
      <c r="F269" s="1033"/>
      <c r="G269" s="1033"/>
      <c r="H269" s="1033"/>
      <c r="I269" s="1033"/>
      <c r="J269" s="1033"/>
      <c r="K269" s="1033"/>
      <c r="L269" s="574"/>
      <c r="M269" s="51" t="s">
        <v>265</v>
      </c>
      <c r="N269" s="113">
        <f t="shared" si="152"/>
        <v>4956</v>
      </c>
      <c r="O269" s="575">
        <v>0</v>
      </c>
      <c r="P269" s="576"/>
      <c r="Q269" s="325"/>
      <c r="R269" s="324"/>
      <c r="S269" s="579">
        <v>0</v>
      </c>
      <c r="T269" s="580">
        <f>+IF(ABS(+O269+Q269)&lt;=ABS(P269+R269),-O269+P269-Q269+R269,0)</f>
        <v>0</v>
      </c>
      <c r="U269" s="51"/>
      <c r="V269" s="541">
        <f>+'NF-KSF-TRIAL-BAL-2020'!O269+'RA-TRIAL-BAL-2020'!O269+'DES-TRIAL-BAL-2020'!O269+'DMP-TRIAL-BAL-2020'!O269</f>
        <v>0</v>
      </c>
      <c r="W269" s="529">
        <f>+'NF-KSF-TRIAL-BAL-2020'!P269+'RA-TRIAL-BAL-2020'!P269+'DES-TRIAL-BAL-2020'!P269+'DMP-TRIAL-BAL-2020'!P269</f>
        <v>0</v>
      </c>
      <c r="X269" s="587">
        <f>+'NF-KSF-TRIAL-BAL-2020'!Q269+'RA-TRIAL-BAL-2020'!Q269+'DES-TRIAL-BAL-2020'!Q269+'DMP-TRIAL-BAL-2020'!Q269</f>
        <v>0</v>
      </c>
      <c r="Y269" s="586">
        <f>+'NF-KSF-TRIAL-BAL-2020'!R269+'RA-TRIAL-BAL-2020'!R269+'DES-TRIAL-BAL-2020'!R269+'DMP-TRIAL-BAL-2020'!R269</f>
        <v>0</v>
      </c>
      <c r="Z269" s="587">
        <f>+'NF-KSF-TRIAL-BAL-2020'!S269+'RA-TRIAL-BAL-2020'!S269+'DES-TRIAL-BAL-2020'!S269+'DMP-TRIAL-BAL-2020'!S269</f>
        <v>0</v>
      </c>
      <c r="AA269" s="588">
        <f>+'NF-KSF-TRIAL-BAL-2020'!T269+'RA-TRIAL-BAL-2020'!T269+'DES-TRIAL-BAL-2020'!T269+'DMP-TRIAL-BAL-2020'!T269</f>
        <v>0</v>
      </c>
      <c r="AB269" s="51"/>
      <c r="AC269" s="575">
        <v>0</v>
      </c>
      <c r="AD269" s="582">
        <v>0</v>
      </c>
      <c r="AE269" s="579">
        <v>0</v>
      </c>
      <c r="AF269" s="582">
        <v>0</v>
      </c>
      <c r="AG269" s="579">
        <v>0</v>
      </c>
      <c r="AH269" s="580">
        <f>+IF(ABS(+AC269+AE269)&lt;=ABS(AD269+AF269),-AC269+AD269-AE269+AF269,0)</f>
        <v>0</v>
      </c>
      <c r="AI269" s="51"/>
      <c r="AJ269" s="1497">
        <f>+N269</f>
        <v>4956</v>
      </c>
      <c r="AK269" s="951">
        <f t="shared" si="155"/>
        <v>0</v>
      </c>
      <c r="AL269" s="970">
        <f t="shared" si="155"/>
        <v>0</v>
      </c>
      <c r="AM269" s="326">
        <f t="shared" si="155"/>
        <v>0</v>
      </c>
      <c r="AN269" s="970">
        <f t="shared" si="155"/>
        <v>0</v>
      </c>
      <c r="AO269" s="326">
        <f t="shared" si="154"/>
        <v>0</v>
      </c>
      <c r="AP269" s="28">
        <f t="shared" si="146"/>
        <v>0</v>
      </c>
      <c r="AQ269" s="43"/>
      <c r="AR269" s="358">
        <f>+ROUND(+SUM(AK269-AL269)-SUM(O269-P269)-SUM(V269-W269)-SUM(AC269-AD269),2)</f>
        <v>0</v>
      </c>
      <c r="AS269" s="359">
        <f>+ROUND(+SUM(AM269-AN269)-SUM(Q269-R269)-SUM(X269-Y269)-SUM(AE269-AF269),2)</f>
        <v>0</v>
      </c>
      <c r="AT269" s="360">
        <f>+ROUND(+SUM(AO269-AP269)-SUM(S269-T269)-SUM(Z269-AA269)-SUM(AG269-AH269),2)</f>
        <v>0</v>
      </c>
      <c r="AU269" s="43"/>
      <c r="AV269" s="2119">
        <f t="shared" si="147"/>
        <v>0</v>
      </c>
      <c r="AW269" s="119"/>
      <c r="AX269" s="2125">
        <f>+IF(OR(AC269&lt;&gt;0,AD269&lt;&gt;0,AE269&lt;&gt;0,AF269&lt;&gt;0,AG269&lt;&gt;0,AH269&lt;&gt;0),+IF(ABS(AC269+AE269)-ABS(AD269+AF269)&lt;&gt;0,ABS(AC269+AE269)-ABS(AD269+AF269),1),0)</f>
        <v>0</v>
      </c>
      <c r="AY269" s="43"/>
      <c r="AZ269" s="43"/>
      <c r="BA269" s="43"/>
      <c r="BB269" s="43"/>
      <c r="BC269" s="43"/>
      <c r="BD269" s="43"/>
    </row>
    <row r="270" spans="1:56" ht="15.75">
      <c r="A270" s="88">
        <v>4957</v>
      </c>
      <c r="B270" s="378" t="s">
        <v>237</v>
      </c>
      <c r="C270" s="88"/>
      <c r="D270" s="1033"/>
      <c r="E270" s="1033"/>
      <c r="F270" s="1033"/>
      <c r="G270" s="1033"/>
      <c r="H270" s="1033"/>
      <c r="I270" s="1033"/>
      <c r="J270" s="1033"/>
      <c r="K270" s="1033"/>
      <c r="L270" s="574"/>
      <c r="M270" s="51" t="s">
        <v>265</v>
      </c>
      <c r="N270" s="113">
        <f t="shared" si="152"/>
        <v>4957</v>
      </c>
      <c r="O270" s="575">
        <v>0</v>
      </c>
      <c r="P270" s="576"/>
      <c r="Q270" s="325"/>
      <c r="R270" s="324"/>
      <c r="S270" s="579">
        <v>0</v>
      </c>
      <c r="T270" s="580">
        <f>+IF(ABS(+O270+Q270)&lt;=ABS(P270+R270),-O270+P270-Q270+R270,0)</f>
        <v>0</v>
      </c>
      <c r="U270" s="51"/>
      <c r="V270" s="541">
        <f>+'NF-KSF-TRIAL-BAL-2020'!O270+'RA-TRIAL-BAL-2020'!O270+'DES-TRIAL-BAL-2020'!O270+'DMP-TRIAL-BAL-2020'!O270</f>
        <v>0</v>
      </c>
      <c r="W270" s="529">
        <f>+'NF-KSF-TRIAL-BAL-2020'!P270+'RA-TRIAL-BAL-2020'!P270+'DES-TRIAL-BAL-2020'!P270+'DMP-TRIAL-BAL-2020'!P270</f>
        <v>0</v>
      </c>
      <c r="X270" s="587">
        <f>+'NF-KSF-TRIAL-BAL-2020'!Q270+'RA-TRIAL-BAL-2020'!Q270+'DES-TRIAL-BAL-2020'!Q270+'DMP-TRIAL-BAL-2020'!Q270</f>
        <v>0</v>
      </c>
      <c r="Y270" s="586">
        <f>+'NF-KSF-TRIAL-BAL-2020'!R270+'RA-TRIAL-BAL-2020'!R270+'DES-TRIAL-BAL-2020'!R270+'DMP-TRIAL-BAL-2020'!R270</f>
        <v>0</v>
      </c>
      <c r="Z270" s="587">
        <f>+'NF-KSF-TRIAL-BAL-2020'!S270+'RA-TRIAL-BAL-2020'!S270+'DES-TRIAL-BAL-2020'!S270+'DMP-TRIAL-BAL-2020'!S270</f>
        <v>0</v>
      </c>
      <c r="AA270" s="588">
        <f>+'NF-KSF-TRIAL-BAL-2020'!T270+'RA-TRIAL-BAL-2020'!T270+'DES-TRIAL-BAL-2020'!T270+'DMP-TRIAL-BAL-2020'!T270</f>
        <v>0</v>
      </c>
      <c r="AB270" s="51"/>
      <c r="AC270" s="575">
        <v>0</v>
      </c>
      <c r="AD270" s="582">
        <v>0</v>
      </c>
      <c r="AE270" s="579">
        <v>0</v>
      </c>
      <c r="AF270" s="582">
        <v>0</v>
      </c>
      <c r="AG270" s="579">
        <v>0</v>
      </c>
      <c r="AH270" s="580">
        <f>+IF(ABS(+AC270+AE270)&lt;=ABS(AD270+AF270),-AC270+AD270-AE270+AF270,0)</f>
        <v>0</v>
      </c>
      <c r="AI270" s="51"/>
      <c r="AJ270" s="1497">
        <f>+N270</f>
        <v>4957</v>
      </c>
      <c r="AK270" s="951">
        <f t="shared" si="155"/>
        <v>0</v>
      </c>
      <c r="AL270" s="970">
        <f t="shared" si="155"/>
        <v>0</v>
      </c>
      <c r="AM270" s="326">
        <f t="shared" si="155"/>
        <v>0</v>
      </c>
      <c r="AN270" s="970">
        <f t="shared" si="155"/>
        <v>0</v>
      </c>
      <c r="AO270" s="326">
        <f t="shared" si="154"/>
        <v>0</v>
      </c>
      <c r="AP270" s="28">
        <f t="shared" si="146"/>
        <v>0</v>
      </c>
      <c r="AQ270" s="43"/>
      <c r="AR270" s="358">
        <f>+ROUND(+SUM(AK270-AL270)-SUM(O270-P270)-SUM(V270-W270)-SUM(AC270-AD270),2)</f>
        <v>0</v>
      </c>
      <c r="AS270" s="359">
        <f>+ROUND(+SUM(AM270-AN270)-SUM(Q270-R270)-SUM(X270-Y270)-SUM(AE270-AF270),2)</f>
        <v>0</v>
      </c>
      <c r="AT270" s="360">
        <f>+ROUND(+SUM(AO270-AP270)-SUM(S270-T270)-SUM(Z270-AA270)-SUM(AG270-AH270),2)</f>
        <v>0</v>
      </c>
      <c r="AU270" s="43"/>
      <c r="AV270" s="2119">
        <f t="shared" si="147"/>
        <v>0</v>
      </c>
      <c r="AW270" s="119"/>
      <c r="AX270" s="2125">
        <f>+IF(OR(AC270&lt;&gt;0,AD270&lt;&gt;0,AE270&lt;&gt;0,AF270&lt;&gt;0,AG270&lt;&gt;0,AH270&lt;&gt;0),+IF(ABS(AC270+AE270)-ABS(AD270+AF270)&lt;&gt;0,ABS(AC270+AE270)-ABS(AD270+AF270),1),0)</f>
        <v>0</v>
      </c>
      <c r="AY270" s="43"/>
      <c r="AZ270" s="43"/>
      <c r="BA270" s="43"/>
      <c r="BB270" s="43"/>
      <c r="BC270" s="43"/>
      <c r="BD270" s="43"/>
    </row>
    <row r="271" spans="1:56" ht="15.75" customHeight="1">
      <c r="A271" s="88">
        <v>4960</v>
      </c>
      <c r="B271" s="378" t="s">
        <v>241</v>
      </c>
      <c r="C271" s="88"/>
      <c r="D271" s="1038"/>
      <c r="E271" s="1038"/>
      <c r="F271" s="1038"/>
      <c r="G271" s="1038"/>
      <c r="H271" s="1038"/>
      <c r="I271" s="1038"/>
      <c r="J271" s="1038"/>
      <c r="K271" s="1038"/>
      <c r="L271" s="590"/>
      <c r="M271" s="51" t="s">
        <v>265</v>
      </c>
      <c r="N271" s="113">
        <f t="shared" si="152"/>
        <v>4960</v>
      </c>
      <c r="O271" s="581"/>
      <c r="P271" s="576"/>
      <c r="Q271" s="325"/>
      <c r="R271" s="324"/>
      <c r="S271" s="583">
        <f t="shared" ref="S271:S283" si="156">+IF(ABS(+O271+Q271)&gt;=ABS(P271+R271),+O271-P271+Q271-R271,0)</f>
        <v>0</v>
      </c>
      <c r="T271" s="580">
        <f>+IF(ABS(+O271+Q271)&lt;=ABS(P271+R271),-O271+P271-Q271+R271,0)</f>
        <v>0</v>
      </c>
      <c r="U271" s="51"/>
      <c r="V271" s="541">
        <f>+'NF-KSF-TRIAL-BAL-2020'!O271+'RA-TRIAL-BAL-2020'!O271+'DES-TRIAL-BAL-2020'!O271+'DMP-TRIAL-BAL-2020'!O271</f>
        <v>0</v>
      </c>
      <c r="W271" s="529">
        <f>+'NF-KSF-TRIAL-BAL-2020'!P271+'RA-TRIAL-BAL-2020'!P271+'DES-TRIAL-BAL-2020'!P271+'DMP-TRIAL-BAL-2020'!P271</f>
        <v>0</v>
      </c>
      <c r="X271" s="587">
        <f>+'NF-KSF-TRIAL-BAL-2020'!Q271+'RA-TRIAL-BAL-2020'!Q271+'DES-TRIAL-BAL-2020'!Q271+'DMP-TRIAL-BAL-2020'!Q271</f>
        <v>0</v>
      </c>
      <c r="Y271" s="586">
        <f>+'NF-KSF-TRIAL-BAL-2020'!R271+'RA-TRIAL-BAL-2020'!R271+'DES-TRIAL-BAL-2020'!R271+'DMP-TRIAL-BAL-2020'!R271</f>
        <v>0</v>
      </c>
      <c r="Z271" s="587">
        <f>+'NF-KSF-TRIAL-BAL-2020'!S271+'RA-TRIAL-BAL-2020'!S271+'DES-TRIAL-BAL-2020'!S271+'DMP-TRIAL-BAL-2020'!S271</f>
        <v>0</v>
      </c>
      <c r="AA271" s="588">
        <f>+'NF-KSF-TRIAL-BAL-2020'!T271+'RA-TRIAL-BAL-2020'!T271+'DES-TRIAL-BAL-2020'!T271+'DMP-TRIAL-BAL-2020'!T271</f>
        <v>0</v>
      </c>
      <c r="AB271" s="51"/>
      <c r="AC271" s="581"/>
      <c r="AD271" s="576"/>
      <c r="AE271" s="122"/>
      <c r="AF271" s="121"/>
      <c r="AG271" s="583">
        <f t="shared" ref="AG271:AG283" si="157">+IF(ABS(+AC271+AE271)&gt;=ABS(AD271+AF271),+AC271-AD271+AE271-AF271,0)</f>
        <v>0</v>
      </c>
      <c r="AH271" s="580">
        <f>+IF(ABS(+AC271+AE271)&lt;=ABS(AD271+AF271),-AC271+AD271-AE271+AF271,0)</f>
        <v>0</v>
      </c>
      <c r="AI271" s="51"/>
      <c r="AJ271" s="1497">
        <f>+N271</f>
        <v>4960</v>
      </c>
      <c r="AK271" s="951">
        <f t="shared" ref="AK271:AK283" si="158">+ROUND(+O271+V271+AC271,2)</f>
        <v>0</v>
      </c>
      <c r="AL271" s="970">
        <f t="shared" si="155"/>
        <v>0</v>
      </c>
      <c r="AM271" s="326">
        <f t="shared" si="155"/>
        <v>0</v>
      </c>
      <c r="AN271" s="970">
        <f t="shared" si="155"/>
        <v>0</v>
      </c>
      <c r="AO271" s="326">
        <f t="shared" si="154"/>
        <v>0</v>
      </c>
      <c r="AP271" s="28">
        <f t="shared" si="146"/>
        <v>0</v>
      </c>
      <c r="AQ271" s="43"/>
      <c r="AR271" s="358">
        <f>+ROUND(+SUM(AK271-AL271)-SUM(O271-P271)-SUM(V271-W271)-SUM(AC271-AD271),2)</f>
        <v>0</v>
      </c>
      <c r="AS271" s="359">
        <f>+ROUND(+SUM(AM271-AN271)-SUM(Q271-R271)-SUM(X271-Y271)-SUM(AE271-AF271),2)</f>
        <v>0</v>
      </c>
      <c r="AT271" s="360">
        <f>+ROUND(+SUM(AO271-AP271)-SUM(S271-T271)-SUM(Z271-AA271)-SUM(AG271-AH271),2)</f>
        <v>0</v>
      </c>
      <c r="AU271" s="43"/>
      <c r="AV271" s="43"/>
      <c r="AW271" s="119"/>
      <c r="AX271" s="119"/>
      <c r="AY271" s="43"/>
      <c r="AZ271" s="43"/>
      <c r="BA271" s="43"/>
      <c r="BB271" s="43"/>
      <c r="BC271" s="43"/>
      <c r="BD271" s="43"/>
    </row>
    <row r="272" spans="1:56" ht="15.75">
      <c r="A272" s="88">
        <v>4961</v>
      </c>
      <c r="B272" s="378" t="s">
        <v>242</v>
      </c>
      <c r="C272" s="88"/>
      <c r="D272" s="1033"/>
      <c r="E272" s="1033"/>
      <c r="F272" s="1033"/>
      <c r="G272" s="1033"/>
      <c r="H272" s="1033"/>
      <c r="I272" s="1033"/>
      <c r="J272" s="1033"/>
      <c r="K272" s="1033"/>
      <c r="L272" s="574"/>
      <c r="M272" s="51" t="s">
        <v>265</v>
      </c>
      <c r="N272" s="113">
        <f t="shared" si="152"/>
        <v>4961</v>
      </c>
      <c r="O272" s="581">
        <v>0</v>
      </c>
      <c r="P272" s="576">
        <v>0</v>
      </c>
      <c r="Q272" s="325">
        <v>0</v>
      </c>
      <c r="R272" s="324">
        <v>0</v>
      </c>
      <c r="S272" s="583">
        <f t="shared" si="156"/>
        <v>0</v>
      </c>
      <c r="T272" s="580">
        <f t="shared" si="149"/>
        <v>0</v>
      </c>
      <c r="U272" s="51"/>
      <c r="V272" s="541">
        <f>+'NF-KSF-TRIAL-BAL-2020'!O272+'RA-TRIAL-BAL-2020'!O272+'DES-TRIAL-BAL-2020'!O272+'DMP-TRIAL-BAL-2020'!O272</f>
        <v>0</v>
      </c>
      <c r="W272" s="529">
        <f>+'NF-KSF-TRIAL-BAL-2020'!P272+'RA-TRIAL-BAL-2020'!P272+'DES-TRIAL-BAL-2020'!P272+'DMP-TRIAL-BAL-2020'!P272</f>
        <v>0</v>
      </c>
      <c r="X272" s="587">
        <f>+'NF-KSF-TRIAL-BAL-2020'!Q272+'RA-TRIAL-BAL-2020'!Q272+'DES-TRIAL-BAL-2020'!Q272+'DMP-TRIAL-BAL-2020'!Q272</f>
        <v>0</v>
      </c>
      <c r="Y272" s="586">
        <f>+'NF-KSF-TRIAL-BAL-2020'!R272+'RA-TRIAL-BAL-2020'!R272+'DES-TRIAL-BAL-2020'!R272+'DMP-TRIAL-BAL-2020'!R272</f>
        <v>0</v>
      </c>
      <c r="Z272" s="587">
        <f>+'NF-KSF-TRIAL-BAL-2020'!S272+'RA-TRIAL-BAL-2020'!S272+'DES-TRIAL-BAL-2020'!S272+'DMP-TRIAL-BAL-2020'!S272</f>
        <v>0</v>
      </c>
      <c r="AA272" s="588">
        <f>+'NF-KSF-TRIAL-BAL-2020'!T272+'RA-TRIAL-BAL-2020'!T272+'DES-TRIAL-BAL-2020'!T272+'DMP-TRIAL-BAL-2020'!T272</f>
        <v>0</v>
      </c>
      <c r="AB272" s="51"/>
      <c r="AC272" s="581">
        <v>0</v>
      </c>
      <c r="AD272" s="576">
        <v>0</v>
      </c>
      <c r="AE272" s="325">
        <v>0</v>
      </c>
      <c r="AF272" s="324">
        <v>0</v>
      </c>
      <c r="AG272" s="583">
        <f t="shared" si="157"/>
        <v>0</v>
      </c>
      <c r="AH272" s="580">
        <f t="shared" si="150"/>
        <v>0</v>
      </c>
      <c r="AI272" s="51"/>
      <c r="AJ272" s="1497">
        <f t="shared" si="124"/>
        <v>4961</v>
      </c>
      <c r="AK272" s="951">
        <f t="shared" si="158"/>
        <v>0</v>
      </c>
      <c r="AL272" s="970">
        <f t="shared" ref="AL272:AL282" si="159">+ROUND(+P272+W272+AD272,2)</f>
        <v>0</v>
      </c>
      <c r="AM272" s="326">
        <f t="shared" ref="AM272:AM282" si="160">+ROUND(+Q272+X272+AE272,2)</f>
        <v>0</v>
      </c>
      <c r="AN272" s="970">
        <f t="shared" ref="AN272:AN282" si="161">+ROUND(+R272+Y272+AF272,2)</f>
        <v>0</v>
      </c>
      <c r="AO272" s="326">
        <f t="shared" si="154"/>
        <v>0</v>
      </c>
      <c r="AP272" s="28">
        <f t="shared" si="146"/>
        <v>0</v>
      </c>
      <c r="AQ272" s="43"/>
      <c r="AR272" s="358">
        <f t="shared" si="109"/>
        <v>0</v>
      </c>
      <c r="AS272" s="359">
        <f t="shared" si="110"/>
        <v>0</v>
      </c>
      <c r="AT272" s="360">
        <f t="shared" si="111"/>
        <v>0</v>
      </c>
      <c r="AU272" s="43"/>
      <c r="AV272" s="43"/>
      <c r="AW272" s="119"/>
      <c r="AX272" s="119"/>
      <c r="AY272" s="43"/>
      <c r="AZ272" s="43"/>
      <c r="BA272" s="43"/>
      <c r="BB272" s="43"/>
      <c r="BC272" s="43"/>
      <c r="BD272" s="43"/>
    </row>
    <row r="273" spans="1:56" ht="15.75">
      <c r="A273" s="88">
        <v>4962</v>
      </c>
      <c r="B273" s="378" t="s">
        <v>243</v>
      </c>
      <c r="C273" s="88"/>
      <c r="D273" s="1033"/>
      <c r="E273" s="1033"/>
      <c r="F273" s="1033"/>
      <c r="G273" s="1033"/>
      <c r="H273" s="1033"/>
      <c r="I273" s="1033"/>
      <c r="J273" s="1033"/>
      <c r="K273" s="1033"/>
      <c r="L273" s="574"/>
      <c r="M273" s="51" t="s">
        <v>265</v>
      </c>
      <c r="N273" s="113">
        <f t="shared" si="152"/>
        <v>4962</v>
      </c>
      <c r="O273" s="581"/>
      <c r="P273" s="576"/>
      <c r="Q273" s="325"/>
      <c r="R273" s="324"/>
      <c r="S273" s="583">
        <f t="shared" si="156"/>
        <v>0</v>
      </c>
      <c r="T273" s="580">
        <f t="shared" si="149"/>
        <v>0</v>
      </c>
      <c r="U273" s="51"/>
      <c r="V273" s="541">
        <f>+'NF-KSF-TRIAL-BAL-2020'!O273+'RA-TRIAL-BAL-2020'!O273+'DES-TRIAL-BAL-2020'!O273+'DMP-TRIAL-BAL-2020'!O273</f>
        <v>0</v>
      </c>
      <c r="W273" s="529">
        <f>+'NF-KSF-TRIAL-BAL-2020'!P273+'RA-TRIAL-BAL-2020'!P273+'DES-TRIAL-BAL-2020'!P273+'DMP-TRIAL-BAL-2020'!P273</f>
        <v>0</v>
      </c>
      <c r="X273" s="587">
        <f>+'NF-KSF-TRIAL-BAL-2020'!Q273+'RA-TRIAL-BAL-2020'!Q273+'DES-TRIAL-BAL-2020'!Q273+'DMP-TRIAL-BAL-2020'!Q273</f>
        <v>0</v>
      </c>
      <c r="Y273" s="586">
        <f>+'NF-KSF-TRIAL-BAL-2020'!R273+'RA-TRIAL-BAL-2020'!R273+'DES-TRIAL-BAL-2020'!R273+'DMP-TRIAL-BAL-2020'!R273</f>
        <v>0</v>
      </c>
      <c r="Z273" s="587">
        <f>+'NF-KSF-TRIAL-BAL-2020'!S273+'RA-TRIAL-BAL-2020'!S273+'DES-TRIAL-BAL-2020'!S273+'DMP-TRIAL-BAL-2020'!S273</f>
        <v>0</v>
      </c>
      <c r="AA273" s="588">
        <f>+'NF-KSF-TRIAL-BAL-2020'!T273+'RA-TRIAL-BAL-2020'!T273+'DES-TRIAL-BAL-2020'!T273+'DMP-TRIAL-BAL-2020'!T273</f>
        <v>0</v>
      </c>
      <c r="AB273" s="51"/>
      <c r="AC273" s="581"/>
      <c r="AD273" s="576"/>
      <c r="AE273" s="325"/>
      <c r="AF273" s="324"/>
      <c r="AG273" s="583">
        <f t="shared" si="157"/>
        <v>0</v>
      </c>
      <c r="AH273" s="580">
        <f t="shared" si="150"/>
        <v>0</v>
      </c>
      <c r="AI273" s="51"/>
      <c r="AJ273" s="1497">
        <f t="shared" si="124"/>
        <v>4962</v>
      </c>
      <c r="AK273" s="951">
        <f t="shared" si="158"/>
        <v>0</v>
      </c>
      <c r="AL273" s="970">
        <f t="shared" si="159"/>
        <v>0</v>
      </c>
      <c r="AM273" s="326">
        <f t="shared" si="160"/>
        <v>0</v>
      </c>
      <c r="AN273" s="970">
        <f t="shared" si="161"/>
        <v>0</v>
      </c>
      <c r="AO273" s="326">
        <f t="shared" si="154"/>
        <v>0</v>
      </c>
      <c r="AP273" s="28">
        <f t="shared" si="146"/>
        <v>0</v>
      </c>
      <c r="AQ273" s="43"/>
      <c r="AR273" s="358">
        <f t="shared" si="109"/>
        <v>0</v>
      </c>
      <c r="AS273" s="359">
        <f t="shared" si="110"/>
        <v>0</v>
      </c>
      <c r="AT273" s="360">
        <f t="shared" si="111"/>
        <v>0</v>
      </c>
      <c r="AU273" s="43"/>
      <c r="AV273" s="43"/>
      <c r="AW273" s="119"/>
      <c r="AX273" s="119"/>
      <c r="AY273" s="43"/>
      <c r="AZ273" s="43"/>
      <c r="BA273" s="43"/>
      <c r="BB273" s="43"/>
      <c r="BC273" s="43"/>
      <c r="BD273" s="43"/>
    </row>
    <row r="274" spans="1:56" ht="15.75" customHeight="1">
      <c r="A274" s="88">
        <v>4970</v>
      </c>
      <c r="B274" s="378" t="s">
        <v>244</v>
      </c>
      <c r="C274" s="88"/>
      <c r="D274" s="1038"/>
      <c r="E274" s="1038"/>
      <c r="F274" s="1038"/>
      <c r="G274" s="1038"/>
      <c r="H274" s="1038"/>
      <c r="I274" s="1038"/>
      <c r="J274" s="1038"/>
      <c r="K274" s="1038"/>
      <c r="L274" s="590"/>
      <c r="M274" s="51" t="s">
        <v>265</v>
      </c>
      <c r="N274" s="113">
        <f t="shared" si="152"/>
        <v>4970</v>
      </c>
      <c r="O274" s="581"/>
      <c r="P274" s="576"/>
      <c r="Q274" s="325"/>
      <c r="R274" s="324"/>
      <c r="S274" s="583">
        <f t="shared" si="156"/>
        <v>0</v>
      </c>
      <c r="T274" s="580">
        <f t="shared" si="149"/>
        <v>0</v>
      </c>
      <c r="U274" s="51"/>
      <c r="V274" s="541">
        <f>+'NF-KSF-TRIAL-BAL-2020'!O274+'RA-TRIAL-BAL-2020'!O274+'DES-TRIAL-BAL-2020'!O274+'DMP-TRIAL-BAL-2020'!O274</f>
        <v>0</v>
      </c>
      <c r="W274" s="529">
        <f>+'NF-KSF-TRIAL-BAL-2020'!P274+'RA-TRIAL-BAL-2020'!P274+'DES-TRIAL-BAL-2020'!P274+'DMP-TRIAL-BAL-2020'!P274</f>
        <v>0</v>
      </c>
      <c r="X274" s="587">
        <f>+'NF-KSF-TRIAL-BAL-2020'!Q274+'RA-TRIAL-BAL-2020'!Q274+'DES-TRIAL-BAL-2020'!Q274+'DMP-TRIAL-BAL-2020'!Q274</f>
        <v>0</v>
      </c>
      <c r="Y274" s="586">
        <f>+'NF-KSF-TRIAL-BAL-2020'!R274+'RA-TRIAL-BAL-2020'!R274+'DES-TRIAL-BAL-2020'!R274+'DMP-TRIAL-BAL-2020'!R274</f>
        <v>0</v>
      </c>
      <c r="Z274" s="587">
        <f>+'NF-KSF-TRIAL-BAL-2020'!S274+'RA-TRIAL-BAL-2020'!S274+'DES-TRIAL-BAL-2020'!S274+'DMP-TRIAL-BAL-2020'!S274</f>
        <v>0</v>
      </c>
      <c r="AA274" s="588">
        <f>+'NF-KSF-TRIAL-BAL-2020'!T274+'RA-TRIAL-BAL-2020'!T274+'DES-TRIAL-BAL-2020'!T274+'DMP-TRIAL-BAL-2020'!T274</f>
        <v>0</v>
      </c>
      <c r="AB274" s="51"/>
      <c r="AC274" s="581"/>
      <c r="AD274" s="576"/>
      <c r="AE274" s="122"/>
      <c r="AF274" s="121"/>
      <c r="AG274" s="583">
        <f t="shared" si="157"/>
        <v>0</v>
      </c>
      <c r="AH274" s="580">
        <f t="shared" si="150"/>
        <v>0</v>
      </c>
      <c r="AI274" s="51"/>
      <c r="AJ274" s="1497">
        <f t="shared" si="124"/>
        <v>4970</v>
      </c>
      <c r="AK274" s="951">
        <f t="shared" si="158"/>
        <v>0</v>
      </c>
      <c r="AL274" s="970">
        <f t="shared" si="159"/>
        <v>0</v>
      </c>
      <c r="AM274" s="326">
        <f t="shared" si="160"/>
        <v>0</v>
      </c>
      <c r="AN274" s="970">
        <f t="shared" si="161"/>
        <v>0</v>
      </c>
      <c r="AO274" s="326">
        <f t="shared" si="154"/>
        <v>0</v>
      </c>
      <c r="AP274" s="28">
        <f t="shared" si="146"/>
        <v>0</v>
      </c>
      <c r="AQ274" s="43"/>
      <c r="AR274" s="358">
        <f t="shared" si="109"/>
        <v>0</v>
      </c>
      <c r="AS274" s="359">
        <f t="shared" si="110"/>
        <v>0</v>
      </c>
      <c r="AT274" s="360">
        <f t="shared" si="111"/>
        <v>0</v>
      </c>
      <c r="AU274" s="43"/>
      <c r="AV274" s="43"/>
      <c r="AW274" s="119"/>
      <c r="AX274" s="119"/>
      <c r="AY274" s="43"/>
      <c r="AZ274" s="43"/>
      <c r="BA274" s="43"/>
      <c r="BB274" s="43"/>
      <c r="BC274" s="43"/>
      <c r="BD274" s="43"/>
    </row>
    <row r="275" spans="1:56" ht="15.75" customHeight="1">
      <c r="A275" s="88">
        <v>4971</v>
      </c>
      <c r="B275" s="378" t="s">
        <v>245</v>
      </c>
      <c r="C275" s="88"/>
      <c r="D275" s="1038"/>
      <c r="E275" s="1038"/>
      <c r="F275" s="1038"/>
      <c r="G275" s="1038"/>
      <c r="H275" s="1038"/>
      <c r="I275" s="1038"/>
      <c r="J275" s="1038"/>
      <c r="K275" s="1038"/>
      <c r="L275" s="590"/>
      <c r="M275" s="51" t="s">
        <v>265</v>
      </c>
      <c r="N275" s="113">
        <f t="shared" si="152"/>
        <v>4971</v>
      </c>
      <c r="O275" s="581">
        <v>0</v>
      </c>
      <c r="P275" s="576">
        <v>149.04</v>
      </c>
      <c r="Q275" s="325">
        <v>0</v>
      </c>
      <c r="R275" s="324">
        <v>-149.04</v>
      </c>
      <c r="S275" s="583">
        <f t="shared" si="156"/>
        <v>0</v>
      </c>
      <c r="T275" s="580">
        <f t="shared" ref="T275:T282" si="162">+IF(ABS(+O275+Q275)&lt;=ABS(P275+R275),-O275+P275-Q275+R275,0)</f>
        <v>0</v>
      </c>
      <c r="U275" s="51"/>
      <c r="V275" s="541">
        <f>+'NF-KSF-TRIAL-BAL-2020'!O275+'RA-TRIAL-BAL-2020'!O275+'DES-TRIAL-BAL-2020'!O275+'DMP-TRIAL-BAL-2020'!O275</f>
        <v>0</v>
      </c>
      <c r="W275" s="529">
        <f>+'NF-KSF-TRIAL-BAL-2020'!P275+'RA-TRIAL-BAL-2020'!P275+'DES-TRIAL-BAL-2020'!P275+'DMP-TRIAL-BAL-2020'!P275</f>
        <v>0</v>
      </c>
      <c r="X275" s="587">
        <f>+'NF-KSF-TRIAL-BAL-2020'!Q275+'RA-TRIAL-BAL-2020'!Q275+'DES-TRIAL-BAL-2020'!Q275+'DMP-TRIAL-BAL-2020'!Q275</f>
        <v>0</v>
      </c>
      <c r="Y275" s="586">
        <f>+'NF-KSF-TRIAL-BAL-2020'!R275+'RA-TRIAL-BAL-2020'!R275+'DES-TRIAL-BAL-2020'!R275+'DMP-TRIAL-BAL-2020'!R275</f>
        <v>0</v>
      </c>
      <c r="Z275" s="587">
        <f>+'NF-KSF-TRIAL-BAL-2020'!S275+'RA-TRIAL-BAL-2020'!S275+'DES-TRIAL-BAL-2020'!S275+'DMP-TRIAL-BAL-2020'!S275</f>
        <v>0</v>
      </c>
      <c r="AA275" s="588">
        <f>+'NF-KSF-TRIAL-BAL-2020'!T275+'RA-TRIAL-BAL-2020'!T275+'DES-TRIAL-BAL-2020'!T275+'DMP-TRIAL-BAL-2020'!T275</f>
        <v>0</v>
      </c>
      <c r="AB275" s="51"/>
      <c r="AC275" s="581">
        <v>0</v>
      </c>
      <c r="AD275" s="576">
        <v>0</v>
      </c>
      <c r="AE275" s="122">
        <v>0</v>
      </c>
      <c r="AF275" s="121">
        <v>0</v>
      </c>
      <c r="AG275" s="583">
        <f t="shared" si="157"/>
        <v>0</v>
      </c>
      <c r="AH275" s="580">
        <f t="shared" ref="AH275:AH282" si="163">+IF(ABS(+AC275+AE275)&lt;=ABS(AD275+AF275),-AC275+AD275-AE275+AF275,0)</f>
        <v>0</v>
      </c>
      <c r="AI275" s="51"/>
      <c r="AJ275" s="1497">
        <f t="shared" ref="AJ275:AJ284" si="164">+N275</f>
        <v>4971</v>
      </c>
      <c r="AK275" s="951">
        <f t="shared" si="158"/>
        <v>0</v>
      </c>
      <c r="AL275" s="970">
        <f t="shared" si="159"/>
        <v>149.04</v>
      </c>
      <c r="AM275" s="326">
        <f t="shared" si="160"/>
        <v>0</v>
      </c>
      <c r="AN275" s="970">
        <f t="shared" si="161"/>
        <v>-149.04</v>
      </c>
      <c r="AO275" s="326">
        <f t="shared" si="154"/>
        <v>0</v>
      </c>
      <c r="AP275" s="28">
        <f t="shared" si="146"/>
        <v>0</v>
      </c>
      <c r="AQ275" s="43"/>
      <c r="AR275" s="358">
        <f t="shared" ref="AR275:AR284" si="165">+ROUND(+SUM(AK275-AL275)-SUM(O275-P275)-SUM(V275-W275)-SUM(AC275-AD275),2)</f>
        <v>0</v>
      </c>
      <c r="AS275" s="359">
        <f t="shared" ref="AS275:AS284" si="166">+ROUND(+SUM(AM275-AN275)-SUM(Q275-R275)-SUM(X275-Y275)-SUM(AE275-AF275),2)</f>
        <v>0</v>
      </c>
      <c r="AT275" s="360">
        <f t="shared" ref="AT275:AT284" si="167">+ROUND(+SUM(AO275-AP275)-SUM(S275-T275)-SUM(Z275-AA275)-SUM(AG275-AH275),2)</f>
        <v>0</v>
      </c>
      <c r="AU275" s="43"/>
      <c r="AV275" s="43"/>
      <c r="AW275" s="119"/>
      <c r="AX275" s="119"/>
      <c r="AY275" s="43"/>
      <c r="AZ275" s="43"/>
      <c r="BA275" s="43"/>
      <c r="BB275" s="43"/>
      <c r="BC275" s="43"/>
      <c r="BD275" s="43"/>
    </row>
    <row r="276" spans="1:56" ht="15.75" customHeight="1">
      <c r="A276" s="88">
        <v>4972</v>
      </c>
      <c r="B276" s="378" t="s">
        <v>246</v>
      </c>
      <c r="C276" s="88"/>
      <c r="D276" s="1038"/>
      <c r="E276" s="1038"/>
      <c r="F276" s="1038"/>
      <c r="G276" s="1038"/>
      <c r="H276" s="1038"/>
      <c r="I276" s="1038"/>
      <c r="J276" s="1038"/>
      <c r="K276" s="1038"/>
      <c r="L276" s="590"/>
      <c r="M276" s="51" t="s">
        <v>265</v>
      </c>
      <c r="N276" s="113">
        <f t="shared" si="152"/>
        <v>4972</v>
      </c>
      <c r="O276" s="581"/>
      <c r="P276" s="576"/>
      <c r="Q276" s="325"/>
      <c r="R276" s="324"/>
      <c r="S276" s="583">
        <f t="shared" si="156"/>
        <v>0</v>
      </c>
      <c r="T276" s="580">
        <f t="shared" si="162"/>
        <v>0</v>
      </c>
      <c r="U276" s="51"/>
      <c r="V276" s="541">
        <f>+'NF-KSF-TRIAL-BAL-2020'!O276+'RA-TRIAL-BAL-2020'!O276+'DES-TRIAL-BAL-2020'!O276+'DMP-TRIAL-BAL-2020'!O276</f>
        <v>0</v>
      </c>
      <c r="W276" s="529">
        <f>+'NF-KSF-TRIAL-BAL-2020'!P276+'RA-TRIAL-BAL-2020'!P276+'DES-TRIAL-BAL-2020'!P276+'DMP-TRIAL-BAL-2020'!P276</f>
        <v>0</v>
      </c>
      <c r="X276" s="587">
        <f>+'NF-KSF-TRIAL-BAL-2020'!Q276+'RA-TRIAL-BAL-2020'!Q276+'DES-TRIAL-BAL-2020'!Q276+'DMP-TRIAL-BAL-2020'!Q276</f>
        <v>0</v>
      </c>
      <c r="Y276" s="586">
        <f>+'NF-KSF-TRIAL-BAL-2020'!R276+'RA-TRIAL-BAL-2020'!R276+'DES-TRIAL-BAL-2020'!R276+'DMP-TRIAL-BAL-2020'!R276</f>
        <v>0</v>
      </c>
      <c r="Z276" s="587">
        <f>+'NF-KSF-TRIAL-BAL-2020'!S276+'RA-TRIAL-BAL-2020'!S276+'DES-TRIAL-BAL-2020'!S276+'DMP-TRIAL-BAL-2020'!S276</f>
        <v>0</v>
      </c>
      <c r="AA276" s="588">
        <f>+'NF-KSF-TRIAL-BAL-2020'!T276+'RA-TRIAL-BAL-2020'!T276+'DES-TRIAL-BAL-2020'!T276+'DMP-TRIAL-BAL-2020'!T276</f>
        <v>0</v>
      </c>
      <c r="AB276" s="51"/>
      <c r="AC276" s="581"/>
      <c r="AD276" s="576"/>
      <c r="AE276" s="325"/>
      <c r="AF276" s="324"/>
      <c r="AG276" s="583">
        <f t="shared" si="157"/>
        <v>0</v>
      </c>
      <c r="AH276" s="580">
        <f t="shared" si="163"/>
        <v>0</v>
      </c>
      <c r="AI276" s="51"/>
      <c r="AJ276" s="1497">
        <f t="shared" si="164"/>
        <v>4972</v>
      </c>
      <c r="AK276" s="951">
        <f t="shared" si="158"/>
        <v>0</v>
      </c>
      <c r="AL276" s="970">
        <f t="shared" si="159"/>
        <v>0</v>
      </c>
      <c r="AM276" s="326">
        <f t="shared" si="160"/>
        <v>0</v>
      </c>
      <c r="AN276" s="970">
        <f t="shared" si="161"/>
        <v>0</v>
      </c>
      <c r="AO276" s="326">
        <f t="shared" si="154"/>
        <v>0</v>
      </c>
      <c r="AP276" s="28">
        <f t="shared" si="146"/>
        <v>0</v>
      </c>
      <c r="AQ276" s="43"/>
      <c r="AR276" s="358">
        <f t="shared" si="165"/>
        <v>0</v>
      </c>
      <c r="AS276" s="359">
        <f t="shared" si="166"/>
        <v>0</v>
      </c>
      <c r="AT276" s="360">
        <f t="shared" si="167"/>
        <v>0</v>
      </c>
      <c r="AU276" s="43"/>
      <c r="AV276" s="43"/>
      <c r="AW276" s="119"/>
      <c r="AX276" s="119"/>
      <c r="AY276" s="43"/>
      <c r="AZ276" s="43"/>
      <c r="BA276" s="43"/>
      <c r="BB276" s="43"/>
      <c r="BC276" s="43"/>
      <c r="BD276" s="43"/>
    </row>
    <row r="277" spans="1:56" ht="15.75" customHeight="1">
      <c r="A277" s="88">
        <v>4973</v>
      </c>
      <c r="B277" s="378" t="s">
        <v>247</v>
      </c>
      <c r="C277" s="88"/>
      <c r="D277" s="1038"/>
      <c r="E277" s="1038"/>
      <c r="F277" s="1038"/>
      <c r="G277" s="1038"/>
      <c r="H277" s="1038"/>
      <c r="I277" s="1038"/>
      <c r="J277" s="1038"/>
      <c r="K277" s="1038"/>
      <c r="L277" s="590"/>
      <c r="M277" s="51" t="s">
        <v>265</v>
      </c>
      <c r="N277" s="113">
        <f t="shared" si="152"/>
        <v>4973</v>
      </c>
      <c r="O277" s="581"/>
      <c r="P277" s="576"/>
      <c r="Q277" s="325"/>
      <c r="R277" s="324"/>
      <c r="S277" s="583">
        <f t="shared" si="156"/>
        <v>0</v>
      </c>
      <c r="T277" s="580">
        <f t="shared" si="162"/>
        <v>0</v>
      </c>
      <c r="U277" s="51"/>
      <c r="V277" s="541">
        <f>+'NF-KSF-TRIAL-BAL-2020'!O277+'RA-TRIAL-BAL-2020'!O277+'DES-TRIAL-BAL-2020'!O277+'DMP-TRIAL-BAL-2020'!O277</f>
        <v>0</v>
      </c>
      <c r="W277" s="529">
        <f>+'NF-KSF-TRIAL-BAL-2020'!P277+'RA-TRIAL-BAL-2020'!P277+'DES-TRIAL-BAL-2020'!P277+'DMP-TRIAL-BAL-2020'!P277</f>
        <v>0</v>
      </c>
      <c r="X277" s="587">
        <f>+'NF-KSF-TRIAL-BAL-2020'!Q277+'RA-TRIAL-BAL-2020'!Q277+'DES-TRIAL-BAL-2020'!Q277+'DMP-TRIAL-BAL-2020'!Q277</f>
        <v>0</v>
      </c>
      <c r="Y277" s="586">
        <f>+'NF-KSF-TRIAL-BAL-2020'!R277+'RA-TRIAL-BAL-2020'!R277+'DES-TRIAL-BAL-2020'!R277+'DMP-TRIAL-BAL-2020'!R277</f>
        <v>0</v>
      </c>
      <c r="Z277" s="587">
        <f>+'NF-KSF-TRIAL-BAL-2020'!S277+'RA-TRIAL-BAL-2020'!S277+'DES-TRIAL-BAL-2020'!S277+'DMP-TRIAL-BAL-2020'!S277</f>
        <v>0</v>
      </c>
      <c r="AA277" s="588">
        <f>+'NF-KSF-TRIAL-BAL-2020'!T277+'RA-TRIAL-BAL-2020'!T277+'DES-TRIAL-BAL-2020'!T277+'DMP-TRIAL-BAL-2020'!T277</f>
        <v>0</v>
      </c>
      <c r="AB277" s="51"/>
      <c r="AC277" s="581"/>
      <c r="AD277" s="576"/>
      <c r="AE277" s="325"/>
      <c r="AF277" s="324"/>
      <c r="AG277" s="583">
        <f t="shared" si="157"/>
        <v>0</v>
      </c>
      <c r="AH277" s="580">
        <f t="shared" si="163"/>
        <v>0</v>
      </c>
      <c r="AI277" s="51"/>
      <c r="AJ277" s="1497">
        <f t="shared" si="164"/>
        <v>4973</v>
      </c>
      <c r="AK277" s="951">
        <f t="shared" si="158"/>
        <v>0</v>
      </c>
      <c r="AL277" s="970">
        <f t="shared" si="159"/>
        <v>0</v>
      </c>
      <c r="AM277" s="326">
        <f t="shared" si="160"/>
        <v>0</v>
      </c>
      <c r="AN277" s="970">
        <f t="shared" si="161"/>
        <v>0</v>
      </c>
      <c r="AO277" s="326">
        <f t="shared" si="154"/>
        <v>0</v>
      </c>
      <c r="AP277" s="28">
        <f t="shared" si="146"/>
        <v>0</v>
      </c>
      <c r="AQ277" s="43"/>
      <c r="AR277" s="358">
        <f t="shared" si="165"/>
        <v>0</v>
      </c>
      <c r="AS277" s="359">
        <f t="shared" si="166"/>
        <v>0</v>
      </c>
      <c r="AT277" s="360">
        <f t="shared" si="167"/>
        <v>0</v>
      </c>
      <c r="AU277" s="43"/>
      <c r="AV277" s="43"/>
      <c r="AW277" s="119"/>
      <c r="AX277" s="119"/>
      <c r="AY277" s="43"/>
      <c r="AZ277" s="43"/>
      <c r="BA277" s="43"/>
      <c r="BB277" s="43"/>
      <c r="BC277" s="43"/>
      <c r="BD277" s="43"/>
    </row>
    <row r="278" spans="1:56" ht="15.75" customHeight="1">
      <c r="A278" s="88">
        <v>4974</v>
      </c>
      <c r="B278" s="378" t="s">
        <v>248</v>
      </c>
      <c r="C278" s="88"/>
      <c r="D278" s="1038"/>
      <c r="E278" s="1038"/>
      <c r="F278" s="1038"/>
      <c r="G278" s="1038"/>
      <c r="H278" s="1038"/>
      <c r="I278" s="1038"/>
      <c r="J278" s="1038"/>
      <c r="K278" s="1038"/>
      <c r="L278" s="590"/>
      <c r="M278" s="51" t="s">
        <v>265</v>
      </c>
      <c r="N278" s="113">
        <f t="shared" si="152"/>
        <v>4974</v>
      </c>
      <c r="O278" s="581"/>
      <c r="P278" s="576"/>
      <c r="Q278" s="325"/>
      <c r="R278" s="324"/>
      <c r="S278" s="583">
        <f t="shared" si="156"/>
        <v>0</v>
      </c>
      <c r="T278" s="580">
        <f t="shared" si="162"/>
        <v>0</v>
      </c>
      <c r="U278" s="51"/>
      <c r="V278" s="541">
        <f>+'NF-KSF-TRIAL-BAL-2020'!O278+'RA-TRIAL-BAL-2020'!O278+'DES-TRIAL-BAL-2020'!O278+'DMP-TRIAL-BAL-2020'!O278</f>
        <v>0</v>
      </c>
      <c r="W278" s="529">
        <f>+'NF-KSF-TRIAL-BAL-2020'!P278+'RA-TRIAL-BAL-2020'!P278+'DES-TRIAL-BAL-2020'!P278+'DMP-TRIAL-BAL-2020'!P278</f>
        <v>0</v>
      </c>
      <c r="X278" s="587">
        <f>+'NF-KSF-TRIAL-BAL-2020'!Q278+'RA-TRIAL-BAL-2020'!Q278+'DES-TRIAL-BAL-2020'!Q278+'DMP-TRIAL-BAL-2020'!Q278</f>
        <v>0</v>
      </c>
      <c r="Y278" s="586">
        <f>+'NF-KSF-TRIAL-BAL-2020'!R278+'RA-TRIAL-BAL-2020'!R278+'DES-TRIAL-BAL-2020'!R278+'DMP-TRIAL-BAL-2020'!R278</f>
        <v>0</v>
      </c>
      <c r="Z278" s="587">
        <f>+'NF-KSF-TRIAL-BAL-2020'!S278+'RA-TRIAL-BAL-2020'!S278+'DES-TRIAL-BAL-2020'!S278+'DMP-TRIAL-BAL-2020'!S278</f>
        <v>0</v>
      </c>
      <c r="AA278" s="588">
        <f>+'NF-KSF-TRIAL-BAL-2020'!T278+'RA-TRIAL-BAL-2020'!T278+'DES-TRIAL-BAL-2020'!T278+'DMP-TRIAL-BAL-2020'!T278</f>
        <v>0</v>
      </c>
      <c r="AB278" s="51"/>
      <c r="AC278" s="581"/>
      <c r="AD278" s="576"/>
      <c r="AE278" s="122"/>
      <c r="AF278" s="121"/>
      <c r="AG278" s="583">
        <f t="shared" si="157"/>
        <v>0</v>
      </c>
      <c r="AH278" s="580">
        <f t="shared" si="163"/>
        <v>0</v>
      </c>
      <c r="AI278" s="51"/>
      <c r="AJ278" s="1497">
        <f t="shared" si="164"/>
        <v>4974</v>
      </c>
      <c r="AK278" s="951">
        <f t="shared" si="158"/>
        <v>0</v>
      </c>
      <c r="AL278" s="970">
        <f t="shared" si="159"/>
        <v>0</v>
      </c>
      <c r="AM278" s="326">
        <f t="shared" si="160"/>
        <v>0</v>
      </c>
      <c r="AN278" s="970">
        <f t="shared" si="161"/>
        <v>0</v>
      </c>
      <c r="AO278" s="326">
        <f t="shared" si="154"/>
        <v>0</v>
      </c>
      <c r="AP278" s="28">
        <f t="shared" si="146"/>
        <v>0</v>
      </c>
      <c r="AQ278" s="43"/>
      <c r="AR278" s="358">
        <f t="shared" si="165"/>
        <v>0</v>
      </c>
      <c r="AS278" s="359">
        <f t="shared" si="166"/>
        <v>0</v>
      </c>
      <c r="AT278" s="360">
        <f t="shared" si="167"/>
        <v>0</v>
      </c>
      <c r="AU278" s="43"/>
      <c r="AV278" s="43"/>
      <c r="AW278" s="119"/>
      <c r="AX278" s="119"/>
      <c r="AY278" s="43"/>
      <c r="AZ278" s="43"/>
      <c r="BA278" s="43"/>
      <c r="BB278" s="43"/>
      <c r="BC278" s="43"/>
      <c r="BD278" s="43"/>
    </row>
    <row r="279" spans="1:56" ht="15.75" customHeight="1">
      <c r="A279" s="88">
        <v>4975</v>
      </c>
      <c r="B279" s="378" t="s">
        <v>249</v>
      </c>
      <c r="C279" s="88"/>
      <c r="D279" s="1038"/>
      <c r="E279" s="1038"/>
      <c r="F279" s="1038"/>
      <c r="G279" s="1038"/>
      <c r="H279" s="1038"/>
      <c r="I279" s="1038"/>
      <c r="J279" s="1038"/>
      <c r="K279" s="1038"/>
      <c r="L279" s="590"/>
      <c r="M279" s="51" t="s">
        <v>265</v>
      </c>
      <c r="N279" s="113">
        <f t="shared" si="152"/>
        <v>4975</v>
      </c>
      <c r="O279" s="581"/>
      <c r="P279" s="576"/>
      <c r="Q279" s="325"/>
      <c r="R279" s="324"/>
      <c r="S279" s="583">
        <f t="shared" si="156"/>
        <v>0</v>
      </c>
      <c r="T279" s="580">
        <f t="shared" si="162"/>
        <v>0</v>
      </c>
      <c r="U279" s="51"/>
      <c r="V279" s="541">
        <f>+'NF-KSF-TRIAL-BAL-2020'!O279+'RA-TRIAL-BAL-2020'!O279+'DES-TRIAL-BAL-2020'!O279+'DMP-TRIAL-BAL-2020'!O279</f>
        <v>0</v>
      </c>
      <c r="W279" s="529">
        <f>+'NF-KSF-TRIAL-BAL-2020'!P279+'RA-TRIAL-BAL-2020'!P279+'DES-TRIAL-BAL-2020'!P279+'DMP-TRIAL-BAL-2020'!P279</f>
        <v>0</v>
      </c>
      <c r="X279" s="587">
        <f>+'NF-KSF-TRIAL-BAL-2020'!Q279+'RA-TRIAL-BAL-2020'!Q279+'DES-TRIAL-BAL-2020'!Q279+'DMP-TRIAL-BAL-2020'!Q279</f>
        <v>0</v>
      </c>
      <c r="Y279" s="586">
        <f>+'NF-KSF-TRIAL-BAL-2020'!R279+'RA-TRIAL-BAL-2020'!R279+'DES-TRIAL-BAL-2020'!R279+'DMP-TRIAL-BAL-2020'!R279</f>
        <v>0</v>
      </c>
      <c r="Z279" s="587">
        <f>+'NF-KSF-TRIAL-BAL-2020'!S279+'RA-TRIAL-BAL-2020'!S279+'DES-TRIAL-BAL-2020'!S279+'DMP-TRIAL-BAL-2020'!S279</f>
        <v>0</v>
      </c>
      <c r="AA279" s="588">
        <f>+'NF-KSF-TRIAL-BAL-2020'!T279+'RA-TRIAL-BAL-2020'!T279+'DES-TRIAL-BAL-2020'!T279+'DMP-TRIAL-BAL-2020'!T279</f>
        <v>0</v>
      </c>
      <c r="AB279" s="51"/>
      <c r="AC279" s="581"/>
      <c r="AD279" s="576"/>
      <c r="AE279" s="122"/>
      <c r="AF279" s="121"/>
      <c r="AG279" s="583">
        <f t="shared" si="157"/>
        <v>0</v>
      </c>
      <c r="AH279" s="580">
        <f t="shared" si="163"/>
        <v>0</v>
      </c>
      <c r="AI279" s="51"/>
      <c r="AJ279" s="1497">
        <f t="shared" si="164"/>
        <v>4975</v>
      </c>
      <c r="AK279" s="951">
        <f t="shared" si="158"/>
        <v>0</v>
      </c>
      <c r="AL279" s="970">
        <f t="shared" si="159"/>
        <v>0</v>
      </c>
      <c r="AM279" s="326">
        <f t="shared" si="160"/>
        <v>0</v>
      </c>
      <c r="AN279" s="970">
        <f t="shared" si="161"/>
        <v>0</v>
      </c>
      <c r="AO279" s="326">
        <f t="shared" si="154"/>
        <v>0</v>
      </c>
      <c r="AP279" s="28">
        <f t="shared" si="146"/>
        <v>0</v>
      </c>
      <c r="AQ279" s="43"/>
      <c r="AR279" s="358">
        <f t="shared" si="165"/>
        <v>0</v>
      </c>
      <c r="AS279" s="359">
        <f t="shared" si="166"/>
        <v>0</v>
      </c>
      <c r="AT279" s="360">
        <f t="shared" si="167"/>
        <v>0</v>
      </c>
      <c r="AU279" s="43"/>
      <c r="AV279" s="43"/>
      <c r="AW279" s="119"/>
      <c r="AX279" s="119"/>
      <c r="AY279" s="43"/>
      <c r="AZ279" s="43"/>
      <c r="BA279" s="43"/>
      <c r="BB279" s="43"/>
      <c r="BC279" s="43"/>
      <c r="BD279" s="43"/>
    </row>
    <row r="280" spans="1:56" ht="15.75" customHeight="1">
      <c r="A280" s="88">
        <v>4976</v>
      </c>
      <c r="B280" s="378" t="s">
        <v>250</v>
      </c>
      <c r="C280" s="88"/>
      <c r="D280" s="1038"/>
      <c r="E280" s="1038"/>
      <c r="F280" s="1038"/>
      <c r="G280" s="1038"/>
      <c r="H280" s="1038"/>
      <c r="I280" s="1038"/>
      <c r="J280" s="1038"/>
      <c r="K280" s="1038"/>
      <c r="L280" s="590"/>
      <c r="M280" s="51" t="s">
        <v>265</v>
      </c>
      <c r="N280" s="113">
        <f t="shared" si="152"/>
        <v>4976</v>
      </c>
      <c r="O280" s="581"/>
      <c r="P280" s="576"/>
      <c r="Q280" s="325"/>
      <c r="R280" s="324"/>
      <c r="S280" s="583">
        <f t="shared" si="156"/>
        <v>0</v>
      </c>
      <c r="T280" s="580">
        <f t="shared" si="162"/>
        <v>0</v>
      </c>
      <c r="U280" s="51"/>
      <c r="V280" s="541">
        <f>+'NF-KSF-TRIAL-BAL-2020'!O280+'RA-TRIAL-BAL-2020'!O280+'DES-TRIAL-BAL-2020'!O280+'DMP-TRIAL-BAL-2020'!O280</f>
        <v>0</v>
      </c>
      <c r="W280" s="529">
        <f>+'NF-KSF-TRIAL-BAL-2020'!P280+'RA-TRIAL-BAL-2020'!P280+'DES-TRIAL-BAL-2020'!P280+'DMP-TRIAL-BAL-2020'!P280</f>
        <v>0</v>
      </c>
      <c r="X280" s="587">
        <f>+'NF-KSF-TRIAL-BAL-2020'!Q280+'RA-TRIAL-BAL-2020'!Q280+'DES-TRIAL-BAL-2020'!Q280+'DMP-TRIAL-BAL-2020'!Q280</f>
        <v>0</v>
      </c>
      <c r="Y280" s="586">
        <f>+'NF-KSF-TRIAL-BAL-2020'!R280+'RA-TRIAL-BAL-2020'!R280+'DES-TRIAL-BAL-2020'!R280+'DMP-TRIAL-BAL-2020'!R280</f>
        <v>0</v>
      </c>
      <c r="Z280" s="587">
        <f>+'NF-KSF-TRIAL-BAL-2020'!S280+'RA-TRIAL-BAL-2020'!S280+'DES-TRIAL-BAL-2020'!S280+'DMP-TRIAL-BAL-2020'!S280</f>
        <v>0</v>
      </c>
      <c r="AA280" s="588">
        <f>+'NF-KSF-TRIAL-BAL-2020'!T280+'RA-TRIAL-BAL-2020'!T280+'DES-TRIAL-BAL-2020'!T280+'DMP-TRIAL-BAL-2020'!T280</f>
        <v>0</v>
      </c>
      <c r="AB280" s="51"/>
      <c r="AC280" s="581"/>
      <c r="AD280" s="576"/>
      <c r="AE280" s="325"/>
      <c r="AF280" s="324"/>
      <c r="AG280" s="583">
        <f t="shared" si="157"/>
        <v>0</v>
      </c>
      <c r="AH280" s="580">
        <f t="shared" si="163"/>
        <v>0</v>
      </c>
      <c r="AI280" s="51"/>
      <c r="AJ280" s="1497">
        <f t="shared" si="164"/>
        <v>4976</v>
      </c>
      <c r="AK280" s="951">
        <f t="shared" si="158"/>
        <v>0</v>
      </c>
      <c r="AL280" s="970">
        <f t="shared" si="159"/>
        <v>0</v>
      </c>
      <c r="AM280" s="326">
        <f t="shared" si="160"/>
        <v>0</v>
      </c>
      <c r="AN280" s="970">
        <f t="shared" si="161"/>
        <v>0</v>
      </c>
      <c r="AO280" s="326">
        <f t="shared" si="154"/>
        <v>0</v>
      </c>
      <c r="AP280" s="28">
        <f t="shared" si="146"/>
        <v>0</v>
      </c>
      <c r="AQ280" s="43"/>
      <c r="AR280" s="358">
        <f t="shared" si="165"/>
        <v>0</v>
      </c>
      <c r="AS280" s="359">
        <f t="shared" si="166"/>
        <v>0</v>
      </c>
      <c r="AT280" s="360">
        <f t="shared" si="167"/>
        <v>0</v>
      </c>
      <c r="AU280" s="43"/>
      <c r="AV280" s="43"/>
      <c r="AW280" s="119"/>
      <c r="AX280" s="119"/>
      <c r="AY280" s="43"/>
      <c r="AZ280" s="43"/>
      <c r="BA280" s="43"/>
      <c r="BB280" s="43"/>
      <c r="BC280" s="43"/>
      <c r="BD280" s="43"/>
    </row>
    <row r="281" spans="1:56" ht="15.75" customHeight="1">
      <c r="A281" s="88">
        <v>4978</v>
      </c>
      <c r="B281" s="378" t="s">
        <v>251</v>
      </c>
      <c r="C281" s="88"/>
      <c r="D281" s="1038"/>
      <c r="E281" s="1038"/>
      <c r="F281" s="1038"/>
      <c r="G281" s="1038"/>
      <c r="H281" s="1038"/>
      <c r="I281" s="1038"/>
      <c r="J281" s="1038"/>
      <c r="K281" s="1038"/>
      <c r="L281" s="590"/>
      <c r="M281" s="51" t="s">
        <v>265</v>
      </c>
      <c r="N281" s="113">
        <f t="shared" si="152"/>
        <v>4978</v>
      </c>
      <c r="O281" s="581"/>
      <c r="P281" s="576"/>
      <c r="Q281" s="325"/>
      <c r="R281" s="324"/>
      <c r="S281" s="583">
        <f t="shared" si="156"/>
        <v>0</v>
      </c>
      <c r="T281" s="580">
        <f t="shared" si="162"/>
        <v>0</v>
      </c>
      <c r="U281" s="51"/>
      <c r="V281" s="541">
        <f>+'NF-KSF-TRIAL-BAL-2020'!O281+'RA-TRIAL-BAL-2020'!O281+'DES-TRIAL-BAL-2020'!O281+'DMP-TRIAL-BAL-2020'!O281</f>
        <v>0</v>
      </c>
      <c r="W281" s="529">
        <f>+'NF-KSF-TRIAL-BAL-2020'!P281+'RA-TRIAL-BAL-2020'!P281+'DES-TRIAL-BAL-2020'!P281+'DMP-TRIAL-BAL-2020'!P281</f>
        <v>0</v>
      </c>
      <c r="X281" s="587">
        <f>+'NF-KSF-TRIAL-BAL-2020'!Q281+'RA-TRIAL-BAL-2020'!Q281+'DES-TRIAL-BAL-2020'!Q281+'DMP-TRIAL-BAL-2020'!Q281</f>
        <v>0</v>
      </c>
      <c r="Y281" s="586">
        <f>+'NF-KSF-TRIAL-BAL-2020'!R281+'RA-TRIAL-BAL-2020'!R281+'DES-TRIAL-BAL-2020'!R281+'DMP-TRIAL-BAL-2020'!R281</f>
        <v>0</v>
      </c>
      <c r="Z281" s="587">
        <f>+'NF-KSF-TRIAL-BAL-2020'!S281+'RA-TRIAL-BAL-2020'!S281+'DES-TRIAL-BAL-2020'!S281+'DMP-TRIAL-BAL-2020'!S281</f>
        <v>0</v>
      </c>
      <c r="AA281" s="588">
        <f>+'NF-KSF-TRIAL-BAL-2020'!T281+'RA-TRIAL-BAL-2020'!T281+'DES-TRIAL-BAL-2020'!T281+'DMP-TRIAL-BAL-2020'!T281</f>
        <v>0</v>
      </c>
      <c r="AB281" s="51"/>
      <c r="AC281" s="581"/>
      <c r="AD281" s="576"/>
      <c r="AE281" s="325"/>
      <c r="AF281" s="324"/>
      <c r="AG281" s="583">
        <f t="shared" si="157"/>
        <v>0</v>
      </c>
      <c r="AH281" s="580">
        <f t="shared" si="163"/>
        <v>0</v>
      </c>
      <c r="AI281" s="51"/>
      <c r="AJ281" s="1497">
        <f t="shared" si="164"/>
        <v>4978</v>
      </c>
      <c r="AK281" s="951">
        <f t="shared" si="158"/>
        <v>0</v>
      </c>
      <c r="AL281" s="970">
        <f t="shared" si="159"/>
        <v>0</v>
      </c>
      <c r="AM281" s="326">
        <f t="shared" si="160"/>
        <v>0</v>
      </c>
      <c r="AN281" s="970">
        <f t="shared" si="161"/>
        <v>0</v>
      </c>
      <c r="AO281" s="326">
        <f t="shared" si="154"/>
        <v>0</v>
      </c>
      <c r="AP281" s="28">
        <f t="shared" si="146"/>
        <v>0</v>
      </c>
      <c r="AQ281" s="43"/>
      <c r="AR281" s="358">
        <f t="shared" si="165"/>
        <v>0</v>
      </c>
      <c r="AS281" s="359">
        <f t="shared" si="166"/>
        <v>0</v>
      </c>
      <c r="AT281" s="360">
        <f t="shared" si="167"/>
        <v>0</v>
      </c>
      <c r="AU281" s="43"/>
      <c r="AV281" s="43"/>
      <c r="AW281" s="119"/>
      <c r="AX281" s="119"/>
      <c r="AY281" s="43"/>
      <c r="AZ281" s="43"/>
      <c r="BA281" s="43"/>
      <c r="BB281" s="43"/>
      <c r="BC281" s="43"/>
      <c r="BD281" s="43"/>
    </row>
    <row r="282" spans="1:56" ht="15.75" customHeight="1">
      <c r="A282" s="88">
        <v>4979</v>
      </c>
      <c r="B282" s="378" t="s">
        <v>252</v>
      </c>
      <c r="C282" s="88"/>
      <c r="D282" s="1038"/>
      <c r="E282" s="1038"/>
      <c r="F282" s="1038"/>
      <c r="G282" s="1038"/>
      <c r="H282" s="1038"/>
      <c r="I282" s="1038"/>
      <c r="J282" s="1038"/>
      <c r="K282" s="1038"/>
      <c r="L282" s="590"/>
      <c r="M282" s="51" t="s">
        <v>265</v>
      </c>
      <c r="N282" s="113">
        <f t="shared" si="152"/>
        <v>4979</v>
      </c>
      <c r="O282" s="581"/>
      <c r="P282" s="576"/>
      <c r="Q282" s="325"/>
      <c r="R282" s="324"/>
      <c r="S282" s="583">
        <f t="shared" si="156"/>
        <v>0</v>
      </c>
      <c r="T282" s="580">
        <f t="shared" si="162"/>
        <v>0</v>
      </c>
      <c r="U282" s="51"/>
      <c r="V282" s="541">
        <f>+'NF-KSF-TRIAL-BAL-2020'!O282+'RA-TRIAL-BAL-2020'!O282+'DES-TRIAL-BAL-2020'!O282+'DMP-TRIAL-BAL-2020'!O282</f>
        <v>0</v>
      </c>
      <c r="W282" s="529">
        <f>+'NF-KSF-TRIAL-BAL-2020'!P282+'RA-TRIAL-BAL-2020'!P282+'DES-TRIAL-BAL-2020'!P282+'DMP-TRIAL-BAL-2020'!P282</f>
        <v>0</v>
      </c>
      <c r="X282" s="587">
        <f>+'NF-KSF-TRIAL-BAL-2020'!Q282+'RA-TRIAL-BAL-2020'!Q282+'DES-TRIAL-BAL-2020'!Q282+'DMP-TRIAL-BAL-2020'!Q282</f>
        <v>0</v>
      </c>
      <c r="Y282" s="586">
        <f>+'NF-KSF-TRIAL-BAL-2020'!R282+'RA-TRIAL-BAL-2020'!R282+'DES-TRIAL-BAL-2020'!R282+'DMP-TRIAL-BAL-2020'!R282</f>
        <v>0</v>
      </c>
      <c r="Z282" s="587">
        <f>+'NF-KSF-TRIAL-BAL-2020'!S282+'RA-TRIAL-BAL-2020'!S282+'DES-TRIAL-BAL-2020'!S282+'DMP-TRIAL-BAL-2020'!S282</f>
        <v>0</v>
      </c>
      <c r="AA282" s="588">
        <f>+'NF-KSF-TRIAL-BAL-2020'!T282+'RA-TRIAL-BAL-2020'!T282+'DES-TRIAL-BAL-2020'!T282+'DMP-TRIAL-BAL-2020'!T282</f>
        <v>0</v>
      </c>
      <c r="AB282" s="51"/>
      <c r="AC282" s="581"/>
      <c r="AD282" s="576"/>
      <c r="AE282" s="122"/>
      <c r="AF282" s="121"/>
      <c r="AG282" s="583">
        <f t="shared" si="157"/>
        <v>0</v>
      </c>
      <c r="AH282" s="580">
        <f t="shared" si="163"/>
        <v>0</v>
      </c>
      <c r="AI282" s="51"/>
      <c r="AJ282" s="1497">
        <f t="shared" si="164"/>
        <v>4979</v>
      </c>
      <c r="AK282" s="951">
        <f t="shared" si="158"/>
        <v>0</v>
      </c>
      <c r="AL282" s="970">
        <f t="shared" si="159"/>
        <v>0</v>
      </c>
      <c r="AM282" s="326">
        <f t="shared" si="160"/>
        <v>0</v>
      </c>
      <c r="AN282" s="970">
        <f t="shared" si="161"/>
        <v>0</v>
      </c>
      <c r="AO282" s="326">
        <f t="shared" si="154"/>
        <v>0</v>
      </c>
      <c r="AP282" s="28">
        <f t="shared" si="146"/>
        <v>0</v>
      </c>
      <c r="AQ282" s="43"/>
      <c r="AR282" s="358">
        <f t="shared" si="165"/>
        <v>0</v>
      </c>
      <c r="AS282" s="359">
        <f t="shared" si="166"/>
        <v>0</v>
      </c>
      <c r="AT282" s="360">
        <f t="shared" si="167"/>
        <v>0</v>
      </c>
      <c r="AU282" s="43"/>
      <c r="AV282" s="43"/>
      <c r="AW282" s="119"/>
      <c r="AX282" s="119"/>
      <c r="AY282" s="43"/>
      <c r="AZ282" s="43"/>
      <c r="BA282" s="43"/>
      <c r="BB282" s="43"/>
      <c r="BC282" s="43"/>
      <c r="BD282" s="43"/>
    </row>
    <row r="283" spans="1:56" ht="15.75">
      <c r="A283" s="88">
        <v>4980</v>
      </c>
      <c r="B283" s="378" t="s">
        <v>253</v>
      </c>
      <c r="C283" s="88"/>
      <c r="D283" s="1033"/>
      <c r="E283" s="1033"/>
      <c r="F283" s="1033"/>
      <c r="G283" s="1033"/>
      <c r="H283" s="1033"/>
      <c r="I283" s="1033"/>
      <c r="J283" s="1033"/>
      <c r="K283" s="1033"/>
      <c r="L283" s="574"/>
      <c r="M283" s="51" t="s">
        <v>265</v>
      </c>
      <c r="N283" s="113">
        <f t="shared" si="152"/>
        <v>4980</v>
      </c>
      <c r="O283" s="581"/>
      <c r="P283" s="582">
        <v>0</v>
      </c>
      <c r="Q283" s="325"/>
      <c r="R283" s="324"/>
      <c r="S283" s="583">
        <f t="shared" si="156"/>
        <v>0</v>
      </c>
      <c r="T283" s="584">
        <v>0</v>
      </c>
      <c r="U283" s="51"/>
      <c r="V283" s="541">
        <f>+'NF-KSF-TRIAL-BAL-2020'!O283+'RA-TRIAL-BAL-2020'!O283+'DES-TRIAL-BAL-2020'!O283+'DMP-TRIAL-BAL-2020'!O283</f>
        <v>0</v>
      </c>
      <c r="W283" s="529">
        <f>+'NF-KSF-TRIAL-BAL-2020'!P283+'RA-TRIAL-BAL-2020'!P283+'DES-TRIAL-BAL-2020'!P283+'DMP-TRIAL-BAL-2020'!P283</f>
        <v>0</v>
      </c>
      <c r="X283" s="587">
        <f>+'NF-KSF-TRIAL-BAL-2020'!Q283+'RA-TRIAL-BAL-2020'!Q283+'DES-TRIAL-BAL-2020'!Q283+'DMP-TRIAL-BAL-2020'!Q283</f>
        <v>0</v>
      </c>
      <c r="Y283" s="586">
        <f>+'NF-KSF-TRIAL-BAL-2020'!R283+'RA-TRIAL-BAL-2020'!R283+'DES-TRIAL-BAL-2020'!R283+'DMP-TRIAL-BAL-2020'!R283</f>
        <v>0</v>
      </c>
      <c r="Z283" s="587">
        <f>+'NF-KSF-TRIAL-BAL-2020'!S283+'RA-TRIAL-BAL-2020'!S283+'DES-TRIAL-BAL-2020'!S283+'DMP-TRIAL-BAL-2020'!S283</f>
        <v>0</v>
      </c>
      <c r="AA283" s="588">
        <f>+'NF-KSF-TRIAL-BAL-2020'!T283+'RA-TRIAL-BAL-2020'!T283+'DES-TRIAL-BAL-2020'!T283+'DMP-TRIAL-BAL-2020'!T283</f>
        <v>0</v>
      </c>
      <c r="AB283" s="51"/>
      <c r="AC283" s="581"/>
      <c r="AD283" s="582">
        <v>0</v>
      </c>
      <c r="AE283" s="122"/>
      <c r="AF283" s="324"/>
      <c r="AG283" s="583">
        <f t="shared" si="157"/>
        <v>0</v>
      </c>
      <c r="AH283" s="584">
        <v>0</v>
      </c>
      <c r="AI283" s="51"/>
      <c r="AJ283" s="1497">
        <f t="shared" si="164"/>
        <v>4980</v>
      </c>
      <c r="AK283" s="951">
        <f t="shared" si="158"/>
        <v>0</v>
      </c>
      <c r="AL283" s="9">
        <v>0</v>
      </c>
      <c r="AM283" s="326">
        <f>+ROUND(+Q283+X283+AE283,2)</f>
        <v>0</v>
      </c>
      <c r="AN283" s="970">
        <f>+ROUND(+R283+Y283+AF283,2)</f>
        <v>0</v>
      </c>
      <c r="AO283" s="326">
        <f t="shared" si="154"/>
        <v>0</v>
      </c>
      <c r="AP283" s="30">
        <v>0</v>
      </c>
      <c r="AQ283" s="43"/>
      <c r="AR283" s="358">
        <f t="shared" si="165"/>
        <v>0</v>
      </c>
      <c r="AS283" s="359">
        <f t="shared" si="166"/>
        <v>0</v>
      </c>
      <c r="AT283" s="360">
        <f t="shared" si="167"/>
        <v>0</v>
      </c>
      <c r="AU283" s="43"/>
      <c r="AV283" s="2120">
        <f>+IF(OR(ROUND(P283,2)+ROUND(R283,2)&gt;+ROUND(O283,2)+ROUND(Q283,2),+ABS(ROUND(P283,2)+ROUND(R283,2))&gt;+ABS(ROUND(O283,2)+ROUND(Q283,2))),+(ROUND(P283,2)+ROUND(R283,2))-(ROUND(O283,2)+ROUND(Q283,2)),0)</f>
        <v>0</v>
      </c>
      <c r="AW283" s="119"/>
      <c r="AX283" s="2120">
        <f>+IF(OR(ROUND(AD283,2)+ROUND(AF283,2)&gt;+ROUND(AC283,2)+ROUND(AE283,2),+ABS(ROUND(AD283,2)+ROUND(AF283,2))&gt;+ABS(ROUND(AC283,2)+ROUND(AE283,2))),+(ROUND(AD283,2)+ROUND(AF283,2))-(ROUND(AC283,2)+ROUND(AE283,2)),0)</f>
        <v>0</v>
      </c>
      <c r="AY283" s="43"/>
      <c r="AZ283" s="43"/>
      <c r="BA283" s="43"/>
      <c r="BB283" s="43"/>
      <c r="BC283" s="43"/>
      <c r="BD283" s="43"/>
    </row>
    <row r="284" spans="1:56" ht="15.75">
      <c r="A284" s="595">
        <v>4989</v>
      </c>
      <c r="B284" s="1045" t="s">
        <v>254</v>
      </c>
      <c r="C284" s="1033"/>
      <c r="D284" s="1033"/>
      <c r="E284" s="1033"/>
      <c r="F284" s="1033"/>
      <c r="G284" s="1033"/>
      <c r="H284" s="1033"/>
      <c r="I284" s="1033"/>
      <c r="J284" s="1033"/>
      <c r="K284" s="1033"/>
      <c r="L284" s="574"/>
      <c r="M284" s="51" t="s">
        <v>265</v>
      </c>
      <c r="N284" s="113">
        <f t="shared" si="152"/>
        <v>4989</v>
      </c>
      <c r="O284" s="575">
        <v>0</v>
      </c>
      <c r="P284" s="576"/>
      <c r="Q284" s="325"/>
      <c r="R284" s="324"/>
      <c r="S284" s="579">
        <v>0</v>
      </c>
      <c r="T284" s="580">
        <f>+IF(ABS(+O284+Q284)&lt;=ABS(P284+R284),-O284+P284-Q284+R284,0)</f>
        <v>0</v>
      </c>
      <c r="U284" s="51"/>
      <c r="V284" s="541">
        <f>+'NF-KSF-TRIAL-BAL-2020'!O284+'RA-TRIAL-BAL-2020'!O284+'DES-TRIAL-BAL-2020'!O284+'DMP-TRIAL-BAL-2020'!O284</f>
        <v>0</v>
      </c>
      <c r="W284" s="529">
        <f>+'NF-KSF-TRIAL-BAL-2020'!P284+'RA-TRIAL-BAL-2020'!P284+'DES-TRIAL-BAL-2020'!P284+'DMP-TRIAL-BAL-2020'!P284</f>
        <v>0</v>
      </c>
      <c r="X284" s="587">
        <f>+'NF-KSF-TRIAL-BAL-2020'!Q284+'RA-TRIAL-BAL-2020'!Q284+'DES-TRIAL-BAL-2020'!Q284+'DMP-TRIAL-BAL-2020'!Q284</f>
        <v>0</v>
      </c>
      <c r="Y284" s="586">
        <f>+'NF-KSF-TRIAL-BAL-2020'!R284+'RA-TRIAL-BAL-2020'!R284+'DES-TRIAL-BAL-2020'!R284+'DMP-TRIAL-BAL-2020'!R284</f>
        <v>0</v>
      </c>
      <c r="Z284" s="587">
        <f>+'NF-KSF-TRIAL-BAL-2020'!S284+'RA-TRIAL-BAL-2020'!S284+'DES-TRIAL-BAL-2020'!S284+'DMP-TRIAL-BAL-2020'!S284</f>
        <v>0</v>
      </c>
      <c r="AA284" s="588">
        <f>+'NF-KSF-TRIAL-BAL-2020'!T284+'RA-TRIAL-BAL-2020'!T284+'DES-TRIAL-BAL-2020'!T284+'DMP-TRIAL-BAL-2020'!T284</f>
        <v>0</v>
      </c>
      <c r="AB284" s="51"/>
      <c r="AC284" s="575">
        <v>0</v>
      </c>
      <c r="AD284" s="576"/>
      <c r="AE284" s="325"/>
      <c r="AF284" s="324"/>
      <c r="AG284" s="579">
        <v>0</v>
      </c>
      <c r="AH284" s="580">
        <f>+IF(ABS(+AC284+AE284)&lt;=ABS(AD284+AF284),-AC284+AD284-AE284+AF284,0)</f>
        <v>0</v>
      </c>
      <c r="AI284" s="51"/>
      <c r="AJ284" s="1497">
        <f t="shared" si="164"/>
        <v>4989</v>
      </c>
      <c r="AK284" s="8">
        <v>0</v>
      </c>
      <c r="AL284" s="970">
        <f>+ROUND(+P284+W284+AD284,2)</f>
        <v>0</v>
      </c>
      <c r="AM284" s="326">
        <f>+ROUND(+Q284+X284+AE284,2)</f>
        <v>0</v>
      </c>
      <c r="AN284" s="970">
        <f>+ROUND(+R284+Y284+AF284,2)</f>
        <v>0</v>
      </c>
      <c r="AO284" s="29">
        <v>0</v>
      </c>
      <c r="AP284" s="28">
        <f>+T284+AA284+AH284</f>
        <v>0</v>
      </c>
      <c r="AQ284" s="43"/>
      <c r="AR284" s="358">
        <f t="shared" si="165"/>
        <v>0</v>
      </c>
      <c r="AS284" s="359">
        <f t="shared" si="166"/>
        <v>0</v>
      </c>
      <c r="AT284" s="360">
        <f t="shared" si="167"/>
        <v>0</v>
      </c>
      <c r="AU284" s="43"/>
      <c r="AV284" s="2119">
        <f>+IF(OR(+ROUND(O284,2)+ROUND(Q284,2)&gt;ROUND(P284,2)+ROUND(R284,2),+ABS(ROUND(O284,2)+ROUND(Q284,2))&gt;+ABS(ROUND(P284,2)+ROUND(R284,2))),+(ROUND(O284,2)+ROUND(Q284,2))-(ROUND(P284,2)+ROUND(R284,2)),0)</f>
        <v>0</v>
      </c>
      <c r="AW284" s="119"/>
      <c r="AX284" s="2119">
        <f>+IF(OR(+ROUND(AC284,2)+ROUND(AE284,2)&gt;ROUND(AD284,2)+ROUND(AF284,2),+ABS(ROUND(AC284,2)+ROUND(AE284,2))&gt;+ABS(ROUND(AD284,2)+ROUND(AF284,2))),+(ROUND(AC284,2)+ROUND(AE284,2))-(ROUND(AD284,2)+ROUND(AF284,2)),0)</f>
        <v>0</v>
      </c>
      <c r="AY284" s="43"/>
      <c r="AZ284" s="43"/>
      <c r="BA284" s="43"/>
      <c r="BB284" s="43"/>
      <c r="BC284" s="43"/>
      <c r="BD284" s="43"/>
    </row>
    <row r="285" spans="1:56" ht="15.75">
      <c r="A285" s="398" t="s">
        <v>45</v>
      </c>
      <c r="B285" s="399"/>
      <c r="C285" s="399"/>
      <c r="D285" s="399"/>
      <c r="E285" s="399"/>
      <c r="F285" s="399"/>
      <c r="G285" s="399"/>
      <c r="H285" s="399"/>
      <c r="I285" s="399"/>
      <c r="J285" s="399"/>
      <c r="K285" s="399"/>
      <c r="L285" s="381"/>
      <c r="M285" s="51" t="s">
        <v>265</v>
      </c>
      <c r="N285" s="383">
        <v>5</v>
      </c>
      <c r="O285" s="384"/>
      <c r="P285" s="385"/>
      <c r="Q285" s="386"/>
      <c r="R285" s="385"/>
      <c r="S285" s="386"/>
      <c r="T285" s="387"/>
      <c r="U285" s="51"/>
      <c r="V285" s="545"/>
      <c r="W285" s="533"/>
      <c r="X285" s="532"/>
      <c r="Y285" s="533"/>
      <c r="Z285" s="532">
        <f>+'NF-KSF-TRIAL-BAL-2020'!S285+'RA-TRIAL-BAL-2020'!S285+'DES-TRIAL-BAL-2020'!S285+'DMP-TRIAL-BAL-2020'!S285</f>
        <v>0</v>
      </c>
      <c r="AA285" s="534">
        <f>+'NF-KSF-TRIAL-BAL-2020'!T285+'RA-TRIAL-BAL-2020'!T285+'DES-TRIAL-BAL-2020'!T285+'DMP-TRIAL-BAL-2020'!T285</f>
        <v>0</v>
      </c>
      <c r="AB285" s="51"/>
      <c r="AC285" s="384"/>
      <c r="AD285" s="385"/>
      <c r="AE285" s="386"/>
      <c r="AF285" s="385"/>
      <c r="AG285" s="386"/>
      <c r="AH285" s="387"/>
      <c r="AI285" s="51"/>
      <c r="AJ285" s="388">
        <f t="shared" si="124"/>
        <v>5</v>
      </c>
      <c r="AK285" s="384"/>
      <c r="AL285" s="385"/>
      <c r="AM285" s="386"/>
      <c r="AN285" s="385"/>
      <c r="AO285" s="386"/>
      <c r="AP285" s="387"/>
      <c r="AQ285" s="43"/>
      <c r="AR285" s="392"/>
      <c r="AS285" s="393"/>
      <c r="AT285" s="394"/>
      <c r="AU285" s="43"/>
      <c r="AV285" s="43"/>
      <c r="AW285" s="119"/>
      <c r="AX285" s="119"/>
      <c r="AY285" s="43"/>
      <c r="AZ285" s="43"/>
      <c r="BA285" s="43"/>
      <c r="BB285" s="43"/>
      <c r="BC285" s="43"/>
      <c r="BD285" s="43"/>
    </row>
    <row r="286" spans="1:56" ht="15.75">
      <c r="A286" s="2272">
        <v>5000</v>
      </c>
      <c r="B286" s="2273" t="s">
        <v>799</v>
      </c>
      <c r="C286" s="2273"/>
      <c r="D286" s="2273"/>
      <c r="E286" s="2273"/>
      <c r="F286" s="2273"/>
      <c r="G286" s="2273"/>
      <c r="H286" s="2273"/>
      <c r="I286" s="2273"/>
      <c r="J286" s="2273"/>
      <c r="K286" s="2273"/>
      <c r="L286" s="2274"/>
      <c r="M286" s="51" t="s">
        <v>265</v>
      </c>
      <c r="N286" s="2284">
        <f t="shared" ref="N286:N355" si="168">+A286</f>
        <v>5000</v>
      </c>
      <c r="O286" s="2278"/>
      <c r="P286" s="2279">
        <v>0</v>
      </c>
      <c r="Q286" s="2280"/>
      <c r="R286" s="2281"/>
      <c r="S286" s="2280">
        <f>+IF($C$8=9900,+IF(ABS(+O286+Q286)&gt;=ABS(P286+R286),+O286-P286+Q286-R286,0),0)</f>
        <v>0</v>
      </c>
      <c r="T286" s="2282">
        <v>0</v>
      </c>
      <c r="U286" s="51"/>
      <c r="V286" s="547">
        <f>+'NF-KSF-TRIAL-BAL-2020'!O286+'RA-TRIAL-BAL-2020'!O286+'DES-TRIAL-BAL-2020'!O286+'DMP-TRIAL-BAL-2020'!O286</f>
        <v>0</v>
      </c>
      <c r="W286" s="539">
        <f>+'NF-KSF-TRIAL-BAL-2020'!P286+'RA-TRIAL-BAL-2020'!P286+'DES-TRIAL-BAL-2020'!P286+'DMP-TRIAL-BAL-2020'!P286</f>
        <v>0</v>
      </c>
      <c r="X286" s="538">
        <f>+'NF-KSF-TRIAL-BAL-2020'!Q286+'RA-TRIAL-BAL-2020'!Q286+'DES-TRIAL-BAL-2020'!Q286+'DMP-TRIAL-BAL-2020'!Q286</f>
        <v>0</v>
      </c>
      <c r="Y286" s="539">
        <f>+'NF-KSF-TRIAL-BAL-2020'!R286+'RA-TRIAL-BAL-2020'!R286+'DES-TRIAL-BAL-2020'!R286+'DMP-TRIAL-BAL-2020'!R286</f>
        <v>0</v>
      </c>
      <c r="Z286" s="538">
        <f>+'NF-KSF-TRIAL-BAL-2020'!S286+'RA-TRIAL-BAL-2020'!S286+'DES-TRIAL-BAL-2020'!S286+'DMP-TRIAL-BAL-2020'!S286</f>
        <v>0</v>
      </c>
      <c r="AA286" s="540">
        <f>+'NF-KSF-TRIAL-BAL-2020'!T286+'RA-TRIAL-BAL-2020'!T286+'DES-TRIAL-BAL-2020'!T286+'DMP-TRIAL-BAL-2020'!T286</f>
        <v>0</v>
      </c>
      <c r="AB286" s="51"/>
      <c r="AC286" s="401">
        <v>0</v>
      </c>
      <c r="AD286" s="402">
        <v>0</v>
      </c>
      <c r="AE286" s="403">
        <v>0</v>
      </c>
      <c r="AF286" s="402">
        <v>0</v>
      </c>
      <c r="AG286" s="829">
        <f t="shared" ref="AG286:AG321" si="169">+IF(ABS(+AC286+AE286)&gt;=ABS(AD286+AF286),+AC286-AD286+AE286-AF286,0)</f>
        <v>0</v>
      </c>
      <c r="AH286" s="830">
        <v>0</v>
      </c>
      <c r="AI286" s="51"/>
      <c r="AJ286" s="400">
        <f t="shared" si="124"/>
        <v>5000</v>
      </c>
      <c r="AK286" s="833">
        <f t="shared" ref="AK286:AL293" si="170">+ROUND(+O286+V286+AC286,2)</f>
        <v>0</v>
      </c>
      <c r="AL286" s="834">
        <v>0</v>
      </c>
      <c r="AM286" s="831">
        <f t="shared" ref="AM286:AN293" si="171">+ROUND(+Q286+X286+AE286,2)</f>
        <v>0</v>
      </c>
      <c r="AN286" s="832">
        <f t="shared" si="171"/>
        <v>0</v>
      </c>
      <c r="AO286" s="831">
        <f t="shared" ref="AO286:AP305" si="172">+S286+Z286+AG286</f>
        <v>0</v>
      </c>
      <c r="AP286" s="830">
        <v>0</v>
      </c>
      <c r="AQ286" s="43"/>
      <c r="AR286" s="358">
        <f t="shared" ref="AR286:AR353" si="173">+ROUND(+SUM(AK286-AL286)-SUM(O286-P286)-SUM(V286-W286)-SUM(AC286-AD286),2)</f>
        <v>0</v>
      </c>
      <c r="AS286" s="359">
        <f t="shared" ref="AS286:AS353" si="174">+ROUND(+SUM(AM286-AN286)-SUM(Q286-R286)-SUM(X286-Y286)-SUM(AE286-AF286),2)</f>
        <v>0</v>
      </c>
      <c r="AT286" s="360">
        <f t="shared" ref="AT286:AT353" si="175">+ROUND(+SUM(AO286-AP286)-SUM(S286-T286)-SUM(Z286-AA286)-SUM(AG286-AH286),2)</f>
        <v>0</v>
      </c>
      <c r="AU286" s="43"/>
      <c r="AV286" s="2125">
        <f>+IF($C$8=9900,+IF(OR(ROUND(P286,2)+ROUND(R286,2)&gt;+ROUND(O286,2)+ROUND(Q286,2),+ABS(ROUND(P286,2)+ROUND(R286,2))&gt;+ABS(ROUND(O286,2)+ROUND(Q286,2))),+(ROUND(P286,2)+ROUND(R286,2))-(ROUND(O286,2)+ROUND(Q286,2)),0),+(ROUND(O286,2)+ROUND(Q286,2))-(ROUND(P286,2)+ROUND(R286,2)))</f>
        <v>0</v>
      </c>
      <c r="AW286" s="119"/>
      <c r="AX286" s="2125">
        <f>+IF(OR(AC286&lt;&gt;0,AD286&lt;&gt;0,AE286&lt;&gt;0,AF286&lt;&gt;0,AG286&lt;&gt;0,AH286&lt;&gt;0),+IF(ABS(AC286+AE286)-ABS(AD286+AF286)&lt;&gt;0,ABS(AC286+AE286)-ABS(AD286+AF286),1),0)</f>
        <v>0</v>
      </c>
      <c r="AY286" s="43"/>
      <c r="AZ286" s="43"/>
      <c r="BA286" s="43"/>
      <c r="BB286" s="43"/>
      <c r="BC286" s="43"/>
      <c r="BD286" s="43"/>
    </row>
    <row r="287" spans="1:56" ht="15.75">
      <c r="A287" s="88">
        <v>5001</v>
      </c>
      <c r="B287" s="378" t="s">
        <v>800</v>
      </c>
      <c r="C287" s="1034"/>
      <c r="D287" s="1034"/>
      <c r="E287" s="1034"/>
      <c r="F287" s="1034"/>
      <c r="G287" s="1034"/>
      <c r="H287" s="1034"/>
      <c r="I287" s="1034"/>
      <c r="J287" s="1034"/>
      <c r="K287" s="1034"/>
      <c r="L287" s="90"/>
      <c r="M287" s="51" t="s">
        <v>265</v>
      </c>
      <c r="N287" s="113">
        <f t="shared" si="168"/>
        <v>5001</v>
      </c>
      <c r="O287" s="120">
        <v>0</v>
      </c>
      <c r="P287" s="576">
        <v>0</v>
      </c>
      <c r="Q287" s="122">
        <v>0</v>
      </c>
      <c r="R287" s="324">
        <v>0</v>
      </c>
      <c r="S287" s="2270">
        <f>+IF($C$8=9900,0,+IF(ABS(+O287+Q287)&gt;=ABS(P287+R287),+O287-P287+Q287-R287,0))</f>
        <v>0</v>
      </c>
      <c r="T287" s="2271">
        <f>+IF($C$8=9900,+IF(ABS(+O287+Q287)&lt;=ABS(P287+R287),-O287+P287-Q287+R287,0),0)</f>
        <v>0</v>
      </c>
      <c r="U287" s="51"/>
      <c r="V287" s="541">
        <f>+'NF-KSF-TRIAL-BAL-2020'!O287+'RA-TRIAL-BAL-2020'!O287+'DES-TRIAL-BAL-2020'!O287+'DMP-TRIAL-BAL-2020'!O287</f>
        <v>0</v>
      </c>
      <c r="W287" s="529">
        <f>+'NF-KSF-TRIAL-BAL-2020'!P287+'RA-TRIAL-BAL-2020'!P287+'DES-TRIAL-BAL-2020'!P287+'DMP-TRIAL-BAL-2020'!P287</f>
        <v>0</v>
      </c>
      <c r="X287" s="528">
        <f>+'NF-KSF-TRIAL-BAL-2020'!Q287+'RA-TRIAL-BAL-2020'!Q287+'DES-TRIAL-BAL-2020'!Q287+'DMP-TRIAL-BAL-2020'!Q287</f>
        <v>0</v>
      </c>
      <c r="Y287" s="529">
        <f>+'NF-KSF-TRIAL-BAL-2020'!R287+'RA-TRIAL-BAL-2020'!R287+'DES-TRIAL-BAL-2020'!R287+'DMP-TRIAL-BAL-2020'!R287</f>
        <v>0</v>
      </c>
      <c r="Z287" s="528">
        <f>+'NF-KSF-TRIAL-BAL-2020'!S287+'RA-TRIAL-BAL-2020'!S287+'DES-TRIAL-BAL-2020'!S287+'DMP-TRIAL-BAL-2020'!S287</f>
        <v>0</v>
      </c>
      <c r="AA287" s="347">
        <f>+'NF-KSF-TRIAL-BAL-2020'!T287+'RA-TRIAL-BAL-2020'!T287+'DES-TRIAL-BAL-2020'!T287+'DMP-TRIAL-BAL-2020'!T287</f>
        <v>0</v>
      </c>
      <c r="AB287" s="51"/>
      <c r="AC287" s="120">
        <v>0</v>
      </c>
      <c r="AD287" s="9">
        <v>0</v>
      </c>
      <c r="AE287" s="122">
        <v>0</v>
      </c>
      <c r="AF287" s="324">
        <v>0</v>
      </c>
      <c r="AG287" s="27">
        <f t="shared" si="169"/>
        <v>0</v>
      </c>
      <c r="AH287" s="30">
        <v>0</v>
      </c>
      <c r="AI287" s="51"/>
      <c r="AJ287" s="1497">
        <f t="shared" si="124"/>
        <v>5001</v>
      </c>
      <c r="AK287" s="951">
        <f t="shared" si="170"/>
        <v>0</v>
      </c>
      <c r="AL287" s="970">
        <f t="shared" si="170"/>
        <v>0</v>
      </c>
      <c r="AM287" s="326">
        <f t="shared" si="171"/>
        <v>0</v>
      </c>
      <c r="AN287" s="970">
        <f t="shared" si="171"/>
        <v>0</v>
      </c>
      <c r="AO287" s="326">
        <f t="shared" si="172"/>
        <v>0</v>
      </c>
      <c r="AP287" s="28">
        <f t="shared" si="172"/>
        <v>0</v>
      </c>
      <c r="AQ287" s="43"/>
      <c r="AR287" s="358">
        <f t="shared" si="173"/>
        <v>0</v>
      </c>
      <c r="AS287" s="359">
        <f t="shared" si="174"/>
        <v>0</v>
      </c>
      <c r="AT287" s="360">
        <f t="shared" si="175"/>
        <v>0</v>
      </c>
      <c r="AU287" s="43"/>
      <c r="AV287" s="2125">
        <f>+IF($C$8=9900,+IF(OR(+ROUND(O287,2)+ROUND(Q287,2)&gt;ROUND(P287,2)+ROUND(R287,2),+ABS(ROUND(O287,2)+ROUND(Q287,2))&gt;+ABS(ROUND(P287,2)+ROUND(R287,2))),+(ROUND(O287,2)+ROUND(Q287,2))-(ROUND(P287,2)+ROUND(R287,2)),0),+IF(OR(ROUND(P287,2)+ROUND(R287,2)&gt;+ROUND(O287,2)+ROUND(Q287,2),+ABS(ROUND(P287,2)+ROUND(R287,2))&gt;+ABS(ROUND(O287,2)+ROUND(Q287,2))),+(ROUND(P287,2)+ROUND(R287,2))-(ROUND(O287,2)+ROUND(Q287,2)),0))</f>
        <v>0</v>
      </c>
      <c r="AW287" s="119"/>
      <c r="AX287" s="2120">
        <f>+IF(OR(ROUND(AD287,2)+ROUND(AF287,2)&gt;+ROUND(AC287,2)+ROUND(AE287,2),+ABS(ROUND(AD287,2)+ROUND(AF287,2))&gt;+ABS(ROUND(AC287,2)+ROUND(AE287,2))),+(ROUND(AD287,2)+ROUND(AF287,2))-(ROUND(AC287,2)+ROUND(AE287,2)),0)</f>
        <v>0</v>
      </c>
      <c r="AY287" s="43"/>
      <c r="AZ287" s="43"/>
      <c r="BA287" s="43"/>
      <c r="BB287" s="43"/>
      <c r="BC287" s="43"/>
      <c r="BD287" s="43"/>
    </row>
    <row r="288" spans="1:56" ht="15.75">
      <c r="A288" s="88">
        <v>5002</v>
      </c>
      <c r="B288" s="378" t="s">
        <v>801</v>
      </c>
      <c r="C288" s="1034"/>
      <c r="D288" s="1034"/>
      <c r="E288" s="1034"/>
      <c r="F288" s="1034"/>
      <c r="G288" s="1034"/>
      <c r="H288" s="1034"/>
      <c r="I288" s="1034"/>
      <c r="J288" s="1034"/>
      <c r="K288" s="1034"/>
      <c r="L288" s="90"/>
      <c r="M288" s="51" t="s">
        <v>265</v>
      </c>
      <c r="N288" s="113">
        <f t="shared" si="168"/>
        <v>5002</v>
      </c>
      <c r="O288" s="120"/>
      <c r="P288" s="576"/>
      <c r="Q288" s="325"/>
      <c r="R288" s="324"/>
      <c r="S288" s="2270">
        <f>+IF($C$8=9900,0,+IF(ABS(+O288+Q288)&gt;=ABS(P288+R288),+O288-P288+Q288-R288,0))</f>
        <v>0</v>
      </c>
      <c r="T288" s="2271">
        <f>+IF($C$8=9900,+IF(ABS(+O288+Q288)&lt;=ABS(P288+R288),-O288+P288-Q288+R288,0),0)</f>
        <v>0</v>
      </c>
      <c r="U288" s="51"/>
      <c r="V288" s="541">
        <f>+'NF-KSF-TRIAL-BAL-2020'!O288+'RA-TRIAL-BAL-2020'!O288+'DES-TRIAL-BAL-2020'!O288+'DMP-TRIAL-BAL-2020'!O288</f>
        <v>0</v>
      </c>
      <c r="W288" s="529">
        <f>+'NF-KSF-TRIAL-BAL-2020'!P288+'RA-TRIAL-BAL-2020'!P288+'DES-TRIAL-BAL-2020'!P288+'DMP-TRIAL-BAL-2020'!P288</f>
        <v>0</v>
      </c>
      <c r="X288" s="528">
        <f>+'NF-KSF-TRIAL-BAL-2020'!Q288+'RA-TRIAL-BAL-2020'!Q288+'DES-TRIAL-BAL-2020'!Q288+'DMP-TRIAL-BAL-2020'!Q288</f>
        <v>0</v>
      </c>
      <c r="Y288" s="529">
        <f>+'NF-KSF-TRIAL-BAL-2020'!R288+'RA-TRIAL-BAL-2020'!R288+'DES-TRIAL-BAL-2020'!R288+'DMP-TRIAL-BAL-2020'!R288</f>
        <v>0</v>
      </c>
      <c r="Z288" s="528">
        <f>+'NF-KSF-TRIAL-BAL-2020'!S288+'RA-TRIAL-BAL-2020'!S288+'DES-TRIAL-BAL-2020'!S288+'DMP-TRIAL-BAL-2020'!S288</f>
        <v>0</v>
      </c>
      <c r="AA288" s="347">
        <f>+'NF-KSF-TRIAL-BAL-2020'!T288+'RA-TRIAL-BAL-2020'!T288+'DES-TRIAL-BAL-2020'!T288+'DMP-TRIAL-BAL-2020'!T288</f>
        <v>0</v>
      </c>
      <c r="AB288" s="51"/>
      <c r="AC288" s="120"/>
      <c r="AD288" s="9">
        <v>0</v>
      </c>
      <c r="AE288" s="325"/>
      <c r="AF288" s="324"/>
      <c r="AG288" s="27">
        <f t="shared" si="169"/>
        <v>0</v>
      </c>
      <c r="AH288" s="30">
        <v>0</v>
      </c>
      <c r="AI288" s="51"/>
      <c r="AJ288" s="1497">
        <f t="shared" si="124"/>
        <v>5002</v>
      </c>
      <c r="AK288" s="951">
        <f t="shared" si="170"/>
        <v>0</v>
      </c>
      <c r="AL288" s="970">
        <f t="shared" si="170"/>
        <v>0</v>
      </c>
      <c r="AM288" s="326">
        <f t="shared" si="171"/>
        <v>0</v>
      </c>
      <c r="AN288" s="970">
        <f t="shared" si="171"/>
        <v>0</v>
      </c>
      <c r="AO288" s="326">
        <f t="shared" si="172"/>
        <v>0</v>
      </c>
      <c r="AP288" s="28">
        <f t="shared" si="172"/>
        <v>0</v>
      </c>
      <c r="AQ288" s="43"/>
      <c r="AR288" s="358">
        <f t="shared" si="173"/>
        <v>0</v>
      </c>
      <c r="AS288" s="359">
        <f t="shared" si="174"/>
        <v>0</v>
      </c>
      <c r="AT288" s="360">
        <f t="shared" si="175"/>
        <v>0</v>
      </c>
      <c r="AU288" s="43"/>
      <c r="AV288" s="2125">
        <f>+IF($C$8=9900,+IF(OR(+ROUND(O288,2)+ROUND(Q288,2)&gt;ROUND(P288,2)+ROUND(R288,2),+ABS(ROUND(O288,2)+ROUND(Q288,2))&gt;+ABS(ROUND(P288,2)+ROUND(R288,2))),+(ROUND(O288,2)+ROUND(Q288,2))-(ROUND(P288,2)+ROUND(R288,2)),0),+IF(OR(ROUND(P288,2)+ROUND(R288,2)&gt;+ROUND(O288,2)+ROUND(Q288,2),+ABS(ROUND(P288,2)+ROUND(R288,2))&gt;+ABS(ROUND(O288,2)+ROUND(Q288,2))),+(ROUND(P288,2)+ROUND(R288,2))-(ROUND(O288,2)+ROUND(Q288,2)),0))</f>
        <v>0</v>
      </c>
      <c r="AW288" s="119"/>
      <c r="AX288" s="2120">
        <f>+IF(OR(ROUND(AD288,2)+ROUND(AF288,2)&gt;+ROUND(AC288,2)+ROUND(AE288,2),+ABS(ROUND(AD288,2)+ROUND(AF288,2))&gt;+ABS(ROUND(AC288,2)+ROUND(AE288,2))),+(ROUND(AD288,2)+ROUND(AF288,2))-(ROUND(AC288,2)+ROUND(AE288,2)),0)</f>
        <v>0</v>
      </c>
      <c r="AY288" s="43"/>
      <c r="AZ288" s="43"/>
      <c r="BA288" s="43"/>
      <c r="BB288" s="43"/>
      <c r="BC288" s="43"/>
      <c r="BD288" s="43"/>
    </row>
    <row r="289" spans="1:56" ht="15.75">
      <c r="A289" s="2275">
        <v>5005</v>
      </c>
      <c r="B289" s="2276" t="s">
        <v>802</v>
      </c>
      <c r="C289" s="2276"/>
      <c r="D289" s="2276"/>
      <c r="E289" s="2276"/>
      <c r="F289" s="2276"/>
      <c r="G289" s="2276"/>
      <c r="H289" s="2276"/>
      <c r="I289" s="2276"/>
      <c r="J289" s="2276"/>
      <c r="K289" s="2276"/>
      <c r="L289" s="2277"/>
      <c r="M289" s="51" t="s">
        <v>265</v>
      </c>
      <c r="N289" s="2283">
        <f t="shared" si="168"/>
        <v>5005</v>
      </c>
      <c r="O289" s="2278"/>
      <c r="P289" s="2279">
        <v>0</v>
      </c>
      <c r="Q289" s="2280"/>
      <c r="R289" s="2281"/>
      <c r="S289" s="2280">
        <f>+IF($C$8=9900,+IF(ABS(+O289+Q289)&gt;=ABS(P289+R289),+O289-P289+Q289-R289,0),0)</f>
        <v>0</v>
      </c>
      <c r="T289" s="2282">
        <v>0</v>
      </c>
      <c r="U289" s="51"/>
      <c r="V289" s="546">
        <f>+'NF-KSF-TRIAL-BAL-2020'!O289+'RA-TRIAL-BAL-2020'!O289+'DES-TRIAL-BAL-2020'!O289+'DMP-TRIAL-BAL-2020'!O289</f>
        <v>0</v>
      </c>
      <c r="W289" s="536">
        <f>+'NF-KSF-TRIAL-BAL-2020'!P289+'RA-TRIAL-BAL-2020'!P289+'DES-TRIAL-BAL-2020'!P289+'DMP-TRIAL-BAL-2020'!P289</f>
        <v>0</v>
      </c>
      <c r="X289" s="535">
        <f>+'NF-KSF-TRIAL-BAL-2020'!Q289+'RA-TRIAL-BAL-2020'!Q289+'DES-TRIAL-BAL-2020'!Q289+'DMP-TRIAL-BAL-2020'!Q289</f>
        <v>0</v>
      </c>
      <c r="Y289" s="536">
        <f>+'NF-KSF-TRIAL-BAL-2020'!R289+'RA-TRIAL-BAL-2020'!R289+'DES-TRIAL-BAL-2020'!R289+'DMP-TRIAL-BAL-2020'!R289</f>
        <v>0</v>
      </c>
      <c r="Z289" s="535">
        <f>+'NF-KSF-TRIAL-BAL-2020'!S289+'RA-TRIAL-BAL-2020'!S289+'DES-TRIAL-BAL-2020'!S289+'DMP-TRIAL-BAL-2020'!S289</f>
        <v>0</v>
      </c>
      <c r="AA289" s="537">
        <f>+'NF-KSF-TRIAL-BAL-2020'!T289+'RA-TRIAL-BAL-2020'!T289+'DES-TRIAL-BAL-2020'!T289+'DMP-TRIAL-BAL-2020'!T289</f>
        <v>0</v>
      </c>
      <c r="AB289" s="51"/>
      <c r="AC289" s="10">
        <v>0</v>
      </c>
      <c r="AD289" s="11">
        <v>0</v>
      </c>
      <c r="AE289" s="31">
        <v>0</v>
      </c>
      <c r="AF289" s="11">
        <v>0</v>
      </c>
      <c r="AG289" s="829">
        <f t="shared" si="169"/>
        <v>0</v>
      </c>
      <c r="AH289" s="830">
        <v>0</v>
      </c>
      <c r="AI289" s="51"/>
      <c r="AJ289" s="114">
        <f t="shared" si="124"/>
        <v>5005</v>
      </c>
      <c r="AK289" s="833">
        <f t="shared" si="170"/>
        <v>0</v>
      </c>
      <c r="AL289" s="834">
        <v>0</v>
      </c>
      <c r="AM289" s="831">
        <f t="shared" si="171"/>
        <v>0</v>
      </c>
      <c r="AN289" s="832">
        <f t="shared" si="171"/>
        <v>0</v>
      </c>
      <c r="AO289" s="831">
        <f t="shared" si="172"/>
        <v>0</v>
      </c>
      <c r="AP289" s="830">
        <v>0</v>
      </c>
      <c r="AQ289" s="43"/>
      <c r="AR289" s="358">
        <f t="shared" si="173"/>
        <v>0</v>
      </c>
      <c r="AS289" s="359">
        <f t="shared" si="174"/>
        <v>0</v>
      </c>
      <c r="AT289" s="360">
        <f t="shared" si="175"/>
        <v>0</v>
      </c>
      <c r="AU289" s="43"/>
      <c r="AV289" s="2125">
        <f>+IF($C$8=9900,+IF(OR(ROUND(P289,2)+ROUND(R289,2)&gt;+ROUND(O289,2)+ROUND(Q289,2),+ABS(ROUND(P289,2)+ROUND(R289,2))&gt;+ABS(ROUND(O289,2)+ROUND(Q289,2))),+(ROUND(P289,2)+ROUND(R289,2))-(ROUND(O289,2)+ROUND(Q289,2)),0),+(ROUND(O289,2)+ROUND(Q289,2))-(ROUND(P289,2)+ROUND(R289,2)))</f>
        <v>0</v>
      </c>
      <c r="AW289" s="119"/>
      <c r="AX289" s="2125">
        <f>+IF(OR(AC289&lt;&gt;0,AD289&lt;&gt;0,AE289&lt;&gt;0,AF289&lt;&gt;0,AG289&lt;&gt;0,AH289&lt;&gt;0),+IF(ABS(AC289+AE289)-ABS(AD289+AF289)&lt;&gt;0,ABS(AC289+AE289)-ABS(AD289+AF289),1),0)</f>
        <v>0</v>
      </c>
      <c r="AY289" s="43"/>
      <c r="AZ289" s="43"/>
      <c r="BA289" s="43"/>
      <c r="BB289" s="43"/>
      <c r="BC289" s="43"/>
      <c r="BD289" s="43"/>
    </row>
    <row r="290" spans="1:56" ht="15.75">
      <c r="A290" s="2275">
        <v>5006</v>
      </c>
      <c r="B290" s="2276" t="s">
        <v>803</v>
      </c>
      <c r="C290" s="2276"/>
      <c r="D290" s="2276"/>
      <c r="E290" s="2276"/>
      <c r="F290" s="2276"/>
      <c r="G290" s="2276"/>
      <c r="H290" s="2276"/>
      <c r="I290" s="2276"/>
      <c r="J290" s="2276"/>
      <c r="K290" s="2276"/>
      <c r="L290" s="2277"/>
      <c r="M290" s="51" t="s">
        <v>265</v>
      </c>
      <c r="N290" s="2283">
        <f t="shared" si="168"/>
        <v>5006</v>
      </c>
      <c r="O290" s="2278"/>
      <c r="P290" s="2279">
        <v>0</v>
      </c>
      <c r="Q290" s="2280"/>
      <c r="R290" s="2281"/>
      <c r="S290" s="2280">
        <f>+IF($C$8=9900,+IF(ABS(+O290+Q290)&gt;=ABS(P290+R290),+O290-P290+Q290-R290,0),0)</f>
        <v>0</v>
      </c>
      <c r="T290" s="2282">
        <v>0</v>
      </c>
      <c r="U290" s="51"/>
      <c r="V290" s="546">
        <f>+'NF-KSF-TRIAL-BAL-2020'!O290+'RA-TRIAL-BAL-2020'!O290+'DES-TRIAL-BAL-2020'!O290+'DMP-TRIAL-BAL-2020'!O290</f>
        <v>0</v>
      </c>
      <c r="W290" s="536">
        <f>+'NF-KSF-TRIAL-BAL-2020'!P290+'RA-TRIAL-BAL-2020'!P290+'DES-TRIAL-BAL-2020'!P290+'DMP-TRIAL-BAL-2020'!P290</f>
        <v>0</v>
      </c>
      <c r="X290" s="535">
        <f>+'NF-KSF-TRIAL-BAL-2020'!Q290+'RA-TRIAL-BAL-2020'!Q290+'DES-TRIAL-BAL-2020'!Q290+'DMP-TRIAL-BAL-2020'!Q290</f>
        <v>0</v>
      </c>
      <c r="Y290" s="536">
        <f>+'NF-KSF-TRIAL-BAL-2020'!R290+'RA-TRIAL-BAL-2020'!R290+'DES-TRIAL-BAL-2020'!R290+'DMP-TRIAL-BAL-2020'!R290</f>
        <v>0</v>
      </c>
      <c r="Z290" s="535">
        <f>+'NF-KSF-TRIAL-BAL-2020'!S290+'RA-TRIAL-BAL-2020'!S290+'DES-TRIAL-BAL-2020'!S290+'DMP-TRIAL-BAL-2020'!S290</f>
        <v>0</v>
      </c>
      <c r="AA290" s="537">
        <f>+'NF-KSF-TRIAL-BAL-2020'!T290+'RA-TRIAL-BAL-2020'!T290+'DES-TRIAL-BAL-2020'!T290+'DMP-TRIAL-BAL-2020'!T290</f>
        <v>0</v>
      </c>
      <c r="AB290" s="51"/>
      <c r="AC290" s="10">
        <v>0</v>
      </c>
      <c r="AD290" s="11">
        <v>0</v>
      </c>
      <c r="AE290" s="31">
        <v>0</v>
      </c>
      <c r="AF290" s="11">
        <v>0</v>
      </c>
      <c r="AG290" s="829">
        <f t="shared" si="169"/>
        <v>0</v>
      </c>
      <c r="AH290" s="830">
        <v>0</v>
      </c>
      <c r="AI290" s="51"/>
      <c r="AJ290" s="114">
        <f t="shared" si="124"/>
        <v>5006</v>
      </c>
      <c r="AK290" s="833">
        <f t="shared" si="170"/>
        <v>0</v>
      </c>
      <c r="AL290" s="834">
        <v>0</v>
      </c>
      <c r="AM290" s="831">
        <f t="shared" si="171"/>
        <v>0</v>
      </c>
      <c r="AN290" s="832">
        <f t="shared" si="171"/>
        <v>0</v>
      </c>
      <c r="AO290" s="831">
        <f t="shared" si="172"/>
        <v>0</v>
      </c>
      <c r="AP290" s="830">
        <v>0</v>
      </c>
      <c r="AQ290" s="43"/>
      <c r="AR290" s="358">
        <f t="shared" si="173"/>
        <v>0</v>
      </c>
      <c r="AS290" s="359">
        <f t="shared" si="174"/>
        <v>0</v>
      </c>
      <c r="AT290" s="360">
        <f t="shared" si="175"/>
        <v>0</v>
      </c>
      <c r="AU290" s="43"/>
      <c r="AV290" s="2125">
        <f>+IF($C$8=9900,+IF(OR(ROUND(P290,2)+ROUND(R290,2)&gt;+ROUND(O290,2)+ROUND(Q290,2),+ABS(ROUND(P290,2)+ROUND(R290,2))&gt;+ABS(ROUND(O290,2)+ROUND(Q290,2))),+(ROUND(P290,2)+ROUND(R290,2))-(ROUND(O290,2)+ROUND(Q290,2)),0),+(ROUND(O290,2)+ROUND(Q290,2))-(ROUND(P290,2)+ROUND(R290,2)))</f>
        <v>0</v>
      </c>
      <c r="AW290" s="119"/>
      <c r="AX290" s="2125">
        <f>+IF(OR(AC290&lt;&gt;0,AD290&lt;&gt;0,AE290&lt;&gt;0,AF290&lt;&gt;0,AG290&lt;&gt;0,AH290&lt;&gt;0),+IF(ABS(AC290+AE290)-ABS(AD290+AF290)&lt;&gt;0,ABS(AC290+AE290)-ABS(AD290+AF290),1),0)</f>
        <v>0</v>
      </c>
      <c r="AY290" s="43"/>
      <c r="AZ290" s="43"/>
      <c r="BA290" s="43"/>
      <c r="BB290" s="43"/>
      <c r="BC290" s="43"/>
      <c r="BD290" s="43"/>
    </row>
    <row r="291" spans="1:56" ht="15.75">
      <c r="A291" s="88">
        <v>5007</v>
      </c>
      <c r="B291" s="378" t="s">
        <v>804</v>
      </c>
      <c r="C291" s="1034"/>
      <c r="D291" s="1034"/>
      <c r="E291" s="1034"/>
      <c r="F291" s="1034"/>
      <c r="G291" s="1034"/>
      <c r="H291" s="1034"/>
      <c r="I291" s="1034"/>
      <c r="J291" s="1034"/>
      <c r="K291" s="1034"/>
      <c r="L291" s="90"/>
      <c r="M291" s="51" t="s">
        <v>265</v>
      </c>
      <c r="N291" s="113">
        <f t="shared" si="168"/>
        <v>5007</v>
      </c>
      <c r="O291" s="120"/>
      <c r="P291" s="9">
        <v>0</v>
      </c>
      <c r="Q291" s="325"/>
      <c r="R291" s="324"/>
      <c r="S291" s="27">
        <f t="shared" ref="S291:S321" si="176">+IF(ABS(+O291+Q291)&gt;=ABS(P291+R291),+O291-P291+Q291-R291,0)</f>
        <v>0</v>
      </c>
      <c r="T291" s="30">
        <v>0</v>
      </c>
      <c r="U291" s="51"/>
      <c r="V291" s="541">
        <f>+'NF-KSF-TRIAL-BAL-2020'!O291+'RA-TRIAL-BAL-2020'!O291+'DES-TRIAL-BAL-2020'!O291+'DMP-TRIAL-BAL-2020'!O291</f>
        <v>0</v>
      </c>
      <c r="W291" s="529">
        <f>+'NF-KSF-TRIAL-BAL-2020'!P291+'RA-TRIAL-BAL-2020'!P291+'DES-TRIAL-BAL-2020'!P291+'DMP-TRIAL-BAL-2020'!P291</f>
        <v>0</v>
      </c>
      <c r="X291" s="528">
        <f>+'NF-KSF-TRIAL-BAL-2020'!Q291+'RA-TRIAL-BAL-2020'!Q291+'DES-TRIAL-BAL-2020'!Q291+'DMP-TRIAL-BAL-2020'!Q291</f>
        <v>0</v>
      </c>
      <c r="Y291" s="529">
        <f>+'NF-KSF-TRIAL-BAL-2020'!R291+'RA-TRIAL-BAL-2020'!R291+'DES-TRIAL-BAL-2020'!R291+'DMP-TRIAL-BAL-2020'!R291</f>
        <v>0</v>
      </c>
      <c r="Z291" s="528">
        <f>+'NF-KSF-TRIAL-BAL-2020'!S291+'RA-TRIAL-BAL-2020'!S291+'DES-TRIAL-BAL-2020'!S291+'DMP-TRIAL-BAL-2020'!S291</f>
        <v>0</v>
      </c>
      <c r="AA291" s="347">
        <f>+'NF-KSF-TRIAL-BAL-2020'!T291+'RA-TRIAL-BAL-2020'!T291+'DES-TRIAL-BAL-2020'!T291+'DMP-TRIAL-BAL-2020'!T291</f>
        <v>0</v>
      </c>
      <c r="AB291" s="51"/>
      <c r="AC291" s="120"/>
      <c r="AD291" s="9">
        <v>0</v>
      </c>
      <c r="AE291" s="325"/>
      <c r="AF291" s="324"/>
      <c r="AG291" s="27">
        <f t="shared" si="169"/>
        <v>0</v>
      </c>
      <c r="AH291" s="30">
        <v>0</v>
      </c>
      <c r="AI291" s="51"/>
      <c r="AJ291" s="1497">
        <f t="shared" si="124"/>
        <v>5007</v>
      </c>
      <c r="AK291" s="951">
        <f t="shared" si="170"/>
        <v>0</v>
      </c>
      <c r="AL291" s="9">
        <v>0</v>
      </c>
      <c r="AM291" s="326">
        <f t="shared" si="171"/>
        <v>0</v>
      </c>
      <c r="AN291" s="970">
        <f t="shared" si="171"/>
        <v>0</v>
      </c>
      <c r="AO291" s="326">
        <f t="shared" si="172"/>
        <v>0</v>
      </c>
      <c r="AP291" s="30">
        <v>0</v>
      </c>
      <c r="AQ291" s="43"/>
      <c r="AR291" s="358">
        <f t="shared" si="173"/>
        <v>0</v>
      </c>
      <c r="AS291" s="359">
        <f t="shared" si="174"/>
        <v>0</v>
      </c>
      <c r="AT291" s="360">
        <f t="shared" si="175"/>
        <v>0</v>
      </c>
      <c r="AU291" s="43"/>
      <c r="AV291" s="2120">
        <f>+IF(OR(ROUND(P291,2)+ROUND(R291,2)&gt;+ROUND(O291,2)+ROUND(Q291,2),+ABS(ROUND(P291,2)+ROUND(R291,2))&gt;+ABS(ROUND(O291,2)+ROUND(Q291,2))),+(ROUND(P291,2)+ROUND(R291,2))-(ROUND(O291,2)+ROUND(Q291,2)),0)</f>
        <v>0</v>
      </c>
      <c r="AW291" s="119"/>
      <c r="AX291" s="2120">
        <f>+IF(OR(ROUND(AD291,2)+ROUND(AF291,2)&gt;+ROUND(AC291,2)+ROUND(AE291,2),+ABS(ROUND(AD291,2)+ROUND(AF291,2))&gt;+ABS(ROUND(AC291,2)+ROUND(AE291,2))),+(ROUND(AD291,2)+ROUND(AF291,2))-(ROUND(AC291,2)+ROUND(AE291,2)),0)</f>
        <v>0</v>
      </c>
      <c r="AY291" s="43"/>
      <c r="AZ291" s="43"/>
      <c r="BA291" s="43"/>
      <c r="BB291" s="43"/>
      <c r="BC291" s="43"/>
      <c r="BD291" s="43"/>
    </row>
    <row r="292" spans="1:56" ht="15.75">
      <c r="A292" s="88">
        <v>5008</v>
      </c>
      <c r="B292" s="378" t="s">
        <v>805</v>
      </c>
      <c r="C292" s="1034"/>
      <c r="D292" s="1034"/>
      <c r="E292" s="1034"/>
      <c r="F292" s="1034"/>
      <c r="G292" s="1034"/>
      <c r="H292" s="1034"/>
      <c r="I292" s="1034"/>
      <c r="J292" s="1034"/>
      <c r="K292" s="1034"/>
      <c r="L292" s="90"/>
      <c r="M292" s="51" t="s">
        <v>265</v>
      </c>
      <c r="N292" s="113">
        <f t="shared" si="168"/>
        <v>5008</v>
      </c>
      <c r="O292" s="120"/>
      <c r="P292" s="9">
        <v>0</v>
      </c>
      <c r="Q292" s="325"/>
      <c r="R292" s="324"/>
      <c r="S292" s="27">
        <f t="shared" si="176"/>
        <v>0</v>
      </c>
      <c r="T292" s="30">
        <v>0</v>
      </c>
      <c r="U292" s="51"/>
      <c r="V292" s="541">
        <f>+'NF-KSF-TRIAL-BAL-2020'!O292+'RA-TRIAL-BAL-2020'!O292+'DES-TRIAL-BAL-2020'!O292+'DMP-TRIAL-BAL-2020'!O292</f>
        <v>0</v>
      </c>
      <c r="W292" s="529">
        <f>+'NF-KSF-TRIAL-BAL-2020'!P292+'RA-TRIAL-BAL-2020'!P292+'DES-TRIAL-BAL-2020'!P292+'DMP-TRIAL-BAL-2020'!P292</f>
        <v>0</v>
      </c>
      <c r="X292" s="528">
        <f>+'NF-KSF-TRIAL-BAL-2020'!Q292+'RA-TRIAL-BAL-2020'!Q292+'DES-TRIAL-BAL-2020'!Q292+'DMP-TRIAL-BAL-2020'!Q292</f>
        <v>0</v>
      </c>
      <c r="Y292" s="529">
        <f>+'NF-KSF-TRIAL-BAL-2020'!R292+'RA-TRIAL-BAL-2020'!R292+'DES-TRIAL-BAL-2020'!R292+'DMP-TRIAL-BAL-2020'!R292</f>
        <v>0</v>
      </c>
      <c r="Z292" s="528">
        <f>+'NF-KSF-TRIAL-BAL-2020'!S292+'RA-TRIAL-BAL-2020'!S292+'DES-TRIAL-BAL-2020'!S292+'DMP-TRIAL-BAL-2020'!S292</f>
        <v>0</v>
      </c>
      <c r="AA292" s="347">
        <f>+'NF-KSF-TRIAL-BAL-2020'!T292+'RA-TRIAL-BAL-2020'!T292+'DES-TRIAL-BAL-2020'!T292+'DMP-TRIAL-BAL-2020'!T292</f>
        <v>0</v>
      </c>
      <c r="AB292" s="51"/>
      <c r="AC292" s="120"/>
      <c r="AD292" s="9">
        <v>0</v>
      </c>
      <c r="AE292" s="325"/>
      <c r="AF292" s="324"/>
      <c r="AG292" s="27">
        <f t="shared" si="169"/>
        <v>0</v>
      </c>
      <c r="AH292" s="30">
        <v>0</v>
      </c>
      <c r="AI292" s="51"/>
      <c r="AJ292" s="1497">
        <f t="shared" si="124"/>
        <v>5008</v>
      </c>
      <c r="AK292" s="951">
        <f t="shared" si="170"/>
        <v>0</v>
      </c>
      <c r="AL292" s="9">
        <v>0</v>
      </c>
      <c r="AM292" s="326">
        <f t="shared" si="171"/>
        <v>0</v>
      </c>
      <c r="AN292" s="970">
        <f t="shared" si="171"/>
        <v>0</v>
      </c>
      <c r="AO292" s="326">
        <f t="shared" si="172"/>
        <v>0</v>
      </c>
      <c r="AP292" s="30">
        <v>0</v>
      </c>
      <c r="AQ292" s="43"/>
      <c r="AR292" s="358">
        <f t="shared" si="173"/>
        <v>0</v>
      </c>
      <c r="AS292" s="359">
        <f t="shared" si="174"/>
        <v>0</v>
      </c>
      <c r="AT292" s="360">
        <f t="shared" si="175"/>
        <v>0</v>
      </c>
      <c r="AU292" s="43"/>
      <c r="AV292" s="2120">
        <f>+IF(OR(ROUND(P292,2)+ROUND(R292,2)&gt;+ROUND(O292,2)+ROUND(Q292,2),+ABS(ROUND(P292,2)+ROUND(R292,2))&gt;+ABS(ROUND(O292,2)+ROUND(Q292,2))),+(ROUND(P292,2)+ROUND(R292,2))-(ROUND(O292,2)+ROUND(Q292,2)),0)</f>
        <v>0</v>
      </c>
      <c r="AW292" s="119"/>
      <c r="AX292" s="2120">
        <f>+IF(OR(ROUND(AD292,2)+ROUND(AF292,2)&gt;+ROUND(AC292,2)+ROUND(AE292,2),+ABS(ROUND(AD292,2)+ROUND(AF292,2))&gt;+ABS(ROUND(AC292,2)+ROUND(AE292,2))),+(ROUND(AD292,2)+ROUND(AF292,2))-(ROUND(AC292,2)+ROUND(AE292,2)),0)</f>
        <v>0</v>
      </c>
      <c r="AY292" s="43"/>
      <c r="AZ292" s="43"/>
      <c r="BA292" s="43"/>
      <c r="BB292" s="43"/>
      <c r="BC292" s="43"/>
      <c r="BD292" s="43"/>
    </row>
    <row r="293" spans="1:56" ht="15.75">
      <c r="A293" s="2275">
        <v>5009</v>
      </c>
      <c r="B293" s="2276" t="s">
        <v>806</v>
      </c>
      <c r="C293" s="2276"/>
      <c r="D293" s="2276"/>
      <c r="E293" s="2276"/>
      <c r="F293" s="2276"/>
      <c r="G293" s="2276"/>
      <c r="H293" s="2276"/>
      <c r="I293" s="2276"/>
      <c r="J293" s="2276"/>
      <c r="K293" s="2276"/>
      <c r="L293" s="2277"/>
      <c r="M293" s="51" t="s">
        <v>265</v>
      </c>
      <c r="N293" s="2283">
        <f t="shared" si="168"/>
        <v>5009</v>
      </c>
      <c r="O293" s="2278"/>
      <c r="P293" s="2279">
        <v>0</v>
      </c>
      <c r="Q293" s="2280"/>
      <c r="R293" s="2281"/>
      <c r="S293" s="2280">
        <f>+IF($C$8=9900,+IF(ABS(+O293+Q293)&gt;=ABS(P293+R293),+O293-P293+Q293-R293,0),0)</f>
        <v>0</v>
      </c>
      <c r="T293" s="2282">
        <v>0</v>
      </c>
      <c r="U293" s="51"/>
      <c r="V293" s="546">
        <f>+'NF-KSF-TRIAL-BAL-2020'!O293+'RA-TRIAL-BAL-2020'!O293+'DES-TRIAL-BAL-2020'!O293+'DMP-TRIAL-BAL-2020'!O293</f>
        <v>0</v>
      </c>
      <c r="W293" s="536">
        <f>+'NF-KSF-TRIAL-BAL-2020'!P293+'RA-TRIAL-BAL-2020'!P293+'DES-TRIAL-BAL-2020'!P293+'DMP-TRIAL-BAL-2020'!P293</f>
        <v>0</v>
      </c>
      <c r="X293" s="535">
        <f>+'NF-KSF-TRIAL-BAL-2020'!Q293+'RA-TRIAL-BAL-2020'!Q293+'DES-TRIAL-BAL-2020'!Q293+'DMP-TRIAL-BAL-2020'!Q293</f>
        <v>0</v>
      </c>
      <c r="Y293" s="536">
        <f>+'NF-KSF-TRIAL-BAL-2020'!R293+'RA-TRIAL-BAL-2020'!R293+'DES-TRIAL-BAL-2020'!R293+'DMP-TRIAL-BAL-2020'!R293</f>
        <v>0</v>
      </c>
      <c r="Z293" s="535">
        <f>+'NF-KSF-TRIAL-BAL-2020'!S293+'RA-TRIAL-BAL-2020'!S293+'DES-TRIAL-BAL-2020'!S293+'DMP-TRIAL-BAL-2020'!S293</f>
        <v>0</v>
      </c>
      <c r="AA293" s="537">
        <f>+'NF-KSF-TRIAL-BAL-2020'!T293+'RA-TRIAL-BAL-2020'!T293+'DES-TRIAL-BAL-2020'!T293+'DMP-TRIAL-BAL-2020'!T293</f>
        <v>0</v>
      </c>
      <c r="AB293" s="51"/>
      <c r="AC293" s="10">
        <v>0</v>
      </c>
      <c r="AD293" s="11">
        <v>0</v>
      </c>
      <c r="AE293" s="31">
        <v>0</v>
      </c>
      <c r="AF293" s="11">
        <v>0</v>
      </c>
      <c r="AG293" s="829">
        <f t="shared" si="169"/>
        <v>0</v>
      </c>
      <c r="AH293" s="830">
        <v>0</v>
      </c>
      <c r="AI293" s="51"/>
      <c r="AJ293" s="114">
        <f t="shared" si="124"/>
        <v>5009</v>
      </c>
      <c r="AK293" s="833">
        <f t="shared" si="170"/>
        <v>0</v>
      </c>
      <c r="AL293" s="834">
        <v>0</v>
      </c>
      <c r="AM293" s="831">
        <f t="shared" si="171"/>
        <v>0</v>
      </c>
      <c r="AN293" s="832">
        <f t="shared" si="171"/>
        <v>0</v>
      </c>
      <c r="AO293" s="831">
        <f t="shared" si="172"/>
        <v>0</v>
      </c>
      <c r="AP293" s="830">
        <v>0</v>
      </c>
      <c r="AQ293" s="43"/>
      <c r="AR293" s="358">
        <f t="shared" si="173"/>
        <v>0</v>
      </c>
      <c r="AS293" s="359">
        <f t="shared" si="174"/>
        <v>0</v>
      </c>
      <c r="AT293" s="360">
        <f t="shared" si="175"/>
        <v>0</v>
      </c>
      <c r="AU293" s="43"/>
      <c r="AV293" s="2125">
        <f>+IF($C$8=9900,+IF(OR(ROUND(P293,2)+ROUND(R293,2)&gt;+ROUND(O293,2)+ROUND(Q293,2),+ABS(ROUND(P293,2)+ROUND(R293,2))&gt;+ABS(ROUND(O293,2)+ROUND(Q293,2))),+(ROUND(P293,2)+ROUND(R293,2))-(ROUND(O293,2)+ROUND(Q293,2)),0),+(ROUND(O293,2)+ROUND(Q293,2))-(ROUND(P293,2)+ROUND(R293,2)))</f>
        <v>0</v>
      </c>
      <c r="AW293" s="119"/>
      <c r="AX293" s="2125">
        <f>+IF(OR(AC293&lt;&gt;0,AD293&lt;&gt;0,AE293&lt;&gt;0,AF293&lt;&gt;0,AG293&lt;&gt;0,AH293&lt;&gt;0),+IF(ABS(AC293+AE293)-ABS(AD293+AF293)&lt;&gt;0,ABS(AC293+AE293)-ABS(AD293+AF293),1),0)</f>
        <v>0</v>
      </c>
      <c r="AY293" s="43"/>
      <c r="AZ293" s="43"/>
      <c r="BA293" s="43"/>
      <c r="BB293" s="43"/>
      <c r="BC293" s="43"/>
      <c r="BD293" s="43"/>
    </row>
    <row r="294" spans="1:56" ht="15.75">
      <c r="A294" s="88">
        <v>5011</v>
      </c>
      <c r="B294" s="378" t="s">
        <v>807</v>
      </c>
      <c r="C294" s="1034"/>
      <c r="D294" s="1034"/>
      <c r="E294" s="1034"/>
      <c r="F294" s="1034"/>
      <c r="G294" s="1034"/>
      <c r="H294" s="1034"/>
      <c r="I294" s="1034"/>
      <c r="J294" s="1034"/>
      <c r="K294" s="1034"/>
      <c r="L294" s="90"/>
      <c r="M294" s="51" t="s">
        <v>265</v>
      </c>
      <c r="N294" s="113">
        <f t="shared" si="168"/>
        <v>5011</v>
      </c>
      <c r="O294" s="120">
        <v>0</v>
      </c>
      <c r="P294" s="9">
        <v>0</v>
      </c>
      <c r="Q294" s="325">
        <v>5394.52</v>
      </c>
      <c r="R294" s="324">
        <v>5394.52</v>
      </c>
      <c r="S294" s="27">
        <f t="shared" si="176"/>
        <v>0</v>
      </c>
      <c r="T294" s="30">
        <v>0</v>
      </c>
      <c r="U294" s="51"/>
      <c r="V294" s="541">
        <f>+'NF-KSF-TRIAL-BAL-2020'!O294+'RA-TRIAL-BAL-2020'!O294+'DES-TRIAL-BAL-2020'!O294+'DMP-TRIAL-BAL-2020'!O294</f>
        <v>0</v>
      </c>
      <c r="W294" s="529">
        <f>+'NF-KSF-TRIAL-BAL-2020'!P294+'RA-TRIAL-BAL-2020'!P294+'DES-TRIAL-BAL-2020'!P294+'DMP-TRIAL-BAL-2020'!P294</f>
        <v>0</v>
      </c>
      <c r="X294" s="528">
        <f>+'NF-KSF-TRIAL-BAL-2020'!Q294+'RA-TRIAL-BAL-2020'!Q294+'DES-TRIAL-BAL-2020'!Q294+'DMP-TRIAL-BAL-2020'!Q294</f>
        <v>0</v>
      </c>
      <c r="Y294" s="529">
        <f>+'NF-KSF-TRIAL-BAL-2020'!R294+'RA-TRIAL-BAL-2020'!R294+'DES-TRIAL-BAL-2020'!R294+'DMP-TRIAL-BAL-2020'!R294</f>
        <v>0</v>
      </c>
      <c r="Z294" s="528">
        <f>+'NF-KSF-TRIAL-BAL-2020'!S294+'RA-TRIAL-BAL-2020'!S294+'DES-TRIAL-BAL-2020'!S294+'DMP-TRIAL-BAL-2020'!S294</f>
        <v>0</v>
      </c>
      <c r="AA294" s="347">
        <f>+'NF-KSF-TRIAL-BAL-2020'!T294+'RA-TRIAL-BAL-2020'!T294+'DES-TRIAL-BAL-2020'!T294+'DMP-TRIAL-BAL-2020'!T294</f>
        <v>0</v>
      </c>
      <c r="AB294" s="51"/>
      <c r="AC294" s="120">
        <v>0</v>
      </c>
      <c r="AD294" s="9">
        <v>0</v>
      </c>
      <c r="AE294" s="325">
        <v>0</v>
      </c>
      <c r="AF294" s="324">
        <v>0</v>
      </c>
      <c r="AG294" s="27">
        <f t="shared" si="169"/>
        <v>0</v>
      </c>
      <c r="AH294" s="30">
        <v>0</v>
      </c>
      <c r="AI294" s="51"/>
      <c r="AJ294" s="1497">
        <f t="shared" si="124"/>
        <v>5011</v>
      </c>
      <c r="AK294" s="951">
        <f t="shared" ref="AK294:AK325" si="177">+ROUND(+O294+V294+AC294,2)</f>
        <v>0</v>
      </c>
      <c r="AL294" s="9">
        <v>0</v>
      </c>
      <c r="AM294" s="326">
        <f t="shared" ref="AM294:AN369" si="178">+ROUND(+Q294+X294+AE294,2)</f>
        <v>5394.52</v>
      </c>
      <c r="AN294" s="970">
        <f t="shared" si="178"/>
        <v>5394.52</v>
      </c>
      <c r="AO294" s="326">
        <f t="shared" si="172"/>
        <v>0</v>
      </c>
      <c r="AP294" s="30">
        <v>0</v>
      </c>
      <c r="AQ294" s="43"/>
      <c r="AR294" s="358">
        <f t="shared" si="173"/>
        <v>0</v>
      </c>
      <c r="AS294" s="359">
        <f t="shared" si="174"/>
        <v>0</v>
      </c>
      <c r="AT294" s="360">
        <f t="shared" si="175"/>
        <v>0</v>
      </c>
      <c r="AU294" s="43"/>
      <c r="AV294" s="2120">
        <f t="shared" ref="AV294:AV321" si="179">+IF(OR(ROUND(P294,2)+ROUND(R294,2)&gt;+ROUND(O294,2)+ROUND(Q294,2),+ABS(ROUND(P294,2)+ROUND(R294,2))&gt;+ABS(ROUND(O294,2)+ROUND(Q294,2))),+(ROUND(P294,2)+ROUND(R294,2))-(ROUND(O294,2)+ROUND(Q294,2)),0)</f>
        <v>0</v>
      </c>
      <c r="AW294" s="119"/>
      <c r="AX294" s="2120">
        <f t="shared" ref="AX294:AX321" si="180">+IF(OR(ROUND(AD294,2)+ROUND(AF294,2)&gt;+ROUND(AC294,2)+ROUND(AE294,2),+ABS(ROUND(AD294,2)+ROUND(AF294,2))&gt;+ABS(ROUND(AC294,2)+ROUND(AE294,2))),+(ROUND(AD294,2)+ROUND(AF294,2))-(ROUND(AC294,2)+ROUND(AE294,2)),0)</f>
        <v>0</v>
      </c>
      <c r="AY294" s="43"/>
      <c r="AZ294" s="43"/>
      <c r="BA294" s="43"/>
      <c r="BB294" s="43"/>
      <c r="BC294" s="43"/>
      <c r="BD294" s="43"/>
    </row>
    <row r="295" spans="1:56" ht="15.75">
      <c r="A295" s="88">
        <v>5012</v>
      </c>
      <c r="B295" s="378" t="s">
        <v>808</v>
      </c>
      <c r="C295" s="1034"/>
      <c r="D295" s="1034"/>
      <c r="E295" s="1034"/>
      <c r="F295" s="1034"/>
      <c r="G295" s="1034"/>
      <c r="H295" s="1034"/>
      <c r="I295" s="1034"/>
      <c r="J295" s="1034"/>
      <c r="K295" s="1034"/>
      <c r="L295" s="90"/>
      <c r="M295" s="51" t="s">
        <v>265</v>
      </c>
      <c r="N295" s="113">
        <f t="shared" si="168"/>
        <v>5012</v>
      </c>
      <c r="O295" s="120">
        <v>0</v>
      </c>
      <c r="P295" s="9">
        <v>0</v>
      </c>
      <c r="Q295" s="325">
        <v>0</v>
      </c>
      <c r="R295" s="324">
        <v>0</v>
      </c>
      <c r="S295" s="27">
        <f t="shared" si="176"/>
        <v>0</v>
      </c>
      <c r="T295" s="30">
        <v>0</v>
      </c>
      <c r="U295" s="51"/>
      <c r="V295" s="541">
        <f>+'NF-KSF-TRIAL-BAL-2020'!O295+'RA-TRIAL-BAL-2020'!O295+'DES-TRIAL-BAL-2020'!O295+'DMP-TRIAL-BAL-2020'!O295</f>
        <v>0</v>
      </c>
      <c r="W295" s="529">
        <f>+'NF-KSF-TRIAL-BAL-2020'!P295+'RA-TRIAL-BAL-2020'!P295+'DES-TRIAL-BAL-2020'!P295+'DMP-TRIAL-BAL-2020'!P295</f>
        <v>0</v>
      </c>
      <c r="X295" s="528">
        <f>+'NF-KSF-TRIAL-BAL-2020'!Q295+'RA-TRIAL-BAL-2020'!Q295+'DES-TRIAL-BAL-2020'!Q295+'DMP-TRIAL-BAL-2020'!Q295</f>
        <v>0</v>
      </c>
      <c r="Y295" s="529">
        <f>+'NF-KSF-TRIAL-BAL-2020'!R295+'RA-TRIAL-BAL-2020'!R295+'DES-TRIAL-BAL-2020'!R295+'DMP-TRIAL-BAL-2020'!R295</f>
        <v>0</v>
      </c>
      <c r="Z295" s="528">
        <f>+'NF-KSF-TRIAL-BAL-2020'!S295+'RA-TRIAL-BAL-2020'!S295+'DES-TRIAL-BAL-2020'!S295+'DMP-TRIAL-BAL-2020'!S295</f>
        <v>0</v>
      </c>
      <c r="AA295" s="347">
        <f>+'NF-KSF-TRIAL-BAL-2020'!T295+'RA-TRIAL-BAL-2020'!T295+'DES-TRIAL-BAL-2020'!T295+'DMP-TRIAL-BAL-2020'!T295</f>
        <v>0</v>
      </c>
      <c r="AB295" s="51"/>
      <c r="AC295" s="120">
        <v>0</v>
      </c>
      <c r="AD295" s="9">
        <v>0</v>
      </c>
      <c r="AE295" s="325">
        <v>0</v>
      </c>
      <c r="AF295" s="324">
        <v>0</v>
      </c>
      <c r="AG295" s="27">
        <f t="shared" si="169"/>
        <v>0</v>
      </c>
      <c r="AH295" s="30">
        <v>0</v>
      </c>
      <c r="AI295" s="51"/>
      <c r="AJ295" s="1497">
        <f t="shared" si="124"/>
        <v>5012</v>
      </c>
      <c r="AK295" s="951">
        <f t="shared" si="177"/>
        <v>0</v>
      </c>
      <c r="AL295" s="9">
        <v>0</v>
      </c>
      <c r="AM295" s="326">
        <f t="shared" si="178"/>
        <v>0</v>
      </c>
      <c r="AN295" s="970">
        <f t="shared" si="178"/>
        <v>0</v>
      </c>
      <c r="AO295" s="326">
        <f t="shared" si="172"/>
        <v>0</v>
      </c>
      <c r="AP295" s="30">
        <v>0</v>
      </c>
      <c r="AQ295" s="43"/>
      <c r="AR295" s="358">
        <f t="shared" si="173"/>
        <v>0</v>
      </c>
      <c r="AS295" s="359">
        <f t="shared" si="174"/>
        <v>0</v>
      </c>
      <c r="AT295" s="360">
        <f t="shared" si="175"/>
        <v>0</v>
      </c>
      <c r="AU295" s="43"/>
      <c r="AV295" s="2120">
        <f t="shared" si="179"/>
        <v>0</v>
      </c>
      <c r="AW295" s="119"/>
      <c r="AX295" s="2120">
        <f t="shared" si="180"/>
        <v>0</v>
      </c>
      <c r="AY295" s="43"/>
      <c r="AZ295" s="43"/>
      <c r="BA295" s="43"/>
      <c r="BB295" s="43"/>
      <c r="BC295" s="43"/>
      <c r="BD295" s="43"/>
    </row>
    <row r="296" spans="1:56" ht="15.75">
      <c r="A296" s="88">
        <v>5013</v>
      </c>
      <c r="B296" s="378" t="s">
        <v>986</v>
      </c>
      <c r="C296" s="1034"/>
      <c r="D296" s="1034"/>
      <c r="E296" s="1034"/>
      <c r="F296" s="1034"/>
      <c r="G296" s="1034"/>
      <c r="H296" s="1034"/>
      <c r="I296" s="1034"/>
      <c r="J296" s="1034"/>
      <c r="K296" s="1034"/>
      <c r="L296" s="90"/>
      <c r="M296" s="51" t="s">
        <v>265</v>
      </c>
      <c r="N296" s="113">
        <f t="shared" si="168"/>
        <v>5013</v>
      </c>
      <c r="O296" s="120">
        <v>0</v>
      </c>
      <c r="P296" s="9">
        <v>0</v>
      </c>
      <c r="Q296" s="325">
        <v>1082689.51</v>
      </c>
      <c r="R296" s="324">
        <v>969535.7000000003</v>
      </c>
      <c r="S296" s="27">
        <f t="shared" si="176"/>
        <v>113153.80999999971</v>
      </c>
      <c r="T296" s="30">
        <v>0</v>
      </c>
      <c r="U296" s="51"/>
      <c r="V296" s="541">
        <f>+'NF-KSF-TRIAL-BAL-2020'!O296+'RA-TRIAL-BAL-2020'!O296+'DES-TRIAL-BAL-2020'!O296+'DMP-TRIAL-BAL-2020'!O296</f>
        <v>0</v>
      </c>
      <c r="W296" s="529">
        <f>+'NF-KSF-TRIAL-BAL-2020'!P296+'RA-TRIAL-BAL-2020'!P296+'DES-TRIAL-BAL-2020'!P296+'DMP-TRIAL-BAL-2020'!P296</f>
        <v>0</v>
      </c>
      <c r="X296" s="528">
        <f>+'NF-KSF-TRIAL-BAL-2020'!Q296+'RA-TRIAL-BAL-2020'!Q296+'DES-TRIAL-BAL-2020'!Q296+'DMP-TRIAL-BAL-2020'!Q296</f>
        <v>0</v>
      </c>
      <c r="Y296" s="529">
        <f>+'NF-KSF-TRIAL-BAL-2020'!R296+'RA-TRIAL-BAL-2020'!R296+'DES-TRIAL-BAL-2020'!R296+'DMP-TRIAL-BAL-2020'!R296</f>
        <v>0</v>
      </c>
      <c r="Z296" s="528">
        <f>+'NF-KSF-TRIAL-BAL-2020'!S296+'RA-TRIAL-BAL-2020'!S296+'DES-TRIAL-BAL-2020'!S296+'DMP-TRIAL-BAL-2020'!S296</f>
        <v>0</v>
      </c>
      <c r="AA296" s="347">
        <f>+'NF-KSF-TRIAL-BAL-2020'!T296+'RA-TRIAL-BAL-2020'!T296+'DES-TRIAL-BAL-2020'!T296+'DMP-TRIAL-BAL-2020'!T296</f>
        <v>0</v>
      </c>
      <c r="AB296" s="51"/>
      <c r="AC296" s="120">
        <v>0</v>
      </c>
      <c r="AD296" s="9">
        <v>0</v>
      </c>
      <c r="AE296" s="122">
        <v>0</v>
      </c>
      <c r="AF296" s="324">
        <v>0</v>
      </c>
      <c r="AG296" s="27">
        <f t="shared" si="169"/>
        <v>0</v>
      </c>
      <c r="AH296" s="30">
        <v>0</v>
      </c>
      <c r="AI296" s="51"/>
      <c r="AJ296" s="1497">
        <f t="shared" si="124"/>
        <v>5013</v>
      </c>
      <c r="AK296" s="951">
        <f t="shared" si="177"/>
        <v>0</v>
      </c>
      <c r="AL296" s="9">
        <v>0</v>
      </c>
      <c r="AM296" s="326">
        <f t="shared" si="178"/>
        <v>1082689.51</v>
      </c>
      <c r="AN296" s="970">
        <f t="shared" si="178"/>
        <v>969535.7</v>
      </c>
      <c r="AO296" s="326">
        <f t="shared" si="172"/>
        <v>113153.80999999971</v>
      </c>
      <c r="AP296" s="30">
        <v>0</v>
      </c>
      <c r="AQ296" s="43"/>
      <c r="AR296" s="358">
        <f t="shared" si="173"/>
        <v>0</v>
      </c>
      <c r="AS296" s="359">
        <f t="shared" si="174"/>
        <v>0</v>
      </c>
      <c r="AT296" s="360">
        <f t="shared" si="175"/>
        <v>0</v>
      </c>
      <c r="AU296" s="43"/>
      <c r="AV296" s="2120">
        <f t="shared" si="179"/>
        <v>0</v>
      </c>
      <c r="AW296" s="119"/>
      <c r="AX296" s="2120">
        <f t="shared" si="180"/>
        <v>0</v>
      </c>
      <c r="AY296" s="43"/>
      <c r="AZ296" s="43"/>
      <c r="BA296" s="43"/>
      <c r="BB296" s="43"/>
      <c r="BC296" s="43"/>
      <c r="BD296" s="43"/>
    </row>
    <row r="297" spans="1:56" ht="15.75">
      <c r="A297" s="88">
        <v>5014</v>
      </c>
      <c r="B297" s="378" t="s">
        <v>987</v>
      </c>
      <c r="C297" s="1034"/>
      <c r="D297" s="1034"/>
      <c r="E297" s="1034"/>
      <c r="F297" s="1034"/>
      <c r="G297" s="1034"/>
      <c r="H297" s="1034"/>
      <c r="I297" s="1034"/>
      <c r="J297" s="1034"/>
      <c r="K297" s="1034"/>
      <c r="L297" s="90"/>
      <c r="M297" s="51" t="s">
        <v>265</v>
      </c>
      <c r="N297" s="113">
        <f t="shared" si="168"/>
        <v>5014</v>
      </c>
      <c r="O297" s="120">
        <v>0</v>
      </c>
      <c r="P297" s="9">
        <v>0</v>
      </c>
      <c r="Q297" s="325">
        <v>0</v>
      </c>
      <c r="R297" s="324">
        <v>0</v>
      </c>
      <c r="S297" s="27">
        <f t="shared" si="176"/>
        <v>0</v>
      </c>
      <c r="T297" s="30">
        <v>0</v>
      </c>
      <c r="U297" s="51"/>
      <c r="V297" s="541">
        <f>+'NF-KSF-TRIAL-BAL-2020'!O297+'RA-TRIAL-BAL-2020'!O297+'DES-TRIAL-BAL-2020'!O297+'DMP-TRIAL-BAL-2020'!O297</f>
        <v>0</v>
      </c>
      <c r="W297" s="529">
        <f>+'NF-KSF-TRIAL-BAL-2020'!P297+'RA-TRIAL-BAL-2020'!P297+'DES-TRIAL-BAL-2020'!P297+'DMP-TRIAL-BAL-2020'!P297</f>
        <v>0</v>
      </c>
      <c r="X297" s="528">
        <f>+'NF-KSF-TRIAL-BAL-2020'!Q297+'RA-TRIAL-BAL-2020'!Q297+'DES-TRIAL-BAL-2020'!Q297+'DMP-TRIAL-BAL-2020'!Q297</f>
        <v>0</v>
      </c>
      <c r="Y297" s="529">
        <f>+'NF-KSF-TRIAL-BAL-2020'!R297+'RA-TRIAL-BAL-2020'!R297+'DES-TRIAL-BAL-2020'!R297+'DMP-TRIAL-BAL-2020'!R297</f>
        <v>0</v>
      </c>
      <c r="Z297" s="528">
        <f>+'NF-KSF-TRIAL-BAL-2020'!S297+'RA-TRIAL-BAL-2020'!S297+'DES-TRIAL-BAL-2020'!S297+'DMP-TRIAL-BAL-2020'!S297</f>
        <v>0</v>
      </c>
      <c r="AA297" s="347">
        <f>+'NF-KSF-TRIAL-BAL-2020'!T297+'RA-TRIAL-BAL-2020'!T297+'DES-TRIAL-BAL-2020'!T297+'DMP-TRIAL-BAL-2020'!T297</f>
        <v>0</v>
      </c>
      <c r="AB297" s="51"/>
      <c r="AC297" s="120">
        <v>0</v>
      </c>
      <c r="AD297" s="9">
        <v>0</v>
      </c>
      <c r="AE297" s="122">
        <v>0</v>
      </c>
      <c r="AF297" s="324">
        <v>0</v>
      </c>
      <c r="AG297" s="27">
        <f t="shared" si="169"/>
        <v>0</v>
      </c>
      <c r="AH297" s="30">
        <v>0</v>
      </c>
      <c r="AI297" s="51"/>
      <c r="AJ297" s="1497">
        <f t="shared" si="124"/>
        <v>5014</v>
      </c>
      <c r="AK297" s="951">
        <f t="shared" si="177"/>
        <v>0</v>
      </c>
      <c r="AL297" s="9">
        <v>0</v>
      </c>
      <c r="AM297" s="326">
        <f t="shared" si="178"/>
        <v>0</v>
      </c>
      <c r="AN297" s="970">
        <f t="shared" si="178"/>
        <v>0</v>
      </c>
      <c r="AO297" s="326">
        <f t="shared" si="172"/>
        <v>0</v>
      </c>
      <c r="AP297" s="30">
        <v>0</v>
      </c>
      <c r="AQ297" s="43"/>
      <c r="AR297" s="358">
        <f t="shared" si="173"/>
        <v>0</v>
      </c>
      <c r="AS297" s="359">
        <f t="shared" si="174"/>
        <v>0</v>
      </c>
      <c r="AT297" s="360">
        <f t="shared" si="175"/>
        <v>0</v>
      </c>
      <c r="AU297" s="43"/>
      <c r="AV297" s="2120">
        <f t="shared" si="179"/>
        <v>0</v>
      </c>
      <c r="AW297" s="119"/>
      <c r="AX297" s="2120">
        <f t="shared" si="180"/>
        <v>0</v>
      </c>
      <c r="AY297" s="43"/>
      <c r="AZ297" s="43"/>
      <c r="BA297" s="43"/>
      <c r="BB297" s="43"/>
      <c r="BC297" s="43"/>
      <c r="BD297" s="43"/>
    </row>
    <row r="298" spans="1:56" ht="15.75">
      <c r="A298" s="88">
        <v>5015</v>
      </c>
      <c r="B298" s="378" t="s">
        <v>988</v>
      </c>
      <c r="C298" s="1034"/>
      <c r="D298" s="1034"/>
      <c r="E298" s="1034"/>
      <c r="F298" s="1034"/>
      <c r="G298" s="1034"/>
      <c r="H298" s="1034"/>
      <c r="I298" s="1034"/>
      <c r="J298" s="1034"/>
      <c r="K298" s="1034"/>
      <c r="L298" s="90"/>
      <c r="M298" s="51" t="s">
        <v>265</v>
      </c>
      <c r="N298" s="113">
        <f t="shared" si="168"/>
        <v>5015</v>
      </c>
      <c r="O298" s="120"/>
      <c r="P298" s="9">
        <v>0</v>
      </c>
      <c r="Q298" s="325"/>
      <c r="R298" s="324"/>
      <c r="S298" s="27">
        <f t="shared" si="176"/>
        <v>0</v>
      </c>
      <c r="T298" s="30">
        <v>0</v>
      </c>
      <c r="U298" s="51"/>
      <c r="V298" s="541">
        <f>+'NF-KSF-TRIAL-BAL-2020'!O298+'RA-TRIAL-BAL-2020'!O298+'DES-TRIAL-BAL-2020'!O298+'DMP-TRIAL-BAL-2020'!O298</f>
        <v>0</v>
      </c>
      <c r="W298" s="529">
        <f>+'NF-KSF-TRIAL-BAL-2020'!P298+'RA-TRIAL-BAL-2020'!P298+'DES-TRIAL-BAL-2020'!P298+'DMP-TRIAL-BAL-2020'!P298</f>
        <v>0</v>
      </c>
      <c r="X298" s="528">
        <f>+'NF-KSF-TRIAL-BAL-2020'!Q298+'RA-TRIAL-BAL-2020'!Q298+'DES-TRIAL-BAL-2020'!Q298+'DMP-TRIAL-BAL-2020'!Q298</f>
        <v>0</v>
      </c>
      <c r="Y298" s="529">
        <f>+'NF-KSF-TRIAL-BAL-2020'!R298+'RA-TRIAL-BAL-2020'!R298+'DES-TRIAL-BAL-2020'!R298+'DMP-TRIAL-BAL-2020'!R298</f>
        <v>0</v>
      </c>
      <c r="Z298" s="528">
        <f>+'NF-KSF-TRIAL-BAL-2020'!S298+'RA-TRIAL-BAL-2020'!S298+'DES-TRIAL-BAL-2020'!S298+'DMP-TRIAL-BAL-2020'!S298</f>
        <v>0</v>
      </c>
      <c r="AA298" s="347">
        <f>+'NF-KSF-TRIAL-BAL-2020'!T298+'RA-TRIAL-BAL-2020'!T298+'DES-TRIAL-BAL-2020'!T298+'DMP-TRIAL-BAL-2020'!T298</f>
        <v>0</v>
      </c>
      <c r="AB298" s="51"/>
      <c r="AC298" s="120"/>
      <c r="AD298" s="9">
        <v>0</v>
      </c>
      <c r="AE298" s="325"/>
      <c r="AF298" s="324"/>
      <c r="AG298" s="27">
        <f t="shared" si="169"/>
        <v>0</v>
      </c>
      <c r="AH298" s="30">
        <v>0</v>
      </c>
      <c r="AI298" s="51"/>
      <c r="AJ298" s="1497">
        <f t="shared" si="124"/>
        <v>5015</v>
      </c>
      <c r="AK298" s="951">
        <f t="shared" si="177"/>
        <v>0</v>
      </c>
      <c r="AL298" s="9">
        <v>0</v>
      </c>
      <c r="AM298" s="326">
        <f t="shared" si="178"/>
        <v>0</v>
      </c>
      <c r="AN298" s="970">
        <f t="shared" si="178"/>
        <v>0</v>
      </c>
      <c r="AO298" s="326">
        <f t="shared" si="172"/>
        <v>0</v>
      </c>
      <c r="AP298" s="30">
        <v>0</v>
      </c>
      <c r="AQ298" s="43"/>
      <c r="AR298" s="358">
        <f t="shared" si="173"/>
        <v>0</v>
      </c>
      <c r="AS298" s="359">
        <f t="shared" si="174"/>
        <v>0</v>
      </c>
      <c r="AT298" s="360">
        <f t="shared" si="175"/>
        <v>0</v>
      </c>
      <c r="AU298" s="43"/>
      <c r="AV298" s="2120">
        <f t="shared" si="179"/>
        <v>0</v>
      </c>
      <c r="AW298" s="119"/>
      <c r="AX298" s="2120">
        <f t="shared" si="180"/>
        <v>0</v>
      </c>
      <c r="AY298" s="43"/>
      <c r="AZ298" s="43"/>
      <c r="BA298" s="43"/>
      <c r="BB298" s="43"/>
      <c r="BC298" s="43"/>
      <c r="BD298" s="43"/>
    </row>
    <row r="299" spans="1:56" ht="15.75">
      <c r="A299" s="88">
        <v>5016</v>
      </c>
      <c r="B299" s="378" t="s">
        <v>989</v>
      </c>
      <c r="C299" s="1034"/>
      <c r="D299" s="1034"/>
      <c r="E299" s="1034"/>
      <c r="F299" s="1034"/>
      <c r="G299" s="1034"/>
      <c r="H299" s="1034"/>
      <c r="I299" s="1034"/>
      <c r="J299" s="1034"/>
      <c r="K299" s="1034"/>
      <c r="L299" s="90"/>
      <c r="M299" s="51" t="s">
        <v>265</v>
      </c>
      <c r="N299" s="113">
        <f t="shared" si="168"/>
        <v>5016</v>
      </c>
      <c r="O299" s="120">
        <v>0</v>
      </c>
      <c r="P299" s="9">
        <v>0</v>
      </c>
      <c r="Q299" s="325">
        <v>0</v>
      </c>
      <c r="R299" s="324">
        <v>0</v>
      </c>
      <c r="S299" s="27">
        <f t="shared" si="176"/>
        <v>0</v>
      </c>
      <c r="T299" s="30">
        <v>0</v>
      </c>
      <c r="U299" s="51"/>
      <c r="V299" s="541">
        <f>+'NF-KSF-TRIAL-BAL-2020'!O299+'RA-TRIAL-BAL-2020'!O299+'DES-TRIAL-BAL-2020'!O299+'DMP-TRIAL-BAL-2020'!O299</f>
        <v>0</v>
      </c>
      <c r="W299" s="529">
        <f>+'NF-KSF-TRIAL-BAL-2020'!P299+'RA-TRIAL-BAL-2020'!P299+'DES-TRIAL-BAL-2020'!P299+'DMP-TRIAL-BAL-2020'!P299</f>
        <v>0</v>
      </c>
      <c r="X299" s="528">
        <f>+'NF-KSF-TRIAL-BAL-2020'!Q299+'RA-TRIAL-BAL-2020'!Q299+'DES-TRIAL-BAL-2020'!Q299+'DMP-TRIAL-BAL-2020'!Q299</f>
        <v>0</v>
      </c>
      <c r="Y299" s="529">
        <f>+'NF-KSF-TRIAL-BAL-2020'!R299+'RA-TRIAL-BAL-2020'!R299+'DES-TRIAL-BAL-2020'!R299+'DMP-TRIAL-BAL-2020'!R299</f>
        <v>0</v>
      </c>
      <c r="Z299" s="528">
        <f>+'NF-KSF-TRIAL-BAL-2020'!S299+'RA-TRIAL-BAL-2020'!S299+'DES-TRIAL-BAL-2020'!S299+'DMP-TRIAL-BAL-2020'!S299</f>
        <v>0</v>
      </c>
      <c r="AA299" s="347">
        <f>+'NF-KSF-TRIAL-BAL-2020'!T299+'RA-TRIAL-BAL-2020'!T299+'DES-TRIAL-BAL-2020'!T299+'DMP-TRIAL-BAL-2020'!T299</f>
        <v>0</v>
      </c>
      <c r="AB299" s="51"/>
      <c r="AC299" s="120">
        <v>0</v>
      </c>
      <c r="AD299" s="9">
        <v>0</v>
      </c>
      <c r="AE299" s="325">
        <v>0</v>
      </c>
      <c r="AF299" s="324">
        <v>0</v>
      </c>
      <c r="AG299" s="27">
        <f t="shared" si="169"/>
        <v>0</v>
      </c>
      <c r="AH299" s="30">
        <v>0</v>
      </c>
      <c r="AI299" s="51"/>
      <c r="AJ299" s="1497">
        <f t="shared" si="124"/>
        <v>5016</v>
      </c>
      <c r="AK299" s="951">
        <f t="shared" si="177"/>
        <v>0</v>
      </c>
      <c r="AL299" s="9">
        <v>0</v>
      </c>
      <c r="AM299" s="326">
        <f t="shared" si="178"/>
        <v>0</v>
      </c>
      <c r="AN299" s="970">
        <f t="shared" si="178"/>
        <v>0</v>
      </c>
      <c r="AO299" s="326">
        <f t="shared" si="172"/>
        <v>0</v>
      </c>
      <c r="AP299" s="30">
        <v>0</v>
      </c>
      <c r="AQ299" s="43"/>
      <c r="AR299" s="358">
        <f t="shared" si="173"/>
        <v>0</v>
      </c>
      <c r="AS299" s="359">
        <f t="shared" si="174"/>
        <v>0</v>
      </c>
      <c r="AT299" s="360">
        <f t="shared" si="175"/>
        <v>0</v>
      </c>
      <c r="AU299" s="43"/>
      <c r="AV299" s="2120">
        <f t="shared" si="179"/>
        <v>0</v>
      </c>
      <c r="AW299" s="119"/>
      <c r="AX299" s="2120">
        <f t="shared" si="180"/>
        <v>0</v>
      </c>
      <c r="AY299" s="43"/>
      <c r="AZ299" s="43"/>
      <c r="BA299" s="43"/>
      <c r="BB299" s="43"/>
      <c r="BC299" s="43"/>
      <c r="BD299" s="43"/>
    </row>
    <row r="300" spans="1:56" ht="15.75">
      <c r="A300" s="88">
        <v>5017</v>
      </c>
      <c r="B300" s="378" t="s">
        <v>990</v>
      </c>
      <c r="C300" s="1034"/>
      <c r="D300" s="1034"/>
      <c r="E300" s="1034"/>
      <c r="F300" s="1034"/>
      <c r="G300" s="1034"/>
      <c r="H300" s="1034"/>
      <c r="I300" s="1034"/>
      <c r="J300" s="1034"/>
      <c r="K300" s="1034"/>
      <c r="L300" s="90"/>
      <c r="M300" s="51" t="s">
        <v>265</v>
      </c>
      <c r="N300" s="113">
        <f t="shared" si="168"/>
        <v>5017</v>
      </c>
      <c r="O300" s="120"/>
      <c r="P300" s="9">
        <v>0</v>
      </c>
      <c r="Q300" s="325"/>
      <c r="R300" s="324"/>
      <c r="S300" s="27">
        <f t="shared" si="176"/>
        <v>0</v>
      </c>
      <c r="T300" s="30">
        <v>0</v>
      </c>
      <c r="U300" s="51"/>
      <c r="V300" s="541">
        <f>+'NF-KSF-TRIAL-BAL-2020'!O300+'RA-TRIAL-BAL-2020'!O300+'DES-TRIAL-BAL-2020'!O300+'DMP-TRIAL-BAL-2020'!O300</f>
        <v>0</v>
      </c>
      <c r="W300" s="529">
        <f>+'NF-KSF-TRIAL-BAL-2020'!P300+'RA-TRIAL-BAL-2020'!P300+'DES-TRIAL-BAL-2020'!P300+'DMP-TRIAL-BAL-2020'!P300</f>
        <v>0</v>
      </c>
      <c r="X300" s="528">
        <f>+'NF-KSF-TRIAL-BAL-2020'!Q300+'RA-TRIAL-BAL-2020'!Q300+'DES-TRIAL-BAL-2020'!Q300+'DMP-TRIAL-BAL-2020'!Q300</f>
        <v>0</v>
      </c>
      <c r="Y300" s="529">
        <f>+'NF-KSF-TRIAL-BAL-2020'!R300+'RA-TRIAL-BAL-2020'!R300+'DES-TRIAL-BAL-2020'!R300+'DMP-TRIAL-BAL-2020'!R300</f>
        <v>0</v>
      </c>
      <c r="Z300" s="528">
        <f>+'NF-KSF-TRIAL-BAL-2020'!S300+'RA-TRIAL-BAL-2020'!S300+'DES-TRIAL-BAL-2020'!S300+'DMP-TRIAL-BAL-2020'!S300</f>
        <v>0</v>
      </c>
      <c r="AA300" s="347">
        <f>+'NF-KSF-TRIAL-BAL-2020'!T300+'RA-TRIAL-BAL-2020'!T300+'DES-TRIAL-BAL-2020'!T300+'DMP-TRIAL-BAL-2020'!T300</f>
        <v>0</v>
      </c>
      <c r="AB300" s="51"/>
      <c r="AC300" s="120"/>
      <c r="AD300" s="9">
        <v>0</v>
      </c>
      <c r="AE300" s="325"/>
      <c r="AF300" s="324"/>
      <c r="AG300" s="27">
        <f t="shared" si="169"/>
        <v>0</v>
      </c>
      <c r="AH300" s="30">
        <v>0</v>
      </c>
      <c r="AI300" s="51"/>
      <c r="AJ300" s="1497">
        <f t="shared" si="124"/>
        <v>5017</v>
      </c>
      <c r="AK300" s="951">
        <f t="shared" si="177"/>
        <v>0</v>
      </c>
      <c r="AL300" s="9">
        <v>0</v>
      </c>
      <c r="AM300" s="326">
        <f t="shared" si="178"/>
        <v>0</v>
      </c>
      <c r="AN300" s="970">
        <f t="shared" si="178"/>
        <v>0</v>
      </c>
      <c r="AO300" s="326">
        <f t="shared" si="172"/>
        <v>0</v>
      </c>
      <c r="AP300" s="30">
        <v>0</v>
      </c>
      <c r="AQ300" s="43"/>
      <c r="AR300" s="358">
        <f t="shared" si="173"/>
        <v>0</v>
      </c>
      <c r="AS300" s="359">
        <f t="shared" si="174"/>
        <v>0</v>
      </c>
      <c r="AT300" s="360">
        <f t="shared" si="175"/>
        <v>0</v>
      </c>
      <c r="AU300" s="43"/>
      <c r="AV300" s="2120">
        <f t="shared" si="179"/>
        <v>0</v>
      </c>
      <c r="AW300" s="119"/>
      <c r="AX300" s="2120">
        <f t="shared" si="180"/>
        <v>0</v>
      </c>
      <c r="AY300" s="43"/>
      <c r="AZ300" s="43"/>
      <c r="BA300" s="43"/>
      <c r="BB300" s="43"/>
      <c r="BC300" s="43"/>
      <c r="BD300" s="43"/>
    </row>
    <row r="301" spans="1:56" ht="15.75">
      <c r="A301" s="88">
        <v>5018</v>
      </c>
      <c r="B301" s="378" t="s">
        <v>991</v>
      </c>
      <c r="C301" s="1034"/>
      <c r="D301" s="1034"/>
      <c r="E301" s="1034"/>
      <c r="F301" s="1034"/>
      <c r="G301" s="1034"/>
      <c r="H301" s="1034"/>
      <c r="I301" s="1034"/>
      <c r="J301" s="1034"/>
      <c r="K301" s="1034"/>
      <c r="L301" s="90"/>
      <c r="M301" s="51" t="s">
        <v>265</v>
      </c>
      <c r="N301" s="113">
        <f t="shared" si="168"/>
        <v>5018</v>
      </c>
      <c r="O301" s="120"/>
      <c r="P301" s="9">
        <v>0</v>
      </c>
      <c r="Q301" s="325"/>
      <c r="R301" s="324"/>
      <c r="S301" s="27">
        <f t="shared" si="176"/>
        <v>0</v>
      </c>
      <c r="T301" s="30">
        <v>0</v>
      </c>
      <c r="U301" s="51"/>
      <c r="V301" s="541">
        <f>+'NF-KSF-TRIAL-BAL-2020'!O301+'RA-TRIAL-BAL-2020'!O301+'DES-TRIAL-BAL-2020'!O301+'DMP-TRIAL-BAL-2020'!O301</f>
        <v>0</v>
      </c>
      <c r="W301" s="529">
        <f>+'NF-KSF-TRIAL-BAL-2020'!P301+'RA-TRIAL-BAL-2020'!P301+'DES-TRIAL-BAL-2020'!P301+'DMP-TRIAL-BAL-2020'!P301</f>
        <v>0</v>
      </c>
      <c r="X301" s="528">
        <f>+'NF-KSF-TRIAL-BAL-2020'!Q301+'RA-TRIAL-BAL-2020'!Q301+'DES-TRIAL-BAL-2020'!Q301+'DMP-TRIAL-BAL-2020'!Q301</f>
        <v>0</v>
      </c>
      <c r="Y301" s="529">
        <f>+'NF-KSF-TRIAL-BAL-2020'!R301+'RA-TRIAL-BAL-2020'!R301+'DES-TRIAL-BAL-2020'!R301+'DMP-TRIAL-BAL-2020'!R301</f>
        <v>0</v>
      </c>
      <c r="Z301" s="528">
        <f>+'NF-KSF-TRIAL-BAL-2020'!S301+'RA-TRIAL-BAL-2020'!S301+'DES-TRIAL-BAL-2020'!S301+'DMP-TRIAL-BAL-2020'!S301</f>
        <v>0</v>
      </c>
      <c r="AA301" s="347">
        <f>+'NF-KSF-TRIAL-BAL-2020'!T301+'RA-TRIAL-BAL-2020'!T301+'DES-TRIAL-BAL-2020'!T301+'DMP-TRIAL-BAL-2020'!T301</f>
        <v>0</v>
      </c>
      <c r="AB301" s="51"/>
      <c r="AC301" s="120"/>
      <c r="AD301" s="9">
        <v>0</v>
      </c>
      <c r="AE301" s="122"/>
      <c r="AF301" s="324"/>
      <c r="AG301" s="27">
        <f t="shared" si="169"/>
        <v>0</v>
      </c>
      <c r="AH301" s="30">
        <v>0</v>
      </c>
      <c r="AI301" s="51"/>
      <c r="AJ301" s="1497">
        <f t="shared" si="124"/>
        <v>5018</v>
      </c>
      <c r="AK301" s="951">
        <f t="shared" si="177"/>
        <v>0</v>
      </c>
      <c r="AL301" s="9">
        <v>0</v>
      </c>
      <c r="AM301" s="326">
        <f t="shared" si="178"/>
        <v>0</v>
      </c>
      <c r="AN301" s="970">
        <f t="shared" si="178"/>
        <v>0</v>
      </c>
      <c r="AO301" s="326">
        <f t="shared" si="172"/>
        <v>0</v>
      </c>
      <c r="AP301" s="30">
        <v>0</v>
      </c>
      <c r="AQ301" s="43"/>
      <c r="AR301" s="358">
        <f t="shared" si="173"/>
        <v>0</v>
      </c>
      <c r="AS301" s="359">
        <f t="shared" si="174"/>
        <v>0</v>
      </c>
      <c r="AT301" s="360">
        <f t="shared" si="175"/>
        <v>0</v>
      </c>
      <c r="AU301" s="43"/>
      <c r="AV301" s="2120">
        <f t="shared" si="179"/>
        <v>0</v>
      </c>
      <c r="AW301" s="119"/>
      <c r="AX301" s="2120">
        <f t="shared" si="180"/>
        <v>0</v>
      </c>
      <c r="AY301" s="43"/>
      <c r="AZ301" s="43"/>
      <c r="BA301" s="43"/>
      <c r="BB301" s="43"/>
      <c r="BC301" s="43"/>
      <c r="BD301" s="43"/>
    </row>
    <row r="302" spans="1:56" ht="15.75">
      <c r="A302" s="88">
        <v>5022</v>
      </c>
      <c r="B302" s="378" t="s">
        <v>992</v>
      </c>
      <c r="C302" s="1034"/>
      <c r="D302" s="1034"/>
      <c r="E302" s="1034"/>
      <c r="F302" s="1034"/>
      <c r="G302" s="1034"/>
      <c r="H302" s="1034"/>
      <c r="I302" s="1034"/>
      <c r="J302" s="1034"/>
      <c r="K302" s="1034"/>
      <c r="L302" s="90"/>
      <c r="M302" s="51" t="s">
        <v>265</v>
      </c>
      <c r="N302" s="113">
        <f t="shared" si="168"/>
        <v>5022</v>
      </c>
      <c r="O302" s="120"/>
      <c r="P302" s="9">
        <v>0</v>
      </c>
      <c r="Q302" s="325"/>
      <c r="R302" s="324"/>
      <c r="S302" s="27">
        <f t="shared" si="176"/>
        <v>0</v>
      </c>
      <c r="T302" s="30">
        <v>0</v>
      </c>
      <c r="U302" s="51"/>
      <c r="V302" s="541">
        <f>+'NF-KSF-TRIAL-BAL-2020'!O302+'RA-TRIAL-BAL-2020'!O302+'DES-TRIAL-BAL-2020'!O302+'DMP-TRIAL-BAL-2020'!O302</f>
        <v>0</v>
      </c>
      <c r="W302" s="529">
        <f>+'NF-KSF-TRIAL-BAL-2020'!P302+'RA-TRIAL-BAL-2020'!P302+'DES-TRIAL-BAL-2020'!P302+'DMP-TRIAL-BAL-2020'!P302</f>
        <v>0</v>
      </c>
      <c r="X302" s="528">
        <f>+'NF-KSF-TRIAL-BAL-2020'!Q302+'RA-TRIAL-BAL-2020'!Q302+'DES-TRIAL-BAL-2020'!Q302+'DMP-TRIAL-BAL-2020'!Q302</f>
        <v>0</v>
      </c>
      <c r="Y302" s="529">
        <f>+'NF-KSF-TRIAL-BAL-2020'!R302+'RA-TRIAL-BAL-2020'!R302+'DES-TRIAL-BAL-2020'!R302+'DMP-TRIAL-BAL-2020'!R302</f>
        <v>0</v>
      </c>
      <c r="Z302" s="528">
        <f>+'NF-KSF-TRIAL-BAL-2020'!S302+'RA-TRIAL-BAL-2020'!S302+'DES-TRIAL-BAL-2020'!S302+'DMP-TRIAL-BAL-2020'!S302</f>
        <v>0</v>
      </c>
      <c r="AA302" s="347">
        <f>+'NF-KSF-TRIAL-BAL-2020'!T302+'RA-TRIAL-BAL-2020'!T302+'DES-TRIAL-BAL-2020'!T302+'DMP-TRIAL-BAL-2020'!T302</f>
        <v>0</v>
      </c>
      <c r="AB302" s="51"/>
      <c r="AC302" s="120"/>
      <c r="AD302" s="9">
        <v>0</v>
      </c>
      <c r="AE302" s="122"/>
      <c r="AF302" s="324"/>
      <c r="AG302" s="27">
        <f t="shared" si="169"/>
        <v>0</v>
      </c>
      <c r="AH302" s="30">
        <v>0</v>
      </c>
      <c r="AI302" s="51"/>
      <c r="AJ302" s="1497">
        <f t="shared" si="124"/>
        <v>5022</v>
      </c>
      <c r="AK302" s="951">
        <f t="shared" si="177"/>
        <v>0</v>
      </c>
      <c r="AL302" s="9">
        <v>0</v>
      </c>
      <c r="AM302" s="326">
        <f t="shared" si="178"/>
        <v>0</v>
      </c>
      <c r="AN302" s="970">
        <f t="shared" si="178"/>
        <v>0</v>
      </c>
      <c r="AO302" s="326">
        <f t="shared" si="172"/>
        <v>0</v>
      </c>
      <c r="AP302" s="30">
        <v>0</v>
      </c>
      <c r="AQ302" s="43"/>
      <c r="AR302" s="358">
        <f t="shared" si="173"/>
        <v>0</v>
      </c>
      <c r="AS302" s="359">
        <f t="shared" si="174"/>
        <v>0</v>
      </c>
      <c r="AT302" s="360">
        <f t="shared" si="175"/>
        <v>0</v>
      </c>
      <c r="AU302" s="43"/>
      <c r="AV302" s="2120">
        <f t="shared" si="179"/>
        <v>0</v>
      </c>
      <c r="AW302" s="119"/>
      <c r="AX302" s="2120">
        <f t="shared" si="180"/>
        <v>0</v>
      </c>
      <c r="AY302" s="43"/>
      <c r="AZ302" s="43"/>
      <c r="BA302" s="43"/>
      <c r="BB302" s="43"/>
      <c r="BC302" s="43"/>
      <c r="BD302" s="43"/>
    </row>
    <row r="303" spans="1:56" ht="15.75">
      <c r="A303" s="88">
        <v>5024</v>
      </c>
      <c r="B303" s="378" t="s">
        <v>993</v>
      </c>
      <c r="C303" s="1034"/>
      <c r="D303" s="1034"/>
      <c r="E303" s="1034"/>
      <c r="F303" s="1034"/>
      <c r="G303" s="1034"/>
      <c r="H303" s="1034"/>
      <c r="I303" s="1034"/>
      <c r="J303" s="1034"/>
      <c r="K303" s="1034"/>
      <c r="L303" s="90"/>
      <c r="M303" s="51" t="s">
        <v>265</v>
      </c>
      <c r="N303" s="113">
        <f t="shared" si="168"/>
        <v>5024</v>
      </c>
      <c r="O303" s="120"/>
      <c r="P303" s="9">
        <v>0</v>
      </c>
      <c r="Q303" s="325"/>
      <c r="R303" s="324"/>
      <c r="S303" s="27">
        <f t="shared" si="176"/>
        <v>0</v>
      </c>
      <c r="T303" s="30">
        <v>0</v>
      </c>
      <c r="U303" s="51"/>
      <c r="V303" s="541">
        <f>+'NF-KSF-TRIAL-BAL-2020'!O303+'RA-TRIAL-BAL-2020'!O303+'DES-TRIAL-BAL-2020'!O303+'DMP-TRIAL-BAL-2020'!O303</f>
        <v>0</v>
      </c>
      <c r="W303" s="529">
        <f>+'NF-KSF-TRIAL-BAL-2020'!P303+'RA-TRIAL-BAL-2020'!P303+'DES-TRIAL-BAL-2020'!P303+'DMP-TRIAL-BAL-2020'!P303</f>
        <v>0</v>
      </c>
      <c r="X303" s="528">
        <f>+'NF-KSF-TRIAL-BAL-2020'!Q303+'RA-TRIAL-BAL-2020'!Q303+'DES-TRIAL-BAL-2020'!Q303+'DMP-TRIAL-BAL-2020'!Q303</f>
        <v>0</v>
      </c>
      <c r="Y303" s="529">
        <f>+'NF-KSF-TRIAL-BAL-2020'!R303+'RA-TRIAL-BAL-2020'!R303+'DES-TRIAL-BAL-2020'!R303+'DMP-TRIAL-BAL-2020'!R303</f>
        <v>0</v>
      </c>
      <c r="Z303" s="528">
        <f>+'NF-KSF-TRIAL-BAL-2020'!S303+'RA-TRIAL-BAL-2020'!S303+'DES-TRIAL-BAL-2020'!S303+'DMP-TRIAL-BAL-2020'!S303</f>
        <v>0</v>
      </c>
      <c r="AA303" s="347">
        <f>+'NF-KSF-TRIAL-BAL-2020'!T303+'RA-TRIAL-BAL-2020'!T303+'DES-TRIAL-BAL-2020'!T303+'DMP-TRIAL-BAL-2020'!T303</f>
        <v>0</v>
      </c>
      <c r="AB303" s="51"/>
      <c r="AC303" s="120"/>
      <c r="AD303" s="9">
        <v>0</v>
      </c>
      <c r="AE303" s="325"/>
      <c r="AF303" s="324"/>
      <c r="AG303" s="27">
        <f t="shared" si="169"/>
        <v>0</v>
      </c>
      <c r="AH303" s="30">
        <v>0</v>
      </c>
      <c r="AI303" s="51"/>
      <c r="AJ303" s="1497">
        <f t="shared" si="124"/>
        <v>5024</v>
      </c>
      <c r="AK303" s="951">
        <f t="shared" si="177"/>
        <v>0</v>
      </c>
      <c r="AL303" s="9">
        <v>0</v>
      </c>
      <c r="AM303" s="326">
        <f t="shared" si="178"/>
        <v>0</v>
      </c>
      <c r="AN303" s="970">
        <f t="shared" si="178"/>
        <v>0</v>
      </c>
      <c r="AO303" s="326">
        <f t="shared" si="172"/>
        <v>0</v>
      </c>
      <c r="AP303" s="30">
        <v>0</v>
      </c>
      <c r="AQ303" s="43"/>
      <c r="AR303" s="358">
        <f t="shared" si="173"/>
        <v>0</v>
      </c>
      <c r="AS303" s="359">
        <f t="shared" si="174"/>
        <v>0</v>
      </c>
      <c r="AT303" s="360">
        <f t="shared" si="175"/>
        <v>0</v>
      </c>
      <c r="AU303" s="43"/>
      <c r="AV303" s="2120">
        <f t="shared" si="179"/>
        <v>0</v>
      </c>
      <c r="AW303" s="119"/>
      <c r="AX303" s="2120">
        <f t="shared" si="180"/>
        <v>0</v>
      </c>
      <c r="AY303" s="43"/>
      <c r="AZ303" s="43"/>
      <c r="BA303" s="43"/>
      <c r="BB303" s="43"/>
      <c r="BC303" s="43"/>
      <c r="BD303" s="43"/>
    </row>
    <row r="304" spans="1:56" ht="15.75">
      <c r="A304" s="88">
        <v>5026</v>
      </c>
      <c r="B304" s="378" t="s">
        <v>994</v>
      </c>
      <c r="C304" s="1034"/>
      <c r="D304" s="1034"/>
      <c r="E304" s="1034"/>
      <c r="F304" s="1034"/>
      <c r="G304" s="1034"/>
      <c r="H304" s="1034"/>
      <c r="I304" s="1034"/>
      <c r="J304" s="1034"/>
      <c r="K304" s="1034"/>
      <c r="L304" s="90"/>
      <c r="M304" s="51" t="s">
        <v>265</v>
      </c>
      <c r="N304" s="113">
        <f t="shared" si="168"/>
        <v>5026</v>
      </c>
      <c r="O304" s="120"/>
      <c r="P304" s="9">
        <v>0</v>
      </c>
      <c r="Q304" s="325"/>
      <c r="R304" s="324"/>
      <c r="S304" s="27">
        <f t="shared" si="176"/>
        <v>0</v>
      </c>
      <c r="T304" s="30">
        <v>0</v>
      </c>
      <c r="U304" s="51"/>
      <c r="V304" s="541">
        <f>+'NF-KSF-TRIAL-BAL-2020'!O304+'RA-TRIAL-BAL-2020'!O304+'DES-TRIAL-BAL-2020'!O304+'DMP-TRIAL-BAL-2020'!O304</f>
        <v>0</v>
      </c>
      <c r="W304" s="529">
        <f>+'NF-KSF-TRIAL-BAL-2020'!P304+'RA-TRIAL-BAL-2020'!P304+'DES-TRIAL-BAL-2020'!P304+'DMP-TRIAL-BAL-2020'!P304</f>
        <v>0</v>
      </c>
      <c r="X304" s="528">
        <f>+'NF-KSF-TRIAL-BAL-2020'!Q304+'RA-TRIAL-BAL-2020'!Q304+'DES-TRIAL-BAL-2020'!Q304+'DMP-TRIAL-BAL-2020'!Q304</f>
        <v>0</v>
      </c>
      <c r="Y304" s="529">
        <f>+'NF-KSF-TRIAL-BAL-2020'!R304+'RA-TRIAL-BAL-2020'!R304+'DES-TRIAL-BAL-2020'!R304+'DMP-TRIAL-BAL-2020'!R304</f>
        <v>0</v>
      </c>
      <c r="Z304" s="528">
        <f>+'NF-KSF-TRIAL-BAL-2020'!S304+'RA-TRIAL-BAL-2020'!S304+'DES-TRIAL-BAL-2020'!S304+'DMP-TRIAL-BAL-2020'!S304</f>
        <v>0</v>
      </c>
      <c r="AA304" s="347">
        <f>+'NF-KSF-TRIAL-BAL-2020'!T304+'RA-TRIAL-BAL-2020'!T304+'DES-TRIAL-BAL-2020'!T304+'DMP-TRIAL-BAL-2020'!T304</f>
        <v>0</v>
      </c>
      <c r="AB304" s="51"/>
      <c r="AC304" s="120"/>
      <c r="AD304" s="9">
        <v>0</v>
      </c>
      <c r="AE304" s="325"/>
      <c r="AF304" s="324"/>
      <c r="AG304" s="27">
        <f t="shared" si="169"/>
        <v>0</v>
      </c>
      <c r="AH304" s="30">
        <v>0</v>
      </c>
      <c r="AI304" s="51"/>
      <c r="AJ304" s="1497">
        <f t="shared" si="124"/>
        <v>5026</v>
      </c>
      <c r="AK304" s="951">
        <f t="shared" si="177"/>
        <v>0</v>
      </c>
      <c r="AL304" s="9">
        <v>0</v>
      </c>
      <c r="AM304" s="326">
        <f t="shared" si="178"/>
        <v>0</v>
      </c>
      <c r="AN304" s="970">
        <f t="shared" si="178"/>
        <v>0</v>
      </c>
      <c r="AO304" s="326">
        <f t="shared" si="172"/>
        <v>0</v>
      </c>
      <c r="AP304" s="30">
        <v>0</v>
      </c>
      <c r="AQ304" s="43"/>
      <c r="AR304" s="358">
        <f t="shared" si="173"/>
        <v>0</v>
      </c>
      <c r="AS304" s="359">
        <f t="shared" si="174"/>
        <v>0</v>
      </c>
      <c r="AT304" s="360">
        <f t="shared" si="175"/>
        <v>0</v>
      </c>
      <c r="AU304" s="43"/>
      <c r="AV304" s="2120">
        <f t="shared" si="179"/>
        <v>0</v>
      </c>
      <c r="AW304" s="119"/>
      <c r="AX304" s="2120">
        <f t="shared" si="180"/>
        <v>0</v>
      </c>
      <c r="AY304" s="43"/>
      <c r="AZ304" s="43"/>
      <c r="BA304" s="43"/>
      <c r="BB304" s="43"/>
      <c r="BC304" s="43"/>
      <c r="BD304" s="43"/>
    </row>
    <row r="305" spans="1:56" ht="15.75">
      <c r="A305" s="88">
        <v>5028</v>
      </c>
      <c r="B305" s="378" t="s">
        <v>995</v>
      </c>
      <c r="C305" s="1034"/>
      <c r="D305" s="1034"/>
      <c r="E305" s="1034"/>
      <c r="F305" s="1034"/>
      <c r="G305" s="1034"/>
      <c r="H305" s="1034"/>
      <c r="I305" s="1034"/>
      <c r="J305" s="1034"/>
      <c r="K305" s="1034"/>
      <c r="L305" s="90"/>
      <c r="M305" s="51" t="s">
        <v>265</v>
      </c>
      <c r="N305" s="113">
        <f t="shared" si="168"/>
        <v>5028</v>
      </c>
      <c r="O305" s="120"/>
      <c r="P305" s="9">
        <v>0</v>
      </c>
      <c r="Q305" s="325"/>
      <c r="R305" s="324"/>
      <c r="S305" s="27">
        <f t="shared" si="176"/>
        <v>0</v>
      </c>
      <c r="T305" s="30">
        <v>0</v>
      </c>
      <c r="U305" s="51"/>
      <c r="V305" s="541">
        <f>+'NF-KSF-TRIAL-BAL-2020'!O305+'RA-TRIAL-BAL-2020'!O305+'DES-TRIAL-BAL-2020'!O305+'DMP-TRIAL-BAL-2020'!O305</f>
        <v>0</v>
      </c>
      <c r="W305" s="529">
        <f>+'NF-KSF-TRIAL-BAL-2020'!P305+'RA-TRIAL-BAL-2020'!P305+'DES-TRIAL-BAL-2020'!P305+'DMP-TRIAL-BAL-2020'!P305</f>
        <v>0</v>
      </c>
      <c r="X305" s="528">
        <f>+'NF-KSF-TRIAL-BAL-2020'!Q305+'RA-TRIAL-BAL-2020'!Q305+'DES-TRIAL-BAL-2020'!Q305+'DMP-TRIAL-BAL-2020'!Q305</f>
        <v>0</v>
      </c>
      <c r="Y305" s="529">
        <f>+'NF-KSF-TRIAL-BAL-2020'!R305+'RA-TRIAL-BAL-2020'!R305+'DES-TRIAL-BAL-2020'!R305+'DMP-TRIAL-BAL-2020'!R305</f>
        <v>0</v>
      </c>
      <c r="Z305" s="528">
        <f>+'NF-KSF-TRIAL-BAL-2020'!S305+'RA-TRIAL-BAL-2020'!S305+'DES-TRIAL-BAL-2020'!S305+'DMP-TRIAL-BAL-2020'!S305</f>
        <v>0</v>
      </c>
      <c r="AA305" s="347">
        <f>+'NF-KSF-TRIAL-BAL-2020'!T305+'RA-TRIAL-BAL-2020'!T305+'DES-TRIAL-BAL-2020'!T305+'DMP-TRIAL-BAL-2020'!T305</f>
        <v>0</v>
      </c>
      <c r="AB305" s="51"/>
      <c r="AC305" s="120"/>
      <c r="AD305" s="9">
        <v>0</v>
      </c>
      <c r="AE305" s="325"/>
      <c r="AF305" s="324"/>
      <c r="AG305" s="27">
        <f t="shared" si="169"/>
        <v>0</v>
      </c>
      <c r="AH305" s="30">
        <v>0</v>
      </c>
      <c r="AI305" s="51"/>
      <c r="AJ305" s="1497">
        <f t="shared" si="124"/>
        <v>5028</v>
      </c>
      <c r="AK305" s="951">
        <f t="shared" si="177"/>
        <v>0</v>
      </c>
      <c r="AL305" s="9">
        <v>0</v>
      </c>
      <c r="AM305" s="326">
        <f t="shared" si="178"/>
        <v>0</v>
      </c>
      <c r="AN305" s="970">
        <f t="shared" si="178"/>
        <v>0</v>
      </c>
      <c r="AO305" s="326">
        <f t="shared" si="172"/>
        <v>0</v>
      </c>
      <c r="AP305" s="30">
        <v>0</v>
      </c>
      <c r="AQ305" s="43"/>
      <c r="AR305" s="358">
        <f t="shared" si="173"/>
        <v>0</v>
      </c>
      <c r="AS305" s="359">
        <f t="shared" si="174"/>
        <v>0</v>
      </c>
      <c r="AT305" s="360">
        <f t="shared" si="175"/>
        <v>0</v>
      </c>
      <c r="AU305" s="43"/>
      <c r="AV305" s="2120">
        <f t="shared" si="179"/>
        <v>0</v>
      </c>
      <c r="AW305" s="119"/>
      <c r="AX305" s="2120">
        <f t="shared" si="180"/>
        <v>0</v>
      </c>
      <c r="AY305" s="43"/>
      <c r="AZ305" s="43"/>
      <c r="BA305" s="43"/>
      <c r="BB305" s="43"/>
      <c r="BC305" s="43"/>
      <c r="BD305" s="43"/>
    </row>
    <row r="306" spans="1:56" ht="15.75">
      <c r="A306" s="88">
        <v>5071</v>
      </c>
      <c r="B306" s="378" t="s">
        <v>996</v>
      </c>
      <c r="C306" s="1034"/>
      <c r="D306" s="1034"/>
      <c r="E306" s="1034"/>
      <c r="F306" s="1034"/>
      <c r="G306" s="1034"/>
      <c r="H306" s="1034"/>
      <c r="I306" s="1034"/>
      <c r="J306" s="1034"/>
      <c r="K306" s="1034"/>
      <c r="L306" s="574"/>
      <c r="M306" s="51" t="s">
        <v>265</v>
      </c>
      <c r="N306" s="113">
        <f t="shared" si="168"/>
        <v>5071</v>
      </c>
      <c r="O306" s="581"/>
      <c r="P306" s="582">
        <v>0</v>
      </c>
      <c r="Q306" s="325"/>
      <c r="R306" s="324"/>
      <c r="S306" s="583">
        <f t="shared" si="176"/>
        <v>0</v>
      </c>
      <c r="T306" s="584">
        <v>0</v>
      </c>
      <c r="U306" s="51"/>
      <c r="V306" s="541">
        <f>+'NF-KSF-TRIAL-BAL-2020'!O306+'RA-TRIAL-BAL-2020'!O306+'DES-TRIAL-BAL-2020'!O306+'DMP-TRIAL-BAL-2020'!O306</f>
        <v>0</v>
      </c>
      <c r="W306" s="529">
        <f>+'NF-KSF-TRIAL-BAL-2020'!P306+'RA-TRIAL-BAL-2020'!P306+'DES-TRIAL-BAL-2020'!P306+'DMP-TRIAL-BAL-2020'!P306</f>
        <v>0</v>
      </c>
      <c r="X306" s="587">
        <f>+'NF-KSF-TRIAL-BAL-2020'!Q306+'RA-TRIAL-BAL-2020'!Q306+'DES-TRIAL-BAL-2020'!Q306+'DMP-TRIAL-BAL-2020'!Q306</f>
        <v>0</v>
      </c>
      <c r="Y306" s="586">
        <f>+'NF-KSF-TRIAL-BAL-2020'!R306+'RA-TRIAL-BAL-2020'!R306+'DES-TRIAL-BAL-2020'!R306+'DMP-TRIAL-BAL-2020'!R306</f>
        <v>0</v>
      </c>
      <c r="Z306" s="587">
        <f>+'NF-KSF-TRIAL-BAL-2020'!S306+'RA-TRIAL-BAL-2020'!S306+'DES-TRIAL-BAL-2020'!S306+'DMP-TRIAL-BAL-2020'!S306</f>
        <v>0</v>
      </c>
      <c r="AA306" s="588">
        <f>+'NF-KSF-TRIAL-BAL-2020'!T306+'RA-TRIAL-BAL-2020'!T306+'DES-TRIAL-BAL-2020'!T306+'DMP-TRIAL-BAL-2020'!T306</f>
        <v>0</v>
      </c>
      <c r="AB306" s="51"/>
      <c r="AC306" s="581"/>
      <c r="AD306" s="582">
        <v>0</v>
      </c>
      <c r="AE306" s="122"/>
      <c r="AF306" s="324"/>
      <c r="AG306" s="583">
        <f t="shared" si="169"/>
        <v>0</v>
      </c>
      <c r="AH306" s="584">
        <v>0</v>
      </c>
      <c r="AI306" s="51"/>
      <c r="AJ306" s="1497">
        <f t="shared" si="124"/>
        <v>5071</v>
      </c>
      <c r="AK306" s="951">
        <f t="shared" si="177"/>
        <v>0</v>
      </c>
      <c r="AL306" s="9">
        <v>0</v>
      </c>
      <c r="AM306" s="326">
        <f t="shared" si="178"/>
        <v>0</v>
      </c>
      <c r="AN306" s="970">
        <f t="shared" si="178"/>
        <v>0</v>
      </c>
      <c r="AO306" s="326">
        <f t="shared" ref="AO306:AP336" si="181">+S306+Z306+AG306</f>
        <v>0</v>
      </c>
      <c r="AP306" s="30">
        <v>0</v>
      </c>
      <c r="AQ306" s="43"/>
      <c r="AR306" s="358">
        <f t="shared" si="173"/>
        <v>0</v>
      </c>
      <c r="AS306" s="359">
        <f t="shared" si="174"/>
        <v>0</v>
      </c>
      <c r="AT306" s="360">
        <f t="shared" si="175"/>
        <v>0</v>
      </c>
      <c r="AU306" s="43"/>
      <c r="AV306" s="2120">
        <f t="shared" si="179"/>
        <v>0</v>
      </c>
      <c r="AW306" s="119"/>
      <c r="AX306" s="2120">
        <f t="shared" si="180"/>
        <v>0</v>
      </c>
      <c r="AY306" s="43"/>
      <c r="AZ306" s="43"/>
      <c r="BA306" s="43"/>
      <c r="BB306" s="43"/>
      <c r="BC306" s="43"/>
      <c r="BD306" s="43"/>
    </row>
    <row r="307" spans="1:56" ht="15.75">
      <c r="A307" s="88">
        <v>5073</v>
      </c>
      <c r="B307" s="378" t="s">
        <v>997</v>
      </c>
      <c r="C307" s="1034"/>
      <c r="D307" s="1034"/>
      <c r="E307" s="1034"/>
      <c r="F307" s="1034"/>
      <c r="G307" s="1034"/>
      <c r="H307" s="1034"/>
      <c r="I307" s="1034"/>
      <c r="J307" s="1034"/>
      <c r="K307" s="1034"/>
      <c r="L307" s="574"/>
      <c r="M307" s="51" t="s">
        <v>265</v>
      </c>
      <c r="N307" s="113">
        <f t="shared" si="168"/>
        <v>5073</v>
      </c>
      <c r="O307" s="581"/>
      <c r="P307" s="582">
        <v>0</v>
      </c>
      <c r="Q307" s="325"/>
      <c r="R307" s="324"/>
      <c r="S307" s="583">
        <f t="shared" si="176"/>
        <v>0</v>
      </c>
      <c r="T307" s="584">
        <v>0</v>
      </c>
      <c r="U307" s="51"/>
      <c r="V307" s="541">
        <f>+'NF-KSF-TRIAL-BAL-2020'!O307+'RA-TRIAL-BAL-2020'!O307+'DES-TRIAL-BAL-2020'!O307+'DMP-TRIAL-BAL-2020'!O307</f>
        <v>0</v>
      </c>
      <c r="W307" s="529">
        <f>+'NF-KSF-TRIAL-BAL-2020'!P307+'RA-TRIAL-BAL-2020'!P307+'DES-TRIAL-BAL-2020'!P307+'DMP-TRIAL-BAL-2020'!P307</f>
        <v>0</v>
      </c>
      <c r="X307" s="587">
        <f>+'NF-KSF-TRIAL-BAL-2020'!Q307+'RA-TRIAL-BAL-2020'!Q307+'DES-TRIAL-BAL-2020'!Q307+'DMP-TRIAL-BAL-2020'!Q307</f>
        <v>0</v>
      </c>
      <c r="Y307" s="586">
        <f>+'NF-KSF-TRIAL-BAL-2020'!R307+'RA-TRIAL-BAL-2020'!R307+'DES-TRIAL-BAL-2020'!R307+'DMP-TRIAL-BAL-2020'!R307</f>
        <v>0</v>
      </c>
      <c r="Z307" s="587">
        <f>+'NF-KSF-TRIAL-BAL-2020'!S307+'RA-TRIAL-BAL-2020'!S307+'DES-TRIAL-BAL-2020'!S307+'DMP-TRIAL-BAL-2020'!S307</f>
        <v>0</v>
      </c>
      <c r="AA307" s="588">
        <f>+'NF-KSF-TRIAL-BAL-2020'!T307+'RA-TRIAL-BAL-2020'!T307+'DES-TRIAL-BAL-2020'!T307+'DMP-TRIAL-BAL-2020'!T307</f>
        <v>0</v>
      </c>
      <c r="AB307" s="51"/>
      <c r="AC307" s="581"/>
      <c r="AD307" s="582">
        <v>0</v>
      </c>
      <c r="AE307" s="122"/>
      <c r="AF307" s="324"/>
      <c r="AG307" s="583">
        <f t="shared" si="169"/>
        <v>0</v>
      </c>
      <c r="AH307" s="584">
        <v>0</v>
      </c>
      <c r="AI307" s="51"/>
      <c r="AJ307" s="1497">
        <f t="shared" si="124"/>
        <v>5073</v>
      </c>
      <c r="AK307" s="951">
        <f t="shared" si="177"/>
        <v>0</v>
      </c>
      <c r="AL307" s="9">
        <v>0</v>
      </c>
      <c r="AM307" s="326">
        <f t="shared" si="178"/>
        <v>0</v>
      </c>
      <c r="AN307" s="970">
        <f t="shared" si="178"/>
        <v>0</v>
      </c>
      <c r="AO307" s="326">
        <f t="shared" si="181"/>
        <v>0</v>
      </c>
      <c r="AP307" s="30">
        <v>0</v>
      </c>
      <c r="AQ307" s="43"/>
      <c r="AR307" s="358">
        <f t="shared" si="173"/>
        <v>0</v>
      </c>
      <c r="AS307" s="359">
        <f t="shared" si="174"/>
        <v>0</v>
      </c>
      <c r="AT307" s="360">
        <f t="shared" si="175"/>
        <v>0</v>
      </c>
      <c r="AU307" s="43"/>
      <c r="AV307" s="2120">
        <f t="shared" si="179"/>
        <v>0</v>
      </c>
      <c r="AW307" s="119"/>
      <c r="AX307" s="2120">
        <f t="shared" si="180"/>
        <v>0</v>
      </c>
      <c r="AY307" s="43"/>
      <c r="AZ307" s="43"/>
      <c r="BA307" s="43"/>
      <c r="BB307" s="43"/>
      <c r="BC307" s="43"/>
      <c r="BD307" s="43"/>
    </row>
    <row r="308" spans="1:56" ht="15.75">
      <c r="A308" s="88">
        <v>5078</v>
      </c>
      <c r="B308" s="378" t="s">
        <v>998</v>
      </c>
      <c r="C308" s="1034"/>
      <c r="D308" s="1034"/>
      <c r="E308" s="1034"/>
      <c r="F308" s="1034"/>
      <c r="G308" s="1034"/>
      <c r="H308" s="1034"/>
      <c r="I308" s="1034"/>
      <c r="J308" s="1034"/>
      <c r="K308" s="1034"/>
      <c r="L308" s="574"/>
      <c r="M308" s="51" t="s">
        <v>265</v>
      </c>
      <c r="N308" s="113">
        <f t="shared" si="168"/>
        <v>5078</v>
      </c>
      <c r="O308" s="581"/>
      <c r="P308" s="582">
        <v>0</v>
      </c>
      <c r="Q308" s="325"/>
      <c r="R308" s="324"/>
      <c r="S308" s="583">
        <f t="shared" si="176"/>
        <v>0</v>
      </c>
      <c r="T308" s="584">
        <v>0</v>
      </c>
      <c r="U308" s="51"/>
      <c r="V308" s="541">
        <f>+'NF-KSF-TRIAL-BAL-2020'!O308+'RA-TRIAL-BAL-2020'!O308+'DES-TRIAL-BAL-2020'!O308+'DMP-TRIAL-BAL-2020'!O308</f>
        <v>0</v>
      </c>
      <c r="W308" s="529">
        <f>+'NF-KSF-TRIAL-BAL-2020'!P308+'RA-TRIAL-BAL-2020'!P308+'DES-TRIAL-BAL-2020'!P308+'DMP-TRIAL-BAL-2020'!P308</f>
        <v>0</v>
      </c>
      <c r="X308" s="587">
        <f>+'NF-KSF-TRIAL-BAL-2020'!Q308+'RA-TRIAL-BAL-2020'!Q308+'DES-TRIAL-BAL-2020'!Q308+'DMP-TRIAL-BAL-2020'!Q308</f>
        <v>0</v>
      </c>
      <c r="Y308" s="586">
        <f>+'NF-KSF-TRIAL-BAL-2020'!R308+'RA-TRIAL-BAL-2020'!R308+'DES-TRIAL-BAL-2020'!R308+'DMP-TRIAL-BAL-2020'!R308</f>
        <v>0</v>
      </c>
      <c r="Z308" s="587">
        <f>+'NF-KSF-TRIAL-BAL-2020'!S308+'RA-TRIAL-BAL-2020'!S308+'DES-TRIAL-BAL-2020'!S308+'DMP-TRIAL-BAL-2020'!S308</f>
        <v>0</v>
      </c>
      <c r="AA308" s="588">
        <f>+'NF-KSF-TRIAL-BAL-2020'!T308+'RA-TRIAL-BAL-2020'!T308+'DES-TRIAL-BAL-2020'!T308+'DMP-TRIAL-BAL-2020'!T308</f>
        <v>0</v>
      </c>
      <c r="AB308" s="51"/>
      <c r="AC308" s="581"/>
      <c r="AD308" s="582">
        <v>0</v>
      </c>
      <c r="AE308" s="325"/>
      <c r="AF308" s="324"/>
      <c r="AG308" s="583">
        <f t="shared" si="169"/>
        <v>0</v>
      </c>
      <c r="AH308" s="584">
        <v>0</v>
      </c>
      <c r="AI308" s="51"/>
      <c r="AJ308" s="1497">
        <f t="shared" si="124"/>
        <v>5078</v>
      </c>
      <c r="AK308" s="951">
        <f t="shared" si="177"/>
        <v>0</v>
      </c>
      <c r="AL308" s="9">
        <v>0</v>
      </c>
      <c r="AM308" s="326">
        <f t="shared" si="178"/>
        <v>0</v>
      </c>
      <c r="AN308" s="970">
        <f t="shared" si="178"/>
        <v>0</v>
      </c>
      <c r="AO308" s="326">
        <f t="shared" si="181"/>
        <v>0</v>
      </c>
      <c r="AP308" s="30">
        <v>0</v>
      </c>
      <c r="AQ308" s="43"/>
      <c r="AR308" s="358">
        <f t="shared" si="173"/>
        <v>0</v>
      </c>
      <c r="AS308" s="359">
        <f t="shared" si="174"/>
        <v>0</v>
      </c>
      <c r="AT308" s="360">
        <f t="shared" si="175"/>
        <v>0</v>
      </c>
      <c r="AU308" s="43"/>
      <c r="AV308" s="2120">
        <f t="shared" si="179"/>
        <v>0</v>
      </c>
      <c r="AW308" s="119"/>
      <c r="AX308" s="2120">
        <f t="shared" si="180"/>
        <v>0</v>
      </c>
      <c r="AY308" s="43"/>
      <c r="AZ308" s="43"/>
      <c r="BA308" s="43"/>
      <c r="BB308" s="43"/>
      <c r="BC308" s="43"/>
      <c r="BD308" s="43"/>
    </row>
    <row r="309" spans="1:56" ht="15.75">
      <c r="A309" s="88">
        <v>5081</v>
      </c>
      <c r="B309" s="378" t="s">
        <v>999</v>
      </c>
      <c r="C309" s="1034"/>
      <c r="D309" s="1034"/>
      <c r="E309" s="1034"/>
      <c r="F309" s="1034"/>
      <c r="G309" s="1034"/>
      <c r="H309" s="1034"/>
      <c r="I309" s="1034"/>
      <c r="J309" s="1034"/>
      <c r="K309" s="1034"/>
      <c r="L309" s="574"/>
      <c r="M309" s="51" t="s">
        <v>265</v>
      </c>
      <c r="N309" s="113">
        <f t="shared" si="168"/>
        <v>5081</v>
      </c>
      <c r="O309" s="581"/>
      <c r="P309" s="582">
        <v>0</v>
      </c>
      <c r="Q309" s="325"/>
      <c r="R309" s="324"/>
      <c r="S309" s="583">
        <f t="shared" si="176"/>
        <v>0</v>
      </c>
      <c r="T309" s="584">
        <v>0</v>
      </c>
      <c r="U309" s="51"/>
      <c r="V309" s="541">
        <f>+'NF-KSF-TRIAL-BAL-2020'!O309+'RA-TRIAL-BAL-2020'!O309+'DES-TRIAL-BAL-2020'!O309+'DMP-TRIAL-BAL-2020'!O309</f>
        <v>0</v>
      </c>
      <c r="W309" s="529">
        <f>+'NF-KSF-TRIAL-BAL-2020'!P309+'RA-TRIAL-BAL-2020'!P309+'DES-TRIAL-BAL-2020'!P309+'DMP-TRIAL-BAL-2020'!P309</f>
        <v>0</v>
      </c>
      <c r="X309" s="587">
        <f>+'NF-KSF-TRIAL-BAL-2020'!Q309+'RA-TRIAL-BAL-2020'!Q309+'DES-TRIAL-BAL-2020'!Q309+'DMP-TRIAL-BAL-2020'!Q309</f>
        <v>0</v>
      </c>
      <c r="Y309" s="586">
        <f>+'NF-KSF-TRIAL-BAL-2020'!R309+'RA-TRIAL-BAL-2020'!R309+'DES-TRIAL-BAL-2020'!R309+'DMP-TRIAL-BAL-2020'!R309</f>
        <v>0</v>
      </c>
      <c r="Z309" s="587">
        <f>+'NF-KSF-TRIAL-BAL-2020'!S309+'RA-TRIAL-BAL-2020'!S309+'DES-TRIAL-BAL-2020'!S309+'DMP-TRIAL-BAL-2020'!S309</f>
        <v>0</v>
      </c>
      <c r="AA309" s="588">
        <f>+'NF-KSF-TRIAL-BAL-2020'!T309+'RA-TRIAL-BAL-2020'!T309+'DES-TRIAL-BAL-2020'!T309+'DMP-TRIAL-BAL-2020'!T309</f>
        <v>0</v>
      </c>
      <c r="AB309" s="51"/>
      <c r="AC309" s="581"/>
      <c r="AD309" s="582">
        <v>0</v>
      </c>
      <c r="AE309" s="325"/>
      <c r="AF309" s="324"/>
      <c r="AG309" s="583">
        <f t="shared" si="169"/>
        <v>0</v>
      </c>
      <c r="AH309" s="584">
        <v>0</v>
      </c>
      <c r="AI309" s="51"/>
      <c r="AJ309" s="1497">
        <f t="shared" si="124"/>
        <v>5081</v>
      </c>
      <c r="AK309" s="951">
        <f t="shared" si="177"/>
        <v>0</v>
      </c>
      <c r="AL309" s="9">
        <v>0</v>
      </c>
      <c r="AM309" s="326">
        <f t="shared" si="178"/>
        <v>0</v>
      </c>
      <c r="AN309" s="970">
        <f t="shared" si="178"/>
        <v>0</v>
      </c>
      <c r="AO309" s="326">
        <f t="shared" si="181"/>
        <v>0</v>
      </c>
      <c r="AP309" s="30">
        <v>0</v>
      </c>
      <c r="AQ309" s="43"/>
      <c r="AR309" s="358">
        <f t="shared" si="173"/>
        <v>0</v>
      </c>
      <c r="AS309" s="359">
        <f t="shared" si="174"/>
        <v>0</v>
      </c>
      <c r="AT309" s="360">
        <f t="shared" si="175"/>
        <v>0</v>
      </c>
      <c r="AU309" s="43"/>
      <c r="AV309" s="2120">
        <f t="shared" si="179"/>
        <v>0</v>
      </c>
      <c r="AW309" s="119"/>
      <c r="AX309" s="2120">
        <f t="shared" si="180"/>
        <v>0</v>
      </c>
      <c r="AY309" s="43"/>
      <c r="AZ309" s="43"/>
      <c r="BA309" s="43"/>
      <c r="BB309" s="43"/>
      <c r="BC309" s="43"/>
      <c r="BD309" s="43"/>
    </row>
    <row r="310" spans="1:56" ht="15.75">
      <c r="A310" s="88">
        <v>5082</v>
      </c>
      <c r="B310" s="378" t="s">
        <v>1000</v>
      </c>
      <c r="C310" s="1034"/>
      <c r="D310" s="1034"/>
      <c r="E310" s="1034"/>
      <c r="F310" s="1034"/>
      <c r="G310" s="1034"/>
      <c r="H310" s="1034"/>
      <c r="I310" s="1034"/>
      <c r="J310" s="1034"/>
      <c r="K310" s="1034"/>
      <c r="L310" s="574"/>
      <c r="M310" s="51" t="s">
        <v>265</v>
      </c>
      <c r="N310" s="113">
        <f t="shared" si="168"/>
        <v>5082</v>
      </c>
      <c r="O310" s="581"/>
      <c r="P310" s="582">
        <v>0</v>
      </c>
      <c r="Q310" s="325"/>
      <c r="R310" s="324"/>
      <c r="S310" s="583">
        <f t="shared" si="176"/>
        <v>0</v>
      </c>
      <c r="T310" s="584">
        <v>0</v>
      </c>
      <c r="U310" s="51"/>
      <c r="V310" s="541">
        <f>+'NF-KSF-TRIAL-BAL-2020'!O310+'RA-TRIAL-BAL-2020'!O310+'DES-TRIAL-BAL-2020'!O310+'DMP-TRIAL-BAL-2020'!O310</f>
        <v>0</v>
      </c>
      <c r="W310" s="529">
        <f>+'NF-KSF-TRIAL-BAL-2020'!P310+'RA-TRIAL-BAL-2020'!P310+'DES-TRIAL-BAL-2020'!P310+'DMP-TRIAL-BAL-2020'!P310</f>
        <v>0</v>
      </c>
      <c r="X310" s="587">
        <f>+'NF-KSF-TRIAL-BAL-2020'!Q310+'RA-TRIAL-BAL-2020'!Q310+'DES-TRIAL-BAL-2020'!Q310+'DMP-TRIAL-BAL-2020'!Q310</f>
        <v>0</v>
      </c>
      <c r="Y310" s="586">
        <f>+'NF-KSF-TRIAL-BAL-2020'!R310+'RA-TRIAL-BAL-2020'!R310+'DES-TRIAL-BAL-2020'!R310+'DMP-TRIAL-BAL-2020'!R310</f>
        <v>0</v>
      </c>
      <c r="Z310" s="587">
        <f>+'NF-KSF-TRIAL-BAL-2020'!S310+'RA-TRIAL-BAL-2020'!S310+'DES-TRIAL-BAL-2020'!S310+'DMP-TRIAL-BAL-2020'!S310</f>
        <v>0</v>
      </c>
      <c r="AA310" s="588">
        <f>+'NF-KSF-TRIAL-BAL-2020'!T310+'RA-TRIAL-BAL-2020'!T310+'DES-TRIAL-BAL-2020'!T310+'DMP-TRIAL-BAL-2020'!T310</f>
        <v>0</v>
      </c>
      <c r="AB310" s="51"/>
      <c r="AC310" s="581"/>
      <c r="AD310" s="582">
        <v>0</v>
      </c>
      <c r="AE310" s="325"/>
      <c r="AF310" s="324"/>
      <c r="AG310" s="583">
        <f t="shared" si="169"/>
        <v>0</v>
      </c>
      <c r="AH310" s="584">
        <v>0</v>
      </c>
      <c r="AI310" s="51"/>
      <c r="AJ310" s="1497">
        <f t="shared" si="124"/>
        <v>5082</v>
      </c>
      <c r="AK310" s="951">
        <f t="shared" si="177"/>
        <v>0</v>
      </c>
      <c r="AL310" s="9">
        <v>0</v>
      </c>
      <c r="AM310" s="326">
        <f t="shared" si="178"/>
        <v>0</v>
      </c>
      <c r="AN310" s="970">
        <f t="shared" si="178"/>
        <v>0</v>
      </c>
      <c r="AO310" s="326">
        <f t="shared" si="181"/>
        <v>0</v>
      </c>
      <c r="AP310" s="30">
        <v>0</v>
      </c>
      <c r="AQ310" s="43"/>
      <c r="AR310" s="358">
        <f t="shared" si="173"/>
        <v>0</v>
      </c>
      <c r="AS310" s="359">
        <f t="shared" si="174"/>
        <v>0</v>
      </c>
      <c r="AT310" s="360">
        <f t="shared" si="175"/>
        <v>0</v>
      </c>
      <c r="AU310" s="43"/>
      <c r="AV310" s="2120">
        <f t="shared" si="179"/>
        <v>0</v>
      </c>
      <c r="AW310" s="119"/>
      <c r="AX310" s="2120">
        <f t="shared" si="180"/>
        <v>0</v>
      </c>
      <c r="AY310" s="43"/>
      <c r="AZ310" s="43"/>
      <c r="BA310" s="43"/>
      <c r="BB310" s="43"/>
      <c r="BC310" s="43"/>
      <c r="BD310" s="43"/>
    </row>
    <row r="311" spans="1:56" ht="15.75">
      <c r="A311" s="88">
        <v>5091</v>
      </c>
      <c r="B311" s="378" t="s">
        <v>123</v>
      </c>
      <c r="C311" s="1034"/>
      <c r="D311" s="1034"/>
      <c r="E311" s="1034"/>
      <c r="F311" s="1034"/>
      <c r="G311" s="1034"/>
      <c r="H311" s="1034"/>
      <c r="I311" s="1034"/>
      <c r="J311" s="1034"/>
      <c r="K311" s="1034"/>
      <c r="L311" s="574"/>
      <c r="M311" s="51" t="s">
        <v>265</v>
      </c>
      <c r="N311" s="113">
        <f t="shared" si="168"/>
        <v>5091</v>
      </c>
      <c r="O311" s="581"/>
      <c r="P311" s="582">
        <v>0</v>
      </c>
      <c r="Q311" s="325"/>
      <c r="R311" s="324"/>
      <c r="S311" s="583">
        <f t="shared" si="176"/>
        <v>0</v>
      </c>
      <c r="T311" s="584">
        <v>0</v>
      </c>
      <c r="U311" s="51"/>
      <c r="V311" s="541">
        <f>+'NF-KSF-TRIAL-BAL-2020'!O311+'RA-TRIAL-BAL-2020'!O311+'DES-TRIAL-BAL-2020'!O311+'DMP-TRIAL-BAL-2020'!O311</f>
        <v>0</v>
      </c>
      <c r="W311" s="529">
        <f>+'NF-KSF-TRIAL-BAL-2020'!P311+'RA-TRIAL-BAL-2020'!P311+'DES-TRIAL-BAL-2020'!P311+'DMP-TRIAL-BAL-2020'!P311</f>
        <v>0</v>
      </c>
      <c r="X311" s="587">
        <f>+'NF-KSF-TRIAL-BAL-2020'!Q311+'RA-TRIAL-BAL-2020'!Q311+'DES-TRIAL-BAL-2020'!Q311+'DMP-TRIAL-BAL-2020'!Q311</f>
        <v>0</v>
      </c>
      <c r="Y311" s="586">
        <f>+'NF-KSF-TRIAL-BAL-2020'!R311+'RA-TRIAL-BAL-2020'!R311+'DES-TRIAL-BAL-2020'!R311+'DMP-TRIAL-BAL-2020'!R311</f>
        <v>0</v>
      </c>
      <c r="Z311" s="587">
        <f>+'NF-KSF-TRIAL-BAL-2020'!S311+'RA-TRIAL-BAL-2020'!S311+'DES-TRIAL-BAL-2020'!S311+'DMP-TRIAL-BAL-2020'!S311</f>
        <v>0</v>
      </c>
      <c r="AA311" s="588">
        <f>+'NF-KSF-TRIAL-BAL-2020'!T311+'RA-TRIAL-BAL-2020'!T311+'DES-TRIAL-BAL-2020'!T311+'DMP-TRIAL-BAL-2020'!T311</f>
        <v>0</v>
      </c>
      <c r="AB311" s="51"/>
      <c r="AC311" s="581"/>
      <c r="AD311" s="582">
        <v>0</v>
      </c>
      <c r="AE311" s="122"/>
      <c r="AF311" s="324"/>
      <c r="AG311" s="583">
        <f t="shared" si="169"/>
        <v>0</v>
      </c>
      <c r="AH311" s="584">
        <v>0</v>
      </c>
      <c r="AI311" s="51"/>
      <c r="AJ311" s="1497">
        <f t="shared" si="124"/>
        <v>5091</v>
      </c>
      <c r="AK311" s="951">
        <f t="shared" si="177"/>
        <v>0</v>
      </c>
      <c r="AL311" s="9">
        <v>0</v>
      </c>
      <c r="AM311" s="326">
        <f t="shared" si="178"/>
        <v>0</v>
      </c>
      <c r="AN311" s="970">
        <f t="shared" si="178"/>
        <v>0</v>
      </c>
      <c r="AO311" s="326">
        <f t="shared" si="181"/>
        <v>0</v>
      </c>
      <c r="AP311" s="30">
        <v>0</v>
      </c>
      <c r="AQ311" s="43"/>
      <c r="AR311" s="358">
        <f t="shared" si="173"/>
        <v>0</v>
      </c>
      <c r="AS311" s="359">
        <f t="shared" si="174"/>
        <v>0</v>
      </c>
      <c r="AT311" s="360">
        <f t="shared" si="175"/>
        <v>0</v>
      </c>
      <c r="AU311" s="43"/>
      <c r="AV311" s="2120">
        <f t="shared" si="179"/>
        <v>0</v>
      </c>
      <c r="AW311" s="119"/>
      <c r="AX311" s="2120">
        <f t="shared" si="180"/>
        <v>0</v>
      </c>
      <c r="AY311" s="43"/>
      <c r="AZ311" s="43"/>
      <c r="BA311" s="43"/>
      <c r="BB311" s="43"/>
      <c r="BC311" s="43"/>
      <c r="BD311" s="43"/>
    </row>
    <row r="312" spans="1:56" ht="15.75">
      <c r="A312" s="88">
        <v>5092</v>
      </c>
      <c r="B312" s="378" t="s">
        <v>124</v>
      </c>
      <c r="C312" s="1034"/>
      <c r="D312" s="1034"/>
      <c r="E312" s="1034"/>
      <c r="F312" s="1034"/>
      <c r="G312" s="1034"/>
      <c r="H312" s="1034"/>
      <c r="I312" s="1034"/>
      <c r="J312" s="1034"/>
      <c r="K312" s="1034"/>
      <c r="L312" s="574"/>
      <c r="M312" s="51" t="s">
        <v>265</v>
      </c>
      <c r="N312" s="113">
        <f t="shared" si="168"/>
        <v>5092</v>
      </c>
      <c r="O312" s="581"/>
      <c r="P312" s="582">
        <v>0</v>
      </c>
      <c r="Q312" s="325"/>
      <c r="R312" s="324"/>
      <c r="S312" s="583">
        <f t="shared" si="176"/>
        <v>0</v>
      </c>
      <c r="T312" s="584">
        <v>0</v>
      </c>
      <c r="U312" s="51"/>
      <c r="V312" s="541">
        <f>+'NF-KSF-TRIAL-BAL-2020'!O312+'RA-TRIAL-BAL-2020'!O312+'DES-TRIAL-BAL-2020'!O312+'DMP-TRIAL-BAL-2020'!O312</f>
        <v>0</v>
      </c>
      <c r="W312" s="529">
        <f>+'NF-KSF-TRIAL-BAL-2020'!P312+'RA-TRIAL-BAL-2020'!P312+'DES-TRIAL-BAL-2020'!P312+'DMP-TRIAL-BAL-2020'!P312</f>
        <v>0</v>
      </c>
      <c r="X312" s="587">
        <f>+'NF-KSF-TRIAL-BAL-2020'!Q312+'RA-TRIAL-BAL-2020'!Q312+'DES-TRIAL-BAL-2020'!Q312+'DMP-TRIAL-BAL-2020'!Q312</f>
        <v>0</v>
      </c>
      <c r="Y312" s="586">
        <f>+'NF-KSF-TRIAL-BAL-2020'!R312+'RA-TRIAL-BAL-2020'!R312+'DES-TRIAL-BAL-2020'!R312+'DMP-TRIAL-BAL-2020'!R312</f>
        <v>0</v>
      </c>
      <c r="Z312" s="587">
        <f>+'NF-KSF-TRIAL-BAL-2020'!S312+'RA-TRIAL-BAL-2020'!S312+'DES-TRIAL-BAL-2020'!S312+'DMP-TRIAL-BAL-2020'!S312</f>
        <v>0</v>
      </c>
      <c r="AA312" s="588">
        <f>+'NF-KSF-TRIAL-BAL-2020'!T312+'RA-TRIAL-BAL-2020'!T312+'DES-TRIAL-BAL-2020'!T312+'DMP-TRIAL-BAL-2020'!T312</f>
        <v>0</v>
      </c>
      <c r="AB312" s="51"/>
      <c r="AC312" s="581"/>
      <c r="AD312" s="582">
        <v>0</v>
      </c>
      <c r="AE312" s="122"/>
      <c r="AF312" s="324"/>
      <c r="AG312" s="583">
        <f t="shared" si="169"/>
        <v>0</v>
      </c>
      <c r="AH312" s="584">
        <v>0</v>
      </c>
      <c r="AI312" s="51"/>
      <c r="AJ312" s="1497">
        <f t="shared" si="124"/>
        <v>5092</v>
      </c>
      <c r="AK312" s="951">
        <f t="shared" si="177"/>
        <v>0</v>
      </c>
      <c r="AL312" s="9">
        <v>0</v>
      </c>
      <c r="AM312" s="326">
        <f t="shared" si="178"/>
        <v>0</v>
      </c>
      <c r="AN312" s="970">
        <f t="shared" si="178"/>
        <v>0</v>
      </c>
      <c r="AO312" s="326">
        <f t="shared" si="181"/>
        <v>0</v>
      </c>
      <c r="AP312" s="30">
        <v>0</v>
      </c>
      <c r="AQ312" s="43"/>
      <c r="AR312" s="358">
        <f t="shared" si="173"/>
        <v>0</v>
      </c>
      <c r="AS312" s="359">
        <f t="shared" si="174"/>
        <v>0</v>
      </c>
      <c r="AT312" s="360">
        <f t="shared" si="175"/>
        <v>0</v>
      </c>
      <c r="AU312" s="43"/>
      <c r="AV312" s="2120">
        <f t="shared" si="179"/>
        <v>0</v>
      </c>
      <c r="AW312" s="119"/>
      <c r="AX312" s="2120">
        <f t="shared" si="180"/>
        <v>0</v>
      </c>
      <c r="AY312" s="43"/>
      <c r="AZ312" s="43"/>
      <c r="BA312" s="43"/>
      <c r="BB312" s="43"/>
      <c r="BC312" s="43"/>
      <c r="BD312" s="43"/>
    </row>
    <row r="313" spans="1:56" ht="15.75">
      <c r="A313" s="88">
        <v>5111</v>
      </c>
      <c r="B313" s="1032" t="s">
        <v>125</v>
      </c>
      <c r="C313" s="1034"/>
      <c r="D313" s="1034"/>
      <c r="E313" s="1034"/>
      <c r="F313" s="1034"/>
      <c r="G313" s="1034"/>
      <c r="H313" s="1034"/>
      <c r="I313" s="1034"/>
      <c r="J313" s="1034"/>
      <c r="K313" s="1034"/>
      <c r="L313" s="574"/>
      <c r="M313" s="51" t="s">
        <v>265</v>
      </c>
      <c r="N313" s="113">
        <f t="shared" si="168"/>
        <v>5111</v>
      </c>
      <c r="O313" s="581"/>
      <c r="P313" s="582">
        <v>0</v>
      </c>
      <c r="Q313" s="325"/>
      <c r="R313" s="324"/>
      <c r="S313" s="583">
        <f t="shared" si="176"/>
        <v>0</v>
      </c>
      <c r="T313" s="584">
        <v>0</v>
      </c>
      <c r="U313" s="51"/>
      <c r="V313" s="541">
        <f>+'NF-KSF-TRIAL-BAL-2020'!O313+'RA-TRIAL-BAL-2020'!O313+'DES-TRIAL-BAL-2020'!O313+'DMP-TRIAL-BAL-2020'!O313</f>
        <v>0</v>
      </c>
      <c r="W313" s="529">
        <f>+'NF-KSF-TRIAL-BAL-2020'!P313+'RA-TRIAL-BAL-2020'!P313+'DES-TRIAL-BAL-2020'!P313+'DMP-TRIAL-BAL-2020'!P313</f>
        <v>0</v>
      </c>
      <c r="X313" s="587">
        <f>+'NF-KSF-TRIAL-BAL-2020'!Q313+'RA-TRIAL-BAL-2020'!Q313+'DES-TRIAL-BAL-2020'!Q313+'DMP-TRIAL-BAL-2020'!Q313</f>
        <v>0</v>
      </c>
      <c r="Y313" s="586">
        <f>+'NF-KSF-TRIAL-BAL-2020'!R313+'RA-TRIAL-BAL-2020'!R313+'DES-TRIAL-BAL-2020'!R313+'DMP-TRIAL-BAL-2020'!R313</f>
        <v>0</v>
      </c>
      <c r="Z313" s="587">
        <f>+'NF-KSF-TRIAL-BAL-2020'!S313+'RA-TRIAL-BAL-2020'!S313+'DES-TRIAL-BAL-2020'!S313+'DMP-TRIAL-BAL-2020'!S313</f>
        <v>0</v>
      </c>
      <c r="AA313" s="588">
        <f>+'NF-KSF-TRIAL-BAL-2020'!T313+'RA-TRIAL-BAL-2020'!T313+'DES-TRIAL-BAL-2020'!T313+'DMP-TRIAL-BAL-2020'!T313</f>
        <v>0</v>
      </c>
      <c r="AB313" s="51"/>
      <c r="AC313" s="581"/>
      <c r="AD313" s="582">
        <v>0</v>
      </c>
      <c r="AE313" s="325"/>
      <c r="AF313" s="324"/>
      <c r="AG313" s="583">
        <f t="shared" si="169"/>
        <v>0</v>
      </c>
      <c r="AH313" s="584">
        <v>0</v>
      </c>
      <c r="AI313" s="51"/>
      <c r="AJ313" s="1497">
        <f t="shared" si="124"/>
        <v>5111</v>
      </c>
      <c r="AK313" s="951">
        <f t="shared" si="177"/>
        <v>0</v>
      </c>
      <c r="AL313" s="9">
        <v>0</v>
      </c>
      <c r="AM313" s="326">
        <f t="shared" si="178"/>
        <v>0</v>
      </c>
      <c r="AN313" s="970">
        <f t="shared" si="178"/>
        <v>0</v>
      </c>
      <c r="AO313" s="326">
        <f t="shared" si="181"/>
        <v>0</v>
      </c>
      <c r="AP313" s="30">
        <v>0</v>
      </c>
      <c r="AQ313" s="43"/>
      <c r="AR313" s="358">
        <f t="shared" si="173"/>
        <v>0</v>
      </c>
      <c r="AS313" s="359">
        <f t="shared" si="174"/>
        <v>0</v>
      </c>
      <c r="AT313" s="360">
        <f t="shared" si="175"/>
        <v>0</v>
      </c>
      <c r="AU313" s="43"/>
      <c r="AV313" s="2120">
        <f t="shared" si="179"/>
        <v>0</v>
      </c>
      <c r="AW313" s="119"/>
      <c r="AX313" s="2120">
        <f t="shared" si="180"/>
        <v>0</v>
      </c>
      <c r="AY313" s="43"/>
      <c r="AZ313" s="43"/>
      <c r="BA313" s="43"/>
      <c r="BB313" s="43"/>
      <c r="BC313" s="43"/>
      <c r="BD313" s="43"/>
    </row>
    <row r="314" spans="1:56" ht="15.75">
      <c r="A314" s="88">
        <v>5112</v>
      </c>
      <c r="B314" s="1032" t="s">
        <v>1178</v>
      </c>
      <c r="C314" s="1034"/>
      <c r="D314" s="1034"/>
      <c r="E314" s="1034"/>
      <c r="F314" s="1034"/>
      <c r="G314" s="1034"/>
      <c r="H314" s="1034"/>
      <c r="I314" s="1034"/>
      <c r="J314" s="1034"/>
      <c r="K314" s="1034"/>
      <c r="L314" s="574"/>
      <c r="M314" s="51" t="s">
        <v>265</v>
      </c>
      <c r="N314" s="113">
        <f t="shared" si="168"/>
        <v>5112</v>
      </c>
      <c r="O314" s="581">
        <v>0</v>
      </c>
      <c r="P314" s="582">
        <v>0</v>
      </c>
      <c r="Q314" s="325">
        <v>0</v>
      </c>
      <c r="R314" s="324">
        <v>0</v>
      </c>
      <c r="S314" s="583">
        <f t="shared" si="176"/>
        <v>0</v>
      </c>
      <c r="T314" s="584">
        <v>0</v>
      </c>
      <c r="U314" s="51"/>
      <c r="V314" s="541">
        <f>+'NF-KSF-TRIAL-BAL-2020'!O314+'RA-TRIAL-BAL-2020'!O314+'DES-TRIAL-BAL-2020'!O314+'DMP-TRIAL-BAL-2020'!O314</f>
        <v>0</v>
      </c>
      <c r="W314" s="529">
        <f>+'NF-KSF-TRIAL-BAL-2020'!P314+'RA-TRIAL-BAL-2020'!P314+'DES-TRIAL-BAL-2020'!P314+'DMP-TRIAL-BAL-2020'!P314</f>
        <v>0</v>
      </c>
      <c r="X314" s="587">
        <f>+'NF-KSF-TRIAL-BAL-2020'!Q314+'RA-TRIAL-BAL-2020'!Q314+'DES-TRIAL-BAL-2020'!Q314+'DMP-TRIAL-BAL-2020'!Q314</f>
        <v>0</v>
      </c>
      <c r="Y314" s="586">
        <f>+'NF-KSF-TRIAL-BAL-2020'!R314+'RA-TRIAL-BAL-2020'!R314+'DES-TRIAL-BAL-2020'!R314+'DMP-TRIAL-BAL-2020'!R314</f>
        <v>0</v>
      </c>
      <c r="Z314" s="587">
        <f>+'NF-KSF-TRIAL-BAL-2020'!S314+'RA-TRIAL-BAL-2020'!S314+'DES-TRIAL-BAL-2020'!S314+'DMP-TRIAL-BAL-2020'!S314</f>
        <v>0</v>
      </c>
      <c r="AA314" s="588">
        <f>+'NF-KSF-TRIAL-BAL-2020'!T314+'RA-TRIAL-BAL-2020'!T314+'DES-TRIAL-BAL-2020'!T314+'DMP-TRIAL-BAL-2020'!T314</f>
        <v>0</v>
      </c>
      <c r="AB314" s="51"/>
      <c r="AC314" s="581">
        <v>0</v>
      </c>
      <c r="AD314" s="582">
        <v>0</v>
      </c>
      <c r="AE314" s="325">
        <v>0</v>
      </c>
      <c r="AF314" s="324">
        <v>0</v>
      </c>
      <c r="AG314" s="583">
        <f t="shared" si="169"/>
        <v>0</v>
      </c>
      <c r="AH314" s="584">
        <v>0</v>
      </c>
      <c r="AI314" s="51"/>
      <c r="AJ314" s="1497">
        <f t="shared" si="124"/>
        <v>5112</v>
      </c>
      <c r="AK314" s="951">
        <f t="shared" si="177"/>
        <v>0</v>
      </c>
      <c r="AL314" s="9">
        <v>0</v>
      </c>
      <c r="AM314" s="326">
        <f t="shared" si="178"/>
        <v>0</v>
      </c>
      <c r="AN314" s="970">
        <f t="shared" si="178"/>
        <v>0</v>
      </c>
      <c r="AO314" s="326">
        <f t="shared" si="181"/>
        <v>0</v>
      </c>
      <c r="AP314" s="30">
        <v>0</v>
      </c>
      <c r="AQ314" s="43"/>
      <c r="AR314" s="358">
        <f t="shared" si="173"/>
        <v>0</v>
      </c>
      <c r="AS314" s="359">
        <f t="shared" si="174"/>
        <v>0</v>
      </c>
      <c r="AT314" s="360">
        <f t="shared" si="175"/>
        <v>0</v>
      </c>
      <c r="AU314" s="43"/>
      <c r="AV314" s="2120">
        <f t="shared" si="179"/>
        <v>0</v>
      </c>
      <c r="AW314" s="119"/>
      <c r="AX314" s="2120">
        <f t="shared" si="180"/>
        <v>0</v>
      </c>
      <c r="AY314" s="43"/>
      <c r="AZ314" s="43"/>
      <c r="BA314" s="43"/>
      <c r="BB314" s="43"/>
      <c r="BC314" s="43"/>
      <c r="BD314" s="43"/>
    </row>
    <row r="315" spans="1:56" ht="15.75">
      <c r="A315" s="88">
        <v>5113</v>
      </c>
      <c r="B315" s="1032" t="s">
        <v>126</v>
      </c>
      <c r="C315" s="1034"/>
      <c r="D315" s="1034"/>
      <c r="E315" s="1034"/>
      <c r="F315" s="1034"/>
      <c r="G315" s="1034"/>
      <c r="H315" s="1034"/>
      <c r="I315" s="1034"/>
      <c r="J315" s="1034"/>
      <c r="K315" s="1034"/>
      <c r="L315" s="574"/>
      <c r="M315" s="51" t="s">
        <v>265</v>
      </c>
      <c r="N315" s="113">
        <f t="shared" si="168"/>
        <v>5113</v>
      </c>
      <c r="O315" s="581"/>
      <c r="P315" s="582">
        <v>0</v>
      </c>
      <c r="Q315" s="325"/>
      <c r="R315" s="324"/>
      <c r="S315" s="583">
        <f t="shared" si="176"/>
        <v>0</v>
      </c>
      <c r="T315" s="584">
        <v>0</v>
      </c>
      <c r="U315" s="51"/>
      <c r="V315" s="541">
        <f>+'NF-KSF-TRIAL-BAL-2020'!O315+'RA-TRIAL-BAL-2020'!O315+'DES-TRIAL-BAL-2020'!O315+'DMP-TRIAL-BAL-2020'!O315</f>
        <v>0</v>
      </c>
      <c r="W315" s="529">
        <f>+'NF-KSF-TRIAL-BAL-2020'!P315+'RA-TRIAL-BAL-2020'!P315+'DES-TRIAL-BAL-2020'!P315+'DMP-TRIAL-BAL-2020'!P315</f>
        <v>0</v>
      </c>
      <c r="X315" s="587">
        <f>+'NF-KSF-TRIAL-BAL-2020'!Q315+'RA-TRIAL-BAL-2020'!Q315+'DES-TRIAL-BAL-2020'!Q315+'DMP-TRIAL-BAL-2020'!Q315</f>
        <v>0</v>
      </c>
      <c r="Y315" s="586">
        <f>+'NF-KSF-TRIAL-BAL-2020'!R315+'RA-TRIAL-BAL-2020'!R315+'DES-TRIAL-BAL-2020'!R315+'DMP-TRIAL-BAL-2020'!R315</f>
        <v>0</v>
      </c>
      <c r="Z315" s="587">
        <f>+'NF-KSF-TRIAL-BAL-2020'!S315+'RA-TRIAL-BAL-2020'!S315+'DES-TRIAL-BAL-2020'!S315+'DMP-TRIAL-BAL-2020'!S315</f>
        <v>0</v>
      </c>
      <c r="AA315" s="588">
        <f>+'NF-KSF-TRIAL-BAL-2020'!T315+'RA-TRIAL-BAL-2020'!T315+'DES-TRIAL-BAL-2020'!T315+'DMP-TRIAL-BAL-2020'!T315</f>
        <v>0</v>
      </c>
      <c r="AB315" s="51"/>
      <c r="AC315" s="581"/>
      <c r="AD315" s="582">
        <v>0</v>
      </c>
      <c r="AE315" s="325"/>
      <c r="AF315" s="324"/>
      <c r="AG315" s="583">
        <f t="shared" si="169"/>
        <v>0</v>
      </c>
      <c r="AH315" s="584">
        <v>0</v>
      </c>
      <c r="AI315" s="51"/>
      <c r="AJ315" s="1497">
        <f t="shared" si="124"/>
        <v>5113</v>
      </c>
      <c r="AK315" s="951">
        <f t="shared" si="177"/>
        <v>0</v>
      </c>
      <c r="AL315" s="9">
        <v>0</v>
      </c>
      <c r="AM315" s="326">
        <f t="shared" si="178"/>
        <v>0</v>
      </c>
      <c r="AN315" s="970">
        <f t="shared" si="178"/>
        <v>0</v>
      </c>
      <c r="AO315" s="326">
        <f t="shared" si="181"/>
        <v>0</v>
      </c>
      <c r="AP315" s="30">
        <v>0</v>
      </c>
      <c r="AQ315" s="43"/>
      <c r="AR315" s="358">
        <f t="shared" si="173"/>
        <v>0</v>
      </c>
      <c r="AS315" s="359">
        <f t="shared" si="174"/>
        <v>0</v>
      </c>
      <c r="AT315" s="360">
        <f t="shared" si="175"/>
        <v>0</v>
      </c>
      <c r="AU315" s="43"/>
      <c r="AV315" s="2120">
        <f t="shared" si="179"/>
        <v>0</v>
      </c>
      <c r="AW315" s="119"/>
      <c r="AX315" s="2120">
        <f t="shared" si="180"/>
        <v>0</v>
      </c>
      <c r="AY315" s="43"/>
      <c r="AZ315" s="43"/>
      <c r="BA315" s="43"/>
      <c r="BB315" s="43"/>
      <c r="BC315" s="43"/>
      <c r="BD315" s="43"/>
    </row>
    <row r="316" spans="1:56" ht="15.75">
      <c r="A316" s="88">
        <v>5114</v>
      </c>
      <c r="B316" s="1032" t="s">
        <v>127</v>
      </c>
      <c r="C316" s="1034"/>
      <c r="D316" s="1034"/>
      <c r="E316" s="1034"/>
      <c r="F316" s="1034"/>
      <c r="G316" s="1034"/>
      <c r="H316" s="1034"/>
      <c r="I316" s="1034"/>
      <c r="J316" s="1034"/>
      <c r="K316" s="1034"/>
      <c r="L316" s="574"/>
      <c r="M316" s="51" t="s">
        <v>265</v>
      </c>
      <c r="N316" s="113">
        <f t="shared" si="168"/>
        <v>5114</v>
      </c>
      <c r="O316" s="581"/>
      <c r="P316" s="582">
        <v>0</v>
      </c>
      <c r="Q316" s="325"/>
      <c r="R316" s="324"/>
      <c r="S316" s="583">
        <f t="shared" si="176"/>
        <v>0</v>
      </c>
      <c r="T316" s="584">
        <v>0</v>
      </c>
      <c r="U316" s="51"/>
      <c r="V316" s="541">
        <f>+'NF-KSF-TRIAL-BAL-2020'!O316+'RA-TRIAL-BAL-2020'!O316+'DES-TRIAL-BAL-2020'!O316+'DMP-TRIAL-BAL-2020'!O316</f>
        <v>0</v>
      </c>
      <c r="W316" s="529">
        <f>+'NF-KSF-TRIAL-BAL-2020'!P316+'RA-TRIAL-BAL-2020'!P316+'DES-TRIAL-BAL-2020'!P316+'DMP-TRIAL-BAL-2020'!P316</f>
        <v>0</v>
      </c>
      <c r="X316" s="587">
        <f>+'NF-KSF-TRIAL-BAL-2020'!Q316+'RA-TRIAL-BAL-2020'!Q316+'DES-TRIAL-BAL-2020'!Q316+'DMP-TRIAL-BAL-2020'!Q316</f>
        <v>0</v>
      </c>
      <c r="Y316" s="586">
        <f>+'NF-KSF-TRIAL-BAL-2020'!R316+'RA-TRIAL-BAL-2020'!R316+'DES-TRIAL-BAL-2020'!R316+'DMP-TRIAL-BAL-2020'!R316</f>
        <v>0</v>
      </c>
      <c r="Z316" s="587">
        <f>+'NF-KSF-TRIAL-BAL-2020'!S316+'RA-TRIAL-BAL-2020'!S316+'DES-TRIAL-BAL-2020'!S316+'DMP-TRIAL-BAL-2020'!S316</f>
        <v>0</v>
      </c>
      <c r="AA316" s="588">
        <f>+'NF-KSF-TRIAL-BAL-2020'!T316+'RA-TRIAL-BAL-2020'!T316+'DES-TRIAL-BAL-2020'!T316+'DMP-TRIAL-BAL-2020'!T316</f>
        <v>0</v>
      </c>
      <c r="AB316" s="51"/>
      <c r="AC316" s="581"/>
      <c r="AD316" s="582">
        <v>0</v>
      </c>
      <c r="AE316" s="122"/>
      <c r="AF316" s="324"/>
      <c r="AG316" s="583">
        <f t="shared" si="169"/>
        <v>0</v>
      </c>
      <c r="AH316" s="584">
        <v>0</v>
      </c>
      <c r="AI316" s="51"/>
      <c r="AJ316" s="1497">
        <f t="shared" si="124"/>
        <v>5114</v>
      </c>
      <c r="AK316" s="951">
        <f t="shared" si="177"/>
        <v>0</v>
      </c>
      <c r="AL316" s="9">
        <v>0</v>
      </c>
      <c r="AM316" s="326">
        <f t="shared" si="178"/>
        <v>0</v>
      </c>
      <c r="AN316" s="970">
        <f t="shared" si="178"/>
        <v>0</v>
      </c>
      <c r="AO316" s="326">
        <f t="shared" si="181"/>
        <v>0</v>
      </c>
      <c r="AP316" s="30">
        <v>0</v>
      </c>
      <c r="AQ316" s="43"/>
      <c r="AR316" s="358">
        <f t="shared" si="173"/>
        <v>0</v>
      </c>
      <c r="AS316" s="359">
        <f t="shared" si="174"/>
        <v>0</v>
      </c>
      <c r="AT316" s="360">
        <f t="shared" si="175"/>
        <v>0</v>
      </c>
      <c r="AU316" s="43"/>
      <c r="AV316" s="2120">
        <f t="shared" si="179"/>
        <v>0</v>
      </c>
      <c r="AW316" s="119"/>
      <c r="AX316" s="2120">
        <f t="shared" si="180"/>
        <v>0</v>
      </c>
      <c r="AY316" s="43"/>
      <c r="AZ316" s="43"/>
      <c r="BA316" s="43"/>
      <c r="BB316" s="43"/>
      <c r="BC316" s="43"/>
      <c r="BD316" s="43"/>
    </row>
    <row r="317" spans="1:56" ht="15.75">
      <c r="A317" s="88">
        <v>5121</v>
      </c>
      <c r="B317" s="1032" t="s">
        <v>128</v>
      </c>
      <c r="C317" s="1034"/>
      <c r="D317" s="1034"/>
      <c r="E317" s="1034"/>
      <c r="F317" s="1034"/>
      <c r="G317" s="1034"/>
      <c r="H317" s="1034"/>
      <c r="I317" s="1034"/>
      <c r="J317" s="1034"/>
      <c r="K317" s="1034"/>
      <c r="L317" s="574"/>
      <c r="M317" s="51" t="s">
        <v>265</v>
      </c>
      <c r="N317" s="113">
        <f t="shared" si="168"/>
        <v>5121</v>
      </c>
      <c r="O317" s="581"/>
      <c r="P317" s="582">
        <v>0</v>
      </c>
      <c r="Q317" s="325"/>
      <c r="R317" s="324"/>
      <c r="S317" s="583">
        <f t="shared" si="176"/>
        <v>0</v>
      </c>
      <c r="T317" s="584">
        <v>0</v>
      </c>
      <c r="U317" s="51"/>
      <c r="V317" s="541">
        <f>+'NF-KSF-TRIAL-BAL-2020'!O317+'RA-TRIAL-BAL-2020'!O317+'DES-TRIAL-BAL-2020'!O317+'DMP-TRIAL-BAL-2020'!O317</f>
        <v>0</v>
      </c>
      <c r="W317" s="529">
        <f>+'NF-KSF-TRIAL-BAL-2020'!P317+'RA-TRIAL-BAL-2020'!P317+'DES-TRIAL-BAL-2020'!P317+'DMP-TRIAL-BAL-2020'!P317</f>
        <v>0</v>
      </c>
      <c r="X317" s="587">
        <f>+'NF-KSF-TRIAL-BAL-2020'!Q317+'RA-TRIAL-BAL-2020'!Q317+'DES-TRIAL-BAL-2020'!Q317+'DMP-TRIAL-BAL-2020'!Q317</f>
        <v>0</v>
      </c>
      <c r="Y317" s="586">
        <f>+'NF-KSF-TRIAL-BAL-2020'!R317+'RA-TRIAL-BAL-2020'!R317+'DES-TRIAL-BAL-2020'!R317+'DMP-TRIAL-BAL-2020'!R317</f>
        <v>0</v>
      </c>
      <c r="Z317" s="587">
        <f>+'NF-KSF-TRIAL-BAL-2020'!S317+'RA-TRIAL-BAL-2020'!S317+'DES-TRIAL-BAL-2020'!S317+'DMP-TRIAL-BAL-2020'!S317</f>
        <v>0</v>
      </c>
      <c r="AA317" s="588">
        <f>+'NF-KSF-TRIAL-BAL-2020'!T317+'RA-TRIAL-BAL-2020'!T317+'DES-TRIAL-BAL-2020'!T317+'DMP-TRIAL-BAL-2020'!T317</f>
        <v>0</v>
      </c>
      <c r="AB317" s="51"/>
      <c r="AC317" s="581"/>
      <c r="AD317" s="582">
        <v>0</v>
      </c>
      <c r="AE317" s="122"/>
      <c r="AF317" s="324"/>
      <c r="AG317" s="583">
        <f t="shared" si="169"/>
        <v>0</v>
      </c>
      <c r="AH317" s="584">
        <v>0</v>
      </c>
      <c r="AI317" s="51"/>
      <c r="AJ317" s="1497">
        <f t="shared" si="124"/>
        <v>5121</v>
      </c>
      <c r="AK317" s="951">
        <f t="shared" si="177"/>
        <v>0</v>
      </c>
      <c r="AL317" s="9">
        <v>0</v>
      </c>
      <c r="AM317" s="326">
        <f t="shared" si="178"/>
        <v>0</v>
      </c>
      <c r="AN317" s="970">
        <f t="shared" si="178"/>
        <v>0</v>
      </c>
      <c r="AO317" s="326">
        <f t="shared" si="181"/>
        <v>0</v>
      </c>
      <c r="AP317" s="30">
        <v>0</v>
      </c>
      <c r="AQ317" s="43"/>
      <c r="AR317" s="358">
        <f t="shared" si="173"/>
        <v>0</v>
      </c>
      <c r="AS317" s="359">
        <f t="shared" si="174"/>
        <v>0</v>
      </c>
      <c r="AT317" s="360">
        <f t="shared" si="175"/>
        <v>0</v>
      </c>
      <c r="AU317" s="43"/>
      <c r="AV317" s="2120">
        <f t="shared" si="179"/>
        <v>0</v>
      </c>
      <c r="AW317" s="119"/>
      <c r="AX317" s="2120">
        <f t="shared" si="180"/>
        <v>0</v>
      </c>
      <c r="AY317" s="43"/>
      <c r="AZ317" s="43"/>
      <c r="BA317" s="43"/>
      <c r="BB317" s="43"/>
      <c r="BC317" s="43"/>
      <c r="BD317" s="43"/>
    </row>
    <row r="318" spans="1:56" ht="15.75">
      <c r="A318" s="88">
        <v>5122</v>
      </c>
      <c r="B318" s="1032" t="s">
        <v>1163</v>
      </c>
      <c r="C318" s="1034"/>
      <c r="D318" s="1034"/>
      <c r="E318" s="1034"/>
      <c r="F318" s="1034"/>
      <c r="G318" s="1034"/>
      <c r="H318" s="1034"/>
      <c r="I318" s="1034"/>
      <c r="J318" s="1034"/>
      <c r="K318" s="1034"/>
      <c r="L318" s="574"/>
      <c r="M318" s="51" t="s">
        <v>265</v>
      </c>
      <c r="N318" s="113">
        <f t="shared" si="168"/>
        <v>5122</v>
      </c>
      <c r="O318" s="581"/>
      <c r="P318" s="582">
        <v>0</v>
      </c>
      <c r="Q318" s="325"/>
      <c r="R318" s="324"/>
      <c r="S318" s="583">
        <f t="shared" si="176"/>
        <v>0</v>
      </c>
      <c r="T318" s="584">
        <v>0</v>
      </c>
      <c r="U318" s="51"/>
      <c r="V318" s="541">
        <f>+'NF-KSF-TRIAL-BAL-2020'!O318+'RA-TRIAL-BAL-2020'!O318+'DES-TRIAL-BAL-2020'!O318+'DMP-TRIAL-BAL-2020'!O318</f>
        <v>0</v>
      </c>
      <c r="W318" s="529">
        <f>+'NF-KSF-TRIAL-BAL-2020'!P318+'RA-TRIAL-BAL-2020'!P318+'DES-TRIAL-BAL-2020'!P318+'DMP-TRIAL-BAL-2020'!P318</f>
        <v>0</v>
      </c>
      <c r="X318" s="587">
        <f>+'NF-KSF-TRIAL-BAL-2020'!Q318+'RA-TRIAL-BAL-2020'!Q318+'DES-TRIAL-BAL-2020'!Q318+'DMP-TRIAL-BAL-2020'!Q318</f>
        <v>0</v>
      </c>
      <c r="Y318" s="586">
        <f>+'NF-KSF-TRIAL-BAL-2020'!R318+'RA-TRIAL-BAL-2020'!R318+'DES-TRIAL-BAL-2020'!R318+'DMP-TRIAL-BAL-2020'!R318</f>
        <v>0</v>
      </c>
      <c r="Z318" s="587">
        <f>+'NF-KSF-TRIAL-BAL-2020'!S318+'RA-TRIAL-BAL-2020'!S318+'DES-TRIAL-BAL-2020'!S318+'DMP-TRIAL-BAL-2020'!S318</f>
        <v>0</v>
      </c>
      <c r="AA318" s="588">
        <f>+'NF-KSF-TRIAL-BAL-2020'!T318+'RA-TRIAL-BAL-2020'!T318+'DES-TRIAL-BAL-2020'!T318+'DMP-TRIAL-BAL-2020'!T318</f>
        <v>0</v>
      </c>
      <c r="AB318" s="51"/>
      <c r="AC318" s="581"/>
      <c r="AD318" s="582">
        <v>0</v>
      </c>
      <c r="AE318" s="325"/>
      <c r="AF318" s="324"/>
      <c r="AG318" s="583">
        <f t="shared" si="169"/>
        <v>0</v>
      </c>
      <c r="AH318" s="584">
        <v>0</v>
      </c>
      <c r="AI318" s="51"/>
      <c r="AJ318" s="1497">
        <f t="shared" si="124"/>
        <v>5122</v>
      </c>
      <c r="AK318" s="951">
        <f t="shared" si="177"/>
        <v>0</v>
      </c>
      <c r="AL318" s="9">
        <v>0</v>
      </c>
      <c r="AM318" s="326">
        <f t="shared" si="178"/>
        <v>0</v>
      </c>
      <c r="AN318" s="970">
        <f t="shared" si="178"/>
        <v>0</v>
      </c>
      <c r="AO318" s="326">
        <f t="shared" si="181"/>
        <v>0</v>
      </c>
      <c r="AP318" s="30">
        <v>0</v>
      </c>
      <c r="AQ318" s="43"/>
      <c r="AR318" s="358">
        <f t="shared" si="173"/>
        <v>0</v>
      </c>
      <c r="AS318" s="359">
        <f t="shared" si="174"/>
        <v>0</v>
      </c>
      <c r="AT318" s="360">
        <f t="shared" si="175"/>
        <v>0</v>
      </c>
      <c r="AU318" s="43"/>
      <c r="AV318" s="2120">
        <f t="shared" si="179"/>
        <v>0</v>
      </c>
      <c r="AW318" s="119"/>
      <c r="AX318" s="2120">
        <f t="shared" si="180"/>
        <v>0</v>
      </c>
      <c r="AY318" s="43"/>
      <c r="AZ318" s="43"/>
      <c r="BA318" s="43"/>
      <c r="BB318" s="43"/>
      <c r="BC318" s="43"/>
      <c r="BD318" s="43"/>
    </row>
    <row r="319" spans="1:56" ht="15.75">
      <c r="A319" s="88">
        <v>5123</v>
      </c>
      <c r="B319" s="1032" t="s">
        <v>129</v>
      </c>
      <c r="C319" s="1034"/>
      <c r="D319" s="1034"/>
      <c r="E319" s="1034"/>
      <c r="F319" s="1034"/>
      <c r="G319" s="1034"/>
      <c r="H319" s="1034"/>
      <c r="I319" s="1034"/>
      <c r="J319" s="1034"/>
      <c r="K319" s="1034"/>
      <c r="L319" s="574"/>
      <c r="M319" s="51" t="s">
        <v>265</v>
      </c>
      <c r="N319" s="113">
        <f t="shared" si="168"/>
        <v>5123</v>
      </c>
      <c r="O319" s="581"/>
      <c r="P319" s="582">
        <v>0</v>
      </c>
      <c r="Q319" s="325"/>
      <c r="R319" s="324"/>
      <c r="S319" s="583">
        <f t="shared" si="176"/>
        <v>0</v>
      </c>
      <c r="T319" s="584">
        <v>0</v>
      </c>
      <c r="U319" s="51"/>
      <c r="V319" s="541">
        <f>+'NF-KSF-TRIAL-BAL-2020'!O319+'RA-TRIAL-BAL-2020'!O319+'DES-TRIAL-BAL-2020'!O319+'DMP-TRIAL-BAL-2020'!O319</f>
        <v>0</v>
      </c>
      <c r="W319" s="529">
        <f>+'NF-KSF-TRIAL-BAL-2020'!P319+'RA-TRIAL-BAL-2020'!P319+'DES-TRIAL-BAL-2020'!P319+'DMP-TRIAL-BAL-2020'!P319</f>
        <v>0</v>
      </c>
      <c r="X319" s="587">
        <f>+'NF-KSF-TRIAL-BAL-2020'!Q319+'RA-TRIAL-BAL-2020'!Q319+'DES-TRIAL-BAL-2020'!Q319+'DMP-TRIAL-BAL-2020'!Q319</f>
        <v>0</v>
      </c>
      <c r="Y319" s="586">
        <f>+'NF-KSF-TRIAL-BAL-2020'!R319+'RA-TRIAL-BAL-2020'!R319+'DES-TRIAL-BAL-2020'!R319+'DMP-TRIAL-BAL-2020'!R319</f>
        <v>0</v>
      </c>
      <c r="Z319" s="587">
        <f>+'NF-KSF-TRIAL-BAL-2020'!S319+'RA-TRIAL-BAL-2020'!S319+'DES-TRIAL-BAL-2020'!S319+'DMP-TRIAL-BAL-2020'!S319</f>
        <v>0</v>
      </c>
      <c r="AA319" s="588">
        <f>+'NF-KSF-TRIAL-BAL-2020'!T319+'RA-TRIAL-BAL-2020'!T319+'DES-TRIAL-BAL-2020'!T319+'DMP-TRIAL-BAL-2020'!T319</f>
        <v>0</v>
      </c>
      <c r="AB319" s="51"/>
      <c r="AC319" s="581"/>
      <c r="AD319" s="582">
        <v>0</v>
      </c>
      <c r="AE319" s="325"/>
      <c r="AF319" s="324"/>
      <c r="AG319" s="583">
        <f t="shared" si="169"/>
        <v>0</v>
      </c>
      <c r="AH319" s="584">
        <v>0</v>
      </c>
      <c r="AI319" s="51"/>
      <c r="AJ319" s="1497">
        <f t="shared" si="124"/>
        <v>5123</v>
      </c>
      <c r="AK319" s="951">
        <f t="shared" si="177"/>
        <v>0</v>
      </c>
      <c r="AL319" s="9">
        <v>0</v>
      </c>
      <c r="AM319" s="326">
        <f t="shared" si="178"/>
        <v>0</v>
      </c>
      <c r="AN319" s="970">
        <f t="shared" si="178"/>
        <v>0</v>
      </c>
      <c r="AO319" s="326">
        <f t="shared" si="181"/>
        <v>0</v>
      </c>
      <c r="AP319" s="30">
        <v>0</v>
      </c>
      <c r="AQ319" s="43"/>
      <c r="AR319" s="358">
        <f t="shared" si="173"/>
        <v>0</v>
      </c>
      <c r="AS319" s="359">
        <f t="shared" si="174"/>
        <v>0</v>
      </c>
      <c r="AT319" s="360">
        <f t="shared" si="175"/>
        <v>0</v>
      </c>
      <c r="AU319" s="43"/>
      <c r="AV319" s="2120">
        <f t="shared" si="179"/>
        <v>0</v>
      </c>
      <c r="AW319" s="119"/>
      <c r="AX319" s="2120">
        <f t="shared" si="180"/>
        <v>0</v>
      </c>
      <c r="AY319" s="43"/>
      <c r="AZ319" s="43"/>
      <c r="BA319" s="43"/>
      <c r="BB319" s="43"/>
      <c r="BC319" s="43"/>
      <c r="BD319" s="43"/>
    </row>
    <row r="320" spans="1:56" ht="15.75">
      <c r="A320" s="88">
        <v>5124</v>
      </c>
      <c r="B320" s="1032" t="s">
        <v>1164</v>
      </c>
      <c r="C320" s="1034"/>
      <c r="D320" s="1034"/>
      <c r="E320" s="1034"/>
      <c r="F320" s="1034"/>
      <c r="G320" s="1034"/>
      <c r="H320" s="1034"/>
      <c r="I320" s="1034"/>
      <c r="J320" s="1034"/>
      <c r="K320" s="1034"/>
      <c r="L320" s="574"/>
      <c r="M320" s="51" t="s">
        <v>265</v>
      </c>
      <c r="N320" s="113">
        <f t="shared" si="168"/>
        <v>5124</v>
      </c>
      <c r="O320" s="581"/>
      <c r="P320" s="582">
        <v>0</v>
      </c>
      <c r="Q320" s="325"/>
      <c r="R320" s="324"/>
      <c r="S320" s="583">
        <f t="shared" si="176"/>
        <v>0</v>
      </c>
      <c r="T320" s="584">
        <v>0</v>
      </c>
      <c r="U320" s="51"/>
      <c r="V320" s="541">
        <f>+'NF-KSF-TRIAL-BAL-2020'!O320+'RA-TRIAL-BAL-2020'!O320+'DES-TRIAL-BAL-2020'!O320+'DMP-TRIAL-BAL-2020'!O320</f>
        <v>0</v>
      </c>
      <c r="W320" s="529">
        <f>+'NF-KSF-TRIAL-BAL-2020'!P320+'RA-TRIAL-BAL-2020'!P320+'DES-TRIAL-BAL-2020'!P320+'DMP-TRIAL-BAL-2020'!P320</f>
        <v>0</v>
      </c>
      <c r="X320" s="587">
        <f>+'NF-KSF-TRIAL-BAL-2020'!Q320+'RA-TRIAL-BAL-2020'!Q320+'DES-TRIAL-BAL-2020'!Q320+'DMP-TRIAL-BAL-2020'!Q320</f>
        <v>0</v>
      </c>
      <c r="Y320" s="586">
        <f>+'NF-KSF-TRIAL-BAL-2020'!R320+'RA-TRIAL-BAL-2020'!R320+'DES-TRIAL-BAL-2020'!R320+'DMP-TRIAL-BAL-2020'!R320</f>
        <v>0</v>
      </c>
      <c r="Z320" s="587">
        <f>+'NF-KSF-TRIAL-BAL-2020'!S320+'RA-TRIAL-BAL-2020'!S320+'DES-TRIAL-BAL-2020'!S320+'DMP-TRIAL-BAL-2020'!S320</f>
        <v>0</v>
      </c>
      <c r="AA320" s="588">
        <f>+'NF-KSF-TRIAL-BAL-2020'!T320+'RA-TRIAL-BAL-2020'!T320+'DES-TRIAL-BAL-2020'!T320+'DMP-TRIAL-BAL-2020'!T320</f>
        <v>0</v>
      </c>
      <c r="AB320" s="51"/>
      <c r="AC320" s="581"/>
      <c r="AD320" s="582">
        <v>0</v>
      </c>
      <c r="AE320" s="325"/>
      <c r="AF320" s="324"/>
      <c r="AG320" s="583">
        <f t="shared" si="169"/>
        <v>0</v>
      </c>
      <c r="AH320" s="584">
        <v>0</v>
      </c>
      <c r="AI320" s="51"/>
      <c r="AJ320" s="1497">
        <f t="shared" si="124"/>
        <v>5124</v>
      </c>
      <c r="AK320" s="951">
        <f t="shared" si="177"/>
        <v>0</v>
      </c>
      <c r="AL320" s="9">
        <v>0</v>
      </c>
      <c r="AM320" s="326">
        <f t="shared" si="178"/>
        <v>0</v>
      </c>
      <c r="AN320" s="970">
        <f t="shared" si="178"/>
        <v>0</v>
      </c>
      <c r="AO320" s="326">
        <f t="shared" si="181"/>
        <v>0</v>
      </c>
      <c r="AP320" s="30">
        <v>0</v>
      </c>
      <c r="AQ320" s="43"/>
      <c r="AR320" s="358">
        <f t="shared" si="173"/>
        <v>0</v>
      </c>
      <c r="AS320" s="359">
        <f t="shared" si="174"/>
        <v>0</v>
      </c>
      <c r="AT320" s="360">
        <f t="shared" si="175"/>
        <v>0</v>
      </c>
      <c r="AU320" s="43"/>
      <c r="AV320" s="2120">
        <f t="shared" si="179"/>
        <v>0</v>
      </c>
      <c r="AW320" s="119"/>
      <c r="AX320" s="2120">
        <f t="shared" si="180"/>
        <v>0</v>
      </c>
      <c r="AY320" s="43"/>
      <c r="AZ320" s="43"/>
      <c r="BA320" s="43"/>
      <c r="BB320" s="43"/>
      <c r="BC320" s="43"/>
      <c r="BD320" s="43"/>
    </row>
    <row r="321" spans="1:56" ht="15.75">
      <c r="A321" s="88">
        <v>5131</v>
      </c>
      <c r="B321" s="378" t="s">
        <v>130</v>
      </c>
      <c r="C321" s="1034"/>
      <c r="D321" s="1034"/>
      <c r="E321" s="1034"/>
      <c r="F321" s="1034"/>
      <c r="G321" s="1034"/>
      <c r="H321" s="1034"/>
      <c r="I321" s="1034"/>
      <c r="J321" s="1034"/>
      <c r="K321" s="1034"/>
      <c r="L321" s="574"/>
      <c r="M321" s="51" t="s">
        <v>265</v>
      </c>
      <c r="N321" s="113">
        <f t="shared" si="168"/>
        <v>5131</v>
      </c>
      <c r="O321" s="581"/>
      <c r="P321" s="582">
        <v>0</v>
      </c>
      <c r="Q321" s="325"/>
      <c r="R321" s="324"/>
      <c r="S321" s="583">
        <f t="shared" si="176"/>
        <v>0</v>
      </c>
      <c r="T321" s="584">
        <v>0</v>
      </c>
      <c r="U321" s="51"/>
      <c r="V321" s="541">
        <f>+'NF-KSF-TRIAL-BAL-2020'!O321+'RA-TRIAL-BAL-2020'!O321+'DES-TRIAL-BAL-2020'!O321+'DMP-TRIAL-BAL-2020'!O321</f>
        <v>0</v>
      </c>
      <c r="W321" s="529">
        <f>+'NF-KSF-TRIAL-BAL-2020'!P321+'RA-TRIAL-BAL-2020'!P321+'DES-TRIAL-BAL-2020'!P321+'DMP-TRIAL-BAL-2020'!P321</f>
        <v>0</v>
      </c>
      <c r="X321" s="587">
        <f>+'NF-KSF-TRIAL-BAL-2020'!Q321+'RA-TRIAL-BAL-2020'!Q321+'DES-TRIAL-BAL-2020'!Q321+'DMP-TRIAL-BAL-2020'!Q321</f>
        <v>0</v>
      </c>
      <c r="Y321" s="586">
        <f>+'NF-KSF-TRIAL-BAL-2020'!R321+'RA-TRIAL-BAL-2020'!R321+'DES-TRIAL-BAL-2020'!R321+'DMP-TRIAL-BAL-2020'!R321</f>
        <v>0</v>
      </c>
      <c r="Z321" s="587">
        <f>+'NF-KSF-TRIAL-BAL-2020'!S321+'RA-TRIAL-BAL-2020'!S321+'DES-TRIAL-BAL-2020'!S321+'DMP-TRIAL-BAL-2020'!S321</f>
        <v>0</v>
      </c>
      <c r="AA321" s="588">
        <f>+'NF-KSF-TRIAL-BAL-2020'!T321+'RA-TRIAL-BAL-2020'!T321+'DES-TRIAL-BAL-2020'!T321+'DMP-TRIAL-BAL-2020'!T321</f>
        <v>0</v>
      </c>
      <c r="AB321" s="51"/>
      <c r="AC321" s="581"/>
      <c r="AD321" s="582">
        <v>0</v>
      </c>
      <c r="AE321" s="122"/>
      <c r="AF321" s="324"/>
      <c r="AG321" s="583">
        <f t="shared" si="169"/>
        <v>0</v>
      </c>
      <c r="AH321" s="584">
        <v>0</v>
      </c>
      <c r="AI321" s="51"/>
      <c r="AJ321" s="1497">
        <f t="shared" si="124"/>
        <v>5131</v>
      </c>
      <c r="AK321" s="951">
        <f t="shared" si="177"/>
        <v>0</v>
      </c>
      <c r="AL321" s="9">
        <v>0</v>
      </c>
      <c r="AM321" s="326">
        <f t="shared" si="178"/>
        <v>0</v>
      </c>
      <c r="AN321" s="970">
        <f t="shared" si="178"/>
        <v>0</v>
      </c>
      <c r="AO321" s="326">
        <f t="shared" si="181"/>
        <v>0</v>
      </c>
      <c r="AP321" s="30">
        <v>0</v>
      </c>
      <c r="AQ321" s="43"/>
      <c r="AR321" s="358">
        <f t="shared" si="173"/>
        <v>0</v>
      </c>
      <c r="AS321" s="359">
        <f t="shared" si="174"/>
        <v>0</v>
      </c>
      <c r="AT321" s="360">
        <f t="shared" si="175"/>
        <v>0</v>
      </c>
      <c r="AU321" s="43"/>
      <c r="AV321" s="2120">
        <f t="shared" si="179"/>
        <v>0</v>
      </c>
      <c r="AW321" s="119"/>
      <c r="AX321" s="2120">
        <f t="shared" si="180"/>
        <v>0</v>
      </c>
      <c r="AY321" s="43"/>
      <c r="AZ321" s="43"/>
      <c r="BA321" s="43"/>
      <c r="BB321" s="43"/>
      <c r="BC321" s="43"/>
      <c r="BD321" s="43"/>
    </row>
    <row r="322" spans="1:56" ht="15.75">
      <c r="A322" s="88">
        <v>5139</v>
      </c>
      <c r="B322" s="378" t="s">
        <v>135</v>
      </c>
      <c r="C322" s="1034"/>
      <c r="D322" s="1034"/>
      <c r="E322" s="1034"/>
      <c r="F322" s="1034"/>
      <c r="G322" s="1034"/>
      <c r="H322" s="1034"/>
      <c r="I322" s="1034"/>
      <c r="J322" s="1034"/>
      <c r="K322" s="1034"/>
      <c r="L322" s="574"/>
      <c r="M322" s="51" t="s">
        <v>265</v>
      </c>
      <c r="N322" s="113">
        <f t="shared" si="168"/>
        <v>5139</v>
      </c>
      <c r="O322" s="581"/>
      <c r="P322" s="576"/>
      <c r="Q322" s="325"/>
      <c r="R322" s="324"/>
      <c r="S322" s="583">
        <f t="shared" ref="S322:S357" si="182">+IF(ABS(+O322+Q322)&gt;=ABS(P322+R322),+O322-P322+Q322-R322,0)</f>
        <v>0</v>
      </c>
      <c r="T322" s="580">
        <f>+IF(ABS(+O322+Q322)&lt;=ABS(P322+R322),-O322+P322-Q322+R322,0)</f>
        <v>0</v>
      </c>
      <c r="U322" s="51"/>
      <c r="V322" s="541">
        <f>+'NF-KSF-TRIAL-BAL-2020'!O322+'RA-TRIAL-BAL-2020'!O322+'DES-TRIAL-BAL-2020'!O322+'DMP-TRIAL-BAL-2020'!O322</f>
        <v>0</v>
      </c>
      <c r="W322" s="529">
        <f>+'NF-KSF-TRIAL-BAL-2020'!P322+'RA-TRIAL-BAL-2020'!P322+'DES-TRIAL-BAL-2020'!P322+'DMP-TRIAL-BAL-2020'!P322</f>
        <v>0</v>
      </c>
      <c r="X322" s="587">
        <f>+'NF-KSF-TRIAL-BAL-2020'!Q322+'RA-TRIAL-BAL-2020'!Q322+'DES-TRIAL-BAL-2020'!Q322+'DMP-TRIAL-BAL-2020'!Q322</f>
        <v>0</v>
      </c>
      <c r="Y322" s="586">
        <f>+'NF-KSF-TRIAL-BAL-2020'!R322+'RA-TRIAL-BAL-2020'!R322+'DES-TRIAL-BAL-2020'!R322+'DMP-TRIAL-BAL-2020'!R322</f>
        <v>0</v>
      </c>
      <c r="Z322" s="587">
        <f>+'NF-KSF-TRIAL-BAL-2020'!S322+'RA-TRIAL-BAL-2020'!S322+'DES-TRIAL-BAL-2020'!S322+'DMP-TRIAL-BAL-2020'!S322</f>
        <v>0</v>
      </c>
      <c r="AA322" s="588">
        <f>+'NF-KSF-TRIAL-BAL-2020'!T322+'RA-TRIAL-BAL-2020'!T322+'DES-TRIAL-BAL-2020'!T322+'DMP-TRIAL-BAL-2020'!T322</f>
        <v>0</v>
      </c>
      <c r="AB322" s="51"/>
      <c r="AC322" s="581"/>
      <c r="AD322" s="576"/>
      <c r="AE322" s="122"/>
      <c r="AF322" s="121"/>
      <c r="AG322" s="583">
        <f t="shared" ref="AG322:AG357" si="183">+IF(ABS(+AC322+AE322)&gt;=ABS(AD322+AF322),+AC322-AD322+AE322-AF322,0)</f>
        <v>0</v>
      </c>
      <c r="AH322" s="580">
        <f>+IF(ABS(+AC322+AE322)&lt;=ABS(AD322+AF322),-AC322+AD322-AE322+AF322,0)</f>
        <v>0</v>
      </c>
      <c r="AI322" s="51"/>
      <c r="AJ322" s="1497">
        <f t="shared" si="124"/>
        <v>5139</v>
      </c>
      <c r="AK322" s="951">
        <f t="shared" si="177"/>
        <v>0</v>
      </c>
      <c r="AL322" s="970">
        <f>+ROUND(+P322+W322+AD322,2)</f>
        <v>0</v>
      </c>
      <c r="AM322" s="326">
        <f t="shared" si="178"/>
        <v>0</v>
      </c>
      <c r="AN322" s="970">
        <f t="shared" si="178"/>
        <v>0</v>
      </c>
      <c r="AO322" s="326">
        <f t="shared" si="181"/>
        <v>0</v>
      </c>
      <c r="AP322" s="327">
        <f t="shared" si="181"/>
        <v>0</v>
      </c>
      <c r="AQ322" s="43"/>
      <c r="AR322" s="358">
        <f t="shared" si="173"/>
        <v>0</v>
      </c>
      <c r="AS322" s="359">
        <f t="shared" si="174"/>
        <v>0</v>
      </c>
      <c r="AT322" s="360">
        <f t="shared" si="175"/>
        <v>0</v>
      </c>
      <c r="AU322" s="43"/>
      <c r="AV322" s="43"/>
      <c r="AW322" s="119"/>
      <c r="AX322" s="119"/>
      <c r="AY322" s="43"/>
      <c r="AZ322" s="43"/>
      <c r="BA322" s="43"/>
      <c r="BB322" s="43"/>
      <c r="BC322" s="43"/>
      <c r="BD322" s="43"/>
    </row>
    <row r="323" spans="1:56" ht="15.75">
      <c r="A323" s="88">
        <v>5141</v>
      </c>
      <c r="B323" s="378" t="s">
        <v>131</v>
      </c>
      <c r="C323" s="1034"/>
      <c r="D323" s="1034"/>
      <c r="E323" s="1034"/>
      <c r="F323" s="1034"/>
      <c r="G323" s="1034"/>
      <c r="H323" s="1034"/>
      <c r="I323" s="1034"/>
      <c r="J323" s="1034"/>
      <c r="K323" s="1034"/>
      <c r="L323" s="574"/>
      <c r="M323" s="51" t="s">
        <v>265</v>
      </c>
      <c r="N323" s="113">
        <f t="shared" si="168"/>
        <v>5141</v>
      </c>
      <c r="O323" s="581"/>
      <c r="P323" s="582">
        <v>0</v>
      </c>
      <c r="Q323" s="325"/>
      <c r="R323" s="324"/>
      <c r="S323" s="583">
        <f t="shared" si="182"/>
        <v>0</v>
      </c>
      <c r="T323" s="584">
        <v>0</v>
      </c>
      <c r="U323" s="51"/>
      <c r="V323" s="541">
        <f>+'NF-KSF-TRIAL-BAL-2020'!O323+'RA-TRIAL-BAL-2020'!O323+'DES-TRIAL-BAL-2020'!O323+'DMP-TRIAL-BAL-2020'!O323</f>
        <v>0</v>
      </c>
      <c r="W323" s="529">
        <f>+'NF-KSF-TRIAL-BAL-2020'!P323+'RA-TRIAL-BAL-2020'!P323+'DES-TRIAL-BAL-2020'!P323+'DMP-TRIAL-BAL-2020'!P323</f>
        <v>0</v>
      </c>
      <c r="X323" s="587">
        <f>+'NF-KSF-TRIAL-BAL-2020'!Q323+'RA-TRIAL-BAL-2020'!Q323+'DES-TRIAL-BAL-2020'!Q323+'DMP-TRIAL-BAL-2020'!Q323</f>
        <v>0</v>
      </c>
      <c r="Y323" s="586">
        <f>+'NF-KSF-TRIAL-BAL-2020'!R323+'RA-TRIAL-BAL-2020'!R323+'DES-TRIAL-BAL-2020'!R323+'DMP-TRIAL-BAL-2020'!R323</f>
        <v>0</v>
      </c>
      <c r="Z323" s="587">
        <f>+'NF-KSF-TRIAL-BAL-2020'!S323+'RA-TRIAL-BAL-2020'!S323+'DES-TRIAL-BAL-2020'!S323+'DMP-TRIAL-BAL-2020'!S323</f>
        <v>0</v>
      </c>
      <c r="AA323" s="588">
        <f>+'NF-KSF-TRIAL-BAL-2020'!T323+'RA-TRIAL-BAL-2020'!T323+'DES-TRIAL-BAL-2020'!T323+'DMP-TRIAL-BAL-2020'!T323</f>
        <v>0</v>
      </c>
      <c r="AB323" s="51"/>
      <c r="AC323" s="581"/>
      <c r="AD323" s="582">
        <v>0</v>
      </c>
      <c r="AE323" s="325"/>
      <c r="AF323" s="324"/>
      <c r="AG323" s="583">
        <f t="shared" si="183"/>
        <v>0</v>
      </c>
      <c r="AH323" s="584">
        <v>0</v>
      </c>
      <c r="AI323" s="51"/>
      <c r="AJ323" s="1497">
        <f t="shared" si="124"/>
        <v>5141</v>
      </c>
      <c r="AK323" s="951">
        <f t="shared" si="177"/>
        <v>0</v>
      </c>
      <c r="AL323" s="9">
        <v>0</v>
      </c>
      <c r="AM323" s="326">
        <f t="shared" si="178"/>
        <v>0</v>
      </c>
      <c r="AN323" s="970">
        <f t="shared" si="178"/>
        <v>0</v>
      </c>
      <c r="AO323" s="326">
        <f t="shared" si="181"/>
        <v>0</v>
      </c>
      <c r="AP323" s="30">
        <v>0</v>
      </c>
      <c r="AQ323" s="43"/>
      <c r="AR323" s="358">
        <f t="shared" si="173"/>
        <v>0</v>
      </c>
      <c r="AS323" s="359">
        <f t="shared" si="174"/>
        <v>0</v>
      </c>
      <c r="AT323" s="360">
        <f t="shared" si="175"/>
        <v>0</v>
      </c>
      <c r="AU323" s="43"/>
      <c r="AV323" s="2120">
        <f>+IF(OR(ROUND(P323,2)+ROUND(R323,2)&gt;+ROUND(O323,2)+ROUND(Q323,2),+ABS(ROUND(P323,2)+ROUND(R323,2))&gt;+ABS(ROUND(O323,2)+ROUND(Q323,2))),+(ROUND(P323,2)+ROUND(R323,2))-(ROUND(O323,2)+ROUND(Q323,2)),0)</f>
        <v>0</v>
      </c>
      <c r="AW323" s="119"/>
      <c r="AX323" s="2120">
        <f>+IF(OR(ROUND(AD323,2)+ROUND(AF323,2)&gt;+ROUND(AC323,2)+ROUND(AE323,2),+ABS(ROUND(AD323,2)+ROUND(AF323,2))&gt;+ABS(ROUND(AC323,2)+ROUND(AE323,2))),+(ROUND(AD323,2)+ROUND(AF323,2))-(ROUND(AC323,2)+ROUND(AE323,2)),0)</f>
        <v>0</v>
      </c>
      <c r="AY323" s="43"/>
      <c r="AZ323" s="43"/>
      <c r="BA323" s="43"/>
      <c r="BB323" s="43"/>
      <c r="BC323" s="43"/>
      <c r="BD323" s="43"/>
    </row>
    <row r="324" spans="1:56" ht="15.75">
      <c r="A324" s="88">
        <v>5142</v>
      </c>
      <c r="B324" s="378" t="s">
        <v>132</v>
      </c>
      <c r="C324" s="1034"/>
      <c r="D324" s="1034"/>
      <c r="E324" s="1034"/>
      <c r="F324" s="1034"/>
      <c r="G324" s="1034"/>
      <c r="H324" s="1034"/>
      <c r="I324" s="1034"/>
      <c r="J324" s="1034"/>
      <c r="K324" s="1034"/>
      <c r="L324" s="574"/>
      <c r="M324" s="51" t="s">
        <v>265</v>
      </c>
      <c r="N324" s="113">
        <f t="shared" si="168"/>
        <v>5142</v>
      </c>
      <c r="O324" s="581"/>
      <c r="P324" s="582">
        <v>0</v>
      </c>
      <c r="Q324" s="325"/>
      <c r="R324" s="324"/>
      <c r="S324" s="583">
        <f t="shared" si="182"/>
        <v>0</v>
      </c>
      <c r="T324" s="584">
        <v>0</v>
      </c>
      <c r="U324" s="51"/>
      <c r="V324" s="541">
        <f>+'NF-KSF-TRIAL-BAL-2020'!O324+'RA-TRIAL-BAL-2020'!O324+'DES-TRIAL-BAL-2020'!O324+'DMP-TRIAL-BAL-2020'!O324</f>
        <v>0</v>
      </c>
      <c r="W324" s="529">
        <f>+'NF-KSF-TRIAL-BAL-2020'!P324+'RA-TRIAL-BAL-2020'!P324+'DES-TRIAL-BAL-2020'!P324+'DMP-TRIAL-BAL-2020'!P324</f>
        <v>0</v>
      </c>
      <c r="X324" s="587">
        <f>+'NF-KSF-TRIAL-BAL-2020'!Q324+'RA-TRIAL-BAL-2020'!Q324+'DES-TRIAL-BAL-2020'!Q324+'DMP-TRIAL-BAL-2020'!Q324</f>
        <v>0</v>
      </c>
      <c r="Y324" s="586">
        <f>+'NF-KSF-TRIAL-BAL-2020'!R324+'RA-TRIAL-BAL-2020'!R324+'DES-TRIAL-BAL-2020'!R324+'DMP-TRIAL-BAL-2020'!R324</f>
        <v>0</v>
      </c>
      <c r="Z324" s="587">
        <f>+'NF-KSF-TRIAL-BAL-2020'!S324+'RA-TRIAL-BAL-2020'!S324+'DES-TRIAL-BAL-2020'!S324+'DMP-TRIAL-BAL-2020'!S324</f>
        <v>0</v>
      </c>
      <c r="AA324" s="588">
        <f>+'NF-KSF-TRIAL-BAL-2020'!T324+'RA-TRIAL-BAL-2020'!T324+'DES-TRIAL-BAL-2020'!T324+'DMP-TRIAL-BAL-2020'!T324</f>
        <v>0</v>
      </c>
      <c r="AB324" s="51"/>
      <c r="AC324" s="581"/>
      <c r="AD324" s="582">
        <v>0</v>
      </c>
      <c r="AE324" s="325"/>
      <c r="AF324" s="324"/>
      <c r="AG324" s="583">
        <f t="shared" si="183"/>
        <v>0</v>
      </c>
      <c r="AH324" s="584">
        <v>0</v>
      </c>
      <c r="AI324" s="51"/>
      <c r="AJ324" s="1497">
        <f t="shared" si="124"/>
        <v>5142</v>
      </c>
      <c r="AK324" s="951">
        <f t="shared" si="177"/>
        <v>0</v>
      </c>
      <c r="AL324" s="9">
        <v>0</v>
      </c>
      <c r="AM324" s="326">
        <f t="shared" si="178"/>
        <v>0</v>
      </c>
      <c r="AN324" s="970">
        <f t="shared" si="178"/>
        <v>0</v>
      </c>
      <c r="AO324" s="326">
        <f t="shared" si="181"/>
        <v>0</v>
      </c>
      <c r="AP324" s="30">
        <v>0</v>
      </c>
      <c r="AQ324" s="43"/>
      <c r="AR324" s="358">
        <f t="shared" si="173"/>
        <v>0</v>
      </c>
      <c r="AS324" s="359">
        <f t="shared" si="174"/>
        <v>0</v>
      </c>
      <c r="AT324" s="360">
        <f t="shared" si="175"/>
        <v>0</v>
      </c>
      <c r="AU324" s="43"/>
      <c r="AV324" s="2120">
        <f>+IF(OR(ROUND(P324,2)+ROUND(R324,2)&gt;+ROUND(O324,2)+ROUND(Q324,2),+ABS(ROUND(P324,2)+ROUND(R324,2))&gt;+ABS(ROUND(O324,2)+ROUND(Q324,2))),+(ROUND(P324,2)+ROUND(R324,2))-(ROUND(O324,2)+ROUND(Q324,2)),0)</f>
        <v>0</v>
      </c>
      <c r="AW324" s="119"/>
      <c r="AX324" s="2120">
        <f>+IF(OR(ROUND(AD324,2)+ROUND(AF324,2)&gt;+ROUND(AC324,2)+ROUND(AE324,2),+ABS(ROUND(AD324,2)+ROUND(AF324,2))&gt;+ABS(ROUND(AC324,2)+ROUND(AE324,2))),+(ROUND(AD324,2)+ROUND(AF324,2))-(ROUND(AC324,2)+ROUND(AE324,2)),0)</f>
        <v>0</v>
      </c>
      <c r="AY324" s="43"/>
      <c r="AZ324" s="43"/>
      <c r="BA324" s="43"/>
      <c r="BB324" s="43"/>
      <c r="BC324" s="43"/>
      <c r="BD324" s="43"/>
    </row>
    <row r="325" spans="1:56" ht="15.75">
      <c r="A325" s="88">
        <v>5143</v>
      </c>
      <c r="B325" s="378" t="s">
        <v>133</v>
      </c>
      <c r="C325" s="1033"/>
      <c r="D325" s="1033"/>
      <c r="E325" s="1033"/>
      <c r="F325" s="1033"/>
      <c r="G325" s="1033"/>
      <c r="H325" s="1033"/>
      <c r="I325" s="1033"/>
      <c r="J325" s="1033"/>
      <c r="K325" s="1033"/>
      <c r="L325" s="574"/>
      <c r="M325" s="51" t="s">
        <v>265</v>
      </c>
      <c r="N325" s="113">
        <f t="shared" si="168"/>
        <v>5143</v>
      </c>
      <c r="O325" s="581"/>
      <c r="P325" s="582">
        <v>0</v>
      </c>
      <c r="Q325" s="325"/>
      <c r="R325" s="324"/>
      <c r="S325" s="583">
        <f t="shared" si="182"/>
        <v>0</v>
      </c>
      <c r="T325" s="584">
        <v>0</v>
      </c>
      <c r="U325" s="51"/>
      <c r="V325" s="541">
        <f>+'NF-KSF-TRIAL-BAL-2020'!O325+'RA-TRIAL-BAL-2020'!O325+'DES-TRIAL-BAL-2020'!O325+'DMP-TRIAL-BAL-2020'!O325</f>
        <v>0</v>
      </c>
      <c r="W325" s="529">
        <f>+'NF-KSF-TRIAL-BAL-2020'!P325+'RA-TRIAL-BAL-2020'!P325+'DES-TRIAL-BAL-2020'!P325+'DMP-TRIAL-BAL-2020'!P325</f>
        <v>0</v>
      </c>
      <c r="X325" s="587">
        <f>+'NF-KSF-TRIAL-BAL-2020'!Q325+'RA-TRIAL-BAL-2020'!Q325+'DES-TRIAL-BAL-2020'!Q325+'DMP-TRIAL-BAL-2020'!Q325</f>
        <v>0</v>
      </c>
      <c r="Y325" s="586">
        <f>+'NF-KSF-TRIAL-BAL-2020'!R325+'RA-TRIAL-BAL-2020'!R325+'DES-TRIAL-BAL-2020'!R325+'DMP-TRIAL-BAL-2020'!R325</f>
        <v>0</v>
      </c>
      <c r="Z325" s="587">
        <f>+'NF-KSF-TRIAL-BAL-2020'!S325+'RA-TRIAL-BAL-2020'!S325+'DES-TRIAL-BAL-2020'!S325+'DMP-TRIAL-BAL-2020'!S325</f>
        <v>0</v>
      </c>
      <c r="AA325" s="588">
        <f>+'NF-KSF-TRIAL-BAL-2020'!T325+'RA-TRIAL-BAL-2020'!T325+'DES-TRIAL-BAL-2020'!T325+'DMP-TRIAL-BAL-2020'!T325</f>
        <v>0</v>
      </c>
      <c r="AB325" s="51"/>
      <c r="AC325" s="581"/>
      <c r="AD325" s="582">
        <v>0</v>
      </c>
      <c r="AE325" s="325"/>
      <c r="AF325" s="324"/>
      <c r="AG325" s="583">
        <f t="shared" si="183"/>
        <v>0</v>
      </c>
      <c r="AH325" s="584">
        <v>0</v>
      </c>
      <c r="AI325" s="51"/>
      <c r="AJ325" s="1497">
        <f t="shared" si="124"/>
        <v>5143</v>
      </c>
      <c r="AK325" s="951">
        <f t="shared" si="177"/>
        <v>0</v>
      </c>
      <c r="AL325" s="9">
        <v>0</v>
      </c>
      <c r="AM325" s="326">
        <f t="shared" si="178"/>
        <v>0</v>
      </c>
      <c r="AN325" s="970">
        <f t="shared" si="178"/>
        <v>0</v>
      </c>
      <c r="AO325" s="326">
        <f t="shared" si="181"/>
        <v>0</v>
      </c>
      <c r="AP325" s="30">
        <v>0</v>
      </c>
      <c r="AQ325" s="43"/>
      <c r="AR325" s="358">
        <f t="shared" si="173"/>
        <v>0</v>
      </c>
      <c r="AS325" s="359">
        <f t="shared" si="174"/>
        <v>0</v>
      </c>
      <c r="AT325" s="360">
        <f t="shared" si="175"/>
        <v>0</v>
      </c>
      <c r="AU325" s="43"/>
      <c r="AV325" s="2120">
        <f>+IF(OR(ROUND(P325,2)+ROUND(R325,2)&gt;+ROUND(O325,2)+ROUND(Q325,2),+ABS(ROUND(P325,2)+ROUND(R325,2))&gt;+ABS(ROUND(O325,2)+ROUND(Q325,2))),+(ROUND(P325,2)+ROUND(R325,2))-(ROUND(O325,2)+ROUND(Q325,2)),0)</f>
        <v>0</v>
      </c>
      <c r="AW325" s="119"/>
      <c r="AX325" s="2120">
        <f>+IF(OR(ROUND(AD325,2)+ROUND(AF325,2)&gt;+ROUND(AC325,2)+ROUND(AE325,2),+ABS(ROUND(AD325,2)+ROUND(AF325,2))&gt;+ABS(ROUND(AC325,2)+ROUND(AE325,2))),+(ROUND(AD325,2)+ROUND(AF325,2))-(ROUND(AC325,2)+ROUND(AE325,2)),0)</f>
        <v>0</v>
      </c>
      <c r="AY325" s="43"/>
      <c r="AZ325" s="43"/>
      <c r="BA325" s="43"/>
      <c r="BB325" s="43"/>
      <c r="BC325" s="43"/>
      <c r="BD325" s="43"/>
    </row>
    <row r="326" spans="1:56" ht="15.75">
      <c r="A326" s="88">
        <v>5144</v>
      </c>
      <c r="B326" s="378" t="s">
        <v>134</v>
      </c>
      <c r="C326" s="1033"/>
      <c r="D326" s="1033"/>
      <c r="E326" s="1033"/>
      <c r="F326" s="1033"/>
      <c r="G326" s="1033"/>
      <c r="H326" s="1033"/>
      <c r="I326" s="1033"/>
      <c r="J326" s="1033"/>
      <c r="K326" s="1033"/>
      <c r="L326" s="574"/>
      <c r="M326" s="51" t="s">
        <v>265</v>
      </c>
      <c r="N326" s="113">
        <f t="shared" si="168"/>
        <v>5144</v>
      </c>
      <c r="O326" s="581"/>
      <c r="P326" s="582">
        <v>0</v>
      </c>
      <c r="Q326" s="325"/>
      <c r="R326" s="324"/>
      <c r="S326" s="583">
        <f t="shared" si="182"/>
        <v>0</v>
      </c>
      <c r="T326" s="584">
        <v>0</v>
      </c>
      <c r="U326" s="51"/>
      <c r="V326" s="541">
        <f>+'NF-KSF-TRIAL-BAL-2020'!O326+'RA-TRIAL-BAL-2020'!O326+'DES-TRIAL-BAL-2020'!O326+'DMP-TRIAL-BAL-2020'!O326</f>
        <v>0</v>
      </c>
      <c r="W326" s="529">
        <f>+'NF-KSF-TRIAL-BAL-2020'!P326+'RA-TRIAL-BAL-2020'!P326+'DES-TRIAL-BAL-2020'!P326+'DMP-TRIAL-BAL-2020'!P326</f>
        <v>0</v>
      </c>
      <c r="X326" s="587">
        <f>+'NF-KSF-TRIAL-BAL-2020'!Q326+'RA-TRIAL-BAL-2020'!Q326+'DES-TRIAL-BAL-2020'!Q326+'DMP-TRIAL-BAL-2020'!Q326</f>
        <v>0</v>
      </c>
      <c r="Y326" s="586">
        <f>+'NF-KSF-TRIAL-BAL-2020'!R326+'RA-TRIAL-BAL-2020'!R326+'DES-TRIAL-BAL-2020'!R326+'DMP-TRIAL-BAL-2020'!R326</f>
        <v>0</v>
      </c>
      <c r="Z326" s="587">
        <f>+'NF-KSF-TRIAL-BAL-2020'!S326+'RA-TRIAL-BAL-2020'!S326+'DES-TRIAL-BAL-2020'!S326+'DMP-TRIAL-BAL-2020'!S326</f>
        <v>0</v>
      </c>
      <c r="AA326" s="588">
        <f>+'NF-KSF-TRIAL-BAL-2020'!T326+'RA-TRIAL-BAL-2020'!T326+'DES-TRIAL-BAL-2020'!T326+'DMP-TRIAL-BAL-2020'!T326</f>
        <v>0</v>
      </c>
      <c r="AB326" s="51"/>
      <c r="AC326" s="581"/>
      <c r="AD326" s="582">
        <v>0</v>
      </c>
      <c r="AE326" s="122"/>
      <c r="AF326" s="324"/>
      <c r="AG326" s="583">
        <f t="shared" si="183"/>
        <v>0</v>
      </c>
      <c r="AH326" s="584">
        <v>0</v>
      </c>
      <c r="AI326" s="51"/>
      <c r="AJ326" s="1497">
        <f t="shared" ref="AJ326:AJ401" si="184">+N326</f>
        <v>5144</v>
      </c>
      <c r="AK326" s="951">
        <f t="shared" ref="AK326:AK351" si="185">+ROUND(+O326+V326+AC326,2)</f>
        <v>0</v>
      </c>
      <c r="AL326" s="9">
        <v>0</v>
      </c>
      <c r="AM326" s="326">
        <f t="shared" si="178"/>
        <v>0</v>
      </c>
      <c r="AN326" s="970">
        <f t="shared" si="178"/>
        <v>0</v>
      </c>
      <c r="AO326" s="326">
        <f t="shared" si="181"/>
        <v>0</v>
      </c>
      <c r="AP326" s="30">
        <v>0</v>
      </c>
      <c r="AQ326" s="43"/>
      <c r="AR326" s="358">
        <f t="shared" si="173"/>
        <v>0</v>
      </c>
      <c r="AS326" s="359">
        <f t="shared" si="174"/>
        <v>0</v>
      </c>
      <c r="AT326" s="360">
        <f t="shared" si="175"/>
        <v>0</v>
      </c>
      <c r="AU326" s="43"/>
      <c r="AV326" s="2120">
        <f>+IF(OR(ROUND(P326,2)+ROUND(R326,2)&gt;+ROUND(O326,2)+ROUND(Q326,2),+ABS(ROUND(P326,2)+ROUND(R326,2))&gt;+ABS(ROUND(O326,2)+ROUND(Q326,2))),+(ROUND(P326,2)+ROUND(R326,2))-(ROUND(O326,2)+ROUND(Q326,2)),0)</f>
        <v>0</v>
      </c>
      <c r="AW326" s="119"/>
      <c r="AX326" s="2120">
        <f>+IF(OR(ROUND(AD326,2)+ROUND(AF326,2)&gt;+ROUND(AC326,2)+ROUND(AE326,2),+ABS(ROUND(AD326,2)+ROUND(AF326,2))&gt;+ABS(ROUND(AC326,2)+ROUND(AE326,2))),+(ROUND(AD326,2)+ROUND(AF326,2))-(ROUND(AC326,2)+ROUND(AE326,2)),0)</f>
        <v>0</v>
      </c>
      <c r="AY326" s="43"/>
      <c r="AZ326" s="43"/>
      <c r="BA326" s="43"/>
      <c r="BB326" s="43"/>
      <c r="BC326" s="43"/>
      <c r="BD326" s="43"/>
    </row>
    <row r="327" spans="1:56" ht="15.75">
      <c r="A327" s="88">
        <v>5145</v>
      </c>
      <c r="B327" s="378" t="s">
        <v>136</v>
      </c>
      <c r="C327" s="1033"/>
      <c r="D327" s="1033"/>
      <c r="E327" s="1033"/>
      <c r="F327" s="1033"/>
      <c r="G327" s="1033"/>
      <c r="H327" s="1033"/>
      <c r="I327" s="1033"/>
      <c r="J327" s="1033"/>
      <c r="K327" s="1033"/>
      <c r="L327" s="574"/>
      <c r="M327" s="51" t="s">
        <v>265</v>
      </c>
      <c r="N327" s="113">
        <f t="shared" si="168"/>
        <v>5145</v>
      </c>
      <c r="O327" s="581"/>
      <c r="P327" s="576"/>
      <c r="Q327" s="325"/>
      <c r="R327" s="324"/>
      <c r="S327" s="583">
        <f t="shared" si="182"/>
        <v>0</v>
      </c>
      <c r="T327" s="580">
        <f>+IF(ABS(+O327+Q327)&lt;=ABS(P327+R327),-O327+P327-Q327+R327,0)</f>
        <v>0</v>
      </c>
      <c r="U327" s="51"/>
      <c r="V327" s="541">
        <f>+'NF-KSF-TRIAL-BAL-2020'!O327+'RA-TRIAL-BAL-2020'!O327+'DES-TRIAL-BAL-2020'!O327+'DMP-TRIAL-BAL-2020'!O327</f>
        <v>0</v>
      </c>
      <c r="W327" s="529">
        <f>+'NF-KSF-TRIAL-BAL-2020'!P327+'RA-TRIAL-BAL-2020'!P327+'DES-TRIAL-BAL-2020'!P327+'DMP-TRIAL-BAL-2020'!P327</f>
        <v>0</v>
      </c>
      <c r="X327" s="587">
        <f>+'NF-KSF-TRIAL-BAL-2020'!Q327+'RA-TRIAL-BAL-2020'!Q327+'DES-TRIAL-BAL-2020'!Q327+'DMP-TRIAL-BAL-2020'!Q327</f>
        <v>0</v>
      </c>
      <c r="Y327" s="586">
        <f>+'NF-KSF-TRIAL-BAL-2020'!R327+'RA-TRIAL-BAL-2020'!R327+'DES-TRIAL-BAL-2020'!R327+'DMP-TRIAL-BAL-2020'!R327</f>
        <v>0</v>
      </c>
      <c r="Z327" s="587">
        <f>+'NF-KSF-TRIAL-BAL-2020'!S327+'RA-TRIAL-BAL-2020'!S327+'DES-TRIAL-BAL-2020'!S327+'DMP-TRIAL-BAL-2020'!S327</f>
        <v>0</v>
      </c>
      <c r="AA327" s="588">
        <f>+'NF-KSF-TRIAL-BAL-2020'!T327+'RA-TRIAL-BAL-2020'!T327+'DES-TRIAL-BAL-2020'!T327+'DMP-TRIAL-BAL-2020'!T327</f>
        <v>0</v>
      </c>
      <c r="AB327" s="51"/>
      <c r="AC327" s="581"/>
      <c r="AD327" s="576"/>
      <c r="AE327" s="122"/>
      <c r="AF327" s="121"/>
      <c r="AG327" s="583">
        <f t="shared" si="183"/>
        <v>0</v>
      </c>
      <c r="AH327" s="580">
        <f>+IF(ABS(+AC327+AE327)&lt;=ABS(AD327+AF327),-AC327+AD327-AE327+AF327,0)</f>
        <v>0</v>
      </c>
      <c r="AI327" s="51"/>
      <c r="AJ327" s="1497">
        <f t="shared" si="184"/>
        <v>5145</v>
      </c>
      <c r="AK327" s="951">
        <f t="shared" si="185"/>
        <v>0</v>
      </c>
      <c r="AL327" s="970">
        <f>+ROUND(+P327+W327+AD327,2)</f>
        <v>0</v>
      </c>
      <c r="AM327" s="326">
        <f t="shared" si="178"/>
        <v>0</v>
      </c>
      <c r="AN327" s="970">
        <f t="shared" si="178"/>
        <v>0</v>
      </c>
      <c r="AO327" s="326">
        <f t="shared" si="181"/>
        <v>0</v>
      </c>
      <c r="AP327" s="327">
        <f t="shared" si="181"/>
        <v>0</v>
      </c>
      <c r="AQ327" s="43"/>
      <c r="AR327" s="358">
        <f t="shared" si="173"/>
        <v>0</v>
      </c>
      <c r="AS327" s="359">
        <f t="shared" si="174"/>
        <v>0</v>
      </c>
      <c r="AT327" s="360">
        <f t="shared" si="175"/>
        <v>0</v>
      </c>
      <c r="AU327" s="43"/>
      <c r="AV327" s="43"/>
      <c r="AW327" s="119"/>
      <c r="AX327" s="119"/>
      <c r="AY327" s="43"/>
      <c r="AZ327" s="43"/>
      <c r="BA327" s="43"/>
      <c r="BB327" s="43"/>
      <c r="BC327" s="43"/>
      <c r="BD327" s="43"/>
    </row>
    <row r="328" spans="1:56" ht="15.75">
      <c r="A328" s="88">
        <v>5146</v>
      </c>
      <c r="B328" s="378" t="s">
        <v>137</v>
      </c>
      <c r="C328" s="1033"/>
      <c r="D328" s="1033"/>
      <c r="E328" s="1033"/>
      <c r="F328" s="1033"/>
      <c r="G328" s="1033"/>
      <c r="H328" s="1033"/>
      <c r="I328" s="1033"/>
      <c r="J328" s="1033"/>
      <c r="K328" s="1033"/>
      <c r="L328" s="574"/>
      <c r="M328" s="51" t="s">
        <v>265</v>
      </c>
      <c r="N328" s="113">
        <f t="shared" si="168"/>
        <v>5146</v>
      </c>
      <c r="O328" s="581"/>
      <c r="P328" s="576"/>
      <c r="Q328" s="325"/>
      <c r="R328" s="324"/>
      <c r="S328" s="583">
        <f t="shared" si="182"/>
        <v>0</v>
      </c>
      <c r="T328" s="580">
        <f>+IF(ABS(+O328+Q328)&lt;=ABS(P328+R328),-O328+P328-Q328+R328,0)</f>
        <v>0</v>
      </c>
      <c r="U328" s="51"/>
      <c r="V328" s="541">
        <f>+'NF-KSF-TRIAL-BAL-2020'!O328+'RA-TRIAL-BAL-2020'!O328+'DES-TRIAL-BAL-2020'!O328+'DMP-TRIAL-BAL-2020'!O328</f>
        <v>0</v>
      </c>
      <c r="W328" s="529">
        <f>+'NF-KSF-TRIAL-BAL-2020'!P328+'RA-TRIAL-BAL-2020'!P328+'DES-TRIAL-BAL-2020'!P328+'DMP-TRIAL-BAL-2020'!P328</f>
        <v>0</v>
      </c>
      <c r="X328" s="587">
        <f>+'NF-KSF-TRIAL-BAL-2020'!Q328+'RA-TRIAL-BAL-2020'!Q328+'DES-TRIAL-BAL-2020'!Q328+'DMP-TRIAL-BAL-2020'!Q328</f>
        <v>0</v>
      </c>
      <c r="Y328" s="586">
        <f>+'NF-KSF-TRIAL-BAL-2020'!R328+'RA-TRIAL-BAL-2020'!R328+'DES-TRIAL-BAL-2020'!R328+'DMP-TRIAL-BAL-2020'!R328</f>
        <v>0</v>
      </c>
      <c r="Z328" s="587">
        <f>+'NF-KSF-TRIAL-BAL-2020'!S328+'RA-TRIAL-BAL-2020'!S328+'DES-TRIAL-BAL-2020'!S328+'DMP-TRIAL-BAL-2020'!S328</f>
        <v>0</v>
      </c>
      <c r="AA328" s="588">
        <f>+'NF-KSF-TRIAL-BAL-2020'!T328+'RA-TRIAL-BAL-2020'!T328+'DES-TRIAL-BAL-2020'!T328+'DMP-TRIAL-BAL-2020'!T328</f>
        <v>0</v>
      </c>
      <c r="AB328" s="51"/>
      <c r="AC328" s="581"/>
      <c r="AD328" s="576"/>
      <c r="AE328" s="325"/>
      <c r="AF328" s="324"/>
      <c r="AG328" s="583">
        <f t="shared" si="183"/>
        <v>0</v>
      </c>
      <c r="AH328" s="580">
        <f>+IF(ABS(+AC328+AE328)&lt;=ABS(AD328+AF328),-AC328+AD328-AE328+AF328,0)</f>
        <v>0</v>
      </c>
      <c r="AI328" s="51"/>
      <c r="AJ328" s="1497">
        <f t="shared" si="184"/>
        <v>5146</v>
      </c>
      <c r="AK328" s="951">
        <f t="shared" si="185"/>
        <v>0</v>
      </c>
      <c r="AL328" s="970">
        <f>+ROUND(+P328+W328+AD328,2)</f>
        <v>0</v>
      </c>
      <c r="AM328" s="326">
        <f t="shared" si="178"/>
        <v>0</v>
      </c>
      <c r="AN328" s="970">
        <f t="shared" si="178"/>
        <v>0</v>
      </c>
      <c r="AO328" s="326">
        <f t="shared" si="181"/>
        <v>0</v>
      </c>
      <c r="AP328" s="327">
        <f t="shared" si="181"/>
        <v>0</v>
      </c>
      <c r="AQ328" s="43"/>
      <c r="AR328" s="358">
        <f t="shared" si="173"/>
        <v>0</v>
      </c>
      <c r="AS328" s="359">
        <f t="shared" si="174"/>
        <v>0</v>
      </c>
      <c r="AT328" s="360">
        <f t="shared" si="175"/>
        <v>0</v>
      </c>
      <c r="AU328" s="43"/>
      <c r="AV328" s="43"/>
      <c r="AW328" s="119"/>
      <c r="AX328" s="119"/>
      <c r="AY328" s="43"/>
      <c r="AZ328" s="43"/>
      <c r="BA328" s="43"/>
      <c r="BB328" s="43"/>
      <c r="BC328" s="43"/>
      <c r="BD328" s="43"/>
    </row>
    <row r="329" spans="1:56" ht="15.75">
      <c r="A329" s="88">
        <v>5147</v>
      </c>
      <c r="B329" s="378" t="s">
        <v>138</v>
      </c>
      <c r="C329" s="1033"/>
      <c r="D329" s="1033"/>
      <c r="E329" s="1033"/>
      <c r="F329" s="1033"/>
      <c r="G329" s="1033"/>
      <c r="H329" s="1033"/>
      <c r="I329" s="1033"/>
      <c r="J329" s="1033"/>
      <c r="K329" s="1033"/>
      <c r="L329" s="574"/>
      <c r="M329" s="51" t="s">
        <v>265</v>
      </c>
      <c r="N329" s="113">
        <f t="shared" si="168"/>
        <v>5147</v>
      </c>
      <c r="O329" s="581"/>
      <c r="P329" s="576"/>
      <c r="Q329" s="325"/>
      <c r="R329" s="324"/>
      <c r="S329" s="583">
        <f t="shared" si="182"/>
        <v>0</v>
      </c>
      <c r="T329" s="580">
        <f>+IF(ABS(+O329+Q329)&lt;=ABS(P329+R329),-O329+P329-Q329+R329,0)</f>
        <v>0</v>
      </c>
      <c r="U329" s="51"/>
      <c r="V329" s="541">
        <f>+'NF-KSF-TRIAL-BAL-2020'!O329+'RA-TRIAL-BAL-2020'!O329+'DES-TRIAL-BAL-2020'!O329+'DMP-TRIAL-BAL-2020'!O329</f>
        <v>0</v>
      </c>
      <c r="W329" s="529">
        <f>+'NF-KSF-TRIAL-BAL-2020'!P329+'RA-TRIAL-BAL-2020'!P329+'DES-TRIAL-BAL-2020'!P329+'DMP-TRIAL-BAL-2020'!P329</f>
        <v>0</v>
      </c>
      <c r="X329" s="587">
        <f>+'NF-KSF-TRIAL-BAL-2020'!Q329+'RA-TRIAL-BAL-2020'!Q329+'DES-TRIAL-BAL-2020'!Q329+'DMP-TRIAL-BAL-2020'!Q329</f>
        <v>0</v>
      </c>
      <c r="Y329" s="586">
        <f>+'NF-KSF-TRIAL-BAL-2020'!R329+'RA-TRIAL-BAL-2020'!R329+'DES-TRIAL-BAL-2020'!R329+'DMP-TRIAL-BAL-2020'!R329</f>
        <v>0</v>
      </c>
      <c r="Z329" s="587">
        <f>+'NF-KSF-TRIAL-BAL-2020'!S329+'RA-TRIAL-BAL-2020'!S329+'DES-TRIAL-BAL-2020'!S329+'DMP-TRIAL-BAL-2020'!S329</f>
        <v>0</v>
      </c>
      <c r="AA329" s="588">
        <f>+'NF-KSF-TRIAL-BAL-2020'!T329+'RA-TRIAL-BAL-2020'!T329+'DES-TRIAL-BAL-2020'!T329+'DMP-TRIAL-BAL-2020'!T329</f>
        <v>0</v>
      </c>
      <c r="AB329" s="51"/>
      <c r="AC329" s="581"/>
      <c r="AD329" s="576"/>
      <c r="AE329" s="325"/>
      <c r="AF329" s="324"/>
      <c r="AG329" s="583">
        <f t="shared" si="183"/>
        <v>0</v>
      </c>
      <c r="AH329" s="580">
        <f>+IF(ABS(+AC329+AE329)&lt;=ABS(AD329+AF329),-AC329+AD329-AE329+AF329,0)</f>
        <v>0</v>
      </c>
      <c r="AI329" s="51"/>
      <c r="AJ329" s="1497">
        <f t="shared" si="184"/>
        <v>5147</v>
      </c>
      <c r="AK329" s="951">
        <f t="shared" si="185"/>
        <v>0</v>
      </c>
      <c r="AL329" s="970">
        <f>+ROUND(+P329+W329+AD329,2)</f>
        <v>0</v>
      </c>
      <c r="AM329" s="326">
        <f t="shared" si="178"/>
        <v>0</v>
      </c>
      <c r="AN329" s="970">
        <f t="shared" si="178"/>
        <v>0</v>
      </c>
      <c r="AO329" s="326">
        <f t="shared" si="181"/>
        <v>0</v>
      </c>
      <c r="AP329" s="327">
        <f t="shared" si="181"/>
        <v>0</v>
      </c>
      <c r="AQ329" s="43"/>
      <c r="AR329" s="358">
        <f t="shared" si="173"/>
        <v>0</v>
      </c>
      <c r="AS329" s="359">
        <f t="shared" si="174"/>
        <v>0</v>
      </c>
      <c r="AT329" s="360">
        <f t="shared" si="175"/>
        <v>0</v>
      </c>
      <c r="AU329" s="43"/>
      <c r="AV329" s="43"/>
      <c r="AW329" s="119"/>
      <c r="AX329" s="119"/>
      <c r="AY329" s="43"/>
      <c r="AZ329" s="43"/>
      <c r="BA329" s="43"/>
      <c r="BB329" s="43"/>
      <c r="BC329" s="43"/>
      <c r="BD329" s="43"/>
    </row>
    <row r="330" spans="1:56" ht="15.75">
      <c r="A330" s="88">
        <v>5148</v>
      </c>
      <c r="B330" s="378" t="s">
        <v>139</v>
      </c>
      <c r="C330" s="1033"/>
      <c r="D330" s="1033"/>
      <c r="E330" s="1033"/>
      <c r="F330" s="1033"/>
      <c r="G330" s="1033"/>
      <c r="H330" s="1033"/>
      <c r="I330" s="1033"/>
      <c r="J330" s="1033"/>
      <c r="K330" s="1033"/>
      <c r="L330" s="574"/>
      <c r="M330" s="51" t="s">
        <v>265</v>
      </c>
      <c r="N330" s="113">
        <f t="shared" si="168"/>
        <v>5148</v>
      </c>
      <c r="O330" s="581"/>
      <c r="P330" s="576"/>
      <c r="Q330" s="325"/>
      <c r="R330" s="324"/>
      <c r="S330" s="583">
        <f t="shared" si="182"/>
        <v>0</v>
      </c>
      <c r="T330" s="580">
        <f>+IF(ABS(+O330+Q330)&lt;=ABS(P330+R330),-O330+P330-Q330+R330,0)</f>
        <v>0</v>
      </c>
      <c r="U330" s="51"/>
      <c r="V330" s="541">
        <f>+'NF-KSF-TRIAL-BAL-2020'!O330+'RA-TRIAL-BAL-2020'!O330+'DES-TRIAL-BAL-2020'!O330+'DMP-TRIAL-BAL-2020'!O330</f>
        <v>0</v>
      </c>
      <c r="W330" s="529">
        <f>+'NF-KSF-TRIAL-BAL-2020'!P330+'RA-TRIAL-BAL-2020'!P330+'DES-TRIAL-BAL-2020'!P330+'DMP-TRIAL-BAL-2020'!P330</f>
        <v>0</v>
      </c>
      <c r="X330" s="587">
        <f>+'NF-KSF-TRIAL-BAL-2020'!Q330+'RA-TRIAL-BAL-2020'!Q330+'DES-TRIAL-BAL-2020'!Q330+'DMP-TRIAL-BAL-2020'!Q330</f>
        <v>0</v>
      </c>
      <c r="Y330" s="586">
        <f>+'NF-KSF-TRIAL-BAL-2020'!R330+'RA-TRIAL-BAL-2020'!R330+'DES-TRIAL-BAL-2020'!R330+'DMP-TRIAL-BAL-2020'!R330</f>
        <v>0</v>
      </c>
      <c r="Z330" s="587">
        <f>+'NF-KSF-TRIAL-BAL-2020'!S330+'RA-TRIAL-BAL-2020'!S330+'DES-TRIAL-BAL-2020'!S330+'DMP-TRIAL-BAL-2020'!S330</f>
        <v>0</v>
      </c>
      <c r="AA330" s="588">
        <f>+'NF-KSF-TRIAL-BAL-2020'!T330+'RA-TRIAL-BAL-2020'!T330+'DES-TRIAL-BAL-2020'!T330+'DMP-TRIAL-BAL-2020'!T330</f>
        <v>0</v>
      </c>
      <c r="AB330" s="51"/>
      <c r="AC330" s="581"/>
      <c r="AD330" s="576"/>
      <c r="AE330" s="325"/>
      <c r="AF330" s="324"/>
      <c r="AG330" s="583">
        <f t="shared" si="183"/>
        <v>0</v>
      </c>
      <c r="AH330" s="580">
        <f>+IF(ABS(+AC330+AE330)&lt;=ABS(AD330+AF330),-AC330+AD330-AE330+AF330,0)</f>
        <v>0</v>
      </c>
      <c r="AI330" s="51"/>
      <c r="AJ330" s="1497">
        <f t="shared" si="184"/>
        <v>5148</v>
      </c>
      <c r="AK330" s="951">
        <f t="shared" si="185"/>
        <v>0</v>
      </c>
      <c r="AL330" s="970">
        <f>+ROUND(+P330+W330+AD330,2)</f>
        <v>0</v>
      </c>
      <c r="AM330" s="326">
        <f t="shared" si="178"/>
        <v>0</v>
      </c>
      <c r="AN330" s="970">
        <f t="shared" si="178"/>
        <v>0</v>
      </c>
      <c r="AO330" s="326">
        <f t="shared" si="181"/>
        <v>0</v>
      </c>
      <c r="AP330" s="327">
        <f t="shared" si="181"/>
        <v>0</v>
      </c>
      <c r="AQ330" s="43"/>
      <c r="AR330" s="358">
        <f t="shared" si="173"/>
        <v>0</v>
      </c>
      <c r="AS330" s="359">
        <f t="shared" si="174"/>
        <v>0</v>
      </c>
      <c r="AT330" s="360">
        <f t="shared" si="175"/>
        <v>0</v>
      </c>
      <c r="AU330" s="43"/>
      <c r="AV330" s="43"/>
      <c r="AW330" s="119"/>
      <c r="AX330" s="119"/>
      <c r="AY330" s="43"/>
      <c r="AZ330" s="43"/>
      <c r="BA330" s="43"/>
      <c r="BB330" s="43"/>
      <c r="BC330" s="43"/>
      <c r="BD330" s="43"/>
    </row>
    <row r="331" spans="1:56" ht="15.75">
      <c r="A331" s="88">
        <v>5181</v>
      </c>
      <c r="B331" s="378" t="s">
        <v>140</v>
      </c>
      <c r="C331" s="1033"/>
      <c r="D331" s="1033"/>
      <c r="E331" s="1033"/>
      <c r="F331" s="1033"/>
      <c r="G331" s="1033"/>
      <c r="H331" s="1033"/>
      <c r="I331" s="1033"/>
      <c r="J331" s="1033"/>
      <c r="K331" s="1033"/>
      <c r="L331" s="574"/>
      <c r="M331" s="51" t="s">
        <v>265</v>
      </c>
      <c r="N331" s="113">
        <f t="shared" si="168"/>
        <v>5181</v>
      </c>
      <c r="O331" s="581"/>
      <c r="P331" s="582">
        <v>0</v>
      </c>
      <c r="Q331" s="325"/>
      <c r="R331" s="324"/>
      <c r="S331" s="583">
        <f t="shared" si="182"/>
        <v>0</v>
      </c>
      <c r="T331" s="584">
        <v>0</v>
      </c>
      <c r="U331" s="51"/>
      <c r="V331" s="541">
        <f>+'NF-KSF-TRIAL-BAL-2020'!O331+'RA-TRIAL-BAL-2020'!O331+'DES-TRIAL-BAL-2020'!O331+'DMP-TRIAL-BAL-2020'!O331</f>
        <v>0</v>
      </c>
      <c r="W331" s="529">
        <f>+'NF-KSF-TRIAL-BAL-2020'!P331+'RA-TRIAL-BAL-2020'!P331+'DES-TRIAL-BAL-2020'!P331+'DMP-TRIAL-BAL-2020'!P331</f>
        <v>0</v>
      </c>
      <c r="X331" s="587">
        <f>+'NF-KSF-TRIAL-BAL-2020'!Q331+'RA-TRIAL-BAL-2020'!Q331+'DES-TRIAL-BAL-2020'!Q331+'DMP-TRIAL-BAL-2020'!Q331</f>
        <v>0</v>
      </c>
      <c r="Y331" s="586">
        <f>+'NF-KSF-TRIAL-BAL-2020'!R331+'RA-TRIAL-BAL-2020'!R331+'DES-TRIAL-BAL-2020'!R331+'DMP-TRIAL-BAL-2020'!R331</f>
        <v>0</v>
      </c>
      <c r="Z331" s="587">
        <f>+'NF-KSF-TRIAL-BAL-2020'!S331+'RA-TRIAL-BAL-2020'!S331+'DES-TRIAL-BAL-2020'!S331+'DMP-TRIAL-BAL-2020'!S331</f>
        <v>0</v>
      </c>
      <c r="AA331" s="588">
        <f>+'NF-KSF-TRIAL-BAL-2020'!T331+'RA-TRIAL-BAL-2020'!T331+'DES-TRIAL-BAL-2020'!T331+'DMP-TRIAL-BAL-2020'!T331</f>
        <v>0</v>
      </c>
      <c r="AB331" s="51"/>
      <c r="AC331" s="581"/>
      <c r="AD331" s="582">
        <v>0</v>
      </c>
      <c r="AE331" s="122"/>
      <c r="AF331" s="324"/>
      <c r="AG331" s="583">
        <f t="shared" si="183"/>
        <v>0</v>
      </c>
      <c r="AH331" s="584">
        <v>0</v>
      </c>
      <c r="AI331" s="51"/>
      <c r="AJ331" s="1497">
        <f t="shared" si="184"/>
        <v>5181</v>
      </c>
      <c r="AK331" s="951">
        <f t="shared" si="185"/>
        <v>0</v>
      </c>
      <c r="AL331" s="9">
        <v>0</v>
      </c>
      <c r="AM331" s="326">
        <f t="shared" ref="AM331:AN335" si="186">+ROUND(+Q331+X331+AE331,2)</f>
        <v>0</v>
      </c>
      <c r="AN331" s="970">
        <f t="shared" si="186"/>
        <v>0</v>
      </c>
      <c r="AO331" s="326">
        <f t="shared" si="181"/>
        <v>0</v>
      </c>
      <c r="AP331" s="30">
        <v>0</v>
      </c>
      <c r="AQ331" s="43"/>
      <c r="AR331" s="358">
        <f>+ROUND(+SUM(AK331-AL331)-SUM(O331-P331)-SUM(V331-W331)-SUM(AC331-AD331),2)</f>
        <v>0</v>
      </c>
      <c r="AS331" s="359">
        <f>+ROUND(+SUM(AM331-AN331)-SUM(Q331-R331)-SUM(X331-Y331)-SUM(AE331-AF331),2)</f>
        <v>0</v>
      </c>
      <c r="AT331" s="360">
        <f>+ROUND(+SUM(AO331-AP331)-SUM(S331-T331)-SUM(Z331-AA331)-SUM(AG331-AH331),2)</f>
        <v>0</v>
      </c>
      <c r="AU331" s="43"/>
      <c r="AV331" s="2120">
        <f t="shared" ref="AV331:AV336" si="187">+IF(OR(ROUND(P331,2)+ROUND(R331,2)&gt;+ROUND(O331,2)+ROUND(Q331,2),+ABS(ROUND(P331,2)+ROUND(R331,2))&gt;+ABS(ROUND(O331,2)+ROUND(Q331,2))),+(ROUND(P331,2)+ROUND(R331,2))-(ROUND(O331,2)+ROUND(Q331,2)),0)</f>
        <v>0</v>
      </c>
      <c r="AW331" s="119"/>
      <c r="AX331" s="2120">
        <f t="shared" ref="AX331:AX336" si="188">+IF(OR(ROUND(AD331,2)+ROUND(AF331,2)&gt;+ROUND(AC331,2)+ROUND(AE331,2),+ABS(ROUND(AD331,2)+ROUND(AF331,2))&gt;+ABS(ROUND(AC331,2)+ROUND(AE331,2))),+(ROUND(AD331,2)+ROUND(AF331,2))-(ROUND(AC331,2)+ROUND(AE331,2)),0)</f>
        <v>0</v>
      </c>
      <c r="AY331" s="43"/>
      <c r="AZ331" s="43"/>
      <c r="BA331" s="43"/>
      <c r="BB331" s="43"/>
      <c r="BC331" s="43"/>
      <c r="BD331" s="43"/>
    </row>
    <row r="332" spans="1:56" ht="15.75">
      <c r="A332" s="88">
        <v>5184</v>
      </c>
      <c r="B332" s="378" t="s">
        <v>141</v>
      </c>
      <c r="C332" s="1033"/>
      <c r="D332" s="1033"/>
      <c r="E332" s="1033"/>
      <c r="F332" s="1033"/>
      <c r="G332" s="1033"/>
      <c r="H332" s="1033"/>
      <c r="I332" s="1033"/>
      <c r="J332" s="1033"/>
      <c r="K332" s="1033"/>
      <c r="L332" s="574"/>
      <c r="M332" s="51" t="s">
        <v>265</v>
      </c>
      <c r="N332" s="113">
        <f t="shared" si="168"/>
        <v>5184</v>
      </c>
      <c r="O332" s="581"/>
      <c r="P332" s="582">
        <v>0</v>
      </c>
      <c r="Q332" s="325"/>
      <c r="R332" s="324"/>
      <c r="S332" s="583">
        <f t="shared" si="182"/>
        <v>0</v>
      </c>
      <c r="T332" s="584">
        <v>0</v>
      </c>
      <c r="U332" s="51"/>
      <c r="V332" s="541">
        <f>+'NF-KSF-TRIAL-BAL-2020'!O332+'RA-TRIAL-BAL-2020'!O332+'DES-TRIAL-BAL-2020'!O332+'DMP-TRIAL-BAL-2020'!O332</f>
        <v>0</v>
      </c>
      <c r="W332" s="529">
        <f>+'NF-KSF-TRIAL-BAL-2020'!P332+'RA-TRIAL-BAL-2020'!P332+'DES-TRIAL-BAL-2020'!P332+'DMP-TRIAL-BAL-2020'!P332</f>
        <v>0</v>
      </c>
      <c r="X332" s="587">
        <f>+'NF-KSF-TRIAL-BAL-2020'!Q332+'RA-TRIAL-BAL-2020'!Q332+'DES-TRIAL-BAL-2020'!Q332+'DMP-TRIAL-BAL-2020'!Q332</f>
        <v>0</v>
      </c>
      <c r="Y332" s="586">
        <f>+'NF-KSF-TRIAL-BAL-2020'!R332+'RA-TRIAL-BAL-2020'!R332+'DES-TRIAL-BAL-2020'!R332+'DMP-TRIAL-BAL-2020'!R332</f>
        <v>0</v>
      </c>
      <c r="Z332" s="587">
        <f>+'NF-KSF-TRIAL-BAL-2020'!S332+'RA-TRIAL-BAL-2020'!S332+'DES-TRIAL-BAL-2020'!S332+'DMP-TRIAL-BAL-2020'!S332</f>
        <v>0</v>
      </c>
      <c r="AA332" s="588">
        <f>+'NF-KSF-TRIAL-BAL-2020'!T332+'RA-TRIAL-BAL-2020'!T332+'DES-TRIAL-BAL-2020'!T332+'DMP-TRIAL-BAL-2020'!T332</f>
        <v>0</v>
      </c>
      <c r="AB332" s="51"/>
      <c r="AC332" s="581"/>
      <c r="AD332" s="582">
        <v>0</v>
      </c>
      <c r="AE332" s="122"/>
      <c r="AF332" s="324"/>
      <c r="AG332" s="583">
        <f t="shared" si="183"/>
        <v>0</v>
      </c>
      <c r="AH332" s="584">
        <v>0</v>
      </c>
      <c r="AI332" s="51"/>
      <c r="AJ332" s="1497">
        <f t="shared" si="184"/>
        <v>5184</v>
      </c>
      <c r="AK332" s="951">
        <f t="shared" si="185"/>
        <v>0</v>
      </c>
      <c r="AL332" s="9">
        <v>0</v>
      </c>
      <c r="AM332" s="326">
        <f t="shared" si="186"/>
        <v>0</v>
      </c>
      <c r="AN332" s="970">
        <f t="shared" si="186"/>
        <v>0</v>
      </c>
      <c r="AO332" s="326">
        <f t="shared" si="181"/>
        <v>0</v>
      </c>
      <c r="AP332" s="30">
        <v>0</v>
      </c>
      <c r="AQ332" s="43"/>
      <c r="AR332" s="358">
        <f>+ROUND(+SUM(AK332-AL332)-SUM(O332-P332)-SUM(V332-W332)-SUM(AC332-AD332),2)</f>
        <v>0</v>
      </c>
      <c r="AS332" s="359">
        <f>+ROUND(+SUM(AM332-AN332)-SUM(Q332-R332)-SUM(X332-Y332)-SUM(AE332-AF332),2)</f>
        <v>0</v>
      </c>
      <c r="AT332" s="360">
        <f>+ROUND(+SUM(AO332-AP332)-SUM(S332-T332)-SUM(Z332-AA332)-SUM(AG332-AH332),2)</f>
        <v>0</v>
      </c>
      <c r="AU332" s="43"/>
      <c r="AV332" s="2120">
        <f t="shared" si="187"/>
        <v>0</v>
      </c>
      <c r="AW332" s="119"/>
      <c r="AX332" s="2120">
        <f t="shared" si="188"/>
        <v>0</v>
      </c>
      <c r="AY332" s="43"/>
      <c r="AZ332" s="43"/>
      <c r="BA332" s="43"/>
      <c r="BB332" s="43"/>
      <c r="BC332" s="43"/>
      <c r="BD332" s="43"/>
    </row>
    <row r="333" spans="1:56" ht="15.75">
      <c r="A333" s="88">
        <v>5186</v>
      </c>
      <c r="B333" s="378" t="s">
        <v>773</v>
      </c>
      <c r="C333" s="1033"/>
      <c r="D333" s="1033"/>
      <c r="E333" s="1033"/>
      <c r="F333" s="1033"/>
      <c r="G333" s="1033"/>
      <c r="H333" s="1033"/>
      <c r="I333" s="1033"/>
      <c r="J333" s="1033"/>
      <c r="K333" s="1033"/>
      <c r="L333" s="574"/>
      <c r="M333" s="51" t="s">
        <v>265</v>
      </c>
      <c r="N333" s="113">
        <f t="shared" si="168"/>
        <v>5186</v>
      </c>
      <c r="O333" s="581"/>
      <c r="P333" s="582">
        <v>0</v>
      </c>
      <c r="Q333" s="325"/>
      <c r="R333" s="324"/>
      <c r="S333" s="583">
        <f t="shared" si="182"/>
        <v>0</v>
      </c>
      <c r="T333" s="584">
        <v>0</v>
      </c>
      <c r="U333" s="51"/>
      <c r="V333" s="541">
        <f>+'NF-KSF-TRIAL-BAL-2020'!O333+'RA-TRIAL-BAL-2020'!O333+'DES-TRIAL-BAL-2020'!O333+'DMP-TRIAL-BAL-2020'!O333</f>
        <v>0</v>
      </c>
      <c r="W333" s="529">
        <f>+'NF-KSF-TRIAL-BAL-2020'!P333+'RA-TRIAL-BAL-2020'!P333+'DES-TRIAL-BAL-2020'!P333+'DMP-TRIAL-BAL-2020'!P333</f>
        <v>0</v>
      </c>
      <c r="X333" s="587">
        <f>+'NF-KSF-TRIAL-BAL-2020'!Q333+'RA-TRIAL-BAL-2020'!Q333+'DES-TRIAL-BAL-2020'!Q333+'DMP-TRIAL-BAL-2020'!Q333</f>
        <v>0</v>
      </c>
      <c r="Y333" s="586">
        <f>+'NF-KSF-TRIAL-BAL-2020'!R333+'RA-TRIAL-BAL-2020'!R333+'DES-TRIAL-BAL-2020'!R333+'DMP-TRIAL-BAL-2020'!R333</f>
        <v>0</v>
      </c>
      <c r="Z333" s="587">
        <f>+'NF-KSF-TRIAL-BAL-2020'!S333+'RA-TRIAL-BAL-2020'!S333+'DES-TRIAL-BAL-2020'!S333+'DMP-TRIAL-BAL-2020'!S333</f>
        <v>0</v>
      </c>
      <c r="AA333" s="588">
        <f>+'NF-KSF-TRIAL-BAL-2020'!T333+'RA-TRIAL-BAL-2020'!T333+'DES-TRIAL-BAL-2020'!T333+'DMP-TRIAL-BAL-2020'!T333</f>
        <v>0</v>
      </c>
      <c r="AB333" s="51"/>
      <c r="AC333" s="581"/>
      <c r="AD333" s="582">
        <v>0</v>
      </c>
      <c r="AE333" s="325"/>
      <c r="AF333" s="324"/>
      <c r="AG333" s="583">
        <f t="shared" si="183"/>
        <v>0</v>
      </c>
      <c r="AH333" s="584">
        <v>0</v>
      </c>
      <c r="AI333" s="51"/>
      <c r="AJ333" s="1497">
        <f t="shared" si="184"/>
        <v>5186</v>
      </c>
      <c r="AK333" s="951">
        <f t="shared" si="185"/>
        <v>0</v>
      </c>
      <c r="AL333" s="9">
        <v>0</v>
      </c>
      <c r="AM333" s="326">
        <f t="shared" si="186"/>
        <v>0</v>
      </c>
      <c r="AN333" s="970">
        <f t="shared" si="186"/>
        <v>0</v>
      </c>
      <c r="AO333" s="326">
        <f t="shared" si="181"/>
        <v>0</v>
      </c>
      <c r="AP333" s="30">
        <v>0</v>
      </c>
      <c r="AQ333" s="43"/>
      <c r="AR333" s="358">
        <f>+ROUND(+SUM(AK333-AL333)-SUM(O333-P333)-SUM(V333-W333)-SUM(AC333-AD333),2)</f>
        <v>0</v>
      </c>
      <c r="AS333" s="359">
        <f>+ROUND(+SUM(AM333-AN333)-SUM(Q333-R333)-SUM(X333-Y333)-SUM(AE333-AF333),2)</f>
        <v>0</v>
      </c>
      <c r="AT333" s="360">
        <f>+ROUND(+SUM(AO333-AP333)-SUM(S333-T333)-SUM(Z333-AA333)-SUM(AG333-AH333),2)</f>
        <v>0</v>
      </c>
      <c r="AU333" s="43"/>
      <c r="AV333" s="2120">
        <f t="shared" si="187"/>
        <v>0</v>
      </c>
      <c r="AW333" s="119"/>
      <c r="AX333" s="2120">
        <f t="shared" si="188"/>
        <v>0</v>
      </c>
      <c r="AY333" s="43"/>
      <c r="AZ333" s="43"/>
      <c r="BA333" s="43"/>
      <c r="BB333" s="43"/>
      <c r="BC333" s="43"/>
      <c r="BD333" s="43"/>
    </row>
    <row r="334" spans="1:56" ht="15.75">
      <c r="A334" s="88">
        <v>5188</v>
      </c>
      <c r="B334" s="378" t="s">
        <v>774</v>
      </c>
      <c r="C334" s="1033"/>
      <c r="D334" s="1033"/>
      <c r="E334" s="1033"/>
      <c r="F334" s="1033"/>
      <c r="G334" s="1033"/>
      <c r="H334" s="1033"/>
      <c r="I334" s="1033"/>
      <c r="J334" s="1033"/>
      <c r="K334" s="1033"/>
      <c r="L334" s="574"/>
      <c r="M334" s="51" t="s">
        <v>265</v>
      </c>
      <c r="N334" s="113">
        <f t="shared" si="168"/>
        <v>5188</v>
      </c>
      <c r="O334" s="581"/>
      <c r="P334" s="582">
        <v>0</v>
      </c>
      <c r="Q334" s="325"/>
      <c r="R334" s="324"/>
      <c r="S334" s="583">
        <f t="shared" si="182"/>
        <v>0</v>
      </c>
      <c r="T334" s="584">
        <v>0</v>
      </c>
      <c r="U334" s="51"/>
      <c r="V334" s="541">
        <f>+'NF-KSF-TRIAL-BAL-2020'!O334+'RA-TRIAL-BAL-2020'!O334+'DES-TRIAL-BAL-2020'!O334+'DMP-TRIAL-BAL-2020'!O334</f>
        <v>0</v>
      </c>
      <c r="W334" s="529">
        <f>+'NF-KSF-TRIAL-BAL-2020'!P334+'RA-TRIAL-BAL-2020'!P334+'DES-TRIAL-BAL-2020'!P334+'DMP-TRIAL-BAL-2020'!P334</f>
        <v>0</v>
      </c>
      <c r="X334" s="587">
        <f>+'NF-KSF-TRIAL-BAL-2020'!Q334+'RA-TRIAL-BAL-2020'!Q334+'DES-TRIAL-BAL-2020'!Q334+'DMP-TRIAL-BAL-2020'!Q334</f>
        <v>0</v>
      </c>
      <c r="Y334" s="586">
        <f>+'NF-KSF-TRIAL-BAL-2020'!R334+'RA-TRIAL-BAL-2020'!R334+'DES-TRIAL-BAL-2020'!R334+'DMP-TRIAL-BAL-2020'!R334</f>
        <v>0</v>
      </c>
      <c r="Z334" s="587">
        <f>+'NF-KSF-TRIAL-BAL-2020'!S334+'RA-TRIAL-BAL-2020'!S334+'DES-TRIAL-BAL-2020'!S334+'DMP-TRIAL-BAL-2020'!S334</f>
        <v>0</v>
      </c>
      <c r="AA334" s="588">
        <f>+'NF-KSF-TRIAL-BAL-2020'!T334+'RA-TRIAL-BAL-2020'!T334+'DES-TRIAL-BAL-2020'!T334+'DMP-TRIAL-BAL-2020'!T334</f>
        <v>0</v>
      </c>
      <c r="AB334" s="51"/>
      <c r="AC334" s="581"/>
      <c r="AD334" s="582">
        <v>0</v>
      </c>
      <c r="AE334" s="325"/>
      <c r="AF334" s="324"/>
      <c r="AG334" s="583">
        <f t="shared" si="183"/>
        <v>0</v>
      </c>
      <c r="AH334" s="584">
        <v>0</v>
      </c>
      <c r="AI334" s="51"/>
      <c r="AJ334" s="1497">
        <f>+N334</f>
        <v>5188</v>
      </c>
      <c r="AK334" s="951">
        <f t="shared" si="185"/>
        <v>0</v>
      </c>
      <c r="AL334" s="9">
        <v>0</v>
      </c>
      <c r="AM334" s="326">
        <f t="shared" si="186"/>
        <v>0</v>
      </c>
      <c r="AN334" s="970">
        <f t="shared" si="186"/>
        <v>0</v>
      </c>
      <c r="AO334" s="326">
        <f t="shared" si="181"/>
        <v>0</v>
      </c>
      <c r="AP334" s="30">
        <v>0</v>
      </c>
      <c r="AQ334" s="43"/>
      <c r="AR334" s="358">
        <f>+ROUND(+SUM(AK334-AL334)-SUM(O334-P334)-SUM(V334-W334)-SUM(AC334-AD334),2)</f>
        <v>0</v>
      </c>
      <c r="AS334" s="359">
        <f>+ROUND(+SUM(AM334-AN334)-SUM(Q334-R334)-SUM(X334-Y334)-SUM(AE334-AF334),2)</f>
        <v>0</v>
      </c>
      <c r="AT334" s="360">
        <f>+ROUND(+SUM(AO334-AP334)-SUM(S334-T334)-SUM(Z334-AA334)-SUM(AG334-AH334),2)</f>
        <v>0</v>
      </c>
      <c r="AU334" s="43"/>
      <c r="AV334" s="2120">
        <f t="shared" si="187"/>
        <v>0</v>
      </c>
      <c r="AW334" s="119"/>
      <c r="AX334" s="2120">
        <f t="shared" si="188"/>
        <v>0</v>
      </c>
      <c r="AY334" s="43"/>
      <c r="AZ334" s="43"/>
      <c r="BA334" s="43"/>
      <c r="BB334" s="43"/>
      <c r="BC334" s="43"/>
      <c r="BD334" s="43"/>
    </row>
    <row r="335" spans="1:56" ht="15.75">
      <c r="A335" s="88">
        <v>5189</v>
      </c>
      <c r="B335" s="378" t="s">
        <v>775</v>
      </c>
      <c r="C335" s="1033"/>
      <c r="D335" s="1033"/>
      <c r="E335" s="1033"/>
      <c r="F335" s="1033"/>
      <c r="G335" s="1033"/>
      <c r="H335" s="1033"/>
      <c r="I335" s="1033"/>
      <c r="J335" s="1033"/>
      <c r="K335" s="1033"/>
      <c r="L335" s="574"/>
      <c r="M335" s="51" t="s">
        <v>265</v>
      </c>
      <c r="N335" s="113">
        <f t="shared" si="168"/>
        <v>5189</v>
      </c>
      <c r="O335" s="581"/>
      <c r="P335" s="582">
        <v>0</v>
      </c>
      <c r="Q335" s="325"/>
      <c r="R335" s="324"/>
      <c r="S335" s="583">
        <f t="shared" si="182"/>
        <v>0</v>
      </c>
      <c r="T335" s="584">
        <v>0</v>
      </c>
      <c r="U335" s="51"/>
      <c r="V335" s="541">
        <f>+'NF-KSF-TRIAL-BAL-2020'!O335+'RA-TRIAL-BAL-2020'!O335+'DES-TRIAL-BAL-2020'!O335+'DMP-TRIAL-BAL-2020'!O335</f>
        <v>0</v>
      </c>
      <c r="W335" s="529">
        <f>+'NF-KSF-TRIAL-BAL-2020'!P335+'RA-TRIAL-BAL-2020'!P335+'DES-TRIAL-BAL-2020'!P335+'DMP-TRIAL-BAL-2020'!P335</f>
        <v>0</v>
      </c>
      <c r="X335" s="587">
        <f>+'NF-KSF-TRIAL-BAL-2020'!Q335+'RA-TRIAL-BAL-2020'!Q335+'DES-TRIAL-BAL-2020'!Q335+'DMP-TRIAL-BAL-2020'!Q335</f>
        <v>0</v>
      </c>
      <c r="Y335" s="586">
        <f>+'NF-KSF-TRIAL-BAL-2020'!R335+'RA-TRIAL-BAL-2020'!R335+'DES-TRIAL-BAL-2020'!R335+'DMP-TRIAL-BAL-2020'!R335</f>
        <v>0</v>
      </c>
      <c r="Z335" s="587">
        <f>+'NF-KSF-TRIAL-BAL-2020'!S335+'RA-TRIAL-BAL-2020'!S335+'DES-TRIAL-BAL-2020'!S335+'DMP-TRIAL-BAL-2020'!S335</f>
        <v>0</v>
      </c>
      <c r="AA335" s="588">
        <f>+'NF-KSF-TRIAL-BAL-2020'!T335+'RA-TRIAL-BAL-2020'!T335+'DES-TRIAL-BAL-2020'!T335+'DMP-TRIAL-BAL-2020'!T335</f>
        <v>0</v>
      </c>
      <c r="AB335" s="51"/>
      <c r="AC335" s="581"/>
      <c r="AD335" s="582">
        <v>0</v>
      </c>
      <c r="AE335" s="325"/>
      <c r="AF335" s="324"/>
      <c r="AG335" s="583">
        <f t="shared" si="183"/>
        <v>0</v>
      </c>
      <c r="AH335" s="584">
        <v>0</v>
      </c>
      <c r="AI335" s="51"/>
      <c r="AJ335" s="1497">
        <f>+N335</f>
        <v>5189</v>
      </c>
      <c r="AK335" s="951">
        <f t="shared" si="185"/>
        <v>0</v>
      </c>
      <c r="AL335" s="9">
        <v>0</v>
      </c>
      <c r="AM335" s="326">
        <f t="shared" si="186"/>
        <v>0</v>
      </c>
      <c r="AN335" s="970">
        <f t="shared" si="186"/>
        <v>0</v>
      </c>
      <c r="AO335" s="326">
        <f t="shared" si="181"/>
        <v>0</v>
      </c>
      <c r="AP335" s="30">
        <v>0</v>
      </c>
      <c r="AQ335" s="43"/>
      <c r="AR335" s="358">
        <f>+ROUND(+SUM(AK335-AL335)-SUM(O335-P335)-SUM(V335-W335)-SUM(AC335-AD335),2)</f>
        <v>0</v>
      </c>
      <c r="AS335" s="359">
        <f>+ROUND(+SUM(AM335-AN335)-SUM(Q335-R335)-SUM(X335-Y335)-SUM(AE335-AF335),2)</f>
        <v>0</v>
      </c>
      <c r="AT335" s="360">
        <f>+ROUND(+SUM(AO335-AP335)-SUM(S335-T335)-SUM(Z335-AA335)-SUM(AG335-AH335),2)</f>
        <v>0</v>
      </c>
      <c r="AU335" s="43"/>
      <c r="AV335" s="2120">
        <f t="shared" si="187"/>
        <v>0</v>
      </c>
      <c r="AW335" s="119"/>
      <c r="AX335" s="2120">
        <f t="shared" si="188"/>
        <v>0</v>
      </c>
      <c r="AY335" s="43"/>
      <c r="AZ335" s="43"/>
      <c r="BA335" s="43"/>
      <c r="BB335" s="43"/>
      <c r="BC335" s="43"/>
      <c r="BD335" s="43"/>
    </row>
    <row r="336" spans="1:56" ht="15.75">
      <c r="A336" s="88">
        <v>5191</v>
      </c>
      <c r="B336" s="1032" t="s">
        <v>1165</v>
      </c>
      <c r="C336" s="1033"/>
      <c r="D336" s="1033"/>
      <c r="E336" s="1033"/>
      <c r="F336" s="1033"/>
      <c r="G336" s="1033"/>
      <c r="H336" s="1033"/>
      <c r="I336" s="1033"/>
      <c r="J336" s="1033"/>
      <c r="K336" s="1033"/>
      <c r="L336" s="574"/>
      <c r="M336" s="51" t="s">
        <v>265</v>
      </c>
      <c r="N336" s="113">
        <f t="shared" si="168"/>
        <v>5191</v>
      </c>
      <c r="O336" s="581"/>
      <c r="P336" s="582">
        <v>0</v>
      </c>
      <c r="Q336" s="325"/>
      <c r="R336" s="324"/>
      <c r="S336" s="583">
        <f t="shared" si="182"/>
        <v>0</v>
      </c>
      <c r="T336" s="584">
        <v>0</v>
      </c>
      <c r="U336" s="51"/>
      <c r="V336" s="541">
        <f>+'NF-KSF-TRIAL-BAL-2020'!O336+'RA-TRIAL-BAL-2020'!O336+'DES-TRIAL-BAL-2020'!O336+'DMP-TRIAL-BAL-2020'!O336</f>
        <v>0</v>
      </c>
      <c r="W336" s="529">
        <f>+'NF-KSF-TRIAL-BAL-2020'!P336+'RA-TRIAL-BAL-2020'!P336+'DES-TRIAL-BAL-2020'!P336+'DMP-TRIAL-BAL-2020'!P336</f>
        <v>0</v>
      </c>
      <c r="X336" s="587">
        <f>+'NF-KSF-TRIAL-BAL-2020'!Q336+'RA-TRIAL-BAL-2020'!Q336+'DES-TRIAL-BAL-2020'!Q336+'DMP-TRIAL-BAL-2020'!Q336</f>
        <v>0</v>
      </c>
      <c r="Y336" s="586">
        <f>+'NF-KSF-TRIAL-BAL-2020'!R336+'RA-TRIAL-BAL-2020'!R336+'DES-TRIAL-BAL-2020'!R336+'DMP-TRIAL-BAL-2020'!R336</f>
        <v>0</v>
      </c>
      <c r="Z336" s="587">
        <f>+'NF-KSF-TRIAL-BAL-2020'!S336+'RA-TRIAL-BAL-2020'!S336+'DES-TRIAL-BAL-2020'!S336+'DMP-TRIAL-BAL-2020'!S336</f>
        <v>0</v>
      </c>
      <c r="AA336" s="588">
        <f>+'NF-KSF-TRIAL-BAL-2020'!T336+'RA-TRIAL-BAL-2020'!T336+'DES-TRIAL-BAL-2020'!T336+'DMP-TRIAL-BAL-2020'!T336</f>
        <v>0</v>
      </c>
      <c r="AB336" s="51"/>
      <c r="AC336" s="581"/>
      <c r="AD336" s="582">
        <v>0</v>
      </c>
      <c r="AE336" s="122"/>
      <c r="AF336" s="324"/>
      <c r="AG336" s="583">
        <f t="shared" si="183"/>
        <v>0</v>
      </c>
      <c r="AH336" s="584">
        <v>0</v>
      </c>
      <c r="AI336" s="51"/>
      <c r="AJ336" s="1497">
        <f t="shared" si="184"/>
        <v>5191</v>
      </c>
      <c r="AK336" s="951">
        <f t="shared" si="185"/>
        <v>0</v>
      </c>
      <c r="AL336" s="970">
        <f>+ROUND(+P336+W336+AD336,2)</f>
        <v>0</v>
      </c>
      <c r="AM336" s="326">
        <f t="shared" si="178"/>
        <v>0</v>
      </c>
      <c r="AN336" s="970">
        <f t="shared" si="178"/>
        <v>0</v>
      </c>
      <c r="AO336" s="326">
        <f t="shared" si="181"/>
        <v>0</v>
      </c>
      <c r="AP336" s="30">
        <v>0</v>
      </c>
      <c r="AQ336" s="43"/>
      <c r="AR336" s="358">
        <f t="shared" si="173"/>
        <v>0</v>
      </c>
      <c r="AS336" s="359">
        <f t="shared" si="174"/>
        <v>0</v>
      </c>
      <c r="AT336" s="360">
        <f t="shared" si="175"/>
        <v>0</v>
      </c>
      <c r="AU336" s="43"/>
      <c r="AV336" s="2120">
        <f t="shared" si="187"/>
        <v>0</v>
      </c>
      <c r="AW336" s="119"/>
      <c r="AX336" s="2120">
        <f t="shared" si="188"/>
        <v>0</v>
      </c>
      <c r="AY336" s="43"/>
      <c r="AZ336" s="43"/>
      <c r="BA336" s="43"/>
      <c r="BB336" s="43"/>
      <c r="BC336" s="43"/>
      <c r="BD336" s="43"/>
    </row>
    <row r="337" spans="1:56" ht="15.75">
      <c r="A337" s="88">
        <v>5192</v>
      </c>
      <c r="B337" s="1032" t="s">
        <v>1166</v>
      </c>
      <c r="C337" s="1033"/>
      <c r="D337" s="1033"/>
      <c r="E337" s="1033"/>
      <c r="F337" s="1033"/>
      <c r="G337" s="1033"/>
      <c r="H337" s="1033"/>
      <c r="I337" s="1033"/>
      <c r="J337" s="1033"/>
      <c r="K337" s="1033"/>
      <c r="L337" s="574"/>
      <c r="M337" s="51" t="s">
        <v>265</v>
      </c>
      <c r="N337" s="113">
        <f t="shared" si="168"/>
        <v>5192</v>
      </c>
      <c r="O337" s="575">
        <v>0</v>
      </c>
      <c r="P337" s="576"/>
      <c r="Q337" s="325"/>
      <c r="R337" s="324"/>
      <c r="S337" s="579">
        <v>0</v>
      </c>
      <c r="T337" s="580">
        <f>+IF(ABS(+O337+Q337)&lt;=ABS(P337+R337),-O337+P337-Q337+R337,0)</f>
        <v>0</v>
      </c>
      <c r="U337" s="51"/>
      <c r="V337" s="541">
        <f>+'NF-KSF-TRIAL-BAL-2020'!O337+'RA-TRIAL-BAL-2020'!O337+'DES-TRIAL-BAL-2020'!O337+'DMP-TRIAL-BAL-2020'!O337</f>
        <v>0</v>
      </c>
      <c r="W337" s="529">
        <f>+'NF-KSF-TRIAL-BAL-2020'!P337+'RA-TRIAL-BAL-2020'!P337+'DES-TRIAL-BAL-2020'!P337+'DMP-TRIAL-BAL-2020'!P337</f>
        <v>0</v>
      </c>
      <c r="X337" s="587">
        <f>+'NF-KSF-TRIAL-BAL-2020'!Q337+'RA-TRIAL-BAL-2020'!Q337+'DES-TRIAL-BAL-2020'!Q337+'DMP-TRIAL-BAL-2020'!Q337</f>
        <v>0</v>
      </c>
      <c r="Y337" s="586">
        <f>+'NF-KSF-TRIAL-BAL-2020'!R337+'RA-TRIAL-BAL-2020'!R337+'DES-TRIAL-BAL-2020'!R337+'DMP-TRIAL-BAL-2020'!R337</f>
        <v>0</v>
      </c>
      <c r="Z337" s="587">
        <f>+'NF-KSF-TRIAL-BAL-2020'!S337+'RA-TRIAL-BAL-2020'!S337+'DES-TRIAL-BAL-2020'!S337+'DMP-TRIAL-BAL-2020'!S337</f>
        <v>0</v>
      </c>
      <c r="AA337" s="588">
        <f>+'NF-KSF-TRIAL-BAL-2020'!T337+'RA-TRIAL-BAL-2020'!T337+'DES-TRIAL-BAL-2020'!T337+'DMP-TRIAL-BAL-2020'!T337</f>
        <v>0</v>
      </c>
      <c r="AB337" s="51"/>
      <c r="AC337" s="575">
        <v>0</v>
      </c>
      <c r="AD337" s="576"/>
      <c r="AE337" s="122"/>
      <c r="AF337" s="324"/>
      <c r="AG337" s="579">
        <v>0</v>
      </c>
      <c r="AH337" s="580">
        <f>+IF(ABS(+AC337+AE337)&lt;=ABS(AD337+AF337),-AC337+AD337-AE337+AF337,0)</f>
        <v>0</v>
      </c>
      <c r="AI337" s="51"/>
      <c r="AJ337" s="1497">
        <f t="shared" si="184"/>
        <v>5192</v>
      </c>
      <c r="AK337" s="951">
        <f t="shared" si="185"/>
        <v>0</v>
      </c>
      <c r="AL337" s="970">
        <f>+ROUND(+P337+W337+AD337,2)</f>
        <v>0</v>
      </c>
      <c r="AM337" s="326">
        <f t="shared" si="178"/>
        <v>0</v>
      </c>
      <c r="AN337" s="970">
        <f t="shared" si="178"/>
        <v>0</v>
      </c>
      <c r="AO337" s="29">
        <v>0</v>
      </c>
      <c r="AP337" s="327">
        <f>+T337+AA337+AH337</f>
        <v>0</v>
      </c>
      <c r="AQ337" s="43"/>
      <c r="AR337" s="358">
        <f t="shared" si="173"/>
        <v>0</v>
      </c>
      <c r="AS337" s="359">
        <f t="shared" si="174"/>
        <v>0</v>
      </c>
      <c r="AT337" s="360">
        <f t="shared" si="175"/>
        <v>0</v>
      </c>
      <c r="AU337" s="43"/>
      <c r="AV337" s="2119">
        <f>+IF(OR(+ROUND(O337,2)+ROUND(Q337,2)&gt;ROUND(P337,2)+ROUND(R337,2),+ABS(ROUND(O337,2)+ROUND(Q337,2))&gt;+ABS(ROUND(P337,2)+ROUND(R337,2))),+(ROUND(O337,2)+ROUND(Q337,2))-(ROUND(P337,2)+ROUND(R337,2)),0)</f>
        <v>0</v>
      </c>
      <c r="AW337" s="119"/>
      <c r="AX337" s="2119">
        <f>+IF(OR(+ROUND(AC337,2)+ROUND(AE337,2)&gt;ROUND(AD337,2)+ROUND(AF337,2),+ABS(ROUND(AC337,2)+ROUND(AE337,2))&gt;+ABS(ROUND(AD337,2)+ROUND(AF337,2))),+(ROUND(AC337,2)+ROUND(AE337,2))-(ROUND(AD337,2)+ROUND(AF337,2)),0)</f>
        <v>0</v>
      </c>
      <c r="AY337" s="43"/>
      <c r="AZ337" s="43"/>
      <c r="BA337" s="43"/>
      <c r="BB337" s="43"/>
      <c r="BC337" s="43"/>
      <c r="BD337" s="43"/>
    </row>
    <row r="338" spans="1:56" ht="15.75">
      <c r="A338" s="88">
        <v>5197</v>
      </c>
      <c r="B338" s="1032" t="s">
        <v>1167</v>
      </c>
      <c r="C338" s="1033"/>
      <c r="D338" s="1033"/>
      <c r="E338" s="1033"/>
      <c r="F338" s="1033"/>
      <c r="G338" s="1033"/>
      <c r="H338" s="1033"/>
      <c r="I338" s="1033"/>
      <c r="J338" s="1033"/>
      <c r="K338" s="1033"/>
      <c r="L338" s="574"/>
      <c r="M338" s="51" t="s">
        <v>265</v>
      </c>
      <c r="N338" s="113">
        <f t="shared" si="168"/>
        <v>5197</v>
      </c>
      <c r="O338" s="581"/>
      <c r="P338" s="582">
        <v>0</v>
      </c>
      <c r="Q338" s="325"/>
      <c r="R338" s="324"/>
      <c r="S338" s="583">
        <f t="shared" ref="S338:S343" si="189">+IF(ABS(+O338+Q338)&gt;=ABS(P338+R338),+O338-P338+Q338-R338,0)</f>
        <v>0</v>
      </c>
      <c r="T338" s="584">
        <v>0</v>
      </c>
      <c r="U338" s="51"/>
      <c r="V338" s="541">
        <f>+'NF-KSF-TRIAL-BAL-2020'!O338+'RA-TRIAL-BAL-2020'!O338+'DES-TRIAL-BAL-2020'!O338+'DMP-TRIAL-BAL-2020'!O338</f>
        <v>0</v>
      </c>
      <c r="W338" s="529">
        <f>+'NF-KSF-TRIAL-BAL-2020'!P338+'RA-TRIAL-BAL-2020'!P338+'DES-TRIAL-BAL-2020'!P338+'DMP-TRIAL-BAL-2020'!P338</f>
        <v>0</v>
      </c>
      <c r="X338" s="587">
        <f>+'NF-KSF-TRIAL-BAL-2020'!Q338+'RA-TRIAL-BAL-2020'!Q338+'DES-TRIAL-BAL-2020'!Q338+'DMP-TRIAL-BAL-2020'!Q338</f>
        <v>0</v>
      </c>
      <c r="Y338" s="586">
        <f>+'NF-KSF-TRIAL-BAL-2020'!R338+'RA-TRIAL-BAL-2020'!R338+'DES-TRIAL-BAL-2020'!R338+'DMP-TRIAL-BAL-2020'!R338</f>
        <v>0</v>
      </c>
      <c r="Z338" s="587">
        <f>+'NF-KSF-TRIAL-BAL-2020'!S338+'RA-TRIAL-BAL-2020'!S338+'DES-TRIAL-BAL-2020'!S338+'DMP-TRIAL-BAL-2020'!S338</f>
        <v>0</v>
      </c>
      <c r="AA338" s="588">
        <f>+'NF-KSF-TRIAL-BAL-2020'!T338+'RA-TRIAL-BAL-2020'!T338+'DES-TRIAL-BAL-2020'!T338+'DMP-TRIAL-BAL-2020'!T338</f>
        <v>0</v>
      </c>
      <c r="AB338" s="51"/>
      <c r="AC338" s="581"/>
      <c r="AD338" s="582">
        <v>0</v>
      </c>
      <c r="AE338" s="325"/>
      <c r="AF338" s="324"/>
      <c r="AG338" s="583">
        <f t="shared" ref="AG338:AG343" si="190">+IF(ABS(+AC338+AE338)&gt;=ABS(AD338+AF338),+AC338-AD338+AE338-AF338,0)</f>
        <v>0</v>
      </c>
      <c r="AH338" s="584">
        <v>0</v>
      </c>
      <c r="AI338" s="51"/>
      <c r="AJ338" s="1497">
        <f t="shared" si="184"/>
        <v>5197</v>
      </c>
      <c r="AK338" s="951">
        <f t="shared" si="185"/>
        <v>0</v>
      </c>
      <c r="AL338" s="9">
        <v>0</v>
      </c>
      <c r="AM338" s="326">
        <f t="shared" si="178"/>
        <v>0</v>
      </c>
      <c r="AN338" s="970">
        <f t="shared" si="178"/>
        <v>0</v>
      </c>
      <c r="AO338" s="326">
        <f t="shared" ref="AO338:AP366" si="191">+S338+Z338+AG338</f>
        <v>0</v>
      </c>
      <c r="AP338" s="30">
        <v>0</v>
      </c>
      <c r="AQ338" s="43"/>
      <c r="AR338" s="358">
        <f t="shared" si="173"/>
        <v>0</v>
      </c>
      <c r="AS338" s="359">
        <f t="shared" si="174"/>
        <v>0</v>
      </c>
      <c r="AT338" s="360">
        <f t="shared" si="175"/>
        <v>0</v>
      </c>
      <c r="AU338" s="43"/>
      <c r="AV338" s="2120">
        <f t="shared" ref="AV338:AV343" si="192">+IF(OR(ROUND(P338,2)+ROUND(R338,2)&gt;+ROUND(O338,2)+ROUND(Q338,2),+ABS(ROUND(P338,2)+ROUND(R338,2))&gt;+ABS(ROUND(O338,2)+ROUND(Q338,2))),+(ROUND(P338,2)+ROUND(R338,2))-(ROUND(O338,2)+ROUND(Q338,2)),0)</f>
        <v>0</v>
      </c>
      <c r="AW338" s="119"/>
      <c r="AX338" s="2120">
        <f t="shared" ref="AX338:AX343" si="193">+IF(OR(ROUND(AD338,2)+ROUND(AF338,2)&gt;+ROUND(AC338,2)+ROUND(AE338,2),+ABS(ROUND(AD338,2)+ROUND(AF338,2))&gt;+ABS(ROUND(AC338,2)+ROUND(AE338,2))),+(ROUND(AD338,2)+ROUND(AF338,2))-(ROUND(AC338,2)+ROUND(AE338,2)),0)</f>
        <v>0</v>
      </c>
      <c r="AY338" s="43"/>
      <c r="AZ338" s="43"/>
      <c r="BA338" s="43"/>
      <c r="BB338" s="43"/>
      <c r="BC338" s="43"/>
      <c r="BD338" s="43"/>
    </row>
    <row r="339" spans="1:56" ht="15.75">
      <c r="A339" s="88">
        <v>5198</v>
      </c>
      <c r="B339" s="1032" t="s">
        <v>1168</v>
      </c>
      <c r="C339" s="1033"/>
      <c r="D339" s="1033"/>
      <c r="E339" s="1033"/>
      <c r="F339" s="1033"/>
      <c r="G339" s="1033"/>
      <c r="H339" s="1033"/>
      <c r="I339" s="1033"/>
      <c r="J339" s="1033"/>
      <c r="K339" s="1033"/>
      <c r="L339" s="574"/>
      <c r="M339" s="51" t="s">
        <v>265</v>
      </c>
      <c r="N339" s="113">
        <f t="shared" si="168"/>
        <v>5198</v>
      </c>
      <c r="O339" s="581"/>
      <c r="P339" s="582">
        <v>0</v>
      </c>
      <c r="Q339" s="325"/>
      <c r="R339" s="324"/>
      <c r="S339" s="583">
        <f t="shared" si="189"/>
        <v>0</v>
      </c>
      <c r="T339" s="584">
        <v>0</v>
      </c>
      <c r="U339" s="51"/>
      <c r="V339" s="541">
        <f>+'NF-KSF-TRIAL-BAL-2020'!O339+'RA-TRIAL-BAL-2020'!O339+'DES-TRIAL-BAL-2020'!O339+'DMP-TRIAL-BAL-2020'!O339</f>
        <v>0</v>
      </c>
      <c r="W339" s="529">
        <f>+'NF-KSF-TRIAL-BAL-2020'!P339+'RA-TRIAL-BAL-2020'!P339+'DES-TRIAL-BAL-2020'!P339+'DMP-TRIAL-BAL-2020'!P339</f>
        <v>0</v>
      </c>
      <c r="X339" s="587">
        <f>+'NF-KSF-TRIAL-BAL-2020'!Q339+'RA-TRIAL-BAL-2020'!Q339+'DES-TRIAL-BAL-2020'!Q339+'DMP-TRIAL-BAL-2020'!Q339</f>
        <v>0</v>
      </c>
      <c r="Y339" s="586">
        <f>+'NF-KSF-TRIAL-BAL-2020'!R339+'RA-TRIAL-BAL-2020'!R339+'DES-TRIAL-BAL-2020'!R339+'DMP-TRIAL-BAL-2020'!R339</f>
        <v>0</v>
      </c>
      <c r="Z339" s="587">
        <f>+'NF-KSF-TRIAL-BAL-2020'!S339+'RA-TRIAL-BAL-2020'!S339+'DES-TRIAL-BAL-2020'!S339+'DMP-TRIAL-BAL-2020'!S339</f>
        <v>0</v>
      </c>
      <c r="AA339" s="588">
        <f>+'NF-KSF-TRIAL-BAL-2020'!T339+'RA-TRIAL-BAL-2020'!T339+'DES-TRIAL-BAL-2020'!T339+'DMP-TRIAL-BAL-2020'!T339</f>
        <v>0</v>
      </c>
      <c r="AB339" s="51"/>
      <c r="AC339" s="581"/>
      <c r="AD339" s="582">
        <v>0</v>
      </c>
      <c r="AE339" s="325"/>
      <c r="AF339" s="324"/>
      <c r="AG339" s="583">
        <f t="shared" si="190"/>
        <v>0</v>
      </c>
      <c r="AH339" s="584">
        <v>0</v>
      </c>
      <c r="AI339" s="51"/>
      <c r="AJ339" s="1497">
        <f t="shared" si="184"/>
        <v>5198</v>
      </c>
      <c r="AK339" s="951">
        <f t="shared" si="185"/>
        <v>0</v>
      </c>
      <c r="AL339" s="9">
        <v>0</v>
      </c>
      <c r="AM339" s="326">
        <f t="shared" si="178"/>
        <v>0</v>
      </c>
      <c r="AN339" s="970">
        <f t="shared" si="178"/>
        <v>0</v>
      </c>
      <c r="AO339" s="326">
        <f t="shared" si="191"/>
        <v>0</v>
      </c>
      <c r="AP339" s="30">
        <v>0</v>
      </c>
      <c r="AQ339" s="43"/>
      <c r="AR339" s="358">
        <f t="shared" si="173"/>
        <v>0</v>
      </c>
      <c r="AS339" s="359">
        <f t="shared" si="174"/>
        <v>0</v>
      </c>
      <c r="AT339" s="360">
        <f t="shared" si="175"/>
        <v>0</v>
      </c>
      <c r="AU339" s="43"/>
      <c r="AV339" s="2120">
        <f t="shared" si="192"/>
        <v>0</v>
      </c>
      <c r="AW339" s="119"/>
      <c r="AX339" s="2120">
        <f t="shared" si="193"/>
        <v>0</v>
      </c>
      <c r="AY339" s="43"/>
      <c r="AZ339" s="43"/>
      <c r="BA339" s="43"/>
      <c r="BB339" s="43"/>
      <c r="BC339" s="43"/>
      <c r="BD339" s="43"/>
    </row>
    <row r="340" spans="1:56" ht="15.75">
      <c r="A340" s="88">
        <v>5211</v>
      </c>
      <c r="B340" s="378" t="s">
        <v>776</v>
      </c>
      <c r="C340" s="1033"/>
      <c r="D340" s="1033"/>
      <c r="E340" s="1033"/>
      <c r="F340" s="1033"/>
      <c r="G340" s="1033"/>
      <c r="H340" s="1033"/>
      <c r="I340" s="1033"/>
      <c r="J340" s="1033"/>
      <c r="K340" s="1033"/>
      <c r="L340" s="574"/>
      <c r="M340" s="51" t="s">
        <v>265</v>
      </c>
      <c r="N340" s="113">
        <f t="shared" si="168"/>
        <v>5211</v>
      </c>
      <c r="O340" s="581"/>
      <c r="P340" s="582">
        <v>0</v>
      </c>
      <c r="Q340" s="325"/>
      <c r="R340" s="324"/>
      <c r="S340" s="583">
        <f t="shared" si="189"/>
        <v>0</v>
      </c>
      <c r="T340" s="584">
        <v>0</v>
      </c>
      <c r="U340" s="51"/>
      <c r="V340" s="541">
        <f>+'NF-KSF-TRIAL-BAL-2020'!O340+'RA-TRIAL-BAL-2020'!O340+'DES-TRIAL-BAL-2020'!O340+'DMP-TRIAL-BAL-2020'!O340</f>
        <v>0</v>
      </c>
      <c r="W340" s="529">
        <f>+'NF-KSF-TRIAL-BAL-2020'!P340+'RA-TRIAL-BAL-2020'!P340+'DES-TRIAL-BAL-2020'!P340+'DMP-TRIAL-BAL-2020'!P340</f>
        <v>0</v>
      </c>
      <c r="X340" s="587">
        <f>+'NF-KSF-TRIAL-BAL-2020'!Q340+'RA-TRIAL-BAL-2020'!Q340+'DES-TRIAL-BAL-2020'!Q340+'DMP-TRIAL-BAL-2020'!Q340</f>
        <v>0</v>
      </c>
      <c r="Y340" s="586">
        <f>+'NF-KSF-TRIAL-BAL-2020'!R340+'RA-TRIAL-BAL-2020'!R340+'DES-TRIAL-BAL-2020'!R340+'DMP-TRIAL-BAL-2020'!R340</f>
        <v>0</v>
      </c>
      <c r="Z340" s="587">
        <f>+'NF-KSF-TRIAL-BAL-2020'!S340+'RA-TRIAL-BAL-2020'!S340+'DES-TRIAL-BAL-2020'!S340+'DMP-TRIAL-BAL-2020'!S340</f>
        <v>0</v>
      </c>
      <c r="AA340" s="588">
        <f>+'NF-KSF-TRIAL-BAL-2020'!T340+'RA-TRIAL-BAL-2020'!T340+'DES-TRIAL-BAL-2020'!T340+'DMP-TRIAL-BAL-2020'!T340</f>
        <v>0</v>
      </c>
      <c r="AB340" s="51"/>
      <c r="AC340" s="581"/>
      <c r="AD340" s="582">
        <v>0</v>
      </c>
      <c r="AE340" s="325"/>
      <c r="AF340" s="324"/>
      <c r="AG340" s="583">
        <f t="shared" si="190"/>
        <v>0</v>
      </c>
      <c r="AH340" s="584">
        <v>0</v>
      </c>
      <c r="AI340" s="51"/>
      <c r="AJ340" s="1497">
        <f t="shared" si="184"/>
        <v>5211</v>
      </c>
      <c r="AK340" s="951">
        <f t="shared" si="185"/>
        <v>0</v>
      </c>
      <c r="AL340" s="9">
        <v>0</v>
      </c>
      <c r="AM340" s="326">
        <f t="shared" si="178"/>
        <v>0</v>
      </c>
      <c r="AN340" s="970">
        <f t="shared" si="178"/>
        <v>0</v>
      </c>
      <c r="AO340" s="326">
        <f t="shared" si="191"/>
        <v>0</v>
      </c>
      <c r="AP340" s="30">
        <v>0</v>
      </c>
      <c r="AQ340" s="43"/>
      <c r="AR340" s="358">
        <f t="shared" si="173"/>
        <v>0</v>
      </c>
      <c r="AS340" s="359">
        <f t="shared" si="174"/>
        <v>0</v>
      </c>
      <c r="AT340" s="360">
        <f t="shared" si="175"/>
        <v>0</v>
      </c>
      <c r="AU340" s="43"/>
      <c r="AV340" s="2120">
        <f t="shared" si="192"/>
        <v>0</v>
      </c>
      <c r="AW340" s="119"/>
      <c r="AX340" s="2120">
        <f t="shared" si="193"/>
        <v>0</v>
      </c>
      <c r="AY340" s="43"/>
      <c r="AZ340" s="43"/>
      <c r="BA340" s="43"/>
      <c r="BB340" s="43"/>
      <c r="BC340" s="43"/>
      <c r="BD340" s="43"/>
    </row>
    <row r="341" spans="1:56" ht="15.75">
      <c r="A341" s="88">
        <v>5213</v>
      </c>
      <c r="B341" s="378" t="s">
        <v>777</v>
      </c>
      <c r="C341" s="1033"/>
      <c r="D341" s="1033"/>
      <c r="E341" s="1033"/>
      <c r="F341" s="1033"/>
      <c r="G341" s="1033"/>
      <c r="H341" s="1033"/>
      <c r="I341" s="1033"/>
      <c r="J341" s="1033"/>
      <c r="K341" s="1033"/>
      <c r="L341" s="574"/>
      <c r="M341" s="51" t="s">
        <v>265</v>
      </c>
      <c r="N341" s="113">
        <f t="shared" si="168"/>
        <v>5213</v>
      </c>
      <c r="O341" s="581"/>
      <c r="P341" s="582">
        <v>0</v>
      </c>
      <c r="Q341" s="325"/>
      <c r="R341" s="324"/>
      <c r="S341" s="583">
        <f t="shared" si="189"/>
        <v>0</v>
      </c>
      <c r="T341" s="584">
        <v>0</v>
      </c>
      <c r="U341" s="51"/>
      <c r="V341" s="541">
        <f>+'NF-KSF-TRIAL-BAL-2020'!O341+'RA-TRIAL-BAL-2020'!O341+'DES-TRIAL-BAL-2020'!O341+'DMP-TRIAL-BAL-2020'!O341</f>
        <v>0</v>
      </c>
      <c r="W341" s="529">
        <f>+'NF-KSF-TRIAL-BAL-2020'!P341+'RA-TRIAL-BAL-2020'!P341+'DES-TRIAL-BAL-2020'!P341+'DMP-TRIAL-BAL-2020'!P341</f>
        <v>0</v>
      </c>
      <c r="X341" s="587">
        <f>+'NF-KSF-TRIAL-BAL-2020'!Q341+'RA-TRIAL-BAL-2020'!Q341+'DES-TRIAL-BAL-2020'!Q341+'DMP-TRIAL-BAL-2020'!Q341</f>
        <v>0</v>
      </c>
      <c r="Y341" s="586">
        <f>+'NF-KSF-TRIAL-BAL-2020'!R341+'RA-TRIAL-BAL-2020'!R341+'DES-TRIAL-BAL-2020'!R341+'DMP-TRIAL-BAL-2020'!R341</f>
        <v>0</v>
      </c>
      <c r="Z341" s="587">
        <f>+'NF-KSF-TRIAL-BAL-2020'!S341+'RA-TRIAL-BAL-2020'!S341+'DES-TRIAL-BAL-2020'!S341+'DMP-TRIAL-BAL-2020'!S341</f>
        <v>0</v>
      </c>
      <c r="AA341" s="588">
        <f>+'NF-KSF-TRIAL-BAL-2020'!T341+'RA-TRIAL-BAL-2020'!T341+'DES-TRIAL-BAL-2020'!T341+'DMP-TRIAL-BAL-2020'!T341</f>
        <v>0</v>
      </c>
      <c r="AB341" s="51"/>
      <c r="AC341" s="581"/>
      <c r="AD341" s="582">
        <v>0</v>
      </c>
      <c r="AE341" s="122"/>
      <c r="AF341" s="324"/>
      <c r="AG341" s="583">
        <f t="shared" si="190"/>
        <v>0</v>
      </c>
      <c r="AH341" s="584">
        <v>0</v>
      </c>
      <c r="AI341" s="51"/>
      <c r="AJ341" s="1497">
        <f t="shared" si="184"/>
        <v>5213</v>
      </c>
      <c r="AK341" s="951">
        <f t="shared" si="185"/>
        <v>0</v>
      </c>
      <c r="AL341" s="9">
        <v>0</v>
      </c>
      <c r="AM341" s="326">
        <f t="shared" si="178"/>
        <v>0</v>
      </c>
      <c r="AN341" s="970">
        <f t="shared" si="178"/>
        <v>0</v>
      </c>
      <c r="AO341" s="326">
        <f t="shared" si="191"/>
        <v>0</v>
      </c>
      <c r="AP341" s="30">
        <v>0</v>
      </c>
      <c r="AQ341" s="43"/>
      <c r="AR341" s="358">
        <f t="shared" si="173"/>
        <v>0</v>
      </c>
      <c r="AS341" s="359">
        <f t="shared" si="174"/>
        <v>0</v>
      </c>
      <c r="AT341" s="360">
        <f t="shared" si="175"/>
        <v>0</v>
      </c>
      <c r="AU341" s="43"/>
      <c r="AV341" s="2120">
        <f t="shared" si="192"/>
        <v>0</v>
      </c>
      <c r="AW341" s="119"/>
      <c r="AX341" s="2120">
        <f t="shared" si="193"/>
        <v>0</v>
      </c>
      <c r="AY341" s="43"/>
      <c r="AZ341" s="43"/>
      <c r="BA341" s="43"/>
      <c r="BB341" s="43"/>
      <c r="BC341" s="43"/>
      <c r="BD341" s="43"/>
    </row>
    <row r="342" spans="1:56" ht="15.75">
      <c r="A342" s="88">
        <v>5215</v>
      </c>
      <c r="B342" s="378" t="s">
        <v>778</v>
      </c>
      <c r="C342" s="1033"/>
      <c r="D342" s="1033"/>
      <c r="E342" s="1033"/>
      <c r="F342" s="1033"/>
      <c r="G342" s="1033"/>
      <c r="H342" s="1033"/>
      <c r="I342" s="1033"/>
      <c r="J342" s="1033"/>
      <c r="K342" s="1033"/>
      <c r="L342" s="574"/>
      <c r="M342" s="51" t="s">
        <v>265</v>
      </c>
      <c r="N342" s="113">
        <f t="shared" si="168"/>
        <v>5215</v>
      </c>
      <c r="O342" s="581"/>
      <c r="P342" s="582">
        <v>0</v>
      </c>
      <c r="Q342" s="325"/>
      <c r="R342" s="324"/>
      <c r="S342" s="583">
        <f t="shared" si="189"/>
        <v>0</v>
      </c>
      <c r="T342" s="584">
        <v>0</v>
      </c>
      <c r="U342" s="51"/>
      <c r="V342" s="541">
        <f>+'NF-KSF-TRIAL-BAL-2020'!O342+'RA-TRIAL-BAL-2020'!O342+'DES-TRIAL-BAL-2020'!O342+'DMP-TRIAL-BAL-2020'!O342</f>
        <v>0</v>
      </c>
      <c r="W342" s="529">
        <f>+'NF-KSF-TRIAL-BAL-2020'!P342+'RA-TRIAL-BAL-2020'!P342+'DES-TRIAL-BAL-2020'!P342+'DMP-TRIAL-BAL-2020'!P342</f>
        <v>0</v>
      </c>
      <c r="X342" s="587">
        <f>+'NF-KSF-TRIAL-BAL-2020'!Q342+'RA-TRIAL-BAL-2020'!Q342+'DES-TRIAL-BAL-2020'!Q342+'DMP-TRIAL-BAL-2020'!Q342</f>
        <v>0</v>
      </c>
      <c r="Y342" s="586">
        <f>+'NF-KSF-TRIAL-BAL-2020'!R342+'RA-TRIAL-BAL-2020'!R342+'DES-TRIAL-BAL-2020'!R342+'DMP-TRIAL-BAL-2020'!R342</f>
        <v>0</v>
      </c>
      <c r="Z342" s="587">
        <f>+'NF-KSF-TRIAL-BAL-2020'!S342+'RA-TRIAL-BAL-2020'!S342+'DES-TRIAL-BAL-2020'!S342+'DMP-TRIAL-BAL-2020'!S342</f>
        <v>0</v>
      </c>
      <c r="AA342" s="588">
        <f>+'NF-KSF-TRIAL-BAL-2020'!T342+'RA-TRIAL-BAL-2020'!T342+'DES-TRIAL-BAL-2020'!T342+'DMP-TRIAL-BAL-2020'!T342</f>
        <v>0</v>
      </c>
      <c r="AB342" s="51"/>
      <c r="AC342" s="581"/>
      <c r="AD342" s="582">
        <v>0</v>
      </c>
      <c r="AE342" s="122"/>
      <c r="AF342" s="324"/>
      <c r="AG342" s="583">
        <f t="shared" si="190"/>
        <v>0</v>
      </c>
      <c r="AH342" s="584">
        <v>0</v>
      </c>
      <c r="AI342" s="51"/>
      <c r="AJ342" s="1497">
        <f t="shared" si="184"/>
        <v>5215</v>
      </c>
      <c r="AK342" s="951">
        <f t="shared" si="185"/>
        <v>0</v>
      </c>
      <c r="AL342" s="9">
        <v>0</v>
      </c>
      <c r="AM342" s="326">
        <f t="shared" si="178"/>
        <v>0</v>
      </c>
      <c r="AN342" s="970">
        <f t="shared" si="178"/>
        <v>0</v>
      </c>
      <c r="AO342" s="326">
        <f t="shared" si="191"/>
        <v>0</v>
      </c>
      <c r="AP342" s="30">
        <v>0</v>
      </c>
      <c r="AQ342" s="43"/>
      <c r="AR342" s="358">
        <f t="shared" si="173"/>
        <v>0</v>
      </c>
      <c r="AS342" s="359">
        <f t="shared" si="174"/>
        <v>0</v>
      </c>
      <c r="AT342" s="360">
        <f t="shared" si="175"/>
        <v>0</v>
      </c>
      <c r="AU342" s="43"/>
      <c r="AV342" s="2120">
        <f t="shared" si="192"/>
        <v>0</v>
      </c>
      <c r="AW342" s="119"/>
      <c r="AX342" s="2120">
        <f t="shared" si="193"/>
        <v>0</v>
      </c>
      <c r="AY342" s="43"/>
      <c r="AZ342" s="43"/>
      <c r="BA342" s="43"/>
      <c r="BB342" s="43"/>
      <c r="BC342" s="43"/>
      <c r="BD342" s="43"/>
    </row>
    <row r="343" spans="1:56" ht="15.75">
      <c r="A343" s="88">
        <v>5217</v>
      </c>
      <c r="B343" s="378" t="s">
        <v>779</v>
      </c>
      <c r="C343" s="1033"/>
      <c r="D343" s="1033"/>
      <c r="E343" s="1033"/>
      <c r="F343" s="1033"/>
      <c r="G343" s="1033"/>
      <c r="H343" s="1033"/>
      <c r="I343" s="1033"/>
      <c r="J343" s="1033"/>
      <c r="K343" s="1033"/>
      <c r="L343" s="574"/>
      <c r="M343" s="51" t="s">
        <v>265</v>
      </c>
      <c r="N343" s="113">
        <f t="shared" si="168"/>
        <v>5217</v>
      </c>
      <c r="O343" s="581"/>
      <c r="P343" s="582">
        <v>0</v>
      </c>
      <c r="Q343" s="325"/>
      <c r="R343" s="324"/>
      <c r="S343" s="583">
        <f t="shared" si="189"/>
        <v>0</v>
      </c>
      <c r="T343" s="584">
        <v>0</v>
      </c>
      <c r="U343" s="51"/>
      <c r="V343" s="541">
        <f>+'NF-KSF-TRIAL-BAL-2020'!O343+'RA-TRIAL-BAL-2020'!O343+'DES-TRIAL-BAL-2020'!O343+'DMP-TRIAL-BAL-2020'!O343</f>
        <v>0</v>
      </c>
      <c r="W343" s="529">
        <f>+'NF-KSF-TRIAL-BAL-2020'!P343+'RA-TRIAL-BAL-2020'!P343+'DES-TRIAL-BAL-2020'!P343+'DMP-TRIAL-BAL-2020'!P343</f>
        <v>0</v>
      </c>
      <c r="X343" s="587">
        <f>+'NF-KSF-TRIAL-BAL-2020'!Q343+'RA-TRIAL-BAL-2020'!Q343+'DES-TRIAL-BAL-2020'!Q343+'DMP-TRIAL-BAL-2020'!Q343</f>
        <v>0</v>
      </c>
      <c r="Y343" s="586">
        <f>+'NF-KSF-TRIAL-BAL-2020'!R343+'RA-TRIAL-BAL-2020'!R343+'DES-TRIAL-BAL-2020'!R343+'DMP-TRIAL-BAL-2020'!R343</f>
        <v>0</v>
      </c>
      <c r="Z343" s="587">
        <f>+'NF-KSF-TRIAL-BAL-2020'!S343+'RA-TRIAL-BAL-2020'!S343+'DES-TRIAL-BAL-2020'!S343+'DMP-TRIAL-BAL-2020'!S343</f>
        <v>0</v>
      </c>
      <c r="AA343" s="588">
        <f>+'NF-KSF-TRIAL-BAL-2020'!T343+'RA-TRIAL-BAL-2020'!T343+'DES-TRIAL-BAL-2020'!T343+'DMP-TRIAL-BAL-2020'!T343</f>
        <v>0</v>
      </c>
      <c r="AB343" s="51"/>
      <c r="AC343" s="581"/>
      <c r="AD343" s="582">
        <v>0</v>
      </c>
      <c r="AE343" s="325"/>
      <c r="AF343" s="324"/>
      <c r="AG343" s="583">
        <f t="shared" si="190"/>
        <v>0</v>
      </c>
      <c r="AH343" s="584">
        <v>0</v>
      </c>
      <c r="AI343" s="51"/>
      <c r="AJ343" s="1497">
        <f t="shared" si="184"/>
        <v>5217</v>
      </c>
      <c r="AK343" s="951">
        <f t="shared" si="185"/>
        <v>0</v>
      </c>
      <c r="AL343" s="9">
        <v>0</v>
      </c>
      <c r="AM343" s="326">
        <f t="shared" si="178"/>
        <v>0</v>
      </c>
      <c r="AN343" s="970">
        <f t="shared" si="178"/>
        <v>0</v>
      </c>
      <c r="AO343" s="326">
        <f t="shared" si="191"/>
        <v>0</v>
      </c>
      <c r="AP343" s="30">
        <v>0</v>
      </c>
      <c r="AQ343" s="43"/>
      <c r="AR343" s="358">
        <f t="shared" si="173"/>
        <v>0</v>
      </c>
      <c r="AS343" s="359">
        <f t="shared" si="174"/>
        <v>0</v>
      </c>
      <c r="AT343" s="360">
        <f t="shared" si="175"/>
        <v>0</v>
      </c>
      <c r="AU343" s="43"/>
      <c r="AV343" s="2120">
        <f t="shared" si="192"/>
        <v>0</v>
      </c>
      <c r="AW343" s="119"/>
      <c r="AX343" s="2120">
        <f t="shared" si="193"/>
        <v>0</v>
      </c>
      <c r="AY343" s="43"/>
      <c r="AZ343" s="43"/>
      <c r="BA343" s="43"/>
      <c r="BB343" s="43"/>
      <c r="BC343" s="43"/>
      <c r="BD343" s="43"/>
    </row>
    <row r="344" spans="1:56" ht="15.75">
      <c r="A344" s="88">
        <v>5221</v>
      </c>
      <c r="B344" s="378" t="s">
        <v>780</v>
      </c>
      <c r="C344" s="1033"/>
      <c r="D344" s="1033"/>
      <c r="E344" s="1033"/>
      <c r="F344" s="1033"/>
      <c r="G344" s="1033"/>
      <c r="H344" s="1033"/>
      <c r="I344" s="1033"/>
      <c r="J344" s="1033"/>
      <c r="K344" s="1033"/>
      <c r="L344" s="574"/>
      <c r="M344" s="51" t="s">
        <v>265</v>
      </c>
      <c r="N344" s="113">
        <f t="shared" si="168"/>
        <v>5221</v>
      </c>
      <c r="O344" s="581"/>
      <c r="P344" s="576"/>
      <c r="Q344" s="325"/>
      <c r="R344" s="324"/>
      <c r="S344" s="583">
        <f t="shared" si="182"/>
        <v>0</v>
      </c>
      <c r="T344" s="580">
        <f>+IF(ABS(+O344+Q344)&lt;=ABS(P344+R344),-O344+P344-Q344+R344,0)</f>
        <v>0</v>
      </c>
      <c r="U344" s="51"/>
      <c r="V344" s="541">
        <f>+'NF-KSF-TRIAL-BAL-2020'!O344+'RA-TRIAL-BAL-2020'!O344+'DES-TRIAL-BAL-2020'!O344+'DMP-TRIAL-BAL-2020'!O344</f>
        <v>0</v>
      </c>
      <c r="W344" s="529">
        <f>+'NF-KSF-TRIAL-BAL-2020'!P344+'RA-TRIAL-BAL-2020'!P344+'DES-TRIAL-BAL-2020'!P344+'DMP-TRIAL-BAL-2020'!P344</f>
        <v>0</v>
      </c>
      <c r="X344" s="587">
        <f>+'NF-KSF-TRIAL-BAL-2020'!Q344+'RA-TRIAL-BAL-2020'!Q344+'DES-TRIAL-BAL-2020'!Q344+'DMP-TRIAL-BAL-2020'!Q344</f>
        <v>0</v>
      </c>
      <c r="Y344" s="586">
        <f>+'NF-KSF-TRIAL-BAL-2020'!R344+'RA-TRIAL-BAL-2020'!R344+'DES-TRIAL-BAL-2020'!R344+'DMP-TRIAL-BAL-2020'!R344</f>
        <v>0</v>
      </c>
      <c r="Z344" s="587">
        <f>+'NF-KSF-TRIAL-BAL-2020'!S344+'RA-TRIAL-BAL-2020'!S344+'DES-TRIAL-BAL-2020'!S344+'DMP-TRIAL-BAL-2020'!S344</f>
        <v>0</v>
      </c>
      <c r="AA344" s="588">
        <f>+'NF-KSF-TRIAL-BAL-2020'!T344+'RA-TRIAL-BAL-2020'!T344+'DES-TRIAL-BAL-2020'!T344+'DMP-TRIAL-BAL-2020'!T344</f>
        <v>0</v>
      </c>
      <c r="AB344" s="51"/>
      <c r="AC344" s="581"/>
      <c r="AD344" s="576"/>
      <c r="AE344" s="325"/>
      <c r="AF344" s="324"/>
      <c r="AG344" s="583">
        <f t="shared" si="183"/>
        <v>0</v>
      </c>
      <c r="AH344" s="580">
        <f>+IF(ABS(+AC344+AE344)&lt;=ABS(AD344+AF344),-AC344+AD344-AE344+AF344,0)</f>
        <v>0</v>
      </c>
      <c r="AI344" s="51"/>
      <c r="AJ344" s="1497">
        <f t="shared" si="184"/>
        <v>5221</v>
      </c>
      <c r="AK344" s="951">
        <f t="shared" si="185"/>
        <v>0</v>
      </c>
      <c r="AL344" s="970">
        <f>+ROUND(+P344+W344+AD344,2)</f>
        <v>0</v>
      </c>
      <c r="AM344" s="326">
        <f t="shared" si="178"/>
        <v>0</v>
      </c>
      <c r="AN344" s="970">
        <f t="shared" si="178"/>
        <v>0</v>
      </c>
      <c r="AO344" s="326">
        <f t="shared" si="191"/>
        <v>0</v>
      </c>
      <c r="AP344" s="327">
        <f t="shared" si="191"/>
        <v>0</v>
      </c>
      <c r="AQ344" s="43"/>
      <c r="AR344" s="358">
        <f t="shared" si="173"/>
        <v>0</v>
      </c>
      <c r="AS344" s="359">
        <f t="shared" si="174"/>
        <v>0</v>
      </c>
      <c r="AT344" s="360">
        <f t="shared" si="175"/>
        <v>0</v>
      </c>
      <c r="AU344" s="43"/>
      <c r="AV344" s="43"/>
      <c r="AW344" s="119"/>
      <c r="AX344" s="119"/>
      <c r="AY344" s="43"/>
      <c r="AZ344" s="43"/>
      <c r="BA344" s="43"/>
      <c r="BB344" s="43"/>
      <c r="BC344" s="43"/>
      <c r="BD344" s="43"/>
    </row>
    <row r="345" spans="1:56" ht="15.75">
      <c r="A345" s="88">
        <v>5223</v>
      </c>
      <c r="B345" s="378" t="s">
        <v>781</v>
      </c>
      <c r="C345" s="1033"/>
      <c r="D345" s="1033"/>
      <c r="E345" s="1033"/>
      <c r="F345" s="1033"/>
      <c r="G345" s="1033"/>
      <c r="H345" s="1033"/>
      <c r="I345" s="1033"/>
      <c r="J345" s="1033"/>
      <c r="K345" s="1033"/>
      <c r="L345" s="574"/>
      <c r="M345" s="51" t="s">
        <v>265</v>
      </c>
      <c r="N345" s="113">
        <f t="shared" si="168"/>
        <v>5223</v>
      </c>
      <c r="O345" s="581"/>
      <c r="P345" s="576"/>
      <c r="Q345" s="325"/>
      <c r="R345" s="324"/>
      <c r="S345" s="583">
        <f t="shared" si="182"/>
        <v>0</v>
      </c>
      <c r="T345" s="580">
        <f>+IF(ABS(+O345+Q345)&lt;=ABS(P345+R345),-O345+P345-Q345+R345,0)</f>
        <v>0</v>
      </c>
      <c r="U345" s="51"/>
      <c r="V345" s="541">
        <f>+'NF-KSF-TRIAL-BAL-2020'!O345+'RA-TRIAL-BAL-2020'!O345+'DES-TRIAL-BAL-2020'!O345+'DMP-TRIAL-BAL-2020'!O345</f>
        <v>0</v>
      </c>
      <c r="W345" s="529">
        <f>+'NF-KSF-TRIAL-BAL-2020'!P345+'RA-TRIAL-BAL-2020'!P345+'DES-TRIAL-BAL-2020'!P345+'DMP-TRIAL-BAL-2020'!P345</f>
        <v>0</v>
      </c>
      <c r="X345" s="587">
        <f>+'NF-KSF-TRIAL-BAL-2020'!Q345+'RA-TRIAL-BAL-2020'!Q345+'DES-TRIAL-BAL-2020'!Q345+'DMP-TRIAL-BAL-2020'!Q345</f>
        <v>0</v>
      </c>
      <c r="Y345" s="586">
        <f>+'NF-KSF-TRIAL-BAL-2020'!R345+'RA-TRIAL-BAL-2020'!R345+'DES-TRIAL-BAL-2020'!R345+'DMP-TRIAL-BAL-2020'!R345</f>
        <v>0</v>
      </c>
      <c r="Z345" s="587">
        <f>+'NF-KSF-TRIAL-BAL-2020'!S345+'RA-TRIAL-BAL-2020'!S345+'DES-TRIAL-BAL-2020'!S345+'DMP-TRIAL-BAL-2020'!S345</f>
        <v>0</v>
      </c>
      <c r="AA345" s="588">
        <f>+'NF-KSF-TRIAL-BAL-2020'!T345+'RA-TRIAL-BAL-2020'!T345+'DES-TRIAL-BAL-2020'!T345+'DMP-TRIAL-BAL-2020'!T345</f>
        <v>0</v>
      </c>
      <c r="AB345" s="51"/>
      <c r="AC345" s="581"/>
      <c r="AD345" s="576"/>
      <c r="AE345" s="325"/>
      <c r="AF345" s="324"/>
      <c r="AG345" s="583">
        <f t="shared" si="183"/>
        <v>0</v>
      </c>
      <c r="AH345" s="580">
        <f>+IF(ABS(+AC345+AE345)&lt;=ABS(AD345+AF345),-AC345+AD345-AE345+AF345,0)</f>
        <v>0</v>
      </c>
      <c r="AI345" s="51"/>
      <c r="AJ345" s="1497">
        <f t="shared" si="184"/>
        <v>5223</v>
      </c>
      <c r="AK345" s="951">
        <f t="shared" si="185"/>
        <v>0</v>
      </c>
      <c r="AL345" s="970">
        <f>+ROUND(+P345+W345+AD345,2)</f>
        <v>0</v>
      </c>
      <c r="AM345" s="326">
        <f t="shared" si="178"/>
        <v>0</v>
      </c>
      <c r="AN345" s="970">
        <f t="shared" si="178"/>
        <v>0</v>
      </c>
      <c r="AO345" s="326">
        <f t="shared" si="191"/>
        <v>0</v>
      </c>
      <c r="AP345" s="327">
        <f t="shared" si="191"/>
        <v>0</v>
      </c>
      <c r="AQ345" s="43"/>
      <c r="AR345" s="358">
        <f t="shared" si="173"/>
        <v>0</v>
      </c>
      <c r="AS345" s="359">
        <f t="shared" si="174"/>
        <v>0</v>
      </c>
      <c r="AT345" s="360">
        <f t="shared" si="175"/>
        <v>0</v>
      </c>
      <c r="AU345" s="43"/>
      <c r="AV345" s="43"/>
      <c r="AW345" s="119"/>
      <c r="AX345" s="119"/>
      <c r="AY345" s="43"/>
      <c r="AZ345" s="43"/>
      <c r="BA345" s="43"/>
      <c r="BB345" s="43"/>
      <c r="BC345" s="43"/>
      <c r="BD345" s="43"/>
    </row>
    <row r="346" spans="1:56" ht="15.75">
      <c r="A346" s="88">
        <v>5231</v>
      </c>
      <c r="B346" s="378" t="s">
        <v>782</v>
      </c>
      <c r="C346" s="1033"/>
      <c r="D346" s="1033"/>
      <c r="E346" s="1033"/>
      <c r="F346" s="1033"/>
      <c r="G346" s="1033"/>
      <c r="H346" s="1033"/>
      <c r="I346" s="1033"/>
      <c r="J346" s="1033"/>
      <c r="K346" s="1033"/>
      <c r="L346" s="574"/>
      <c r="M346" s="51" t="s">
        <v>265</v>
      </c>
      <c r="N346" s="113">
        <f t="shared" si="168"/>
        <v>5231</v>
      </c>
      <c r="O346" s="581"/>
      <c r="P346" s="582">
        <v>0</v>
      </c>
      <c r="Q346" s="325"/>
      <c r="R346" s="324"/>
      <c r="S346" s="583">
        <f t="shared" si="182"/>
        <v>0</v>
      </c>
      <c r="T346" s="584">
        <v>0</v>
      </c>
      <c r="U346" s="51"/>
      <c r="V346" s="541">
        <f>+'NF-KSF-TRIAL-BAL-2020'!O346+'RA-TRIAL-BAL-2020'!O346+'DES-TRIAL-BAL-2020'!O346+'DMP-TRIAL-BAL-2020'!O346</f>
        <v>0</v>
      </c>
      <c r="W346" s="529">
        <f>+'NF-KSF-TRIAL-BAL-2020'!P346+'RA-TRIAL-BAL-2020'!P346+'DES-TRIAL-BAL-2020'!P346+'DMP-TRIAL-BAL-2020'!P346</f>
        <v>0</v>
      </c>
      <c r="X346" s="587">
        <f>+'NF-KSF-TRIAL-BAL-2020'!Q346+'RA-TRIAL-BAL-2020'!Q346+'DES-TRIAL-BAL-2020'!Q346+'DMP-TRIAL-BAL-2020'!Q346</f>
        <v>0</v>
      </c>
      <c r="Y346" s="586">
        <f>+'NF-KSF-TRIAL-BAL-2020'!R346+'RA-TRIAL-BAL-2020'!R346+'DES-TRIAL-BAL-2020'!R346+'DMP-TRIAL-BAL-2020'!R346</f>
        <v>0</v>
      </c>
      <c r="Z346" s="587">
        <f>+'NF-KSF-TRIAL-BAL-2020'!S346+'RA-TRIAL-BAL-2020'!S346+'DES-TRIAL-BAL-2020'!S346+'DMP-TRIAL-BAL-2020'!S346</f>
        <v>0</v>
      </c>
      <c r="AA346" s="588">
        <f>+'NF-KSF-TRIAL-BAL-2020'!T346+'RA-TRIAL-BAL-2020'!T346+'DES-TRIAL-BAL-2020'!T346+'DMP-TRIAL-BAL-2020'!T346</f>
        <v>0</v>
      </c>
      <c r="AB346" s="51"/>
      <c r="AC346" s="581"/>
      <c r="AD346" s="582">
        <v>0</v>
      </c>
      <c r="AE346" s="122"/>
      <c r="AF346" s="324"/>
      <c r="AG346" s="583">
        <f t="shared" si="183"/>
        <v>0</v>
      </c>
      <c r="AH346" s="584">
        <v>0</v>
      </c>
      <c r="AI346" s="51"/>
      <c r="AJ346" s="1497">
        <f>+N346</f>
        <v>5231</v>
      </c>
      <c r="AK346" s="951">
        <f t="shared" si="185"/>
        <v>0</v>
      </c>
      <c r="AL346" s="9">
        <v>0</v>
      </c>
      <c r="AM346" s="326">
        <f t="shared" si="178"/>
        <v>0</v>
      </c>
      <c r="AN346" s="970">
        <f t="shared" si="178"/>
        <v>0</v>
      </c>
      <c r="AO346" s="326">
        <f t="shared" si="191"/>
        <v>0</v>
      </c>
      <c r="AP346" s="30">
        <v>0</v>
      </c>
      <c r="AQ346" s="43"/>
      <c r="AR346" s="358">
        <f t="shared" si="173"/>
        <v>0</v>
      </c>
      <c r="AS346" s="359">
        <f t="shared" si="174"/>
        <v>0</v>
      </c>
      <c r="AT346" s="360">
        <f t="shared" si="175"/>
        <v>0</v>
      </c>
      <c r="AU346" s="43"/>
      <c r="AV346" s="2120">
        <f t="shared" ref="AV346:AV363" si="194">+IF(OR(ROUND(P346,2)+ROUND(R346,2)&gt;+ROUND(O346,2)+ROUND(Q346,2),+ABS(ROUND(P346,2)+ROUND(R346,2))&gt;+ABS(ROUND(O346,2)+ROUND(Q346,2))),+(ROUND(P346,2)+ROUND(R346,2))-(ROUND(O346,2)+ROUND(Q346,2)),0)</f>
        <v>0</v>
      </c>
      <c r="AW346" s="119"/>
      <c r="AX346" s="2120">
        <f t="shared" ref="AX346:AX363" si="195">+IF(OR(ROUND(AD346,2)+ROUND(AF346,2)&gt;+ROUND(AC346,2)+ROUND(AE346,2),+ABS(ROUND(AD346,2)+ROUND(AF346,2))&gt;+ABS(ROUND(AC346,2)+ROUND(AE346,2))),+(ROUND(AD346,2)+ROUND(AF346,2))-(ROUND(AC346,2)+ROUND(AE346,2)),0)</f>
        <v>0</v>
      </c>
      <c r="AY346" s="43"/>
      <c r="AZ346" s="43"/>
      <c r="BA346" s="43"/>
      <c r="BB346" s="43"/>
      <c r="BC346" s="43"/>
      <c r="BD346" s="43"/>
    </row>
    <row r="347" spans="1:56" ht="15.75">
      <c r="A347" s="88">
        <v>5235</v>
      </c>
      <c r="B347" s="378" t="s">
        <v>783</v>
      </c>
      <c r="C347" s="1033"/>
      <c r="D347" s="1033"/>
      <c r="E347" s="1033"/>
      <c r="F347" s="1033"/>
      <c r="G347" s="1033"/>
      <c r="H347" s="1033"/>
      <c r="I347" s="1033"/>
      <c r="J347" s="1033"/>
      <c r="K347" s="1033"/>
      <c r="L347" s="574"/>
      <c r="M347" s="51" t="s">
        <v>265</v>
      </c>
      <c r="N347" s="113">
        <f t="shared" si="168"/>
        <v>5235</v>
      </c>
      <c r="O347" s="581"/>
      <c r="P347" s="582">
        <v>0</v>
      </c>
      <c r="Q347" s="325"/>
      <c r="R347" s="324"/>
      <c r="S347" s="583">
        <f t="shared" si="182"/>
        <v>0</v>
      </c>
      <c r="T347" s="584">
        <v>0</v>
      </c>
      <c r="U347" s="51"/>
      <c r="V347" s="541">
        <f>+'NF-KSF-TRIAL-BAL-2020'!O347+'RA-TRIAL-BAL-2020'!O347+'DES-TRIAL-BAL-2020'!O347+'DMP-TRIAL-BAL-2020'!O347</f>
        <v>0</v>
      </c>
      <c r="W347" s="529">
        <f>+'NF-KSF-TRIAL-BAL-2020'!P347+'RA-TRIAL-BAL-2020'!P347+'DES-TRIAL-BAL-2020'!P347+'DMP-TRIAL-BAL-2020'!P347</f>
        <v>0</v>
      </c>
      <c r="X347" s="587">
        <f>+'NF-KSF-TRIAL-BAL-2020'!Q347+'RA-TRIAL-BAL-2020'!Q347+'DES-TRIAL-BAL-2020'!Q347+'DMP-TRIAL-BAL-2020'!Q347</f>
        <v>0</v>
      </c>
      <c r="Y347" s="586">
        <f>+'NF-KSF-TRIAL-BAL-2020'!R347+'RA-TRIAL-BAL-2020'!R347+'DES-TRIAL-BAL-2020'!R347+'DMP-TRIAL-BAL-2020'!R347</f>
        <v>0</v>
      </c>
      <c r="Z347" s="587">
        <f>+'NF-KSF-TRIAL-BAL-2020'!S347+'RA-TRIAL-BAL-2020'!S347+'DES-TRIAL-BAL-2020'!S347+'DMP-TRIAL-BAL-2020'!S347</f>
        <v>0</v>
      </c>
      <c r="AA347" s="588">
        <f>+'NF-KSF-TRIAL-BAL-2020'!T347+'RA-TRIAL-BAL-2020'!T347+'DES-TRIAL-BAL-2020'!T347+'DMP-TRIAL-BAL-2020'!T347</f>
        <v>0</v>
      </c>
      <c r="AB347" s="51"/>
      <c r="AC347" s="581"/>
      <c r="AD347" s="582">
        <v>0</v>
      </c>
      <c r="AE347" s="122"/>
      <c r="AF347" s="324"/>
      <c r="AG347" s="583">
        <f t="shared" si="183"/>
        <v>0</v>
      </c>
      <c r="AH347" s="584">
        <v>0</v>
      </c>
      <c r="AI347" s="51"/>
      <c r="AJ347" s="1497">
        <f>+N347</f>
        <v>5235</v>
      </c>
      <c r="AK347" s="951">
        <f t="shared" si="185"/>
        <v>0</v>
      </c>
      <c r="AL347" s="9">
        <v>0</v>
      </c>
      <c r="AM347" s="326">
        <f t="shared" si="178"/>
        <v>0</v>
      </c>
      <c r="AN347" s="970">
        <f t="shared" si="178"/>
        <v>0</v>
      </c>
      <c r="AO347" s="326">
        <f t="shared" si="191"/>
        <v>0</v>
      </c>
      <c r="AP347" s="30">
        <v>0</v>
      </c>
      <c r="AQ347" s="43"/>
      <c r="AR347" s="358">
        <f t="shared" si="173"/>
        <v>0</v>
      </c>
      <c r="AS347" s="359">
        <f t="shared" si="174"/>
        <v>0</v>
      </c>
      <c r="AT347" s="360">
        <f t="shared" si="175"/>
        <v>0</v>
      </c>
      <c r="AU347" s="43"/>
      <c r="AV347" s="2120">
        <f t="shared" si="194"/>
        <v>0</v>
      </c>
      <c r="AW347" s="119"/>
      <c r="AX347" s="2120">
        <f t="shared" si="195"/>
        <v>0</v>
      </c>
      <c r="AY347" s="43"/>
      <c r="AZ347" s="43"/>
      <c r="BA347" s="43"/>
      <c r="BB347" s="43"/>
      <c r="BC347" s="43"/>
      <c r="BD347" s="43"/>
    </row>
    <row r="348" spans="1:56" ht="15.75">
      <c r="A348" s="88">
        <v>5311</v>
      </c>
      <c r="B348" s="378" t="s">
        <v>787</v>
      </c>
      <c r="C348" s="1033"/>
      <c r="D348" s="1033"/>
      <c r="E348" s="1033"/>
      <c r="F348" s="1033"/>
      <c r="G348" s="1033"/>
      <c r="H348" s="1033"/>
      <c r="I348" s="1033"/>
      <c r="J348" s="1033"/>
      <c r="K348" s="1033"/>
      <c r="L348" s="574"/>
      <c r="M348" s="51" t="s">
        <v>265</v>
      </c>
      <c r="N348" s="113">
        <f t="shared" si="168"/>
        <v>5311</v>
      </c>
      <c r="O348" s="581"/>
      <c r="P348" s="582">
        <v>0</v>
      </c>
      <c r="Q348" s="325"/>
      <c r="R348" s="324"/>
      <c r="S348" s="583">
        <f t="shared" si="182"/>
        <v>0</v>
      </c>
      <c r="T348" s="584">
        <v>0</v>
      </c>
      <c r="U348" s="51"/>
      <c r="V348" s="541">
        <f>+'NF-KSF-TRIAL-BAL-2020'!O348+'RA-TRIAL-BAL-2020'!O348+'DES-TRIAL-BAL-2020'!O348+'DMP-TRIAL-BAL-2020'!O348</f>
        <v>0</v>
      </c>
      <c r="W348" s="529">
        <f>+'NF-KSF-TRIAL-BAL-2020'!P348+'RA-TRIAL-BAL-2020'!P348+'DES-TRIAL-BAL-2020'!P348+'DMP-TRIAL-BAL-2020'!P348</f>
        <v>0</v>
      </c>
      <c r="X348" s="587">
        <f>+'NF-KSF-TRIAL-BAL-2020'!Q348+'RA-TRIAL-BAL-2020'!Q348+'DES-TRIAL-BAL-2020'!Q348+'DMP-TRIAL-BAL-2020'!Q348</f>
        <v>0</v>
      </c>
      <c r="Y348" s="586">
        <f>+'NF-KSF-TRIAL-BAL-2020'!R348+'RA-TRIAL-BAL-2020'!R348+'DES-TRIAL-BAL-2020'!R348+'DMP-TRIAL-BAL-2020'!R348</f>
        <v>0</v>
      </c>
      <c r="Z348" s="587">
        <f>+'NF-KSF-TRIAL-BAL-2020'!S348+'RA-TRIAL-BAL-2020'!S348+'DES-TRIAL-BAL-2020'!S348+'DMP-TRIAL-BAL-2020'!S348</f>
        <v>0</v>
      </c>
      <c r="AA348" s="588">
        <f>+'NF-KSF-TRIAL-BAL-2020'!T348+'RA-TRIAL-BAL-2020'!T348+'DES-TRIAL-BAL-2020'!T348+'DMP-TRIAL-BAL-2020'!T348</f>
        <v>0</v>
      </c>
      <c r="AB348" s="51"/>
      <c r="AC348" s="581"/>
      <c r="AD348" s="582">
        <v>0</v>
      </c>
      <c r="AE348" s="325"/>
      <c r="AF348" s="324"/>
      <c r="AG348" s="583">
        <f t="shared" si="183"/>
        <v>0</v>
      </c>
      <c r="AH348" s="584">
        <v>0</v>
      </c>
      <c r="AI348" s="51"/>
      <c r="AJ348" s="1497">
        <f t="shared" si="184"/>
        <v>5311</v>
      </c>
      <c r="AK348" s="951">
        <f t="shared" si="185"/>
        <v>0</v>
      </c>
      <c r="AL348" s="9">
        <v>0</v>
      </c>
      <c r="AM348" s="326">
        <f t="shared" si="178"/>
        <v>0</v>
      </c>
      <c r="AN348" s="970">
        <f t="shared" si="178"/>
        <v>0</v>
      </c>
      <c r="AO348" s="326">
        <f t="shared" si="191"/>
        <v>0</v>
      </c>
      <c r="AP348" s="30">
        <v>0</v>
      </c>
      <c r="AQ348" s="43"/>
      <c r="AR348" s="358">
        <f t="shared" si="173"/>
        <v>0</v>
      </c>
      <c r="AS348" s="359">
        <f t="shared" si="174"/>
        <v>0</v>
      </c>
      <c r="AT348" s="360">
        <f t="shared" si="175"/>
        <v>0</v>
      </c>
      <c r="AU348" s="43"/>
      <c r="AV348" s="2120">
        <f t="shared" si="194"/>
        <v>0</v>
      </c>
      <c r="AW348" s="119"/>
      <c r="AX348" s="2120">
        <f t="shared" si="195"/>
        <v>0</v>
      </c>
      <c r="AY348" s="43"/>
      <c r="AZ348" s="43"/>
      <c r="BA348" s="43"/>
      <c r="BB348" s="43"/>
      <c r="BC348" s="43"/>
      <c r="BD348" s="43"/>
    </row>
    <row r="349" spans="1:56" ht="15.75">
      <c r="A349" s="88">
        <v>5312</v>
      </c>
      <c r="B349" s="378" t="s">
        <v>788</v>
      </c>
      <c r="C349" s="1033"/>
      <c r="D349" s="1033"/>
      <c r="E349" s="1033"/>
      <c r="F349" s="1033"/>
      <c r="G349" s="1033"/>
      <c r="H349" s="1033"/>
      <c r="I349" s="1033"/>
      <c r="J349" s="1033"/>
      <c r="K349" s="1033"/>
      <c r="L349" s="574"/>
      <c r="M349" s="51" t="s">
        <v>265</v>
      </c>
      <c r="N349" s="113">
        <f t="shared" si="168"/>
        <v>5312</v>
      </c>
      <c r="O349" s="581">
        <v>0</v>
      </c>
      <c r="P349" s="582">
        <v>0</v>
      </c>
      <c r="Q349" s="325">
        <v>0</v>
      </c>
      <c r="R349" s="324">
        <v>0</v>
      </c>
      <c r="S349" s="583">
        <f t="shared" si="182"/>
        <v>0</v>
      </c>
      <c r="T349" s="584">
        <v>0</v>
      </c>
      <c r="U349" s="51"/>
      <c r="V349" s="541">
        <f>+'NF-KSF-TRIAL-BAL-2020'!O349+'RA-TRIAL-BAL-2020'!O349+'DES-TRIAL-BAL-2020'!O349+'DMP-TRIAL-BAL-2020'!O349</f>
        <v>0</v>
      </c>
      <c r="W349" s="529">
        <f>+'NF-KSF-TRIAL-BAL-2020'!P349+'RA-TRIAL-BAL-2020'!P349+'DES-TRIAL-BAL-2020'!P349+'DMP-TRIAL-BAL-2020'!P349</f>
        <v>0</v>
      </c>
      <c r="X349" s="587">
        <f>+'NF-KSF-TRIAL-BAL-2020'!Q349+'RA-TRIAL-BAL-2020'!Q349+'DES-TRIAL-BAL-2020'!Q349+'DMP-TRIAL-BAL-2020'!Q349</f>
        <v>0</v>
      </c>
      <c r="Y349" s="586">
        <f>+'NF-KSF-TRIAL-BAL-2020'!R349+'RA-TRIAL-BAL-2020'!R349+'DES-TRIAL-BAL-2020'!R349+'DMP-TRIAL-BAL-2020'!R349</f>
        <v>0</v>
      </c>
      <c r="Z349" s="587">
        <f>+'NF-KSF-TRIAL-BAL-2020'!S349+'RA-TRIAL-BAL-2020'!S349+'DES-TRIAL-BAL-2020'!S349+'DMP-TRIAL-BAL-2020'!S349</f>
        <v>0</v>
      </c>
      <c r="AA349" s="588">
        <f>+'NF-KSF-TRIAL-BAL-2020'!T349+'RA-TRIAL-BAL-2020'!T349+'DES-TRIAL-BAL-2020'!T349+'DMP-TRIAL-BAL-2020'!T349</f>
        <v>0</v>
      </c>
      <c r="AB349" s="51"/>
      <c r="AC349" s="581">
        <v>0</v>
      </c>
      <c r="AD349" s="582">
        <v>0</v>
      </c>
      <c r="AE349" s="325">
        <v>0</v>
      </c>
      <c r="AF349" s="324">
        <v>0</v>
      </c>
      <c r="AG349" s="583">
        <f t="shared" si="183"/>
        <v>0</v>
      </c>
      <c r="AH349" s="584">
        <v>0</v>
      </c>
      <c r="AI349" s="51"/>
      <c r="AJ349" s="1497">
        <f t="shared" si="184"/>
        <v>5312</v>
      </c>
      <c r="AK349" s="951">
        <f t="shared" si="185"/>
        <v>0</v>
      </c>
      <c r="AL349" s="9">
        <v>0</v>
      </c>
      <c r="AM349" s="326">
        <f t="shared" si="178"/>
        <v>0</v>
      </c>
      <c r="AN349" s="970">
        <f t="shared" si="178"/>
        <v>0</v>
      </c>
      <c r="AO349" s="326">
        <f t="shared" si="191"/>
        <v>0</v>
      </c>
      <c r="AP349" s="30">
        <v>0</v>
      </c>
      <c r="AQ349" s="43"/>
      <c r="AR349" s="358">
        <f t="shared" si="173"/>
        <v>0</v>
      </c>
      <c r="AS349" s="359">
        <f t="shared" si="174"/>
        <v>0</v>
      </c>
      <c r="AT349" s="360">
        <f t="shared" si="175"/>
        <v>0</v>
      </c>
      <c r="AU349" s="43"/>
      <c r="AV349" s="2120">
        <f t="shared" si="194"/>
        <v>0</v>
      </c>
      <c r="AW349" s="119"/>
      <c r="AX349" s="2120">
        <f t="shared" si="195"/>
        <v>0</v>
      </c>
      <c r="AY349" s="43"/>
      <c r="AZ349" s="43"/>
      <c r="BA349" s="43"/>
      <c r="BB349" s="43"/>
      <c r="BC349" s="43"/>
      <c r="BD349" s="43"/>
    </row>
    <row r="350" spans="1:56" ht="15.75">
      <c r="A350" s="88">
        <v>5313</v>
      </c>
      <c r="B350" s="378" t="s">
        <v>789</v>
      </c>
      <c r="C350" s="1033"/>
      <c r="D350" s="1033"/>
      <c r="E350" s="1033"/>
      <c r="F350" s="1033"/>
      <c r="G350" s="1033"/>
      <c r="H350" s="1033"/>
      <c r="I350" s="1033"/>
      <c r="J350" s="1033"/>
      <c r="K350" s="1033"/>
      <c r="L350" s="574"/>
      <c r="M350" s="51" t="s">
        <v>265</v>
      </c>
      <c r="N350" s="113">
        <f t="shared" si="168"/>
        <v>5313</v>
      </c>
      <c r="O350" s="581"/>
      <c r="P350" s="582">
        <v>0</v>
      </c>
      <c r="Q350" s="325"/>
      <c r="R350" s="324"/>
      <c r="S350" s="583">
        <f t="shared" si="182"/>
        <v>0</v>
      </c>
      <c r="T350" s="584">
        <v>0</v>
      </c>
      <c r="U350" s="51"/>
      <c r="V350" s="541">
        <f>+'NF-KSF-TRIAL-BAL-2020'!O350+'RA-TRIAL-BAL-2020'!O350+'DES-TRIAL-BAL-2020'!O350+'DMP-TRIAL-BAL-2020'!O350</f>
        <v>0</v>
      </c>
      <c r="W350" s="529">
        <f>+'NF-KSF-TRIAL-BAL-2020'!P350+'RA-TRIAL-BAL-2020'!P350+'DES-TRIAL-BAL-2020'!P350+'DMP-TRIAL-BAL-2020'!P350</f>
        <v>0</v>
      </c>
      <c r="X350" s="587">
        <f>+'NF-KSF-TRIAL-BAL-2020'!Q350+'RA-TRIAL-BAL-2020'!Q350+'DES-TRIAL-BAL-2020'!Q350+'DMP-TRIAL-BAL-2020'!Q350</f>
        <v>0</v>
      </c>
      <c r="Y350" s="586">
        <f>+'NF-KSF-TRIAL-BAL-2020'!R350+'RA-TRIAL-BAL-2020'!R350+'DES-TRIAL-BAL-2020'!R350+'DMP-TRIAL-BAL-2020'!R350</f>
        <v>0</v>
      </c>
      <c r="Z350" s="587">
        <f>+'NF-KSF-TRIAL-BAL-2020'!S350+'RA-TRIAL-BAL-2020'!S350+'DES-TRIAL-BAL-2020'!S350+'DMP-TRIAL-BAL-2020'!S350</f>
        <v>0</v>
      </c>
      <c r="AA350" s="588">
        <f>+'NF-KSF-TRIAL-BAL-2020'!T350+'RA-TRIAL-BAL-2020'!T350+'DES-TRIAL-BAL-2020'!T350+'DMP-TRIAL-BAL-2020'!T350</f>
        <v>0</v>
      </c>
      <c r="AB350" s="51"/>
      <c r="AC350" s="581"/>
      <c r="AD350" s="582">
        <v>0</v>
      </c>
      <c r="AE350" s="325"/>
      <c r="AF350" s="324"/>
      <c r="AG350" s="583">
        <f t="shared" si="183"/>
        <v>0</v>
      </c>
      <c r="AH350" s="584">
        <v>0</v>
      </c>
      <c r="AI350" s="51"/>
      <c r="AJ350" s="1497">
        <f t="shared" si="184"/>
        <v>5313</v>
      </c>
      <c r="AK350" s="951">
        <f t="shared" si="185"/>
        <v>0</v>
      </c>
      <c r="AL350" s="9">
        <v>0</v>
      </c>
      <c r="AM350" s="326">
        <f t="shared" si="178"/>
        <v>0</v>
      </c>
      <c r="AN350" s="970">
        <f t="shared" si="178"/>
        <v>0</v>
      </c>
      <c r="AO350" s="326">
        <f t="shared" si="191"/>
        <v>0</v>
      </c>
      <c r="AP350" s="30">
        <v>0</v>
      </c>
      <c r="AQ350" s="43"/>
      <c r="AR350" s="358">
        <f t="shared" si="173"/>
        <v>0</v>
      </c>
      <c r="AS350" s="359">
        <f t="shared" si="174"/>
        <v>0</v>
      </c>
      <c r="AT350" s="360">
        <f t="shared" si="175"/>
        <v>0</v>
      </c>
      <c r="AU350" s="43"/>
      <c r="AV350" s="2120">
        <f t="shared" si="194"/>
        <v>0</v>
      </c>
      <c r="AW350" s="119"/>
      <c r="AX350" s="2120">
        <f t="shared" si="195"/>
        <v>0</v>
      </c>
      <c r="AY350" s="43"/>
      <c r="AZ350" s="43"/>
      <c r="BA350" s="43"/>
      <c r="BB350" s="43"/>
      <c r="BC350" s="43"/>
      <c r="BD350" s="43"/>
    </row>
    <row r="351" spans="1:56" ht="15.75">
      <c r="A351" s="88">
        <v>5314</v>
      </c>
      <c r="B351" s="378" t="s">
        <v>1007</v>
      </c>
      <c r="C351" s="1033"/>
      <c r="D351" s="1033"/>
      <c r="E351" s="1033"/>
      <c r="F351" s="1033"/>
      <c r="G351" s="1033"/>
      <c r="H351" s="1033"/>
      <c r="I351" s="1033"/>
      <c r="J351" s="1033"/>
      <c r="K351" s="1033"/>
      <c r="L351" s="574"/>
      <c r="M351" s="51" t="s">
        <v>265</v>
      </c>
      <c r="N351" s="113">
        <f t="shared" si="168"/>
        <v>5314</v>
      </c>
      <c r="O351" s="581"/>
      <c r="P351" s="582">
        <v>0</v>
      </c>
      <c r="Q351" s="325"/>
      <c r="R351" s="324"/>
      <c r="S351" s="583">
        <f t="shared" si="182"/>
        <v>0</v>
      </c>
      <c r="T351" s="584">
        <v>0</v>
      </c>
      <c r="U351" s="51"/>
      <c r="V351" s="541">
        <f>+'NF-KSF-TRIAL-BAL-2020'!O351+'RA-TRIAL-BAL-2020'!O351+'DES-TRIAL-BAL-2020'!O351+'DMP-TRIAL-BAL-2020'!O351</f>
        <v>0</v>
      </c>
      <c r="W351" s="529">
        <f>+'NF-KSF-TRIAL-BAL-2020'!P351+'RA-TRIAL-BAL-2020'!P351+'DES-TRIAL-BAL-2020'!P351+'DMP-TRIAL-BAL-2020'!P351</f>
        <v>0</v>
      </c>
      <c r="X351" s="587">
        <f>+'NF-KSF-TRIAL-BAL-2020'!Q351+'RA-TRIAL-BAL-2020'!Q351+'DES-TRIAL-BAL-2020'!Q351+'DMP-TRIAL-BAL-2020'!Q351</f>
        <v>0</v>
      </c>
      <c r="Y351" s="586">
        <f>+'NF-KSF-TRIAL-BAL-2020'!R351+'RA-TRIAL-BAL-2020'!R351+'DES-TRIAL-BAL-2020'!R351+'DMP-TRIAL-BAL-2020'!R351</f>
        <v>0</v>
      </c>
      <c r="Z351" s="587">
        <f>+'NF-KSF-TRIAL-BAL-2020'!S351+'RA-TRIAL-BAL-2020'!S351+'DES-TRIAL-BAL-2020'!S351+'DMP-TRIAL-BAL-2020'!S351</f>
        <v>0</v>
      </c>
      <c r="AA351" s="588">
        <f>+'NF-KSF-TRIAL-BAL-2020'!T351+'RA-TRIAL-BAL-2020'!T351+'DES-TRIAL-BAL-2020'!T351+'DMP-TRIAL-BAL-2020'!T351</f>
        <v>0</v>
      </c>
      <c r="AB351" s="51"/>
      <c r="AC351" s="581"/>
      <c r="AD351" s="582">
        <v>0</v>
      </c>
      <c r="AE351" s="122"/>
      <c r="AF351" s="324"/>
      <c r="AG351" s="583">
        <f t="shared" si="183"/>
        <v>0</v>
      </c>
      <c r="AH351" s="584">
        <v>0</v>
      </c>
      <c r="AI351" s="51"/>
      <c r="AJ351" s="1497">
        <f t="shared" si="184"/>
        <v>5314</v>
      </c>
      <c r="AK351" s="951">
        <f t="shared" si="185"/>
        <v>0</v>
      </c>
      <c r="AL351" s="9">
        <v>0</v>
      </c>
      <c r="AM351" s="326">
        <f t="shared" si="178"/>
        <v>0</v>
      </c>
      <c r="AN351" s="970">
        <f t="shared" si="178"/>
        <v>0</v>
      </c>
      <c r="AO351" s="326">
        <f t="shared" si="191"/>
        <v>0</v>
      </c>
      <c r="AP351" s="30">
        <v>0</v>
      </c>
      <c r="AQ351" s="43"/>
      <c r="AR351" s="358">
        <f t="shared" si="173"/>
        <v>0</v>
      </c>
      <c r="AS351" s="359">
        <f t="shared" si="174"/>
        <v>0</v>
      </c>
      <c r="AT351" s="360">
        <f t="shared" si="175"/>
        <v>0</v>
      </c>
      <c r="AU351" s="43"/>
      <c r="AV351" s="2120">
        <f t="shared" si="194"/>
        <v>0</v>
      </c>
      <c r="AW351" s="119"/>
      <c r="AX351" s="2120">
        <f t="shared" si="195"/>
        <v>0</v>
      </c>
      <c r="AY351" s="43"/>
      <c r="AZ351" s="43"/>
      <c r="BA351" s="43"/>
      <c r="BB351" s="43"/>
      <c r="BC351" s="43"/>
      <c r="BD351" s="43"/>
    </row>
    <row r="352" spans="1:56" ht="15.75">
      <c r="A352" s="88">
        <v>5315</v>
      </c>
      <c r="B352" s="378" t="s">
        <v>1008</v>
      </c>
      <c r="C352" s="1033"/>
      <c r="D352" s="1033"/>
      <c r="E352" s="1033"/>
      <c r="F352" s="1033"/>
      <c r="G352" s="1033"/>
      <c r="H352" s="1033"/>
      <c r="I352" s="1033"/>
      <c r="J352" s="1033"/>
      <c r="K352" s="1033"/>
      <c r="L352" s="574"/>
      <c r="M352" s="51" t="s">
        <v>265</v>
      </c>
      <c r="N352" s="113">
        <f t="shared" si="168"/>
        <v>5315</v>
      </c>
      <c r="O352" s="581"/>
      <c r="P352" s="582">
        <v>0</v>
      </c>
      <c r="Q352" s="325"/>
      <c r="R352" s="324"/>
      <c r="S352" s="583">
        <f t="shared" si="182"/>
        <v>0</v>
      </c>
      <c r="T352" s="584">
        <v>0</v>
      </c>
      <c r="U352" s="51"/>
      <c r="V352" s="541">
        <f>+'NF-KSF-TRIAL-BAL-2020'!O352+'RA-TRIAL-BAL-2020'!O352+'DES-TRIAL-BAL-2020'!O352+'DMP-TRIAL-BAL-2020'!O352</f>
        <v>0</v>
      </c>
      <c r="W352" s="529">
        <f>+'NF-KSF-TRIAL-BAL-2020'!P352+'RA-TRIAL-BAL-2020'!P352+'DES-TRIAL-BAL-2020'!P352+'DMP-TRIAL-BAL-2020'!P352</f>
        <v>0</v>
      </c>
      <c r="X352" s="587">
        <f>+'NF-KSF-TRIAL-BAL-2020'!Q352+'RA-TRIAL-BAL-2020'!Q352+'DES-TRIAL-BAL-2020'!Q352+'DMP-TRIAL-BAL-2020'!Q352</f>
        <v>0</v>
      </c>
      <c r="Y352" s="586">
        <f>+'NF-KSF-TRIAL-BAL-2020'!R352+'RA-TRIAL-BAL-2020'!R352+'DES-TRIAL-BAL-2020'!R352+'DMP-TRIAL-BAL-2020'!R352</f>
        <v>0</v>
      </c>
      <c r="Z352" s="587">
        <f>+'NF-KSF-TRIAL-BAL-2020'!S352+'RA-TRIAL-BAL-2020'!S352+'DES-TRIAL-BAL-2020'!S352+'DMP-TRIAL-BAL-2020'!S352</f>
        <v>0</v>
      </c>
      <c r="AA352" s="588">
        <f>+'NF-KSF-TRIAL-BAL-2020'!T352+'RA-TRIAL-BAL-2020'!T352+'DES-TRIAL-BAL-2020'!T352+'DMP-TRIAL-BAL-2020'!T352</f>
        <v>0</v>
      </c>
      <c r="AB352" s="51"/>
      <c r="AC352" s="581"/>
      <c r="AD352" s="582">
        <v>0</v>
      </c>
      <c r="AE352" s="122"/>
      <c r="AF352" s="324"/>
      <c r="AG352" s="583">
        <f t="shared" si="183"/>
        <v>0</v>
      </c>
      <c r="AH352" s="584">
        <v>0</v>
      </c>
      <c r="AI352" s="51"/>
      <c r="AJ352" s="1497">
        <f t="shared" si="184"/>
        <v>5315</v>
      </c>
      <c r="AK352" s="951">
        <f t="shared" ref="AK352:AK366" si="196">+ROUND(+O352+V352+AC352,2)</f>
        <v>0</v>
      </c>
      <c r="AL352" s="9">
        <v>0</v>
      </c>
      <c r="AM352" s="326">
        <f t="shared" si="178"/>
        <v>0</v>
      </c>
      <c r="AN352" s="970">
        <f t="shared" si="178"/>
        <v>0</v>
      </c>
      <c r="AO352" s="326">
        <f t="shared" si="191"/>
        <v>0</v>
      </c>
      <c r="AP352" s="30">
        <v>0</v>
      </c>
      <c r="AQ352" s="43"/>
      <c r="AR352" s="358">
        <f t="shared" si="173"/>
        <v>0</v>
      </c>
      <c r="AS352" s="359">
        <f t="shared" si="174"/>
        <v>0</v>
      </c>
      <c r="AT352" s="360">
        <f t="shared" si="175"/>
        <v>0</v>
      </c>
      <c r="AU352" s="43"/>
      <c r="AV352" s="2120">
        <f t="shared" si="194"/>
        <v>0</v>
      </c>
      <c r="AW352" s="119"/>
      <c r="AX352" s="2120">
        <f t="shared" si="195"/>
        <v>0</v>
      </c>
      <c r="AY352" s="43"/>
      <c r="AZ352" s="43"/>
      <c r="BA352" s="43"/>
      <c r="BB352" s="43"/>
      <c r="BC352" s="43"/>
      <c r="BD352" s="43"/>
    </row>
    <row r="353" spans="1:56" ht="15.75">
      <c r="A353" s="88">
        <v>5316</v>
      </c>
      <c r="B353" s="378" t="s">
        <v>387</v>
      </c>
      <c r="C353" s="1033"/>
      <c r="D353" s="1033"/>
      <c r="E353" s="1033"/>
      <c r="F353" s="1033"/>
      <c r="G353" s="1033"/>
      <c r="H353" s="1033"/>
      <c r="I353" s="1033"/>
      <c r="J353" s="1033"/>
      <c r="K353" s="1033"/>
      <c r="L353" s="574"/>
      <c r="M353" s="51" t="s">
        <v>265</v>
      </c>
      <c r="N353" s="113">
        <f t="shared" si="168"/>
        <v>5316</v>
      </c>
      <c r="O353" s="581"/>
      <c r="P353" s="582">
        <v>0</v>
      </c>
      <c r="Q353" s="325"/>
      <c r="R353" s="324"/>
      <c r="S353" s="583">
        <f t="shared" si="182"/>
        <v>0</v>
      </c>
      <c r="T353" s="584">
        <v>0</v>
      </c>
      <c r="U353" s="51"/>
      <c r="V353" s="541">
        <f>+'NF-KSF-TRIAL-BAL-2020'!O353+'RA-TRIAL-BAL-2020'!O353+'DES-TRIAL-BAL-2020'!O353+'DMP-TRIAL-BAL-2020'!O353</f>
        <v>0</v>
      </c>
      <c r="W353" s="529">
        <f>+'NF-KSF-TRIAL-BAL-2020'!P353+'RA-TRIAL-BAL-2020'!P353+'DES-TRIAL-BAL-2020'!P353+'DMP-TRIAL-BAL-2020'!P353</f>
        <v>0</v>
      </c>
      <c r="X353" s="587">
        <f>+'NF-KSF-TRIAL-BAL-2020'!Q353+'RA-TRIAL-BAL-2020'!Q353+'DES-TRIAL-BAL-2020'!Q353+'DMP-TRIAL-BAL-2020'!Q353</f>
        <v>0</v>
      </c>
      <c r="Y353" s="586">
        <f>+'NF-KSF-TRIAL-BAL-2020'!R353+'RA-TRIAL-BAL-2020'!R353+'DES-TRIAL-BAL-2020'!R353+'DMP-TRIAL-BAL-2020'!R353</f>
        <v>0</v>
      </c>
      <c r="Z353" s="587">
        <f>+'NF-KSF-TRIAL-BAL-2020'!S353+'RA-TRIAL-BAL-2020'!S353+'DES-TRIAL-BAL-2020'!S353+'DMP-TRIAL-BAL-2020'!S353</f>
        <v>0</v>
      </c>
      <c r="AA353" s="588">
        <f>+'NF-KSF-TRIAL-BAL-2020'!T353+'RA-TRIAL-BAL-2020'!T353+'DES-TRIAL-BAL-2020'!T353+'DMP-TRIAL-BAL-2020'!T353</f>
        <v>0</v>
      </c>
      <c r="AB353" s="51"/>
      <c r="AC353" s="581"/>
      <c r="AD353" s="582">
        <v>0</v>
      </c>
      <c r="AE353" s="325"/>
      <c r="AF353" s="324"/>
      <c r="AG353" s="583">
        <f t="shared" si="183"/>
        <v>0</v>
      </c>
      <c r="AH353" s="584">
        <v>0</v>
      </c>
      <c r="AI353" s="51"/>
      <c r="AJ353" s="1497">
        <f t="shared" si="184"/>
        <v>5316</v>
      </c>
      <c r="AK353" s="951">
        <f t="shared" si="196"/>
        <v>0</v>
      </c>
      <c r="AL353" s="9">
        <v>0</v>
      </c>
      <c r="AM353" s="326">
        <f t="shared" si="178"/>
        <v>0</v>
      </c>
      <c r="AN353" s="970">
        <f t="shared" si="178"/>
        <v>0</v>
      </c>
      <c r="AO353" s="326">
        <f t="shared" si="191"/>
        <v>0</v>
      </c>
      <c r="AP353" s="30">
        <v>0</v>
      </c>
      <c r="AQ353" s="43"/>
      <c r="AR353" s="358">
        <f t="shared" si="173"/>
        <v>0</v>
      </c>
      <c r="AS353" s="359">
        <f t="shared" si="174"/>
        <v>0</v>
      </c>
      <c r="AT353" s="360">
        <f t="shared" si="175"/>
        <v>0</v>
      </c>
      <c r="AU353" s="43"/>
      <c r="AV353" s="2120">
        <f t="shared" si="194"/>
        <v>0</v>
      </c>
      <c r="AW353" s="119"/>
      <c r="AX353" s="2120">
        <f t="shared" si="195"/>
        <v>0</v>
      </c>
      <c r="AY353" s="43"/>
      <c r="AZ353" s="43"/>
      <c r="BA353" s="43"/>
      <c r="BB353" s="43"/>
      <c r="BC353" s="43"/>
      <c r="BD353" s="43"/>
    </row>
    <row r="354" spans="1:56" ht="15.75">
      <c r="A354" s="88">
        <v>5317</v>
      </c>
      <c r="B354" s="378" t="s">
        <v>784</v>
      </c>
      <c r="C354" s="1033"/>
      <c r="D354" s="1033"/>
      <c r="E354" s="1033"/>
      <c r="F354" s="1033"/>
      <c r="G354" s="1033"/>
      <c r="H354" s="1033"/>
      <c r="I354" s="1033"/>
      <c r="J354" s="1033"/>
      <c r="K354" s="1033"/>
      <c r="L354" s="574"/>
      <c r="M354" s="51" t="s">
        <v>265</v>
      </c>
      <c r="N354" s="113">
        <f t="shared" si="168"/>
        <v>5317</v>
      </c>
      <c r="O354" s="581"/>
      <c r="P354" s="582">
        <v>0</v>
      </c>
      <c r="Q354" s="325"/>
      <c r="R354" s="324"/>
      <c r="S354" s="583">
        <f t="shared" si="182"/>
        <v>0</v>
      </c>
      <c r="T354" s="584">
        <v>0</v>
      </c>
      <c r="U354" s="51"/>
      <c r="V354" s="541">
        <f>+'NF-KSF-TRIAL-BAL-2020'!O354+'RA-TRIAL-BAL-2020'!O354+'DES-TRIAL-BAL-2020'!O354+'DMP-TRIAL-BAL-2020'!O354</f>
        <v>0</v>
      </c>
      <c r="W354" s="529">
        <f>+'NF-KSF-TRIAL-BAL-2020'!P354+'RA-TRIAL-BAL-2020'!P354+'DES-TRIAL-BAL-2020'!P354+'DMP-TRIAL-BAL-2020'!P354</f>
        <v>0</v>
      </c>
      <c r="X354" s="587">
        <f>+'NF-KSF-TRIAL-BAL-2020'!Q354+'RA-TRIAL-BAL-2020'!Q354+'DES-TRIAL-BAL-2020'!Q354+'DMP-TRIAL-BAL-2020'!Q354</f>
        <v>0</v>
      </c>
      <c r="Y354" s="586">
        <f>+'NF-KSF-TRIAL-BAL-2020'!R354+'RA-TRIAL-BAL-2020'!R354+'DES-TRIAL-BAL-2020'!R354+'DMP-TRIAL-BAL-2020'!R354</f>
        <v>0</v>
      </c>
      <c r="Z354" s="587">
        <f>+'NF-KSF-TRIAL-BAL-2020'!S354+'RA-TRIAL-BAL-2020'!S354+'DES-TRIAL-BAL-2020'!S354+'DMP-TRIAL-BAL-2020'!S354</f>
        <v>0</v>
      </c>
      <c r="AA354" s="588">
        <f>+'NF-KSF-TRIAL-BAL-2020'!T354+'RA-TRIAL-BAL-2020'!T354+'DES-TRIAL-BAL-2020'!T354+'DMP-TRIAL-BAL-2020'!T354</f>
        <v>0</v>
      </c>
      <c r="AB354" s="51"/>
      <c r="AC354" s="581"/>
      <c r="AD354" s="582">
        <v>0</v>
      </c>
      <c r="AE354" s="325"/>
      <c r="AF354" s="324"/>
      <c r="AG354" s="583">
        <f t="shared" si="183"/>
        <v>0</v>
      </c>
      <c r="AH354" s="584">
        <v>0</v>
      </c>
      <c r="AI354" s="51"/>
      <c r="AJ354" s="1497">
        <f t="shared" si="184"/>
        <v>5317</v>
      </c>
      <c r="AK354" s="951">
        <f t="shared" si="196"/>
        <v>0</v>
      </c>
      <c r="AL354" s="9">
        <v>0</v>
      </c>
      <c r="AM354" s="326">
        <f t="shared" si="178"/>
        <v>0</v>
      </c>
      <c r="AN354" s="970">
        <f t="shared" si="178"/>
        <v>0</v>
      </c>
      <c r="AO354" s="326">
        <f t="shared" si="191"/>
        <v>0</v>
      </c>
      <c r="AP354" s="30">
        <v>0</v>
      </c>
      <c r="AQ354" s="43"/>
      <c r="AR354" s="358">
        <f t="shared" ref="AR354:AR382" si="197">+ROUND(+SUM(AK354-AL354)-SUM(O354-P354)-SUM(V354-W354)-SUM(AC354-AD354),2)</f>
        <v>0</v>
      </c>
      <c r="AS354" s="359">
        <f t="shared" ref="AS354:AS382" si="198">+ROUND(+SUM(AM354-AN354)-SUM(Q354-R354)-SUM(X354-Y354)-SUM(AE354-AF354),2)</f>
        <v>0</v>
      </c>
      <c r="AT354" s="360">
        <f t="shared" ref="AT354:AT382" si="199">+ROUND(+SUM(AO354-AP354)-SUM(S354-T354)-SUM(Z354-AA354)-SUM(AG354-AH354),2)</f>
        <v>0</v>
      </c>
      <c r="AU354" s="43"/>
      <c r="AV354" s="2120">
        <f t="shared" si="194"/>
        <v>0</v>
      </c>
      <c r="AW354" s="119"/>
      <c r="AX354" s="2120">
        <f t="shared" si="195"/>
        <v>0</v>
      </c>
      <c r="AY354" s="43"/>
      <c r="AZ354" s="43"/>
      <c r="BA354" s="43"/>
      <c r="BB354" s="43"/>
      <c r="BC354" s="43"/>
      <c r="BD354" s="43"/>
    </row>
    <row r="355" spans="1:56" ht="15.75">
      <c r="A355" s="88">
        <v>5318</v>
      </c>
      <c r="B355" s="378" t="s">
        <v>785</v>
      </c>
      <c r="C355" s="1033"/>
      <c r="D355" s="1033"/>
      <c r="E355" s="1033"/>
      <c r="F355" s="1033"/>
      <c r="G355" s="1033"/>
      <c r="H355" s="1033"/>
      <c r="I355" s="1033"/>
      <c r="J355" s="1033"/>
      <c r="K355" s="1033"/>
      <c r="L355" s="574"/>
      <c r="M355" s="51" t="s">
        <v>265</v>
      </c>
      <c r="N355" s="113">
        <f t="shared" si="168"/>
        <v>5318</v>
      </c>
      <c r="O355" s="581"/>
      <c r="P355" s="582">
        <v>0</v>
      </c>
      <c r="Q355" s="325"/>
      <c r="R355" s="324"/>
      <c r="S355" s="583">
        <f t="shared" si="182"/>
        <v>0</v>
      </c>
      <c r="T355" s="584">
        <v>0</v>
      </c>
      <c r="U355" s="51"/>
      <c r="V355" s="541">
        <f>+'NF-KSF-TRIAL-BAL-2020'!O355+'RA-TRIAL-BAL-2020'!O355+'DES-TRIAL-BAL-2020'!O355+'DMP-TRIAL-BAL-2020'!O355</f>
        <v>0</v>
      </c>
      <c r="W355" s="529">
        <f>+'NF-KSF-TRIAL-BAL-2020'!P355+'RA-TRIAL-BAL-2020'!P355+'DES-TRIAL-BAL-2020'!P355+'DMP-TRIAL-BAL-2020'!P355</f>
        <v>0</v>
      </c>
      <c r="X355" s="587">
        <f>+'NF-KSF-TRIAL-BAL-2020'!Q355+'RA-TRIAL-BAL-2020'!Q355+'DES-TRIAL-BAL-2020'!Q355+'DMP-TRIAL-BAL-2020'!Q355</f>
        <v>0</v>
      </c>
      <c r="Y355" s="586">
        <f>+'NF-KSF-TRIAL-BAL-2020'!R355+'RA-TRIAL-BAL-2020'!R355+'DES-TRIAL-BAL-2020'!R355+'DMP-TRIAL-BAL-2020'!R355</f>
        <v>0</v>
      </c>
      <c r="Z355" s="587">
        <f>+'NF-KSF-TRIAL-BAL-2020'!S355+'RA-TRIAL-BAL-2020'!S355+'DES-TRIAL-BAL-2020'!S355+'DMP-TRIAL-BAL-2020'!S355</f>
        <v>0</v>
      </c>
      <c r="AA355" s="588">
        <f>+'NF-KSF-TRIAL-BAL-2020'!T355+'RA-TRIAL-BAL-2020'!T355+'DES-TRIAL-BAL-2020'!T355+'DMP-TRIAL-BAL-2020'!T355</f>
        <v>0</v>
      </c>
      <c r="AB355" s="51"/>
      <c r="AC355" s="581"/>
      <c r="AD355" s="582">
        <v>0</v>
      </c>
      <c r="AE355" s="325"/>
      <c r="AF355" s="324"/>
      <c r="AG355" s="583">
        <f t="shared" si="183"/>
        <v>0</v>
      </c>
      <c r="AH355" s="584">
        <v>0</v>
      </c>
      <c r="AI355" s="51"/>
      <c r="AJ355" s="1497">
        <f t="shared" si="184"/>
        <v>5318</v>
      </c>
      <c r="AK355" s="951">
        <f t="shared" si="196"/>
        <v>0</v>
      </c>
      <c r="AL355" s="9">
        <v>0</v>
      </c>
      <c r="AM355" s="326">
        <f t="shared" si="178"/>
        <v>0</v>
      </c>
      <c r="AN355" s="970">
        <f t="shared" si="178"/>
        <v>0</v>
      </c>
      <c r="AO355" s="326">
        <f t="shared" si="191"/>
        <v>0</v>
      </c>
      <c r="AP355" s="30">
        <v>0</v>
      </c>
      <c r="AQ355" s="43"/>
      <c r="AR355" s="358">
        <f t="shared" si="197"/>
        <v>0</v>
      </c>
      <c r="AS355" s="359">
        <f t="shared" si="198"/>
        <v>0</v>
      </c>
      <c r="AT355" s="360">
        <f t="shared" si="199"/>
        <v>0</v>
      </c>
      <c r="AU355" s="43"/>
      <c r="AV355" s="2120">
        <f t="shared" si="194"/>
        <v>0</v>
      </c>
      <c r="AW355" s="119"/>
      <c r="AX355" s="2120">
        <f t="shared" si="195"/>
        <v>0</v>
      </c>
      <c r="AY355" s="43"/>
      <c r="AZ355" s="43"/>
      <c r="BA355" s="43"/>
      <c r="BB355" s="43"/>
      <c r="BC355" s="43"/>
      <c r="BD355" s="43"/>
    </row>
    <row r="356" spans="1:56" ht="15.75">
      <c r="A356" s="88">
        <v>5319</v>
      </c>
      <c r="B356" s="378" t="s">
        <v>786</v>
      </c>
      <c r="C356" s="1033"/>
      <c r="D356" s="1033"/>
      <c r="E356" s="1033"/>
      <c r="F356" s="1033"/>
      <c r="G356" s="1033"/>
      <c r="H356" s="1033"/>
      <c r="I356" s="1033"/>
      <c r="J356" s="1033"/>
      <c r="K356" s="1033"/>
      <c r="L356" s="574"/>
      <c r="M356" s="51" t="s">
        <v>265</v>
      </c>
      <c r="N356" s="113">
        <f t="shared" ref="N356:N382" si="200">+A356</f>
        <v>5319</v>
      </c>
      <c r="O356" s="581"/>
      <c r="P356" s="582">
        <v>0</v>
      </c>
      <c r="Q356" s="325"/>
      <c r="R356" s="324"/>
      <c r="S356" s="583">
        <f t="shared" si="182"/>
        <v>0</v>
      </c>
      <c r="T356" s="584">
        <v>0</v>
      </c>
      <c r="U356" s="51"/>
      <c r="V356" s="541">
        <f>+'NF-KSF-TRIAL-BAL-2020'!O356+'RA-TRIAL-BAL-2020'!O356+'DES-TRIAL-BAL-2020'!O356+'DMP-TRIAL-BAL-2020'!O356</f>
        <v>0</v>
      </c>
      <c r="W356" s="529">
        <f>+'NF-KSF-TRIAL-BAL-2020'!P356+'RA-TRIAL-BAL-2020'!P356+'DES-TRIAL-BAL-2020'!P356+'DMP-TRIAL-BAL-2020'!P356</f>
        <v>0</v>
      </c>
      <c r="X356" s="587">
        <f>+'NF-KSF-TRIAL-BAL-2020'!Q356+'RA-TRIAL-BAL-2020'!Q356+'DES-TRIAL-BAL-2020'!Q356+'DMP-TRIAL-BAL-2020'!Q356</f>
        <v>0</v>
      </c>
      <c r="Y356" s="586">
        <f>+'NF-KSF-TRIAL-BAL-2020'!R356+'RA-TRIAL-BAL-2020'!R356+'DES-TRIAL-BAL-2020'!R356+'DMP-TRIAL-BAL-2020'!R356</f>
        <v>0</v>
      </c>
      <c r="Z356" s="587">
        <f>+'NF-KSF-TRIAL-BAL-2020'!S356+'RA-TRIAL-BAL-2020'!S356+'DES-TRIAL-BAL-2020'!S356+'DMP-TRIAL-BAL-2020'!S356</f>
        <v>0</v>
      </c>
      <c r="AA356" s="588">
        <f>+'NF-KSF-TRIAL-BAL-2020'!T356+'RA-TRIAL-BAL-2020'!T356+'DES-TRIAL-BAL-2020'!T356+'DMP-TRIAL-BAL-2020'!T356</f>
        <v>0</v>
      </c>
      <c r="AB356" s="51"/>
      <c r="AC356" s="581"/>
      <c r="AD356" s="582">
        <v>0</v>
      </c>
      <c r="AE356" s="122"/>
      <c r="AF356" s="324"/>
      <c r="AG356" s="583">
        <f t="shared" si="183"/>
        <v>0</v>
      </c>
      <c r="AH356" s="584">
        <v>0</v>
      </c>
      <c r="AI356" s="51"/>
      <c r="AJ356" s="1497">
        <f t="shared" si="184"/>
        <v>5319</v>
      </c>
      <c r="AK356" s="951">
        <f t="shared" si="196"/>
        <v>0</v>
      </c>
      <c r="AL356" s="9">
        <v>0</v>
      </c>
      <c r="AM356" s="326">
        <f t="shared" si="178"/>
        <v>0</v>
      </c>
      <c r="AN356" s="970">
        <f t="shared" si="178"/>
        <v>0</v>
      </c>
      <c r="AO356" s="326">
        <f t="shared" si="191"/>
        <v>0</v>
      </c>
      <c r="AP356" s="30">
        <v>0</v>
      </c>
      <c r="AQ356" s="43"/>
      <c r="AR356" s="358">
        <f t="shared" si="197"/>
        <v>0</v>
      </c>
      <c r="AS356" s="359">
        <f t="shared" si="198"/>
        <v>0</v>
      </c>
      <c r="AT356" s="360">
        <f t="shared" si="199"/>
        <v>0</v>
      </c>
      <c r="AU356" s="43"/>
      <c r="AV356" s="2120">
        <f t="shared" si="194"/>
        <v>0</v>
      </c>
      <c r="AW356" s="119"/>
      <c r="AX356" s="2120">
        <f t="shared" si="195"/>
        <v>0</v>
      </c>
      <c r="AY356" s="43"/>
      <c r="AZ356" s="43"/>
      <c r="BA356" s="43"/>
      <c r="BB356" s="43"/>
      <c r="BC356" s="43"/>
      <c r="BD356" s="43"/>
    </row>
    <row r="357" spans="1:56" ht="15.75">
      <c r="A357" s="88">
        <v>5321</v>
      </c>
      <c r="B357" s="378" t="s">
        <v>388</v>
      </c>
      <c r="C357" s="1033"/>
      <c r="D357" s="1033"/>
      <c r="E357" s="1033"/>
      <c r="F357" s="1033"/>
      <c r="G357" s="1033"/>
      <c r="H357" s="1033"/>
      <c r="I357" s="1033"/>
      <c r="J357" s="1033"/>
      <c r="K357" s="1033"/>
      <c r="L357" s="574"/>
      <c r="M357" s="51" t="s">
        <v>265</v>
      </c>
      <c r="N357" s="113">
        <f t="shared" si="200"/>
        <v>5321</v>
      </c>
      <c r="O357" s="581"/>
      <c r="P357" s="582">
        <v>0</v>
      </c>
      <c r="Q357" s="325"/>
      <c r="R357" s="324"/>
      <c r="S357" s="583">
        <f t="shared" si="182"/>
        <v>0</v>
      </c>
      <c r="T357" s="584">
        <v>0</v>
      </c>
      <c r="U357" s="51"/>
      <c r="V357" s="541">
        <f>+'NF-KSF-TRIAL-BAL-2020'!O357+'RA-TRIAL-BAL-2020'!O357+'DES-TRIAL-BAL-2020'!O357+'DMP-TRIAL-BAL-2020'!O357</f>
        <v>0</v>
      </c>
      <c r="W357" s="529">
        <f>+'NF-KSF-TRIAL-BAL-2020'!P357+'RA-TRIAL-BAL-2020'!P357+'DES-TRIAL-BAL-2020'!P357+'DMP-TRIAL-BAL-2020'!P357</f>
        <v>0</v>
      </c>
      <c r="X357" s="587">
        <f>+'NF-KSF-TRIAL-BAL-2020'!Q357+'RA-TRIAL-BAL-2020'!Q357+'DES-TRIAL-BAL-2020'!Q357+'DMP-TRIAL-BAL-2020'!Q357</f>
        <v>0</v>
      </c>
      <c r="Y357" s="586">
        <f>+'NF-KSF-TRIAL-BAL-2020'!R357+'RA-TRIAL-BAL-2020'!R357+'DES-TRIAL-BAL-2020'!R357+'DMP-TRIAL-BAL-2020'!R357</f>
        <v>0</v>
      </c>
      <c r="Z357" s="587">
        <f>+'NF-KSF-TRIAL-BAL-2020'!S357+'RA-TRIAL-BAL-2020'!S357+'DES-TRIAL-BAL-2020'!S357+'DMP-TRIAL-BAL-2020'!S357</f>
        <v>0</v>
      </c>
      <c r="AA357" s="588">
        <f>+'NF-KSF-TRIAL-BAL-2020'!T357+'RA-TRIAL-BAL-2020'!T357+'DES-TRIAL-BAL-2020'!T357+'DMP-TRIAL-BAL-2020'!T357</f>
        <v>0</v>
      </c>
      <c r="AB357" s="51"/>
      <c r="AC357" s="581"/>
      <c r="AD357" s="582">
        <v>0</v>
      </c>
      <c r="AE357" s="122"/>
      <c r="AF357" s="324"/>
      <c r="AG357" s="583">
        <f t="shared" si="183"/>
        <v>0</v>
      </c>
      <c r="AH357" s="584">
        <v>0</v>
      </c>
      <c r="AI357" s="51"/>
      <c r="AJ357" s="1497">
        <f t="shared" ref="AJ357:AJ363" si="201">+N357</f>
        <v>5321</v>
      </c>
      <c r="AK357" s="951">
        <f t="shared" si="196"/>
        <v>0</v>
      </c>
      <c r="AL357" s="9">
        <v>0</v>
      </c>
      <c r="AM357" s="326">
        <f t="shared" si="178"/>
        <v>0</v>
      </c>
      <c r="AN357" s="970">
        <f t="shared" si="178"/>
        <v>0</v>
      </c>
      <c r="AO357" s="326">
        <f t="shared" si="191"/>
        <v>0</v>
      </c>
      <c r="AP357" s="30">
        <v>0</v>
      </c>
      <c r="AQ357" s="43"/>
      <c r="AR357" s="358">
        <f t="shared" si="197"/>
        <v>0</v>
      </c>
      <c r="AS357" s="359">
        <f t="shared" si="198"/>
        <v>0</v>
      </c>
      <c r="AT357" s="360">
        <f t="shared" si="199"/>
        <v>0</v>
      </c>
      <c r="AU357" s="43"/>
      <c r="AV357" s="2120">
        <f t="shared" si="194"/>
        <v>0</v>
      </c>
      <c r="AW357" s="119"/>
      <c r="AX357" s="2120">
        <f t="shared" si="195"/>
        <v>0</v>
      </c>
      <c r="AY357" s="43"/>
      <c r="AZ357" s="43"/>
      <c r="BA357" s="43"/>
      <c r="BB357" s="43"/>
      <c r="BC357" s="43"/>
      <c r="BD357" s="43"/>
    </row>
    <row r="358" spans="1:56" ht="15.75">
      <c r="A358" s="88">
        <v>5322</v>
      </c>
      <c r="B358" s="378" t="s">
        <v>389</v>
      </c>
      <c r="C358" s="1033"/>
      <c r="D358" s="1033"/>
      <c r="E358" s="1033"/>
      <c r="F358" s="1033"/>
      <c r="G358" s="1033"/>
      <c r="H358" s="1033"/>
      <c r="I358" s="1033"/>
      <c r="J358" s="1033"/>
      <c r="K358" s="1033"/>
      <c r="L358" s="574"/>
      <c r="M358" s="51" t="s">
        <v>265</v>
      </c>
      <c r="N358" s="113">
        <f t="shared" si="200"/>
        <v>5322</v>
      </c>
      <c r="O358" s="581"/>
      <c r="P358" s="582">
        <v>0</v>
      </c>
      <c r="Q358" s="325"/>
      <c r="R358" s="324"/>
      <c r="S358" s="583">
        <f t="shared" ref="S358:S363" si="202">+IF(ABS(+O358+Q358)&gt;=ABS(P358+R358),+O358-P358+Q358-R358,0)</f>
        <v>0</v>
      </c>
      <c r="T358" s="584">
        <v>0</v>
      </c>
      <c r="U358" s="51"/>
      <c r="V358" s="541">
        <f>+'NF-KSF-TRIAL-BAL-2020'!O358+'RA-TRIAL-BAL-2020'!O358+'DES-TRIAL-BAL-2020'!O358+'DMP-TRIAL-BAL-2020'!O358</f>
        <v>0</v>
      </c>
      <c r="W358" s="529">
        <f>+'NF-KSF-TRIAL-BAL-2020'!P358+'RA-TRIAL-BAL-2020'!P358+'DES-TRIAL-BAL-2020'!P358+'DMP-TRIAL-BAL-2020'!P358</f>
        <v>0</v>
      </c>
      <c r="X358" s="587">
        <f>+'NF-KSF-TRIAL-BAL-2020'!Q358+'RA-TRIAL-BAL-2020'!Q358+'DES-TRIAL-BAL-2020'!Q358+'DMP-TRIAL-BAL-2020'!Q358</f>
        <v>0</v>
      </c>
      <c r="Y358" s="586">
        <f>+'NF-KSF-TRIAL-BAL-2020'!R358+'RA-TRIAL-BAL-2020'!R358+'DES-TRIAL-BAL-2020'!R358+'DMP-TRIAL-BAL-2020'!R358</f>
        <v>0</v>
      </c>
      <c r="Z358" s="587">
        <f>+'NF-KSF-TRIAL-BAL-2020'!S358+'RA-TRIAL-BAL-2020'!S358+'DES-TRIAL-BAL-2020'!S358+'DMP-TRIAL-BAL-2020'!S358</f>
        <v>0</v>
      </c>
      <c r="AA358" s="588">
        <f>+'NF-KSF-TRIAL-BAL-2020'!T358+'RA-TRIAL-BAL-2020'!T358+'DES-TRIAL-BAL-2020'!T358+'DMP-TRIAL-BAL-2020'!T358</f>
        <v>0</v>
      </c>
      <c r="AB358" s="51"/>
      <c r="AC358" s="581"/>
      <c r="AD358" s="582">
        <v>0</v>
      </c>
      <c r="AE358" s="325"/>
      <c r="AF358" s="324"/>
      <c r="AG358" s="583">
        <f t="shared" ref="AG358:AG363" si="203">+IF(ABS(+AC358+AE358)&gt;=ABS(AD358+AF358),+AC358-AD358+AE358-AF358,0)</f>
        <v>0</v>
      </c>
      <c r="AH358" s="584">
        <v>0</v>
      </c>
      <c r="AI358" s="51"/>
      <c r="AJ358" s="1497">
        <f t="shared" si="201"/>
        <v>5322</v>
      </c>
      <c r="AK358" s="951">
        <f t="shared" si="196"/>
        <v>0</v>
      </c>
      <c r="AL358" s="9">
        <v>0</v>
      </c>
      <c r="AM358" s="326">
        <f t="shared" si="178"/>
        <v>0</v>
      </c>
      <c r="AN358" s="970">
        <f t="shared" si="178"/>
        <v>0</v>
      </c>
      <c r="AO358" s="326">
        <f t="shared" si="191"/>
        <v>0</v>
      </c>
      <c r="AP358" s="30">
        <v>0</v>
      </c>
      <c r="AQ358" s="43"/>
      <c r="AR358" s="358">
        <f t="shared" si="197"/>
        <v>0</v>
      </c>
      <c r="AS358" s="359">
        <f t="shared" si="198"/>
        <v>0</v>
      </c>
      <c r="AT358" s="360">
        <f t="shared" si="199"/>
        <v>0</v>
      </c>
      <c r="AU358" s="43"/>
      <c r="AV358" s="2120">
        <f t="shared" si="194"/>
        <v>0</v>
      </c>
      <c r="AW358" s="119"/>
      <c r="AX358" s="2120">
        <f t="shared" si="195"/>
        <v>0</v>
      </c>
      <c r="AY358" s="43"/>
      <c r="AZ358" s="43"/>
      <c r="BA358" s="43"/>
      <c r="BB358" s="43"/>
      <c r="BC358" s="43"/>
      <c r="BD358" s="43"/>
    </row>
    <row r="359" spans="1:56" ht="15.75">
      <c r="A359" s="88">
        <v>5323</v>
      </c>
      <c r="B359" s="378" t="s">
        <v>390</v>
      </c>
      <c r="C359" s="1033"/>
      <c r="D359" s="1033"/>
      <c r="E359" s="1033"/>
      <c r="F359" s="1033"/>
      <c r="G359" s="1033"/>
      <c r="H359" s="1033"/>
      <c r="I359" s="1033"/>
      <c r="J359" s="1033"/>
      <c r="K359" s="1033"/>
      <c r="L359" s="574"/>
      <c r="M359" s="51" t="s">
        <v>265</v>
      </c>
      <c r="N359" s="113">
        <f t="shared" si="200"/>
        <v>5323</v>
      </c>
      <c r="O359" s="581"/>
      <c r="P359" s="582">
        <v>0</v>
      </c>
      <c r="Q359" s="325"/>
      <c r="R359" s="324"/>
      <c r="S359" s="583">
        <f t="shared" si="202"/>
        <v>0</v>
      </c>
      <c r="T359" s="584">
        <v>0</v>
      </c>
      <c r="U359" s="51"/>
      <c r="V359" s="541">
        <f>+'NF-KSF-TRIAL-BAL-2020'!O359+'RA-TRIAL-BAL-2020'!O359+'DES-TRIAL-BAL-2020'!O359+'DMP-TRIAL-BAL-2020'!O359</f>
        <v>0</v>
      </c>
      <c r="W359" s="529">
        <f>+'NF-KSF-TRIAL-BAL-2020'!P359+'RA-TRIAL-BAL-2020'!P359+'DES-TRIAL-BAL-2020'!P359+'DMP-TRIAL-BAL-2020'!P359</f>
        <v>0</v>
      </c>
      <c r="X359" s="587">
        <f>+'NF-KSF-TRIAL-BAL-2020'!Q359+'RA-TRIAL-BAL-2020'!Q359+'DES-TRIAL-BAL-2020'!Q359+'DMP-TRIAL-BAL-2020'!Q359</f>
        <v>0</v>
      </c>
      <c r="Y359" s="586">
        <f>+'NF-KSF-TRIAL-BAL-2020'!R359+'RA-TRIAL-BAL-2020'!R359+'DES-TRIAL-BAL-2020'!R359+'DMP-TRIAL-BAL-2020'!R359</f>
        <v>0</v>
      </c>
      <c r="Z359" s="587">
        <f>+'NF-KSF-TRIAL-BAL-2020'!S359+'RA-TRIAL-BAL-2020'!S359+'DES-TRIAL-BAL-2020'!S359+'DMP-TRIAL-BAL-2020'!S359</f>
        <v>0</v>
      </c>
      <c r="AA359" s="588">
        <f>+'NF-KSF-TRIAL-BAL-2020'!T359+'RA-TRIAL-BAL-2020'!T359+'DES-TRIAL-BAL-2020'!T359+'DMP-TRIAL-BAL-2020'!T359</f>
        <v>0</v>
      </c>
      <c r="AB359" s="51"/>
      <c r="AC359" s="581"/>
      <c r="AD359" s="582">
        <v>0</v>
      </c>
      <c r="AE359" s="325"/>
      <c r="AF359" s="324"/>
      <c r="AG359" s="583">
        <f t="shared" si="203"/>
        <v>0</v>
      </c>
      <c r="AH359" s="584">
        <v>0</v>
      </c>
      <c r="AI359" s="51"/>
      <c r="AJ359" s="1497">
        <f t="shared" si="201"/>
        <v>5323</v>
      </c>
      <c r="AK359" s="951">
        <f t="shared" si="196"/>
        <v>0</v>
      </c>
      <c r="AL359" s="9">
        <v>0</v>
      </c>
      <c r="AM359" s="326">
        <f t="shared" si="178"/>
        <v>0</v>
      </c>
      <c r="AN359" s="970">
        <f t="shared" si="178"/>
        <v>0</v>
      </c>
      <c r="AO359" s="326">
        <f t="shared" si="191"/>
        <v>0</v>
      </c>
      <c r="AP359" s="30">
        <v>0</v>
      </c>
      <c r="AQ359" s="43"/>
      <c r="AR359" s="358">
        <f t="shared" si="197"/>
        <v>0</v>
      </c>
      <c r="AS359" s="359">
        <f t="shared" si="198"/>
        <v>0</v>
      </c>
      <c r="AT359" s="360">
        <f t="shared" si="199"/>
        <v>0</v>
      </c>
      <c r="AU359" s="43"/>
      <c r="AV359" s="2120">
        <f t="shared" si="194"/>
        <v>0</v>
      </c>
      <c r="AW359" s="119"/>
      <c r="AX359" s="2120">
        <f t="shared" si="195"/>
        <v>0</v>
      </c>
      <c r="AY359" s="43"/>
      <c r="AZ359" s="43"/>
      <c r="BA359" s="43"/>
      <c r="BB359" s="43"/>
      <c r="BC359" s="43"/>
      <c r="BD359" s="43"/>
    </row>
    <row r="360" spans="1:56" ht="15.75">
      <c r="A360" s="88">
        <v>5381</v>
      </c>
      <c r="B360" s="378" t="s">
        <v>391</v>
      </c>
      <c r="C360" s="1033"/>
      <c r="D360" s="1033"/>
      <c r="E360" s="1033"/>
      <c r="F360" s="1033"/>
      <c r="G360" s="1033"/>
      <c r="H360" s="1033"/>
      <c r="I360" s="1033"/>
      <c r="J360" s="1033"/>
      <c r="K360" s="1033"/>
      <c r="L360" s="574"/>
      <c r="M360" s="51" t="s">
        <v>265</v>
      </c>
      <c r="N360" s="113">
        <f t="shared" si="200"/>
        <v>5381</v>
      </c>
      <c r="O360" s="581"/>
      <c r="P360" s="582">
        <v>0</v>
      </c>
      <c r="Q360" s="325"/>
      <c r="R360" s="324"/>
      <c r="S360" s="583">
        <f t="shared" si="202"/>
        <v>0</v>
      </c>
      <c r="T360" s="584">
        <v>0</v>
      </c>
      <c r="U360" s="51"/>
      <c r="V360" s="541">
        <f>+'NF-KSF-TRIAL-BAL-2020'!O360+'RA-TRIAL-BAL-2020'!O360+'DES-TRIAL-BAL-2020'!O360+'DMP-TRIAL-BAL-2020'!O360</f>
        <v>0</v>
      </c>
      <c r="W360" s="529">
        <f>+'NF-KSF-TRIAL-BAL-2020'!P360+'RA-TRIAL-BAL-2020'!P360+'DES-TRIAL-BAL-2020'!P360+'DMP-TRIAL-BAL-2020'!P360</f>
        <v>0</v>
      </c>
      <c r="X360" s="587">
        <f>+'NF-KSF-TRIAL-BAL-2020'!Q360+'RA-TRIAL-BAL-2020'!Q360+'DES-TRIAL-BAL-2020'!Q360+'DMP-TRIAL-BAL-2020'!Q360</f>
        <v>0</v>
      </c>
      <c r="Y360" s="586">
        <f>+'NF-KSF-TRIAL-BAL-2020'!R360+'RA-TRIAL-BAL-2020'!R360+'DES-TRIAL-BAL-2020'!R360+'DMP-TRIAL-BAL-2020'!R360</f>
        <v>0</v>
      </c>
      <c r="Z360" s="587">
        <f>+'NF-KSF-TRIAL-BAL-2020'!S360+'RA-TRIAL-BAL-2020'!S360+'DES-TRIAL-BAL-2020'!S360+'DMP-TRIAL-BAL-2020'!S360</f>
        <v>0</v>
      </c>
      <c r="AA360" s="588">
        <f>+'NF-KSF-TRIAL-BAL-2020'!T360+'RA-TRIAL-BAL-2020'!T360+'DES-TRIAL-BAL-2020'!T360+'DMP-TRIAL-BAL-2020'!T360</f>
        <v>0</v>
      </c>
      <c r="AB360" s="51"/>
      <c r="AC360" s="581"/>
      <c r="AD360" s="582">
        <v>0</v>
      </c>
      <c r="AE360" s="325"/>
      <c r="AF360" s="324"/>
      <c r="AG360" s="583">
        <f t="shared" si="203"/>
        <v>0</v>
      </c>
      <c r="AH360" s="584">
        <v>0</v>
      </c>
      <c r="AI360" s="51"/>
      <c r="AJ360" s="1497">
        <f t="shared" si="201"/>
        <v>5381</v>
      </c>
      <c r="AK360" s="951">
        <f t="shared" si="196"/>
        <v>0</v>
      </c>
      <c r="AL360" s="9">
        <v>0</v>
      </c>
      <c r="AM360" s="326">
        <f t="shared" ref="AM360:AN363" si="204">+ROUND(+Q360+X360+AE360,2)</f>
        <v>0</v>
      </c>
      <c r="AN360" s="970">
        <f t="shared" si="204"/>
        <v>0</v>
      </c>
      <c r="AO360" s="326">
        <f t="shared" si="191"/>
        <v>0</v>
      </c>
      <c r="AP360" s="30">
        <v>0</v>
      </c>
      <c r="AQ360" s="43"/>
      <c r="AR360" s="358">
        <f>+ROUND(+SUM(AK360-AL360)-SUM(O360-P360)-SUM(V360-W360)-SUM(AC360-AD360),2)</f>
        <v>0</v>
      </c>
      <c r="AS360" s="359">
        <f>+ROUND(+SUM(AM360-AN360)-SUM(Q360-R360)-SUM(X360-Y360)-SUM(AE360-AF360),2)</f>
        <v>0</v>
      </c>
      <c r="AT360" s="360">
        <f>+ROUND(+SUM(AO360-AP360)-SUM(S360-T360)-SUM(Z360-AA360)-SUM(AG360-AH360),2)</f>
        <v>0</v>
      </c>
      <c r="AU360" s="43"/>
      <c r="AV360" s="2120">
        <f t="shared" si="194"/>
        <v>0</v>
      </c>
      <c r="AW360" s="119"/>
      <c r="AX360" s="2120">
        <f t="shared" si="195"/>
        <v>0</v>
      </c>
      <c r="AY360" s="43"/>
      <c r="AZ360" s="43"/>
      <c r="BA360" s="43"/>
      <c r="BB360" s="43"/>
      <c r="BC360" s="43"/>
      <c r="BD360" s="43"/>
    </row>
    <row r="361" spans="1:56" ht="15.75">
      <c r="A361" s="88">
        <v>5382</v>
      </c>
      <c r="B361" s="378" t="s">
        <v>303</v>
      </c>
      <c r="C361" s="1033"/>
      <c r="D361" s="1033"/>
      <c r="E361" s="1033"/>
      <c r="F361" s="1033"/>
      <c r="G361" s="1033"/>
      <c r="H361" s="1033"/>
      <c r="I361" s="1033"/>
      <c r="J361" s="1033"/>
      <c r="K361" s="1033"/>
      <c r="L361" s="574"/>
      <c r="M361" s="51" t="s">
        <v>265</v>
      </c>
      <c r="N361" s="113">
        <f t="shared" si="200"/>
        <v>5382</v>
      </c>
      <c r="O361" s="581"/>
      <c r="P361" s="582">
        <v>0</v>
      </c>
      <c r="Q361" s="325"/>
      <c r="R361" s="324"/>
      <c r="S361" s="583">
        <f t="shared" si="202"/>
        <v>0</v>
      </c>
      <c r="T361" s="584">
        <v>0</v>
      </c>
      <c r="U361" s="51"/>
      <c r="V361" s="541">
        <f>+'NF-KSF-TRIAL-BAL-2020'!O361+'RA-TRIAL-BAL-2020'!O361+'DES-TRIAL-BAL-2020'!O361+'DMP-TRIAL-BAL-2020'!O361</f>
        <v>0</v>
      </c>
      <c r="W361" s="529">
        <f>+'NF-KSF-TRIAL-BAL-2020'!P361+'RA-TRIAL-BAL-2020'!P361+'DES-TRIAL-BAL-2020'!P361+'DMP-TRIAL-BAL-2020'!P361</f>
        <v>0</v>
      </c>
      <c r="X361" s="587">
        <f>+'NF-KSF-TRIAL-BAL-2020'!Q361+'RA-TRIAL-BAL-2020'!Q361+'DES-TRIAL-BAL-2020'!Q361+'DMP-TRIAL-BAL-2020'!Q361</f>
        <v>0</v>
      </c>
      <c r="Y361" s="586">
        <f>+'NF-KSF-TRIAL-BAL-2020'!R361+'RA-TRIAL-BAL-2020'!R361+'DES-TRIAL-BAL-2020'!R361+'DMP-TRIAL-BAL-2020'!R361</f>
        <v>0</v>
      </c>
      <c r="Z361" s="587">
        <f>+'NF-KSF-TRIAL-BAL-2020'!S361+'RA-TRIAL-BAL-2020'!S361+'DES-TRIAL-BAL-2020'!S361+'DMP-TRIAL-BAL-2020'!S361</f>
        <v>0</v>
      </c>
      <c r="AA361" s="588">
        <f>+'NF-KSF-TRIAL-BAL-2020'!T361+'RA-TRIAL-BAL-2020'!T361+'DES-TRIAL-BAL-2020'!T361+'DMP-TRIAL-BAL-2020'!T361</f>
        <v>0</v>
      </c>
      <c r="AB361" s="51"/>
      <c r="AC361" s="581"/>
      <c r="AD361" s="582">
        <v>0</v>
      </c>
      <c r="AE361" s="325"/>
      <c r="AF361" s="324"/>
      <c r="AG361" s="583">
        <f t="shared" si="203"/>
        <v>0</v>
      </c>
      <c r="AH361" s="584">
        <v>0</v>
      </c>
      <c r="AI361" s="51"/>
      <c r="AJ361" s="1497">
        <f t="shared" si="201"/>
        <v>5382</v>
      </c>
      <c r="AK361" s="951">
        <f t="shared" si="196"/>
        <v>0</v>
      </c>
      <c r="AL361" s="9">
        <v>0</v>
      </c>
      <c r="AM361" s="326">
        <f t="shared" si="204"/>
        <v>0</v>
      </c>
      <c r="AN361" s="970">
        <f t="shared" si="204"/>
        <v>0</v>
      </c>
      <c r="AO361" s="326">
        <f t="shared" si="191"/>
        <v>0</v>
      </c>
      <c r="AP361" s="30">
        <v>0</v>
      </c>
      <c r="AQ361" s="43"/>
      <c r="AR361" s="358">
        <f>+ROUND(+SUM(AK361-AL361)-SUM(O361-P361)-SUM(V361-W361)-SUM(AC361-AD361),2)</f>
        <v>0</v>
      </c>
      <c r="AS361" s="359">
        <f>+ROUND(+SUM(AM361-AN361)-SUM(Q361-R361)-SUM(X361-Y361)-SUM(AE361-AF361),2)</f>
        <v>0</v>
      </c>
      <c r="AT361" s="360">
        <f>+ROUND(+SUM(AO361-AP361)-SUM(S361-T361)-SUM(Z361-AA361)-SUM(AG361-AH361),2)</f>
        <v>0</v>
      </c>
      <c r="AU361" s="43"/>
      <c r="AV361" s="2120">
        <f t="shared" si="194"/>
        <v>0</v>
      </c>
      <c r="AW361" s="119"/>
      <c r="AX361" s="2120">
        <f t="shared" si="195"/>
        <v>0</v>
      </c>
      <c r="AY361" s="43"/>
      <c r="AZ361" s="43"/>
      <c r="BA361" s="43"/>
      <c r="BB361" s="43"/>
      <c r="BC361" s="43"/>
      <c r="BD361" s="43"/>
    </row>
    <row r="362" spans="1:56" ht="15.75">
      <c r="A362" s="88">
        <v>5383</v>
      </c>
      <c r="B362" s="378" t="s">
        <v>304</v>
      </c>
      <c r="C362" s="1033"/>
      <c r="D362" s="1033"/>
      <c r="E362" s="1033"/>
      <c r="F362" s="1033"/>
      <c r="G362" s="1033"/>
      <c r="H362" s="1033"/>
      <c r="I362" s="1033"/>
      <c r="J362" s="1033"/>
      <c r="K362" s="1033"/>
      <c r="L362" s="574"/>
      <c r="M362" s="51" t="s">
        <v>265</v>
      </c>
      <c r="N362" s="113">
        <f t="shared" si="200"/>
        <v>5383</v>
      </c>
      <c r="O362" s="581"/>
      <c r="P362" s="582">
        <v>0</v>
      </c>
      <c r="Q362" s="325"/>
      <c r="R362" s="324"/>
      <c r="S362" s="583">
        <f t="shared" si="202"/>
        <v>0</v>
      </c>
      <c r="T362" s="584">
        <v>0</v>
      </c>
      <c r="U362" s="51"/>
      <c r="V362" s="541">
        <f>+'NF-KSF-TRIAL-BAL-2020'!O362+'RA-TRIAL-BAL-2020'!O362+'DES-TRIAL-BAL-2020'!O362+'DMP-TRIAL-BAL-2020'!O362</f>
        <v>0</v>
      </c>
      <c r="W362" s="529">
        <f>+'NF-KSF-TRIAL-BAL-2020'!P362+'RA-TRIAL-BAL-2020'!P362+'DES-TRIAL-BAL-2020'!P362+'DMP-TRIAL-BAL-2020'!P362</f>
        <v>0</v>
      </c>
      <c r="X362" s="587">
        <f>+'NF-KSF-TRIAL-BAL-2020'!Q362+'RA-TRIAL-BAL-2020'!Q362+'DES-TRIAL-BAL-2020'!Q362+'DMP-TRIAL-BAL-2020'!Q362</f>
        <v>0</v>
      </c>
      <c r="Y362" s="586">
        <f>+'NF-KSF-TRIAL-BAL-2020'!R362+'RA-TRIAL-BAL-2020'!R362+'DES-TRIAL-BAL-2020'!R362+'DMP-TRIAL-BAL-2020'!R362</f>
        <v>0</v>
      </c>
      <c r="Z362" s="587">
        <f>+'NF-KSF-TRIAL-BAL-2020'!S362+'RA-TRIAL-BAL-2020'!S362+'DES-TRIAL-BAL-2020'!S362+'DMP-TRIAL-BAL-2020'!S362</f>
        <v>0</v>
      </c>
      <c r="AA362" s="588">
        <f>+'NF-KSF-TRIAL-BAL-2020'!T362+'RA-TRIAL-BAL-2020'!T362+'DES-TRIAL-BAL-2020'!T362+'DMP-TRIAL-BAL-2020'!T362</f>
        <v>0</v>
      </c>
      <c r="AB362" s="51"/>
      <c r="AC362" s="581"/>
      <c r="AD362" s="582">
        <v>0</v>
      </c>
      <c r="AE362" s="122"/>
      <c r="AF362" s="324"/>
      <c r="AG362" s="583">
        <f t="shared" si="203"/>
        <v>0</v>
      </c>
      <c r="AH362" s="584">
        <v>0</v>
      </c>
      <c r="AI362" s="51"/>
      <c r="AJ362" s="1497">
        <f t="shared" si="201"/>
        <v>5383</v>
      </c>
      <c r="AK362" s="951">
        <f t="shared" si="196"/>
        <v>0</v>
      </c>
      <c r="AL362" s="9">
        <v>0</v>
      </c>
      <c r="AM362" s="326">
        <f t="shared" si="204"/>
        <v>0</v>
      </c>
      <c r="AN362" s="970">
        <f t="shared" si="204"/>
        <v>0</v>
      </c>
      <c r="AO362" s="326">
        <f t="shared" si="191"/>
        <v>0</v>
      </c>
      <c r="AP362" s="30">
        <v>0</v>
      </c>
      <c r="AQ362" s="43"/>
      <c r="AR362" s="358">
        <f>+ROUND(+SUM(AK362-AL362)-SUM(O362-P362)-SUM(V362-W362)-SUM(AC362-AD362),2)</f>
        <v>0</v>
      </c>
      <c r="AS362" s="359">
        <f>+ROUND(+SUM(AM362-AN362)-SUM(Q362-R362)-SUM(X362-Y362)-SUM(AE362-AF362),2)</f>
        <v>0</v>
      </c>
      <c r="AT362" s="360">
        <f>+ROUND(+SUM(AO362-AP362)-SUM(S362-T362)-SUM(Z362-AA362)-SUM(AG362-AH362),2)</f>
        <v>0</v>
      </c>
      <c r="AU362" s="43"/>
      <c r="AV362" s="2120">
        <f t="shared" si="194"/>
        <v>0</v>
      </c>
      <c r="AW362" s="119"/>
      <c r="AX362" s="2120">
        <f t="shared" si="195"/>
        <v>0</v>
      </c>
      <c r="AY362" s="43"/>
      <c r="AZ362" s="43"/>
      <c r="BA362" s="43"/>
      <c r="BB362" s="43"/>
      <c r="BC362" s="43"/>
      <c r="BD362" s="43"/>
    </row>
    <row r="363" spans="1:56" ht="15.75">
      <c r="A363" s="88">
        <v>5384</v>
      </c>
      <c r="B363" s="378" t="s">
        <v>305</v>
      </c>
      <c r="C363" s="1033"/>
      <c r="D363" s="1033"/>
      <c r="E363" s="1033"/>
      <c r="F363" s="1033"/>
      <c r="G363" s="1033"/>
      <c r="H363" s="1033"/>
      <c r="I363" s="1033"/>
      <c r="J363" s="1033"/>
      <c r="K363" s="1033"/>
      <c r="L363" s="574"/>
      <c r="M363" s="51" t="s">
        <v>265</v>
      </c>
      <c r="N363" s="113">
        <f t="shared" si="200"/>
        <v>5384</v>
      </c>
      <c r="O363" s="581"/>
      <c r="P363" s="582">
        <v>0</v>
      </c>
      <c r="Q363" s="325"/>
      <c r="R363" s="324"/>
      <c r="S363" s="583">
        <f t="shared" si="202"/>
        <v>0</v>
      </c>
      <c r="T363" s="584">
        <v>0</v>
      </c>
      <c r="U363" s="51"/>
      <c r="V363" s="541">
        <f>+'NF-KSF-TRIAL-BAL-2020'!O363+'RA-TRIAL-BAL-2020'!O363+'DES-TRIAL-BAL-2020'!O363+'DMP-TRIAL-BAL-2020'!O363</f>
        <v>0</v>
      </c>
      <c r="W363" s="529">
        <f>+'NF-KSF-TRIAL-BAL-2020'!P363+'RA-TRIAL-BAL-2020'!P363+'DES-TRIAL-BAL-2020'!P363+'DMP-TRIAL-BAL-2020'!P363</f>
        <v>0</v>
      </c>
      <c r="X363" s="587">
        <f>+'NF-KSF-TRIAL-BAL-2020'!Q363+'RA-TRIAL-BAL-2020'!Q363+'DES-TRIAL-BAL-2020'!Q363+'DMP-TRIAL-BAL-2020'!Q363</f>
        <v>0</v>
      </c>
      <c r="Y363" s="586">
        <f>+'NF-KSF-TRIAL-BAL-2020'!R363+'RA-TRIAL-BAL-2020'!R363+'DES-TRIAL-BAL-2020'!R363+'DMP-TRIAL-BAL-2020'!R363</f>
        <v>0</v>
      </c>
      <c r="Z363" s="587">
        <f>+'NF-KSF-TRIAL-BAL-2020'!S363+'RA-TRIAL-BAL-2020'!S363+'DES-TRIAL-BAL-2020'!S363+'DMP-TRIAL-BAL-2020'!S363</f>
        <v>0</v>
      </c>
      <c r="AA363" s="588">
        <f>+'NF-KSF-TRIAL-BAL-2020'!T363+'RA-TRIAL-BAL-2020'!T363+'DES-TRIAL-BAL-2020'!T363+'DMP-TRIAL-BAL-2020'!T363</f>
        <v>0</v>
      </c>
      <c r="AB363" s="51"/>
      <c r="AC363" s="581"/>
      <c r="AD363" s="582">
        <v>0</v>
      </c>
      <c r="AE363" s="122"/>
      <c r="AF363" s="324"/>
      <c r="AG363" s="583">
        <f t="shared" si="203"/>
        <v>0</v>
      </c>
      <c r="AH363" s="584">
        <v>0</v>
      </c>
      <c r="AI363" s="51"/>
      <c r="AJ363" s="1497">
        <f t="shared" si="201"/>
        <v>5384</v>
      </c>
      <c r="AK363" s="951">
        <f t="shared" si="196"/>
        <v>0</v>
      </c>
      <c r="AL363" s="9">
        <v>0</v>
      </c>
      <c r="AM363" s="326">
        <f t="shared" si="204"/>
        <v>0</v>
      </c>
      <c r="AN363" s="970">
        <f t="shared" si="204"/>
        <v>0</v>
      </c>
      <c r="AO363" s="326">
        <f t="shared" si="191"/>
        <v>0</v>
      </c>
      <c r="AP363" s="30">
        <v>0</v>
      </c>
      <c r="AQ363" s="43"/>
      <c r="AR363" s="358">
        <f>+ROUND(+SUM(AK363-AL363)-SUM(O363-P363)-SUM(V363-W363)-SUM(AC363-AD363),2)</f>
        <v>0</v>
      </c>
      <c r="AS363" s="359">
        <f>+ROUND(+SUM(AM363-AN363)-SUM(Q363-R363)-SUM(X363-Y363)-SUM(AE363-AF363),2)</f>
        <v>0</v>
      </c>
      <c r="AT363" s="360">
        <f>+ROUND(+SUM(AO363-AP363)-SUM(S363-T363)-SUM(Z363-AA363)-SUM(AG363-AH363),2)</f>
        <v>0</v>
      </c>
      <c r="AU363" s="43"/>
      <c r="AV363" s="2120">
        <f t="shared" si="194"/>
        <v>0</v>
      </c>
      <c r="AW363" s="119"/>
      <c r="AX363" s="2120">
        <f t="shared" si="195"/>
        <v>0</v>
      </c>
      <c r="AY363" s="43"/>
      <c r="AZ363" s="43"/>
      <c r="BA363" s="43"/>
      <c r="BB363" s="43"/>
      <c r="BC363" s="43"/>
      <c r="BD363" s="43"/>
    </row>
    <row r="364" spans="1:56" ht="15.75">
      <c r="A364" s="88">
        <v>5391</v>
      </c>
      <c r="B364" s="378" t="s">
        <v>306</v>
      </c>
      <c r="C364" s="1033"/>
      <c r="D364" s="1033"/>
      <c r="E364" s="1033"/>
      <c r="F364" s="1033"/>
      <c r="G364" s="1033"/>
      <c r="H364" s="1033"/>
      <c r="I364" s="1033"/>
      <c r="J364" s="1033"/>
      <c r="K364" s="1033"/>
      <c r="L364" s="574"/>
      <c r="M364" s="51" t="s">
        <v>265</v>
      </c>
      <c r="N364" s="113">
        <f t="shared" si="200"/>
        <v>5391</v>
      </c>
      <c r="O364" s="596">
        <v>0</v>
      </c>
      <c r="P364" s="576"/>
      <c r="Q364" s="325"/>
      <c r="R364" s="324"/>
      <c r="S364" s="2167">
        <v>0</v>
      </c>
      <c r="T364" s="580">
        <f>+IF(ABS(+O364+Q364)&lt;=ABS(P364+R364),-O364+P364-Q364+R364,0)</f>
        <v>0</v>
      </c>
      <c r="U364" s="51"/>
      <c r="V364" s="541">
        <f>+'NF-KSF-TRIAL-BAL-2020'!O364+'RA-TRIAL-BAL-2020'!O364+'DES-TRIAL-BAL-2020'!O364+'DMP-TRIAL-BAL-2020'!O364</f>
        <v>0</v>
      </c>
      <c r="W364" s="529">
        <f>+'NF-KSF-TRIAL-BAL-2020'!P364+'RA-TRIAL-BAL-2020'!P364+'DES-TRIAL-BAL-2020'!P364+'DMP-TRIAL-BAL-2020'!P364</f>
        <v>0</v>
      </c>
      <c r="X364" s="587">
        <f>+'NF-KSF-TRIAL-BAL-2020'!Q364+'RA-TRIAL-BAL-2020'!Q364+'DES-TRIAL-BAL-2020'!Q364+'DMP-TRIAL-BAL-2020'!Q364</f>
        <v>0</v>
      </c>
      <c r="Y364" s="586">
        <f>+'NF-KSF-TRIAL-BAL-2020'!R364+'RA-TRIAL-BAL-2020'!R364+'DES-TRIAL-BAL-2020'!R364+'DMP-TRIAL-BAL-2020'!R364</f>
        <v>0</v>
      </c>
      <c r="Z364" s="587">
        <f>+'NF-KSF-TRIAL-BAL-2020'!S364+'RA-TRIAL-BAL-2020'!S364+'DES-TRIAL-BAL-2020'!S364+'DMP-TRIAL-BAL-2020'!S364</f>
        <v>0</v>
      </c>
      <c r="AA364" s="588">
        <f>+'NF-KSF-TRIAL-BAL-2020'!T364+'RA-TRIAL-BAL-2020'!T364+'DES-TRIAL-BAL-2020'!T364+'DMP-TRIAL-BAL-2020'!T364</f>
        <v>0</v>
      </c>
      <c r="AB364" s="51"/>
      <c r="AC364" s="596">
        <v>0</v>
      </c>
      <c r="AD364" s="576"/>
      <c r="AE364" s="325"/>
      <c r="AF364" s="324"/>
      <c r="AG364" s="2167">
        <v>0</v>
      </c>
      <c r="AH364" s="580">
        <f>+IF(ABS(+AC364+AE364)&lt;=ABS(AD364+AF364),-AC364+AD364-AE364+AF364,0)</f>
        <v>0</v>
      </c>
      <c r="AI364" s="51"/>
      <c r="AJ364" s="1497">
        <f t="shared" si="184"/>
        <v>5391</v>
      </c>
      <c r="AK364" s="951">
        <f t="shared" si="196"/>
        <v>0</v>
      </c>
      <c r="AL364" s="970">
        <f>+ROUND(+P364+W364+AD364,2)</f>
        <v>0</v>
      </c>
      <c r="AM364" s="326">
        <f t="shared" si="178"/>
        <v>0</v>
      </c>
      <c r="AN364" s="970">
        <f t="shared" si="178"/>
        <v>0</v>
      </c>
      <c r="AO364" s="326">
        <f t="shared" si="191"/>
        <v>0</v>
      </c>
      <c r="AP364" s="327">
        <f t="shared" si="191"/>
        <v>0</v>
      </c>
      <c r="AQ364" s="43"/>
      <c r="AR364" s="358">
        <f t="shared" si="197"/>
        <v>0</v>
      </c>
      <c r="AS364" s="359">
        <f t="shared" si="198"/>
        <v>0</v>
      </c>
      <c r="AT364" s="360">
        <f t="shared" si="199"/>
        <v>0</v>
      </c>
      <c r="AU364" s="43"/>
      <c r="AV364" s="2119">
        <f>+IF(OR(+ROUND(O364,2)+ROUND(Q364,2)&gt;ROUND(P364,2)+ROUND(R364,2),+ABS(ROUND(O364,2)+ROUND(Q364,2))&gt;+ABS(ROUND(P364,2)+ROUND(R364,2))),+(ROUND(O364,2)+ROUND(Q364,2))-(ROUND(P364,2)+ROUND(R364,2)),0)</f>
        <v>0</v>
      </c>
      <c r="AW364" s="119"/>
      <c r="AX364" s="2119">
        <f>+IF(OR(+ROUND(AC364,2)+ROUND(AE364,2)&gt;ROUND(AD364,2)+ROUND(AF364,2),+ABS(ROUND(AC364,2)+ROUND(AE364,2))&gt;+ABS(ROUND(AD364,2)+ROUND(AF364,2))),+(ROUND(AC364,2)+ROUND(AE364,2))-(ROUND(AD364,2)+ROUND(AF364,2)),0)</f>
        <v>0</v>
      </c>
      <c r="AY364" s="43"/>
      <c r="AZ364" s="43"/>
      <c r="BA364" s="43"/>
      <c r="BB364" s="43"/>
      <c r="BC364" s="43"/>
      <c r="BD364" s="43"/>
    </row>
    <row r="365" spans="1:56" ht="15.75">
      <c r="A365" s="88">
        <v>5392</v>
      </c>
      <c r="B365" s="378" t="s">
        <v>307</v>
      </c>
      <c r="C365" s="1033"/>
      <c r="D365" s="1033"/>
      <c r="E365" s="1033"/>
      <c r="F365" s="1033"/>
      <c r="G365" s="1033"/>
      <c r="H365" s="1033"/>
      <c r="I365" s="1033"/>
      <c r="J365" s="1033"/>
      <c r="K365" s="1033"/>
      <c r="L365" s="574"/>
      <c r="M365" s="51" t="s">
        <v>265</v>
      </c>
      <c r="N365" s="113">
        <f t="shared" si="200"/>
        <v>5392</v>
      </c>
      <c r="O365" s="596">
        <v>0</v>
      </c>
      <c r="P365" s="576"/>
      <c r="Q365" s="325"/>
      <c r="R365" s="324"/>
      <c r="S365" s="2167">
        <v>0</v>
      </c>
      <c r="T365" s="580">
        <f>+IF(ABS(+O365+Q365)&lt;=ABS(P365+R365),-O365+P365-Q365+R365,0)</f>
        <v>0</v>
      </c>
      <c r="U365" s="51"/>
      <c r="V365" s="541">
        <f>+'NF-KSF-TRIAL-BAL-2020'!O365+'RA-TRIAL-BAL-2020'!O365+'DES-TRIAL-BAL-2020'!O365+'DMP-TRIAL-BAL-2020'!O365</f>
        <v>0</v>
      </c>
      <c r="W365" s="529">
        <f>+'NF-KSF-TRIAL-BAL-2020'!P365+'RA-TRIAL-BAL-2020'!P365+'DES-TRIAL-BAL-2020'!P365+'DMP-TRIAL-BAL-2020'!P365</f>
        <v>0</v>
      </c>
      <c r="X365" s="587">
        <f>+'NF-KSF-TRIAL-BAL-2020'!Q365+'RA-TRIAL-BAL-2020'!Q365+'DES-TRIAL-BAL-2020'!Q365+'DMP-TRIAL-BAL-2020'!Q365</f>
        <v>0</v>
      </c>
      <c r="Y365" s="586">
        <f>+'NF-KSF-TRIAL-BAL-2020'!R365+'RA-TRIAL-BAL-2020'!R365+'DES-TRIAL-BAL-2020'!R365+'DMP-TRIAL-BAL-2020'!R365</f>
        <v>0</v>
      </c>
      <c r="Z365" s="587">
        <f>+'NF-KSF-TRIAL-BAL-2020'!S365+'RA-TRIAL-BAL-2020'!S365+'DES-TRIAL-BAL-2020'!S365+'DMP-TRIAL-BAL-2020'!S365</f>
        <v>0</v>
      </c>
      <c r="AA365" s="588">
        <f>+'NF-KSF-TRIAL-BAL-2020'!T365+'RA-TRIAL-BAL-2020'!T365+'DES-TRIAL-BAL-2020'!T365+'DMP-TRIAL-BAL-2020'!T365</f>
        <v>0</v>
      </c>
      <c r="AB365" s="51"/>
      <c r="AC365" s="596">
        <v>0</v>
      </c>
      <c r="AD365" s="576"/>
      <c r="AE365" s="325"/>
      <c r="AF365" s="324"/>
      <c r="AG365" s="2167">
        <v>0</v>
      </c>
      <c r="AH365" s="580">
        <f>+IF(ABS(+AC365+AE365)&lt;=ABS(AD365+AF365),-AC365+AD365-AE365+AF365,0)</f>
        <v>0</v>
      </c>
      <c r="AI365" s="51"/>
      <c r="AJ365" s="1497">
        <f t="shared" si="184"/>
        <v>5392</v>
      </c>
      <c r="AK365" s="951">
        <f t="shared" si="196"/>
        <v>0</v>
      </c>
      <c r="AL365" s="970">
        <f>+ROUND(+P365+W365+AD365,2)</f>
        <v>0</v>
      </c>
      <c r="AM365" s="326">
        <f t="shared" si="178"/>
        <v>0</v>
      </c>
      <c r="AN365" s="970">
        <f t="shared" si="178"/>
        <v>0</v>
      </c>
      <c r="AO365" s="326">
        <f t="shared" si="191"/>
        <v>0</v>
      </c>
      <c r="AP365" s="327">
        <f t="shared" si="191"/>
        <v>0</v>
      </c>
      <c r="AQ365" s="43"/>
      <c r="AR365" s="358">
        <f t="shared" si="197"/>
        <v>0</v>
      </c>
      <c r="AS365" s="359">
        <f t="shared" si="198"/>
        <v>0</v>
      </c>
      <c r="AT365" s="360">
        <f t="shared" si="199"/>
        <v>0</v>
      </c>
      <c r="AU365" s="43"/>
      <c r="AV365" s="2119">
        <f>+IF(OR(+ROUND(O365,2)+ROUND(Q365,2)&gt;ROUND(P365,2)+ROUND(R365,2),+ABS(ROUND(O365,2)+ROUND(Q365,2))&gt;+ABS(ROUND(P365,2)+ROUND(R365,2))),+(ROUND(O365,2)+ROUND(Q365,2))-(ROUND(P365,2)+ROUND(R365,2)),0)</f>
        <v>0</v>
      </c>
      <c r="AW365" s="119"/>
      <c r="AX365" s="2119">
        <f>+IF(OR(+ROUND(AC365,2)+ROUND(AE365,2)&gt;ROUND(AD365,2)+ROUND(AF365,2),+ABS(ROUND(AC365,2)+ROUND(AE365,2))&gt;+ABS(ROUND(AD365,2)+ROUND(AF365,2))),+(ROUND(AC365,2)+ROUND(AE365,2))-(ROUND(AD365,2)+ROUND(AF365,2)),0)</f>
        <v>0</v>
      </c>
      <c r="AY365" s="43"/>
      <c r="AZ365" s="43"/>
      <c r="BA365" s="43"/>
      <c r="BB365" s="43"/>
      <c r="BC365" s="43"/>
      <c r="BD365" s="43"/>
    </row>
    <row r="366" spans="1:56" ht="15.75">
      <c r="A366" s="88">
        <v>5393</v>
      </c>
      <c r="B366" s="378" t="s">
        <v>308</v>
      </c>
      <c r="C366" s="1033"/>
      <c r="D366" s="1033"/>
      <c r="E366" s="1033"/>
      <c r="F366" s="1033"/>
      <c r="G366" s="1033"/>
      <c r="H366" s="1033"/>
      <c r="I366" s="1033"/>
      <c r="J366" s="1033"/>
      <c r="K366" s="1033"/>
      <c r="L366" s="574"/>
      <c r="M366" s="51" t="s">
        <v>265</v>
      </c>
      <c r="N366" s="113">
        <f t="shared" si="200"/>
        <v>5393</v>
      </c>
      <c r="O366" s="596">
        <v>0</v>
      </c>
      <c r="P366" s="576"/>
      <c r="Q366" s="325"/>
      <c r="R366" s="324"/>
      <c r="S366" s="2167">
        <v>0</v>
      </c>
      <c r="T366" s="580">
        <f>+IF(ABS(+O366+Q366)&lt;=ABS(P366+R366),-O366+P366-Q366+R366,0)</f>
        <v>0</v>
      </c>
      <c r="U366" s="51"/>
      <c r="V366" s="541">
        <f>+'NF-KSF-TRIAL-BAL-2020'!O366+'RA-TRIAL-BAL-2020'!O366+'DES-TRIAL-BAL-2020'!O366+'DMP-TRIAL-BAL-2020'!O366</f>
        <v>0</v>
      </c>
      <c r="W366" s="529">
        <f>+'NF-KSF-TRIAL-BAL-2020'!P366+'RA-TRIAL-BAL-2020'!P366+'DES-TRIAL-BAL-2020'!P366+'DMP-TRIAL-BAL-2020'!P366</f>
        <v>0</v>
      </c>
      <c r="X366" s="587">
        <f>+'NF-KSF-TRIAL-BAL-2020'!Q366+'RA-TRIAL-BAL-2020'!Q366+'DES-TRIAL-BAL-2020'!Q366+'DMP-TRIAL-BAL-2020'!Q366</f>
        <v>0</v>
      </c>
      <c r="Y366" s="586">
        <f>+'NF-KSF-TRIAL-BAL-2020'!R366+'RA-TRIAL-BAL-2020'!R366+'DES-TRIAL-BAL-2020'!R366+'DMP-TRIAL-BAL-2020'!R366</f>
        <v>0</v>
      </c>
      <c r="Z366" s="587">
        <f>+'NF-KSF-TRIAL-BAL-2020'!S366+'RA-TRIAL-BAL-2020'!S366+'DES-TRIAL-BAL-2020'!S366+'DMP-TRIAL-BAL-2020'!S366</f>
        <v>0</v>
      </c>
      <c r="AA366" s="588">
        <f>+'NF-KSF-TRIAL-BAL-2020'!T366+'RA-TRIAL-BAL-2020'!T366+'DES-TRIAL-BAL-2020'!T366+'DMP-TRIAL-BAL-2020'!T366</f>
        <v>0</v>
      </c>
      <c r="AB366" s="51"/>
      <c r="AC366" s="596">
        <v>0</v>
      </c>
      <c r="AD366" s="576"/>
      <c r="AE366" s="325"/>
      <c r="AF366" s="324"/>
      <c r="AG366" s="2167">
        <v>0</v>
      </c>
      <c r="AH366" s="580">
        <f>+IF(ABS(+AC366+AE366)&lt;=ABS(AD366+AF366),-AC366+AD366-AE366+AF366,0)</f>
        <v>0</v>
      </c>
      <c r="AI366" s="51"/>
      <c r="AJ366" s="1497">
        <f t="shared" si="184"/>
        <v>5393</v>
      </c>
      <c r="AK366" s="951">
        <f t="shared" si="196"/>
        <v>0</v>
      </c>
      <c r="AL366" s="970">
        <f>+ROUND(+P366+W366+AD366,2)</f>
        <v>0</v>
      </c>
      <c r="AM366" s="326">
        <f t="shared" si="178"/>
        <v>0</v>
      </c>
      <c r="AN366" s="970">
        <f t="shared" si="178"/>
        <v>0</v>
      </c>
      <c r="AO366" s="326">
        <f t="shared" si="191"/>
        <v>0</v>
      </c>
      <c r="AP366" s="327">
        <f t="shared" si="191"/>
        <v>0</v>
      </c>
      <c r="AQ366" s="43"/>
      <c r="AR366" s="358">
        <f t="shared" si="197"/>
        <v>0</v>
      </c>
      <c r="AS366" s="359">
        <f t="shared" si="198"/>
        <v>0</v>
      </c>
      <c r="AT366" s="360">
        <f t="shared" si="199"/>
        <v>0</v>
      </c>
      <c r="AU366" s="43"/>
      <c r="AV366" s="2119">
        <f>+IF(OR(+ROUND(O366,2)+ROUND(Q366,2)&gt;ROUND(P366,2)+ROUND(R366,2),+ABS(ROUND(O366,2)+ROUND(Q366,2))&gt;+ABS(ROUND(P366,2)+ROUND(R366,2))),+(ROUND(O366,2)+ROUND(Q366,2))-(ROUND(P366,2)+ROUND(R366,2)),0)</f>
        <v>0</v>
      </c>
      <c r="AW366" s="119"/>
      <c r="AX366" s="2119">
        <f>+IF(OR(+ROUND(AC366,2)+ROUND(AE366,2)&gt;ROUND(AD366,2)+ROUND(AF366,2),+ABS(ROUND(AC366,2)+ROUND(AE366,2))&gt;+ABS(ROUND(AD366,2)+ROUND(AF366,2))),+(ROUND(AC366,2)+ROUND(AE366,2))-(ROUND(AD366,2)+ROUND(AF366,2)),0)</f>
        <v>0</v>
      </c>
      <c r="AY366" s="43"/>
      <c r="AZ366" s="43"/>
      <c r="BA366" s="43"/>
      <c r="BB366" s="43"/>
      <c r="BC366" s="43"/>
      <c r="BD366" s="43"/>
    </row>
    <row r="367" spans="1:56" ht="15.75">
      <c r="A367" s="88">
        <v>5398</v>
      </c>
      <c r="B367" s="378" t="s">
        <v>309</v>
      </c>
      <c r="C367" s="1033"/>
      <c r="D367" s="1033"/>
      <c r="E367" s="1033"/>
      <c r="F367" s="1033"/>
      <c r="G367" s="1033"/>
      <c r="H367" s="1033"/>
      <c r="I367" s="1033"/>
      <c r="J367" s="1033"/>
      <c r="K367" s="1033"/>
      <c r="L367" s="574"/>
      <c r="M367" s="51" t="s">
        <v>265</v>
      </c>
      <c r="N367" s="113">
        <f t="shared" si="200"/>
        <v>5398</v>
      </c>
      <c r="O367" s="575">
        <v>0</v>
      </c>
      <c r="P367" s="576"/>
      <c r="Q367" s="325"/>
      <c r="R367" s="324"/>
      <c r="S367" s="579">
        <v>0</v>
      </c>
      <c r="T367" s="580">
        <f>+IF(ABS(+O367+Q367)&lt;=ABS(P367+R367),-O367+P367-Q367+R367,0)</f>
        <v>0</v>
      </c>
      <c r="U367" s="51"/>
      <c r="V367" s="541">
        <f>+'NF-KSF-TRIAL-BAL-2020'!O367+'RA-TRIAL-BAL-2020'!O367+'DES-TRIAL-BAL-2020'!O367+'DMP-TRIAL-BAL-2020'!O367</f>
        <v>0</v>
      </c>
      <c r="W367" s="529">
        <f>+'NF-KSF-TRIAL-BAL-2020'!P367+'RA-TRIAL-BAL-2020'!P367+'DES-TRIAL-BAL-2020'!P367+'DMP-TRIAL-BAL-2020'!P367</f>
        <v>0</v>
      </c>
      <c r="X367" s="587">
        <f>+'NF-KSF-TRIAL-BAL-2020'!Q367+'RA-TRIAL-BAL-2020'!Q367+'DES-TRIAL-BAL-2020'!Q367+'DMP-TRIAL-BAL-2020'!Q367</f>
        <v>0</v>
      </c>
      <c r="Y367" s="586">
        <f>+'NF-KSF-TRIAL-BAL-2020'!R367+'RA-TRIAL-BAL-2020'!R367+'DES-TRIAL-BAL-2020'!R367+'DMP-TRIAL-BAL-2020'!R367</f>
        <v>0</v>
      </c>
      <c r="Z367" s="587">
        <f>+'NF-KSF-TRIAL-BAL-2020'!S367+'RA-TRIAL-BAL-2020'!S367+'DES-TRIAL-BAL-2020'!S367+'DMP-TRIAL-BAL-2020'!S367</f>
        <v>0</v>
      </c>
      <c r="AA367" s="588">
        <f>+'NF-KSF-TRIAL-BAL-2020'!T367+'RA-TRIAL-BAL-2020'!T367+'DES-TRIAL-BAL-2020'!T367+'DMP-TRIAL-BAL-2020'!T367</f>
        <v>0</v>
      </c>
      <c r="AB367" s="51"/>
      <c r="AC367" s="575">
        <v>0</v>
      </c>
      <c r="AD367" s="576"/>
      <c r="AE367" s="325"/>
      <c r="AF367" s="324"/>
      <c r="AG367" s="579">
        <v>0</v>
      </c>
      <c r="AH367" s="580">
        <f>+IF(ABS(+AC367+AE367)&lt;=ABS(AD367+AF367),-AC367+AD367-AE367+AF367,0)</f>
        <v>0</v>
      </c>
      <c r="AI367" s="51"/>
      <c r="AJ367" s="1497">
        <f>+N367</f>
        <v>5398</v>
      </c>
      <c r="AK367" s="8">
        <v>0</v>
      </c>
      <c r="AL367" s="970">
        <f>+ROUND(+P367+W367+AD367,2)</f>
        <v>0</v>
      </c>
      <c r="AM367" s="326">
        <f t="shared" si="178"/>
        <v>0</v>
      </c>
      <c r="AN367" s="970">
        <f t="shared" si="178"/>
        <v>0</v>
      </c>
      <c r="AO367" s="29">
        <v>0</v>
      </c>
      <c r="AP367" s="327">
        <f>+T367+AA367+AH367</f>
        <v>0</v>
      </c>
      <c r="AQ367" s="43"/>
      <c r="AR367" s="358">
        <f>+ROUND(+SUM(AK367-AL367)-SUM(O367-P367)-SUM(V367-W367)-SUM(AC367-AD367),2)</f>
        <v>0</v>
      </c>
      <c r="AS367" s="359">
        <f>+ROUND(+SUM(AM367-AN367)-SUM(Q367-R367)-SUM(X367-Y367)-SUM(AE367-AF367),2)</f>
        <v>0</v>
      </c>
      <c r="AT367" s="360">
        <f>+ROUND(+SUM(AO367-AP367)-SUM(S367-T367)-SUM(Z367-AA367)-SUM(AG367-AH367),2)</f>
        <v>0</v>
      </c>
      <c r="AU367" s="43"/>
      <c r="AV367" s="2119">
        <f>+IF(OR(+ROUND(O367,2)+ROUND(Q367,2)&gt;ROUND(P367,2)+ROUND(R367,2),+ABS(ROUND(O367,2)+ROUND(Q367,2))&gt;+ABS(ROUND(P367,2)+ROUND(R367,2))),+(ROUND(O367,2)+ROUND(Q367,2))-(ROUND(P367,2)+ROUND(R367,2)),0)</f>
        <v>0</v>
      </c>
      <c r="AW367" s="119"/>
      <c r="AX367" s="2119">
        <f>+IF(OR(+ROUND(AC367,2)+ROUND(AE367,2)&gt;ROUND(AD367,2)+ROUND(AF367,2),+ABS(ROUND(AC367,2)+ROUND(AE367,2))&gt;+ABS(ROUND(AD367,2)+ROUND(AF367,2))),+(ROUND(AC367,2)+ROUND(AE367,2))-(ROUND(AD367,2)+ROUND(AF367,2)),0)</f>
        <v>0</v>
      </c>
      <c r="AY367" s="43"/>
      <c r="AZ367" s="43"/>
      <c r="BA367" s="43"/>
      <c r="BB367" s="43"/>
      <c r="BC367" s="43"/>
      <c r="BD367" s="43"/>
    </row>
    <row r="368" spans="1:56" ht="15.75">
      <c r="A368" s="88">
        <v>5811</v>
      </c>
      <c r="B368" s="378" t="s">
        <v>312</v>
      </c>
      <c r="C368" s="1033"/>
      <c r="D368" s="1033"/>
      <c r="E368" s="1033"/>
      <c r="F368" s="1033"/>
      <c r="G368" s="1033"/>
      <c r="H368" s="1033"/>
      <c r="I368" s="1033"/>
      <c r="J368" s="1033"/>
      <c r="K368" s="1033"/>
      <c r="L368" s="574"/>
      <c r="M368" s="51" t="s">
        <v>265</v>
      </c>
      <c r="N368" s="113">
        <f t="shared" si="200"/>
        <v>5811</v>
      </c>
      <c r="O368" s="581"/>
      <c r="P368" s="582">
        <v>0</v>
      </c>
      <c r="Q368" s="325"/>
      <c r="R368" s="324"/>
      <c r="S368" s="583">
        <f t="shared" ref="S368:S379" si="205">+IF(ABS(+O368+Q368)&gt;=ABS(P368+R368),+O368-P368+Q368-R368,0)</f>
        <v>0</v>
      </c>
      <c r="T368" s="584">
        <v>0</v>
      </c>
      <c r="U368" s="51"/>
      <c r="V368" s="541">
        <f>+'NF-KSF-TRIAL-BAL-2020'!O368+'RA-TRIAL-BAL-2020'!O368+'DES-TRIAL-BAL-2020'!O368+'DMP-TRIAL-BAL-2020'!O368</f>
        <v>0</v>
      </c>
      <c r="W368" s="529">
        <f>+'NF-KSF-TRIAL-BAL-2020'!P368+'RA-TRIAL-BAL-2020'!P368+'DES-TRIAL-BAL-2020'!P368+'DMP-TRIAL-BAL-2020'!P368</f>
        <v>0</v>
      </c>
      <c r="X368" s="587">
        <f>+'NF-KSF-TRIAL-BAL-2020'!Q368+'RA-TRIAL-BAL-2020'!Q368+'DES-TRIAL-BAL-2020'!Q368+'DMP-TRIAL-BAL-2020'!Q368</f>
        <v>0</v>
      </c>
      <c r="Y368" s="586">
        <f>+'NF-KSF-TRIAL-BAL-2020'!R368+'RA-TRIAL-BAL-2020'!R368+'DES-TRIAL-BAL-2020'!R368+'DMP-TRIAL-BAL-2020'!R368</f>
        <v>0</v>
      </c>
      <c r="Z368" s="587">
        <f>+'NF-KSF-TRIAL-BAL-2020'!S368+'RA-TRIAL-BAL-2020'!S368+'DES-TRIAL-BAL-2020'!S368+'DMP-TRIAL-BAL-2020'!S368</f>
        <v>0</v>
      </c>
      <c r="AA368" s="588">
        <f>+'NF-KSF-TRIAL-BAL-2020'!T368+'RA-TRIAL-BAL-2020'!T368+'DES-TRIAL-BAL-2020'!T368+'DMP-TRIAL-BAL-2020'!T368</f>
        <v>0</v>
      </c>
      <c r="AB368" s="51"/>
      <c r="AC368" s="581"/>
      <c r="AD368" s="582">
        <v>0</v>
      </c>
      <c r="AE368" s="122"/>
      <c r="AF368" s="324"/>
      <c r="AG368" s="583">
        <f t="shared" ref="AG368:AG379" si="206">+IF(ABS(+AC368+AE368)&gt;=ABS(AD368+AF368),+AC368-AD368+AE368-AF368,0)</f>
        <v>0</v>
      </c>
      <c r="AH368" s="584">
        <v>0</v>
      </c>
      <c r="AI368" s="51"/>
      <c r="AJ368" s="1497">
        <f t="shared" si="184"/>
        <v>5811</v>
      </c>
      <c r="AK368" s="951">
        <f>+ROUND(+O368+V368+AC368,2)</f>
        <v>0</v>
      </c>
      <c r="AL368" s="9">
        <v>0</v>
      </c>
      <c r="AM368" s="326">
        <f t="shared" si="178"/>
        <v>0</v>
      </c>
      <c r="AN368" s="970">
        <f t="shared" si="178"/>
        <v>0</v>
      </c>
      <c r="AO368" s="326">
        <f t="shared" ref="AO368:AP382" si="207">+S368+Z368+AG368</f>
        <v>0</v>
      </c>
      <c r="AP368" s="30">
        <v>0</v>
      </c>
      <c r="AQ368" s="43"/>
      <c r="AR368" s="358">
        <f t="shared" si="197"/>
        <v>0</v>
      </c>
      <c r="AS368" s="359">
        <f t="shared" si="198"/>
        <v>0</v>
      </c>
      <c r="AT368" s="360">
        <f t="shared" si="199"/>
        <v>0</v>
      </c>
      <c r="AU368" s="43"/>
      <c r="AV368" s="2120">
        <f t="shared" ref="AV368:AV379" si="208">+IF(OR(ROUND(P368,2)+ROUND(R368,2)&gt;+ROUND(O368,2)+ROUND(Q368,2),+ABS(ROUND(P368,2)+ROUND(R368,2))&gt;+ABS(ROUND(O368,2)+ROUND(Q368,2))),+(ROUND(P368,2)+ROUND(R368,2))-(ROUND(O368,2)+ROUND(Q368,2)),0)</f>
        <v>0</v>
      </c>
      <c r="AW368" s="119"/>
      <c r="AX368" s="2120">
        <f t="shared" ref="AX368:AX379" si="209">+IF(OR(ROUND(AD368,2)+ROUND(AF368,2)&gt;+ROUND(AC368,2)+ROUND(AE368,2),+ABS(ROUND(AD368,2)+ROUND(AF368,2))&gt;+ABS(ROUND(AC368,2)+ROUND(AE368,2))),+(ROUND(AD368,2)+ROUND(AF368,2))-(ROUND(AC368,2)+ROUND(AE368,2)),0)</f>
        <v>0</v>
      </c>
      <c r="AY368" s="43"/>
      <c r="AZ368" s="43"/>
      <c r="BA368" s="43"/>
      <c r="BB368" s="43"/>
      <c r="BC368" s="43"/>
      <c r="BD368" s="43"/>
    </row>
    <row r="369" spans="1:56" ht="15.75">
      <c r="A369" s="88">
        <v>5812</v>
      </c>
      <c r="B369" s="378" t="s">
        <v>313</v>
      </c>
      <c r="C369" s="1033"/>
      <c r="D369" s="1033"/>
      <c r="E369" s="1033"/>
      <c r="F369" s="1033"/>
      <c r="G369" s="1033"/>
      <c r="H369" s="1033"/>
      <c r="I369" s="1033"/>
      <c r="J369" s="1033"/>
      <c r="K369" s="1033"/>
      <c r="L369" s="574"/>
      <c r="M369" s="51" t="s">
        <v>265</v>
      </c>
      <c r="N369" s="113">
        <f t="shared" si="200"/>
        <v>5812</v>
      </c>
      <c r="O369" s="581"/>
      <c r="P369" s="582">
        <v>0</v>
      </c>
      <c r="Q369" s="325"/>
      <c r="R369" s="324"/>
      <c r="S369" s="583">
        <f t="shared" si="205"/>
        <v>0</v>
      </c>
      <c r="T369" s="584">
        <v>0</v>
      </c>
      <c r="U369" s="51"/>
      <c r="V369" s="541">
        <f>+'NF-KSF-TRIAL-BAL-2020'!O369+'RA-TRIAL-BAL-2020'!O369+'DES-TRIAL-BAL-2020'!O369+'DMP-TRIAL-BAL-2020'!O369</f>
        <v>0</v>
      </c>
      <c r="W369" s="529">
        <f>+'NF-KSF-TRIAL-BAL-2020'!P369+'RA-TRIAL-BAL-2020'!P369+'DES-TRIAL-BAL-2020'!P369+'DMP-TRIAL-BAL-2020'!P369</f>
        <v>0</v>
      </c>
      <c r="X369" s="587">
        <f>+'NF-KSF-TRIAL-BAL-2020'!Q369+'RA-TRIAL-BAL-2020'!Q369+'DES-TRIAL-BAL-2020'!Q369+'DMP-TRIAL-BAL-2020'!Q369</f>
        <v>0</v>
      </c>
      <c r="Y369" s="586">
        <f>+'NF-KSF-TRIAL-BAL-2020'!R369+'RA-TRIAL-BAL-2020'!R369+'DES-TRIAL-BAL-2020'!R369+'DMP-TRIAL-BAL-2020'!R369</f>
        <v>0</v>
      </c>
      <c r="Z369" s="587">
        <f>+'NF-KSF-TRIAL-BAL-2020'!S369+'RA-TRIAL-BAL-2020'!S369+'DES-TRIAL-BAL-2020'!S369+'DMP-TRIAL-BAL-2020'!S369</f>
        <v>0</v>
      </c>
      <c r="AA369" s="588">
        <f>+'NF-KSF-TRIAL-BAL-2020'!T369+'RA-TRIAL-BAL-2020'!T369+'DES-TRIAL-BAL-2020'!T369+'DMP-TRIAL-BAL-2020'!T369</f>
        <v>0</v>
      </c>
      <c r="AB369" s="51"/>
      <c r="AC369" s="581"/>
      <c r="AD369" s="582">
        <v>0</v>
      </c>
      <c r="AE369" s="122"/>
      <c r="AF369" s="324"/>
      <c r="AG369" s="583">
        <f t="shared" si="206"/>
        <v>0</v>
      </c>
      <c r="AH369" s="584">
        <v>0</v>
      </c>
      <c r="AI369" s="51"/>
      <c r="AJ369" s="1497">
        <f t="shared" si="184"/>
        <v>5812</v>
      </c>
      <c r="AK369" s="951">
        <f>+ROUND(+O369+V369+AC369,2)</f>
        <v>0</v>
      </c>
      <c r="AL369" s="9">
        <v>0</v>
      </c>
      <c r="AM369" s="326">
        <f t="shared" si="178"/>
        <v>0</v>
      </c>
      <c r="AN369" s="970">
        <f t="shared" si="178"/>
        <v>0</v>
      </c>
      <c r="AO369" s="326">
        <f t="shared" si="207"/>
        <v>0</v>
      </c>
      <c r="AP369" s="30">
        <v>0</v>
      </c>
      <c r="AQ369" s="43"/>
      <c r="AR369" s="358">
        <f t="shared" si="197"/>
        <v>0</v>
      </c>
      <c r="AS369" s="359">
        <f t="shared" si="198"/>
        <v>0</v>
      </c>
      <c r="AT369" s="360">
        <f t="shared" si="199"/>
        <v>0</v>
      </c>
      <c r="AU369" s="43"/>
      <c r="AV369" s="2120">
        <f t="shared" si="208"/>
        <v>0</v>
      </c>
      <c r="AW369" s="119"/>
      <c r="AX369" s="2120">
        <f t="shared" si="209"/>
        <v>0</v>
      </c>
      <c r="AY369" s="43"/>
      <c r="AZ369" s="43"/>
      <c r="BA369" s="43"/>
      <c r="BB369" s="43"/>
      <c r="BC369" s="43"/>
      <c r="BD369" s="43"/>
    </row>
    <row r="370" spans="1:56" ht="15.75">
      <c r="A370" s="88">
        <v>5814</v>
      </c>
      <c r="B370" s="378" t="s">
        <v>314</v>
      </c>
      <c r="C370" s="1033"/>
      <c r="D370" s="1033"/>
      <c r="E370" s="1033"/>
      <c r="F370" s="1033"/>
      <c r="G370" s="1033"/>
      <c r="H370" s="1033"/>
      <c r="I370" s="1033"/>
      <c r="J370" s="1033"/>
      <c r="K370" s="1033"/>
      <c r="L370" s="574"/>
      <c r="M370" s="51" t="s">
        <v>265</v>
      </c>
      <c r="N370" s="113">
        <f t="shared" si="200"/>
        <v>5814</v>
      </c>
      <c r="O370" s="581"/>
      <c r="P370" s="582">
        <v>0</v>
      </c>
      <c r="Q370" s="325"/>
      <c r="R370" s="324"/>
      <c r="S370" s="583">
        <f t="shared" si="205"/>
        <v>0</v>
      </c>
      <c r="T370" s="584">
        <v>0</v>
      </c>
      <c r="U370" s="51"/>
      <c r="V370" s="541">
        <f>+'NF-KSF-TRIAL-BAL-2020'!O370+'RA-TRIAL-BAL-2020'!O370+'DES-TRIAL-BAL-2020'!O370+'DMP-TRIAL-BAL-2020'!O370</f>
        <v>0</v>
      </c>
      <c r="W370" s="529">
        <f>+'NF-KSF-TRIAL-BAL-2020'!P370+'RA-TRIAL-BAL-2020'!P370+'DES-TRIAL-BAL-2020'!P370+'DMP-TRIAL-BAL-2020'!P370</f>
        <v>0</v>
      </c>
      <c r="X370" s="587">
        <f>+'NF-KSF-TRIAL-BAL-2020'!Q370+'RA-TRIAL-BAL-2020'!Q370+'DES-TRIAL-BAL-2020'!Q370+'DMP-TRIAL-BAL-2020'!Q370</f>
        <v>0</v>
      </c>
      <c r="Y370" s="586">
        <f>+'NF-KSF-TRIAL-BAL-2020'!R370+'RA-TRIAL-BAL-2020'!R370+'DES-TRIAL-BAL-2020'!R370+'DMP-TRIAL-BAL-2020'!R370</f>
        <v>0</v>
      </c>
      <c r="Z370" s="587">
        <f>+'NF-KSF-TRIAL-BAL-2020'!S370+'RA-TRIAL-BAL-2020'!S370+'DES-TRIAL-BAL-2020'!S370+'DMP-TRIAL-BAL-2020'!S370</f>
        <v>0</v>
      </c>
      <c r="AA370" s="588">
        <f>+'NF-KSF-TRIAL-BAL-2020'!T370+'RA-TRIAL-BAL-2020'!T370+'DES-TRIAL-BAL-2020'!T370+'DMP-TRIAL-BAL-2020'!T370</f>
        <v>0</v>
      </c>
      <c r="AB370" s="51"/>
      <c r="AC370" s="581"/>
      <c r="AD370" s="582">
        <v>0</v>
      </c>
      <c r="AE370" s="325"/>
      <c r="AF370" s="324"/>
      <c r="AG370" s="583">
        <f t="shared" si="206"/>
        <v>0</v>
      </c>
      <c r="AH370" s="584">
        <v>0</v>
      </c>
      <c r="AI370" s="51"/>
      <c r="AJ370" s="1497">
        <f t="shared" si="184"/>
        <v>5814</v>
      </c>
      <c r="AK370" s="951">
        <f t="shared" ref="AK370:AK382" si="210">+ROUND(+O370+V370+AC370,2)</f>
        <v>0</v>
      </c>
      <c r="AL370" s="9">
        <v>0</v>
      </c>
      <c r="AM370" s="326">
        <f t="shared" ref="AM370:AN382" si="211">+ROUND(+Q370+X370+AE370,2)</f>
        <v>0</v>
      </c>
      <c r="AN370" s="970">
        <f t="shared" si="211"/>
        <v>0</v>
      </c>
      <c r="AO370" s="326">
        <f t="shared" si="207"/>
        <v>0</v>
      </c>
      <c r="AP370" s="30">
        <v>0</v>
      </c>
      <c r="AQ370" s="43"/>
      <c r="AR370" s="358">
        <f t="shared" si="197"/>
        <v>0</v>
      </c>
      <c r="AS370" s="359">
        <f t="shared" si="198"/>
        <v>0</v>
      </c>
      <c r="AT370" s="360">
        <f t="shared" si="199"/>
        <v>0</v>
      </c>
      <c r="AU370" s="43"/>
      <c r="AV370" s="2120">
        <f t="shared" si="208"/>
        <v>0</v>
      </c>
      <c r="AW370" s="119"/>
      <c r="AX370" s="2120">
        <f t="shared" si="209"/>
        <v>0</v>
      </c>
      <c r="AY370" s="43"/>
      <c r="AZ370" s="43"/>
      <c r="BA370" s="43"/>
      <c r="BB370" s="43"/>
      <c r="BC370" s="43"/>
      <c r="BD370" s="43"/>
    </row>
    <row r="371" spans="1:56" ht="15.75">
      <c r="A371" s="88">
        <v>5815</v>
      </c>
      <c r="B371" s="378" t="s">
        <v>315</v>
      </c>
      <c r="C371" s="1033"/>
      <c r="D371" s="1033"/>
      <c r="E371" s="1033"/>
      <c r="F371" s="1033"/>
      <c r="G371" s="1033"/>
      <c r="H371" s="1033"/>
      <c r="I371" s="1033"/>
      <c r="J371" s="1033"/>
      <c r="K371" s="1033"/>
      <c r="L371" s="574"/>
      <c r="M371" s="51" t="s">
        <v>265</v>
      </c>
      <c r="N371" s="113">
        <f t="shared" si="200"/>
        <v>5815</v>
      </c>
      <c r="O371" s="581"/>
      <c r="P371" s="582">
        <v>0</v>
      </c>
      <c r="Q371" s="325"/>
      <c r="R371" s="324"/>
      <c r="S371" s="583">
        <f t="shared" si="205"/>
        <v>0</v>
      </c>
      <c r="T371" s="584">
        <v>0</v>
      </c>
      <c r="U371" s="51"/>
      <c r="V371" s="541">
        <f>+'NF-KSF-TRIAL-BAL-2020'!O371+'RA-TRIAL-BAL-2020'!O371+'DES-TRIAL-BAL-2020'!O371+'DMP-TRIAL-BAL-2020'!O371</f>
        <v>0</v>
      </c>
      <c r="W371" s="529">
        <f>+'NF-KSF-TRIAL-BAL-2020'!P371+'RA-TRIAL-BAL-2020'!P371+'DES-TRIAL-BAL-2020'!P371+'DMP-TRIAL-BAL-2020'!P371</f>
        <v>0</v>
      </c>
      <c r="X371" s="587">
        <f>+'NF-KSF-TRIAL-BAL-2020'!Q371+'RA-TRIAL-BAL-2020'!Q371+'DES-TRIAL-BAL-2020'!Q371+'DMP-TRIAL-BAL-2020'!Q371</f>
        <v>0</v>
      </c>
      <c r="Y371" s="586">
        <f>+'NF-KSF-TRIAL-BAL-2020'!R371+'RA-TRIAL-BAL-2020'!R371+'DES-TRIAL-BAL-2020'!R371+'DMP-TRIAL-BAL-2020'!R371</f>
        <v>0</v>
      </c>
      <c r="Z371" s="587">
        <f>+'NF-KSF-TRIAL-BAL-2020'!S371+'RA-TRIAL-BAL-2020'!S371+'DES-TRIAL-BAL-2020'!S371+'DMP-TRIAL-BAL-2020'!S371</f>
        <v>0</v>
      </c>
      <c r="AA371" s="588">
        <f>+'NF-KSF-TRIAL-BAL-2020'!T371+'RA-TRIAL-BAL-2020'!T371+'DES-TRIAL-BAL-2020'!T371+'DMP-TRIAL-BAL-2020'!T371</f>
        <v>0</v>
      </c>
      <c r="AB371" s="51"/>
      <c r="AC371" s="581"/>
      <c r="AD371" s="582">
        <v>0</v>
      </c>
      <c r="AE371" s="325"/>
      <c r="AF371" s="324"/>
      <c r="AG371" s="583">
        <f t="shared" si="206"/>
        <v>0</v>
      </c>
      <c r="AH371" s="584">
        <v>0</v>
      </c>
      <c r="AI371" s="51"/>
      <c r="AJ371" s="1497">
        <f t="shared" si="184"/>
        <v>5815</v>
      </c>
      <c r="AK371" s="951">
        <f t="shared" si="210"/>
        <v>0</v>
      </c>
      <c r="AL371" s="9">
        <v>0</v>
      </c>
      <c r="AM371" s="326">
        <f t="shared" si="211"/>
        <v>0</v>
      </c>
      <c r="AN371" s="970">
        <f t="shared" si="211"/>
        <v>0</v>
      </c>
      <c r="AO371" s="326">
        <f t="shared" si="207"/>
        <v>0</v>
      </c>
      <c r="AP371" s="30">
        <v>0</v>
      </c>
      <c r="AQ371" s="43"/>
      <c r="AR371" s="358">
        <f t="shared" si="197"/>
        <v>0</v>
      </c>
      <c r="AS371" s="359">
        <f t="shared" si="198"/>
        <v>0</v>
      </c>
      <c r="AT371" s="360">
        <f t="shared" si="199"/>
        <v>0</v>
      </c>
      <c r="AU371" s="43"/>
      <c r="AV371" s="2120">
        <f t="shared" si="208"/>
        <v>0</v>
      </c>
      <c r="AW371" s="119"/>
      <c r="AX371" s="2120">
        <f t="shared" si="209"/>
        <v>0</v>
      </c>
      <c r="AY371" s="43"/>
      <c r="AZ371" s="43"/>
      <c r="BA371" s="43"/>
      <c r="BB371" s="43"/>
      <c r="BC371" s="43"/>
      <c r="BD371" s="43"/>
    </row>
    <row r="372" spans="1:56" ht="15.75">
      <c r="A372" s="88">
        <v>5817</v>
      </c>
      <c r="B372" s="378" t="s">
        <v>310</v>
      </c>
      <c r="C372" s="1033"/>
      <c r="D372" s="1033"/>
      <c r="E372" s="1033"/>
      <c r="F372" s="1033"/>
      <c r="G372" s="1033"/>
      <c r="H372" s="1033"/>
      <c r="I372" s="1033"/>
      <c r="J372" s="1033"/>
      <c r="K372" s="1033"/>
      <c r="L372" s="574"/>
      <c r="M372" s="51" t="s">
        <v>265</v>
      </c>
      <c r="N372" s="113">
        <f t="shared" si="200"/>
        <v>5817</v>
      </c>
      <c r="O372" s="581"/>
      <c r="P372" s="582">
        <v>0</v>
      </c>
      <c r="Q372" s="325"/>
      <c r="R372" s="324"/>
      <c r="S372" s="583">
        <f t="shared" si="205"/>
        <v>0</v>
      </c>
      <c r="T372" s="584">
        <v>0</v>
      </c>
      <c r="U372" s="51"/>
      <c r="V372" s="541">
        <f>+'NF-KSF-TRIAL-BAL-2020'!O372+'RA-TRIAL-BAL-2020'!O372+'DES-TRIAL-BAL-2020'!O372+'DMP-TRIAL-BAL-2020'!O372</f>
        <v>0</v>
      </c>
      <c r="W372" s="529">
        <f>+'NF-KSF-TRIAL-BAL-2020'!P372+'RA-TRIAL-BAL-2020'!P372+'DES-TRIAL-BAL-2020'!P372+'DMP-TRIAL-BAL-2020'!P372</f>
        <v>0</v>
      </c>
      <c r="X372" s="587">
        <f>+'NF-KSF-TRIAL-BAL-2020'!Q372+'RA-TRIAL-BAL-2020'!Q372+'DES-TRIAL-BAL-2020'!Q372+'DMP-TRIAL-BAL-2020'!Q372</f>
        <v>0</v>
      </c>
      <c r="Y372" s="586">
        <f>+'NF-KSF-TRIAL-BAL-2020'!R372+'RA-TRIAL-BAL-2020'!R372+'DES-TRIAL-BAL-2020'!R372+'DMP-TRIAL-BAL-2020'!R372</f>
        <v>0</v>
      </c>
      <c r="Z372" s="587">
        <f>+'NF-KSF-TRIAL-BAL-2020'!S372+'RA-TRIAL-BAL-2020'!S372+'DES-TRIAL-BAL-2020'!S372+'DMP-TRIAL-BAL-2020'!S372</f>
        <v>0</v>
      </c>
      <c r="AA372" s="588">
        <f>+'NF-KSF-TRIAL-BAL-2020'!T372+'RA-TRIAL-BAL-2020'!T372+'DES-TRIAL-BAL-2020'!T372+'DMP-TRIAL-BAL-2020'!T372</f>
        <v>0</v>
      </c>
      <c r="AB372" s="51"/>
      <c r="AC372" s="581"/>
      <c r="AD372" s="582">
        <v>0</v>
      </c>
      <c r="AE372" s="325"/>
      <c r="AF372" s="324"/>
      <c r="AG372" s="583">
        <f t="shared" si="206"/>
        <v>0</v>
      </c>
      <c r="AH372" s="584">
        <v>0</v>
      </c>
      <c r="AI372" s="51"/>
      <c r="AJ372" s="1497">
        <f t="shared" si="184"/>
        <v>5817</v>
      </c>
      <c r="AK372" s="951">
        <f t="shared" si="210"/>
        <v>0</v>
      </c>
      <c r="AL372" s="9">
        <v>0</v>
      </c>
      <c r="AM372" s="326">
        <f t="shared" si="211"/>
        <v>0</v>
      </c>
      <c r="AN372" s="970">
        <f t="shared" si="211"/>
        <v>0</v>
      </c>
      <c r="AO372" s="326">
        <f t="shared" si="207"/>
        <v>0</v>
      </c>
      <c r="AP372" s="30">
        <v>0</v>
      </c>
      <c r="AQ372" s="43"/>
      <c r="AR372" s="358">
        <f t="shared" si="197"/>
        <v>0</v>
      </c>
      <c r="AS372" s="359">
        <f t="shared" si="198"/>
        <v>0</v>
      </c>
      <c r="AT372" s="360">
        <f t="shared" si="199"/>
        <v>0</v>
      </c>
      <c r="AU372" s="43"/>
      <c r="AV372" s="2120">
        <f t="shared" si="208"/>
        <v>0</v>
      </c>
      <c r="AW372" s="119"/>
      <c r="AX372" s="2120">
        <f t="shared" si="209"/>
        <v>0</v>
      </c>
      <c r="AY372" s="43"/>
      <c r="AZ372" s="43"/>
      <c r="BA372" s="43"/>
      <c r="BB372" s="43"/>
      <c r="BC372" s="43"/>
      <c r="BD372" s="43"/>
    </row>
    <row r="373" spans="1:56" ht="15.75">
      <c r="A373" s="88">
        <v>5818</v>
      </c>
      <c r="B373" s="378" t="s">
        <v>311</v>
      </c>
      <c r="C373" s="1033"/>
      <c r="D373" s="1033"/>
      <c r="E373" s="1033"/>
      <c r="F373" s="1033"/>
      <c r="G373" s="1033"/>
      <c r="H373" s="1033"/>
      <c r="I373" s="1033"/>
      <c r="J373" s="1033"/>
      <c r="K373" s="1033"/>
      <c r="L373" s="574"/>
      <c r="M373" s="51" t="s">
        <v>265</v>
      </c>
      <c r="N373" s="113">
        <f t="shared" si="200"/>
        <v>5818</v>
      </c>
      <c r="O373" s="581"/>
      <c r="P373" s="582">
        <v>0</v>
      </c>
      <c r="Q373" s="325"/>
      <c r="R373" s="324"/>
      <c r="S373" s="583">
        <f t="shared" si="205"/>
        <v>0</v>
      </c>
      <c r="T373" s="584">
        <v>0</v>
      </c>
      <c r="U373" s="51"/>
      <c r="V373" s="541">
        <f>+'NF-KSF-TRIAL-BAL-2020'!O373+'RA-TRIAL-BAL-2020'!O373+'DES-TRIAL-BAL-2020'!O373+'DMP-TRIAL-BAL-2020'!O373</f>
        <v>0</v>
      </c>
      <c r="W373" s="529">
        <f>+'NF-KSF-TRIAL-BAL-2020'!P373+'RA-TRIAL-BAL-2020'!P373+'DES-TRIAL-BAL-2020'!P373+'DMP-TRIAL-BAL-2020'!P373</f>
        <v>0</v>
      </c>
      <c r="X373" s="587">
        <f>+'NF-KSF-TRIAL-BAL-2020'!Q373+'RA-TRIAL-BAL-2020'!Q373+'DES-TRIAL-BAL-2020'!Q373+'DMP-TRIAL-BAL-2020'!Q373</f>
        <v>0</v>
      </c>
      <c r="Y373" s="586">
        <f>+'NF-KSF-TRIAL-BAL-2020'!R373+'RA-TRIAL-BAL-2020'!R373+'DES-TRIAL-BAL-2020'!R373+'DMP-TRIAL-BAL-2020'!R373</f>
        <v>0</v>
      </c>
      <c r="Z373" s="587">
        <f>+'NF-KSF-TRIAL-BAL-2020'!S373+'RA-TRIAL-BAL-2020'!S373+'DES-TRIAL-BAL-2020'!S373+'DMP-TRIAL-BAL-2020'!S373</f>
        <v>0</v>
      </c>
      <c r="AA373" s="588">
        <f>+'NF-KSF-TRIAL-BAL-2020'!T373+'RA-TRIAL-BAL-2020'!T373+'DES-TRIAL-BAL-2020'!T373+'DMP-TRIAL-BAL-2020'!T373</f>
        <v>0</v>
      </c>
      <c r="AB373" s="51"/>
      <c r="AC373" s="581"/>
      <c r="AD373" s="582">
        <v>0</v>
      </c>
      <c r="AE373" s="325"/>
      <c r="AF373" s="324"/>
      <c r="AG373" s="583">
        <f t="shared" si="206"/>
        <v>0</v>
      </c>
      <c r="AH373" s="584">
        <v>0</v>
      </c>
      <c r="AI373" s="51"/>
      <c r="AJ373" s="1497">
        <f t="shared" si="184"/>
        <v>5818</v>
      </c>
      <c r="AK373" s="951">
        <f t="shared" si="210"/>
        <v>0</v>
      </c>
      <c r="AL373" s="9">
        <v>0</v>
      </c>
      <c r="AM373" s="326">
        <f t="shared" si="211"/>
        <v>0</v>
      </c>
      <c r="AN373" s="970">
        <f t="shared" si="211"/>
        <v>0</v>
      </c>
      <c r="AO373" s="326">
        <f t="shared" si="207"/>
        <v>0</v>
      </c>
      <c r="AP373" s="30">
        <v>0</v>
      </c>
      <c r="AQ373" s="43"/>
      <c r="AR373" s="358">
        <f t="shared" si="197"/>
        <v>0</v>
      </c>
      <c r="AS373" s="359">
        <f t="shared" si="198"/>
        <v>0</v>
      </c>
      <c r="AT373" s="360">
        <f t="shared" si="199"/>
        <v>0</v>
      </c>
      <c r="AU373" s="43"/>
      <c r="AV373" s="2120">
        <f t="shared" si="208"/>
        <v>0</v>
      </c>
      <c r="AW373" s="119"/>
      <c r="AX373" s="2120">
        <f t="shared" si="209"/>
        <v>0</v>
      </c>
      <c r="AY373" s="43"/>
      <c r="AZ373" s="43"/>
      <c r="BA373" s="43"/>
      <c r="BB373" s="43"/>
      <c r="BC373" s="43"/>
      <c r="BD373" s="43"/>
    </row>
    <row r="374" spans="1:56" ht="15.75">
      <c r="A374" s="88">
        <v>5823</v>
      </c>
      <c r="B374" s="378" t="s">
        <v>316</v>
      </c>
      <c r="C374" s="1033"/>
      <c r="D374" s="1033"/>
      <c r="E374" s="1033"/>
      <c r="F374" s="1033"/>
      <c r="G374" s="1033"/>
      <c r="H374" s="1033"/>
      <c r="I374" s="1033"/>
      <c r="J374" s="1033"/>
      <c r="K374" s="1033"/>
      <c r="L374" s="574"/>
      <c r="M374" s="51" t="s">
        <v>265</v>
      </c>
      <c r="N374" s="113">
        <f t="shared" si="200"/>
        <v>5823</v>
      </c>
      <c r="O374" s="581"/>
      <c r="P374" s="582">
        <v>0</v>
      </c>
      <c r="Q374" s="325"/>
      <c r="R374" s="324"/>
      <c r="S374" s="583">
        <f t="shared" si="205"/>
        <v>0</v>
      </c>
      <c r="T374" s="584">
        <v>0</v>
      </c>
      <c r="U374" s="51"/>
      <c r="V374" s="541">
        <f>+'NF-KSF-TRIAL-BAL-2020'!O374+'RA-TRIAL-BAL-2020'!O374+'DES-TRIAL-BAL-2020'!O374+'DMP-TRIAL-BAL-2020'!O374</f>
        <v>0</v>
      </c>
      <c r="W374" s="529">
        <f>+'NF-KSF-TRIAL-BAL-2020'!P374+'RA-TRIAL-BAL-2020'!P374+'DES-TRIAL-BAL-2020'!P374+'DMP-TRIAL-BAL-2020'!P374</f>
        <v>0</v>
      </c>
      <c r="X374" s="587">
        <f>+'NF-KSF-TRIAL-BAL-2020'!Q374+'RA-TRIAL-BAL-2020'!Q374+'DES-TRIAL-BAL-2020'!Q374+'DMP-TRIAL-BAL-2020'!Q374</f>
        <v>0</v>
      </c>
      <c r="Y374" s="586">
        <f>+'NF-KSF-TRIAL-BAL-2020'!R374+'RA-TRIAL-BAL-2020'!R374+'DES-TRIAL-BAL-2020'!R374+'DMP-TRIAL-BAL-2020'!R374</f>
        <v>0</v>
      </c>
      <c r="Z374" s="587">
        <f>+'NF-KSF-TRIAL-BAL-2020'!S374+'RA-TRIAL-BAL-2020'!S374+'DES-TRIAL-BAL-2020'!S374+'DMP-TRIAL-BAL-2020'!S374</f>
        <v>0</v>
      </c>
      <c r="AA374" s="588">
        <f>+'NF-KSF-TRIAL-BAL-2020'!T374+'RA-TRIAL-BAL-2020'!T374+'DES-TRIAL-BAL-2020'!T374+'DMP-TRIAL-BAL-2020'!T374</f>
        <v>0</v>
      </c>
      <c r="AB374" s="51"/>
      <c r="AC374" s="581"/>
      <c r="AD374" s="582">
        <v>0</v>
      </c>
      <c r="AE374" s="122"/>
      <c r="AF374" s="324"/>
      <c r="AG374" s="583">
        <f t="shared" si="206"/>
        <v>0</v>
      </c>
      <c r="AH374" s="584">
        <v>0</v>
      </c>
      <c r="AI374" s="51"/>
      <c r="AJ374" s="1497">
        <f t="shared" si="184"/>
        <v>5823</v>
      </c>
      <c r="AK374" s="951">
        <f t="shared" si="210"/>
        <v>0</v>
      </c>
      <c r="AL374" s="9">
        <v>0</v>
      </c>
      <c r="AM374" s="326">
        <f t="shared" si="211"/>
        <v>0</v>
      </c>
      <c r="AN374" s="970">
        <f t="shared" si="211"/>
        <v>0</v>
      </c>
      <c r="AO374" s="326">
        <f t="shared" si="207"/>
        <v>0</v>
      </c>
      <c r="AP374" s="30">
        <v>0</v>
      </c>
      <c r="AQ374" s="43"/>
      <c r="AR374" s="358">
        <f t="shared" si="197"/>
        <v>0</v>
      </c>
      <c r="AS374" s="359">
        <f t="shared" si="198"/>
        <v>0</v>
      </c>
      <c r="AT374" s="360">
        <f t="shared" si="199"/>
        <v>0</v>
      </c>
      <c r="AU374" s="43"/>
      <c r="AV374" s="2120">
        <f t="shared" si="208"/>
        <v>0</v>
      </c>
      <c r="AW374" s="119"/>
      <c r="AX374" s="2120">
        <f t="shared" si="209"/>
        <v>0</v>
      </c>
      <c r="AY374" s="43"/>
      <c r="AZ374" s="43"/>
      <c r="BA374" s="43"/>
      <c r="BB374" s="43"/>
      <c r="BC374" s="43"/>
      <c r="BD374" s="43"/>
    </row>
    <row r="375" spans="1:56" ht="15.75">
      <c r="A375" s="88">
        <v>5826</v>
      </c>
      <c r="B375" s="378" t="s">
        <v>317</v>
      </c>
      <c r="C375" s="1033"/>
      <c r="D375" s="1033"/>
      <c r="E375" s="1033"/>
      <c r="F375" s="1033"/>
      <c r="G375" s="1033"/>
      <c r="H375" s="1033"/>
      <c r="I375" s="1033"/>
      <c r="J375" s="1033"/>
      <c r="K375" s="1033"/>
      <c r="L375" s="574"/>
      <c r="M375" s="51" t="s">
        <v>265</v>
      </c>
      <c r="N375" s="113">
        <f t="shared" si="200"/>
        <v>5826</v>
      </c>
      <c r="O375" s="581"/>
      <c r="P375" s="582">
        <v>0</v>
      </c>
      <c r="Q375" s="325"/>
      <c r="R375" s="324"/>
      <c r="S375" s="583">
        <f t="shared" si="205"/>
        <v>0</v>
      </c>
      <c r="T375" s="584">
        <v>0</v>
      </c>
      <c r="U375" s="51"/>
      <c r="V375" s="541">
        <f>+'NF-KSF-TRIAL-BAL-2020'!O375+'RA-TRIAL-BAL-2020'!O375+'DES-TRIAL-BAL-2020'!O375+'DMP-TRIAL-BAL-2020'!O375</f>
        <v>0</v>
      </c>
      <c r="W375" s="529">
        <f>+'NF-KSF-TRIAL-BAL-2020'!P375+'RA-TRIAL-BAL-2020'!P375+'DES-TRIAL-BAL-2020'!P375+'DMP-TRIAL-BAL-2020'!P375</f>
        <v>0</v>
      </c>
      <c r="X375" s="587">
        <f>+'NF-KSF-TRIAL-BAL-2020'!Q375+'RA-TRIAL-BAL-2020'!Q375+'DES-TRIAL-BAL-2020'!Q375+'DMP-TRIAL-BAL-2020'!Q375</f>
        <v>0</v>
      </c>
      <c r="Y375" s="586">
        <f>+'NF-KSF-TRIAL-BAL-2020'!R375+'RA-TRIAL-BAL-2020'!R375+'DES-TRIAL-BAL-2020'!R375+'DMP-TRIAL-BAL-2020'!R375</f>
        <v>0</v>
      </c>
      <c r="Z375" s="587">
        <f>+'NF-KSF-TRIAL-BAL-2020'!S375+'RA-TRIAL-BAL-2020'!S375+'DES-TRIAL-BAL-2020'!S375+'DMP-TRIAL-BAL-2020'!S375</f>
        <v>0</v>
      </c>
      <c r="AA375" s="588">
        <f>+'NF-KSF-TRIAL-BAL-2020'!T375+'RA-TRIAL-BAL-2020'!T375+'DES-TRIAL-BAL-2020'!T375+'DMP-TRIAL-BAL-2020'!T375</f>
        <v>0</v>
      </c>
      <c r="AB375" s="51"/>
      <c r="AC375" s="581"/>
      <c r="AD375" s="582">
        <v>0</v>
      </c>
      <c r="AE375" s="122"/>
      <c r="AF375" s="324"/>
      <c r="AG375" s="583">
        <f t="shared" si="206"/>
        <v>0</v>
      </c>
      <c r="AH375" s="584">
        <v>0</v>
      </c>
      <c r="AI375" s="51"/>
      <c r="AJ375" s="1497">
        <f t="shared" si="184"/>
        <v>5826</v>
      </c>
      <c r="AK375" s="951">
        <f t="shared" si="210"/>
        <v>0</v>
      </c>
      <c r="AL375" s="9">
        <v>0</v>
      </c>
      <c r="AM375" s="326">
        <f t="shared" si="211"/>
        <v>0</v>
      </c>
      <c r="AN375" s="970">
        <f t="shared" si="211"/>
        <v>0</v>
      </c>
      <c r="AO375" s="326">
        <f t="shared" si="207"/>
        <v>0</v>
      </c>
      <c r="AP375" s="30">
        <v>0</v>
      </c>
      <c r="AQ375" s="43"/>
      <c r="AR375" s="358">
        <f t="shared" si="197"/>
        <v>0</v>
      </c>
      <c r="AS375" s="359">
        <f t="shared" si="198"/>
        <v>0</v>
      </c>
      <c r="AT375" s="360">
        <f t="shared" si="199"/>
        <v>0</v>
      </c>
      <c r="AU375" s="43"/>
      <c r="AV375" s="2120">
        <f t="shared" si="208"/>
        <v>0</v>
      </c>
      <c r="AW375" s="119"/>
      <c r="AX375" s="2120">
        <f t="shared" si="209"/>
        <v>0</v>
      </c>
      <c r="AY375" s="43"/>
      <c r="AZ375" s="43"/>
      <c r="BA375" s="43"/>
      <c r="BB375" s="43"/>
      <c r="BC375" s="43"/>
      <c r="BD375" s="43"/>
    </row>
    <row r="376" spans="1:56" ht="15.75">
      <c r="A376" s="88">
        <v>5829</v>
      </c>
      <c r="B376" s="378" t="s">
        <v>318</v>
      </c>
      <c r="C376" s="1033"/>
      <c r="D376" s="1033"/>
      <c r="E376" s="1033"/>
      <c r="F376" s="1033"/>
      <c r="G376" s="1033"/>
      <c r="H376" s="1033"/>
      <c r="I376" s="1033"/>
      <c r="J376" s="1033"/>
      <c r="K376" s="1033"/>
      <c r="L376" s="574"/>
      <c r="M376" s="51" t="s">
        <v>265</v>
      </c>
      <c r="N376" s="113">
        <f t="shared" si="200"/>
        <v>5829</v>
      </c>
      <c r="O376" s="581"/>
      <c r="P376" s="582">
        <v>0</v>
      </c>
      <c r="Q376" s="325"/>
      <c r="R376" s="324"/>
      <c r="S376" s="583">
        <f t="shared" si="205"/>
        <v>0</v>
      </c>
      <c r="T376" s="584">
        <v>0</v>
      </c>
      <c r="U376" s="51"/>
      <c r="V376" s="541">
        <f>+'NF-KSF-TRIAL-BAL-2020'!O376+'RA-TRIAL-BAL-2020'!O376+'DES-TRIAL-BAL-2020'!O376+'DMP-TRIAL-BAL-2020'!O376</f>
        <v>0</v>
      </c>
      <c r="W376" s="529">
        <f>+'NF-KSF-TRIAL-BAL-2020'!P376+'RA-TRIAL-BAL-2020'!P376+'DES-TRIAL-BAL-2020'!P376+'DMP-TRIAL-BAL-2020'!P376</f>
        <v>0</v>
      </c>
      <c r="X376" s="587">
        <f>+'NF-KSF-TRIAL-BAL-2020'!Q376+'RA-TRIAL-BAL-2020'!Q376+'DES-TRIAL-BAL-2020'!Q376+'DMP-TRIAL-BAL-2020'!Q376</f>
        <v>0</v>
      </c>
      <c r="Y376" s="586">
        <f>+'NF-KSF-TRIAL-BAL-2020'!R376+'RA-TRIAL-BAL-2020'!R376+'DES-TRIAL-BAL-2020'!R376+'DMP-TRIAL-BAL-2020'!R376</f>
        <v>0</v>
      </c>
      <c r="Z376" s="587">
        <f>+'NF-KSF-TRIAL-BAL-2020'!S376+'RA-TRIAL-BAL-2020'!S376+'DES-TRIAL-BAL-2020'!S376+'DMP-TRIAL-BAL-2020'!S376</f>
        <v>0</v>
      </c>
      <c r="AA376" s="588">
        <f>+'NF-KSF-TRIAL-BAL-2020'!T376+'RA-TRIAL-BAL-2020'!T376+'DES-TRIAL-BAL-2020'!T376+'DMP-TRIAL-BAL-2020'!T376</f>
        <v>0</v>
      </c>
      <c r="AB376" s="51"/>
      <c r="AC376" s="581"/>
      <c r="AD376" s="582">
        <v>0</v>
      </c>
      <c r="AE376" s="325"/>
      <c r="AF376" s="324"/>
      <c r="AG376" s="583">
        <f t="shared" si="206"/>
        <v>0</v>
      </c>
      <c r="AH376" s="584">
        <v>0</v>
      </c>
      <c r="AI376" s="51"/>
      <c r="AJ376" s="1497">
        <f t="shared" si="184"/>
        <v>5829</v>
      </c>
      <c r="AK376" s="951">
        <f t="shared" si="210"/>
        <v>0</v>
      </c>
      <c r="AL376" s="9">
        <v>0</v>
      </c>
      <c r="AM376" s="326">
        <f t="shared" si="211"/>
        <v>0</v>
      </c>
      <c r="AN376" s="970">
        <f t="shared" si="211"/>
        <v>0</v>
      </c>
      <c r="AO376" s="326">
        <f t="shared" si="207"/>
        <v>0</v>
      </c>
      <c r="AP376" s="30">
        <v>0</v>
      </c>
      <c r="AQ376" s="43"/>
      <c r="AR376" s="358">
        <f t="shared" si="197"/>
        <v>0</v>
      </c>
      <c r="AS376" s="359">
        <f t="shared" si="198"/>
        <v>0</v>
      </c>
      <c r="AT376" s="360">
        <f t="shared" si="199"/>
        <v>0</v>
      </c>
      <c r="AU376" s="43"/>
      <c r="AV376" s="2120">
        <f t="shared" si="208"/>
        <v>0</v>
      </c>
      <c r="AW376" s="119"/>
      <c r="AX376" s="2120">
        <f t="shared" si="209"/>
        <v>0</v>
      </c>
      <c r="AY376" s="43"/>
      <c r="AZ376" s="43"/>
      <c r="BA376" s="43"/>
      <c r="BB376" s="43"/>
      <c r="BC376" s="43"/>
      <c r="BD376" s="43"/>
    </row>
    <row r="377" spans="1:56" ht="15.75">
      <c r="A377" s="88">
        <v>5881</v>
      </c>
      <c r="B377" s="378" t="s">
        <v>612</v>
      </c>
      <c r="C377" s="1033"/>
      <c r="D377" s="1033"/>
      <c r="E377" s="1033"/>
      <c r="F377" s="1033"/>
      <c r="G377" s="1033"/>
      <c r="H377" s="1033"/>
      <c r="I377" s="1033"/>
      <c r="J377" s="1033"/>
      <c r="K377" s="1033"/>
      <c r="L377" s="574"/>
      <c r="M377" s="51" t="s">
        <v>265</v>
      </c>
      <c r="N377" s="113">
        <f t="shared" si="200"/>
        <v>5881</v>
      </c>
      <c r="O377" s="581"/>
      <c r="P377" s="582">
        <v>0</v>
      </c>
      <c r="Q377" s="325"/>
      <c r="R377" s="324"/>
      <c r="S377" s="583">
        <f t="shared" si="205"/>
        <v>0</v>
      </c>
      <c r="T377" s="584">
        <v>0</v>
      </c>
      <c r="U377" s="51"/>
      <c r="V377" s="541">
        <f>+'NF-KSF-TRIAL-BAL-2020'!O377+'RA-TRIAL-BAL-2020'!O377+'DES-TRIAL-BAL-2020'!O377+'DMP-TRIAL-BAL-2020'!O377</f>
        <v>0</v>
      </c>
      <c r="W377" s="529">
        <f>+'NF-KSF-TRIAL-BAL-2020'!P377+'RA-TRIAL-BAL-2020'!P377+'DES-TRIAL-BAL-2020'!P377+'DMP-TRIAL-BAL-2020'!P377</f>
        <v>0</v>
      </c>
      <c r="X377" s="587">
        <f>+'NF-KSF-TRIAL-BAL-2020'!Q377+'RA-TRIAL-BAL-2020'!Q377+'DES-TRIAL-BAL-2020'!Q377+'DMP-TRIAL-BAL-2020'!Q377</f>
        <v>0</v>
      </c>
      <c r="Y377" s="586">
        <f>+'NF-KSF-TRIAL-BAL-2020'!R377+'RA-TRIAL-BAL-2020'!R377+'DES-TRIAL-BAL-2020'!R377+'DMP-TRIAL-BAL-2020'!R377</f>
        <v>0</v>
      </c>
      <c r="Z377" s="587">
        <f>+'NF-KSF-TRIAL-BAL-2020'!S377+'RA-TRIAL-BAL-2020'!S377+'DES-TRIAL-BAL-2020'!S377+'DMP-TRIAL-BAL-2020'!S377</f>
        <v>0</v>
      </c>
      <c r="AA377" s="588">
        <f>+'NF-KSF-TRIAL-BAL-2020'!T377+'RA-TRIAL-BAL-2020'!T377+'DES-TRIAL-BAL-2020'!T377+'DMP-TRIAL-BAL-2020'!T377</f>
        <v>0</v>
      </c>
      <c r="AB377" s="51"/>
      <c r="AC377" s="581"/>
      <c r="AD377" s="582">
        <v>0</v>
      </c>
      <c r="AE377" s="325"/>
      <c r="AF377" s="324"/>
      <c r="AG377" s="583">
        <f t="shared" si="206"/>
        <v>0</v>
      </c>
      <c r="AH377" s="584">
        <v>0</v>
      </c>
      <c r="AI377" s="51"/>
      <c r="AJ377" s="1497">
        <f t="shared" si="184"/>
        <v>5881</v>
      </c>
      <c r="AK377" s="951">
        <f>+ROUND(+O377+V377+AC377,2)</f>
        <v>0</v>
      </c>
      <c r="AL377" s="9">
        <v>0</v>
      </c>
      <c r="AM377" s="326">
        <f t="shared" si="211"/>
        <v>0</v>
      </c>
      <c r="AN377" s="970">
        <f t="shared" si="211"/>
        <v>0</v>
      </c>
      <c r="AO377" s="326">
        <f t="shared" si="207"/>
        <v>0</v>
      </c>
      <c r="AP377" s="30">
        <v>0</v>
      </c>
      <c r="AQ377" s="43"/>
      <c r="AR377" s="358">
        <f t="shared" si="197"/>
        <v>0</v>
      </c>
      <c r="AS377" s="359">
        <f t="shared" si="198"/>
        <v>0</v>
      </c>
      <c r="AT377" s="360">
        <f t="shared" si="199"/>
        <v>0</v>
      </c>
      <c r="AU377" s="43"/>
      <c r="AV377" s="2120">
        <f t="shared" si="208"/>
        <v>0</v>
      </c>
      <c r="AW377" s="119"/>
      <c r="AX377" s="2120">
        <f t="shared" si="209"/>
        <v>0</v>
      </c>
      <c r="AY377" s="43"/>
      <c r="AZ377" s="43"/>
      <c r="BA377" s="43"/>
      <c r="BB377" s="43"/>
      <c r="BC377" s="43"/>
      <c r="BD377" s="43"/>
    </row>
    <row r="378" spans="1:56" ht="15.75">
      <c r="A378" s="88">
        <v>5882</v>
      </c>
      <c r="B378" s="378" t="s">
        <v>613</v>
      </c>
      <c r="C378" s="1033"/>
      <c r="D378" s="1033"/>
      <c r="E378" s="1033"/>
      <c r="F378" s="1033"/>
      <c r="G378" s="1033"/>
      <c r="H378" s="1033"/>
      <c r="I378" s="1033"/>
      <c r="J378" s="1033"/>
      <c r="K378" s="1033"/>
      <c r="L378" s="574"/>
      <c r="M378" s="51" t="s">
        <v>265</v>
      </c>
      <c r="N378" s="113">
        <f t="shared" si="200"/>
        <v>5882</v>
      </c>
      <c r="O378" s="581"/>
      <c r="P378" s="582">
        <v>0</v>
      </c>
      <c r="Q378" s="325"/>
      <c r="R378" s="324"/>
      <c r="S378" s="583">
        <f t="shared" si="205"/>
        <v>0</v>
      </c>
      <c r="T378" s="584">
        <v>0</v>
      </c>
      <c r="U378" s="51"/>
      <c r="V378" s="541">
        <f>+'NF-KSF-TRIAL-BAL-2020'!O378+'RA-TRIAL-BAL-2020'!O378+'DES-TRIAL-BAL-2020'!O378+'DMP-TRIAL-BAL-2020'!O378</f>
        <v>0</v>
      </c>
      <c r="W378" s="529">
        <f>+'NF-KSF-TRIAL-BAL-2020'!P378+'RA-TRIAL-BAL-2020'!P378+'DES-TRIAL-BAL-2020'!P378+'DMP-TRIAL-BAL-2020'!P378</f>
        <v>0</v>
      </c>
      <c r="X378" s="587">
        <f>+'NF-KSF-TRIAL-BAL-2020'!Q378+'RA-TRIAL-BAL-2020'!Q378+'DES-TRIAL-BAL-2020'!Q378+'DMP-TRIAL-BAL-2020'!Q378</f>
        <v>0</v>
      </c>
      <c r="Y378" s="586">
        <f>+'NF-KSF-TRIAL-BAL-2020'!R378+'RA-TRIAL-BAL-2020'!R378+'DES-TRIAL-BAL-2020'!R378+'DMP-TRIAL-BAL-2020'!R378</f>
        <v>0</v>
      </c>
      <c r="Z378" s="587">
        <f>+'NF-KSF-TRIAL-BAL-2020'!S378+'RA-TRIAL-BAL-2020'!S378+'DES-TRIAL-BAL-2020'!S378+'DMP-TRIAL-BAL-2020'!S378</f>
        <v>0</v>
      </c>
      <c r="AA378" s="588">
        <f>+'NF-KSF-TRIAL-BAL-2020'!T378+'RA-TRIAL-BAL-2020'!T378+'DES-TRIAL-BAL-2020'!T378+'DMP-TRIAL-BAL-2020'!T378</f>
        <v>0</v>
      </c>
      <c r="AB378" s="51"/>
      <c r="AC378" s="581"/>
      <c r="AD378" s="582">
        <v>0</v>
      </c>
      <c r="AE378" s="325"/>
      <c r="AF378" s="324"/>
      <c r="AG378" s="583">
        <f t="shared" si="206"/>
        <v>0</v>
      </c>
      <c r="AH378" s="584">
        <v>0</v>
      </c>
      <c r="AI378" s="51"/>
      <c r="AJ378" s="1497">
        <f t="shared" si="184"/>
        <v>5882</v>
      </c>
      <c r="AK378" s="951">
        <f>+ROUND(+O378+V378+AC378,2)</f>
        <v>0</v>
      </c>
      <c r="AL378" s="9">
        <v>0</v>
      </c>
      <c r="AM378" s="326">
        <f t="shared" si="211"/>
        <v>0</v>
      </c>
      <c r="AN378" s="970">
        <f t="shared" si="211"/>
        <v>0</v>
      </c>
      <c r="AO378" s="326">
        <f t="shared" si="207"/>
        <v>0</v>
      </c>
      <c r="AP378" s="30">
        <v>0</v>
      </c>
      <c r="AQ378" s="43"/>
      <c r="AR378" s="358">
        <f t="shared" si="197"/>
        <v>0</v>
      </c>
      <c r="AS378" s="359">
        <f t="shared" si="198"/>
        <v>0</v>
      </c>
      <c r="AT378" s="360">
        <f t="shared" si="199"/>
        <v>0</v>
      </c>
      <c r="AU378" s="43"/>
      <c r="AV378" s="2120">
        <f t="shared" si="208"/>
        <v>0</v>
      </c>
      <c r="AW378" s="119"/>
      <c r="AX378" s="2120">
        <f t="shared" si="209"/>
        <v>0</v>
      </c>
      <c r="AY378" s="43"/>
      <c r="AZ378" s="43"/>
      <c r="BA378" s="43"/>
      <c r="BB378" s="43"/>
      <c r="BC378" s="43"/>
      <c r="BD378" s="43"/>
    </row>
    <row r="379" spans="1:56" ht="15.75">
      <c r="A379" s="88">
        <v>5889</v>
      </c>
      <c r="B379" s="378" t="s">
        <v>614</v>
      </c>
      <c r="C379" s="1033"/>
      <c r="D379" s="1033"/>
      <c r="E379" s="1033"/>
      <c r="F379" s="1033"/>
      <c r="G379" s="1033"/>
      <c r="H379" s="1033"/>
      <c r="I379" s="1033"/>
      <c r="J379" s="1033"/>
      <c r="K379" s="1033"/>
      <c r="L379" s="574"/>
      <c r="M379" s="51" t="s">
        <v>265</v>
      </c>
      <c r="N379" s="113">
        <f t="shared" si="200"/>
        <v>5889</v>
      </c>
      <c r="O379" s="581"/>
      <c r="P379" s="582">
        <v>0</v>
      </c>
      <c r="Q379" s="325"/>
      <c r="R379" s="324"/>
      <c r="S379" s="583">
        <f t="shared" si="205"/>
        <v>0</v>
      </c>
      <c r="T379" s="584">
        <v>0</v>
      </c>
      <c r="U379" s="51"/>
      <c r="V379" s="541">
        <f>+'NF-KSF-TRIAL-BAL-2020'!O379+'RA-TRIAL-BAL-2020'!O379+'DES-TRIAL-BAL-2020'!O379+'DMP-TRIAL-BAL-2020'!O379</f>
        <v>0</v>
      </c>
      <c r="W379" s="529">
        <f>+'NF-KSF-TRIAL-BAL-2020'!P379+'RA-TRIAL-BAL-2020'!P379+'DES-TRIAL-BAL-2020'!P379+'DMP-TRIAL-BAL-2020'!P379</f>
        <v>0</v>
      </c>
      <c r="X379" s="587">
        <f>+'NF-KSF-TRIAL-BAL-2020'!Q379+'RA-TRIAL-BAL-2020'!Q379+'DES-TRIAL-BAL-2020'!Q379+'DMP-TRIAL-BAL-2020'!Q379</f>
        <v>0</v>
      </c>
      <c r="Y379" s="586">
        <f>+'NF-KSF-TRIAL-BAL-2020'!R379+'RA-TRIAL-BAL-2020'!R379+'DES-TRIAL-BAL-2020'!R379+'DMP-TRIAL-BAL-2020'!R379</f>
        <v>0</v>
      </c>
      <c r="Z379" s="587">
        <f>+'NF-KSF-TRIAL-BAL-2020'!S379+'RA-TRIAL-BAL-2020'!S379+'DES-TRIAL-BAL-2020'!S379+'DMP-TRIAL-BAL-2020'!S379</f>
        <v>0</v>
      </c>
      <c r="AA379" s="588">
        <f>+'NF-KSF-TRIAL-BAL-2020'!T379+'RA-TRIAL-BAL-2020'!T379+'DES-TRIAL-BAL-2020'!T379+'DMP-TRIAL-BAL-2020'!T379</f>
        <v>0</v>
      </c>
      <c r="AB379" s="51"/>
      <c r="AC379" s="581"/>
      <c r="AD379" s="582">
        <v>0</v>
      </c>
      <c r="AE379" s="325"/>
      <c r="AF379" s="324"/>
      <c r="AG379" s="583">
        <f t="shared" si="206"/>
        <v>0</v>
      </c>
      <c r="AH379" s="584">
        <v>0</v>
      </c>
      <c r="AI379" s="51"/>
      <c r="AJ379" s="1497">
        <f t="shared" si="184"/>
        <v>5889</v>
      </c>
      <c r="AK379" s="951">
        <f>+ROUND(+O379+V379+AC379,2)</f>
        <v>0</v>
      </c>
      <c r="AL379" s="9">
        <v>0</v>
      </c>
      <c r="AM379" s="326">
        <f t="shared" si="211"/>
        <v>0</v>
      </c>
      <c r="AN379" s="970">
        <f t="shared" si="211"/>
        <v>0</v>
      </c>
      <c r="AO379" s="326">
        <f t="shared" si="207"/>
        <v>0</v>
      </c>
      <c r="AP379" s="30">
        <v>0</v>
      </c>
      <c r="AQ379" s="43"/>
      <c r="AR379" s="358">
        <f t="shared" si="197"/>
        <v>0</v>
      </c>
      <c r="AS379" s="359">
        <f t="shared" si="198"/>
        <v>0</v>
      </c>
      <c r="AT379" s="360">
        <f t="shared" si="199"/>
        <v>0</v>
      </c>
      <c r="AU379" s="43"/>
      <c r="AV379" s="2120">
        <f t="shared" si="208"/>
        <v>0</v>
      </c>
      <c r="AW379" s="119"/>
      <c r="AX379" s="2120">
        <f t="shared" si="209"/>
        <v>0</v>
      </c>
      <c r="AY379" s="43"/>
      <c r="AZ379" s="43"/>
      <c r="BA379" s="43"/>
      <c r="BB379" s="43"/>
      <c r="BC379" s="43"/>
      <c r="BD379" s="43"/>
    </row>
    <row r="380" spans="1:56" ht="15.75">
      <c r="A380" s="88">
        <v>5891</v>
      </c>
      <c r="B380" s="378" t="s">
        <v>319</v>
      </c>
      <c r="C380" s="1033"/>
      <c r="D380" s="1033"/>
      <c r="E380" s="1033"/>
      <c r="F380" s="1033"/>
      <c r="G380" s="1033"/>
      <c r="H380" s="1033"/>
      <c r="I380" s="1033"/>
      <c r="J380" s="1033"/>
      <c r="K380" s="1033"/>
      <c r="L380" s="574"/>
      <c r="M380" s="51" t="s">
        <v>265</v>
      </c>
      <c r="N380" s="113">
        <f t="shared" si="200"/>
        <v>5891</v>
      </c>
      <c r="O380" s="575">
        <v>0</v>
      </c>
      <c r="P380" s="576"/>
      <c r="Q380" s="325"/>
      <c r="R380" s="324"/>
      <c r="S380" s="579">
        <v>0</v>
      </c>
      <c r="T380" s="580">
        <f>+IF(ABS(+O380+Q380)&lt;=ABS(P380+R380),-O380+P380-Q380+R380,0)</f>
        <v>0</v>
      </c>
      <c r="U380" s="51"/>
      <c r="V380" s="541">
        <f>+'NF-KSF-TRIAL-BAL-2020'!O380+'RA-TRIAL-BAL-2020'!O380+'DES-TRIAL-BAL-2020'!O380+'DMP-TRIAL-BAL-2020'!O380</f>
        <v>0</v>
      </c>
      <c r="W380" s="529">
        <f>+'NF-KSF-TRIAL-BAL-2020'!P380+'RA-TRIAL-BAL-2020'!P380+'DES-TRIAL-BAL-2020'!P380+'DMP-TRIAL-BAL-2020'!P380</f>
        <v>0</v>
      </c>
      <c r="X380" s="587">
        <f>+'NF-KSF-TRIAL-BAL-2020'!Q380+'RA-TRIAL-BAL-2020'!Q380+'DES-TRIAL-BAL-2020'!Q380+'DMP-TRIAL-BAL-2020'!Q380</f>
        <v>0</v>
      </c>
      <c r="Y380" s="586">
        <f>+'NF-KSF-TRIAL-BAL-2020'!R380+'RA-TRIAL-BAL-2020'!R380+'DES-TRIAL-BAL-2020'!R380+'DMP-TRIAL-BAL-2020'!R380</f>
        <v>0</v>
      </c>
      <c r="Z380" s="587">
        <f>+'NF-KSF-TRIAL-BAL-2020'!S380+'RA-TRIAL-BAL-2020'!S380+'DES-TRIAL-BAL-2020'!S380+'DMP-TRIAL-BAL-2020'!S380</f>
        <v>0</v>
      </c>
      <c r="AA380" s="588">
        <f>+'NF-KSF-TRIAL-BAL-2020'!T380+'RA-TRIAL-BAL-2020'!T380+'DES-TRIAL-BAL-2020'!T380+'DMP-TRIAL-BAL-2020'!T380</f>
        <v>0</v>
      </c>
      <c r="AB380" s="51"/>
      <c r="AC380" s="575">
        <v>0</v>
      </c>
      <c r="AD380" s="576"/>
      <c r="AE380" s="122"/>
      <c r="AF380" s="121"/>
      <c r="AG380" s="579">
        <v>0</v>
      </c>
      <c r="AH380" s="580">
        <f>+IF(ABS(+AC380+AE380)&lt;=ABS(AD380+AF380),-AC380+AD380-AE380+AF380,0)</f>
        <v>0</v>
      </c>
      <c r="AI380" s="51"/>
      <c r="AJ380" s="1497">
        <f t="shared" si="184"/>
        <v>5891</v>
      </c>
      <c r="AK380" s="951">
        <f t="shared" si="210"/>
        <v>0</v>
      </c>
      <c r="AL380" s="970">
        <f>+ROUND(+P380+W380+AD380,2)</f>
        <v>0</v>
      </c>
      <c r="AM380" s="326">
        <f t="shared" si="211"/>
        <v>0</v>
      </c>
      <c r="AN380" s="970">
        <f t="shared" si="211"/>
        <v>0</v>
      </c>
      <c r="AO380" s="326">
        <f t="shared" si="207"/>
        <v>0</v>
      </c>
      <c r="AP380" s="327">
        <f t="shared" si="207"/>
        <v>0</v>
      </c>
      <c r="AQ380" s="43"/>
      <c r="AR380" s="358">
        <f t="shared" si="197"/>
        <v>0</v>
      </c>
      <c r="AS380" s="359">
        <f t="shared" si="198"/>
        <v>0</v>
      </c>
      <c r="AT380" s="360">
        <f t="shared" si="199"/>
        <v>0</v>
      </c>
      <c r="AU380" s="43"/>
      <c r="AV380" s="2119">
        <f>+IF(OR(+ROUND(O380,2)+ROUND(Q380,2)&gt;ROUND(P380,2)+ROUND(R380,2),+ABS(ROUND(O380,2)+ROUND(Q380,2))&gt;+ABS(ROUND(P380,2)+ROUND(R380,2))),+(ROUND(O380,2)+ROUND(Q380,2))-(ROUND(P380,2)+ROUND(R380,2)),0)</f>
        <v>0</v>
      </c>
      <c r="AW380" s="119"/>
      <c r="AX380" s="2119">
        <f>+IF(OR(+ROUND(AC380,2)+ROUND(AE380,2)&gt;ROUND(AD380,2)+ROUND(AF380,2),+ABS(ROUND(AC380,2)+ROUND(AE380,2))&gt;+ABS(ROUND(AD380,2)+ROUND(AF380,2))),+(ROUND(AC380,2)+ROUND(AE380,2))-(ROUND(AD380,2)+ROUND(AF380,2)),0)</f>
        <v>0</v>
      </c>
      <c r="AY380" s="43"/>
      <c r="AZ380" s="43"/>
      <c r="BA380" s="43"/>
      <c r="BB380" s="43"/>
      <c r="BC380" s="43"/>
      <c r="BD380" s="43"/>
    </row>
    <row r="381" spans="1:56" ht="15.75">
      <c r="A381" s="591">
        <v>5892</v>
      </c>
      <c r="B381" s="1046" t="s">
        <v>320</v>
      </c>
      <c r="C381" s="1033"/>
      <c r="D381" s="1033"/>
      <c r="E381" s="1033"/>
      <c r="F381" s="1033"/>
      <c r="G381" s="1033"/>
      <c r="H381" s="1033"/>
      <c r="I381" s="1033"/>
      <c r="J381" s="1033"/>
      <c r="K381" s="1033"/>
      <c r="L381" s="574"/>
      <c r="M381" s="51" t="s">
        <v>265</v>
      </c>
      <c r="N381" s="113">
        <f t="shared" si="200"/>
        <v>5892</v>
      </c>
      <c r="O381" s="575">
        <v>0</v>
      </c>
      <c r="P381" s="576"/>
      <c r="Q381" s="325"/>
      <c r="R381" s="324"/>
      <c r="S381" s="579">
        <v>0</v>
      </c>
      <c r="T381" s="580">
        <f>+IF(ABS(+O381+Q381)&lt;=ABS(P381+R381),-O381+P381-Q381+R381,0)</f>
        <v>0</v>
      </c>
      <c r="U381" s="51"/>
      <c r="V381" s="541">
        <f>+'NF-KSF-TRIAL-BAL-2020'!O381+'RA-TRIAL-BAL-2020'!O381+'DES-TRIAL-BAL-2020'!O381+'DMP-TRIAL-BAL-2020'!O381</f>
        <v>0</v>
      </c>
      <c r="W381" s="529">
        <f>+'NF-KSF-TRIAL-BAL-2020'!P381+'RA-TRIAL-BAL-2020'!P381+'DES-TRIAL-BAL-2020'!P381+'DMP-TRIAL-BAL-2020'!P381</f>
        <v>0</v>
      </c>
      <c r="X381" s="587">
        <f>+'NF-KSF-TRIAL-BAL-2020'!Q381+'RA-TRIAL-BAL-2020'!Q381+'DES-TRIAL-BAL-2020'!Q381+'DMP-TRIAL-BAL-2020'!Q381</f>
        <v>0</v>
      </c>
      <c r="Y381" s="586">
        <f>+'NF-KSF-TRIAL-BAL-2020'!R381+'RA-TRIAL-BAL-2020'!R381+'DES-TRIAL-BAL-2020'!R381+'DMP-TRIAL-BAL-2020'!R381</f>
        <v>0</v>
      </c>
      <c r="Z381" s="587">
        <f>+'NF-KSF-TRIAL-BAL-2020'!S381+'RA-TRIAL-BAL-2020'!S381+'DES-TRIAL-BAL-2020'!S381+'DMP-TRIAL-BAL-2020'!S381</f>
        <v>0</v>
      </c>
      <c r="AA381" s="588">
        <f>+'NF-KSF-TRIAL-BAL-2020'!T381+'RA-TRIAL-BAL-2020'!T381+'DES-TRIAL-BAL-2020'!T381+'DMP-TRIAL-BAL-2020'!T381</f>
        <v>0</v>
      </c>
      <c r="AB381" s="51"/>
      <c r="AC381" s="575">
        <v>0</v>
      </c>
      <c r="AD381" s="576"/>
      <c r="AE381" s="122"/>
      <c r="AF381" s="121"/>
      <c r="AG381" s="579">
        <v>0</v>
      </c>
      <c r="AH381" s="580">
        <f>+IF(ABS(+AC381+AE381)&lt;=ABS(AD381+AF381),-AC381+AD381-AE381+AF381,0)</f>
        <v>0</v>
      </c>
      <c r="AI381" s="51"/>
      <c r="AJ381" s="1497">
        <f t="shared" si="184"/>
        <v>5892</v>
      </c>
      <c r="AK381" s="951">
        <f t="shared" si="210"/>
        <v>0</v>
      </c>
      <c r="AL381" s="970">
        <f>+ROUND(+P381+W381+AD381,2)</f>
        <v>0</v>
      </c>
      <c r="AM381" s="326">
        <f t="shared" si="211"/>
        <v>0</v>
      </c>
      <c r="AN381" s="970">
        <f t="shared" si="211"/>
        <v>0</v>
      </c>
      <c r="AO381" s="326">
        <f t="shared" si="207"/>
        <v>0</v>
      </c>
      <c r="AP381" s="327">
        <f t="shared" si="207"/>
        <v>0</v>
      </c>
      <c r="AQ381" s="43"/>
      <c r="AR381" s="358">
        <f t="shared" si="197"/>
        <v>0</v>
      </c>
      <c r="AS381" s="359">
        <f t="shared" si="198"/>
        <v>0</v>
      </c>
      <c r="AT381" s="360">
        <f t="shared" si="199"/>
        <v>0</v>
      </c>
      <c r="AU381" s="43"/>
      <c r="AV381" s="2119">
        <f>+IF(OR(+ROUND(O381,2)+ROUND(Q381,2)&gt;ROUND(P381,2)+ROUND(R381,2),+ABS(ROUND(O381,2)+ROUND(Q381,2))&gt;+ABS(ROUND(P381,2)+ROUND(R381,2))),+(ROUND(O381,2)+ROUND(Q381,2))-(ROUND(P381,2)+ROUND(R381,2)),0)</f>
        <v>0</v>
      </c>
      <c r="AW381" s="119"/>
      <c r="AX381" s="2119">
        <f>+IF(OR(+ROUND(AC381,2)+ROUND(AE381,2)&gt;ROUND(AD381,2)+ROUND(AF381,2),+ABS(ROUND(AC381,2)+ROUND(AE381,2))&gt;+ABS(ROUND(AD381,2)+ROUND(AF381,2))),+(ROUND(AC381,2)+ROUND(AE381,2))-(ROUND(AD381,2)+ROUND(AF381,2)),0)</f>
        <v>0</v>
      </c>
      <c r="AY381" s="43"/>
      <c r="AZ381" s="43"/>
      <c r="BA381" s="43"/>
      <c r="BB381" s="43"/>
      <c r="BC381" s="43"/>
      <c r="BD381" s="43"/>
    </row>
    <row r="382" spans="1:56" ht="15.75">
      <c r="A382" s="1047">
        <v>5894</v>
      </c>
      <c r="B382" s="1048" t="s">
        <v>321</v>
      </c>
      <c r="C382" s="1049"/>
      <c r="D382" s="1049"/>
      <c r="E382" s="1049"/>
      <c r="F382" s="1049"/>
      <c r="G382" s="1049"/>
      <c r="H382" s="1049"/>
      <c r="I382" s="1049"/>
      <c r="J382" s="1049"/>
      <c r="K382" s="1049"/>
      <c r="L382" s="1050"/>
      <c r="M382" s="51" t="s">
        <v>265</v>
      </c>
      <c r="N382" s="113">
        <f t="shared" si="200"/>
        <v>5894</v>
      </c>
      <c r="O382" s="856">
        <v>0</v>
      </c>
      <c r="P382" s="597"/>
      <c r="Q382" s="325"/>
      <c r="R382" s="324"/>
      <c r="S382" s="857">
        <v>0</v>
      </c>
      <c r="T382" s="599">
        <f>+IF(ABS(+O382+Q382)&lt;=ABS(P382+R382),-O382+P382-Q382+R382,0)</f>
        <v>0</v>
      </c>
      <c r="U382" s="51"/>
      <c r="V382" s="544">
        <f>+'NF-KSF-TRIAL-BAL-2020'!O382+'RA-TRIAL-BAL-2020'!O382+'DES-TRIAL-BAL-2020'!O382+'DMP-TRIAL-BAL-2020'!O382</f>
        <v>0</v>
      </c>
      <c r="W382" s="542">
        <f>+'NF-KSF-TRIAL-BAL-2020'!P382+'RA-TRIAL-BAL-2020'!P382+'DES-TRIAL-BAL-2020'!P382+'DMP-TRIAL-BAL-2020'!P382</f>
        <v>0</v>
      </c>
      <c r="X382" s="602">
        <f>+'NF-KSF-TRIAL-BAL-2020'!Q382+'RA-TRIAL-BAL-2020'!Q382+'DES-TRIAL-BAL-2020'!Q382+'DMP-TRIAL-BAL-2020'!Q382</f>
        <v>0</v>
      </c>
      <c r="Y382" s="601">
        <f>+'NF-KSF-TRIAL-BAL-2020'!R382+'RA-TRIAL-BAL-2020'!R382+'DES-TRIAL-BAL-2020'!R382+'DMP-TRIAL-BAL-2020'!R382</f>
        <v>0</v>
      </c>
      <c r="Z382" s="602">
        <f>+'NF-KSF-TRIAL-BAL-2020'!S382+'RA-TRIAL-BAL-2020'!S382+'DES-TRIAL-BAL-2020'!S382+'DMP-TRIAL-BAL-2020'!S382</f>
        <v>0</v>
      </c>
      <c r="AA382" s="603">
        <f>+'NF-KSF-TRIAL-BAL-2020'!T382+'RA-TRIAL-BAL-2020'!T382+'DES-TRIAL-BAL-2020'!T382+'DMP-TRIAL-BAL-2020'!T382</f>
        <v>0</v>
      </c>
      <c r="AB382" s="51"/>
      <c r="AC382" s="856">
        <v>0</v>
      </c>
      <c r="AD382" s="597"/>
      <c r="AE382" s="325"/>
      <c r="AF382" s="324"/>
      <c r="AG382" s="857">
        <v>0</v>
      </c>
      <c r="AH382" s="599">
        <f>+IF(ABS(+AC382+AE382)&lt;=ABS(AD382+AF382),-AC382+AD382-AE382+AF382,0)</f>
        <v>0</v>
      </c>
      <c r="AI382" s="51"/>
      <c r="AJ382" s="1498">
        <f t="shared" si="184"/>
        <v>5894</v>
      </c>
      <c r="AK382" s="1500">
        <f t="shared" si="210"/>
        <v>0</v>
      </c>
      <c r="AL382" s="1499">
        <f>+ROUND(+P382+W382+AD382,2)</f>
        <v>0</v>
      </c>
      <c r="AM382" s="1057">
        <f t="shared" si="211"/>
        <v>0</v>
      </c>
      <c r="AN382" s="1499">
        <f t="shared" si="211"/>
        <v>0</v>
      </c>
      <c r="AO382" s="1057">
        <f t="shared" si="207"/>
        <v>0</v>
      </c>
      <c r="AP382" s="1058">
        <f t="shared" si="207"/>
        <v>0</v>
      </c>
      <c r="AQ382" s="43"/>
      <c r="AR382" s="389">
        <f t="shared" si="197"/>
        <v>0</v>
      </c>
      <c r="AS382" s="390">
        <f t="shared" si="198"/>
        <v>0</v>
      </c>
      <c r="AT382" s="391">
        <f t="shared" si="199"/>
        <v>0</v>
      </c>
      <c r="AU382" s="43"/>
      <c r="AV382" s="2119">
        <f>+IF(OR(+ROUND(O382,2)+ROUND(Q382,2)&gt;ROUND(P382,2)+ROUND(R382,2),+ABS(ROUND(O382,2)+ROUND(Q382,2))&gt;+ABS(ROUND(P382,2)+ROUND(R382,2))),+(ROUND(O382,2)+ROUND(Q382,2))-(ROUND(P382,2)+ROUND(R382,2)),0)</f>
        <v>0</v>
      </c>
      <c r="AW382" s="119"/>
      <c r="AX382" s="2119">
        <f>+IF(OR(+ROUND(AC382,2)+ROUND(AE382,2)&gt;ROUND(AD382,2)+ROUND(AF382,2),+ABS(ROUND(AC382,2)+ROUND(AE382,2))&gt;+ABS(ROUND(AD382,2)+ROUND(AF382,2))),+(ROUND(AC382,2)+ROUND(AE382,2))-(ROUND(AD382,2)+ROUND(AF382,2)),0)</f>
        <v>0</v>
      </c>
      <c r="AY382" s="43"/>
      <c r="AZ382" s="43"/>
      <c r="BA382" s="43"/>
      <c r="BB382" s="43"/>
      <c r="BC382" s="43"/>
      <c r="BD382" s="43"/>
    </row>
    <row r="383" spans="1:56" ht="15.75">
      <c r="A383" s="398" t="s">
        <v>472</v>
      </c>
      <c r="B383" s="399"/>
      <c r="C383" s="399"/>
      <c r="D383" s="399"/>
      <c r="E383" s="399"/>
      <c r="F383" s="399"/>
      <c r="G383" s="399"/>
      <c r="H383" s="399"/>
      <c r="I383" s="399"/>
      <c r="J383" s="399"/>
      <c r="K383" s="399"/>
      <c r="L383" s="381"/>
      <c r="M383" s="51" t="s">
        <v>265</v>
      </c>
      <c r="N383" s="383">
        <v>6</v>
      </c>
      <c r="O383" s="384"/>
      <c r="P383" s="385"/>
      <c r="Q383" s="386"/>
      <c r="R383" s="385"/>
      <c r="S383" s="386"/>
      <c r="T383" s="387"/>
      <c r="U383" s="51"/>
      <c r="V383" s="545"/>
      <c r="W383" s="533"/>
      <c r="X383" s="532"/>
      <c r="Y383" s="533"/>
      <c r="Z383" s="532"/>
      <c r="AA383" s="534"/>
      <c r="AB383" s="51"/>
      <c r="AC383" s="384"/>
      <c r="AD383" s="385"/>
      <c r="AE383" s="386"/>
      <c r="AF383" s="385"/>
      <c r="AG383" s="386"/>
      <c r="AH383" s="387"/>
      <c r="AI383" s="51"/>
      <c r="AJ383" s="388">
        <f t="shared" si="184"/>
        <v>6</v>
      </c>
      <c r="AK383" s="384"/>
      <c r="AL383" s="385"/>
      <c r="AM383" s="386"/>
      <c r="AN383" s="385"/>
      <c r="AO383" s="386"/>
      <c r="AP383" s="387"/>
      <c r="AQ383" s="43"/>
      <c r="AR383" s="392"/>
      <c r="AS383" s="393"/>
      <c r="AT383" s="394"/>
      <c r="AU383" s="43"/>
      <c r="AV383" s="43"/>
      <c r="AW383" s="119"/>
      <c r="AX383" s="119"/>
      <c r="AY383" s="43"/>
      <c r="AZ383" s="43"/>
      <c r="BA383" s="43"/>
      <c r="BB383" s="43"/>
      <c r="BC383" s="43"/>
      <c r="BD383" s="43"/>
    </row>
    <row r="384" spans="1:56" ht="15.75">
      <c r="A384" s="85">
        <v>6010</v>
      </c>
      <c r="B384" s="419" t="s">
        <v>322</v>
      </c>
      <c r="C384" s="86"/>
      <c r="D384" s="86"/>
      <c r="E384" s="86"/>
      <c r="F384" s="86"/>
      <c r="G384" s="86"/>
      <c r="H384" s="86"/>
      <c r="I384" s="86"/>
      <c r="J384" s="86"/>
      <c r="K384" s="86"/>
      <c r="L384" s="87"/>
      <c r="M384" s="51" t="s">
        <v>265</v>
      </c>
      <c r="N384" s="112">
        <f t="shared" ref="N384:N452" si="212">+A384</f>
        <v>6010</v>
      </c>
      <c r="O384" s="328">
        <v>0</v>
      </c>
      <c r="P384" s="329">
        <v>0</v>
      </c>
      <c r="Q384" s="325">
        <v>27456.089999999997</v>
      </c>
      <c r="R384" s="324">
        <v>0</v>
      </c>
      <c r="S384" s="326">
        <f t="shared" ref="S384:S401" si="213">+IF(ABS(+O384+Q384)&gt;=ABS(P384+R384),+O384-P384+Q384-R384,0)</f>
        <v>27456.089999999997</v>
      </c>
      <c r="T384" s="327">
        <f t="shared" ref="T384:T401" si="214">+IF(ABS(+O384+Q384)&lt;=ABS(P384+R384),-O384+P384-Q384+R384,0)</f>
        <v>0</v>
      </c>
      <c r="U384" s="51"/>
      <c r="V384" s="543">
        <f>+'NF-KSF-TRIAL-BAL-2020'!O384+'RA-TRIAL-BAL-2020'!O384+'DES-TRIAL-BAL-2020'!O384+'DMP-TRIAL-BAL-2020'!O384</f>
        <v>0</v>
      </c>
      <c r="W384" s="526">
        <f>+'NF-KSF-TRIAL-BAL-2020'!P384+'RA-TRIAL-BAL-2020'!P384+'DES-TRIAL-BAL-2020'!P384+'DMP-TRIAL-BAL-2020'!P384</f>
        <v>0</v>
      </c>
      <c r="X384" s="525">
        <f>+'NF-KSF-TRIAL-BAL-2020'!Q384+'RA-TRIAL-BAL-2020'!Q384+'DES-TRIAL-BAL-2020'!Q384+'DMP-TRIAL-BAL-2020'!Q384</f>
        <v>0</v>
      </c>
      <c r="Y384" s="526">
        <f>+'NF-KSF-TRIAL-BAL-2020'!R384+'RA-TRIAL-BAL-2020'!R384+'DES-TRIAL-BAL-2020'!R384+'DMP-TRIAL-BAL-2020'!R384</f>
        <v>0</v>
      </c>
      <c r="Z384" s="525">
        <f>+'NF-KSF-TRIAL-BAL-2020'!S384+'RA-TRIAL-BAL-2020'!S384+'DES-TRIAL-BAL-2020'!S384+'DMP-TRIAL-BAL-2020'!S384</f>
        <v>0</v>
      </c>
      <c r="AA384" s="527">
        <f>+'NF-KSF-TRIAL-BAL-2020'!T384+'RA-TRIAL-BAL-2020'!T384+'DES-TRIAL-BAL-2020'!T384+'DMP-TRIAL-BAL-2020'!T384</f>
        <v>0</v>
      </c>
      <c r="AB384" s="51"/>
      <c r="AC384" s="328">
        <v>0</v>
      </c>
      <c r="AD384" s="329">
        <v>0</v>
      </c>
      <c r="AE384" s="122">
        <v>0</v>
      </c>
      <c r="AF384" s="122">
        <v>0</v>
      </c>
      <c r="AG384" s="326">
        <f t="shared" ref="AG384:AG409" si="215">+IF(ABS(+AC384+AE384)&gt;=ABS(AD384+AF384),+AC384-AD384+AE384-AF384,0)</f>
        <v>0</v>
      </c>
      <c r="AH384" s="327">
        <f t="shared" ref="AH384:AH409" si="216">+IF(ABS(+AC384+AE384)&lt;=ABS(AD384+AF384),-AC384+AD384-AE384+AF384,0)</f>
        <v>0</v>
      </c>
      <c r="AI384" s="51"/>
      <c r="AJ384" s="1496">
        <f t="shared" si="184"/>
        <v>6010</v>
      </c>
      <c r="AK384" s="328">
        <v>0</v>
      </c>
      <c r="AL384" s="329">
        <v>0</v>
      </c>
      <c r="AM384" s="326">
        <f t="shared" ref="AM384:AN401" si="217">+ROUND(+Q384+X384+AE384,2)</f>
        <v>27456.09</v>
      </c>
      <c r="AN384" s="970">
        <f t="shared" si="217"/>
        <v>0</v>
      </c>
      <c r="AO384" s="326">
        <f t="shared" ref="AO384:AO415" si="218">+S384+Z384+AG384</f>
        <v>27456.089999999997</v>
      </c>
      <c r="AP384" s="327">
        <f t="shared" ref="AP384:AP416" si="219">+T384+AA384+AH384</f>
        <v>0</v>
      </c>
      <c r="AQ384" s="43"/>
      <c r="AR384" s="358">
        <f t="shared" ref="AR384:AR453" si="220">+ROUND(+SUM(AK384-AL384)-SUM(O384-P384)-SUM(V384-W384)-SUM(AC384-AD384),2)</f>
        <v>0</v>
      </c>
      <c r="AS384" s="359">
        <f t="shared" ref="AS384:AS453" si="221">+ROUND(+SUM(AM384-AN384)-SUM(Q384-R384)-SUM(X384-Y384)-SUM(AE384-AF384),2)</f>
        <v>0</v>
      </c>
      <c r="AT384" s="360">
        <f t="shared" ref="AT384:AT453" si="222">+ROUND(+SUM(AO384-AP384)-SUM(S384-T384)-SUM(Z384-AA384)-SUM(AG384-AH384),2)</f>
        <v>0</v>
      </c>
      <c r="AU384" s="43"/>
      <c r="AV384" s="43"/>
      <c r="AW384" s="119"/>
      <c r="AX384" s="119"/>
      <c r="AY384" s="43"/>
      <c r="AZ384" s="43"/>
      <c r="BA384" s="43"/>
      <c r="BB384" s="43"/>
      <c r="BC384" s="43"/>
      <c r="BD384" s="43"/>
    </row>
    <row r="385" spans="1:56" ht="15.75">
      <c r="A385" s="88">
        <v>6011</v>
      </c>
      <c r="B385" s="1032" t="s">
        <v>323</v>
      </c>
      <c r="C385" s="1033"/>
      <c r="D385" s="1033"/>
      <c r="E385" s="1033"/>
      <c r="F385" s="1033"/>
      <c r="G385" s="1033"/>
      <c r="H385" s="1033"/>
      <c r="I385" s="1033"/>
      <c r="J385" s="1033"/>
      <c r="K385" s="1033"/>
      <c r="L385" s="90"/>
      <c r="M385" s="51" t="s">
        <v>265</v>
      </c>
      <c r="N385" s="113">
        <f t="shared" si="212"/>
        <v>6011</v>
      </c>
      <c r="O385" s="8">
        <v>0</v>
      </c>
      <c r="P385" s="9">
        <v>0</v>
      </c>
      <c r="Q385" s="325">
        <v>25.8</v>
      </c>
      <c r="R385" s="324">
        <v>0</v>
      </c>
      <c r="S385" s="27">
        <f t="shared" si="213"/>
        <v>25.8</v>
      </c>
      <c r="T385" s="28">
        <f t="shared" si="214"/>
        <v>0</v>
      </c>
      <c r="U385" s="51"/>
      <c r="V385" s="541">
        <f>+'NF-KSF-TRIAL-BAL-2020'!O385+'RA-TRIAL-BAL-2020'!O385+'DES-TRIAL-BAL-2020'!O385+'DMP-TRIAL-BAL-2020'!O385</f>
        <v>0</v>
      </c>
      <c r="W385" s="529">
        <f>+'NF-KSF-TRIAL-BAL-2020'!P385+'RA-TRIAL-BAL-2020'!P385+'DES-TRIAL-BAL-2020'!P385+'DMP-TRIAL-BAL-2020'!P385</f>
        <v>0</v>
      </c>
      <c r="X385" s="528">
        <f>+'NF-KSF-TRIAL-BAL-2020'!Q385+'RA-TRIAL-BAL-2020'!Q385+'DES-TRIAL-BAL-2020'!Q385+'DMP-TRIAL-BAL-2020'!Q385</f>
        <v>0</v>
      </c>
      <c r="Y385" s="529">
        <f>+'NF-KSF-TRIAL-BAL-2020'!R385+'RA-TRIAL-BAL-2020'!R385+'DES-TRIAL-BAL-2020'!R385+'DMP-TRIAL-BAL-2020'!R385</f>
        <v>0</v>
      </c>
      <c r="Z385" s="528">
        <f>+'NF-KSF-TRIAL-BAL-2020'!S385+'RA-TRIAL-BAL-2020'!S385+'DES-TRIAL-BAL-2020'!S385+'DMP-TRIAL-BAL-2020'!S385</f>
        <v>0</v>
      </c>
      <c r="AA385" s="347">
        <f>+'NF-KSF-TRIAL-BAL-2020'!T385+'RA-TRIAL-BAL-2020'!T385+'DES-TRIAL-BAL-2020'!T385+'DMP-TRIAL-BAL-2020'!T385</f>
        <v>0</v>
      </c>
      <c r="AB385" s="51"/>
      <c r="AC385" s="8">
        <v>0</v>
      </c>
      <c r="AD385" s="9">
        <v>0</v>
      </c>
      <c r="AE385" s="325">
        <v>0</v>
      </c>
      <c r="AF385" s="325">
        <v>0</v>
      </c>
      <c r="AG385" s="27">
        <f t="shared" si="215"/>
        <v>0</v>
      </c>
      <c r="AH385" s="28">
        <f t="shared" si="216"/>
        <v>0</v>
      </c>
      <c r="AI385" s="51"/>
      <c r="AJ385" s="1497">
        <f t="shared" si="184"/>
        <v>6011</v>
      </c>
      <c r="AK385" s="8">
        <v>0</v>
      </c>
      <c r="AL385" s="9">
        <v>0</v>
      </c>
      <c r="AM385" s="326">
        <f t="shared" si="217"/>
        <v>25.8</v>
      </c>
      <c r="AN385" s="970">
        <f t="shared" si="217"/>
        <v>0</v>
      </c>
      <c r="AO385" s="326">
        <f t="shared" si="218"/>
        <v>25.8</v>
      </c>
      <c r="AP385" s="327">
        <f t="shared" si="219"/>
        <v>0</v>
      </c>
      <c r="AQ385" s="43"/>
      <c r="AR385" s="358">
        <f t="shared" si="220"/>
        <v>0</v>
      </c>
      <c r="AS385" s="359">
        <f t="shared" si="221"/>
        <v>0</v>
      </c>
      <c r="AT385" s="360">
        <f t="shared" si="222"/>
        <v>0</v>
      </c>
      <c r="AU385" s="43"/>
      <c r="AV385" s="43"/>
      <c r="AW385" s="119"/>
      <c r="AX385" s="119"/>
      <c r="AY385" s="43"/>
      <c r="AZ385" s="43"/>
      <c r="BA385" s="43"/>
      <c r="BB385" s="43"/>
      <c r="BC385" s="43"/>
      <c r="BD385" s="43"/>
    </row>
    <row r="386" spans="1:56" ht="15.75">
      <c r="A386" s="88">
        <v>6012</v>
      </c>
      <c r="B386" s="1032" t="s">
        <v>324</v>
      </c>
      <c r="C386" s="1033"/>
      <c r="D386" s="1033"/>
      <c r="E386" s="1033"/>
      <c r="F386" s="1033"/>
      <c r="G386" s="1033"/>
      <c r="H386" s="1033"/>
      <c r="I386" s="1033"/>
      <c r="J386" s="1033"/>
      <c r="K386" s="1033"/>
      <c r="L386" s="90"/>
      <c r="M386" s="51" t="s">
        <v>265</v>
      </c>
      <c r="N386" s="113">
        <f t="shared" si="212"/>
        <v>6012</v>
      </c>
      <c r="O386" s="8">
        <v>0</v>
      </c>
      <c r="P386" s="9">
        <v>0</v>
      </c>
      <c r="Q386" s="325">
        <v>12658.970000000001</v>
      </c>
      <c r="R386" s="324">
        <v>4772.5</v>
      </c>
      <c r="S386" s="27">
        <f t="shared" si="213"/>
        <v>7886.4700000000012</v>
      </c>
      <c r="T386" s="28">
        <f t="shared" si="214"/>
        <v>0</v>
      </c>
      <c r="U386" s="51"/>
      <c r="V386" s="541">
        <f>+'NF-KSF-TRIAL-BAL-2020'!O386+'RA-TRIAL-BAL-2020'!O386+'DES-TRIAL-BAL-2020'!O386+'DMP-TRIAL-BAL-2020'!O386</f>
        <v>0</v>
      </c>
      <c r="W386" s="529">
        <f>+'NF-KSF-TRIAL-BAL-2020'!P386+'RA-TRIAL-BAL-2020'!P386+'DES-TRIAL-BAL-2020'!P386+'DMP-TRIAL-BAL-2020'!P386</f>
        <v>0</v>
      </c>
      <c r="X386" s="528">
        <f>+'NF-KSF-TRIAL-BAL-2020'!Q386+'RA-TRIAL-BAL-2020'!Q386+'DES-TRIAL-BAL-2020'!Q386+'DMP-TRIAL-BAL-2020'!Q386</f>
        <v>0</v>
      </c>
      <c r="Y386" s="529">
        <f>+'NF-KSF-TRIAL-BAL-2020'!R386+'RA-TRIAL-BAL-2020'!R386+'DES-TRIAL-BAL-2020'!R386+'DMP-TRIAL-BAL-2020'!R386</f>
        <v>0</v>
      </c>
      <c r="Z386" s="528">
        <f>+'NF-KSF-TRIAL-BAL-2020'!S386+'RA-TRIAL-BAL-2020'!S386+'DES-TRIAL-BAL-2020'!S386+'DMP-TRIAL-BAL-2020'!S386</f>
        <v>0</v>
      </c>
      <c r="AA386" s="347">
        <f>+'NF-KSF-TRIAL-BAL-2020'!T386+'RA-TRIAL-BAL-2020'!T386+'DES-TRIAL-BAL-2020'!T386+'DMP-TRIAL-BAL-2020'!T386</f>
        <v>0</v>
      </c>
      <c r="AB386" s="51"/>
      <c r="AC386" s="8">
        <v>0</v>
      </c>
      <c r="AD386" s="9">
        <v>0</v>
      </c>
      <c r="AE386" s="325">
        <v>0</v>
      </c>
      <c r="AF386" s="325">
        <v>0</v>
      </c>
      <c r="AG386" s="27">
        <f t="shared" si="215"/>
        <v>0</v>
      </c>
      <c r="AH386" s="28">
        <f t="shared" si="216"/>
        <v>0</v>
      </c>
      <c r="AI386" s="51"/>
      <c r="AJ386" s="1497">
        <f t="shared" si="184"/>
        <v>6012</v>
      </c>
      <c r="AK386" s="8">
        <v>0</v>
      </c>
      <c r="AL386" s="9">
        <v>0</v>
      </c>
      <c r="AM386" s="326">
        <f t="shared" si="217"/>
        <v>12658.97</v>
      </c>
      <c r="AN386" s="970">
        <f t="shared" si="217"/>
        <v>4772.5</v>
      </c>
      <c r="AO386" s="326">
        <f t="shared" si="218"/>
        <v>7886.4700000000012</v>
      </c>
      <c r="AP386" s="327">
        <f t="shared" si="219"/>
        <v>0</v>
      </c>
      <c r="AQ386" s="43"/>
      <c r="AR386" s="358">
        <f t="shared" si="220"/>
        <v>0</v>
      </c>
      <c r="AS386" s="359">
        <f t="shared" si="221"/>
        <v>0</v>
      </c>
      <c r="AT386" s="360">
        <f t="shared" si="222"/>
        <v>0</v>
      </c>
      <c r="AU386" s="43"/>
      <c r="AV386" s="43"/>
      <c r="AW386" s="119"/>
      <c r="AX386" s="119"/>
      <c r="AY386" s="43"/>
      <c r="AZ386" s="43"/>
      <c r="BA386" s="43"/>
      <c r="BB386" s="43"/>
      <c r="BC386" s="43"/>
      <c r="BD386" s="43"/>
    </row>
    <row r="387" spans="1:56" ht="15.75">
      <c r="A387" s="88">
        <v>6013</v>
      </c>
      <c r="B387" s="1032" t="s">
        <v>325</v>
      </c>
      <c r="C387" s="1033"/>
      <c r="D387" s="1033"/>
      <c r="E387" s="1033"/>
      <c r="F387" s="1033"/>
      <c r="G387" s="1033"/>
      <c r="H387" s="1033"/>
      <c r="I387" s="1033"/>
      <c r="J387" s="1033"/>
      <c r="K387" s="1033"/>
      <c r="L387" s="90"/>
      <c r="M387" s="51" t="s">
        <v>265</v>
      </c>
      <c r="N387" s="113">
        <f t="shared" si="212"/>
        <v>6013</v>
      </c>
      <c r="O387" s="8">
        <v>0</v>
      </c>
      <c r="P387" s="9">
        <v>0</v>
      </c>
      <c r="Q387" s="325">
        <v>164.97</v>
      </c>
      <c r="R387" s="324">
        <v>0</v>
      </c>
      <c r="S387" s="27">
        <f t="shared" si="213"/>
        <v>164.97</v>
      </c>
      <c r="T387" s="28">
        <f t="shared" si="214"/>
        <v>0</v>
      </c>
      <c r="U387" s="51"/>
      <c r="V387" s="541">
        <f>+'NF-KSF-TRIAL-BAL-2020'!O387+'RA-TRIAL-BAL-2020'!O387+'DES-TRIAL-BAL-2020'!O387+'DMP-TRIAL-BAL-2020'!O387</f>
        <v>0</v>
      </c>
      <c r="W387" s="529">
        <f>+'NF-KSF-TRIAL-BAL-2020'!P387+'RA-TRIAL-BAL-2020'!P387+'DES-TRIAL-BAL-2020'!P387+'DMP-TRIAL-BAL-2020'!P387</f>
        <v>0</v>
      </c>
      <c r="X387" s="528">
        <f>+'NF-KSF-TRIAL-BAL-2020'!Q387+'RA-TRIAL-BAL-2020'!Q387+'DES-TRIAL-BAL-2020'!Q387+'DMP-TRIAL-BAL-2020'!Q387</f>
        <v>0</v>
      </c>
      <c r="Y387" s="529">
        <f>+'NF-KSF-TRIAL-BAL-2020'!R387+'RA-TRIAL-BAL-2020'!R387+'DES-TRIAL-BAL-2020'!R387+'DMP-TRIAL-BAL-2020'!R387</f>
        <v>0</v>
      </c>
      <c r="Z387" s="528">
        <f>+'NF-KSF-TRIAL-BAL-2020'!S387+'RA-TRIAL-BAL-2020'!S387+'DES-TRIAL-BAL-2020'!S387+'DMP-TRIAL-BAL-2020'!S387</f>
        <v>0</v>
      </c>
      <c r="AA387" s="347">
        <f>+'NF-KSF-TRIAL-BAL-2020'!T387+'RA-TRIAL-BAL-2020'!T387+'DES-TRIAL-BAL-2020'!T387+'DMP-TRIAL-BAL-2020'!T387</f>
        <v>0</v>
      </c>
      <c r="AB387" s="51"/>
      <c r="AC387" s="8">
        <v>0</v>
      </c>
      <c r="AD387" s="9">
        <v>0</v>
      </c>
      <c r="AE387" s="325">
        <v>0</v>
      </c>
      <c r="AF387" s="325">
        <v>0</v>
      </c>
      <c r="AG387" s="27">
        <f t="shared" si="215"/>
        <v>0</v>
      </c>
      <c r="AH387" s="28">
        <f t="shared" si="216"/>
        <v>0</v>
      </c>
      <c r="AI387" s="51"/>
      <c r="AJ387" s="1497">
        <f t="shared" si="184"/>
        <v>6013</v>
      </c>
      <c r="AK387" s="8">
        <v>0</v>
      </c>
      <c r="AL387" s="9">
        <v>0</v>
      </c>
      <c r="AM387" s="326">
        <f t="shared" si="217"/>
        <v>164.97</v>
      </c>
      <c r="AN387" s="970">
        <f t="shared" si="217"/>
        <v>0</v>
      </c>
      <c r="AO387" s="326">
        <f t="shared" si="218"/>
        <v>164.97</v>
      </c>
      <c r="AP387" s="327">
        <f t="shared" si="219"/>
        <v>0</v>
      </c>
      <c r="AQ387" s="43"/>
      <c r="AR387" s="358">
        <f t="shared" si="220"/>
        <v>0</v>
      </c>
      <c r="AS387" s="359">
        <f t="shared" si="221"/>
        <v>0</v>
      </c>
      <c r="AT387" s="360">
        <f t="shared" si="222"/>
        <v>0</v>
      </c>
      <c r="AU387" s="43"/>
      <c r="AV387" s="43"/>
      <c r="AW387" s="119"/>
      <c r="AX387" s="119"/>
      <c r="AY387" s="43"/>
      <c r="AZ387" s="43"/>
      <c r="BA387" s="43"/>
      <c r="BB387" s="43"/>
      <c r="BC387" s="43"/>
      <c r="BD387" s="43"/>
    </row>
    <row r="388" spans="1:56" ht="15.75">
      <c r="A388" s="88">
        <v>6014</v>
      </c>
      <c r="B388" s="1032" t="s">
        <v>326</v>
      </c>
      <c r="C388" s="1033"/>
      <c r="D388" s="1033"/>
      <c r="E388" s="1033"/>
      <c r="F388" s="1033"/>
      <c r="G388" s="1033"/>
      <c r="H388" s="1033"/>
      <c r="I388" s="1033"/>
      <c r="J388" s="1033"/>
      <c r="K388" s="1033"/>
      <c r="L388" s="90"/>
      <c r="M388" s="51" t="s">
        <v>265</v>
      </c>
      <c r="N388" s="113">
        <f t="shared" si="212"/>
        <v>6014</v>
      </c>
      <c r="O388" s="8">
        <v>0</v>
      </c>
      <c r="P388" s="9">
        <v>0</v>
      </c>
      <c r="Q388" s="325">
        <v>11829.300000000001</v>
      </c>
      <c r="R388" s="324">
        <v>0</v>
      </c>
      <c r="S388" s="27">
        <f t="shared" si="213"/>
        <v>11829.300000000001</v>
      </c>
      <c r="T388" s="28">
        <f t="shared" si="214"/>
        <v>0</v>
      </c>
      <c r="U388" s="51"/>
      <c r="V388" s="541">
        <f>+'NF-KSF-TRIAL-BAL-2020'!O388+'RA-TRIAL-BAL-2020'!O388+'DES-TRIAL-BAL-2020'!O388+'DMP-TRIAL-BAL-2020'!O388</f>
        <v>0</v>
      </c>
      <c r="W388" s="529">
        <f>+'NF-KSF-TRIAL-BAL-2020'!P388+'RA-TRIAL-BAL-2020'!P388+'DES-TRIAL-BAL-2020'!P388+'DMP-TRIAL-BAL-2020'!P388</f>
        <v>0</v>
      </c>
      <c r="X388" s="528">
        <f>+'NF-KSF-TRIAL-BAL-2020'!Q388+'RA-TRIAL-BAL-2020'!Q388+'DES-TRIAL-BAL-2020'!Q388+'DMP-TRIAL-BAL-2020'!Q388</f>
        <v>0</v>
      </c>
      <c r="Y388" s="529">
        <f>+'NF-KSF-TRIAL-BAL-2020'!R388+'RA-TRIAL-BAL-2020'!R388+'DES-TRIAL-BAL-2020'!R388+'DMP-TRIAL-BAL-2020'!R388</f>
        <v>0</v>
      </c>
      <c r="Z388" s="528">
        <f>+'NF-KSF-TRIAL-BAL-2020'!S388+'RA-TRIAL-BAL-2020'!S388+'DES-TRIAL-BAL-2020'!S388+'DMP-TRIAL-BAL-2020'!S388</f>
        <v>0</v>
      </c>
      <c r="AA388" s="347">
        <f>+'NF-KSF-TRIAL-BAL-2020'!T388+'RA-TRIAL-BAL-2020'!T388+'DES-TRIAL-BAL-2020'!T388+'DMP-TRIAL-BAL-2020'!T388</f>
        <v>0</v>
      </c>
      <c r="AB388" s="51"/>
      <c r="AC388" s="8">
        <v>0</v>
      </c>
      <c r="AD388" s="9">
        <v>0</v>
      </c>
      <c r="AE388" s="122">
        <v>0</v>
      </c>
      <c r="AF388" s="122">
        <v>0</v>
      </c>
      <c r="AG388" s="27">
        <f t="shared" si="215"/>
        <v>0</v>
      </c>
      <c r="AH388" s="28">
        <f t="shared" si="216"/>
        <v>0</v>
      </c>
      <c r="AI388" s="51"/>
      <c r="AJ388" s="1497">
        <f t="shared" si="184"/>
        <v>6014</v>
      </c>
      <c r="AK388" s="8">
        <v>0</v>
      </c>
      <c r="AL388" s="9">
        <v>0</v>
      </c>
      <c r="AM388" s="326">
        <f t="shared" si="217"/>
        <v>11829.3</v>
      </c>
      <c r="AN388" s="970">
        <f t="shared" si="217"/>
        <v>0</v>
      </c>
      <c r="AO388" s="326">
        <f t="shared" si="218"/>
        <v>11829.300000000001</v>
      </c>
      <c r="AP388" s="327">
        <f t="shared" si="219"/>
        <v>0</v>
      </c>
      <c r="AQ388" s="43"/>
      <c r="AR388" s="358">
        <f t="shared" si="220"/>
        <v>0</v>
      </c>
      <c r="AS388" s="359">
        <f t="shared" si="221"/>
        <v>0</v>
      </c>
      <c r="AT388" s="360">
        <f t="shared" si="222"/>
        <v>0</v>
      </c>
      <c r="AU388" s="43"/>
      <c r="AV388" s="43"/>
      <c r="AW388" s="119"/>
      <c r="AX388" s="119"/>
      <c r="AY388" s="43"/>
      <c r="AZ388" s="43"/>
      <c r="BA388" s="43"/>
      <c r="BB388" s="43"/>
      <c r="BC388" s="43"/>
      <c r="BD388" s="43"/>
    </row>
    <row r="389" spans="1:56" ht="15.75">
      <c r="A389" s="88">
        <v>6015</v>
      </c>
      <c r="B389" s="1032" t="s">
        <v>327</v>
      </c>
      <c r="C389" s="1033"/>
      <c r="D389" s="1033"/>
      <c r="E389" s="1033"/>
      <c r="F389" s="1033"/>
      <c r="G389" s="1033"/>
      <c r="H389" s="1033"/>
      <c r="I389" s="1033"/>
      <c r="J389" s="1033"/>
      <c r="K389" s="1033"/>
      <c r="L389" s="90"/>
      <c r="M389" s="51" t="s">
        <v>265</v>
      </c>
      <c r="N389" s="113">
        <f t="shared" si="212"/>
        <v>6015</v>
      </c>
      <c r="O389" s="8">
        <v>0</v>
      </c>
      <c r="P389" s="9">
        <v>0</v>
      </c>
      <c r="Q389" s="325">
        <v>0</v>
      </c>
      <c r="R389" s="324">
        <v>0</v>
      </c>
      <c r="S389" s="27">
        <f t="shared" si="213"/>
        <v>0</v>
      </c>
      <c r="T389" s="28">
        <f t="shared" si="214"/>
        <v>0</v>
      </c>
      <c r="U389" s="51"/>
      <c r="V389" s="541">
        <f>+'NF-KSF-TRIAL-BAL-2020'!O389+'RA-TRIAL-BAL-2020'!O389+'DES-TRIAL-BAL-2020'!O389+'DMP-TRIAL-BAL-2020'!O389</f>
        <v>0</v>
      </c>
      <c r="W389" s="529">
        <f>+'NF-KSF-TRIAL-BAL-2020'!P389+'RA-TRIAL-BAL-2020'!P389+'DES-TRIAL-BAL-2020'!P389+'DMP-TRIAL-BAL-2020'!P389</f>
        <v>0</v>
      </c>
      <c r="X389" s="528">
        <f>+'NF-KSF-TRIAL-BAL-2020'!Q389+'RA-TRIAL-BAL-2020'!Q389+'DES-TRIAL-BAL-2020'!Q389+'DMP-TRIAL-BAL-2020'!Q389</f>
        <v>0</v>
      </c>
      <c r="Y389" s="529">
        <f>+'NF-KSF-TRIAL-BAL-2020'!R389+'RA-TRIAL-BAL-2020'!R389+'DES-TRIAL-BAL-2020'!R389+'DMP-TRIAL-BAL-2020'!R389</f>
        <v>0</v>
      </c>
      <c r="Z389" s="528">
        <f>+'NF-KSF-TRIAL-BAL-2020'!S389+'RA-TRIAL-BAL-2020'!S389+'DES-TRIAL-BAL-2020'!S389+'DMP-TRIAL-BAL-2020'!S389</f>
        <v>0</v>
      </c>
      <c r="AA389" s="347">
        <f>+'NF-KSF-TRIAL-BAL-2020'!T389+'RA-TRIAL-BAL-2020'!T389+'DES-TRIAL-BAL-2020'!T389+'DMP-TRIAL-BAL-2020'!T389</f>
        <v>0</v>
      </c>
      <c r="AB389" s="51"/>
      <c r="AC389" s="8">
        <v>0</v>
      </c>
      <c r="AD389" s="9">
        <v>0</v>
      </c>
      <c r="AE389" s="122">
        <v>0</v>
      </c>
      <c r="AF389" s="121">
        <v>0</v>
      </c>
      <c r="AG389" s="27">
        <f t="shared" si="215"/>
        <v>0</v>
      </c>
      <c r="AH389" s="28">
        <f t="shared" si="216"/>
        <v>0</v>
      </c>
      <c r="AI389" s="51"/>
      <c r="AJ389" s="1497">
        <f t="shared" si="184"/>
        <v>6015</v>
      </c>
      <c r="AK389" s="8">
        <v>0</v>
      </c>
      <c r="AL389" s="9">
        <v>0</v>
      </c>
      <c r="AM389" s="326">
        <f t="shared" si="217"/>
        <v>0</v>
      </c>
      <c r="AN389" s="970">
        <f t="shared" si="217"/>
        <v>0</v>
      </c>
      <c r="AO389" s="326">
        <f t="shared" si="218"/>
        <v>0</v>
      </c>
      <c r="AP389" s="327">
        <f t="shared" si="219"/>
        <v>0</v>
      </c>
      <c r="AQ389" s="43"/>
      <c r="AR389" s="358">
        <f t="shared" si="220"/>
        <v>0</v>
      </c>
      <c r="AS389" s="359">
        <f t="shared" si="221"/>
        <v>0</v>
      </c>
      <c r="AT389" s="360">
        <f t="shared" si="222"/>
        <v>0</v>
      </c>
      <c r="AU389" s="43"/>
      <c r="AV389" s="43"/>
      <c r="AW389" s="119"/>
      <c r="AX389" s="119"/>
      <c r="AY389" s="43"/>
      <c r="AZ389" s="43"/>
      <c r="BA389" s="43"/>
      <c r="BB389" s="43"/>
      <c r="BC389" s="43"/>
      <c r="BD389" s="43"/>
    </row>
    <row r="390" spans="1:56" ht="15.75">
      <c r="A390" s="88">
        <v>6016</v>
      </c>
      <c r="B390" s="1032" t="s">
        <v>328</v>
      </c>
      <c r="C390" s="1033"/>
      <c r="D390" s="1033"/>
      <c r="E390" s="1033"/>
      <c r="F390" s="1033"/>
      <c r="G390" s="1033"/>
      <c r="H390" s="1033"/>
      <c r="I390" s="1033"/>
      <c r="J390" s="1033"/>
      <c r="K390" s="1033"/>
      <c r="L390" s="90"/>
      <c r="M390" s="51" t="s">
        <v>265</v>
      </c>
      <c r="N390" s="113">
        <f t="shared" si="212"/>
        <v>6016</v>
      </c>
      <c r="O390" s="8">
        <v>0</v>
      </c>
      <c r="P390" s="9">
        <v>0</v>
      </c>
      <c r="Q390" s="325">
        <v>0</v>
      </c>
      <c r="R390" s="324">
        <v>0</v>
      </c>
      <c r="S390" s="27">
        <f t="shared" si="213"/>
        <v>0</v>
      </c>
      <c r="T390" s="28">
        <f t="shared" si="214"/>
        <v>0</v>
      </c>
      <c r="U390" s="51"/>
      <c r="V390" s="541">
        <f>+'NF-KSF-TRIAL-BAL-2020'!O390+'RA-TRIAL-BAL-2020'!O390+'DES-TRIAL-BAL-2020'!O390+'DMP-TRIAL-BAL-2020'!O390</f>
        <v>0</v>
      </c>
      <c r="W390" s="529">
        <f>+'NF-KSF-TRIAL-BAL-2020'!P390+'RA-TRIAL-BAL-2020'!P390+'DES-TRIAL-BAL-2020'!P390+'DMP-TRIAL-BAL-2020'!P390</f>
        <v>0</v>
      </c>
      <c r="X390" s="528">
        <f>+'NF-KSF-TRIAL-BAL-2020'!Q390+'RA-TRIAL-BAL-2020'!Q390+'DES-TRIAL-BAL-2020'!Q390+'DMP-TRIAL-BAL-2020'!Q390</f>
        <v>0</v>
      </c>
      <c r="Y390" s="529">
        <f>+'NF-KSF-TRIAL-BAL-2020'!R390+'RA-TRIAL-BAL-2020'!R390+'DES-TRIAL-BAL-2020'!R390+'DMP-TRIAL-BAL-2020'!R390</f>
        <v>0</v>
      </c>
      <c r="Z390" s="528">
        <f>+'NF-KSF-TRIAL-BAL-2020'!S390+'RA-TRIAL-BAL-2020'!S390+'DES-TRIAL-BAL-2020'!S390+'DMP-TRIAL-BAL-2020'!S390</f>
        <v>0</v>
      </c>
      <c r="AA390" s="347">
        <f>+'NF-KSF-TRIAL-BAL-2020'!T390+'RA-TRIAL-BAL-2020'!T390+'DES-TRIAL-BAL-2020'!T390+'DMP-TRIAL-BAL-2020'!T390</f>
        <v>0</v>
      </c>
      <c r="AB390" s="51"/>
      <c r="AC390" s="8">
        <v>0</v>
      </c>
      <c r="AD390" s="9">
        <v>0</v>
      </c>
      <c r="AE390" s="122">
        <v>0</v>
      </c>
      <c r="AF390" s="121">
        <v>0</v>
      </c>
      <c r="AG390" s="27">
        <f t="shared" si="215"/>
        <v>0</v>
      </c>
      <c r="AH390" s="28">
        <f t="shared" si="216"/>
        <v>0</v>
      </c>
      <c r="AI390" s="51"/>
      <c r="AJ390" s="1497">
        <f t="shared" si="184"/>
        <v>6016</v>
      </c>
      <c r="AK390" s="8">
        <v>0</v>
      </c>
      <c r="AL390" s="9">
        <v>0</v>
      </c>
      <c r="AM390" s="326">
        <f t="shared" si="217"/>
        <v>0</v>
      </c>
      <c r="AN390" s="970">
        <f t="shared" si="217"/>
        <v>0</v>
      </c>
      <c r="AO390" s="326">
        <f t="shared" si="218"/>
        <v>0</v>
      </c>
      <c r="AP390" s="327">
        <f t="shared" si="219"/>
        <v>0</v>
      </c>
      <c r="AQ390" s="43"/>
      <c r="AR390" s="358">
        <f t="shared" si="220"/>
        <v>0</v>
      </c>
      <c r="AS390" s="359">
        <f t="shared" si="221"/>
        <v>0</v>
      </c>
      <c r="AT390" s="360">
        <f t="shared" si="222"/>
        <v>0</v>
      </c>
      <c r="AU390" s="43"/>
      <c r="AV390" s="43"/>
      <c r="AW390" s="119"/>
      <c r="AX390" s="119"/>
      <c r="AY390" s="43"/>
      <c r="AZ390" s="43"/>
      <c r="BA390" s="43"/>
      <c r="BB390" s="43"/>
      <c r="BC390" s="43"/>
      <c r="BD390" s="43"/>
    </row>
    <row r="391" spans="1:56" ht="15.75">
      <c r="A391" s="88">
        <v>6017</v>
      </c>
      <c r="B391" s="1032" t="s">
        <v>329</v>
      </c>
      <c r="C391" s="1033"/>
      <c r="D391" s="1033"/>
      <c r="E391" s="1033"/>
      <c r="F391" s="1033"/>
      <c r="G391" s="1033"/>
      <c r="H391" s="1033"/>
      <c r="I391" s="1033"/>
      <c r="J391" s="1033"/>
      <c r="K391" s="1033"/>
      <c r="L391" s="90"/>
      <c r="M391" s="51" t="s">
        <v>265</v>
      </c>
      <c r="N391" s="113">
        <f t="shared" si="212"/>
        <v>6017</v>
      </c>
      <c r="O391" s="8">
        <v>0</v>
      </c>
      <c r="P391" s="9">
        <v>0</v>
      </c>
      <c r="Q391" s="325">
        <v>205.92000000000002</v>
      </c>
      <c r="R391" s="324">
        <v>0</v>
      </c>
      <c r="S391" s="27">
        <f t="shared" si="213"/>
        <v>205.92000000000002</v>
      </c>
      <c r="T391" s="28">
        <f t="shared" si="214"/>
        <v>0</v>
      </c>
      <c r="U391" s="51"/>
      <c r="V391" s="541">
        <f>+'NF-KSF-TRIAL-BAL-2020'!O391+'RA-TRIAL-BAL-2020'!O391+'DES-TRIAL-BAL-2020'!O391+'DMP-TRIAL-BAL-2020'!O391</f>
        <v>0</v>
      </c>
      <c r="W391" s="529">
        <f>+'NF-KSF-TRIAL-BAL-2020'!P391+'RA-TRIAL-BAL-2020'!P391+'DES-TRIAL-BAL-2020'!P391+'DMP-TRIAL-BAL-2020'!P391</f>
        <v>0</v>
      </c>
      <c r="X391" s="528">
        <f>+'NF-KSF-TRIAL-BAL-2020'!Q391+'RA-TRIAL-BAL-2020'!Q391+'DES-TRIAL-BAL-2020'!Q391+'DMP-TRIAL-BAL-2020'!Q391</f>
        <v>0</v>
      </c>
      <c r="Y391" s="529">
        <f>+'NF-KSF-TRIAL-BAL-2020'!R391+'RA-TRIAL-BAL-2020'!R391+'DES-TRIAL-BAL-2020'!R391+'DMP-TRIAL-BAL-2020'!R391</f>
        <v>0</v>
      </c>
      <c r="Z391" s="528">
        <f>+'NF-KSF-TRIAL-BAL-2020'!S391+'RA-TRIAL-BAL-2020'!S391+'DES-TRIAL-BAL-2020'!S391+'DMP-TRIAL-BAL-2020'!S391</f>
        <v>0</v>
      </c>
      <c r="AA391" s="347">
        <f>+'NF-KSF-TRIAL-BAL-2020'!T391+'RA-TRIAL-BAL-2020'!T391+'DES-TRIAL-BAL-2020'!T391+'DMP-TRIAL-BAL-2020'!T391</f>
        <v>0</v>
      </c>
      <c r="AB391" s="51"/>
      <c r="AC391" s="8">
        <v>0</v>
      </c>
      <c r="AD391" s="9">
        <v>0</v>
      </c>
      <c r="AE391" s="122">
        <v>0</v>
      </c>
      <c r="AF391" s="121">
        <v>0</v>
      </c>
      <c r="AG391" s="27">
        <f t="shared" si="215"/>
        <v>0</v>
      </c>
      <c r="AH391" s="28">
        <f t="shared" si="216"/>
        <v>0</v>
      </c>
      <c r="AI391" s="51"/>
      <c r="AJ391" s="1497">
        <f t="shared" si="184"/>
        <v>6017</v>
      </c>
      <c r="AK391" s="8">
        <v>0</v>
      </c>
      <c r="AL391" s="9">
        <v>0</v>
      </c>
      <c r="AM391" s="326">
        <f t="shared" si="217"/>
        <v>205.92</v>
      </c>
      <c r="AN391" s="970">
        <f t="shared" si="217"/>
        <v>0</v>
      </c>
      <c r="AO391" s="326">
        <f t="shared" si="218"/>
        <v>205.92000000000002</v>
      </c>
      <c r="AP391" s="327">
        <f t="shared" si="219"/>
        <v>0</v>
      </c>
      <c r="AQ391" s="43"/>
      <c r="AR391" s="358">
        <f t="shared" si="220"/>
        <v>0</v>
      </c>
      <c r="AS391" s="359">
        <f t="shared" si="221"/>
        <v>0</v>
      </c>
      <c r="AT391" s="360">
        <f t="shared" si="222"/>
        <v>0</v>
      </c>
      <c r="AU391" s="43"/>
      <c r="AV391" s="43"/>
      <c r="AW391" s="119"/>
      <c r="AX391" s="119"/>
      <c r="AY391" s="43"/>
      <c r="AZ391" s="43"/>
      <c r="BA391" s="43"/>
      <c r="BB391" s="43"/>
      <c r="BC391" s="43"/>
      <c r="BD391" s="43"/>
    </row>
    <row r="392" spans="1:56" ht="15.75">
      <c r="A392" s="88">
        <v>6018</v>
      </c>
      <c r="B392" s="1032" t="s">
        <v>330</v>
      </c>
      <c r="C392" s="1033"/>
      <c r="D392" s="1033"/>
      <c r="E392" s="1033"/>
      <c r="F392" s="1033"/>
      <c r="G392" s="1033"/>
      <c r="H392" s="1033"/>
      <c r="I392" s="1033"/>
      <c r="J392" s="1033"/>
      <c r="K392" s="1033"/>
      <c r="L392" s="90"/>
      <c r="M392" s="51" t="s">
        <v>265</v>
      </c>
      <c r="N392" s="113">
        <f t="shared" si="212"/>
        <v>6018</v>
      </c>
      <c r="O392" s="8">
        <v>0</v>
      </c>
      <c r="P392" s="9">
        <v>0</v>
      </c>
      <c r="Q392" s="325">
        <v>1348.6599999999999</v>
      </c>
      <c r="R392" s="324">
        <v>0</v>
      </c>
      <c r="S392" s="27">
        <f t="shared" si="213"/>
        <v>1348.6599999999999</v>
      </c>
      <c r="T392" s="28">
        <f t="shared" si="214"/>
        <v>0</v>
      </c>
      <c r="U392" s="51"/>
      <c r="V392" s="541">
        <f>+'NF-KSF-TRIAL-BAL-2020'!O392+'RA-TRIAL-BAL-2020'!O392+'DES-TRIAL-BAL-2020'!O392+'DMP-TRIAL-BAL-2020'!O392</f>
        <v>0</v>
      </c>
      <c r="W392" s="529">
        <f>+'NF-KSF-TRIAL-BAL-2020'!P392+'RA-TRIAL-BAL-2020'!P392+'DES-TRIAL-BAL-2020'!P392+'DMP-TRIAL-BAL-2020'!P392</f>
        <v>0</v>
      </c>
      <c r="X392" s="528">
        <f>+'NF-KSF-TRIAL-BAL-2020'!Q392+'RA-TRIAL-BAL-2020'!Q392+'DES-TRIAL-BAL-2020'!Q392+'DMP-TRIAL-BAL-2020'!Q392</f>
        <v>0</v>
      </c>
      <c r="Y392" s="529">
        <f>+'NF-KSF-TRIAL-BAL-2020'!R392+'RA-TRIAL-BAL-2020'!R392+'DES-TRIAL-BAL-2020'!R392+'DMP-TRIAL-BAL-2020'!R392</f>
        <v>0</v>
      </c>
      <c r="Z392" s="528">
        <f>+'NF-KSF-TRIAL-BAL-2020'!S392+'RA-TRIAL-BAL-2020'!S392+'DES-TRIAL-BAL-2020'!S392+'DMP-TRIAL-BAL-2020'!S392</f>
        <v>0</v>
      </c>
      <c r="AA392" s="347">
        <f>+'NF-KSF-TRIAL-BAL-2020'!T392+'RA-TRIAL-BAL-2020'!T392+'DES-TRIAL-BAL-2020'!T392+'DMP-TRIAL-BAL-2020'!T392</f>
        <v>0</v>
      </c>
      <c r="AB392" s="51"/>
      <c r="AC392" s="8">
        <v>0</v>
      </c>
      <c r="AD392" s="9">
        <v>0</v>
      </c>
      <c r="AE392" s="122">
        <v>0</v>
      </c>
      <c r="AF392" s="121">
        <v>0</v>
      </c>
      <c r="AG392" s="27">
        <f t="shared" si="215"/>
        <v>0</v>
      </c>
      <c r="AH392" s="28">
        <f t="shared" si="216"/>
        <v>0</v>
      </c>
      <c r="AI392" s="51"/>
      <c r="AJ392" s="1497">
        <f t="shared" si="184"/>
        <v>6018</v>
      </c>
      <c r="AK392" s="8">
        <v>0</v>
      </c>
      <c r="AL392" s="9">
        <v>0</v>
      </c>
      <c r="AM392" s="326">
        <f t="shared" si="217"/>
        <v>1348.66</v>
      </c>
      <c r="AN392" s="970">
        <f t="shared" si="217"/>
        <v>0</v>
      </c>
      <c r="AO392" s="326">
        <f t="shared" si="218"/>
        <v>1348.6599999999999</v>
      </c>
      <c r="AP392" s="327">
        <f t="shared" si="219"/>
        <v>0</v>
      </c>
      <c r="AQ392" s="43"/>
      <c r="AR392" s="358">
        <f t="shared" si="220"/>
        <v>0</v>
      </c>
      <c r="AS392" s="359">
        <f t="shared" si="221"/>
        <v>0</v>
      </c>
      <c r="AT392" s="360">
        <f t="shared" si="222"/>
        <v>0</v>
      </c>
      <c r="AU392" s="43"/>
      <c r="AV392" s="43"/>
      <c r="AW392" s="119"/>
      <c r="AX392" s="119"/>
      <c r="AY392" s="43"/>
      <c r="AZ392" s="43"/>
      <c r="BA392" s="43"/>
      <c r="BB392" s="43"/>
      <c r="BC392" s="43"/>
      <c r="BD392" s="43"/>
    </row>
    <row r="393" spans="1:56" ht="15.75">
      <c r="A393" s="88">
        <v>6019</v>
      </c>
      <c r="B393" s="1032" t="s">
        <v>331</v>
      </c>
      <c r="C393" s="1033"/>
      <c r="D393" s="1033"/>
      <c r="E393" s="1033"/>
      <c r="F393" s="1033"/>
      <c r="G393" s="1033"/>
      <c r="H393" s="1033"/>
      <c r="I393" s="1033"/>
      <c r="J393" s="1033"/>
      <c r="K393" s="1033"/>
      <c r="L393" s="90"/>
      <c r="M393" s="51" t="s">
        <v>265</v>
      </c>
      <c r="N393" s="113">
        <f t="shared" si="212"/>
        <v>6019</v>
      </c>
      <c r="O393" s="8">
        <v>0</v>
      </c>
      <c r="P393" s="9">
        <v>0</v>
      </c>
      <c r="Q393" s="325">
        <v>3888.62</v>
      </c>
      <c r="R393" s="324">
        <v>0</v>
      </c>
      <c r="S393" s="27">
        <f t="shared" si="213"/>
        <v>3888.62</v>
      </c>
      <c r="T393" s="28">
        <f t="shared" si="214"/>
        <v>0</v>
      </c>
      <c r="U393" s="51"/>
      <c r="V393" s="541">
        <f>+'NF-KSF-TRIAL-BAL-2020'!O393+'RA-TRIAL-BAL-2020'!O393+'DES-TRIAL-BAL-2020'!O393+'DMP-TRIAL-BAL-2020'!O393</f>
        <v>0</v>
      </c>
      <c r="W393" s="529">
        <f>+'NF-KSF-TRIAL-BAL-2020'!P393+'RA-TRIAL-BAL-2020'!P393+'DES-TRIAL-BAL-2020'!P393+'DMP-TRIAL-BAL-2020'!P393</f>
        <v>0</v>
      </c>
      <c r="X393" s="528">
        <f>+'NF-KSF-TRIAL-BAL-2020'!Q393+'RA-TRIAL-BAL-2020'!Q393+'DES-TRIAL-BAL-2020'!Q393+'DMP-TRIAL-BAL-2020'!Q393</f>
        <v>0</v>
      </c>
      <c r="Y393" s="529">
        <f>+'NF-KSF-TRIAL-BAL-2020'!R393+'RA-TRIAL-BAL-2020'!R393+'DES-TRIAL-BAL-2020'!R393+'DMP-TRIAL-BAL-2020'!R393</f>
        <v>0</v>
      </c>
      <c r="Z393" s="528">
        <f>+'NF-KSF-TRIAL-BAL-2020'!S393+'RA-TRIAL-BAL-2020'!S393+'DES-TRIAL-BAL-2020'!S393+'DMP-TRIAL-BAL-2020'!S393</f>
        <v>0</v>
      </c>
      <c r="AA393" s="347">
        <f>+'NF-KSF-TRIAL-BAL-2020'!T393+'RA-TRIAL-BAL-2020'!T393+'DES-TRIAL-BAL-2020'!T393+'DMP-TRIAL-BAL-2020'!T393</f>
        <v>0</v>
      </c>
      <c r="AB393" s="51"/>
      <c r="AC393" s="8">
        <v>0</v>
      </c>
      <c r="AD393" s="9">
        <v>0</v>
      </c>
      <c r="AE393" s="122">
        <v>0</v>
      </c>
      <c r="AF393" s="121">
        <v>0</v>
      </c>
      <c r="AG393" s="27">
        <f t="shared" si="215"/>
        <v>0</v>
      </c>
      <c r="AH393" s="28">
        <f t="shared" si="216"/>
        <v>0</v>
      </c>
      <c r="AI393" s="51"/>
      <c r="AJ393" s="1497">
        <f t="shared" si="184"/>
        <v>6019</v>
      </c>
      <c r="AK393" s="8">
        <v>0</v>
      </c>
      <c r="AL393" s="9">
        <v>0</v>
      </c>
      <c r="AM393" s="326">
        <f t="shared" si="217"/>
        <v>3888.62</v>
      </c>
      <c r="AN393" s="970">
        <f t="shared" si="217"/>
        <v>0</v>
      </c>
      <c r="AO393" s="326">
        <f t="shared" si="218"/>
        <v>3888.62</v>
      </c>
      <c r="AP393" s="327">
        <f t="shared" si="219"/>
        <v>0</v>
      </c>
      <c r="AQ393" s="43"/>
      <c r="AR393" s="358">
        <f t="shared" si="220"/>
        <v>0</v>
      </c>
      <c r="AS393" s="359">
        <f t="shared" si="221"/>
        <v>0</v>
      </c>
      <c r="AT393" s="360">
        <f t="shared" si="222"/>
        <v>0</v>
      </c>
      <c r="AU393" s="43"/>
      <c r="AV393" s="43"/>
      <c r="AW393" s="119"/>
      <c r="AX393" s="119"/>
      <c r="AY393" s="43"/>
      <c r="AZ393" s="43"/>
      <c r="BA393" s="43"/>
      <c r="BB393" s="43"/>
      <c r="BC393" s="43"/>
      <c r="BD393" s="43"/>
    </row>
    <row r="394" spans="1:56" ht="15.75">
      <c r="A394" s="88">
        <v>6021</v>
      </c>
      <c r="B394" s="1032" t="s">
        <v>332</v>
      </c>
      <c r="C394" s="1033"/>
      <c r="D394" s="1033"/>
      <c r="E394" s="1033"/>
      <c r="F394" s="1033"/>
      <c r="G394" s="1033"/>
      <c r="H394" s="1033"/>
      <c r="I394" s="1033"/>
      <c r="J394" s="1033"/>
      <c r="K394" s="1033"/>
      <c r="L394" s="90"/>
      <c r="M394" s="51" t="s">
        <v>265</v>
      </c>
      <c r="N394" s="113">
        <f t="shared" si="212"/>
        <v>6021</v>
      </c>
      <c r="O394" s="8">
        <v>0</v>
      </c>
      <c r="P394" s="9">
        <v>0</v>
      </c>
      <c r="Q394" s="325">
        <v>235472.03999999998</v>
      </c>
      <c r="R394" s="324">
        <v>0</v>
      </c>
      <c r="S394" s="27">
        <f t="shared" si="213"/>
        <v>235472.03999999998</v>
      </c>
      <c r="T394" s="28">
        <f t="shared" si="214"/>
        <v>0</v>
      </c>
      <c r="U394" s="51"/>
      <c r="V394" s="541">
        <f>+'NF-KSF-TRIAL-BAL-2020'!O394+'RA-TRIAL-BAL-2020'!O394+'DES-TRIAL-BAL-2020'!O394+'DMP-TRIAL-BAL-2020'!O394</f>
        <v>0</v>
      </c>
      <c r="W394" s="529">
        <f>+'NF-KSF-TRIAL-BAL-2020'!P394+'RA-TRIAL-BAL-2020'!P394+'DES-TRIAL-BAL-2020'!P394+'DMP-TRIAL-BAL-2020'!P394</f>
        <v>0</v>
      </c>
      <c r="X394" s="528">
        <f>+'NF-KSF-TRIAL-BAL-2020'!Q394+'RA-TRIAL-BAL-2020'!Q394+'DES-TRIAL-BAL-2020'!Q394+'DMP-TRIAL-BAL-2020'!Q394</f>
        <v>0</v>
      </c>
      <c r="Y394" s="529">
        <f>+'NF-KSF-TRIAL-BAL-2020'!R394+'RA-TRIAL-BAL-2020'!R394+'DES-TRIAL-BAL-2020'!R394+'DMP-TRIAL-BAL-2020'!R394</f>
        <v>0</v>
      </c>
      <c r="Z394" s="528">
        <f>+'NF-KSF-TRIAL-BAL-2020'!S394+'RA-TRIAL-BAL-2020'!S394+'DES-TRIAL-BAL-2020'!S394+'DMP-TRIAL-BAL-2020'!S394</f>
        <v>0</v>
      </c>
      <c r="AA394" s="347">
        <f>+'NF-KSF-TRIAL-BAL-2020'!T394+'RA-TRIAL-BAL-2020'!T394+'DES-TRIAL-BAL-2020'!T394+'DMP-TRIAL-BAL-2020'!T394</f>
        <v>0</v>
      </c>
      <c r="AB394" s="51"/>
      <c r="AC394" s="8">
        <v>0</v>
      </c>
      <c r="AD394" s="9">
        <v>0</v>
      </c>
      <c r="AE394" s="122">
        <v>0</v>
      </c>
      <c r="AF394" s="121">
        <v>0</v>
      </c>
      <c r="AG394" s="27">
        <f t="shared" si="215"/>
        <v>0</v>
      </c>
      <c r="AH394" s="28">
        <f t="shared" si="216"/>
        <v>0</v>
      </c>
      <c r="AI394" s="51"/>
      <c r="AJ394" s="1497">
        <f t="shared" si="184"/>
        <v>6021</v>
      </c>
      <c r="AK394" s="8">
        <v>0</v>
      </c>
      <c r="AL394" s="9">
        <v>0</v>
      </c>
      <c r="AM394" s="326">
        <f t="shared" si="217"/>
        <v>235472.04</v>
      </c>
      <c r="AN394" s="970">
        <f t="shared" si="217"/>
        <v>0</v>
      </c>
      <c r="AO394" s="326">
        <f t="shared" si="218"/>
        <v>235472.03999999998</v>
      </c>
      <c r="AP394" s="327">
        <f t="shared" si="219"/>
        <v>0</v>
      </c>
      <c r="AQ394" s="43"/>
      <c r="AR394" s="358">
        <f t="shared" si="220"/>
        <v>0</v>
      </c>
      <c r="AS394" s="359">
        <f t="shared" si="221"/>
        <v>0</v>
      </c>
      <c r="AT394" s="360">
        <f t="shared" si="222"/>
        <v>0</v>
      </c>
      <c r="AU394" s="43"/>
      <c r="AV394" s="43"/>
      <c r="AW394" s="119"/>
      <c r="AX394" s="119"/>
      <c r="AY394" s="43"/>
      <c r="AZ394" s="43"/>
      <c r="BA394" s="43"/>
      <c r="BB394" s="43"/>
      <c r="BC394" s="43"/>
      <c r="BD394" s="43"/>
    </row>
    <row r="395" spans="1:56" ht="15.75">
      <c r="A395" s="88">
        <v>6022</v>
      </c>
      <c r="B395" s="1032" t="s">
        <v>333</v>
      </c>
      <c r="C395" s="1033"/>
      <c r="D395" s="1033"/>
      <c r="E395" s="1033"/>
      <c r="F395" s="1033"/>
      <c r="G395" s="1033"/>
      <c r="H395" s="1033"/>
      <c r="I395" s="1033"/>
      <c r="J395" s="1033"/>
      <c r="K395" s="1033"/>
      <c r="L395" s="90"/>
      <c r="M395" s="51" t="s">
        <v>265</v>
      </c>
      <c r="N395" s="113">
        <f t="shared" si="212"/>
        <v>6022</v>
      </c>
      <c r="O395" s="8">
        <v>0</v>
      </c>
      <c r="P395" s="9">
        <v>0</v>
      </c>
      <c r="Q395" s="325">
        <v>4260.24</v>
      </c>
      <c r="R395" s="324">
        <v>0</v>
      </c>
      <c r="S395" s="27">
        <f t="shared" si="213"/>
        <v>4260.24</v>
      </c>
      <c r="T395" s="28">
        <f t="shared" si="214"/>
        <v>0</v>
      </c>
      <c r="U395" s="51"/>
      <c r="V395" s="541">
        <f>+'NF-KSF-TRIAL-BAL-2020'!O395+'RA-TRIAL-BAL-2020'!O395+'DES-TRIAL-BAL-2020'!O395+'DMP-TRIAL-BAL-2020'!O395</f>
        <v>0</v>
      </c>
      <c r="W395" s="529">
        <f>+'NF-KSF-TRIAL-BAL-2020'!P395+'RA-TRIAL-BAL-2020'!P395+'DES-TRIAL-BAL-2020'!P395+'DMP-TRIAL-BAL-2020'!P395</f>
        <v>0</v>
      </c>
      <c r="X395" s="528">
        <f>+'NF-KSF-TRIAL-BAL-2020'!Q395+'RA-TRIAL-BAL-2020'!Q395+'DES-TRIAL-BAL-2020'!Q395+'DMP-TRIAL-BAL-2020'!Q395</f>
        <v>0</v>
      </c>
      <c r="Y395" s="529">
        <f>+'NF-KSF-TRIAL-BAL-2020'!R395+'RA-TRIAL-BAL-2020'!R395+'DES-TRIAL-BAL-2020'!R395+'DMP-TRIAL-BAL-2020'!R395</f>
        <v>0</v>
      </c>
      <c r="Z395" s="528">
        <f>+'NF-KSF-TRIAL-BAL-2020'!S395+'RA-TRIAL-BAL-2020'!S395+'DES-TRIAL-BAL-2020'!S395+'DMP-TRIAL-BAL-2020'!S395</f>
        <v>0</v>
      </c>
      <c r="AA395" s="347">
        <f>+'NF-KSF-TRIAL-BAL-2020'!T395+'RA-TRIAL-BAL-2020'!T395+'DES-TRIAL-BAL-2020'!T395+'DMP-TRIAL-BAL-2020'!T395</f>
        <v>0</v>
      </c>
      <c r="AB395" s="51"/>
      <c r="AC395" s="8">
        <v>0</v>
      </c>
      <c r="AD395" s="9">
        <v>0</v>
      </c>
      <c r="AE395" s="122">
        <v>0</v>
      </c>
      <c r="AF395" s="121">
        <v>0</v>
      </c>
      <c r="AG395" s="27">
        <f t="shared" si="215"/>
        <v>0</v>
      </c>
      <c r="AH395" s="28">
        <f t="shared" si="216"/>
        <v>0</v>
      </c>
      <c r="AI395" s="51"/>
      <c r="AJ395" s="1497">
        <f t="shared" si="184"/>
        <v>6022</v>
      </c>
      <c r="AK395" s="8">
        <v>0</v>
      </c>
      <c r="AL395" s="9">
        <v>0</v>
      </c>
      <c r="AM395" s="326">
        <f t="shared" si="217"/>
        <v>4260.24</v>
      </c>
      <c r="AN395" s="970">
        <f t="shared" si="217"/>
        <v>0</v>
      </c>
      <c r="AO395" s="326">
        <f t="shared" si="218"/>
        <v>4260.24</v>
      </c>
      <c r="AP395" s="327">
        <f t="shared" si="219"/>
        <v>0</v>
      </c>
      <c r="AQ395" s="43"/>
      <c r="AR395" s="358">
        <f t="shared" si="220"/>
        <v>0</v>
      </c>
      <c r="AS395" s="359">
        <f t="shared" si="221"/>
        <v>0</v>
      </c>
      <c r="AT395" s="360">
        <f t="shared" si="222"/>
        <v>0</v>
      </c>
      <c r="AU395" s="43"/>
      <c r="AV395" s="43"/>
      <c r="AW395" s="119"/>
      <c r="AX395" s="119"/>
      <c r="AY395" s="43"/>
      <c r="AZ395" s="43"/>
      <c r="BA395" s="43"/>
      <c r="BB395" s="43"/>
      <c r="BC395" s="43"/>
      <c r="BD395" s="43"/>
    </row>
    <row r="396" spans="1:56" ht="15.75">
      <c r="A396" s="88">
        <v>6023</v>
      </c>
      <c r="B396" s="1032" t="s">
        <v>334</v>
      </c>
      <c r="C396" s="1033"/>
      <c r="D396" s="1033"/>
      <c r="E396" s="1033"/>
      <c r="F396" s="1033"/>
      <c r="G396" s="1033"/>
      <c r="H396" s="1033"/>
      <c r="I396" s="1033"/>
      <c r="J396" s="1033"/>
      <c r="K396" s="1033"/>
      <c r="L396" s="90"/>
      <c r="M396" s="51" t="s">
        <v>265</v>
      </c>
      <c r="N396" s="113">
        <f t="shared" si="212"/>
        <v>6023</v>
      </c>
      <c r="O396" s="8">
        <v>0</v>
      </c>
      <c r="P396" s="9">
        <v>0</v>
      </c>
      <c r="Q396" s="325">
        <v>208.89000000000004</v>
      </c>
      <c r="R396" s="324">
        <v>0</v>
      </c>
      <c r="S396" s="27">
        <f t="shared" si="213"/>
        <v>208.89000000000004</v>
      </c>
      <c r="T396" s="28">
        <f t="shared" si="214"/>
        <v>0</v>
      </c>
      <c r="U396" s="51"/>
      <c r="V396" s="541">
        <f>+'NF-KSF-TRIAL-BAL-2020'!O396+'RA-TRIAL-BAL-2020'!O396+'DES-TRIAL-BAL-2020'!O396+'DMP-TRIAL-BAL-2020'!O396</f>
        <v>0</v>
      </c>
      <c r="W396" s="529">
        <f>+'NF-KSF-TRIAL-BAL-2020'!P396+'RA-TRIAL-BAL-2020'!P396+'DES-TRIAL-BAL-2020'!P396+'DMP-TRIAL-BAL-2020'!P396</f>
        <v>0</v>
      </c>
      <c r="X396" s="528">
        <f>+'NF-KSF-TRIAL-BAL-2020'!Q396+'RA-TRIAL-BAL-2020'!Q396+'DES-TRIAL-BAL-2020'!Q396+'DMP-TRIAL-BAL-2020'!Q396</f>
        <v>0</v>
      </c>
      <c r="Y396" s="529">
        <f>+'NF-KSF-TRIAL-BAL-2020'!R396+'RA-TRIAL-BAL-2020'!R396+'DES-TRIAL-BAL-2020'!R396+'DMP-TRIAL-BAL-2020'!R396</f>
        <v>0</v>
      </c>
      <c r="Z396" s="528">
        <f>+'NF-KSF-TRIAL-BAL-2020'!S396+'RA-TRIAL-BAL-2020'!S396+'DES-TRIAL-BAL-2020'!S396+'DMP-TRIAL-BAL-2020'!S396</f>
        <v>0</v>
      </c>
      <c r="AA396" s="347">
        <f>+'NF-KSF-TRIAL-BAL-2020'!T396+'RA-TRIAL-BAL-2020'!T396+'DES-TRIAL-BAL-2020'!T396+'DMP-TRIAL-BAL-2020'!T396</f>
        <v>0</v>
      </c>
      <c r="AB396" s="51"/>
      <c r="AC396" s="8">
        <v>0</v>
      </c>
      <c r="AD396" s="9">
        <v>0</v>
      </c>
      <c r="AE396" s="122">
        <v>0</v>
      </c>
      <c r="AF396" s="121">
        <v>0</v>
      </c>
      <c r="AG396" s="27">
        <f t="shared" si="215"/>
        <v>0</v>
      </c>
      <c r="AH396" s="28">
        <f t="shared" si="216"/>
        <v>0</v>
      </c>
      <c r="AI396" s="51"/>
      <c r="AJ396" s="1497">
        <f t="shared" si="184"/>
        <v>6023</v>
      </c>
      <c r="AK396" s="8">
        <v>0</v>
      </c>
      <c r="AL396" s="9">
        <v>0</v>
      </c>
      <c r="AM396" s="326">
        <f t="shared" si="217"/>
        <v>208.89</v>
      </c>
      <c r="AN396" s="970">
        <f t="shared" si="217"/>
        <v>0</v>
      </c>
      <c r="AO396" s="326">
        <f t="shared" si="218"/>
        <v>208.89000000000004</v>
      </c>
      <c r="AP396" s="327">
        <f t="shared" si="219"/>
        <v>0</v>
      </c>
      <c r="AQ396" s="43"/>
      <c r="AR396" s="358">
        <f t="shared" si="220"/>
        <v>0</v>
      </c>
      <c r="AS396" s="359">
        <f t="shared" si="221"/>
        <v>0</v>
      </c>
      <c r="AT396" s="360">
        <f t="shared" si="222"/>
        <v>0</v>
      </c>
      <c r="AU396" s="43"/>
      <c r="AV396" s="43"/>
      <c r="AW396" s="119"/>
      <c r="AX396" s="119"/>
      <c r="AY396" s="43"/>
      <c r="AZ396" s="43"/>
      <c r="BA396" s="43"/>
      <c r="BB396" s="43"/>
      <c r="BC396" s="43"/>
      <c r="BD396" s="43"/>
    </row>
    <row r="397" spans="1:56" ht="15.75">
      <c r="A397" s="88">
        <v>6025</v>
      </c>
      <c r="B397" s="1032" t="s">
        <v>335</v>
      </c>
      <c r="C397" s="1033"/>
      <c r="D397" s="1033"/>
      <c r="E397" s="1033"/>
      <c r="F397" s="1033"/>
      <c r="G397" s="1033"/>
      <c r="H397" s="1033"/>
      <c r="I397" s="1033"/>
      <c r="J397" s="1033"/>
      <c r="K397" s="1033"/>
      <c r="L397" s="90"/>
      <c r="M397" s="51" t="s">
        <v>265</v>
      </c>
      <c r="N397" s="113">
        <f t="shared" si="212"/>
        <v>6025</v>
      </c>
      <c r="O397" s="8">
        <v>0</v>
      </c>
      <c r="P397" s="9">
        <v>0</v>
      </c>
      <c r="Q397" s="325">
        <v>124</v>
      </c>
      <c r="R397" s="324">
        <v>0</v>
      </c>
      <c r="S397" s="27">
        <f t="shared" si="213"/>
        <v>124</v>
      </c>
      <c r="T397" s="28">
        <f t="shared" si="214"/>
        <v>0</v>
      </c>
      <c r="U397" s="51"/>
      <c r="V397" s="541">
        <f>+'NF-KSF-TRIAL-BAL-2020'!O397+'RA-TRIAL-BAL-2020'!O397+'DES-TRIAL-BAL-2020'!O397+'DMP-TRIAL-BAL-2020'!O397</f>
        <v>0</v>
      </c>
      <c r="W397" s="529">
        <f>+'NF-KSF-TRIAL-BAL-2020'!P397+'RA-TRIAL-BAL-2020'!P397+'DES-TRIAL-BAL-2020'!P397+'DMP-TRIAL-BAL-2020'!P397</f>
        <v>0</v>
      </c>
      <c r="X397" s="528">
        <f>+'NF-KSF-TRIAL-BAL-2020'!Q397+'RA-TRIAL-BAL-2020'!Q397+'DES-TRIAL-BAL-2020'!Q397+'DMP-TRIAL-BAL-2020'!Q397</f>
        <v>0</v>
      </c>
      <c r="Y397" s="529">
        <f>+'NF-KSF-TRIAL-BAL-2020'!R397+'RA-TRIAL-BAL-2020'!R397+'DES-TRIAL-BAL-2020'!R397+'DMP-TRIAL-BAL-2020'!R397</f>
        <v>0</v>
      </c>
      <c r="Z397" s="528">
        <f>+'NF-KSF-TRIAL-BAL-2020'!S397+'RA-TRIAL-BAL-2020'!S397+'DES-TRIAL-BAL-2020'!S397+'DMP-TRIAL-BAL-2020'!S397</f>
        <v>0</v>
      </c>
      <c r="AA397" s="347">
        <f>+'NF-KSF-TRIAL-BAL-2020'!T397+'RA-TRIAL-BAL-2020'!T397+'DES-TRIAL-BAL-2020'!T397+'DMP-TRIAL-BAL-2020'!T397</f>
        <v>0</v>
      </c>
      <c r="AB397" s="51"/>
      <c r="AC397" s="8">
        <v>0</v>
      </c>
      <c r="AD397" s="9">
        <v>0</v>
      </c>
      <c r="AE397" s="122">
        <v>0</v>
      </c>
      <c r="AF397" s="121">
        <v>0</v>
      </c>
      <c r="AG397" s="27">
        <f t="shared" si="215"/>
        <v>0</v>
      </c>
      <c r="AH397" s="28">
        <f t="shared" si="216"/>
        <v>0</v>
      </c>
      <c r="AI397" s="51"/>
      <c r="AJ397" s="1497">
        <f t="shared" si="184"/>
        <v>6025</v>
      </c>
      <c r="AK397" s="8">
        <v>0</v>
      </c>
      <c r="AL397" s="9">
        <v>0</v>
      </c>
      <c r="AM397" s="326">
        <f t="shared" si="217"/>
        <v>124</v>
      </c>
      <c r="AN397" s="970">
        <f t="shared" si="217"/>
        <v>0</v>
      </c>
      <c r="AO397" s="326">
        <f t="shared" si="218"/>
        <v>124</v>
      </c>
      <c r="AP397" s="327">
        <f t="shared" si="219"/>
        <v>0</v>
      </c>
      <c r="AQ397" s="43"/>
      <c r="AR397" s="358">
        <f t="shared" si="220"/>
        <v>0</v>
      </c>
      <c r="AS397" s="359">
        <f t="shared" si="221"/>
        <v>0</v>
      </c>
      <c r="AT397" s="360">
        <f t="shared" si="222"/>
        <v>0</v>
      </c>
      <c r="AU397" s="43"/>
      <c r="AV397" s="43"/>
      <c r="AW397" s="119"/>
      <c r="AX397" s="119"/>
      <c r="AY397" s="43"/>
      <c r="AZ397" s="43"/>
      <c r="BA397" s="43"/>
      <c r="BB397" s="43"/>
      <c r="BC397" s="43"/>
      <c r="BD397" s="43"/>
    </row>
    <row r="398" spans="1:56" ht="15.75">
      <c r="A398" s="88">
        <v>6026</v>
      </c>
      <c r="B398" s="1032" t="s">
        <v>336</v>
      </c>
      <c r="C398" s="1033"/>
      <c r="D398" s="1033"/>
      <c r="E398" s="1033"/>
      <c r="F398" s="1033"/>
      <c r="G398" s="1033"/>
      <c r="H398" s="1033"/>
      <c r="I398" s="1033"/>
      <c r="J398" s="1033"/>
      <c r="K398" s="1033"/>
      <c r="L398" s="90"/>
      <c r="M398" s="51" t="s">
        <v>265</v>
      </c>
      <c r="N398" s="113">
        <f t="shared" si="212"/>
        <v>6026</v>
      </c>
      <c r="O398" s="8">
        <v>0</v>
      </c>
      <c r="P398" s="9">
        <v>0</v>
      </c>
      <c r="Q398" s="325">
        <v>0</v>
      </c>
      <c r="R398" s="324">
        <v>0</v>
      </c>
      <c r="S398" s="27">
        <f t="shared" si="213"/>
        <v>0</v>
      </c>
      <c r="T398" s="28">
        <f t="shared" si="214"/>
        <v>0</v>
      </c>
      <c r="U398" s="51"/>
      <c r="V398" s="541">
        <f>+'NF-KSF-TRIAL-BAL-2020'!O398+'RA-TRIAL-BAL-2020'!O398+'DES-TRIAL-BAL-2020'!O398+'DMP-TRIAL-BAL-2020'!O398</f>
        <v>0</v>
      </c>
      <c r="W398" s="529">
        <f>+'NF-KSF-TRIAL-BAL-2020'!P398+'RA-TRIAL-BAL-2020'!P398+'DES-TRIAL-BAL-2020'!P398+'DMP-TRIAL-BAL-2020'!P398</f>
        <v>0</v>
      </c>
      <c r="X398" s="528">
        <f>+'NF-KSF-TRIAL-BAL-2020'!Q398+'RA-TRIAL-BAL-2020'!Q398+'DES-TRIAL-BAL-2020'!Q398+'DMP-TRIAL-BAL-2020'!Q398</f>
        <v>0</v>
      </c>
      <c r="Y398" s="529">
        <f>+'NF-KSF-TRIAL-BAL-2020'!R398+'RA-TRIAL-BAL-2020'!R398+'DES-TRIAL-BAL-2020'!R398+'DMP-TRIAL-BAL-2020'!R398</f>
        <v>0</v>
      </c>
      <c r="Z398" s="528">
        <f>+'NF-KSF-TRIAL-BAL-2020'!S398+'RA-TRIAL-BAL-2020'!S398+'DES-TRIAL-BAL-2020'!S398+'DMP-TRIAL-BAL-2020'!S398</f>
        <v>0</v>
      </c>
      <c r="AA398" s="347">
        <f>+'NF-KSF-TRIAL-BAL-2020'!T398+'RA-TRIAL-BAL-2020'!T398+'DES-TRIAL-BAL-2020'!T398+'DMP-TRIAL-BAL-2020'!T398</f>
        <v>0</v>
      </c>
      <c r="AB398" s="51"/>
      <c r="AC398" s="8">
        <v>0</v>
      </c>
      <c r="AD398" s="9">
        <v>0</v>
      </c>
      <c r="AE398" s="122">
        <v>0</v>
      </c>
      <c r="AF398" s="121">
        <v>0</v>
      </c>
      <c r="AG398" s="27">
        <f t="shared" si="215"/>
        <v>0</v>
      </c>
      <c r="AH398" s="28">
        <f t="shared" si="216"/>
        <v>0</v>
      </c>
      <c r="AI398" s="51"/>
      <c r="AJ398" s="1497">
        <f t="shared" si="184"/>
        <v>6026</v>
      </c>
      <c r="AK398" s="8">
        <v>0</v>
      </c>
      <c r="AL398" s="9">
        <v>0</v>
      </c>
      <c r="AM398" s="326">
        <f t="shared" si="217"/>
        <v>0</v>
      </c>
      <c r="AN398" s="970">
        <f t="shared" si="217"/>
        <v>0</v>
      </c>
      <c r="AO398" s="326">
        <f t="shared" si="218"/>
        <v>0</v>
      </c>
      <c r="AP398" s="327">
        <f t="shared" si="219"/>
        <v>0</v>
      </c>
      <c r="AQ398" s="43"/>
      <c r="AR398" s="358">
        <f t="shared" si="220"/>
        <v>0</v>
      </c>
      <c r="AS398" s="359">
        <f t="shared" si="221"/>
        <v>0</v>
      </c>
      <c r="AT398" s="360">
        <f t="shared" si="222"/>
        <v>0</v>
      </c>
      <c r="AU398" s="43"/>
      <c r="AV398" s="43"/>
      <c r="AW398" s="119"/>
      <c r="AX398" s="119"/>
      <c r="AY398" s="43"/>
      <c r="AZ398" s="43"/>
      <c r="BA398" s="43"/>
      <c r="BB398" s="43"/>
      <c r="BC398" s="43"/>
      <c r="BD398" s="43"/>
    </row>
    <row r="399" spans="1:56" ht="15.75">
      <c r="A399" s="88">
        <v>6027</v>
      </c>
      <c r="B399" s="1032" t="s">
        <v>337</v>
      </c>
      <c r="C399" s="1033"/>
      <c r="D399" s="1033"/>
      <c r="E399" s="1033"/>
      <c r="F399" s="1033"/>
      <c r="G399" s="1033"/>
      <c r="H399" s="1033"/>
      <c r="I399" s="1033"/>
      <c r="J399" s="1033"/>
      <c r="K399" s="1033"/>
      <c r="L399" s="90"/>
      <c r="M399" s="51" t="s">
        <v>265</v>
      </c>
      <c r="N399" s="113">
        <f t="shared" si="212"/>
        <v>6027</v>
      </c>
      <c r="O399" s="8">
        <v>0</v>
      </c>
      <c r="P399" s="9">
        <v>0</v>
      </c>
      <c r="Q399" s="325">
        <v>0</v>
      </c>
      <c r="R399" s="324">
        <v>0</v>
      </c>
      <c r="S399" s="27">
        <f t="shared" si="213"/>
        <v>0</v>
      </c>
      <c r="T399" s="28">
        <f t="shared" si="214"/>
        <v>0</v>
      </c>
      <c r="U399" s="51"/>
      <c r="V399" s="541">
        <f>+'NF-KSF-TRIAL-BAL-2020'!O399+'RA-TRIAL-BAL-2020'!O399+'DES-TRIAL-BAL-2020'!O399+'DMP-TRIAL-BAL-2020'!O399</f>
        <v>0</v>
      </c>
      <c r="W399" s="529">
        <f>+'NF-KSF-TRIAL-BAL-2020'!P399+'RA-TRIAL-BAL-2020'!P399+'DES-TRIAL-BAL-2020'!P399+'DMP-TRIAL-BAL-2020'!P399</f>
        <v>0</v>
      </c>
      <c r="X399" s="528">
        <f>+'NF-KSF-TRIAL-BAL-2020'!Q399+'RA-TRIAL-BAL-2020'!Q399+'DES-TRIAL-BAL-2020'!Q399+'DMP-TRIAL-BAL-2020'!Q399</f>
        <v>0</v>
      </c>
      <c r="Y399" s="529">
        <f>+'NF-KSF-TRIAL-BAL-2020'!R399+'RA-TRIAL-BAL-2020'!R399+'DES-TRIAL-BAL-2020'!R399+'DMP-TRIAL-BAL-2020'!R399</f>
        <v>0</v>
      </c>
      <c r="Z399" s="528">
        <f>+'NF-KSF-TRIAL-BAL-2020'!S399+'RA-TRIAL-BAL-2020'!S399+'DES-TRIAL-BAL-2020'!S399+'DMP-TRIAL-BAL-2020'!S399</f>
        <v>0</v>
      </c>
      <c r="AA399" s="347">
        <f>+'NF-KSF-TRIAL-BAL-2020'!T399+'RA-TRIAL-BAL-2020'!T399+'DES-TRIAL-BAL-2020'!T399+'DMP-TRIAL-BAL-2020'!T399</f>
        <v>0</v>
      </c>
      <c r="AB399" s="51"/>
      <c r="AC399" s="8">
        <v>0</v>
      </c>
      <c r="AD399" s="9">
        <v>0</v>
      </c>
      <c r="AE399" s="122">
        <v>0</v>
      </c>
      <c r="AF399" s="121">
        <v>0</v>
      </c>
      <c r="AG399" s="27">
        <f t="shared" si="215"/>
        <v>0</v>
      </c>
      <c r="AH399" s="28">
        <f t="shared" si="216"/>
        <v>0</v>
      </c>
      <c r="AI399" s="51"/>
      <c r="AJ399" s="1497">
        <f t="shared" si="184"/>
        <v>6027</v>
      </c>
      <c r="AK399" s="8">
        <v>0</v>
      </c>
      <c r="AL399" s="9">
        <v>0</v>
      </c>
      <c r="AM399" s="326">
        <f t="shared" si="217"/>
        <v>0</v>
      </c>
      <c r="AN399" s="970">
        <f t="shared" si="217"/>
        <v>0</v>
      </c>
      <c r="AO399" s="326">
        <f t="shared" si="218"/>
        <v>0</v>
      </c>
      <c r="AP399" s="327">
        <f t="shared" si="219"/>
        <v>0</v>
      </c>
      <c r="AQ399" s="43"/>
      <c r="AR399" s="358">
        <f t="shared" si="220"/>
        <v>0</v>
      </c>
      <c r="AS399" s="359">
        <f t="shared" si="221"/>
        <v>0</v>
      </c>
      <c r="AT399" s="360">
        <f t="shared" si="222"/>
        <v>0</v>
      </c>
      <c r="AU399" s="43"/>
      <c r="AV399" s="43"/>
      <c r="AW399" s="119"/>
      <c r="AX399" s="119"/>
      <c r="AY399" s="43"/>
      <c r="AZ399" s="43"/>
      <c r="BA399" s="43"/>
      <c r="BB399" s="43"/>
      <c r="BC399" s="43"/>
      <c r="BD399" s="43"/>
    </row>
    <row r="400" spans="1:56" ht="15.75">
      <c r="A400" s="88">
        <v>6028</v>
      </c>
      <c r="B400" s="1032" t="s">
        <v>338</v>
      </c>
      <c r="C400" s="1033"/>
      <c r="D400" s="1033"/>
      <c r="E400" s="1033"/>
      <c r="F400" s="1033"/>
      <c r="G400" s="1033"/>
      <c r="H400" s="1033"/>
      <c r="I400" s="1033"/>
      <c r="J400" s="1033"/>
      <c r="K400" s="1033"/>
      <c r="L400" s="90"/>
      <c r="M400" s="51" t="s">
        <v>265</v>
      </c>
      <c r="N400" s="113">
        <f t="shared" si="212"/>
        <v>6028</v>
      </c>
      <c r="O400" s="8">
        <v>0</v>
      </c>
      <c r="P400" s="9">
        <v>0</v>
      </c>
      <c r="Q400" s="325">
        <v>211.22</v>
      </c>
      <c r="R400" s="324">
        <v>0</v>
      </c>
      <c r="S400" s="27">
        <f t="shared" si="213"/>
        <v>211.22</v>
      </c>
      <c r="T400" s="28">
        <f t="shared" si="214"/>
        <v>0</v>
      </c>
      <c r="U400" s="51"/>
      <c r="V400" s="541">
        <f>+'NF-KSF-TRIAL-BAL-2020'!O400+'RA-TRIAL-BAL-2020'!O400+'DES-TRIAL-BAL-2020'!O400+'DMP-TRIAL-BAL-2020'!O400</f>
        <v>0</v>
      </c>
      <c r="W400" s="529">
        <f>+'NF-KSF-TRIAL-BAL-2020'!P400+'RA-TRIAL-BAL-2020'!P400+'DES-TRIAL-BAL-2020'!P400+'DMP-TRIAL-BAL-2020'!P400</f>
        <v>0</v>
      </c>
      <c r="X400" s="528">
        <f>+'NF-KSF-TRIAL-BAL-2020'!Q400+'RA-TRIAL-BAL-2020'!Q400+'DES-TRIAL-BAL-2020'!Q400+'DMP-TRIAL-BAL-2020'!Q400</f>
        <v>0</v>
      </c>
      <c r="Y400" s="529">
        <f>+'NF-KSF-TRIAL-BAL-2020'!R400+'RA-TRIAL-BAL-2020'!R400+'DES-TRIAL-BAL-2020'!R400+'DMP-TRIAL-BAL-2020'!R400</f>
        <v>0</v>
      </c>
      <c r="Z400" s="528">
        <f>+'NF-KSF-TRIAL-BAL-2020'!S400+'RA-TRIAL-BAL-2020'!S400+'DES-TRIAL-BAL-2020'!S400+'DMP-TRIAL-BAL-2020'!S400</f>
        <v>0</v>
      </c>
      <c r="AA400" s="347">
        <f>+'NF-KSF-TRIAL-BAL-2020'!T400+'RA-TRIAL-BAL-2020'!T400+'DES-TRIAL-BAL-2020'!T400+'DMP-TRIAL-BAL-2020'!T400</f>
        <v>0</v>
      </c>
      <c r="AB400" s="51"/>
      <c r="AC400" s="8">
        <v>0</v>
      </c>
      <c r="AD400" s="9">
        <v>0</v>
      </c>
      <c r="AE400" s="122">
        <v>0</v>
      </c>
      <c r="AF400" s="121">
        <v>0</v>
      </c>
      <c r="AG400" s="27">
        <f t="shared" si="215"/>
        <v>0</v>
      </c>
      <c r="AH400" s="28">
        <f t="shared" si="216"/>
        <v>0</v>
      </c>
      <c r="AI400" s="51"/>
      <c r="AJ400" s="1497">
        <f t="shared" si="184"/>
        <v>6028</v>
      </c>
      <c r="AK400" s="8">
        <v>0</v>
      </c>
      <c r="AL400" s="9">
        <v>0</v>
      </c>
      <c r="AM400" s="326">
        <f t="shared" si="217"/>
        <v>211.22</v>
      </c>
      <c r="AN400" s="970">
        <f t="shared" si="217"/>
        <v>0</v>
      </c>
      <c r="AO400" s="326">
        <f t="shared" si="218"/>
        <v>211.22</v>
      </c>
      <c r="AP400" s="327">
        <f t="shared" si="219"/>
        <v>0</v>
      </c>
      <c r="AQ400" s="43"/>
      <c r="AR400" s="358">
        <f t="shared" si="220"/>
        <v>0</v>
      </c>
      <c r="AS400" s="359">
        <f t="shared" si="221"/>
        <v>0</v>
      </c>
      <c r="AT400" s="360">
        <f t="shared" si="222"/>
        <v>0</v>
      </c>
      <c r="AU400" s="43"/>
      <c r="AV400" s="43"/>
      <c r="AW400" s="119"/>
      <c r="AX400" s="119"/>
      <c r="AY400" s="43"/>
      <c r="AZ400" s="43"/>
      <c r="BA400" s="43"/>
      <c r="BB400" s="43"/>
      <c r="BC400" s="43"/>
      <c r="BD400" s="43"/>
    </row>
    <row r="401" spans="1:56" ht="15.75">
      <c r="A401" s="88">
        <v>6029</v>
      </c>
      <c r="B401" s="1032" t="s">
        <v>339</v>
      </c>
      <c r="C401" s="1033"/>
      <c r="D401" s="1033"/>
      <c r="E401" s="1033"/>
      <c r="F401" s="1033"/>
      <c r="G401" s="1033"/>
      <c r="H401" s="1033"/>
      <c r="I401" s="1033"/>
      <c r="J401" s="1033"/>
      <c r="K401" s="1033"/>
      <c r="L401" s="90"/>
      <c r="M401" s="51" t="s">
        <v>265</v>
      </c>
      <c r="N401" s="113">
        <f t="shared" si="212"/>
        <v>6029</v>
      </c>
      <c r="O401" s="8">
        <v>0</v>
      </c>
      <c r="P401" s="9">
        <v>0</v>
      </c>
      <c r="Q401" s="325">
        <v>12922.77</v>
      </c>
      <c r="R401" s="324">
        <v>0</v>
      </c>
      <c r="S401" s="27">
        <f t="shared" si="213"/>
        <v>12922.77</v>
      </c>
      <c r="T401" s="28">
        <f t="shared" si="214"/>
        <v>0</v>
      </c>
      <c r="U401" s="51"/>
      <c r="V401" s="541">
        <f>+'NF-KSF-TRIAL-BAL-2020'!O401+'RA-TRIAL-BAL-2020'!O401+'DES-TRIAL-BAL-2020'!O401+'DMP-TRIAL-BAL-2020'!O401</f>
        <v>0</v>
      </c>
      <c r="W401" s="529">
        <f>+'NF-KSF-TRIAL-BAL-2020'!P401+'RA-TRIAL-BAL-2020'!P401+'DES-TRIAL-BAL-2020'!P401+'DMP-TRIAL-BAL-2020'!P401</f>
        <v>0</v>
      </c>
      <c r="X401" s="528">
        <f>+'NF-KSF-TRIAL-BAL-2020'!Q401+'RA-TRIAL-BAL-2020'!Q401+'DES-TRIAL-BAL-2020'!Q401+'DMP-TRIAL-BAL-2020'!Q401</f>
        <v>0</v>
      </c>
      <c r="Y401" s="529">
        <f>+'NF-KSF-TRIAL-BAL-2020'!R401+'RA-TRIAL-BAL-2020'!R401+'DES-TRIAL-BAL-2020'!R401+'DMP-TRIAL-BAL-2020'!R401</f>
        <v>0</v>
      </c>
      <c r="Z401" s="528">
        <f>+'NF-KSF-TRIAL-BAL-2020'!S401+'RA-TRIAL-BAL-2020'!S401+'DES-TRIAL-BAL-2020'!S401+'DMP-TRIAL-BAL-2020'!S401</f>
        <v>0</v>
      </c>
      <c r="AA401" s="347">
        <f>+'NF-KSF-TRIAL-BAL-2020'!T401+'RA-TRIAL-BAL-2020'!T401+'DES-TRIAL-BAL-2020'!T401+'DMP-TRIAL-BAL-2020'!T401</f>
        <v>0</v>
      </c>
      <c r="AB401" s="51"/>
      <c r="AC401" s="8">
        <v>0</v>
      </c>
      <c r="AD401" s="9">
        <v>0</v>
      </c>
      <c r="AE401" s="122">
        <v>0</v>
      </c>
      <c r="AF401" s="121">
        <v>0</v>
      </c>
      <c r="AG401" s="27">
        <f t="shared" si="215"/>
        <v>0</v>
      </c>
      <c r="AH401" s="28">
        <f t="shared" si="216"/>
        <v>0</v>
      </c>
      <c r="AI401" s="51"/>
      <c r="AJ401" s="1497">
        <f t="shared" si="184"/>
        <v>6029</v>
      </c>
      <c r="AK401" s="8">
        <v>0</v>
      </c>
      <c r="AL401" s="9">
        <v>0</v>
      </c>
      <c r="AM401" s="326">
        <f t="shared" si="217"/>
        <v>12922.77</v>
      </c>
      <c r="AN401" s="970">
        <f t="shared" si="217"/>
        <v>0</v>
      </c>
      <c r="AO401" s="326">
        <f t="shared" si="218"/>
        <v>12922.77</v>
      </c>
      <c r="AP401" s="327">
        <f t="shared" si="219"/>
        <v>0</v>
      </c>
      <c r="AQ401" s="43"/>
      <c r="AR401" s="358">
        <f t="shared" si="220"/>
        <v>0</v>
      </c>
      <c r="AS401" s="359">
        <f t="shared" si="221"/>
        <v>0</v>
      </c>
      <c r="AT401" s="360">
        <f t="shared" si="222"/>
        <v>0</v>
      </c>
      <c r="AU401" s="43"/>
      <c r="AV401" s="43"/>
      <c r="AW401" s="119"/>
      <c r="AX401" s="119"/>
      <c r="AY401" s="43"/>
      <c r="AZ401" s="43"/>
      <c r="BA401" s="43"/>
      <c r="BB401" s="43"/>
      <c r="BC401" s="43"/>
      <c r="BD401" s="43"/>
    </row>
    <row r="402" spans="1:56" ht="15.75">
      <c r="A402" s="591">
        <v>6030</v>
      </c>
      <c r="B402" s="1034" t="s">
        <v>340</v>
      </c>
      <c r="C402" s="1033"/>
      <c r="D402" s="1033"/>
      <c r="E402" s="1033"/>
      <c r="F402" s="1033"/>
      <c r="G402" s="1033"/>
      <c r="H402" s="1033"/>
      <c r="I402" s="1033"/>
      <c r="J402" s="1033"/>
      <c r="K402" s="1033"/>
      <c r="L402" s="574"/>
      <c r="M402" s="51" t="s">
        <v>265</v>
      </c>
      <c r="N402" s="113">
        <f t="shared" ref="N402:N407" si="223">+A402</f>
        <v>6030</v>
      </c>
      <c r="O402" s="8">
        <v>0</v>
      </c>
      <c r="P402" s="9">
        <v>0</v>
      </c>
      <c r="Q402" s="325">
        <v>77.820000000000007</v>
      </c>
      <c r="R402" s="324">
        <v>0</v>
      </c>
      <c r="S402" s="27">
        <f t="shared" ref="S402:S407" si="224">+IF(ABS(+O402+Q402)&gt;=ABS(P402+R402),+O402-P402+Q402-R402,0)</f>
        <v>77.820000000000007</v>
      </c>
      <c r="T402" s="28">
        <f t="shared" ref="T402:T407" si="225">+IF(ABS(+O402+Q402)&lt;=ABS(P402+R402),-O402+P402-Q402+R402,0)</f>
        <v>0</v>
      </c>
      <c r="U402" s="51"/>
      <c r="V402" s="541">
        <f>+'NF-KSF-TRIAL-BAL-2020'!O402+'RA-TRIAL-BAL-2020'!O402+'DES-TRIAL-BAL-2020'!O402+'DMP-TRIAL-BAL-2020'!O402</f>
        <v>0</v>
      </c>
      <c r="W402" s="529">
        <f>+'NF-KSF-TRIAL-BAL-2020'!P402+'RA-TRIAL-BAL-2020'!P402+'DES-TRIAL-BAL-2020'!P402+'DMP-TRIAL-BAL-2020'!P402</f>
        <v>0</v>
      </c>
      <c r="X402" s="528">
        <f>+'NF-KSF-TRIAL-BAL-2020'!Q402+'RA-TRIAL-BAL-2020'!Q402+'DES-TRIAL-BAL-2020'!Q402+'DMP-TRIAL-BAL-2020'!Q402</f>
        <v>0</v>
      </c>
      <c r="Y402" s="529">
        <f>+'NF-KSF-TRIAL-BAL-2020'!R402+'RA-TRIAL-BAL-2020'!R402+'DES-TRIAL-BAL-2020'!R402+'DMP-TRIAL-BAL-2020'!R402</f>
        <v>0</v>
      </c>
      <c r="Z402" s="528">
        <f>+'NF-KSF-TRIAL-BAL-2020'!S402+'RA-TRIAL-BAL-2020'!S402+'DES-TRIAL-BAL-2020'!S402+'DMP-TRIAL-BAL-2020'!S402</f>
        <v>0</v>
      </c>
      <c r="AA402" s="347">
        <f>+'NF-KSF-TRIAL-BAL-2020'!T402+'RA-TRIAL-BAL-2020'!T402+'DES-TRIAL-BAL-2020'!T402+'DMP-TRIAL-BAL-2020'!T402</f>
        <v>0</v>
      </c>
      <c r="AB402" s="51"/>
      <c r="AC402" s="575">
        <v>0</v>
      </c>
      <c r="AD402" s="582">
        <v>0</v>
      </c>
      <c r="AE402" s="579">
        <v>0</v>
      </c>
      <c r="AF402" s="582">
        <v>0</v>
      </c>
      <c r="AG402" s="27">
        <f t="shared" si="215"/>
        <v>0</v>
      </c>
      <c r="AH402" s="28">
        <f t="shared" si="216"/>
        <v>0</v>
      </c>
      <c r="AI402" s="51"/>
      <c r="AJ402" s="1733">
        <f t="shared" ref="AJ402:AJ475" si="226">+N402</f>
        <v>6030</v>
      </c>
      <c r="AK402" s="575">
        <v>0</v>
      </c>
      <c r="AL402" s="582">
        <v>0</v>
      </c>
      <c r="AM402" s="837">
        <f t="shared" ref="AM402:AM409" si="227">+ROUND(+Q402+X402+AE402,2)</f>
        <v>77.819999999999993</v>
      </c>
      <c r="AN402" s="2135">
        <f t="shared" ref="AN402:AN409" si="228">+ROUND(+R402+Y402+AF402,2)</f>
        <v>0</v>
      </c>
      <c r="AO402" s="583">
        <f t="shared" si="218"/>
        <v>77.820000000000007</v>
      </c>
      <c r="AP402" s="580">
        <f t="shared" si="219"/>
        <v>0</v>
      </c>
      <c r="AQ402" s="43"/>
      <c r="AR402" s="358">
        <f t="shared" si="220"/>
        <v>0</v>
      </c>
      <c r="AS402" s="359">
        <f t="shared" si="221"/>
        <v>0</v>
      </c>
      <c r="AT402" s="360">
        <f t="shared" si="222"/>
        <v>0</v>
      </c>
      <c r="AU402" s="43"/>
      <c r="AV402" s="43"/>
      <c r="AW402" s="119"/>
      <c r="AX402" s="2125">
        <f t="shared" ref="AX402:AX407" si="229">+IF(OR(AC402&lt;&gt;0,AD402&lt;&gt;0,AE402&lt;&gt;0,AF402&lt;&gt;0,AG402&lt;&gt;0,AH402&lt;&gt;0),+IF(ABS(AC402+AE402)-ABS(AD402+AF402)&lt;&gt;0,ABS(AC402+AE402)-ABS(AD402+AF402),1),0)</f>
        <v>0</v>
      </c>
      <c r="AY402" s="43"/>
      <c r="AZ402" s="43"/>
      <c r="BA402" s="43"/>
      <c r="BB402" s="43"/>
      <c r="BC402" s="43"/>
      <c r="BD402" s="43"/>
    </row>
    <row r="403" spans="1:56" ht="15.75">
      <c r="A403" s="591">
        <v>6032</v>
      </c>
      <c r="B403" s="1034" t="s">
        <v>341</v>
      </c>
      <c r="C403" s="1033"/>
      <c r="D403" s="1033"/>
      <c r="E403" s="1033"/>
      <c r="F403" s="1033"/>
      <c r="G403" s="1033"/>
      <c r="H403" s="1033"/>
      <c r="I403" s="1033"/>
      <c r="J403" s="1033"/>
      <c r="K403" s="1033"/>
      <c r="L403" s="574"/>
      <c r="M403" s="51" t="s">
        <v>265</v>
      </c>
      <c r="N403" s="113">
        <f t="shared" si="223"/>
        <v>6032</v>
      </c>
      <c r="O403" s="8">
        <v>0</v>
      </c>
      <c r="P403" s="9">
        <v>0</v>
      </c>
      <c r="Q403" s="325"/>
      <c r="R403" s="324"/>
      <c r="S403" s="27">
        <f t="shared" si="224"/>
        <v>0</v>
      </c>
      <c r="T403" s="28">
        <f t="shared" si="225"/>
        <v>0</v>
      </c>
      <c r="U403" s="51"/>
      <c r="V403" s="541">
        <f>+'NF-KSF-TRIAL-BAL-2020'!O403+'RA-TRIAL-BAL-2020'!O403+'DES-TRIAL-BAL-2020'!O403+'DMP-TRIAL-BAL-2020'!O403</f>
        <v>0</v>
      </c>
      <c r="W403" s="529">
        <f>+'NF-KSF-TRIAL-BAL-2020'!P403+'RA-TRIAL-BAL-2020'!P403+'DES-TRIAL-BAL-2020'!P403+'DMP-TRIAL-BAL-2020'!P403</f>
        <v>0</v>
      </c>
      <c r="X403" s="528">
        <f>+'NF-KSF-TRIAL-BAL-2020'!Q403+'RA-TRIAL-BAL-2020'!Q403+'DES-TRIAL-BAL-2020'!Q403+'DMP-TRIAL-BAL-2020'!Q403</f>
        <v>0</v>
      </c>
      <c r="Y403" s="529">
        <f>+'NF-KSF-TRIAL-BAL-2020'!R403+'RA-TRIAL-BAL-2020'!R403+'DES-TRIAL-BAL-2020'!R403+'DMP-TRIAL-BAL-2020'!R403</f>
        <v>0</v>
      </c>
      <c r="Z403" s="528">
        <f>+'NF-KSF-TRIAL-BAL-2020'!S403+'RA-TRIAL-BAL-2020'!S403+'DES-TRIAL-BAL-2020'!S403+'DMP-TRIAL-BAL-2020'!S403</f>
        <v>0</v>
      </c>
      <c r="AA403" s="347">
        <f>+'NF-KSF-TRIAL-BAL-2020'!T403+'RA-TRIAL-BAL-2020'!T403+'DES-TRIAL-BAL-2020'!T403+'DMP-TRIAL-BAL-2020'!T403</f>
        <v>0</v>
      </c>
      <c r="AB403" s="51"/>
      <c r="AC403" s="575">
        <v>0</v>
      </c>
      <c r="AD403" s="582">
        <v>0</v>
      </c>
      <c r="AE403" s="579">
        <v>0</v>
      </c>
      <c r="AF403" s="582">
        <v>0</v>
      </c>
      <c r="AG403" s="27">
        <f t="shared" si="215"/>
        <v>0</v>
      </c>
      <c r="AH403" s="28">
        <f t="shared" si="216"/>
        <v>0</v>
      </c>
      <c r="AI403" s="51"/>
      <c r="AJ403" s="1733">
        <f t="shared" si="226"/>
        <v>6032</v>
      </c>
      <c r="AK403" s="575">
        <v>0</v>
      </c>
      <c r="AL403" s="582">
        <v>0</v>
      </c>
      <c r="AM403" s="837">
        <f t="shared" si="227"/>
        <v>0</v>
      </c>
      <c r="AN403" s="2135">
        <f t="shared" si="228"/>
        <v>0</v>
      </c>
      <c r="AO403" s="583">
        <f t="shared" si="218"/>
        <v>0</v>
      </c>
      <c r="AP403" s="580">
        <f t="shared" si="219"/>
        <v>0</v>
      </c>
      <c r="AQ403" s="43"/>
      <c r="AR403" s="358">
        <f t="shared" si="220"/>
        <v>0</v>
      </c>
      <c r="AS403" s="359">
        <f t="shared" si="221"/>
        <v>0</v>
      </c>
      <c r="AT403" s="360">
        <f t="shared" si="222"/>
        <v>0</v>
      </c>
      <c r="AU403" s="43"/>
      <c r="AV403" s="43"/>
      <c r="AW403" s="119"/>
      <c r="AX403" s="2125">
        <f t="shared" si="229"/>
        <v>0</v>
      </c>
      <c r="AY403" s="43"/>
      <c r="AZ403" s="43"/>
      <c r="BA403" s="43"/>
      <c r="BB403" s="43"/>
      <c r="BC403" s="43"/>
      <c r="BD403" s="43"/>
    </row>
    <row r="404" spans="1:56" ht="15.75">
      <c r="A404" s="591">
        <v>6033</v>
      </c>
      <c r="B404" s="1034" t="s">
        <v>342</v>
      </c>
      <c r="C404" s="1033"/>
      <c r="D404" s="1033"/>
      <c r="E404" s="1033"/>
      <c r="F404" s="1033"/>
      <c r="G404" s="1033"/>
      <c r="H404" s="1033"/>
      <c r="I404" s="1033"/>
      <c r="J404" s="1033"/>
      <c r="K404" s="1033"/>
      <c r="L404" s="574"/>
      <c r="M404" s="51" t="s">
        <v>265</v>
      </c>
      <c r="N404" s="113">
        <f t="shared" si="223"/>
        <v>6033</v>
      </c>
      <c r="O404" s="8">
        <v>0</v>
      </c>
      <c r="P404" s="9">
        <v>0</v>
      </c>
      <c r="Q404" s="325">
        <v>0</v>
      </c>
      <c r="R404" s="324">
        <v>0</v>
      </c>
      <c r="S404" s="27">
        <f t="shared" si="224"/>
        <v>0</v>
      </c>
      <c r="T404" s="28">
        <f t="shared" si="225"/>
        <v>0</v>
      </c>
      <c r="U404" s="51"/>
      <c r="V404" s="541">
        <f>+'NF-KSF-TRIAL-BAL-2020'!O404+'RA-TRIAL-BAL-2020'!O404+'DES-TRIAL-BAL-2020'!O404+'DMP-TRIAL-BAL-2020'!O404</f>
        <v>0</v>
      </c>
      <c r="W404" s="529">
        <f>+'NF-KSF-TRIAL-BAL-2020'!P404+'RA-TRIAL-BAL-2020'!P404+'DES-TRIAL-BAL-2020'!P404+'DMP-TRIAL-BAL-2020'!P404</f>
        <v>0</v>
      </c>
      <c r="X404" s="528">
        <f>+'NF-KSF-TRIAL-BAL-2020'!Q404+'RA-TRIAL-BAL-2020'!Q404+'DES-TRIAL-BAL-2020'!Q404+'DMP-TRIAL-BAL-2020'!Q404</f>
        <v>0</v>
      </c>
      <c r="Y404" s="529">
        <f>+'NF-KSF-TRIAL-BAL-2020'!R404+'RA-TRIAL-BAL-2020'!R404+'DES-TRIAL-BAL-2020'!R404+'DMP-TRIAL-BAL-2020'!R404</f>
        <v>0</v>
      </c>
      <c r="Z404" s="528">
        <f>+'NF-KSF-TRIAL-BAL-2020'!S404+'RA-TRIAL-BAL-2020'!S404+'DES-TRIAL-BAL-2020'!S404+'DMP-TRIAL-BAL-2020'!S404</f>
        <v>0</v>
      </c>
      <c r="AA404" s="347">
        <f>+'NF-KSF-TRIAL-BAL-2020'!T404+'RA-TRIAL-BAL-2020'!T404+'DES-TRIAL-BAL-2020'!T404+'DMP-TRIAL-BAL-2020'!T404</f>
        <v>0</v>
      </c>
      <c r="AB404" s="51"/>
      <c r="AC404" s="575">
        <v>0</v>
      </c>
      <c r="AD404" s="582">
        <v>0</v>
      </c>
      <c r="AE404" s="579">
        <v>0</v>
      </c>
      <c r="AF404" s="582">
        <v>0</v>
      </c>
      <c r="AG404" s="27">
        <f t="shared" si="215"/>
        <v>0</v>
      </c>
      <c r="AH404" s="28">
        <f t="shared" si="216"/>
        <v>0</v>
      </c>
      <c r="AI404" s="51"/>
      <c r="AJ404" s="1733">
        <f t="shared" si="226"/>
        <v>6033</v>
      </c>
      <c r="AK404" s="575">
        <v>0</v>
      </c>
      <c r="AL404" s="582">
        <v>0</v>
      </c>
      <c r="AM404" s="837">
        <f t="shared" si="227"/>
        <v>0</v>
      </c>
      <c r="AN404" s="2135">
        <f t="shared" si="228"/>
        <v>0</v>
      </c>
      <c r="AO404" s="583">
        <f t="shared" si="218"/>
        <v>0</v>
      </c>
      <c r="AP404" s="580">
        <f t="shared" si="219"/>
        <v>0</v>
      </c>
      <c r="AQ404" s="43"/>
      <c r="AR404" s="358">
        <f t="shared" si="220"/>
        <v>0</v>
      </c>
      <c r="AS404" s="359">
        <f t="shared" si="221"/>
        <v>0</v>
      </c>
      <c r="AT404" s="360">
        <f t="shared" si="222"/>
        <v>0</v>
      </c>
      <c r="AU404" s="43"/>
      <c r="AV404" s="43"/>
      <c r="AW404" s="119"/>
      <c r="AX404" s="2125">
        <f t="shared" si="229"/>
        <v>0</v>
      </c>
      <c r="AY404" s="43"/>
      <c r="AZ404" s="43"/>
      <c r="BA404" s="43"/>
      <c r="BB404" s="43"/>
      <c r="BC404" s="43"/>
      <c r="BD404" s="43"/>
    </row>
    <row r="405" spans="1:56" ht="15.75">
      <c r="A405" s="591">
        <v>6034</v>
      </c>
      <c r="B405" s="1034" t="s">
        <v>343</v>
      </c>
      <c r="C405" s="1033"/>
      <c r="D405" s="1033"/>
      <c r="E405" s="1033"/>
      <c r="F405" s="1033"/>
      <c r="G405" s="1033"/>
      <c r="H405" s="1033"/>
      <c r="I405" s="1033"/>
      <c r="J405" s="1033"/>
      <c r="K405" s="1033"/>
      <c r="L405" s="574"/>
      <c r="M405" s="51" t="s">
        <v>265</v>
      </c>
      <c r="N405" s="113">
        <f t="shared" si="223"/>
        <v>6034</v>
      </c>
      <c r="O405" s="8">
        <v>0</v>
      </c>
      <c r="P405" s="9">
        <v>0</v>
      </c>
      <c r="Q405" s="325">
        <v>4043.9199999999992</v>
      </c>
      <c r="R405" s="324">
        <v>0</v>
      </c>
      <c r="S405" s="27">
        <f t="shared" si="224"/>
        <v>4043.9199999999992</v>
      </c>
      <c r="T405" s="28">
        <f t="shared" si="225"/>
        <v>0</v>
      </c>
      <c r="U405" s="51"/>
      <c r="V405" s="541">
        <f>+'NF-KSF-TRIAL-BAL-2020'!O405+'RA-TRIAL-BAL-2020'!O405+'DES-TRIAL-BAL-2020'!O405+'DMP-TRIAL-BAL-2020'!O405</f>
        <v>0</v>
      </c>
      <c r="W405" s="529">
        <f>+'NF-KSF-TRIAL-BAL-2020'!P405+'RA-TRIAL-BAL-2020'!P405+'DES-TRIAL-BAL-2020'!P405+'DMP-TRIAL-BAL-2020'!P405</f>
        <v>0</v>
      </c>
      <c r="X405" s="528">
        <f>+'NF-KSF-TRIAL-BAL-2020'!Q405+'RA-TRIAL-BAL-2020'!Q405+'DES-TRIAL-BAL-2020'!Q405+'DMP-TRIAL-BAL-2020'!Q405</f>
        <v>0</v>
      </c>
      <c r="Y405" s="529">
        <f>+'NF-KSF-TRIAL-BAL-2020'!R405+'RA-TRIAL-BAL-2020'!R405+'DES-TRIAL-BAL-2020'!R405+'DMP-TRIAL-BAL-2020'!R405</f>
        <v>0</v>
      </c>
      <c r="Z405" s="528">
        <f>+'NF-KSF-TRIAL-BAL-2020'!S405+'RA-TRIAL-BAL-2020'!S405+'DES-TRIAL-BAL-2020'!S405+'DMP-TRIAL-BAL-2020'!S405</f>
        <v>0</v>
      </c>
      <c r="AA405" s="347">
        <f>+'NF-KSF-TRIAL-BAL-2020'!T405+'RA-TRIAL-BAL-2020'!T405+'DES-TRIAL-BAL-2020'!T405+'DMP-TRIAL-BAL-2020'!T405</f>
        <v>0</v>
      </c>
      <c r="AB405" s="51"/>
      <c r="AC405" s="575">
        <v>0</v>
      </c>
      <c r="AD405" s="582">
        <v>0</v>
      </c>
      <c r="AE405" s="579">
        <v>0</v>
      </c>
      <c r="AF405" s="582">
        <v>0</v>
      </c>
      <c r="AG405" s="27">
        <f t="shared" si="215"/>
        <v>0</v>
      </c>
      <c r="AH405" s="28">
        <f t="shared" si="216"/>
        <v>0</v>
      </c>
      <c r="AI405" s="51"/>
      <c r="AJ405" s="1733">
        <f t="shared" si="226"/>
        <v>6034</v>
      </c>
      <c r="AK405" s="575">
        <v>0</v>
      </c>
      <c r="AL405" s="582">
        <v>0</v>
      </c>
      <c r="AM405" s="837">
        <f t="shared" si="227"/>
        <v>4043.92</v>
      </c>
      <c r="AN405" s="2135">
        <f t="shared" si="228"/>
        <v>0</v>
      </c>
      <c r="AO405" s="583">
        <f t="shared" si="218"/>
        <v>4043.9199999999992</v>
      </c>
      <c r="AP405" s="580">
        <f t="shared" si="219"/>
        <v>0</v>
      </c>
      <c r="AQ405" s="43"/>
      <c r="AR405" s="358">
        <f t="shared" si="220"/>
        <v>0</v>
      </c>
      <c r="AS405" s="359">
        <f t="shared" si="221"/>
        <v>0</v>
      </c>
      <c r="AT405" s="360">
        <f t="shared" si="222"/>
        <v>0</v>
      </c>
      <c r="AU405" s="43"/>
      <c r="AV405" s="43"/>
      <c r="AW405" s="119"/>
      <c r="AX405" s="2125">
        <f t="shared" si="229"/>
        <v>0</v>
      </c>
      <c r="AY405" s="43"/>
      <c r="AZ405" s="43"/>
      <c r="BA405" s="43"/>
      <c r="BB405" s="43"/>
      <c r="BC405" s="43"/>
      <c r="BD405" s="43"/>
    </row>
    <row r="406" spans="1:56" ht="15.75">
      <c r="A406" s="591">
        <v>6035</v>
      </c>
      <c r="B406" s="1034" t="s">
        <v>344</v>
      </c>
      <c r="C406" s="1033"/>
      <c r="D406" s="1033"/>
      <c r="E406" s="1033"/>
      <c r="F406" s="1033"/>
      <c r="G406" s="1033"/>
      <c r="H406" s="1033"/>
      <c r="I406" s="1033"/>
      <c r="J406" s="1033"/>
      <c r="K406" s="1033"/>
      <c r="L406" s="574"/>
      <c r="M406" s="51" t="s">
        <v>265</v>
      </c>
      <c r="N406" s="113">
        <f t="shared" si="223"/>
        <v>6035</v>
      </c>
      <c r="O406" s="8">
        <v>0</v>
      </c>
      <c r="P406" s="9">
        <v>0</v>
      </c>
      <c r="Q406" s="325">
        <v>16862.34</v>
      </c>
      <c r="R406" s="324">
        <v>0</v>
      </c>
      <c r="S406" s="27">
        <f t="shared" si="224"/>
        <v>16862.34</v>
      </c>
      <c r="T406" s="28">
        <f t="shared" si="225"/>
        <v>0</v>
      </c>
      <c r="U406" s="51"/>
      <c r="V406" s="541">
        <f>+'NF-KSF-TRIAL-BAL-2020'!O406+'RA-TRIAL-BAL-2020'!O406+'DES-TRIAL-BAL-2020'!O406+'DMP-TRIAL-BAL-2020'!O406</f>
        <v>0</v>
      </c>
      <c r="W406" s="529">
        <f>+'NF-KSF-TRIAL-BAL-2020'!P406+'RA-TRIAL-BAL-2020'!P406+'DES-TRIAL-BAL-2020'!P406+'DMP-TRIAL-BAL-2020'!P406</f>
        <v>0</v>
      </c>
      <c r="X406" s="528">
        <f>+'NF-KSF-TRIAL-BAL-2020'!Q406+'RA-TRIAL-BAL-2020'!Q406+'DES-TRIAL-BAL-2020'!Q406+'DMP-TRIAL-BAL-2020'!Q406</f>
        <v>0</v>
      </c>
      <c r="Y406" s="529">
        <f>+'NF-KSF-TRIAL-BAL-2020'!R406+'RA-TRIAL-BAL-2020'!R406+'DES-TRIAL-BAL-2020'!R406+'DMP-TRIAL-BAL-2020'!R406</f>
        <v>0</v>
      </c>
      <c r="Z406" s="528">
        <f>+'NF-KSF-TRIAL-BAL-2020'!S406+'RA-TRIAL-BAL-2020'!S406+'DES-TRIAL-BAL-2020'!S406+'DMP-TRIAL-BAL-2020'!S406</f>
        <v>0</v>
      </c>
      <c r="AA406" s="347">
        <f>+'NF-KSF-TRIAL-BAL-2020'!T406+'RA-TRIAL-BAL-2020'!T406+'DES-TRIAL-BAL-2020'!T406+'DMP-TRIAL-BAL-2020'!T406</f>
        <v>0</v>
      </c>
      <c r="AB406" s="51"/>
      <c r="AC406" s="575">
        <v>0</v>
      </c>
      <c r="AD406" s="582">
        <v>0</v>
      </c>
      <c r="AE406" s="579">
        <v>0</v>
      </c>
      <c r="AF406" s="582">
        <v>0</v>
      </c>
      <c r="AG406" s="27">
        <f t="shared" si="215"/>
        <v>0</v>
      </c>
      <c r="AH406" s="28">
        <f t="shared" si="216"/>
        <v>0</v>
      </c>
      <c r="AI406" s="51"/>
      <c r="AJ406" s="1733">
        <f t="shared" si="226"/>
        <v>6035</v>
      </c>
      <c r="AK406" s="575">
        <v>0</v>
      </c>
      <c r="AL406" s="582">
        <v>0</v>
      </c>
      <c r="AM406" s="837">
        <f t="shared" si="227"/>
        <v>16862.34</v>
      </c>
      <c r="AN406" s="2135">
        <f t="shared" si="228"/>
        <v>0</v>
      </c>
      <c r="AO406" s="583">
        <f t="shared" si="218"/>
        <v>16862.34</v>
      </c>
      <c r="AP406" s="580">
        <f t="shared" si="219"/>
        <v>0</v>
      </c>
      <c r="AQ406" s="43"/>
      <c r="AR406" s="358">
        <f t="shared" si="220"/>
        <v>0</v>
      </c>
      <c r="AS406" s="359">
        <f t="shared" si="221"/>
        <v>0</v>
      </c>
      <c r="AT406" s="360">
        <f t="shared" si="222"/>
        <v>0</v>
      </c>
      <c r="AU406" s="43"/>
      <c r="AV406" s="43"/>
      <c r="AW406" s="119"/>
      <c r="AX406" s="2125">
        <f t="shared" si="229"/>
        <v>0</v>
      </c>
      <c r="AY406" s="43"/>
      <c r="AZ406" s="43"/>
      <c r="BA406" s="43"/>
      <c r="BB406" s="43"/>
      <c r="BC406" s="43"/>
      <c r="BD406" s="43"/>
    </row>
    <row r="407" spans="1:56" ht="15.75">
      <c r="A407" s="591">
        <v>6036</v>
      </c>
      <c r="B407" s="1034" t="s">
        <v>345</v>
      </c>
      <c r="C407" s="1033"/>
      <c r="D407" s="1033"/>
      <c r="E407" s="1033"/>
      <c r="F407" s="1033"/>
      <c r="G407" s="1033"/>
      <c r="H407" s="1033"/>
      <c r="I407" s="1033"/>
      <c r="J407" s="1033"/>
      <c r="K407" s="1033"/>
      <c r="L407" s="574"/>
      <c r="M407" s="51" t="s">
        <v>265</v>
      </c>
      <c r="N407" s="113">
        <f t="shared" si="223"/>
        <v>6036</v>
      </c>
      <c r="O407" s="8">
        <v>0</v>
      </c>
      <c r="P407" s="9">
        <v>0</v>
      </c>
      <c r="Q407" s="325">
        <v>283.62</v>
      </c>
      <c r="R407" s="324">
        <v>0</v>
      </c>
      <c r="S407" s="27">
        <f t="shared" si="224"/>
        <v>283.62</v>
      </c>
      <c r="T407" s="28">
        <f t="shared" si="225"/>
        <v>0</v>
      </c>
      <c r="U407" s="51"/>
      <c r="V407" s="541">
        <f>+'NF-KSF-TRIAL-BAL-2020'!O407+'RA-TRIAL-BAL-2020'!O407+'DES-TRIAL-BAL-2020'!O407+'DMP-TRIAL-BAL-2020'!O407</f>
        <v>0</v>
      </c>
      <c r="W407" s="529">
        <f>+'NF-KSF-TRIAL-BAL-2020'!P407+'RA-TRIAL-BAL-2020'!P407+'DES-TRIAL-BAL-2020'!P407+'DMP-TRIAL-BAL-2020'!P407</f>
        <v>0</v>
      </c>
      <c r="X407" s="528">
        <f>+'NF-KSF-TRIAL-BAL-2020'!Q407+'RA-TRIAL-BAL-2020'!Q407+'DES-TRIAL-BAL-2020'!Q407+'DMP-TRIAL-BAL-2020'!Q407</f>
        <v>0</v>
      </c>
      <c r="Y407" s="529">
        <f>+'NF-KSF-TRIAL-BAL-2020'!R407+'RA-TRIAL-BAL-2020'!R407+'DES-TRIAL-BAL-2020'!R407+'DMP-TRIAL-BAL-2020'!R407</f>
        <v>0</v>
      </c>
      <c r="Z407" s="528">
        <f>+'NF-KSF-TRIAL-BAL-2020'!S407+'RA-TRIAL-BAL-2020'!S407+'DES-TRIAL-BAL-2020'!S407+'DMP-TRIAL-BAL-2020'!S407</f>
        <v>0</v>
      </c>
      <c r="AA407" s="347">
        <f>+'NF-KSF-TRIAL-BAL-2020'!T407+'RA-TRIAL-BAL-2020'!T407+'DES-TRIAL-BAL-2020'!T407+'DMP-TRIAL-BAL-2020'!T407</f>
        <v>0</v>
      </c>
      <c r="AB407" s="51"/>
      <c r="AC407" s="575">
        <v>0</v>
      </c>
      <c r="AD407" s="582">
        <v>0</v>
      </c>
      <c r="AE407" s="579">
        <v>0</v>
      </c>
      <c r="AF407" s="582">
        <v>0</v>
      </c>
      <c r="AG407" s="27">
        <f t="shared" si="215"/>
        <v>0</v>
      </c>
      <c r="AH407" s="28">
        <f t="shared" si="216"/>
        <v>0</v>
      </c>
      <c r="AI407" s="51"/>
      <c r="AJ407" s="1733">
        <f t="shared" si="226"/>
        <v>6036</v>
      </c>
      <c r="AK407" s="575">
        <v>0</v>
      </c>
      <c r="AL407" s="582">
        <v>0</v>
      </c>
      <c r="AM407" s="837">
        <f t="shared" si="227"/>
        <v>283.62</v>
      </c>
      <c r="AN407" s="2135">
        <f t="shared" si="228"/>
        <v>0</v>
      </c>
      <c r="AO407" s="583">
        <f t="shared" si="218"/>
        <v>283.62</v>
      </c>
      <c r="AP407" s="580">
        <f t="shared" si="219"/>
        <v>0</v>
      </c>
      <c r="AQ407" s="43"/>
      <c r="AR407" s="358">
        <f t="shared" si="220"/>
        <v>0</v>
      </c>
      <c r="AS407" s="359">
        <f t="shared" si="221"/>
        <v>0</v>
      </c>
      <c r="AT407" s="360">
        <f t="shared" si="222"/>
        <v>0</v>
      </c>
      <c r="AU407" s="43"/>
      <c r="AV407" s="43"/>
      <c r="AW407" s="119"/>
      <c r="AX407" s="2125">
        <f t="shared" si="229"/>
        <v>0</v>
      </c>
      <c r="AY407" s="43"/>
      <c r="AZ407" s="43"/>
      <c r="BA407" s="43"/>
      <c r="BB407" s="43"/>
      <c r="BC407" s="43"/>
      <c r="BD407" s="43"/>
    </row>
    <row r="408" spans="1:56" ht="15.75">
      <c r="A408" s="591">
        <v>6037</v>
      </c>
      <c r="B408" s="1033" t="s">
        <v>347</v>
      </c>
      <c r="C408" s="1033"/>
      <c r="D408" s="1033"/>
      <c r="E408" s="1033"/>
      <c r="F408" s="1033"/>
      <c r="G408" s="1033"/>
      <c r="H408" s="1033"/>
      <c r="I408" s="1033"/>
      <c r="J408" s="1033"/>
      <c r="K408" s="1033"/>
      <c r="L408" s="574"/>
      <c r="M408" s="51" t="s">
        <v>265</v>
      </c>
      <c r="N408" s="1733">
        <f t="shared" si="212"/>
        <v>6037</v>
      </c>
      <c r="O408" s="575">
        <v>0</v>
      </c>
      <c r="P408" s="582">
        <v>0</v>
      </c>
      <c r="Q408" s="579">
        <v>0</v>
      </c>
      <c r="R408" s="582">
        <v>0</v>
      </c>
      <c r="S408" s="583">
        <f>+IF(ABS(+O408+Q408)&gt;=ABS(P408+R408),+O408-P408+Q408-R408,0)</f>
        <v>0</v>
      </c>
      <c r="T408" s="580">
        <f t="shared" ref="T408:T414" si="230">+IF(ABS(+O408+Q408)&lt;=ABS(P408+R408),-O408+P408-Q408+R408,0)</f>
        <v>0</v>
      </c>
      <c r="U408" s="51"/>
      <c r="V408" s="585">
        <f>+'NF-KSF-TRIAL-BAL-2020'!O408+'RA-TRIAL-BAL-2020'!O408+'DES-TRIAL-BAL-2020'!O408+'DMP-TRIAL-BAL-2020'!O408</f>
        <v>0</v>
      </c>
      <c r="W408" s="586">
        <f>+'NF-KSF-TRIAL-BAL-2020'!P408+'RA-TRIAL-BAL-2020'!P408+'DES-TRIAL-BAL-2020'!P408+'DMP-TRIAL-BAL-2020'!P408</f>
        <v>0</v>
      </c>
      <c r="X408" s="587">
        <f>+'NF-KSF-TRIAL-BAL-2020'!Q408+'RA-TRIAL-BAL-2020'!Q408+'DES-TRIAL-BAL-2020'!Q408+'DMP-TRIAL-BAL-2020'!Q408</f>
        <v>0</v>
      </c>
      <c r="Y408" s="586">
        <f>+'NF-KSF-TRIAL-BAL-2020'!R408+'RA-TRIAL-BAL-2020'!R408+'DES-TRIAL-BAL-2020'!R408+'DMP-TRIAL-BAL-2020'!R408</f>
        <v>0</v>
      </c>
      <c r="Z408" s="587">
        <f>+'NF-KSF-TRIAL-BAL-2020'!S408+'RA-TRIAL-BAL-2020'!S408+'DES-TRIAL-BAL-2020'!S408+'DMP-TRIAL-BAL-2020'!S408</f>
        <v>0</v>
      </c>
      <c r="AA408" s="588">
        <f>+'NF-KSF-TRIAL-BAL-2020'!T408+'RA-TRIAL-BAL-2020'!T408+'DES-TRIAL-BAL-2020'!T408+'DMP-TRIAL-BAL-2020'!T408</f>
        <v>0</v>
      </c>
      <c r="AB408" s="51"/>
      <c r="AC408" s="8">
        <v>0</v>
      </c>
      <c r="AD408" s="9">
        <v>0</v>
      </c>
      <c r="AE408" s="122">
        <v>0</v>
      </c>
      <c r="AF408" s="121">
        <v>0</v>
      </c>
      <c r="AG408" s="27">
        <f t="shared" si="215"/>
        <v>0</v>
      </c>
      <c r="AH408" s="28">
        <f t="shared" si="216"/>
        <v>0</v>
      </c>
      <c r="AI408" s="51"/>
      <c r="AJ408" s="1733">
        <f>+N408</f>
        <v>6037</v>
      </c>
      <c r="AK408" s="575">
        <v>0</v>
      </c>
      <c r="AL408" s="582">
        <v>0</v>
      </c>
      <c r="AM408" s="837">
        <f t="shared" si="227"/>
        <v>0</v>
      </c>
      <c r="AN408" s="2135">
        <f t="shared" si="228"/>
        <v>0</v>
      </c>
      <c r="AO408" s="583">
        <f t="shared" si="218"/>
        <v>0</v>
      </c>
      <c r="AP408" s="580">
        <f t="shared" si="219"/>
        <v>0</v>
      </c>
      <c r="AQ408" s="43"/>
      <c r="AR408" s="358">
        <f>+ROUND(+SUM(AK408-AL408)-SUM(O408-P408)-SUM(V408-W408)-SUM(AC408-AD408),2)</f>
        <v>0</v>
      </c>
      <c r="AS408" s="359">
        <f>+ROUND(+SUM(AM408-AN408)-SUM(Q408-R408)-SUM(X408-Y408)-SUM(AE408-AF408),2)</f>
        <v>0</v>
      </c>
      <c r="AT408" s="360">
        <f>+ROUND(+SUM(AO408-AP408)-SUM(S408-T408)-SUM(Z408-AA408)-SUM(AG408-AH408),2)</f>
        <v>0</v>
      </c>
      <c r="AU408" s="43"/>
      <c r="AV408" s="2125">
        <f>+IF(OR(O408&lt;&gt;0,P408&lt;&gt;0,Q408&lt;&gt;0,R408&lt;&gt;0,S408&lt;&gt;0,T408&lt;&gt;0),+IF(ABS(O408+Q408)-ABS(P408+R408)&lt;&gt;0,ABS(O408+Q408)-ABS(P408+R408),1),0)</f>
        <v>0</v>
      </c>
      <c r="AW408" s="119"/>
      <c r="AX408" s="119"/>
      <c r="AY408" s="43"/>
      <c r="AZ408" s="43"/>
      <c r="BA408" s="43"/>
      <c r="BB408" s="43"/>
      <c r="BC408" s="43"/>
      <c r="BD408" s="43"/>
    </row>
    <row r="409" spans="1:56" ht="15.75">
      <c r="A409" s="591">
        <v>6039</v>
      </c>
      <c r="B409" s="1034" t="s">
        <v>346</v>
      </c>
      <c r="C409" s="1033"/>
      <c r="D409" s="1033"/>
      <c r="E409" s="1033"/>
      <c r="F409" s="1033"/>
      <c r="G409" s="1033"/>
      <c r="H409" s="1033"/>
      <c r="I409" s="1033"/>
      <c r="J409" s="1033"/>
      <c r="K409" s="1033"/>
      <c r="L409" s="574"/>
      <c r="M409" s="51" t="s">
        <v>265</v>
      </c>
      <c r="N409" s="113">
        <f>+A409</f>
        <v>6039</v>
      </c>
      <c r="O409" s="8">
        <v>0</v>
      </c>
      <c r="P409" s="9">
        <v>0</v>
      </c>
      <c r="Q409" s="325">
        <v>0</v>
      </c>
      <c r="R409" s="324">
        <v>0</v>
      </c>
      <c r="S409" s="27">
        <f>+IF(ABS(+O409+Q409)&gt;=ABS(P409+R409),+O409-P409+Q409-R409,0)</f>
        <v>0</v>
      </c>
      <c r="T409" s="28">
        <f t="shared" si="230"/>
        <v>0</v>
      </c>
      <c r="U409" s="51"/>
      <c r="V409" s="541">
        <f>+'NF-KSF-TRIAL-BAL-2020'!O409+'RA-TRIAL-BAL-2020'!O409+'DES-TRIAL-BAL-2020'!O409+'DMP-TRIAL-BAL-2020'!O409</f>
        <v>0</v>
      </c>
      <c r="W409" s="529">
        <f>+'NF-KSF-TRIAL-BAL-2020'!P409+'RA-TRIAL-BAL-2020'!P409+'DES-TRIAL-BAL-2020'!P409+'DMP-TRIAL-BAL-2020'!P409</f>
        <v>0</v>
      </c>
      <c r="X409" s="528">
        <f>+'NF-KSF-TRIAL-BAL-2020'!Q409+'RA-TRIAL-BAL-2020'!Q409+'DES-TRIAL-BAL-2020'!Q409+'DMP-TRIAL-BAL-2020'!Q409</f>
        <v>0</v>
      </c>
      <c r="Y409" s="529">
        <f>+'NF-KSF-TRIAL-BAL-2020'!R409+'RA-TRIAL-BAL-2020'!R409+'DES-TRIAL-BAL-2020'!R409+'DMP-TRIAL-BAL-2020'!R409</f>
        <v>0</v>
      </c>
      <c r="Z409" s="528">
        <f>+'NF-KSF-TRIAL-BAL-2020'!S409+'RA-TRIAL-BAL-2020'!S409+'DES-TRIAL-BAL-2020'!S409+'DMP-TRIAL-BAL-2020'!S409</f>
        <v>0</v>
      </c>
      <c r="AA409" s="347">
        <f>+'NF-KSF-TRIAL-BAL-2020'!T409+'RA-TRIAL-BAL-2020'!T409+'DES-TRIAL-BAL-2020'!T409+'DMP-TRIAL-BAL-2020'!T409</f>
        <v>0</v>
      </c>
      <c r="AB409" s="51"/>
      <c r="AC409" s="8">
        <v>0</v>
      </c>
      <c r="AD409" s="9">
        <v>0</v>
      </c>
      <c r="AE409" s="122">
        <v>0</v>
      </c>
      <c r="AF409" s="121">
        <v>0</v>
      </c>
      <c r="AG409" s="27">
        <f t="shared" si="215"/>
        <v>0</v>
      </c>
      <c r="AH409" s="28">
        <f t="shared" si="216"/>
        <v>0</v>
      </c>
      <c r="AI409" s="51"/>
      <c r="AJ409" s="1733">
        <f t="shared" si="226"/>
        <v>6039</v>
      </c>
      <c r="AK409" s="575">
        <v>0</v>
      </c>
      <c r="AL409" s="582">
        <v>0</v>
      </c>
      <c r="AM409" s="837">
        <f t="shared" si="227"/>
        <v>0</v>
      </c>
      <c r="AN409" s="2135">
        <f t="shared" si="228"/>
        <v>0</v>
      </c>
      <c r="AO409" s="583">
        <f t="shared" si="218"/>
        <v>0</v>
      </c>
      <c r="AP409" s="580">
        <f t="shared" si="219"/>
        <v>0</v>
      </c>
      <c r="AQ409" s="43"/>
      <c r="AR409" s="358">
        <f t="shared" si="220"/>
        <v>0</v>
      </c>
      <c r="AS409" s="359">
        <f t="shared" si="221"/>
        <v>0</v>
      </c>
      <c r="AT409" s="360">
        <f t="shared" si="222"/>
        <v>0</v>
      </c>
      <c r="AU409" s="43"/>
      <c r="AV409" s="43"/>
      <c r="AW409" s="119"/>
      <c r="AX409" s="119"/>
      <c r="AY409" s="43"/>
      <c r="AZ409" s="43"/>
      <c r="BA409" s="43"/>
      <c r="BB409" s="43"/>
      <c r="BC409" s="43"/>
      <c r="BD409" s="43"/>
    </row>
    <row r="410" spans="1:56" ht="15.75">
      <c r="A410" s="88">
        <v>6041</v>
      </c>
      <c r="B410" s="1033" t="s">
        <v>348</v>
      </c>
      <c r="C410" s="1033"/>
      <c r="D410" s="1033"/>
      <c r="E410" s="1033"/>
      <c r="F410" s="1033"/>
      <c r="G410" s="1033"/>
      <c r="H410" s="1033"/>
      <c r="I410" s="1033"/>
      <c r="J410" s="1033"/>
      <c r="K410" s="1033"/>
      <c r="L410" s="90"/>
      <c r="M410" s="51" t="s">
        <v>265</v>
      </c>
      <c r="N410" s="113">
        <f t="shared" si="212"/>
        <v>6041</v>
      </c>
      <c r="O410" s="8">
        <v>0</v>
      </c>
      <c r="P410" s="9">
        <v>0</v>
      </c>
      <c r="Q410" s="325">
        <v>0</v>
      </c>
      <c r="R410" s="324">
        <v>0</v>
      </c>
      <c r="S410" s="27">
        <f t="shared" ref="S410:S415" si="231">+IF(ABS(+O410+Q410)&gt;=ABS(P410+R410),+O410-P410+Q410-R410,0)</f>
        <v>0</v>
      </c>
      <c r="T410" s="28">
        <f t="shared" si="230"/>
        <v>0</v>
      </c>
      <c r="U410" s="51"/>
      <c r="V410" s="541">
        <f>+'NF-KSF-TRIAL-BAL-2020'!O410+'RA-TRIAL-BAL-2020'!O410+'DES-TRIAL-BAL-2020'!O410+'DMP-TRIAL-BAL-2020'!O410</f>
        <v>0</v>
      </c>
      <c r="W410" s="529">
        <f>+'NF-KSF-TRIAL-BAL-2020'!P410+'RA-TRIAL-BAL-2020'!P410+'DES-TRIAL-BAL-2020'!P410+'DMP-TRIAL-BAL-2020'!P410</f>
        <v>0</v>
      </c>
      <c r="X410" s="528">
        <f>+'NF-KSF-TRIAL-BAL-2020'!Q410+'RA-TRIAL-BAL-2020'!Q410+'DES-TRIAL-BAL-2020'!Q410+'DMP-TRIAL-BAL-2020'!Q410</f>
        <v>0</v>
      </c>
      <c r="Y410" s="529">
        <f>+'NF-KSF-TRIAL-BAL-2020'!R410+'RA-TRIAL-BAL-2020'!R410+'DES-TRIAL-BAL-2020'!R410+'DMP-TRIAL-BAL-2020'!R410</f>
        <v>0</v>
      </c>
      <c r="Z410" s="528">
        <f>+'NF-KSF-TRIAL-BAL-2020'!S410+'RA-TRIAL-BAL-2020'!S410+'DES-TRIAL-BAL-2020'!S410+'DMP-TRIAL-BAL-2020'!S410</f>
        <v>0</v>
      </c>
      <c r="AA410" s="347">
        <f>+'NF-KSF-TRIAL-BAL-2020'!T410+'RA-TRIAL-BAL-2020'!T410+'DES-TRIAL-BAL-2020'!T410+'DMP-TRIAL-BAL-2020'!T410</f>
        <v>0</v>
      </c>
      <c r="AB410" s="51"/>
      <c r="AC410" s="8">
        <v>0</v>
      </c>
      <c r="AD410" s="9">
        <v>0</v>
      </c>
      <c r="AE410" s="122">
        <v>0</v>
      </c>
      <c r="AF410" s="121">
        <v>0</v>
      </c>
      <c r="AG410" s="27">
        <f t="shared" ref="AG410:AG415" si="232">+IF(ABS(+AC410+AE410)&gt;=ABS(AD410+AF410),+AC410-AD410+AE410-AF410,0)</f>
        <v>0</v>
      </c>
      <c r="AH410" s="28">
        <f>+IF(ABS(+AC410+AE410)&lt;=ABS(AD410+AF410),-AC410+AD410-AE410+AF410,0)</f>
        <v>0</v>
      </c>
      <c r="AI410" s="51"/>
      <c r="AJ410" s="1497">
        <f t="shared" si="226"/>
        <v>6041</v>
      </c>
      <c r="AK410" s="8">
        <v>0</v>
      </c>
      <c r="AL410" s="9">
        <v>0</v>
      </c>
      <c r="AM410" s="326">
        <f t="shared" ref="AM410:AN482" si="233">+ROUND(+Q410+X410+AE410,2)</f>
        <v>0</v>
      </c>
      <c r="AN410" s="970">
        <f t="shared" si="233"/>
        <v>0</v>
      </c>
      <c r="AO410" s="326">
        <f t="shared" si="218"/>
        <v>0</v>
      </c>
      <c r="AP410" s="327">
        <f t="shared" si="219"/>
        <v>0</v>
      </c>
      <c r="AQ410" s="43"/>
      <c r="AR410" s="358">
        <f t="shared" si="220"/>
        <v>0</v>
      </c>
      <c r="AS410" s="359">
        <f t="shared" si="221"/>
        <v>0</v>
      </c>
      <c r="AT410" s="360">
        <f t="shared" si="222"/>
        <v>0</v>
      </c>
      <c r="AU410" s="43"/>
      <c r="AV410" s="43"/>
      <c r="AW410" s="119"/>
      <c r="AX410" s="119"/>
      <c r="AY410" s="43"/>
      <c r="AZ410" s="43"/>
      <c r="BA410" s="43"/>
      <c r="BB410" s="43"/>
      <c r="BC410" s="43"/>
      <c r="BD410" s="43"/>
    </row>
    <row r="411" spans="1:56" ht="15.75">
      <c r="A411" s="88">
        <v>6042</v>
      </c>
      <c r="B411" s="1033" t="s">
        <v>349</v>
      </c>
      <c r="C411" s="1033"/>
      <c r="D411" s="1033"/>
      <c r="E411" s="1033"/>
      <c r="F411" s="1033"/>
      <c r="G411" s="1033"/>
      <c r="H411" s="1033"/>
      <c r="I411" s="1033"/>
      <c r="J411" s="1033"/>
      <c r="K411" s="1033"/>
      <c r="L411" s="90"/>
      <c r="M411" s="51" t="s">
        <v>265</v>
      </c>
      <c r="N411" s="113">
        <f t="shared" si="212"/>
        <v>6042</v>
      </c>
      <c r="O411" s="8">
        <v>0</v>
      </c>
      <c r="P411" s="9">
        <v>0</v>
      </c>
      <c r="Q411" s="325">
        <v>510009.73000000004</v>
      </c>
      <c r="R411" s="324">
        <v>0</v>
      </c>
      <c r="S411" s="27">
        <f t="shared" si="231"/>
        <v>510009.73000000004</v>
      </c>
      <c r="T411" s="28">
        <f t="shared" si="230"/>
        <v>0</v>
      </c>
      <c r="U411" s="51"/>
      <c r="V411" s="541">
        <f>+'NF-KSF-TRIAL-BAL-2020'!O411+'RA-TRIAL-BAL-2020'!O411+'DES-TRIAL-BAL-2020'!O411+'DMP-TRIAL-BAL-2020'!O411</f>
        <v>0</v>
      </c>
      <c r="W411" s="529">
        <f>+'NF-KSF-TRIAL-BAL-2020'!P411+'RA-TRIAL-BAL-2020'!P411+'DES-TRIAL-BAL-2020'!P411+'DMP-TRIAL-BAL-2020'!P411</f>
        <v>0</v>
      </c>
      <c r="X411" s="528">
        <f>+'NF-KSF-TRIAL-BAL-2020'!Q411+'RA-TRIAL-BAL-2020'!Q411+'DES-TRIAL-BAL-2020'!Q411+'DMP-TRIAL-BAL-2020'!Q411</f>
        <v>0</v>
      </c>
      <c r="Y411" s="529">
        <f>+'NF-KSF-TRIAL-BAL-2020'!R411+'RA-TRIAL-BAL-2020'!R411+'DES-TRIAL-BAL-2020'!R411+'DMP-TRIAL-BAL-2020'!R411</f>
        <v>0</v>
      </c>
      <c r="Z411" s="528">
        <f>+'NF-KSF-TRIAL-BAL-2020'!S411+'RA-TRIAL-BAL-2020'!S411+'DES-TRIAL-BAL-2020'!S411+'DMP-TRIAL-BAL-2020'!S411</f>
        <v>0</v>
      </c>
      <c r="AA411" s="347">
        <f>+'NF-KSF-TRIAL-BAL-2020'!T411+'RA-TRIAL-BAL-2020'!T411+'DES-TRIAL-BAL-2020'!T411+'DMP-TRIAL-BAL-2020'!T411</f>
        <v>0</v>
      </c>
      <c r="AB411" s="51"/>
      <c r="AC411" s="8">
        <v>0</v>
      </c>
      <c r="AD411" s="9">
        <v>0</v>
      </c>
      <c r="AE411" s="122">
        <v>0</v>
      </c>
      <c r="AF411" s="121">
        <v>0</v>
      </c>
      <c r="AG411" s="27">
        <f t="shared" si="232"/>
        <v>0</v>
      </c>
      <c r="AH411" s="28">
        <f>+IF(ABS(+AC411+AE411)&lt;=ABS(AD411+AF411),-AC411+AD411-AE411+AF411,0)</f>
        <v>0</v>
      </c>
      <c r="AI411" s="51"/>
      <c r="AJ411" s="1497">
        <f t="shared" si="226"/>
        <v>6042</v>
      </c>
      <c r="AK411" s="8">
        <v>0</v>
      </c>
      <c r="AL411" s="9">
        <v>0</v>
      </c>
      <c r="AM411" s="326">
        <f t="shared" si="233"/>
        <v>510009.73</v>
      </c>
      <c r="AN411" s="970">
        <f t="shared" si="233"/>
        <v>0</v>
      </c>
      <c r="AO411" s="326">
        <f t="shared" si="218"/>
        <v>510009.73000000004</v>
      </c>
      <c r="AP411" s="327">
        <f t="shared" si="219"/>
        <v>0</v>
      </c>
      <c r="AQ411" s="43"/>
      <c r="AR411" s="358">
        <f t="shared" si="220"/>
        <v>0</v>
      </c>
      <c r="AS411" s="359">
        <f t="shared" si="221"/>
        <v>0</v>
      </c>
      <c r="AT411" s="360">
        <f t="shared" si="222"/>
        <v>0</v>
      </c>
      <c r="AU411" s="43"/>
      <c r="AV411" s="43"/>
      <c r="AW411" s="119"/>
      <c r="AX411" s="119"/>
      <c r="AY411" s="43"/>
      <c r="AZ411" s="43"/>
      <c r="BA411" s="43"/>
      <c r="BB411" s="43"/>
      <c r="BC411" s="43"/>
      <c r="BD411" s="43"/>
    </row>
    <row r="412" spans="1:56" ht="15.75">
      <c r="A412" s="88">
        <v>6043</v>
      </c>
      <c r="B412" s="1033" t="s">
        <v>350</v>
      </c>
      <c r="C412" s="1033"/>
      <c r="D412" s="1033"/>
      <c r="E412" s="1033"/>
      <c r="F412" s="1033"/>
      <c r="G412" s="1033"/>
      <c r="H412" s="1033"/>
      <c r="I412" s="1033"/>
      <c r="J412" s="1033"/>
      <c r="K412" s="1033"/>
      <c r="L412" s="90"/>
      <c r="M412" s="51" t="s">
        <v>265</v>
      </c>
      <c r="N412" s="113">
        <f t="shared" si="212"/>
        <v>6043</v>
      </c>
      <c r="O412" s="8">
        <v>0</v>
      </c>
      <c r="P412" s="9">
        <v>0</v>
      </c>
      <c r="Q412" s="325">
        <v>0</v>
      </c>
      <c r="R412" s="324">
        <v>0</v>
      </c>
      <c r="S412" s="27">
        <f t="shared" si="231"/>
        <v>0</v>
      </c>
      <c r="T412" s="28">
        <f t="shared" si="230"/>
        <v>0</v>
      </c>
      <c r="U412" s="51"/>
      <c r="V412" s="541">
        <f>+'NF-KSF-TRIAL-BAL-2020'!O412+'RA-TRIAL-BAL-2020'!O412+'DES-TRIAL-BAL-2020'!O412+'DMP-TRIAL-BAL-2020'!O412</f>
        <v>0</v>
      </c>
      <c r="W412" s="529">
        <f>+'NF-KSF-TRIAL-BAL-2020'!P412+'RA-TRIAL-BAL-2020'!P412+'DES-TRIAL-BAL-2020'!P412+'DMP-TRIAL-BAL-2020'!P412</f>
        <v>0</v>
      </c>
      <c r="X412" s="528">
        <f>+'NF-KSF-TRIAL-BAL-2020'!Q412+'RA-TRIAL-BAL-2020'!Q412+'DES-TRIAL-BAL-2020'!Q412+'DMP-TRIAL-BAL-2020'!Q412</f>
        <v>0</v>
      </c>
      <c r="Y412" s="529">
        <f>+'NF-KSF-TRIAL-BAL-2020'!R412+'RA-TRIAL-BAL-2020'!R412+'DES-TRIAL-BAL-2020'!R412+'DMP-TRIAL-BAL-2020'!R412</f>
        <v>0</v>
      </c>
      <c r="Z412" s="528">
        <f>+'NF-KSF-TRIAL-BAL-2020'!S412+'RA-TRIAL-BAL-2020'!S412+'DES-TRIAL-BAL-2020'!S412+'DMP-TRIAL-BAL-2020'!S412</f>
        <v>0</v>
      </c>
      <c r="AA412" s="347">
        <f>+'NF-KSF-TRIAL-BAL-2020'!T412+'RA-TRIAL-BAL-2020'!T412+'DES-TRIAL-BAL-2020'!T412+'DMP-TRIAL-BAL-2020'!T412</f>
        <v>0</v>
      </c>
      <c r="AB412" s="51"/>
      <c r="AC412" s="8">
        <v>0</v>
      </c>
      <c r="AD412" s="9">
        <v>0</v>
      </c>
      <c r="AE412" s="122">
        <v>0</v>
      </c>
      <c r="AF412" s="121">
        <v>0</v>
      </c>
      <c r="AG412" s="27">
        <f t="shared" si="232"/>
        <v>0</v>
      </c>
      <c r="AH412" s="28">
        <f>+IF(ABS(+AC412+AE412)&lt;=ABS(AD412+AF412),-AC412+AD412-AE412+AF412,0)</f>
        <v>0</v>
      </c>
      <c r="AI412" s="51"/>
      <c r="AJ412" s="1497">
        <f t="shared" si="226"/>
        <v>6043</v>
      </c>
      <c r="AK412" s="8">
        <v>0</v>
      </c>
      <c r="AL412" s="9">
        <v>0</v>
      </c>
      <c r="AM412" s="326">
        <f t="shared" si="233"/>
        <v>0</v>
      </c>
      <c r="AN412" s="970">
        <f t="shared" si="233"/>
        <v>0</v>
      </c>
      <c r="AO412" s="326">
        <f t="shared" si="218"/>
        <v>0</v>
      </c>
      <c r="AP412" s="327">
        <f t="shared" si="219"/>
        <v>0</v>
      </c>
      <c r="AQ412" s="43"/>
      <c r="AR412" s="358">
        <f t="shared" si="220"/>
        <v>0</v>
      </c>
      <c r="AS412" s="359">
        <f t="shared" si="221"/>
        <v>0</v>
      </c>
      <c r="AT412" s="360">
        <f t="shared" si="222"/>
        <v>0</v>
      </c>
      <c r="AU412" s="43"/>
      <c r="AV412" s="43"/>
      <c r="AW412" s="119"/>
      <c r="AX412" s="119"/>
      <c r="AY412" s="43"/>
      <c r="AZ412" s="43"/>
      <c r="BA412" s="43"/>
      <c r="BB412" s="43"/>
      <c r="BC412" s="43"/>
      <c r="BD412" s="43"/>
    </row>
    <row r="413" spans="1:56" ht="15.75">
      <c r="A413" s="88">
        <v>6044</v>
      </c>
      <c r="B413" s="1033" t="s">
        <v>351</v>
      </c>
      <c r="C413" s="1033"/>
      <c r="D413" s="1033"/>
      <c r="E413" s="1033"/>
      <c r="F413" s="1033"/>
      <c r="G413" s="1033"/>
      <c r="H413" s="1033"/>
      <c r="I413" s="1033"/>
      <c r="J413" s="1033"/>
      <c r="K413" s="1033"/>
      <c r="L413" s="90"/>
      <c r="M413" s="51" t="s">
        <v>265</v>
      </c>
      <c r="N413" s="113">
        <f t="shared" si="212"/>
        <v>6044</v>
      </c>
      <c r="O413" s="8">
        <v>0</v>
      </c>
      <c r="P413" s="9">
        <v>0</v>
      </c>
      <c r="Q413" s="325">
        <v>1174</v>
      </c>
      <c r="R413" s="324">
        <v>0</v>
      </c>
      <c r="S413" s="27">
        <f t="shared" si="231"/>
        <v>1174</v>
      </c>
      <c r="T413" s="28">
        <f t="shared" si="230"/>
        <v>0</v>
      </c>
      <c r="U413" s="51"/>
      <c r="V413" s="541">
        <f>+'NF-KSF-TRIAL-BAL-2020'!O413+'RA-TRIAL-BAL-2020'!O413+'DES-TRIAL-BAL-2020'!O413+'DMP-TRIAL-BAL-2020'!O413</f>
        <v>0</v>
      </c>
      <c r="W413" s="529">
        <f>+'NF-KSF-TRIAL-BAL-2020'!P413+'RA-TRIAL-BAL-2020'!P413+'DES-TRIAL-BAL-2020'!P413+'DMP-TRIAL-BAL-2020'!P413</f>
        <v>0</v>
      </c>
      <c r="X413" s="528">
        <f>+'NF-KSF-TRIAL-BAL-2020'!Q413+'RA-TRIAL-BAL-2020'!Q413+'DES-TRIAL-BAL-2020'!Q413+'DMP-TRIAL-BAL-2020'!Q413</f>
        <v>0</v>
      </c>
      <c r="Y413" s="529">
        <f>+'NF-KSF-TRIAL-BAL-2020'!R413+'RA-TRIAL-BAL-2020'!R413+'DES-TRIAL-BAL-2020'!R413+'DMP-TRIAL-BAL-2020'!R413</f>
        <v>0</v>
      </c>
      <c r="Z413" s="528">
        <f>+'NF-KSF-TRIAL-BAL-2020'!S413+'RA-TRIAL-BAL-2020'!S413+'DES-TRIAL-BAL-2020'!S413+'DMP-TRIAL-BAL-2020'!S413</f>
        <v>0</v>
      </c>
      <c r="AA413" s="347">
        <f>+'NF-KSF-TRIAL-BAL-2020'!T413+'RA-TRIAL-BAL-2020'!T413+'DES-TRIAL-BAL-2020'!T413+'DMP-TRIAL-BAL-2020'!T413</f>
        <v>0</v>
      </c>
      <c r="AB413" s="51"/>
      <c r="AC413" s="8">
        <v>0</v>
      </c>
      <c r="AD413" s="9">
        <v>0</v>
      </c>
      <c r="AE413" s="122">
        <v>0</v>
      </c>
      <c r="AF413" s="121">
        <v>0</v>
      </c>
      <c r="AG413" s="27">
        <f t="shared" si="232"/>
        <v>0</v>
      </c>
      <c r="AH413" s="28">
        <f>+IF(ABS(+AC413+AE413)&lt;=ABS(AD413+AF413),-AC413+AD413-AE413+AF413,0)</f>
        <v>0</v>
      </c>
      <c r="AI413" s="51"/>
      <c r="AJ413" s="1497">
        <f t="shared" si="226"/>
        <v>6044</v>
      </c>
      <c r="AK413" s="8">
        <v>0</v>
      </c>
      <c r="AL413" s="9">
        <v>0</v>
      </c>
      <c r="AM413" s="326">
        <f t="shared" si="233"/>
        <v>1174</v>
      </c>
      <c r="AN413" s="970">
        <f t="shared" si="233"/>
        <v>0</v>
      </c>
      <c r="AO413" s="326">
        <f t="shared" si="218"/>
        <v>1174</v>
      </c>
      <c r="AP413" s="327">
        <f t="shared" si="219"/>
        <v>0</v>
      </c>
      <c r="AQ413" s="43"/>
      <c r="AR413" s="358">
        <f t="shared" si="220"/>
        <v>0</v>
      </c>
      <c r="AS413" s="359">
        <f t="shared" si="221"/>
        <v>0</v>
      </c>
      <c r="AT413" s="360">
        <f t="shared" si="222"/>
        <v>0</v>
      </c>
      <c r="AU413" s="43"/>
      <c r="AV413" s="43"/>
      <c r="AW413" s="119"/>
      <c r="AX413" s="119"/>
      <c r="AY413" s="43"/>
      <c r="AZ413" s="43"/>
      <c r="BA413" s="43"/>
      <c r="BB413" s="43"/>
      <c r="BC413" s="43"/>
      <c r="BD413" s="43"/>
    </row>
    <row r="414" spans="1:56" ht="15.75">
      <c r="A414" s="88">
        <v>6046</v>
      </c>
      <c r="B414" s="1033" t="s">
        <v>352</v>
      </c>
      <c r="C414" s="1033"/>
      <c r="D414" s="1033"/>
      <c r="E414" s="1033"/>
      <c r="F414" s="1033"/>
      <c r="G414" s="1033"/>
      <c r="H414" s="1033"/>
      <c r="I414" s="1033"/>
      <c r="J414" s="1033"/>
      <c r="K414" s="1033"/>
      <c r="L414" s="90"/>
      <c r="M414" s="51" t="s">
        <v>265</v>
      </c>
      <c r="N414" s="113">
        <f t="shared" si="212"/>
        <v>6046</v>
      </c>
      <c r="O414" s="8">
        <v>0</v>
      </c>
      <c r="P414" s="9">
        <v>0</v>
      </c>
      <c r="Q414" s="325"/>
      <c r="R414" s="324"/>
      <c r="S414" s="27">
        <f t="shared" si="231"/>
        <v>0</v>
      </c>
      <c r="T414" s="28">
        <f t="shared" si="230"/>
        <v>0</v>
      </c>
      <c r="U414" s="51"/>
      <c r="V414" s="541">
        <f>+'NF-KSF-TRIAL-BAL-2020'!O414+'RA-TRIAL-BAL-2020'!O414+'DES-TRIAL-BAL-2020'!O414+'DMP-TRIAL-BAL-2020'!O414</f>
        <v>0</v>
      </c>
      <c r="W414" s="529">
        <f>+'NF-KSF-TRIAL-BAL-2020'!P414+'RA-TRIAL-BAL-2020'!P414+'DES-TRIAL-BAL-2020'!P414+'DMP-TRIAL-BAL-2020'!P414</f>
        <v>0</v>
      </c>
      <c r="X414" s="528">
        <f>+'NF-KSF-TRIAL-BAL-2020'!Q414+'RA-TRIAL-BAL-2020'!Q414+'DES-TRIAL-BAL-2020'!Q414+'DMP-TRIAL-BAL-2020'!Q414</f>
        <v>0</v>
      </c>
      <c r="Y414" s="529">
        <f>+'NF-KSF-TRIAL-BAL-2020'!R414+'RA-TRIAL-BAL-2020'!R414+'DES-TRIAL-BAL-2020'!R414+'DMP-TRIAL-BAL-2020'!R414</f>
        <v>0</v>
      </c>
      <c r="Z414" s="528">
        <f>+'NF-KSF-TRIAL-BAL-2020'!S414+'RA-TRIAL-BAL-2020'!S414+'DES-TRIAL-BAL-2020'!S414+'DMP-TRIAL-BAL-2020'!S414</f>
        <v>0</v>
      </c>
      <c r="AA414" s="347">
        <f>+'NF-KSF-TRIAL-BAL-2020'!T414+'RA-TRIAL-BAL-2020'!T414+'DES-TRIAL-BAL-2020'!T414+'DMP-TRIAL-BAL-2020'!T414</f>
        <v>0</v>
      </c>
      <c r="AB414" s="51"/>
      <c r="AC414" s="8">
        <v>0</v>
      </c>
      <c r="AD414" s="9">
        <v>0</v>
      </c>
      <c r="AE414" s="122"/>
      <c r="AF414" s="121"/>
      <c r="AG414" s="27">
        <f t="shared" si="232"/>
        <v>0</v>
      </c>
      <c r="AH414" s="28">
        <f>+IF(ABS(+AC414+AE414)&lt;=ABS(AD414+AF414),-AC414+AD414-AE414+AF414,0)</f>
        <v>0</v>
      </c>
      <c r="AI414" s="51"/>
      <c r="AJ414" s="1497">
        <f t="shared" si="226"/>
        <v>6046</v>
      </c>
      <c r="AK414" s="8">
        <v>0</v>
      </c>
      <c r="AL414" s="9">
        <v>0</v>
      </c>
      <c r="AM414" s="326">
        <f t="shared" si="233"/>
        <v>0</v>
      </c>
      <c r="AN414" s="970">
        <f t="shared" si="233"/>
        <v>0</v>
      </c>
      <c r="AO414" s="326">
        <f t="shared" si="218"/>
        <v>0</v>
      </c>
      <c r="AP414" s="327">
        <f t="shared" si="219"/>
        <v>0</v>
      </c>
      <c r="AQ414" s="43"/>
      <c r="AR414" s="358">
        <f t="shared" si="220"/>
        <v>0</v>
      </c>
      <c r="AS414" s="359">
        <f t="shared" si="221"/>
        <v>0</v>
      </c>
      <c r="AT414" s="360">
        <f t="shared" si="222"/>
        <v>0</v>
      </c>
      <c r="AU414" s="43"/>
      <c r="AV414" s="43"/>
      <c r="AW414" s="119"/>
      <c r="AX414" s="119"/>
      <c r="AY414" s="43"/>
      <c r="AZ414" s="43"/>
      <c r="BA414" s="43"/>
      <c r="BB414" s="43"/>
      <c r="BC414" s="43"/>
      <c r="BD414" s="43"/>
    </row>
    <row r="415" spans="1:56" ht="15.75">
      <c r="A415" s="88">
        <v>6047</v>
      </c>
      <c r="B415" s="1032" t="s">
        <v>353</v>
      </c>
      <c r="C415" s="1033"/>
      <c r="D415" s="1033"/>
      <c r="E415" s="1033"/>
      <c r="F415" s="1033"/>
      <c r="G415" s="1033"/>
      <c r="H415" s="1033"/>
      <c r="I415" s="1033"/>
      <c r="J415" s="1033"/>
      <c r="K415" s="1033"/>
      <c r="L415" s="90"/>
      <c r="M415" s="51" t="s">
        <v>265</v>
      </c>
      <c r="N415" s="113">
        <f t="shared" si="212"/>
        <v>6047</v>
      </c>
      <c r="O415" s="8">
        <v>0</v>
      </c>
      <c r="P415" s="9">
        <v>0</v>
      </c>
      <c r="Q415" s="325">
        <v>0</v>
      </c>
      <c r="R415" s="324">
        <v>0</v>
      </c>
      <c r="S415" s="27">
        <f t="shared" si="231"/>
        <v>0</v>
      </c>
      <c r="T415" s="30">
        <v>0</v>
      </c>
      <c r="U415" s="51"/>
      <c r="V415" s="541">
        <f>+'NF-KSF-TRIAL-BAL-2020'!O415+'RA-TRIAL-BAL-2020'!O415+'DES-TRIAL-BAL-2020'!O415+'DMP-TRIAL-BAL-2020'!O415</f>
        <v>0</v>
      </c>
      <c r="W415" s="529">
        <f>+'NF-KSF-TRIAL-BAL-2020'!P415+'RA-TRIAL-BAL-2020'!P415+'DES-TRIAL-BAL-2020'!P415+'DMP-TRIAL-BAL-2020'!P415</f>
        <v>0</v>
      </c>
      <c r="X415" s="528">
        <f>+'NF-KSF-TRIAL-BAL-2020'!Q415+'RA-TRIAL-BAL-2020'!Q415+'DES-TRIAL-BAL-2020'!Q415+'DMP-TRIAL-BAL-2020'!Q415</f>
        <v>0</v>
      </c>
      <c r="Y415" s="529">
        <f>+'NF-KSF-TRIAL-BAL-2020'!R415+'RA-TRIAL-BAL-2020'!R415+'DES-TRIAL-BAL-2020'!R415+'DMP-TRIAL-BAL-2020'!R415</f>
        <v>0</v>
      </c>
      <c r="Z415" s="528">
        <f>+'NF-KSF-TRIAL-BAL-2020'!S415+'RA-TRIAL-BAL-2020'!S415+'DES-TRIAL-BAL-2020'!S415+'DMP-TRIAL-BAL-2020'!S415</f>
        <v>0</v>
      </c>
      <c r="AA415" s="347">
        <f>+'NF-KSF-TRIAL-BAL-2020'!T415+'RA-TRIAL-BAL-2020'!T415+'DES-TRIAL-BAL-2020'!T415+'DMP-TRIAL-BAL-2020'!T415</f>
        <v>0</v>
      </c>
      <c r="AB415" s="51"/>
      <c r="AC415" s="8">
        <v>0</v>
      </c>
      <c r="AD415" s="9">
        <v>0</v>
      </c>
      <c r="AE415" s="122">
        <v>0</v>
      </c>
      <c r="AF415" s="324">
        <v>0</v>
      </c>
      <c r="AG415" s="27">
        <f t="shared" si="232"/>
        <v>0</v>
      </c>
      <c r="AH415" s="30">
        <v>0</v>
      </c>
      <c r="AI415" s="51"/>
      <c r="AJ415" s="1497">
        <f t="shared" si="226"/>
        <v>6047</v>
      </c>
      <c r="AK415" s="8">
        <v>0</v>
      </c>
      <c r="AL415" s="9">
        <v>0</v>
      </c>
      <c r="AM415" s="326">
        <f t="shared" si="233"/>
        <v>0</v>
      </c>
      <c r="AN415" s="970">
        <f t="shared" si="233"/>
        <v>0</v>
      </c>
      <c r="AO415" s="326">
        <f t="shared" si="218"/>
        <v>0</v>
      </c>
      <c r="AP415" s="30">
        <v>0</v>
      </c>
      <c r="AQ415" s="43"/>
      <c r="AR415" s="358">
        <f t="shared" si="220"/>
        <v>0</v>
      </c>
      <c r="AS415" s="359">
        <f t="shared" si="221"/>
        <v>0</v>
      </c>
      <c r="AT415" s="360">
        <f t="shared" si="222"/>
        <v>0</v>
      </c>
      <c r="AU415" s="43"/>
      <c r="AV415" s="2120">
        <f>+IF(OR(ROUND(P415,2)+ROUND(R415,2)&gt;+ROUND(O415,2)+ROUND(Q415,2),+ABS(ROUND(P415,2)+ROUND(R415,2))&gt;+ABS(ROUND(O415,2)+ROUND(Q415,2))),+(ROUND(P415,2)+ROUND(R415,2))-(ROUND(O415,2)+ROUND(Q415,2)),0)</f>
        <v>0</v>
      </c>
      <c r="AW415" s="119"/>
      <c r="AX415" s="2120">
        <f>+IF(OR(ROUND(AD415,2)+ROUND(AF415,2)&gt;+ROUND(AC415,2)+ROUND(AE415,2),+ABS(ROUND(AD415,2)+ROUND(AF415,2))&gt;+ABS(ROUND(AC415,2)+ROUND(AE415,2))),+(ROUND(AD415,2)+ROUND(AF415,2))-(ROUND(AC415,2)+ROUND(AE415,2)),0)</f>
        <v>0</v>
      </c>
      <c r="AY415" s="43"/>
      <c r="AZ415" s="43"/>
      <c r="BA415" s="43"/>
      <c r="BB415" s="43"/>
      <c r="BC415" s="43"/>
      <c r="BD415" s="43"/>
    </row>
    <row r="416" spans="1:56" ht="15.75">
      <c r="A416" s="88">
        <v>6048</v>
      </c>
      <c r="B416" s="1032" t="s">
        <v>354</v>
      </c>
      <c r="C416" s="1033"/>
      <c r="D416" s="1033"/>
      <c r="E416" s="1033"/>
      <c r="F416" s="1033"/>
      <c r="G416" s="1033"/>
      <c r="H416" s="1033"/>
      <c r="I416" s="1033"/>
      <c r="J416" s="1033"/>
      <c r="K416" s="1033"/>
      <c r="L416" s="90"/>
      <c r="M416" s="51" t="s">
        <v>265</v>
      </c>
      <c r="N416" s="113">
        <f t="shared" si="212"/>
        <v>6048</v>
      </c>
      <c r="O416" s="8">
        <v>0</v>
      </c>
      <c r="P416" s="9">
        <v>0</v>
      </c>
      <c r="Q416" s="325">
        <v>0</v>
      </c>
      <c r="R416" s="324">
        <v>36846.730000000003</v>
      </c>
      <c r="S416" s="29">
        <v>0</v>
      </c>
      <c r="T416" s="28">
        <f t="shared" ref="T416:T482" si="234">+IF(ABS(+O416+Q416)&lt;=ABS(P416+R416),-O416+P416-Q416+R416,0)</f>
        <v>36846.730000000003</v>
      </c>
      <c r="U416" s="51"/>
      <c r="V416" s="541">
        <f>+'NF-KSF-TRIAL-BAL-2020'!O416+'RA-TRIAL-BAL-2020'!O416+'DES-TRIAL-BAL-2020'!O416+'DMP-TRIAL-BAL-2020'!O416</f>
        <v>0</v>
      </c>
      <c r="W416" s="529">
        <f>+'NF-KSF-TRIAL-BAL-2020'!P416+'RA-TRIAL-BAL-2020'!P416+'DES-TRIAL-BAL-2020'!P416+'DMP-TRIAL-BAL-2020'!P416</f>
        <v>0</v>
      </c>
      <c r="X416" s="528">
        <f>+'NF-KSF-TRIAL-BAL-2020'!Q416+'RA-TRIAL-BAL-2020'!Q416+'DES-TRIAL-BAL-2020'!Q416+'DMP-TRIAL-BAL-2020'!Q416</f>
        <v>0</v>
      </c>
      <c r="Y416" s="529">
        <f>+'NF-KSF-TRIAL-BAL-2020'!R416+'RA-TRIAL-BAL-2020'!R416+'DES-TRIAL-BAL-2020'!R416+'DMP-TRIAL-BAL-2020'!R416</f>
        <v>0</v>
      </c>
      <c r="Z416" s="528">
        <f>+'NF-KSF-TRIAL-BAL-2020'!S416+'RA-TRIAL-BAL-2020'!S416+'DES-TRIAL-BAL-2020'!S416+'DMP-TRIAL-BAL-2020'!S416</f>
        <v>0</v>
      </c>
      <c r="AA416" s="347">
        <f>+'NF-KSF-TRIAL-BAL-2020'!T416+'RA-TRIAL-BAL-2020'!T416+'DES-TRIAL-BAL-2020'!T416+'DMP-TRIAL-BAL-2020'!T416</f>
        <v>0</v>
      </c>
      <c r="AB416" s="51"/>
      <c r="AC416" s="8">
        <v>0</v>
      </c>
      <c r="AD416" s="9">
        <v>0</v>
      </c>
      <c r="AE416" s="122">
        <v>0</v>
      </c>
      <c r="AF416" s="324">
        <v>0</v>
      </c>
      <c r="AG416" s="29">
        <v>0</v>
      </c>
      <c r="AH416" s="28">
        <f t="shared" ref="AH416:AH482" si="235">+IF(ABS(+AC416+AE416)&lt;=ABS(AD416+AF416),-AC416+AD416-AE416+AF416,0)</f>
        <v>0</v>
      </c>
      <c r="AI416" s="51"/>
      <c r="AJ416" s="1497">
        <f t="shared" si="226"/>
        <v>6048</v>
      </c>
      <c r="AK416" s="8">
        <v>0</v>
      </c>
      <c r="AL416" s="9">
        <v>0</v>
      </c>
      <c r="AM416" s="326">
        <f t="shared" si="233"/>
        <v>0</v>
      </c>
      <c r="AN416" s="970">
        <f t="shared" si="233"/>
        <v>36846.730000000003</v>
      </c>
      <c r="AO416" s="8">
        <v>0</v>
      </c>
      <c r="AP416" s="327">
        <f t="shared" si="219"/>
        <v>36846.730000000003</v>
      </c>
      <c r="AQ416" s="43"/>
      <c r="AR416" s="358">
        <f t="shared" si="220"/>
        <v>0</v>
      </c>
      <c r="AS416" s="359">
        <f t="shared" si="221"/>
        <v>0</v>
      </c>
      <c r="AT416" s="360">
        <f t="shared" si="222"/>
        <v>0</v>
      </c>
      <c r="AU416" s="43"/>
      <c r="AV416" s="2119">
        <f>+IF(OR(+ROUND(O416,2)+ROUND(Q416,2)&gt;ROUND(P416,2)+ROUND(R416,2),+ABS(ROUND(O416,2)+ROUND(Q416,2))&gt;+ABS(ROUND(P416,2)+ROUND(R416,2))),+(ROUND(O416,2)+ROUND(Q416,2))-(ROUND(P416,2)+ROUND(R416,2)),0)</f>
        <v>0</v>
      </c>
      <c r="AW416" s="119"/>
      <c r="AX416" s="2119">
        <f>+IF(OR(+ROUND(AC416,2)+ROUND(AE416,2)&gt;ROUND(AD416,2)+ROUND(AF416,2),+ABS(ROUND(AC416,2)+ROUND(AE416,2))&gt;+ABS(ROUND(AD416,2)+ROUND(AF416,2))),+(ROUND(AC416,2)+ROUND(AE416,2))-(ROUND(AD416,2)+ROUND(AF416,2)),0)</f>
        <v>0</v>
      </c>
      <c r="AY416" s="43"/>
      <c r="AZ416" s="43"/>
      <c r="BA416" s="43"/>
      <c r="BB416" s="43"/>
      <c r="BC416" s="43"/>
      <c r="BD416" s="43"/>
    </row>
    <row r="417" spans="1:56" ht="15.75">
      <c r="A417" s="88">
        <v>6049</v>
      </c>
      <c r="B417" s="1035" t="s">
        <v>433</v>
      </c>
      <c r="C417" s="1033"/>
      <c r="D417" s="1033"/>
      <c r="E417" s="1033"/>
      <c r="F417" s="1033"/>
      <c r="G417" s="1033"/>
      <c r="H417" s="1033"/>
      <c r="I417" s="1033"/>
      <c r="J417" s="1033"/>
      <c r="K417" s="1033"/>
      <c r="L417" s="90"/>
      <c r="M417" s="51" t="s">
        <v>265</v>
      </c>
      <c r="N417" s="113">
        <f>+A417</f>
        <v>6049</v>
      </c>
      <c r="O417" s="8">
        <v>0</v>
      </c>
      <c r="P417" s="9">
        <v>0</v>
      </c>
      <c r="Q417" s="325">
        <v>996.94</v>
      </c>
      <c r="R417" s="324">
        <v>0</v>
      </c>
      <c r="S417" s="27">
        <f>+IF(ABS(+O417+Q417)&gt;=ABS(P417+R417),+O417-P417+Q417-R417,0)</f>
        <v>996.94</v>
      </c>
      <c r="T417" s="28">
        <f t="shared" si="234"/>
        <v>0</v>
      </c>
      <c r="U417" s="51"/>
      <c r="V417" s="541">
        <f>+'NF-KSF-TRIAL-BAL-2020'!O417+'RA-TRIAL-BAL-2020'!O417+'DES-TRIAL-BAL-2020'!O417+'DMP-TRIAL-BAL-2020'!O417</f>
        <v>0</v>
      </c>
      <c r="W417" s="529">
        <f>+'NF-KSF-TRIAL-BAL-2020'!P417+'RA-TRIAL-BAL-2020'!P417+'DES-TRIAL-BAL-2020'!P417+'DMP-TRIAL-BAL-2020'!P417</f>
        <v>0</v>
      </c>
      <c r="X417" s="528">
        <f>+'NF-KSF-TRIAL-BAL-2020'!Q417+'RA-TRIAL-BAL-2020'!Q417+'DES-TRIAL-BAL-2020'!Q417+'DMP-TRIAL-BAL-2020'!Q417</f>
        <v>0</v>
      </c>
      <c r="Y417" s="529">
        <f>+'NF-KSF-TRIAL-BAL-2020'!R417+'RA-TRIAL-BAL-2020'!R417+'DES-TRIAL-BAL-2020'!R417+'DMP-TRIAL-BAL-2020'!R417</f>
        <v>0</v>
      </c>
      <c r="Z417" s="528">
        <f>+'NF-KSF-TRIAL-BAL-2020'!S417+'RA-TRIAL-BAL-2020'!S417+'DES-TRIAL-BAL-2020'!S417+'DMP-TRIAL-BAL-2020'!S417</f>
        <v>0</v>
      </c>
      <c r="AA417" s="347">
        <f>+'NF-KSF-TRIAL-BAL-2020'!T417+'RA-TRIAL-BAL-2020'!T417+'DES-TRIAL-BAL-2020'!T417+'DMP-TRIAL-BAL-2020'!T417</f>
        <v>0</v>
      </c>
      <c r="AB417" s="51"/>
      <c r="AC417" s="8">
        <v>0</v>
      </c>
      <c r="AD417" s="9">
        <v>0</v>
      </c>
      <c r="AE417" s="122">
        <v>0</v>
      </c>
      <c r="AF417" s="121">
        <v>0</v>
      </c>
      <c r="AG417" s="27">
        <f>+IF(ABS(+AC417+AE417)&gt;=ABS(AD417+AF417),+AC417-AD417+AE417-AF417,0)</f>
        <v>0</v>
      </c>
      <c r="AH417" s="28">
        <f t="shared" si="235"/>
        <v>0</v>
      </c>
      <c r="AI417" s="51"/>
      <c r="AJ417" s="1497">
        <f>+N417</f>
        <v>6049</v>
      </c>
      <c r="AK417" s="8">
        <v>0</v>
      </c>
      <c r="AL417" s="9">
        <v>0</v>
      </c>
      <c r="AM417" s="326">
        <f>+ROUND(+Q417+X417+AE417,2)</f>
        <v>996.94</v>
      </c>
      <c r="AN417" s="970">
        <f>+ROUND(+R417+Y417+AF417,2)</f>
        <v>0</v>
      </c>
      <c r="AO417" s="326">
        <f t="shared" ref="AO417:AO480" si="236">+S417+Z417+AG417</f>
        <v>996.94</v>
      </c>
      <c r="AP417" s="327">
        <f t="shared" ref="AP417:AP480" si="237">+T417+AA417+AH417</f>
        <v>0</v>
      </c>
      <c r="AQ417" s="43"/>
      <c r="AR417" s="358">
        <f>+ROUND(+SUM(AK417-AL417)-SUM(O417-P417)-SUM(V417-W417)-SUM(AC417-AD417),2)</f>
        <v>0</v>
      </c>
      <c r="AS417" s="359">
        <f>+ROUND(+SUM(AM417-AN417)-SUM(Q417-R417)-SUM(X417-Y417)-SUM(AE417-AF417),2)</f>
        <v>0</v>
      </c>
      <c r="AT417" s="360">
        <f>+ROUND(+SUM(AO417-AP417)-SUM(S417-T417)-SUM(Z417-AA417)-SUM(AG417-AH417),2)</f>
        <v>0</v>
      </c>
      <c r="AU417" s="43"/>
      <c r="AV417" s="43"/>
      <c r="AW417" s="119"/>
      <c r="AX417" s="119"/>
      <c r="AY417" s="43"/>
      <c r="AZ417" s="43"/>
      <c r="BA417" s="43"/>
      <c r="BB417" s="43"/>
      <c r="BC417" s="43"/>
      <c r="BD417" s="43"/>
    </row>
    <row r="418" spans="1:56" ht="15.75">
      <c r="A418" s="88">
        <v>6051</v>
      </c>
      <c r="B418" s="1033" t="s">
        <v>434</v>
      </c>
      <c r="C418" s="1033"/>
      <c r="D418" s="1033"/>
      <c r="E418" s="1033"/>
      <c r="F418" s="1033"/>
      <c r="G418" s="1033"/>
      <c r="H418" s="1033"/>
      <c r="I418" s="1033"/>
      <c r="J418" s="1033"/>
      <c r="K418" s="1033"/>
      <c r="L418" s="90"/>
      <c r="M418" s="51" t="s">
        <v>265</v>
      </c>
      <c r="N418" s="113">
        <f t="shared" si="212"/>
        <v>6051</v>
      </c>
      <c r="O418" s="8">
        <v>0</v>
      </c>
      <c r="P418" s="9">
        <v>0</v>
      </c>
      <c r="Q418" s="325">
        <v>58154.719999999994</v>
      </c>
      <c r="R418" s="324">
        <v>0</v>
      </c>
      <c r="S418" s="27">
        <f t="shared" ref="S418:S482" si="238">+IF(ABS(+O418+Q418)&gt;=ABS(P418+R418),+O418-P418+Q418-R418,0)</f>
        <v>58154.719999999994</v>
      </c>
      <c r="T418" s="28">
        <f t="shared" si="234"/>
        <v>0</v>
      </c>
      <c r="U418" s="51"/>
      <c r="V418" s="541">
        <f>+'NF-KSF-TRIAL-BAL-2020'!O418+'RA-TRIAL-BAL-2020'!O418+'DES-TRIAL-BAL-2020'!O418+'DMP-TRIAL-BAL-2020'!O418</f>
        <v>0</v>
      </c>
      <c r="W418" s="529">
        <f>+'NF-KSF-TRIAL-BAL-2020'!P418+'RA-TRIAL-BAL-2020'!P418+'DES-TRIAL-BAL-2020'!P418+'DMP-TRIAL-BAL-2020'!P418</f>
        <v>0</v>
      </c>
      <c r="X418" s="528">
        <f>+'NF-KSF-TRIAL-BAL-2020'!Q418+'RA-TRIAL-BAL-2020'!Q418+'DES-TRIAL-BAL-2020'!Q418+'DMP-TRIAL-BAL-2020'!Q418</f>
        <v>0</v>
      </c>
      <c r="Y418" s="529">
        <f>+'NF-KSF-TRIAL-BAL-2020'!R418+'RA-TRIAL-BAL-2020'!R418+'DES-TRIAL-BAL-2020'!R418+'DMP-TRIAL-BAL-2020'!R418</f>
        <v>0</v>
      </c>
      <c r="Z418" s="528">
        <f>+'NF-KSF-TRIAL-BAL-2020'!S418+'RA-TRIAL-BAL-2020'!S418+'DES-TRIAL-BAL-2020'!S418+'DMP-TRIAL-BAL-2020'!S418</f>
        <v>0</v>
      </c>
      <c r="AA418" s="347">
        <f>+'NF-KSF-TRIAL-BAL-2020'!T418+'RA-TRIAL-BAL-2020'!T418+'DES-TRIAL-BAL-2020'!T418+'DMP-TRIAL-BAL-2020'!T418</f>
        <v>0</v>
      </c>
      <c r="AB418" s="51"/>
      <c r="AC418" s="8">
        <v>0</v>
      </c>
      <c r="AD418" s="9">
        <v>0</v>
      </c>
      <c r="AE418" s="122">
        <v>0</v>
      </c>
      <c r="AF418" s="121">
        <v>0</v>
      </c>
      <c r="AG418" s="27">
        <f t="shared" ref="AG418:AG482" si="239">+IF(ABS(+AC418+AE418)&gt;=ABS(AD418+AF418),+AC418-AD418+AE418-AF418,0)</f>
        <v>0</v>
      </c>
      <c r="AH418" s="28">
        <f t="shared" si="235"/>
        <v>0</v>
      </c>
      <c r="AI418" s="51"/>
      <c r="AJ418" s="1497">
        <f t="shared" si="226"/>
        <v>6051</v>
      </c>
      <c r="AK418" s="8">
        <v>0</v>
      </c>
      <c r="AL418" s="9">
        <v>0</v>
      </c>
      <c r="AM418" s="326">
        <f t="shared" si="233"/>
        <v>58154.720000000001</v>
      </c>
      <c r="AN418" s="970">
        <f t="shared" si="233"/>
        <v>0</v>
      </c>
      <c r="AO418" s="326">
        <f t="shared" si="236"/>
        <v>58154.719999999994</v>
      </c>
      <c r="AP418" s="327">
        <f t="shared" si="237"/>
        <v>0</v>
      </c>
      <c r="AQ418" s="43"/>
      <c r="AR418" s="358">
        <f t="shared" si="220"/>
        <v>0</v>
      </c>
      <c r="AS418" s="359">
        <f t="shared" si="221"/>
        <v>0</v>
      </c>
      <c r="AT418" s="360">
        <f t="shared" si="222"/>
        <v>0</v>
      </c>
      <c r="AU418" s="43"/>
      <c r="AV418" s="43"/>
      <c r="AW418" s="119"/>
      <c r="AX418" s="119"/>
      <c r="AY418" s="43"/>
      <c r="AZ418" s="43"/>
      <c r="BA418" s="43"/>
      <c r="BB418" s="43"/>
      <c r="BC418" s="43"/>
      <c r="BD418" s="43"/>
    </row>
    <row r="419" spans="1:56" ht="15.75">
      <c r="A419" s="88">
        <v>6052</v>
      </c>
      <c r="B419" s="1033" t="s">
        <v>435</v>
      </c>
      <c r="C419" s="1033"/>
      <c r="D419" s="1033"/>
      <c r="E419" s="1033"/>
      <c r="F419" s="1033"/>
      <c r="G419" s="1033"/>
      <c r="H419" s="1033"/>
      <c r="I419" s="1033"/>
      <c r="J419" s="1033"/>
      <c r="K419" s="1033"/>
      <c r="L419" s="90"/>
      <c r="M419" s="51" t="s">
        <v>265</v>
      </c>
      <c r="N419" s="113">
        <f t="shared" si="212"/>
        <v>6052</v>
      </c>
      <c r="O419" s="8">
        <v>0</v>
      </c>
      <c r="P419" s="9">
        <v>0</v>
      </c>
      <c r="Q419" s="325">
        <v>23987.68</v>
      </c>
      <c r="R419" s="324">
        <v>0</v>
      </c>
      <c r="S419" s="27">
        <f t="shared" si="238"/>
        <v>23987.68</v>
      </c>
      <c r="T419" s="28">
        <f t="shared" si="234"/>
        <v>0</v>
      </c>
      <c r="U419" s="51"/>
      <c r="V419" s="541">
        <f>+'NF-KSF-TRIAL-BAL-2020'!O419+'RA-TRIAL-BAL-2020'!O419+'DES-TRIAL-BAL-2020'!O419+'DMP-TRIAL-BAL-2020'!O419</f>
        <v>0</v>
      </c>
      <c r="W419" s="529">
        <f>+'NF-KSF-TRIAL-BAL-2020'!P419+'RA-TRIAL-BAL-2020'!P419+'DES-TRIAL-BAL-2020'!P419+'DMP-TRIAL-BAL-2020'!P419</f>
        <v>0</v>
      </c>
      <c r="X419" s="528">
        <f>+'NF-KSF-TRIAL-BAL-2020'!Q419+'RA-TRIAL-BAL-2020'!Q419+'DES-TRIAL-BAL-2020'!Q419+'DMP-TRIAL-BAL-2020'!Q419</f>
        <v>0</v>
      </c>
      <c r="Y419" s="529">
        <f>+'NF-KSF-TRIAL-BAL-2020'!R419+'RA-TRIAL-BAL-2020'!R419+'DES-TRIAL-BAL-2020'!R419+'DMP-TRIAL-BAL-2020'!R419</f>
        <v>0</v>
      </c>
      <c r="Z419" s="528">
        <f>+'NF-KSF-TRIAL-BAL-2020'!S419+'RA-TRIAL-BAL-2020'!S419+'DES-TRIAL-BAL-2020'!S419+'DMP-TRIAL-BAL-2020'!S419</f>
        <v>0</v>
      </c>
      <c r="AA419" s="347">
        <f>+'NF-KSF-TRIAL-BAL-2020'!T419+'RA-TRIAL-BAL-2020'!T419+'DES-TRIAL-BAL-2020'!T419+'DMP-TRIAL-BAL-2020'!T419</f>
        <v>0</v>
      </c>
      <c r="AB419" s="51"/>
      <c r="AC419" s="8">
        <v>0</v>
      </c>
      <c r="AD419" s="9">
        <v>0</v>
      </c>
      <c r="AE419" s="122">
        <v>0</v>
      </c>
      <c r="AF419" s="121">
        <v>0</v>
      </c>
      <c r="AG419" s="27">
        <f t="shared" si="239"/>
        <v>0</v>
      </c>
      <c r="AH419" s="28">
        <f t="shared" si="235"/>
        <v>0</v>
      </c>
      <c r="AI419" s="51"/>
      <c r="AJ419" s="1497">
        <f t="shared" si="226"/>
        <v>6052</v>
      </c>
      <c r="AK419" s="8">
        <v>0</v>
      </c>
      <c r="AL419" s="9">
        <v>0</v>
      </c>
      <c r="AM419" s="326">
        <f t="shared" si="233"/>
        <v>23987.68</v>
      </c>
      <c r="AN419" s="970">
        <f t="shared" si="233"/>
        <v>0</v>
      </c>
      <c r="AO419" s="326">
        <f t="shared" si="236"/>
        <v>23987.68</v>
      </c>
      <c r="AP419" s="327">
        <f t="shared" si="237"/>
        <v>0</v>
      </c>
      <c r="AQ419" s="43"/>
      <c r="AR419" s="358">
        <f t="shared" si="220"/>
        <v>0</v>
      </c>
      <c r="AS419" s="359">
        <f t="shared" si="221"/>
        <v>0</v>
      </c>
      <c r="AT419" s="360">
        <f t="shared" si="222"/>
        <v>0</v>
      </c>
      <c r="AU419" s="43"/>
      <c r="AV419" s="43"/>
      <c r="AW419" s="119"/>
      <c r="AX419" s="119"/>
      <c r="AY419" s="43"/>
      <c r="AZ419" s="43"/>
      <c r="BA419" s="43"/>
      <c r="BB419" s="43"/>
      <c r="BC419" s="43"/>
      <c r="BD419" s="43"/>
    </row>
    <row r="420" spans="1:56" ht="15.75">
      <c r="A420" s="88">
        <v>6054</v>
      </c>
      <c r="B420" s="1033" t="s">
        <v>436</v>
      </c>
      <c r="C420" s="1033"/>
      <c r="D420" s="1033"/>
      <c r="E420" s="1033"/>
      <c r="F420" s="1033"/>
      <c r="G420" s="1033"/>
      <c r="H420" s="1033"/>
      <c r="I420" s="1033"/>
      <c r="J420" s="1033"/>
      <c r="K420" s="1033"/>
      <c r="L420" s="90"/>
      <c r="M420" s="51" t="s">
        <v>265</v>
      </c>
      <c r="N420" s="113">
        <f>+A420</f>
        <v>6054</v>
      </c>
      <c r="O420" s="8">
        <v>0</v>
      </c>
      <c r="P420" s="9">
        <v>0</v>
      </c>
      <c r="Q420" s="325"/>
      <c r="R420" s="324"/>
      <c r="S420" s="27">
        <f>+IF(ABS(+O420+Q420)&gt;=ABS(P420+R420),+O420-P420+Q420-R420,0)</f>
        <v>0</v>
      </c>
      <c r="T420" s="28">
        <f>+IF(ABS(+O420+Q420)&lt;=ABS(P420+R420),-O420+P420-Q420+R420,0)</f>
        <v>0</v>
      </c>
      <c r="U420" s="51"/>
      <c r="V420" s="541">
        <f>+'NF-KSF-TRIAL-BAL-2020'!O420+'RA-TRIAL-BAL-2020'!O420+'DES-TRIAL-BAL-2020'!O420+'DMP-TRIAL-BAL-2020'!O420</f>
        <v>0</v>
      </c>
      <c r="W420" s="529">
        <f>+'NF-KSF-TRIAL-BAL-2020'!P420+'RA-TRIAL-BAL-2020'!P420+'DES-TRIAL-BAL-2020'!P420+'DMP-TRIAL-BAL-2020'!P420</f>
        <v>0</v>
      </c>
      <c r="X420" s="528">
        <f>+'NF-KSF-TRIAL-BAL-2020'!Q420+'RA-TRIAL-BAL-2020'!Q420+'DES-TRIAL-BAL-2020'!Q420+'DMP-TRIAL-BAL-2020'!Q420</f>
        <v>0</v>
      </c>
      <c r="Y420" s="529">
        <f>+'NF-KSF-TRIAL-BAL-2020'!R420+'RA-TRIAL-BAL-2020'!R420+'DES-TRIAL-BAL-2020'!R420+'DMP-TRIAL-BAL-2020'!R420</f>
        <v>0</v>
      </c>
      <c r="Z420" s="528">
        <f>+'NF-KSF-TRIAL-BAL-2020'!S420+'RA-TRIAL-BAL-2020'!S420+'DES-TRIAL-BAL-2020'!S420+'DMP-TRIAL-BAL-2020'!S420</f>
        <v>0</v>
      </c>
      <c r="AA420" s="347">
        <f>+'NF-KSF-TRIAL-BAL-2020'!T420+'RA-TRIAL-BAL-2020'!T420+'DES-TRIAL-BAL-2020'!T420+'DMP-TRIAL-BAL-2020'!T420</f>
        <v>0</v>
      </c>
      <c r="AB420" s="51"/>
      <c r="AC420" s="8">
        <v>0</v>
      </c>
      <c r="AD420" s="9">
        <v>0</v>
      </c>
      <c r="AE420" s="122"/>
      <c r="AF420" s="121"/>
      <c r="AG420" s="27">
        <f>+IF(ABS(+AC420+AE420)&gt;=ABS(AD420+AF420),+AC420-AD420+AE420-AF420,0)</f>
        <v>0</v>
      </c>
      <c r="AH420" s="28">
        <f>+IF(ABS(+AC420+AE420)&lt;=ABS(AD420+AF420),-AC420+AD420-AE420+AF420,0)</f>
        <v>0</v>
      </c>
      <c r="AI420" s="51"/>
      <c r="AJ420" s="1497">
        <f>+N420</f>
        <v>6054</v>
      </c>
      <c r="AK420" s="8">
        <v>0</v>
      </c>
      <c r="AL420" s="9">
        <v>0</v>
      </c>
      <c r="AM420" s="326">
        <f t="shared" si="233"/>
        <v>0</v>
      </c>
      <c r="AN420" s="970">
        <f t="shared" si="233"/>
        <v>0</v>
      </c>
      <c r="AO420" s="326">
        <f t="shared" si="236"/>
        <v>0</v>
      </c>
      <c r="AP420" s="327">
        <f t="shared" si="237"/>
        <v>0</v>
      </c>
      <c r="AQ420" s="43"/>
      <c r="AR420" s="358">
        <f>+ROUND(+SUM(AK420-AL420)-SUM(O420-P420)-SUM(V420-W420)-SUM(AC420-AD420),2)</f>
        <v>0</v>
      </c>
      <c r="AS420" s="359">
        <f>+ROUND(+SUM(AM420-AN420)-SUM(Q420-R420)-SUM(X420-Y420)-SUM(AE420-AF420),2)</f>
        <v>0</v>
      </c>
      <c r="AT420" s="360">
        <f>+ROUND(+SUM(AO420-AP420)-SUM(S420-T420)-SUM(Z420-AA420)-SUM(AG420-AH420),2)</f>
        <v>0</v>
      </c>
      <c r="AU420" s="43"/>
      <c r="AV420" s="43"/>
      <c r="AW420" s="119"/>
      <c r="AX420" s="119"/>
      <c r="AY420" s="43"/>
      <c r="AZ420" s="43"/>
      <c r="BA420" s="43"/>
      <c r="BB420" s="43"/>
      <c r="BC420" s="43"/>
      <c r="BD420" s="43"/>
    </row>
    <row r="421" spans="1:56" ht="15.75">
      <c r="A421" s="88">
        <v>6055</v>
      </c>
      <c r="B421" s="1033" t="s">
        <v>437</v>
      </c>
      <c r="C421" s="1033"/>
      <c r="D421" s="1033"/>
      <c r="E421" s="1033"/>
      <c r="F421" s="1033"/>
      <c r="G421" s="1033"/>
      <c r="H421" s="1033"/>
      <c r="I421" s="1033"/>
      <c r="J421" s="1033"/>
      <c r="K421" s="1033"/>
      <c r="L421" s="90"/>
      <c r="M421" s="51" t="s">
        <v>265</v>
      </c>
      <c r="N421" s="113">
        <f t="shared" si="212"/>
        <v>6055</v>
      </c>
      <c r="O421" s="8">
        <v>0</v>
      </c>
      <c r="P421" s="9">
        <v>0</v>
      </c>
      <c r="Q421" s="325">
        <v>11554.06</v>
      </c>
      <c r="R421" s="324">
        <v>0</v>
      </c>
      <c r="S421" s="27">
        <f t="shared" si="238"/>
        <v>11554.06</v>
      </c>
      <c r="T421" s="28">
        <f t="shared" si="234"/>
        <v>0</v>
      </c>
      <c r="U421" s="51"/>
      <c r="V421" s="541">
        <f>+'NF-KSF-TRIAL-BAL-2020'!O421+'RA-TRIAL-BAL-2020'!O421+'DES-TRIAL-BAL-2020'!O421+'DMP-TRIAL-BAL-2020'!O421</f>
        <v>0</v>
      </c>
      <c r="W421" s="529">
        <f>+'NF-KSF-TRIAL-BAL-2020'!P421+'RA-TRIAL-BAL-2020'!P421+'DES-TRIAL-BAL-2020'!P421+'DMP-TRIAL-BAL-2020'!P421</f>
        <v>0</v>
      </c>
      <c r="X421" s="528">
        <f>+'NF-KSF-TRIAL-BAL-2020'!Q421+'RA-TRIAL-BAL-2020'!Q421+'DES-TRIAL-BAL-2020'!Q421+'DMP-TRIAL-BAL-2020'!Q421</f>
        <v>0</v>
      </c>
      <c r="Y421" s="529">
        <f>+'NF-KSF-TRIAL-BAL-2020'!R421+'RA-TRIAL-BAL-2020'!R421+'DES-TRIAL-BAL-2020'!R421+'DMP-TRIAL-BAL-2020'!R421</f>
        <v>0</v>
      </c>
      <c r="Z421" s="528">
        <f>+'NF-KSF-TRIAL-BAL-2020'!S421+'RA-TRIAL-BAL-2020'!S421+'DES-TRIAL-BAL-2020'!S421+'DMP-TRIAL-BAL-2020'!S421</f>
        <v>0</v>
      </c>
      <c r="AA421" s="347">
        <f>+'NF-KSF-TRIAL-BAL-2020'!T421+'RA-TRIAL-BAL-2020'!T421+'DES-TRIAL-BAL-2020'!T421+'DMP-TRIAL-BAL-2020'!T421</f>
        <v>0</v>
      </c>
      <c r="AB421" s="51"/>
      <c r="AC421" s="8">
        <v>0</v>
      </c>
      <c r="AD421" s="9">
        <v>0</v>
      </c>
      <c r="AE421" s="122">
        <v>0</v>
      </c>
      <c r="AF421" s="121">
        <v>0</v>
      </c>
      <c r="AG421" s="27">
        <f t="shared" si="239"/>
        <v>0</v>
      </c>
      <c r="AH421" s="28">
        <f t="shared" si="235"/>
        <v>0</v>
      </c>
      <c r="AI421" s="51"/>
      <c r="AJ421" s="1497">
        <f t="shared" si="226"/>
        <v>6055</v>
      </c>
      <c r="AK421" s="8">
        <v>0</v>
      </c>
      <c r="AL421" s="9">
        <v>0</v>
      </c>
      <c r="AM421" s="326">
        <f t="shared" si="233"/>
        <v>11554.06</v>
      </c>
      <c r="AN421" s="970">
        <f t="shared" si="233"/>
        <v>0</v>
      </c>
      <c r="AO421" s="326">
        <f t="shared" si="236"/>
        <v>11554.06</v>
      </c>
      <c r="AP421" s="327">
        <f t="shared" si="237"/>
        <v>0</v>
      </c>
      <c r="AQ421" s="43"/>
      <c r="AR421" s="358">
        <f t="shared" si="220"/>
        <v>0</v>
      </c>
      <c r="AS421" s="359">
        <f t="shared" si="221"/>
        <v>0</v>
      </c>
      <c r="AT421" s="360">
        <f t="shared" si="222"/>
        <v>0</v>
      </c>
      <c r="AU421" s="43"/>
      <c r="AV421" s="43"/>
      <c r="AW421" s="119"/>
      <c r="AX421" s="119"/>
      <c r="AY421" s="43"/>
      <c r="AZ421" s="43"/>
      <c r="BA421" s="43"/>
      <c r="BB421" s="43"/>
      <c r="BC421" s="43"/>
      <c r="BD421" s="43"/>
    </row>
    <row r="422" spans="1:56" ht="15.75">
      <c r="A422" s="88">
        <v>6056</v>
      </c>
      <c r="B422" s="1033" t="s">
        <v>438</v>
      </c>
      <c r="C422" s="1033"/>
      <c r="D422" s="1033"/>
      <c r="E422" s="1033"/>
      <c r="F422" s="1033"/>
      <c r="G422" s="1033"/>
      <c r="H422" s="1033"/>
      <c r="I422" s="1033"/>
      <c r="J422" s="1033"/>
      <c r="K422" s="1033"/>
      <c r="L422" s="90"/>
      <c r="M422" s="51" t="s">
        <v>265</v>
      </c>
      <c r="N422" s="113">
        <f t="shared" si="212"/>
        <v>6056</v>
      </c>
      <c r="O422" s="8">
        <v>0</v>
      </c>
      <c r="P422" s="9">
        <v>0</v>
      </c>
      <c r="Q422" s="325"/>
      <c r="R422" s="324"/>
      <c r="S422" s="27">
        <f t="shared" si="238"/>
        <v>0</v>
      </c>
      <c r="T422" s="28">
        <f t="shared" si="234"/>
        <v>0</v>
      </c>
      <c r="U422" s="51"/>
      <c r="V422" s="541">
        <f>+'NF-KSF-TRIAL-BAL-2020'!O422+'RA-TRIAL-BAL-2020'!O422+'DES-TRIAL-BAL-2020'!O422+'DMP-TRIAL-BAL-2020'!O422</f>
        <v>0</v>
      </c>
      <c r="W422" s="529">
        <f>+'NF-KSF-TRIAL-BAL-2020'!P422+'RA-TRIAL-BAL-2020'!P422+'DES-TRIAL-BAL-2020'!P422+'DMP-TRIAL-BAL-2020'!P422</f>
        <v>0</v>
      </c>
      <c r="X422" s="528">
        <f>+'NF-KSF-TRIAL-BAL-2020'!Q422+'RA-TRIAL-BAL-2020'!Q422+'DES-TRIAL-BAL-2020'!Q422+'DMP-TRIAL-BAL-2020'!Q422</f>
        <v>0</v>
      </c>
      <c r="Y422" s="529">
        <f>+'NF-KSF-TRIAL-BAL-2020'!R422+'RA-TRIAL-BAL-2020'!R422+'DES-TRIAL-BAL-2020'!R422+'DMP-TRIAL-BAL-2020'!R422</f>
        <v>0</v>
      </c>
      <c r="Z422" s="528">
        <f>+'NF-KSF-TRIAL-BAL-2020'!S422+'RA-TRIAL-BAL-2020'!S422+'DES-TRIAL-BAL-2020'!S422+'DMP-TRIAL-BAL-2020'!S422</f>
        <v>0</v>
      </c>
      <c r="AA422" s="347">
        <f>+'NF-KSF-TRIAL-BAL-2020'!T422+'RA-TRIAL-BAL-2020'!T422+'DES-TRIAL-BAL-2020'!T422+'DMP-TRIAL-BAL-2020'!T422</f>
        <v>0</v>
      </c>
      <c r="AB422" s="51"/>
      <c r="AC422" s="8">
        <v>0</v>
      </c>
      <c r="AD422" s="9">
        <v>0</v>
      </c>
      <c r="AE422" s="122"/>
      <c r="AF422" s="121"/>
      <c r="AG422" s="27">
        <f t="shared" si="239"/>
        <v>0</v>
      </c>
      <c r="AH422" s="28">
        <f t="shared" si="235"/>
        <v>0</v>
      </c>
      <c r="AI422" s="51"/>
      <c r="AJ422" s="1497">
        <f t="shared" si="226"/>
        <v>6056</v>
      </c>
      <c r="AK422" s="8">
        <v>0</v>
      </c>
      <c r="AL422" s="9">
        <v>0</v>
      </c>
      <c r="AM422" s="326">
        <f t="shared" si="233"/>
        <v>0</v>
      </c>
      <c r="AN422" s="970">
        <f t="shared" si="233"/>
        <v>0</v>
      </c>
      <c r="AO422" s="326">
        <f t="shared" si="236"/>
        <v>0</v>
      </c>
      <c r="AP422" s="327">
        <f t="shared" si="237"/>
        <v>0</v>
      </c>
      <c r="AQ422" s="43"/>
      <c r="AR422" s="358">
        <f t="shared" si="220"/>
        <v>0</v>
      </c>
      <c r="AS422" s="359">
        <f t="shared" si="221"/>
        <v>0</v>
      </c>
      <c r="AT422" s="360">
        <f t="shared" si="222"/>
        <v>0</v>
      </c>
      <c r="AU422" s="43"/>
      <c r="AV422" s="43"/>
      <c r="AW422" s="119"/>
      <c r="AX422" s="119"/>
      <c r="AY422" s="43"/>
      <c r="AZ422" s="43"/>
      <c r="BA422" s="43"/>
      <c r="BB422" s="43"/>
      <c r="BC422" s="43"/>
      <c r="BD422" s="43"/>
    </row>
    <row r="423" spans="1:56" ht="15.75">
      <c r="A423" s="88">
        <v>6058</v>
      </c>
      <c r="B423" s="1033" t="s">
        <v>439</v>
      </c>
      <c r="C423" s="1033"/>
      <c r="D423" s="1033"/>
      <c r="E423" s="1033"/>
      <c r="F423" s="1033"/>
      <c r="G423" s="1033"/>
      <c r="H423" s="1033"/>
      <c r="I423" s="1033"/>
      <c r="J423" s="1033"/>
      <c r="K423" s="1033"/>
      <c r="L423" s="90"/>
      <c r="M423" s="51" t="s">
        <v>265</v>
      </c>
      <c r="N423" s="113">
        <f t="shared" si="212"/>
        <v>6058</v>
      </c>
      <c r="O423" s="8">
        <v>0</v>
      </c>
      <c r="P423" s="9">
        <v>0</v>
      </c>
      <c r="Q423" s="325"/>
      <c r="R423" s="324"/>
      <c r="S423" s="27">
        <f t="shared" si="238"/>
        <v>0</v>
      </c>
      <c r="T423" s="28">
        <f t="shared" si="234"/>
        <v>0</v>
      </c>
      <c r="U423" s="51"/>
      <c r="V423" s="541">
        <f>+'NF-KSF-TRIAL-BAL-2020'!O423+'RA-TRIAL-BAL-2020'!O423+'DES-TRIAL-BAL-2020'!O423+'DMP-TRIAL-BAL-2020'!O423</f>
        <v>0</v>
      </c>
      <c r="W423" s="529">
        <f>+'NF-KSF-TRIAL-BAL-2020'!P423+'RA-TRIAL-BAL-2020'!P423+'DES-TRIAL-BAL-2020'!P423+'DMP-TRIAL-BAL-2020'!P423</f>
        <v>0</v>
      </c>
      <c r="X423" s="528">
        <f>+'NF-KSF-TRIAL-BAL-2020'!Q423+'RA-TRIAL-BAL-2020'!Q423+'DES-TRIAL-BAL-2020'!Q423+'DMP-TRIAL-BAL-2020'!Q423</f>
        <v>0</v>
      </c>
      <c r="Y423" s="529">
        <f>+'NF-KSF-TRIAL-BAL-2020'!R423+'RA-TRIAL-BAL-2020'!R423+'DES-TRIAL-BAL-2020'!R423+'DMP-TRIAL-BAL-2020'!R423</f>
        <v>0</v>
      </c>
      <c r="Z423" s="528">
        <f>+'NF-KSF-TRIAL-BAL-2020'!S423+'RA-TRIAL-BAL-2020'!S423+'DES-TRIAL-BAL-2020'!S423+'DMP-TRIAL-BAL-2020'!S423</f>
        <v>0</v>
      </c>
      <c r="AA423" s="347">
        <f>+'NF-KSF-TRIAL-BAL-2020'!T423+'RA-TRIAL-BAL-2020'!T423+'DES-TRIAL-BAL-2020'!T423+'DMP-TRIAL-BAL-2020'!T423</f>
        <v>0</v>
      </c>
      <c r="AB423" s="51"/>
      <c r="AC423" s="8">
        <v>0</v>
      </c>
      <c r="AD423" s="9">
        <v>0</v>
      </c>
      <c r="AE423" s="122"/>
      <c r="AF423" s="121"/>
      <c r="AG423" s="27">
        <f t="shared" si="239"/>
        <v>0</v>
      </c>
      <c r="AH423" s="28">
        <f t="shared" si="235"/>
        <v>0</v>
      </c>
      <c r="AI423" s="51"/>
      <c r="AJ423" s="1497">
        <f t="shared" si="226"/>
        <v>6058</v>
      </c>
      <c r="AK423" s="8">
        <v>0</v>
      </c>
      <c r="AL423" s="9">
        <v>0</v>
      </c>
      <c r="AM423" s="326">
        <f t="shared" si="233"/>
        <v>0</v>
      </c>
      <c r="AN423" s="970">
        <f t="shared" si="233"/>
        <v>0</v>
      </c>
      <c r="AO423" s="326">
        <f t="shared" si="236"/>
        <v>0</v>
      </c>
      <c r="AP423" s="327">
        <f t="shared" si="237"/>
        <v>0</v>
      </c>
      <c r="AQ423" s="43"/>
      <c r="AR423" s="358">
        <f t="shared" si="220"/>
        <v>0</v>
      </c>
      <c r="AS423" s="359">
        <f t="shared" si="221"/>
        <v>0</v>
      </c>
      <c r="AT423" s="360">
        <f t="shared" si="222"/>
        <v>0</v>
      </c>
      <c r="AU423" s="43"/>
      <c r="AV423" s="43"/>
      <c r="AW423" s="119"/>
      <c r="AX423" s="119"/>
      <c r="AY423" s="43"/>
      <c r="AZ423" s="43"/>
      <c r="BA423" s="43"/>
      <c r="BB423" s="43"/>
      <c r="BC423" s="43"/>
      <c r="BD423" s="43"/>
    </row>
    <row r="424" spans="1:56" ht="15.75">
      <c r="A424" s="88">
        <v>6059</v>
      </c>
      <c r="B424" s="1033" t="s">
        <v>440</v>
      </c>
      <c r="C424" s="1033"/>
      <c r="D424" s="1033"/>
      <c r="E424" s="1033"/>
      <c r="F424" s="1033"/>
      <c r="G424" s="1033"/>
      <c r="H424" s="1033"/>
      <c r="I424" s="1033"/>
      <c r="J424" s="1033"/>
      <c r="K424" s="1033"/>
      <c r="L424" s="90"/>
      <c r="M424" s="51" t="s">
        <v>265</v>
      </c>
      <c r="N424" s="113">
        <f t="shared" si="212"/>
        <v>6059</v>
      </c>
      <c r="O424" s="8">
        <v>0</v>
      </c>
      <c r="P424" s="9">
        <v>0</v>
      </c>
      <c r="Q424" s="325">
        <v>17701.78</v>
      </c>
      <c r="R424" s="324">
        <v>0</v>
      </c>
      <c r="S424" s="27">
        <f t="shared" si="238"/>
        <v>17701.78</v>
      </c>
      <c r="T424" s="28">
        <f t="shared" si="234"/>
        <v>0</v>
      </c>
      <c r="U424" s="51"/>
      <c r="V424" s="541">
        <f>+'NF-KSF-TRIAL-BAL-2020'!O424+'RA-TRIAL-BAL-2020'!O424+'DES-TRIAL-BAL-2020'!O424+'DMP-TRIAL-BAL-2020'!O424</f>
        <v>0</v>
      </c>
      <c r="W424" s="529">
        <f>+'NF-KSF-TRIAL-BAL-2020'!P424+'RA-TRIAL-BAL-2020'!P424+'DES-TRIAL-BAL-2020'!P424+'DMP-TRIAL-BAL-2020'!P424</f>
        <v>0</v>
      </c>
      <c r="X424" s="528">
        <f>+'NF-KSF-TRIAL-BAL-2020'!Q424+'RA-TRIAL-BAL-2020'!Q424+'DES-TRIAL-BAL-2020'!Q424+'DMP-TRIAL-BAL-2020'!Q424</f>
        <v>0</v>
      </c>
      <c r="Y424" s="529">
        <f>+'NF-KSF-TRIAL-BAL-2020'!R424+'RA-TRIAL-BAL-2020'!R424+'DES-TRIAL-BAL-2020'!R424+'DMP-TRIAL-BAL-2020'!R424</f>
        <v>0</v>
      </c>
      <c r="Z424" s="528">
        <f>+'NF-KSF-TRIAL-BAL-2020'!S424+'RA-TRIAL-BAL-2020'!S424+'DES-TRIAL-BAL-2020'!S424+'DMP-TRIAL-BAL-2020'!S424</f>
        <v>0</v>
      </c>
      <c r="AA424" s="347">
        <f>+'NF-KSF-TRIAL-BAL-2020'!T424+'RA-TRIAL-BAL-2020'!T424+'DES-TRIAL-BAL-2020'!T424+'DMP-TRIAL-BAL-2020'!T424</f>
        <v>0</v>
      </c>
      <c r="AB424" s="51"/>
      <c r="AC424" s="8">
        <v>0</v>
      </c>
      <c r="AD424" s="9">
        <v>0</v>
      </c>
      <c r="AE424" s="122">
        <v>0</v>
      </c>
      <c r="AF424" s="121">
        <v>0</v>
      </c>
      <c r="AG424" s="27">
        <f t="shared" si="239"/>
        <v>0</v>
      </c>
      <c r="AH424" s="28">
        <f t="shared" si="235"/>
        <v>0</v>
      </c>
      <c r="AI424" s="51"/>
      <c r="AJ424" s="1497">
        <f t="shared" si="226"/>
        <v>6059</v>
      </c>
      <c r="AK424" s="8">
        <v>0</v>
      </c>
      <c r="AL424" s="9">
        <v>0</v>
      </c>
      <c r="AM424" s="326">
        <f t="shared" si="233"/>
        <v>17701.78</v>
      </c>
      <c r="AN424" s="970">
        <f t="shared" si="233"/>
        <v>0</v>
      </c>
      <c r="AO424" s="326">
        <f t="shared" si="236"/>
        <v>17701.78</v>
      </c>
      <c r="AP424" s="327">
        <f t="shared" si="237"/>
        <v>0</v>
      </c>
      <c r="AQ424" s="43"/>
      <c r="AR424" s="358">
        <f t="shared" si="220"/>
        <v>0</v>
      </c>
      <c r="AS424" s="359">
        <f t="shared" si="221"/>
        <v>0</v>
      </c>
      <c r="AT424" s="360">
        <f t="shared" si="222"/>
        <v>0</v>
      </c>
      <c r="AU424" s="43"/>
      <c r="AV424" s="43"/>
      <c r="AW424" s="119"/>
      <c r="AX424" s="119"/>
      <c r="AY424" s="43"/>
      <c r="AZ424" s="43"/>
      <c r="BA424" s="43"/>
      <c r="BB424" s="43"/>
      <c r="BC424" s="43"/>
      <c r="BD424" s="43"/>
    </row>
    <row r="425" spans="1:56" ht="15.75">
      <c r="A425" s="88">
        <v>6061</v>
      </c>
      <c r="B425" s="1032" t="s">
        <v>441</v>
      </c>
      <c r="C425" s="1033"/>
      <c r="D425" s="1033"/>
      <c r="E425" s="1033"/>
      <c r="F425" s="1033"/>
      <c r="G425" s="1033"/>
      <c r="H425" s="1033"/>
      <c r="I425" s="1033"/>
      <c r="J425" s="1033"/>
      <c r="K425" s="1033"/>
      <c r="L425" s="90"/>
      <c r="M425" s="51" t="s">
        <v>265</v>
      </c>
      <c r="N425" s="113">
        <f t="shared" si="212"/>
        <v>6061</v>
      </c>
      <c r="O425" s="8">
        <v>0</v>
      </c>
      <c r="P425" s="9">
        <v>0</v>
      </c>
      <c r="Q425" s="325">
        <v>183</v>
      </c>
      <c r="R425" s="324">
        <v>0</v>
      </c>
      <c r="S425" s="27">
        <f t="shared" si="238"/>
        <v>183</v>
      </c>
      <c r="T425" s="28">
        <f t="shared" si="234"/>
        <v>0</v>
      </c>
      <c r="U425" s="51"/>
      <c r="V425" s="541">
        <f>+'NF-KSF-TRIAL-BAL-2020'!O425+'RA-TRIAL-BAL-2020'!O425+'DES-TRIAL-BAL-2020'!O425+'DMP-TRIAL-BAL-2020'!O425</f>
        <v>0</v>
      </c>
      <c r="W425" s="529">
        <f>+'NF-KSF-TRIAL-BAL-2020'!P425+'RA-TRIAL-BAL-2020'!P425+'DES-TRIAL-BAL-2020'!P425+'DMP-TRIAL-BAL-2020'!P425</f>
        <v>0</v>
      </c>
      <c r="X425" s="528">
        <f>+'NF-KSF-TRIAL-BAL-2020'!Q425+'RA-TRIAL-BAL-2020'!Q425+'DES-TRIAL-BAL-2020'!Q425+'DMP-TRIAL-BAL-2020'!Q425</f>
        <v>0</v>
      </c>
      <c r="Y425" s="529">
        <f>+'NF-KSF-TRIAL-BAL-2020'!R425+'RA-TRIAL-BAL-2020'!R425+'DES-TRIAL-BAL-2020'!R425+'DMP-TRIAL-BAL-2020'!R425</f>
        <v>0</v>
      </c>
      <c r="Z425" s="528">
        <f>+'NF-KSF-TRIAL-BAL-2020'!S425+'RA-TRIAL-BAL-2020'!S425+'DES-TRIAL-BAL-2020'!S425+'DMP-TRIAL-BAL-2020'!S425</f>
        <v>0</v>
      </c>
      <c r="AA425" s="347">
        <f>+'NF-KSF-TRIAL-BAL-2020'!T425+'RA-TRIAL-BAL-2020'!T425+'DES-TRIAL-BAL-2020'!T425+'DMP-TRIAL-BAL-2020'!T425</f>
        <v>0</v>
      </c>
      <c r="AB425" s="51"/>
      <c r="AC425" s="8">
        <v>0</v>
      </c>
      <c r="AD425" s="9">
        <v>0</v>
      </c>
      <c r="AE425" s="122">
        <v>0</v>
      </c>
      <c r="AF425" s="121">
        <v>0</v>
      </c>
      <c r="AG425" s="27">
        <f t="shared" si="239"/>
        <v>0</v>
      </c>
      <c r="AH425" s="28">
        <f t="shared" si="235"/>
        <v>0</v>
      </c>
      <c r="AI425" s="51"/>
      <c r="AJ425" s="1497">
        <f t="shared" si="226"/>
        <v>6061</v>
      </c>
      <c r="AK425" s="8">
        <v>0</v>
      </c>
      <c r="AL425" s="9">
        <v>0</v>
      </c>
      <c r="AM425" s="326">
        <f t="shared" si="233"/>
        <v>183</v>
      </c>
      <c r="AN425" s="970">
        <f t="shared" si="233"/>
        <v>0</v>
      </c>
      <c r="AO425" s="326">
        <f t="shared" si="236"/>
        <v>183</v>
      </c>
      <c r="AP425" s="327">
        <f t="shared" si="237"/>
        <v>0</v>
      </c>
      <c r="AQ425" s="43"/>
      <c r="AR425" s="358">
        <f t="shared" si="220"/>
        <v>0</v>
      </c>
      <c r="AS425" s="359">
        <f t="shared" si="221"/>
        <v>0</v>
      </c>
      <c r="AT425" s="360">
        <f t="shared" si="222"/>
        <v>0</v>
      </c>
      <c r="AU425" s="43"/>
      <c r="AV425" s="43"/>
      <c r="AW425" s="119"/>
      <c r="AX425" s="119"/>
      <c r="AY425" s="43"/>
      <c r="AZ425" s="43"/>
      <c r="BA425" s="43"/>
      <c r="BB425" s="43"/>
      <c r="BC425" s="43"/>
      <c r="BD425" s="43"/>
    </row>
    <row r="426" spans="1:56" ht="15.75">
      <c r="A426" s="88">
        <v>6062</v>
      </c>
      <c r="B426" s="1032" t="s">
        <v>442</v>
      </c>
      <c r="C426" s="1033"/>
      <c r="D426" s="1033"/>
      <c r="E426" s="1033"/>
      <c r="F426" s="1033"/>
      <c r="G426" s="1033"/>
      <c r="H426" s="1033"/>
      <c r="I426" s="1033"/>
      <c r="J426" s="1033"/>
      <c r="K426" s="1033"/>
      <c r="L426" s="90"/>
      <c r="M426" s="51" t="s">
        <v>265</v>
      </c>
      <c r="N426" s="113">
        <f t="shared" si="212"/>
        <v>6062</v>
      </c>
      <c r="O426" s="8">
        <v>0</v>
      </c>
      <c r="P426" s="9">
        <v>0</v>
      </c>
      <c r="Q426" s="325">
        <v>11159.47</v>
      </c>
      <c r="R426" s="324">
        <v>0</v>
      </c>
      <c r="S426" s="27">
        <f t="shared" si="238"/>
        <v>11159.47</v>
      </c>
      <c r="T426" s="28">
        <f t="shared" si="234"/>
        <v>0</v>
      </c>
      <c r="U426" s="51"/>
      <c r="V426" s="541">
        <f>+'NF-KSF-TRIAL-BAL-2020'!O426+'RA-TRIAL-BAL-2020'!O426+'DES-TRIAL-BAL-2020'!O426+'DMP-TRIAL-BAL-2020'!O426</f>
        <v>0</v>
      </c>
      <c r="W426" s="529">
        <f>+'NF-KSF-TRIAL-BAL-2020'!P426+'RA-TRIAL-BAL-2020'!P426+'DES-TRIAL-BAL-2020'!P426+'DMP-TRIAL-BAL-2020'!P426</f>
        <v>0</v>
      </c>
      <c r="X426" s="528">
        <f>+'NF-KSF-TRIAL-BAL-2020'!Q426+'RA-TRIAL-BAL-2020'!Q426+'DES-TRIAL-BAL-2020'!Q426+'DMP-TRIAL-BAL-2020'!Q426</f>
        <v>0</v>
      </c>
      <c r="Y426" s="529">
        <f>+'NF-KSF-TRIAL-BAL-2020'!R426+'RA-TRIAL-BAL-2020'!R426+'DES-TRIAL-BAL-2020'!R426+'DMP-TRIAL-BAL-2020'!R426</f>
        <v>0</v>
      </c>
      <c r="Z426" s="528">
        <f>+'NF-KSF-TRIAL-BAL-2020'!S426+'RA-TRIAL-BAL-2020'!S426+'DES-TRIAL-BAL-2020'!S426+'DMP-TRIAL-BAL-2020'!S426</f>
        <v>0</v>
      </c>
      <c r="AA426" s="347">
        <f>+'NF-KSF-TRIAL-BAL-2020'!T426+'RA-TRIAL-BAL-2020'!T426+'DES-TRIAL-BAL-2020'!T426+'DMP-TRIAL-BAL-2020'!T426</f>
        <v>0</v>
      </c>
      <c r="AB426" s="51"/>
      <c r="AC426" s="8">
        <v>0</v>
      </c>
      <c r="AD426" s="9">
        <v>0</v>
      </c>
      <c r="AE426" s="122">
        <v>0</v>
      </c>
      <c r="AF426" s="121">
        <v>0</v>
      </c>
      <c r="AG426" s="27">
        <f t="shared" si="239"/>
        <v>0</v>
      </c>
      <c r="AH426" s="28">
        <f t="shared" si="235"/>
        <v>0</v>
      </c>
      <c r="AI426" s="51"/>
      <c r="AJ426" s="1497">
        <f t="shared" si="226"/>
        <v>6062</v>
      </c>
      <c r="AK426" s="8">
        <v>0</v>
      </c>
      <c r="AL426" s="9">
        <v>0</v>
      </c>
      <c r="AM426" s="326">
        <f t="shared" si="233"/>
        <v>11159.47</v>
      </c>
      <c r="AN426" s="970">
        <f t="shared" si="233"/>
        <v>0</v>
      </c>
      <c r="AO426" s="326">
        <f t="shared" si="236"/>
        <v>11159.47</v>
      </c>
      <c r="AP426" s="327">
        <f t="shared" si="237"/>
        <v>0</v>
      </c>
      <c r="AQ426" s="43"/>
      <c r="AR426" s="358">
        <f t="shared" si="220"/>
        <v>0</v>
      </c>
      <c r="AS426" s="359">
        <f t="shared" si="221"/>
        <v>0</v>
      </c>
      <c r="AT426" s="360">
        <f t="shared" si="222"/>
        <v>0</v>
      </c>
      <c r="AU426" s="43"/>
      <c r="AV426" s="43"/>
      <c r="AW426" s="119"/>
      <c r="AX426" s="119"/>
      <c r="AY426" s="43"/>
      <c r="AZ426" s="43"/>
      <c r="BA426" s="43"/>
      <c r="BB426" s="43"/>
      <c r="BC426" s="43"/>
      <c r="BD426" s="43"/>
    </row>
    <row r="427" spans="1:56" ht="15.75">
      <c r="A427" s="88">
        <v>6063</v>
      </c>
      <c r="B427" s="1032" t="s">
        <v>443</v>
      </c>
      <c r="C427" s="1033"/>
      <c r="D427" s="1033"/>
      <c r="E427" s="1033"/>
      <c r="F427" s="1033"/>
      <c r="G427" s="1033"/>
      <c r="H427" s="1033"/>
      <c r="I427" s="1033"/>
      <c r="J427" s="1033"/>
      <c r="K427" s="1033"/>
      <c r="L427" s="90"/>
      <c r="M427" s="51" t="s">
        <v>265</v>
      </c>
      <c r="N427" s="113">
        <f t="shared" si="212"/>
        <v>6063</v>
      </c>
      <c r="O427" s="8">
        <v>0</v>
      </c>
      <c r="P427" s="9">
        <v>0</v>
      </c>
      <c r="Q427" s="325">
        <v>0</v>
      </c>
      <c r="R427" s="324">
        <v>0</v>
      </c>
      <c r="S427" s="27">
        <f t="shared" si="238"/>
        <v>0</v>
      </c>
      <c r="T427" s="28">
        <f t="shared" si="234"/>
        <v>0</v>
      </c>
      <c r="U427" s="51"/>
      <c r="V427" s="541">
        <f>+'NF-KSF-TRIAL-BAL-2020'!O427+'RA-TRIAL-BAL-2020'!O427+'DES-TRIAL-BAL-2020'!O427+'DMP-TRIAL-BAL-2020'!O427</f>
        <v>0</v>
      </c>
      <c r="W427" s="529">
        <f>+'NF-KSF-TRIAL-BAL-2020'!P427+'RA-TRIAL-BAL-2020'!P427+'DES-TRIAL-BAL-2020'!P427+'DMP-TRIAL-BAL-2020'!P427</f>
        <v>0</v>
      </c>
      <c r="X427" s="528">
        <f>+'NF-KSF-TRIAL-BAL-2020'!Q427+'RA-TRIAL-BAL-2020'!Q427+'DES-TRIAL-BAL-2020'!Q427+'DMP-TRIAL-BAL-2020'!Q427</f>
        <v>0</v>
      </c>
      <c r="Y427" s="529">
        <f>+'NF-KSF-TRIAL-BAL-2020'!R427+'RA-TRIAL-BAL-2020'!R427+'DES-TRIAL-BAL-2020'!R427+'DMP-TRIAL-BAL-2020'!R427</f>
        <v>0</v>
      </c>
      <c r="Z427" s="528">
        <f>+'NF-KSF-TRIAL-BAL-2020'!S427+'RA-TRIAL-BAL-2020'!S427+'DES-TRIAL-BAL-2020'!S427+'DMP-TRIAL-BAL-2020'!S427</f>
        <v>0</v>
      </c>
      <c r="AA427" s="347">
        <f>+'NF-KSF-TRIAL-BAL-2020'!T427+'RA-TRIAL-BAL-2020'!T427+'DES-TRIAL-BAL-2020'!T427+'DMP-TRIAL-BAL-2020'!T427</f>
        <v>0</v>
      </c>
      <c r="AB427" s="51"/>
      <c r="AC427" s="8">
        <v>0</v>
      </c>
      <c r="AD427" s="9">
        <v>0</v>
      </c>
      <c r="AE427" s="122">
        <v>0</v>
      </c>
      <c r="AF427" s="121">
        <v>0</v>
      </c>
      <c r="AG427" s="27">
        <f t="shared" si="239"/>
        <v>0</v>
      </c>
      <c r="AH427" s="28">
        <f t="shared" si="235"/>
        <v>0</v>
      </c>
      <c r="AI427" s="51"/>
      <c r="AJ427" s="1497">
        <f t="shared" si="226"/>
        <v>6063</v>
      </c>
      <c r="AK427" s="8">
        <v>0</v>
      </c>
      <c r="AL427" s="9">
        <v>0</v>
      </c>
      <c r="AM427" s="326">
        <f t="shared" si="233"/>
        <v>0</v>
      </c>
      <c r="AN427" s="970">
        <f t="shared" si="233"/>
        <v>0</v>
      </c>
      <c r="AO427" s="326">
        <f t="shared" si="236"/>
        <v>0</v>
      </c>
      <c r="AP427" s="327">
        <f t="shared" si="237"/>
        <v>0</v>
      </c>
      <c r="AQ427" s="43"/>
      <c r="AR427" s="358">
        <f t="shared" si="220"/>
        <v>0</v>
      </c>
      <c r="AS427" s="359">
        <f t="shared" si="221"/>
        <v>0</v>
      </c>
      <c r="AT427" s="360">
        <f t="shared" si="222"/>
        <v>0</v>
      </c>
      <c r="AU427" s="43"/>
      <c r="AV427" s="43"/>
      <c r="AW427" s="119"/>
      <c r="AX427" s="119"/>
      <c r="AY427" s="43"/>
      <c r="AZ427" s="43"/>
      <c r="BA427" s="43"/>
      <c r="BB427" s="43"/>
      <c r="BC427" s="43"/>
      <c r="BD427" s="43"/>
    </row>
    <row r="428" spans="1:56" ht="15.75">
      <c r="A428" s="88">
        <v>6064</v>
      </c>
      <c r="B428" s="1032" t="s">
        <v>444</v>
      </c>
      <c r="C428" s="1033"/>
      <c r="D428" s="1033"/>
      <c r="E428" s="1033"/>
      <c r="F428" s="1033"/>
      <c r="G428" s="1033"/>
      <c r="H428" s="1033"/>
      <c r="I428" s="1033"/>
      <c r="J428" s="1033"/>
      <c r="K428" s="1033"/>
      <c r="L428" s="90"/>
      <c r="M428" s="51" t="s">
        <v>265</v>
      </c>
      <c r="N428" s="113">
        <f t="shared" si="212"/>
        <v>6064</v>
      </c>
      <c r="O428" s="8">
        <v>0</v>
      </c>
      <c r="P428" s="9">
        <v>0</v>
      </c>
      <c r="Q428" s="325">
        <v>0</v>
      </c>
      <c r="R428" s="324">
        <v>0</v>
      </c>
      <c r="S428" s="27">
        <f t="shared" si="238"/>
        <v>0</v>
      </c>
      <c r="T428" s="28">
        <f t="shared" si="234"/>
        <v>0</v>
      </c>
      <c r="U428" s="51"/>
      <c r="V428" s="541">
        <f>+'NF-KSF-TRIAL-BAL-2020'!O428+'RA-TRIAL-BAL-2020'!O428+'DES-TRIAL-BAL-2020'!O428+'DMP-TRIAL-BAL-2020'!O428</f>
        <v>0</v>
      </c>
      <c r="W428" s="529">
        <f>+'NF-KSF-TRIAL-BAL-2020'!P428+'RA-TRIAL-BAL-2020'!P428+'DES-TRIAL-BAL-2020'!P428+'DMP-TRIAL-BAL-2020'!P428</f>
        <v>0</v>
      </c>
      <c r="X428" s="528">
        <f>+'NF-KSF-TRIAL-BAL-2020'!Q428+'RA-TRIAL-BAL-2020'!Q428+'DES-TRIAL-BAL-2020'!Q428+'DMP-TRIAL-BAL-2020'!Q428</f>
        <v>0</v>
      </c>
      <c r="Y428" s="529">
        <f>+'NF-KSF-TRIAL-BAL-2020'!R428+'RA-TRIAL-BAL-2020'!R428+'DES-TRIAL-BAL-2020'!R428+'DMP-TRIAL-BAL-2020'!R428</f>
        <v>0</v>
      </c>
      <c r="Z428" s="528">
        <f>+'NF-KSF-TRIAL-BAL-2020'!S428+'RA-TRIAL-BAL-2020'!S428+'DES-TRIAL-BAL-2020'!S428+'DMP-TRIAL-BAL-2020'!S428</f>
        <v>0</v>
      </c>
      <c r="AA428" s="347">
        <f>+'NF-KSF-TRIAL-BAL-2020'!T428+'RA-TRIAL-BAL-2020'!T428+'DES-TRIAL-BAL-2020'!T428+'DMP-TRIAL-BAL-2020'!T428</f>
        <v>0</v>
      </c>
      <c r="AB428" s="51"/>
      <c r="AC428" s="8">
        <v>0</v>
      </c>
      <c r="AD428" s="9">
        <v>0</v>
      </c>
      <c r="AE428" s="122">
        <v>0</v>
      </c>
      <c r="AF428" s="121">
        <v>0</v>
      </c>
      <c r="AG428" s="27">
        <f t="shared" si="239"/>
        <v>0</v>
      </c>
      <c r="AH428" s="28">
        <f t="shared" si="235"/>
        <v>0</v>
      </c>
      <c r="AI428" s="51"/>
      <c r="AJ428" s="1497">
        <f t="shared" si="226"/>
        <v>6064</v>
      </c>
      <c r="AK428" s="8">
        <v>0</v>
      </c>
      <c r="AL428" s="9">
        <v>0</v>
      </c>
      <c r="AM428" s="326">
        <f t="shared" si="233"/>
        <v>0</v>
      </c>
      <c r="AN428" s="970">
        <f t="shared" si="233"/>
        <v>0</v>
      </c>
      <c r="AO428" s="326">
        <f t="shared" si="236"/>
        <v>0</v>
      </c>
      <c r="AP428" s="327">
        <f t="shared" si="237"/>
        <v>0</v>
      </c>
      <c r="AQ428" s="43"/>
      <c r="AR428" s="358">
        <f t="shared" si="220"/>
        <v>0</v>
      </c>
      <c r="AS428" s="359">
        <f t="shared" si="221"/>
        <v>0</v>
      </c>
      <c r="AT428" s="360">
        <f t="shared" si="222"/>
        <v>0</v>
      </c>
      <c r="AU428" s="43"/>
      <c r="AV428" s="43"/>
      <c r="AW428" s="119"/>
      <c r="AX428" s="119"/>
      <c r="AY428" s="43"/>
      <c r="AZ428" s="43"/>
      <c r="BA428" s="43"/>
      <c r="BB428" s="43"/>
      <c r="BC428" s="43"/>
      <c r="BD428" s="43"/>
    </row>
    <row r="429" spans="1:56" ht="15.75">
      <c r="A429" s="88">
        <v>6065</v>
      </c>
      <c r="B429" s="1032" t="s">
        <v>445</v>
      </c>
      <c r="C429" s="1033"/>
      <c r="D429" s="1033"/>
      <c r="E429" s="1033"/>
      <c r="F429" s="1033"/>
      <c r="G429" s="1033"/>
      <c r="H429" s="1033"/>
      <c r="I429" s="1033"/>
      <c r="J429" s="1033"/>
      <c r="K429" s="1033"/>
      <c r="L429" s="90"/>
      <c r="M429" s="51" t="s">
        <v>265</v>
      </c>
      <c r="N429" s="113">
        <f t="shared" si="212"/>
        <v>6065</v>
      </c>
      <c r="O429" s="8">
        <v>0</v>
      </c>
      <c r="P429" s="9">
        <v>0</v>
      </c>
      <c r="Q429" s="325">
        <v>0</v>
      </c>
      <c r="R429" s="324">
        <v>0</v>
      </c>
      <c r="S429" s="27">
        <f t="shared" si="238"/>
        <v>0</v>
      </c>
      <c r="T429" s="28">
        <f t="shared" si="234"/>
        <v>0</v>
      </c>
      <c r="U429" s="51"/>
      <c r="V429" s="541">
        <f>+'NF-KSF-TRIAL-BAL-2020'!O429+'RA-TRIAL-BAL-2020'!O429+'DES-TRIAL-BAL-2020'!O429+'DMP-TRIAL-BAL-2020'!O429</f>
        <v>0</v>
      </c>
      <c r="W429" s="529">
        <f>+'NF-KSF-TRIAL-BAL-2020'!P429+'RA-TRIAL-BAL-2020'!P429+'DES-TRIAL-BAL-2020'!P429+'DMP-TRIAL-BAL-2020'!P429</f>
        <v>0</v>
      </c>
      <c r="X429" s="528">
        <f>+'NF-KSF-TRIAL-BAL-2020'!Q429+'RA-TRIAL-BAL-2020'!Q429+'DES-TRIAL-BAL-2020'!Q429+'DMP-TRIAL-BAL-2020'!Q429</f>
        <v>0</v>
      </c>
      <c r="Y429" s="529">
        <f>+'NF-KSF-TRIAL-BAL-2020'!R429+'RA-TRIAL-BAL-2020'!R429+'DES-TRIAL-BAL-2020'!R429+'DMP-TRIAL-BAL-2020'!R429</f>
        <v>0</v>
      </c>
      <c r="Z429" s="528">
        <f>+'NF-KSF-TRIAL-BAL-2020'!S429+'RA-TRIAL-BAL-2020'!S429+'DES-TRIAL-BAL-2020'!S429+'DMP-TRIAL-BAL-2020'!S429</f>
        <v>0</v>
      </c>
      <c r="AA429" s="347">
        <f>+'NF-KSF-TRIAL-BAL-2020'!T429+'RA-TRIAL-BAL-2020'!T429+'DES-TRIAL-BAL-2020'!T429+'DMP-TRIAL-BAL-2020'!T429</f>
        <v>0</v>
      </c>
      <c r="AB429" s="51"/>
      <c r="AC429" s="8">
        <v>0</v>
      </c>
      <c r="AD429" s="9">
        <v>0</v>
      </c>
      <c r="AE429" s="122">
        <v>0</v>
      </c>
      <c r="AF429" s="121">
        <v>0</v>
      </c>
      <c r="AG429" s="27">
        <f t="shared" si="239"/>
        <v>0</v>
      </c>
      <c r="AH429" s="28">
        <f t="shared" si="235"/>
        <v>0</v>
      </c>
      <c r="AI429" s="51"/>
      <c r="AJ429" s="1497">
        <f t="shared" si="226"/>
        <v>6065</v>
      </c>
      <c r="AK429" s="8">
        <v>0</v>
      </c>
      <c r="AL429" s="9">
        <v>0</v>
      </c>
      <c r="AM429" s="326">
        <f t="shared" si="233"/>
        <v>0</v>
      </c>
      <c r="AN429" s="970">
        <f t="shared" si="233"/>
        <v>0</v>
      </c>
      <c r="AO429" s="326">
        <f t="shared" si="236"/>
        <v>0</v>
      </c>
      <c r="AP429" s="327">
        <f t="shared" si="237"/>
        <v>0</v>
      </c>
      <c r="AQ429" s="43"/>
      <c r="AR429" s="358">
        <f t="shared" si="220"/>
        <v>0</v>
      </c>
      <c r="AS429" s="359">
        <f t="shared" si="221"/>
        <v>0</v>
      </c>
      <c r="AT429" s="360">
        <f t="shared" si="222"/>
        <v>0</v>
      </c>
      <c r="AU429" s="43"/>
      <c r="AV429" s="43"/>
      <c r="AW429" s="119"/>
      <c r="AX429" s="119"/>
      <c r="AY429" s="43"/>
      <c r="AZ429" s="43"/>
      <c r="BA429" s="43"/>
      <c r="BB429" s="43"/>
      <c r="BC429" s="43"/>
      <c r="BD429" s="43"/>
    </row>
    <row r="430" spans="1:56" ht="15.75">
      <c r="A430" s="88">
        <v>6067</v>
      </c>
      <c r="B430" s="1032" t="s">
        <v>446</v>
      </c>
      <c r="C430" s="1033"/>
      <c r="D430" s="1033"/>
      <c r="E430" s="1033"/>
      <c r="F430" s="1033"/>
      <c r="G430" s="1033"/>
      <c r="H430" s="1033"/>
      <c r="I430" s="1033"/>
      <c r="J430" s="1033"/>
      <c r="K430" s="1033"/>
      <c r="L430" s="90"/>
      <c r="M430" s="51" t="s">
        <v>265</v>
      </c>
      <c r="N430" s="113">
        <f t="shared" si="212"/>
        <v>6067</v>
      </c>
      <c r="O430" s="8">
        <v>0</v>
      </c>
      <c r="P430" s="9">
        <v>0</v>
      </c>
      <c r="Q430" s="325"/>
      <c r="R430" s="324"/>
      <c r="S430" s="27">
        <f t="shared" si="238"/>
        <v>0</v>
      </c>
      <c r="T430" s="28">
        <f t="shared" si="234"/>
        <v>0</v>
      </c>
      <c r="U430" s="51"/>
      <c r="V430" s="541">
        <f>+'NF-KSF-TRIAL-BAL-2020'!O430+'RA-TRIAL-BAL-2020'!O430+'DES-TRIAL-BAL-2020'!O430+'DMP-TRIAL-BAL-2020'!O430</f>
        <v>0</v>
      </c>
      <c r="W430" s="529">
        <f>+'NF-KSF-TRIAL-BAL-2020'!P430+'RA-TRIAL-BAL-2020'!P430+'DES-TRIAL-BAL-2020'!P430+'DMP-TRIAL-BAL-2020'!P430</f>
        <v>0</v>
      </c>
      <c r="X430" s="528">
        <f>+'NF-KSF-TRIAL-BAL-2020'!Q430+'RA-TRIAL-BAL-2020'!Q430+'DES-TRIAL-BAL-2020'!Q430+'DMP-TRIAL-BAL-2020'!Q430</f>
        <v>0</v>
      </c>
      <c r="Y430" s="529">
        <f>+'NF-KSF-TRIAL-BAL-2020'!R430+'RA-TRIAL-BAL-2020'!R430+'DES-TRIAL-BAL-2020'!R430+'DMP-TRIAL-BAL-2020'!R430</f>
        <v>0</v>
      </c>
      <c r="Z430" s="528">
        <f>+'NF-KSF-TRIAL-BAL-2020'!S430+'RA-TRIAL-BAL-2020'!S430+'DES-TRIAL-BAL-2020'!S430+'DMP-TRIAL-BAL-2020'!S430</f>
        <v>0</v>
      </c>
      <c r="AA430" s="347">
        <f>+'NF-KSF-TRIAL-BAL-2020'!T430+'RA-TRIAL-BAL-2020'!T430+'DES-TRIAL-BAL-2020'!T430+'DMP-TRIAL-BAL-2020'!T430</f>
        <v>0</v>
      </c>
      <c r="AB430" s="51"/>
      <c r="AC430" s="8">
        <v>0</v>
      </c>
      <c r="AD430" s="9">
        <v>0</v>
      </c>
      <c r="AE430" s="122"/>
      <c r="AF430" s="121"/>
      <c r="AG430" s="27">
        <f t="shared" si="239"/>
        <v>0</v>
      </c>
      <c r="AH430" s="28">
        <f t="shared" si="235"/>
        <v>0</v>
      </c>
      <c r="AI430" s="51"/>
      <c r="AJ430" s="1497">
        <f t="shared" si="226"/>
        <v>6067</v>
      </c>
      <c r="AK430" s="8">
        <v>0</v>
      </c>
      <c r="AL430" s="9">
        <v>0</v>
      </c>
      <c r="AM430" s="326">
        <f t="shared" si="233"/>
        <v>0</v>
      </c>
      <c r="AN430" s="970">
        <f t="shared" si="233"/>
        <v>0</v>
      </c>
      <c r="AO430" s="326">
        <f t="shared" si="236"/>
        <v>0</v>
      </c>
      <c r="AP430" s="327">
        <f t="shared" si="237"/>
        <v>0</v>
      </c>
      <c r="AQ430" s="43"/>
      <c r="AR430" s="358">
        <f t="shared" si="220"/>
        <v>0</v>
      </c>
      <c r="AS430" s="359">
        <f t="shared" si="221"/>
        <v>0</v>
      </c>
      <c r="AT430" s="360">
        <f t="shared" si="222"/>
        <v>0</v>
      </c>
      <c r="AU430" s="43"/>
      <c r="AV430" s="43"/>
      <c r="AW430" s="119"/>
      <c r="AX430" s="119"/>
      <c r="AY430" s="43"/>
      <c r="AZ430" s="43"/>
      <c r="BA430" s="43"/>
      <c r="BB430" s="43"/>
      <c r="BC430" s="43"/>
      <c r="BD430" s="43"/>
    </row>
    <row r="431" spans="1:56" ht="15.75">
      <c r="A431" s="88">
        <v>6068</v>
      </c>
      <c r="B431" s="1032" t="s">
        <v>447</v>
      </c>
      <c r="C431" s="1033"/>
      <c r="D431" s="1033"/>
      <c r="E431" s="1033"/>
      <c r="F431" s="1033"/>
      <c r="G431" s="1033"/>
      <c r="H431" s="1033"/>
      <c r="I431" s="1033"/>
      <c r="J431" s="1033"/>
      <c r="K431" s="1033"/>
      <c r="L431" s="90"/>
      <c r="M431" s="51" t="s">
        <v>265</v>
      </c>
      <c r="N431" s="113">
        <f t="shared" si="212"/>
        <v>6068</v>
      </c>
      <c r="O431" s="8">
        <v>0</v>
      </c>
      <c r="P431" s="9">
        <v>0</v>
      </c>
      <c r="Q431" s="325"/>
      <c r="R431" s="324"/>
      <c r="S431" s="27">
        <f t="shared" si="238"/>
        <v>0</v>
      </c>
      <c r="T431" s="28">
        <f t="shared" si="234"/>
        <v>0</v>
      </c>
      <c r="U431" s="51"/>
      <c r="V431" s="541">
        <f>+'NF-KSF-TRIAL-BAL-2020'!O431+'RA-TRIAL-BAL-2020'!O431+'DES-TRIAL-BAL-2020'!O431+'DMP-TRIAL-BAL-2020'!O431</f>
        <v>0</v>
      </c>
      <c r="W431" s="529">
        <f>+'NF-KSF-TRIAL-BAL-2020'!P431+'RA-TRIAL-BAL-2020'!P431+'DES-TRIAL-BAL-2020'!P431+'DMP-TRIAL-BAL-2020'!P431</f>
        <v>0</v>
      </c>
      <c r="X431" s="528">
        <f>+'NF-KSF-TRIAL-BAL-2020'!Q431+'RA-TRIAL-BAL-2020'!Q431+'DES-TRIAL-BAL-2020'!Q431+'DMP-TRIAL-BAL-2020'!Q431</f>
        <v>0</v>
      </c>
      <c r="Y431" s="529">
        <f>+'NF-KSF-TRIAL-BAL-2020'!R431+'RA-TRIAL-BAL-2020'!R431+'DES-TRIAL-BAL-2020'!R431+'DMP-TRIAL-BAL-2020'!R431</f>
        <v>0</v>
      </c>
      <c r="Z431" s="528">
        <f>+'NF-KSF-TRIAL-BAL-2020'!S431+'RA-TRIAL-BAL-2020'!S431+'DES-TRIAL-BAL-2020'!S431+'DMP-TRIAL-BAL-2020'!S431</f>
        <v>0</v>
      </c>
      <c r="AA431" s="347">
        <f>+'NF-KSF-TRIAL-BAL-2020'!T431+'RA-TRIAL-BAL-2020'!T431+'DES-TRIAL-BAL-2020'!T431+'DMP-TRIAL-BAL-2020'!T431</f>
        <v>0</v>
      </c>
      <c r="AB431" s="51"/>
      <c r="AC431" s="8">
        <v>0</v>
      </c>
      <c r="AD431" s="9">
        <v>0</v>
      </c>
      <c r="AE431" s="122"/>
      <c r="AF431" s="121"/>
      <c r="AG431" s="27">
        <f t="shared" si="239"/>
        <v>0</v>
      </c>
      <c r="AH431" s="28">
        <f t="shared" si="235"/>
        <v>0</v>
      </c>
      <c r="AI431" s="51"/>
      <c r="AJ431" s="1497">
        <f t="shared" si="226"/>
        <v>6068</v>
      </c>
      <c r="AK431" s="8">
        <v>0</v>
      </c>
      <c r="AL431" s="9">
        <v>0</v>
      </c>
      <c r="AM431" s="326">
        <f t="shared" si="233"/>
        <v>0</v>
      </c>
      <c r="AN431" s="970">
        <f t="shared" si="233"/>
        <v>0</v>
      </c>
      <c r="AO431" s="326">
        <f t="shared" si="236"/>
        <v>0</v>
      </c>
      <c r="AP431" s="327">
        <f t="shared" si="237"/>
        <v>0</v>
      </c>
      <c r="AQ431" s="43"/>
      <c r="AR431" s="358">
        <f t="shared" si="220"/>
        <v>0</v>
      </c>
      <c r="AS431" s="359">
        <f t="shared" si="221"/>
        <v>0</v>
      </c>
      <c r="AT431" s="360">
        <f t="shared" si="222"/>
        <v>0</v>
      </c>
      <c r="AU431" s="43"/>
      <c r="AV431" s="43"/>
      <c r="AW431" s="119"/>
      <c r="AX431" s="119"/>
      <c r="AY431" s="43"/>
      <c r="AZ431" s="43"/>
      <c r="BA431" s="43"/>
      <c r="BB431" s="43"/>
      <c r="BC431" s="43"/>
      <c r="BD431" s="43"/>
    </row>
    <row r="432" spans="1:56" ht="15.75">
      <c r="A432" s="88">
        <v>6069</v>
      </c>
      <c r="B432" s="1032" t="s">
        <v>448</v>
      </c>
      <c r="C432" s="1033"/>
      <c r="D432" s="1033"/>
      <c r="E432" s="1033"/>
      <c r="F432" s="1033"/>
      <c r="G432" s="1033"/>
      <c r="H432" s="1033"/>
      <c r="I432" s="1033"/>
      <c r="J432" s="1033"/>
      <c r="K432" s="1033"/>
      <c r="L432" s="90"/>
      <c r="M432" s="51" t="s">
        <v>265</v>
      </c>
      <c r="N432" s="113">
        <f t="shared" si="212"/>
        <v>6069</v>
      </c>
      <c r="O432" s="8">
        <v>0</v>
      </c>
      <c r="P432" s="9">
        <v>0</v>
      </c>
      <c r="Q432" s="325"/>
      <c r="R432" s="324"/>
      <c r="S432" s="27">
        <f t="shared" si="238"/>
        <v>0</v>
      </c>
      <c r="T432" s="28">
        <f t="shared" si="234"/>
        <v>0</v>
      </c>
      <c r="U432" s="51"/>
      <c r="V432" s="541">
        <f>+'NF-KSF-TRIAL-BAL-2020'!O432+'RA-TRIAL-BAL-2020'!O432+'DES-TRIAL-BAL-2020'!O432+'DMP-TRIAL-BAL-2020'!O432</f>
        <v>0</v>
      </c>
      <c r="W432" s="529">
        <f>+'NF-KSF-TRIAL-BAL-2020'!P432+'RA-TRIAL-BAL-2020'!P432+'DES-TRIAL-BAL-2020'!P432+'DMP-TRIAL-BAL-2020'!P432</f>
        <v>0</v>
      </c>
      <c r="X432" s="528">
        <f>+'NF-KSF-TRIAL-BAL-2020'!Q432+'RA-TRIAL-BAL-2020'!Q432+'DES-TRIAL-BAL-2020'!Q432+'DMP-TRIAL-BAL-2020'!Q432</f>
        <v>0</v>
      </c>
      <c r="Y432" s="529">
        <f>+'NF-KSF-TRIAL-BAL-2020'!R432+'RA-TRIAL-BAL-2020'!R432+'DES-TRIAL-BAL-2020'!R432+'DMP-TRIAL-BAL-2020'!R432</f>
        <v>0</v>
      </c>
      <c r="Z432" s="528">
        <f>+'NF-KSF-TRIAL-BAL-2020'!S432+'RA-TRIAL-BAL-2020'!S432+'DES-TRIAL-BAL-2020'!S432+'DMP-TRIAL-BAL-2020'!S432</f>
        <v>0</v>
      </c>
      <c r="AA432" s="347">
        <f>+'NF-KSF-TRIAL-BAL-2020'!T432+'RA-TRIAL-BAL-2020'!T432+'DES-TRIAL-BAL-2020'!T432+'DMP-TRIAL-BAL-2020'!T432</f>
        <v>0</v>
      </c>
      <c r="AB432" s="51"/>
      <c r="AC432" s="8">
        <v>0</v>
      </c>
      <c r="AD432" s="9">
        <v>0</v>
      </c>
      <c r="AE432" s="122"/>
      <c r="AF432" s="121"/>
      <c r="AG432" s="27">
        <f t="shared" si="239"/>
        <v>0</v>
      </c>
      <c r="AH432" s="28">
        <f t="shared" si="235"/>
        <v>0</v>
      </c>
      <c r="AI432" s="51"/>
      <c r="AJ432" s="1497">
        <f t="shared" si="226"/>
        <v>6069</v>
      </c>
      <c r="AK432" s="8">
        <v>0</v>
      </c>
      <c r="AL432" s="9">
        <v>0</v>
      </c>
      <c r="AM432" s="326">
        <f t="shared" si="233"/>
        <v>0</v>
      </c>
      <c r="AN432" s="970">
        <f t="shared" si="233"/>
        <v>0</v>
      </c>
      <c r="AO432" s="326">
        <f t="shared" si="236"/>
        <v>0</v>
      </c>
      <c r="AP432" s="327">
        <f t="shared" si="237"/>
        <v>0</v>
      </c>
      <c r="AQ432" s="43"/>
      <c r="AR432" s="358">
        <f t="shared" si="220"/>
        <v>0</v>
      </c>
      <c r="AS432" s="359">
        <f t="shared" si="221"/>
        <v>0</v>
      </c>
      <c r="AT432" s="360">
        <f t="shared" si="222"/>
        <v>0</v>
      </c>
      <c r="AU432" s="43"/>
      <c r="AV432" s="43"/>
      <c r="AW432" s="119"/>
      <c r="AX432" s="119"/>
      <c r="AY432" s="43"/>
      <c r="AZ432" s="43"/>
      <c r="BA432" s="43"/>
      <c r="BB432" s="43"/>
      <c r="BC432" s="43"/>
      <c r="BD432" s="43"/>
    </row>
    <row r="433" spans="1:56" ht="15.75">
      <c r="A433" s="88">
        <v>6071</v>
      </c>
      <c r="B433" s="1032" t="s">
        <v>449</v>
      </c>
      <c r="C433" s="1033"/>
      <c r="D433" s="1033"/>
      <c r="E433" s="1033"/>
      <c r="F433" s="1033"/>
      <c r="G433" s="1033"/>
      <c r="H433" s="1033"/>
      <c r="I433" s="1033"/>
      <c r="J433" s="1033"/>
      <c r="K433" s="1033"/>
      <c r="L433" s="90"/>
      <c r="M433" s="51" t="s">
        <v>265</v>
      </c>
      <c r="N433" s="113">
        <f t="shared" si="212"/>
        <v>6071</v>
      </c>
      <c r="O433" s="8">
        <v>0</v>
      </c>
      <c r="P433" s="9">
        <v>0</v>
      </c>
      <c r="Q433" s="325">
        <v>0</v>
      </c>
      <c r="R433" s="324">
        <v>0</v>
      </c>
      <c r="S433" s="27">
        <f t="shared" si="238"/>
        <v>0</v>
      </c>
      <c r="T433" s="28">
        <f t="shared" si="234"/>
        <v>0</v>
      </c>
      <c r="U433" s="51"/>
      <c r="V433" s="541">
        <f>+'NF-KSF-TRIAL-BAL-2020'!O433+'RA-TRIAL-BAL-2020'!O433+'DES-TRIAL-BAL-2020'!O433+'DMP-TRIAL-BAL-2020'!O433</f>
        <v>0</v>
      </c>
      <c r="W433" s="529">
        <f>+'NF-KSF-TRIAL-BAL-2020'!P433+'RA-TRIAL-BAL-2020'!P433+'DES-TRIAL-BAL-2020'!P433+'DMP-TRIAL-BAL-2020'!P433</f>
        <v>0</v>
      </c>
      <c r="X433" s="528">
        <f>+'NF-KSF-TRIAL-BAL-2020'!Q433+'RA-TRIAL-BAL-2020'!Q433+'DES-TRIAL-BAL-2020'!Q433+'DMP-TRIAL-BAL-2020'!Q433</f>
        <v>0</v>
      </c>
      <c r="Y433" s="529">
        <f>+'NF-KSF-TRIAL-BAL-2020'!R433+'RA-TRIAL-BAL-2020'!R433+'DES-TRIAL-BAL-2020'!R433+'DMP-TRIAL-BAL-2020'!R433</f>
        <v>0</v>
      </c>
      <c r="Z433" s="528">
        <f>+'NF-KSF-TRIAL-BAL-2020'!S433+'RA-TRIAL-BAL-2020'!S433+'DES-TRIAL-BAL-2020'!S433+'DMP-TRIAL-BAL-2020'!S433</f>
        <v>0</v>
      </c>
      <c r="AA433" s="347">
        <f>+'NF-KSF-TRIAL-BAL-2020'!T433+'RA-TRIAL-BAL-2020'!T433+'DES-TRIAL-BAL-2020'!T433+'DMP-TRIAL-BAL-2020'!T433</f>
        <v>0</v>
      </c>
      <c r="AB433" s="51"/>
      <c r="AC433" s="8">
        <v>0</v>
      </c>
      <c r="AD433" s="9">
        <v>0</v>
      </c>
      <c r="AE433" s="122">
        <v>0</v>
      </c>
      <c r="AF433" s="121">
        <v>0</v>
      </c>
      <c r="AG433" s="27">
        <f t="shared" si="239"/>
        <v>0</v>
      </c>
      <c r="AH433" s="28">
        <f t="shared" si="235"/>
        <v>0</v>
      </c>
      <c r="AI433" s="51"/>
      <c r="AJ433" s="1497">
        <f t="shared" si="226"/>
        <v>6071</v>
      </c>
      <c r="AK433" s="8">
        <v>0</v>
      </c>
      <c r="AL433" s="9">
        <v>0</v>
      </c>
      <c r="AM433" s="326">
        <f t="shared" si="233"/>
        <v>0</v>
      </c>
      <c r="AN433" s="970">
        <f t="shared" si="233"/>
        <v>0</v>
      </c>
      <c r="AO433" s="326">
        <f t="shared" si="236"/>
        <v>0</v>
      </c>
      <c r="AP433" s="327">
        <f t="shared" si="237"/>
        <v>0</v>
      </c>
      <c r="AQ433" s="43"/>
      <c r="AR433" s="358">
        <f t="shared" si="220"/>
        <v>0</v>
      </c>
      <c r="AS433" s="359">
        <f t="shared" si="221"/>
        <v>0</v>
      </c>
      <c r="AT433" s="360">
        <f t="shared" si="222"/>
        <v>0</v>
      </c>
      <c r="AU433" s="43"/>
      <c r="AV433" s="43"/>
      <c r="AW433" s="119"/>
      <c r="AX433" s="119"/>
      <c r="AY433" s="43"/>
      <c r="AZ433" s="43"/>
      <c r="BA433" s="43"/>
      <c r="BB433" s="43"/>
      <c r="BC433" s="43"/>
      <c r="BD433" s="43"/>
    </row>
    <row r="434" spans="1:56" ht="15.75">
      <c r="A434" s="88">
        <v>6072</v>
      </c>
      <c r="B434" s="1032" t="s">
        <v>450</v>
      </c>
      <c r="C434" s="1033"/>
      <c r="D434" s="1033"/>
      <c r="E434" s="1033"/>
      <c r="F434" s="1033"/>
      <c r="G434" s="1033"/>
      <c r="H434" s="1033"/>
      <c r="I434" s="1033"/>
      <c r="J434" s="1033"/>
      <c r="K434" s="1033"/>
      <c r="L434" s="90"/>
      <c r="M434" s="51" t="s">
        <v>265</v>
      </c>
      <c r="N434" s="113">
        <f t="shared" si="212"/>
        <v>6072</v>
      </c>
      <c r="O434" s="8">
        <v>0</v>
      </c>
      <c r="P434" s="9">
        <v>0</v>
      </c>
      <c r="Q434" s="325"/>
      <c r="R434" s="324"/>
      <c r="S434" s="27">
        <f t="shared" si="238"/>
        <v>0</v>
      </c>
      <c r="T434" s="28">
        <f t="shared" si="234"/>
        <v>0</v>
      </c>
      <c r="U434" s="51"/>
      <c r="V434" s="541">
        <f>+'NF-KSF-TRIAL-BAL-2020'!O434+'RA-TRIAL-BAL-2020'!O434+'DES-TRIAL-BAL-2020'!O434+'DMP-TRIAL-BAL-2020'!O434</f>
        <v>0</v>
      </c>
      <c r="W434" s="529">
        <f>+'NF-KSF-TRIAL-BAL-2020'!P434+'RA-TRIAL-BAL-2020'!P434+'DES-TRIAL-BAL-2020'!P434+'DMP-TRIAL-BAL-2020'!P434</f>
        <v>0</v>
      </c>
      <c r="X434" s="528">
        <f>+'NF-KSF-TRIAL-BAL-2020'!Q434+'RA-TRIAL-BAL-2020'!Q434+'DES-TRIAL-BAL-2020'!Q434+'DMP-TRIAL-BAL-2020'!Q434</f>
        <v>0</v>
      </c>
      <c r="Y434" s="529">
        <f>+'NF-KSF-TRIAL-BAL-2020'!R434+'RA-TRIAL-BAL-2020'!R434+'DES-TRIAL-BAL-2020'!R434+'DMP-TRIAL-BAL-2020'!R434</f>
        <v>0</v>
      </c>
      <c r="Z434" s="528">
        <f>+'NF-KSF-TRIAL-BAL-2020'!S434+'RA-TRIAL-BAL-2020'!S434+'DES-TRIAL-BAL-2020'!S434+'DMP-TRIAL-BAL-2020'!S434</f>
        <v>0</v>
      </c>
      <c r="AA434" s="347">
        <f>+'NF-KSF-TRIAL-BAL-2020'!T434+'RA-TRIAL-BAL-2020'!T434+'DES-TRIAL-BAL-2020'!T434+'DMP-TRIAL-BAL-2020'!T434</f>
        <v>0</v>
      </c>
      <c r="AB434" s="51"/>
      <c r="AC434" s="8">
        <v>0</v>
      </c>
      <c r="AD434" s="9">
        <v>0</v>
      </c>
      <c r="AE434" s="122"/>
      <c r="AF434" s="121"/>
      <c r="AG434" s="27">
        <f t="shared" si="239"/>
        <v>0</v>
      </c>
      <c r="AH434" s="28">
        <f t="shared" si="235"/>
        <v>0</v>
      </c>
      <c r="AI434" s="51"/>
      <c r="AJ434" s="1497">
        <f t="shared" si="226"/>
        <v>6072</v>
      </c>
      <c r="AK434" s="8">
        <v>0</v>
      </c>
      <c r="AL434" s="9">
        <v>0</v>
      </c>
      <c r="AM434" s="326">
        <f t="shared" si="233"/>
        <v>0</v>
      </c>
      <c r="AN434" s="970">
        <f t="shared" si="233"/>
        <v>0</v>
      </c>
      <c r="AO434" s="326">
        <f t="shared" si="236"/>
        <v>0</v>
      </c>
      <c r="AP434" s="327">
        <f t="shared" si="237"/>
        <v>0</v>
      </c>
      <c r="AQ434" s="43"/>
      <c r="AR434" s="358">
        <f t="shared" si="220"/>
        <v>0</v>
      </c>
      <c r="AS434" s="359">
        <f t="shared" si="221"/>
        <v>0</v>
      </c>
      <c r="AT434" s="360">
        <f t="shared" si="222"/>
        <v>0</v>
      </c>
      <c r="AU434" s="43"/>
      <c r="AV434" s="43"/>
      <c r="AW434" s="119"/>
      <c r="AX434" s="119"/>
      <c r="AY434" s="43"/>
      <c r="AZ434" s="43"/>
      <c r="BA434" s="43"/>
      <c r="BB434" s="43"/>
      <c r="BC434" s="43"/>
      <c r="BD434" s="43"/>
    </row>
    <row r="435" spans="1:56" ht="15.75">
      <c r="A435" s="88">
        <v>6073</v>
      </c>
      <c r="B435" s="1032" t="s">
        <v>451</v>
      </c>
      <c r="C435" s="1033"/>
      <c r="D435" s="1033"/>
      <c r="E435" s="1033"/>
      <c r="F435" s="1033"/>
      <c r="G435" s="1033"/>
      <c r="H435" s="1033"/>
      <c r="I435" s="1033"/>
      <c r="J435" s="1033"/>
      <c r="K435" s="1033"/>
      <c r="L435" s="90"/>
      <c r="M435" s="51" t="s">
        <v>265</v>
      </c>
      <c r="N435" s="113">
        <f t="shared" si="212"/>
        <v>6073</v>
      </c>
      <c r="O435" s="8">
        <v>0</v>
      </c>
      <c r="P435" s="9">
        <v>0</v>
      </c>
      <c r="Q435" s="325">
        <v>0</v>
      </c>
      <c r="R435" s="324">
        <v>0</v>
      </c>
      <c r="S435" s="27">
        <f t="shared" si="238"/>
        <v>0</v>
      </c>
      <c r="T435" s="28">
        <f t="shared" si="234"/>
        <v>0</v>
      </c>
      <c r="U435" s="51"/>
      <c r="V435" s="541">
        <f>+'NF-KSF-TRIAL-BAL-2020'!O435+'RA-TRIAL-BAL-2020'!O435+'DES-TRIAL-BAL-2020'!O435+'DMP-TRIAL-BAL-2020'!O435</f>
        <v>0</v>
      </c>
      <c r="W435" s="529">
        <f>+'NF-KSF-TRIAL-BAL-2020'!P435+'RA-TRIAL-BAL-2020'!P435+'DES-TRIAL-BAL-2020'!P435+'DMP-TRIAL-BAL-2020'!P435</f>
        <v>0</v>
      </c>
      <c r="X435" s="528">
        <f>+'NF-KSF-TRIAL-BAL-2020'!Q435+'RA-TRIAL-BAL-2020'!Q435+'DES-TRIAL-BAL-2020'!Q435+'DMP-TRIAL-BAL-2020'!Q435</f>
        <v>0</v>
      </c>
      <c r="Y435" s="529">
        <f>+'NF-KSF-TRIAL-BAL-2020'!R435+'RA-TRIAL-BAL-2020'!R435+'DES-TRIAL-BAL-2020'!R435+'DMP-TRIAL-BAL-2020'!R435</f>
        <v>0</v>
      </c>
      <c r="Z435" s="528">
        <f>+'NF-KSF-TRIAL-BAL-2020'!S435+'RA-TRIAL-BAL-2020'!S435+'DES-TRIAL-BAL-2020'!S435+'DMP-TRIAL-BAL-2020'!S435</f>
        <v>0</v>
      </c>
      <c r="AA435" s="347">
        <f>+'NF-KSF-TRIAL-BAL-2020'!T435+'RA-TRIAL-BAL-2020'!T435+'DES-TRIAL-BAL-2020'!T435+'DMP-TRIAL-BAL-2020'!T435</f>
        <v>0</v>
      </c>
      <c r="AB435" s="51"/>
      <c r="AC435" s="8">
        <v>0</v>
      </c>
      <c r="AD435" s="9">
        <v>0</v>
      </c>
      <c r="AE435" s="122">
        <v>0</v>
      </c>
      <c r="AF435" s="121">
        <v>0</v>
      </c>
      <c r="AG435" s="27">
        <f t="shared" si="239"/>
        <v>0</v>
      </c>
      <c r="AH435" s="28">
        <f t="shared" si="235"/>
        <v>0</v>
      </c>
      <c r="AI435" s="51"/>
      <c r="AJ435" s="1497">
        <f t="shared" si="226"/>
        <v>6073</v>
      </c>
      <c r="AK435" s="8">
        <v>0</v>
      </c>
      <c r="AL435" s="9">
        <v>0</v>
      </c>
      <c r="AM435" s="326">
        <f t="shared" si="233"/>
        <v>0</v>
      </c>
      <c r="AN435" s="970">
        <f t="shared" si="233"/>
        <v>0</v>
      </c>
      <c r="AO435" s="326">
        <f t="shared" si="236"/>
        <v>0</v>
      </c>
      <c r="AP435" s="327">
        <f t="shared" si="237"/>
        <v>0</v>
      </c>
      <c r="AQ435" s="43"/>
      <c r="AR435" s="358">
        <f t="shared" si="220"/>
        <v>0</v>
      </c>
      <c r="AS435" s="359">
        <f t="shared" si="221"/>
        <v>0</v>
      </c>
      <c r="AT435" s="360">
        <f t="shared" si="222"/>
        <v>0</v>
      </c>
      <c r="AU435" s="43"/>
      <c r="AV435" s="43"/>
      <c r="AW435" s="119"/>
      <c r="AX435" s="119"/>
      <c r="AY435" s="43"/>
      <c r="AZ435" s="43"/>
      <c r="BA435" s="43"/>
      <c r="BB435" s="43"/>
      <c r="BC435" s="43"/>
      <c r="BD435" s="43"/>
    </row>
    <row r="436" spans="1:56" ht="15.75">
      <c r="A436" s="88">
        <v>6074</v>
      </c>
      <c r="B436" s="1032" t="s">
        <v>452</v>
      </c>
      <c r="C436" s="1033"/>
      <c r="D436" s="1033"/>
      <c r="E436" s="1033"/>
      <c r="F436" s="1033"/>
      <c r="G436" s="1033"/>
      <c r="H436" s="1033"/>
      <c r="I436" s="1033"/>
      <c r="J436" s="1033"/>
      <c r="K436" s="1033"/>
      <c r="L436" s="90"/>
      <c r="M436" s="51" t="s">
        <v>265</v>
      </c>
      <c r="N436" s="113">
        <f t="shared" si="212"/>
        <v>6074</v>
      </c>
      <c r="O436" s="8">
        <v>0</v>
      </c>
      <c r="P436" s="9">
        <v>0</v>
      </c>
      <c r="Q436" s="325"/>
      <c r="R436" s="324"/>
      <c r="S436" s="27">
        <f t="shared" si="238"/>
        <v>0</v>
      </c>
      <c r="T436" s="28">
        <f t="shared" si="234"/>
        <v>0</v>
      </c>
      <c r="U436" s="51"/>
      <c r="V436" s="541">
        <f>+'NF-KSF-TRIAL-BAL-2020'!O436+'RA-TRIAL-BAL-2020'!O436+'DES-TRIAL-BAL-2020'!O436+'DMP-TRIAL-BAL-2020'!O436</f>
        <v>0</v>
      </c>
      <c r="W436" s="529">
        <f>+'NF-KSF-TRIAL-BAL-2020'!P436+'RA-TRIAL-BAL-2020'!P436+'DES-TRIAL-BAL-2020'!P436+'DMP-TRIAL-BAL-2020'!P436</f>
        <v>0</v>
      </c>
      <c r="X436" s="528">
        <f>+'NF-KSF-TRIAL-BAL-2020'!Q436+'RA-TRIAL-BAL-2020'!Q436+'DES-TRIAL-BAL-2020'!Q436+'DMP-TRIAL-BAL-2020'!Q436</f>
        <v>0</v>
      </c>
      <c r="Y436" s="529">
        <f>+'NF-KSF-TRIAL-BAL-2020'!R436+'RA-TRIAL-BAL-2020'!R436+'DES-TRIAL-BAL-2020'!R436+'DMP-TRIAL-BAL-2020'!R436</f>
        <v>0</v>
      </c>
      <c r="Z436" s="528">
        <f>+'NF-KSF-TRIAL-BAL-2020'!S436+'RA-TRIAL-BAL-2020'!S436+'DES-TRIAL-BAL-2020'!S436+'DMP-TRIAL-BAL-2020'!S436</f>
        <v>0</v>
      </c>
      <c r="AA436" s="347">
        <f>+'NF-KSF-TRIAL-BAL-2020'!T436+'RA-TRIAL-BAL-2020'!T436+'DES-TRIAL-BAL-2020'!T436+'DMP-TRIAL-BAL-2020'!T436</f>
        <v>0</v>
      </c>
      <c r="AB436" s="51"/>
      <c r="AC436" s="8">
        <v>0</v>
      </c>
      <c r="AD436" s="9">
        <v>0</v>
      </c>
      <c r="AE436" s="122"/>
      <c r="AF436" s="121"/>
      <c r="AG436" s="27">
        <f t="shared" si="239"/>
        <v>0</v>
      </c>
      <c r="AH436" s="28">
        <f t="shared" si="235"/>
        <v>0</v>
      </c>
      <c r="AI436" s="51"/>
      <c r="AJ436" s="1497">
        <f t="shared" si="226"/>
        <v>6074</v>
      </c>
      <c r="AK436" s="8">
        <v>0</v>
      </c>
      <c r="AL436" s="9">
        <v>0</v>
      </c>
      <c r="AM436" s="326">
        <f t="shared" si="233"/>
        <v>0</v>
      </c>
      <c r="AN436" s="970">
        <f t="shared" si="233"/>
        <v>0</v>
      </c>
      <c r="AO436" s="326">
        <f t="shared" si="236"/>
        <v>0</v>
      </c>
      <c r="AP436" s="327">
        <f t="shared" si="237"/>
        <v>0</v>
      </c>
      <c r="AQ436" s="43"/>
      <c r="AR436" s="358">
        <f t="shared" si="220"/>
        <v>0</v>
      </c>
      <c r="AS436" s="359">
        <f t="shared" si="221"/>
        <v>0</v>
      </c>
      <c r="AT436" s="360">
        <f t="shared" si="222"/>
        <v>0</v>
      </c>
      <c r="AU436" s="43"/>
      <c r="AV436" s="43"/>
      <c r="AW436" s="119"/>
      <c r="AX436" s="119"/>
      <c r="AY436" s="43"/>
      <c r="AZ436" s="43"/>
      <c r="BA436" s="43"/>
      <c r="BB436" s="43"/>
      <c r="BC436" s="43"/>
      <c r="BD436" s="43"/>
    </row>
    <row r="437" spans="1:56" ht="15.75">
      <c r="A437" s="88">
        <v>6075</v>
      </c>
      <c r="B437" s="1032" t="s">
        <v>453</v>
      </c>
      <c r="C437" s="1033"/>
      <c r="D437" s="1033"/>
      <c r="E437" s="1033"/>
      <c r="F437" s="1033"/>
      <c r="G437" s="1033"/>
      <c r="H437" s="1033"/>
      <c r="I437" s="1033"/>
      <c r="J437" s="1033"/>
      <c r="K437" s="1033"/>
      <c r="L437" s="90"/>
      <c r="M437" s="51" t="s">
        <v>265</v>
      </c>
      <c r="N437" s="113">
        <f t="shared" si="212"/>
        <v>6075</v>
      </c>
      <c r="O437" s="8">
        <v>0</v>
      </c>
      <c r="P437" s="9">
        <v>0</v>
      </c>
      <c r="Q437" s="325">
        <v>0</v>
      </c>
      <c r="R437" s="324">
        <v>0</v>
      </c>
      <c r="S437" s="27">
        <f t="shared" si="238"/>
        <v>0</v>
      </c>
      <c r="T437" s="28">
        <f t="shared" si="234"/>
        <v>0</v>
      </c>
      <c r="U437" s="51"/>
      <c r="V437" s="541">
        <f>+'NF-KSF-TRIAL-BAL-2020'!O437+'RA-TRIAL-BAL-2020'!O437+'DES-TRIAL-BAL-2020'!O437+'DMP-TRIAL-BAL-2020'!O437</f>
        <v>0</v>
      </c>
      <c r="W437" s="529">
        <f>+'NF-KSF-TRIAL-BAL-2020'!P437+'RA-TRIAL-BAL-2020'!P437+'DES-TRIAL-BAL-2020'!P437+'DMP-TRIAL-BAL-2020'!P437</f>
        <v>0</v>
      </c>
      <c r="X437" s="528">
        <f>+'NF-KSF-TRIAL-BAL-2020'!Q437+'RA-TRIAL-BAL-2020'!Q437+'DES-TRIAL-BAL-2020'!Q437+'DMP-TRIAL-BAL-2020'!Q437</f>
        <v>0</v>
      </c>
      <c r="Y437" s="529">
        <f>+'NF-KSF-TRIAL-BAL-2020'!R437+'RA-TRIAL-BAL-2020'!R437+'DES-TRIAL-BAL-2020'!R437+'DMP-TRIAL-BAL-2020'!R437</f>
        <v>0</v>
      </c>
      <c r="Z437" s="528">
        <f>+'NF-KSF-TRIAL-BAL-2020'!S437+'RA-TRIAL-BAL-2020'!S437+'DES-TRIAL-BAL-2020'!S437+'DMP-TRIAL-BAL-2020'!S437</f>
        <v>0</v>
      </c>
      <c r="AA437" s="347">
        <f>+'NF-KSF-TRIAL-BAL-2020'!T437+'RA-TRIAL-BAL-2020'!T437+'DES-TRIAL-BAL-2020'!T437+'DMP-TRIAL-BAL-2020'!T437</f>
        <v>0</v>
      </c>
      <c r="AB437" s="51"/>
      <c r="AC437" s="8">
        <v>0</v>
      </c>
      <c r="AD437" s="9">
        <v>0</v>
      </c>
      <c r="AE437" s="29">
        <v>0</v>
      </c>
      <c r="AF437" s="9">
        <v>0</v>
      </c>
      <c r="AG437" s="27">
        <f t="shared" si="239"/>
        <v>0</v>
      </c>
      <c r="AH437" s="28">
        <f t="shared" si="235"/>
        <v>0</v>
      </c>
      <c r="AI437" s="51"/>
      <c r="AJ437" s="1497">
        <f t="shared" si="226"/>
        <v>6075</v>
      </c>
      <c r="AK437" s="8">
        <v>0</v>
      </c>
      <c r="AL437" s="9">
        <v>0</v>
      </c>
      <c r="AM437" s="326">
        <f t="shared" si="233"/>
        <v>0</v>
      </c>
      <c r="AN437" s="970">
        <f t="shared" si="233"/>
        <v>0</v>
      </c>
      <c r="AO437" s="326">
        <f t="shared" si="236"/>
        <v>0</v>
      </c>
      <c r="AP437" s="327">
        <f t="shared" si="237"/>
        <v>0</v>
      </c>
      <c r="AQ437" s="43"/>
      <c r="AR437" s="358">
        <f t="shared" si="220"/>
        <v>0</v>
      </c>
      <c r="AS437" s="359">
        <f t="shared" si="221"/>
        <v>0</v>
      </c>
      <c r="AT437" s="360">
        <f t="shared" si="222"/>
        <v>0</v>
      </c>
      <c r="AU437" s="43"/>
      <c r="AV437" s="43"/>
      <c r="AW437" s="119"/>
      <c r="AX437" s="2125">
        <f>+IF(OR(AC437&lt;&gt;0,AD437&lt;&gt;0,AE437&lt;&gt;0,AF437&lt;&gt;0,AG437&lt;&gt;0,AH437&lt;&gt;0),+IF(ABS(AC437+AE437)-ABS(AD437+AF437)&lt;&gt;0,ABS(AC437+AE437)-ABS(AD437+AF437),1),0)</f>
        <v>0</v>
      </c>
      <c r="AY437" s="43"/>
      <c r="AZ437" s="43"/>
      <c r="BA437" s="43"/>
      <c r="BB437" s="43"/>
      <c r="BC437" s="43"/>
      <c r="BD437" s="43"/>
    </row>
    <row r="438" spans="1:56" ht="15.75">
      <c r="A438" s="88">
        <v>6076</v>
      </c>
      <c r="B438" s="1032" t="s">
        <v>454</v>
      </c>
      <c r="C438" s="1033"/>
      <c r="D438" s="1033"/>
      <c r="E438" s="1033"/>
      <c r="F438" s="1033"/>
      <c r="G438" s="1033"/>
      <c r="H438" s="1033"/>
      <c r="I438" s="1033"/>
      <c r="J438" s="1033"/>
      <c r="K438" s="1033"/>
      <c r="L438" s="90"/>
      <c r="M438" s="51" t="s">
        <v>265</v>
      </c>
      <c r="N438" s="113">
        <f t="shared" si="212"/>
        <v>6076</v>
      </c>
      <c r="O438" s="8">
        <v>0</v>
      </c>
      <c r="P438" s="9">
        <v>0</v>
      </c>
      <c r="Q438" s="325">
        <v>0</v>
      </c>
      <c r="R438" s="324">
        <v>0</v>
      </c>
      <c r="S438" s="27">
        <f t="shared" si="238"/>
        <v>0</v>
      </c>
      <c r="T438" s="28">
        <f t="shared" si="234"/>
        <v>0</v>
      </c>
      <c r="U438" s="51"/>
      <c r="V438" s="541">
        <f>+'NF-KSF-TRIAL-BAL-2020'!O438+'RA-TRIAL-BAL-2020'!O438+'DES-TRIAL-BAL-2020'!O438+'DMP-TRIAL-BAL-2020'!O438</f>
        <v>0</v>
      </c>
      <c r="W438" s="529">
        <f>+'NF-KSF-TRIAL-BAL-2020'!P438+'RA-TRIAL-BAL-2020'!P438+'DES-TRIAL-BAL-2020'!P438+'DMP-TRIAL-BAL-2020'!P438</f>
        <v>0</v>
      </c>
      <c r="X438" s="528">
        <f>+'NF-KSF-TRIAL-BAL-2020'!Q438+'RA-TRIAL-BAL-2020'!Q438+'DES-TRIAL-BAL-2020'!Q438+'DMP-TRIAL-BAL-2020'!Q438</f>
        <v>0</v>
      </c>
      <c r="Y438" s="529">
        <f>+'NF-KSF-TRIAL-BAL-2020'!R438+'RA-TRIAL-BAL-2020'!R438+'DES-TRIAL-BAL-2020'!R438+'DMP-TRIAL-BAL-2020'!R438</f>
        <v>0</v>
      </c>
      <c r="Z438" s="528">
        <f>+'NF-KSF-TRIAL-BAL-2020'!S438+'RA-TRIAL-BAL-2020'!S438+'DES-TRIAL-BAL-2020'!S438+'DMP-TRIAL-BAL-2020'!S438</f>
        <v>0</v>
      </c>
      <c r="AA438" s="347">
        <f>+'NF-KSF-TRIAL-BAL-2020'!T438+'RA-TRIAL-BAL-2020'!T438+'DES-TRIAL-BAL-2020'!T438+'DMP-TRIAL-BAL-2020'!T438</f>
        <v>0</v>
      </c>
      <c r="AB438" s="51"/>
      <c r="AC438" s="8">
        <v>0</v>
      </c>
      <c r="AD438" s="9">
        <v>0</v>
      </c>
      <c r="AE438" s="29">
        <v>0</v>
      </c>
      <c r="AF438" s="9">
        <v>0</v>
      </c>
      <c r="AG438" s="27">
        <f t="shared" si="239"/>
        <v>0</v>
      </c>
      <c r="AH438" s="28">
        <f t="shared" si="235"/>
        <v>0</v>
      </c>
      <c r="AI438" s="51"/>
      <c r="AJ438" s="1497">
        <f t="shared" si="226"/>
        <v>6076</v>
      </c>
      <c r="AK438" s="8">
        <v>0</v>
      </c>
      <c r="AL438" s="9">
        <v>0</v>
      </c>
      <c r="AM438" s="326">
        <f t="shared" si="233"/>
        <v>0</v>
      </c>
      <c r="AN438" s="970">
        <f t="shared" si="233"/>
        <v>0</v>
      </c>
      <c r="AO438" s="326">
        <f t="shared" si="236"/>
        <v>0</v>
      </c>
      <c r="AP438" s="327">
        <f t="shared" si="237"/>
        <v>0</v>
      </c>
      <c r="AQ438" s="43"/>
      <c r="AR438" s="358">
        <f t="shared" si="220"/>
        <v>0</v>
      </c>
      <c r="AS438" s="359">
        <f t="shared" si="221"/>
        <v>0</v>
      </c>
      <c r="AT438" s="360">
        <f t="shared" si="222"/>
        <v>0</v>
      </c>
      <c r="AU438" s="43"/>
      <c r="AV438" s="43"/>
      <c r="AW438" s="119"/>
      <c r="AX438" s="2125">
        <f>+IF(OR(AC438&lt;&gt;0,AD438&lt;&gt;0,AE438&lt;&gt;0,AF438&lt;&gt;0,AG438&lt;&gt;0,AH438&lt;&gt;0),+IF(ABS(AC438+AE438)-ABS(AD438+AF438)&lt;&gt;0,ABS(AC438+AE438)-ABS(AD438+AF438),1),0)</f>
        <v>0</v>
      </c>
      <c r="AY438" s="43"/>
      <c r="AZ438" s="43"/>
      <c r="BA438" s="43"/>
      <c r="BB438" s="43"/>
      <c r="BC438" s="43"/>
      <c r="BD438" s="43"/>
    </row>
    <row r="439" spans="1:56" ht="15.75">
      <c r="A439" s="88">
        <v>6077</v>
      </c>
      <c r="B439" s="1032" t="s">
        <v>455</v>
      </c>
      <c r="C439" s="1033"/>
      <c r="D439" s="1033"/>
      <c r="E439" s="1033"/>
      <c r="F439" s="1033"/>
      <c r="G439" s="1033"/>
      <c r="H439" s="1033"/>
      <c r="I439" s="1033"/>
      <c r="J439" s="1033"/>
      <c r="K439" s="1033"/>
      <c r="L439" s="90"/>
      <c r="M439" s="51" t="s">
        <v>265</v>
      </c>
      <c r="N439" s="113">
        <f t="shared" si="212"/>
        <v>6077</v>
      </c>
      <c r="O439" s="8">
        <v>0</v>
      </c>
      <c r="P439" s="9">
        <v>0</v>
      </c>
      <c r="Q439" s="325">
        <v>0</v>
      </c>
      <c r="R439" s="324">
        <v>0</v>
      </c>
      <c r="S439" s="27">
        <f t="shared" si="238"/>
        <v>0</v>
      </c>
      <c r="T439" s="28">
        <f t="shared" si="234"/>
        <v>0</v>
      </c>
      <c r="U439" s="51"/>
      <c r="V439" s="541">
        <f>+'NF-KSF-TRIAL-BAL-2020'!O439+'RA-TRIAL-BAL-2020'!O439+'DES-TRIAL-BAL-2020'!O439+'DMP-TRIAL-BAL-2020'!O439</f>
        <v>0</v>
      </c>
      <c r="W439" s="529">
        <f>+'NF-KSF-TRIAL-BAL-2020'!P439+'RA-TRIAL-BAL-2020'!P439+'DES-TRIAL-BAL-2020'!P439+'DMP-TRIAL-BAL-2020'!P439</f>
        <v>0</v>
      </c>
      <c r="X439" s="528">
        <f>+'NF-KSF-TRIAL-BAL-2020'!Q439+'RA-TRIAL-BAL-2020'!Q439+'DES-TRIAL-BAL-2020'!Q439+'DMP-TRIAL-BAL-2020'!Q439</f>
        <v>0</v>
      </c>
      <c r="Y439" s="529">
        <f>+'NF-KSF-TRIAL-BAL-2020'!R439+'RA-TRIAL-BAL-2020'!R439+'DES-TRIAL-BAL-2020'!R439+'DMP-TRIAL-BAL-2020'!R439</f>
        <v>0</v>
      </c>
      <c r="Z439" s="528">
        <f>+'NF-KSF-TRIAL-BAL-2020'!S439+'RA-TRIAL-BAL-2020'!S439+'DES-TRIAL-BAL-2020'!S439+'DMP-TRIAL-BAL-2020'!S439</f>
        <v>0</v>
      </c>
      <c r="AA439" s="347">
        <f>+'NF-KSF-TRIAL-BAL-2020'!T439+'RA-TRIAL-BAL-2020'!T439+'DES-TRIAL-BAL-2020'!T439+'DMP-TRIAL-BAL-2020'!T439</f>
        <v>0</v>
      </c>
      <c r="AB439" s="51"/>
      <c r="AC439" s="8">
        <v>0</v>
      </c>
      <c r="AD439" s="9">
        <v>0</v>
      </c>
      <c r="AE439" s="29">
        <v>0</v>
      </c>
      <c r="AF439" s="9">
        <v>0</v>
      </c>
      <c r="AG439" s="27">
        <f t="shared" si="239"/>
        <v>0</v>
      </c>
      <c r="AH439" s="28">
        <f t="shared" si="235"/>
        <v>0</v>
      </c>
      <c r="AI439" s="51"/>
      <c r="AJ439" s="1497">
        <f t="shared" si="226"/>
        <v>6077</v>
      </c>
      <c r="AK439" s="8">
        <v>0</v>
      </c>
      <c r="AL439" s="9">
        <v>0</v>
      </c>
      <c r="AM439" s="326">
        <f t="shared" si="233"/>
        <v>0</v>
      </c>
      <c r="AN439" s="970">
        <f t="shared" si="233"/>
        <v>0</v>
      </c>
      <c r="AO439" s="326">
        <f t="shared" si="236"/>
        <v>0</v>
      </c>
      <c r="AP439" s="327">
        <f t="shared" si="237"/>
        <v>0</v>
      </c>
      <c r="AQ439" s="43"/>
      <c r="AR439" s="358">
        <f t="shared" si="220"/>
        <v>0</v>
      </c>
      <c r="AS439" s="359">
        <f t="shared" si="221"/>
        <v>0</v>
      </c>
      <c r="AT439" s="360">
        <f t="shared" si="222"/>
        <v>0</v>
      </c>
      <c r="AU439" s="43"/>
      <c r="AV439" s="43"/>
      <c r="AW439" s="119"/>
      <c r="AX439" s="2125">
        <f>+IF(OR(AC439&lt;&gt;0,AD439&lt;&gt;0,AE439&lt;&gt;0,AF439&lt;&gt;0,AG439&lt;&gt;0,AH439&lt;&gt;0),+IF(ABS(AC439+AE439)-ABS(AD439+AF439)&lt;&gt;0,ABS(AC439+AE439)-ABS(AD439+AF439),1),0)</f>
        <v>0</v>
      </c>
      <c r="AY439" s="43"/>
      <c r="AZ439" s="43"/>
      <c r="BA439" s="43"/>
      <c r="BB439" s="43"/>
      <c r="BC439" s="43"/>
      <c r="BD439" s="43"/>
    </row>
    <row r="440" spans="1:56" ht="15.75">
      <c r="A440" s="88">
        <v>6078</v>
      </c>
      <c r="B440" s="1032" t="s">
        <v>456</v>
      </c>
      <c r="C440" s="1033"/>
      <c r="D440" s="1033"/>
      <c r="E440" s="1033"/>
      <c r="F440" s="1033"/>
      <c r="G440" s="1033"/>
      <c r="H440" s="1033"/>
      <c r="I440" s="1033"/>
      <c r="J440" s="1033"/>
      <c r="K440" s="1033"/>
      <c r="L440" s="90"/>
      <c r="M440" s="51" t="s">
        <v>265</v>
      </c>
      <c r="N440" s="113">
        <f t="shared" si="212"/>
        <v>6078</v>
      </c>
      <c r="O440" s="8">
        <v>0</v>
      </c>
      <c r="P440" s="9">
        <v>0</v>
      </c>
      <c r="Q440" s="325"/>
      <c r="R440" s="324"/>
      <c r="S440" s="27">
        <f t="shared" si="238"/>
        <v>0</v>
      </c>
      <c r="T440" s="28">
        <f t="shared" si="234"/>
        <v>0</v>
      </c>
      <c r="U440" s="51"/>
      <c r="V440" s="541">
        <f>+'NF-KSF-TRIAL-BAL-2020'!O440+'RA-TRIAL-BAL-2020'!O440+'DES-TRIAL-BAL-2020'!O440+'DMP-TRIAL-BAL-2020'!O440</f>
        <v>0</v>
      </c>
      <c r="W440" s="529">
        <f>+'NF-KSF-TRIAL-BAL-2020'!P440+'RA-TRIAL-BAL-2020'!P440+'DES-TRIAL-BAL-2020'!P440+'DMP-TRIAL-BAL-2020'!P440</f>
        <v>0</v>
      </c>
      <c r="X440" s="528">
        <f>+'NF-KSF-TRIAL-BAL-2020'!Q440+'RA-TRIAL-BAL-2020'!Q440+'DES-TRIAL-BAL-2020'!Q440+'DMP-TRIAL-BAL-2020'!Q440</f>
        <v>0</v>
      </c>
      <c r="Y440" s="529">
        <f>+'NF-KSF-TRIAL-BAL-2020'!R440+'RA-TRIAL-BAL-2020'!R440+'DES-TRIAL-BAL-2020'!R440+'DMP-TRIAL-BAL-2020'!R440</f>
        <v>0</v>
      </c>
      <c r="Z440" s="528">
        <f>+'NF-KSF-TRIAL-BAL-2020'!S440+'RA-TRIAL-BAL-2020'!S440+'DES-TRIAL-BAL-2020'!S440+'DMP-TRIAL-BAL-2020'!S440</f>
        <v>0</v>
      </c>
      <c r="AA440" s="347">
        <f>+'NF-KSF-TRIAL-BAL-2020'!T440+'RA-TRIAL-BAL-2020'!T440+'DES-TRIAL-BAL-2020'!T440+'DMP-TRIAL-BAL-2020'!T440</f>
        <v>0</v>
      </c>
      <c r="AB440" s="51"/>
      <c r="AC440" s="8">
        <v>0</v>
      </c>
      <c r="AD440" s="9">
        <v>0</v>
      </c>
      <c r="AE440" s="29">
        <v>0</v>
      </c>
      <c r="AF440" s="9">
        <v>0</v>
      </c>
      <c r="AG440" s="27">
        <f t="shared" si="239"/>
        <v>0</v>
      </c>
      <c r="AH440" s="28">
        <f t="shared" si="235"/>
        <v>0</v>
      </c>
      <c r="AI440" s="51"/>
      <c r="AJ440" s="1497">
        <f t="shared" si="226"/>
        <v>6078</v>
      </c>
      <c r="AK440" s="8">
        <v>0</v>
      </c>
      <c r="AL440" s="9">
        <v>0</v>
      </c>
      <c r="AM440" s="326">
        <f t="shared" si="233"/>
        <v>0</v>
      </c>
      <c r="AN440" s="970">
        <f t="shared" si="233"/>
        <v>0</v>
      </c>
      <c r="AO440" s="326">
        <f t="shared" si="236"/>
        <v>0</v>
      </c>
      <c r="AP440" s="327">
        <f t="shared" si="237"/>
        <v>0</v>
      </c>
      <c r="AQ440" s="43"/>
      <c r="AR440" s="358">
        <f t="shared" si="220"/>
        <v>0</v>
      </c>
      <c r="AS440" s="359">
        <f t="shared" si="221"/>
        <v>0</v>
      </c>
      <c r="AT440" s="360">
        <f t="shared" si="222"/>
        <v>0</v>
      </c>
      <c r="AU440" s="43"/>
      <c r="AV440" s="43"/>
      <c r="AW440" s="119"/>
      <c r="AX440" s="2125">
        <f>+IF(OR(AC440&lt;&gt;0,AD440&lt;&gt;0,AE440&lt;&gt;0,AF440&lt;&gt;0,AG440&lt;&gt;0,AH440&lt;&gt;0),+IF(ABS(AC440+AE440)-ABS(AD440+AF440)&lt;&gt;0,ABS(AC440+AE440)-ABS(AD440+AF440),1),0)</f>
        <v>0</v>
      </c>
      <c r="AY440" s="43"/>
      <c r="AZ440" s="43"/>
      <c r="BA440" s="43"/>
      <c r="BB440" s="43"/>
      <c r="BC440" s="43"/>
      <c r="BD440" s="43"/>
    </row>
    <row r="441" spans="1:56" ht="15.75">
      <c r="A441" s="88">
        <v>6079</v>
      </c>
      <c r="B441" s="1032" t="s">
        <v>457</v>
      </c>
      <c r="C441" s="1033"/>
      <c r="D441" s="1033"/>
      <c r="E441" s="1033"/>
      <c r="F441" s="1033"/>
      <c r="G441" s="1033"/>
      <c r="H441" s="1033"/>
      <c r="I441" s="1033"/>
      <c r="J441" s="1033"/>
      <c r="K441" s="1033"/>
      <c r="L441" s="90"/>
      <c r="M441" s="51" t="s">
        <v>265</v>
      </c>
      <c r="N441" s="113">
        <f t="shared" si="212"/>
        <v>6079</v>
      </c>
      <c r="O441" s="8">
        <v>0</v>
      </c>
      <c r="P441" s="9">
        <v>0</v>
      </c>
      <c r="Q441" s="325">
        <v>0</v>
      </c>
      <c r="R441" s="324">
        <v>0</v>
      </c>
      <c r="S441" s="27">
        <f t="shared" si="238"/>
        <v>0</v>
      </c>
      <c r="T441" s="28">
        <f t="shared" si="234"/>
        <v>0</v>
      </c>
      <c r="U441" s="51"/>
      <c r="V441" s="541">
        <f>+'NF-KSF-TRIAL-BAL-2020'!O441+'RA-TRIAL-BAL-2020'!O441+'DES-TRIAL-BAL-2020'!O441+'DMP-TRIAL-BAL-2020'!O441</f>
        <v>0</v>
      </c>
      <c r="W441" s="529">
        <f>+'NF-KSF-TRIAL-BAL-2020'!P441+'RA-TRIAL-BAL-2020'!P441+'DES-TRIAL-BAL-2020'!P441+'DMP-TRIAL-BAL-2020'!P441</f>
        <v>0</v>
      </c>
      <c r="X441" s="528">
        <f>+'NF-KSF-TRIAL-BAL-2020'!Q441+'RA-TRIAL-BAL-2020'!Q441+'DES-TRIAL-BAL-2020'!Q441+'DMP-TRIAL-BAL-2020'!Q441</f>
        <v>0</v>
      </c>
      <c r="Y441" s="529">
        <f>+'NF-KSF-TRIAL-BAL-2020'!R441+'RA-TRIAL-BAL-2020'!R441+'DES-TRIAL-BAL-2020'!R441+'DMP-TRIAL-BAL-2020'!R441</f>
        <v>0</v>
      </c>
      <c r="Z441" s="528">
        <f>+'NF-KSF-TRIAL-BAL-2020'!S441+'RA-TRIAL-BAL-2020'!S441+'DES-TRIAL-BAL-2020'!S441+'DMP-TRIAL-BAL-2020'!S441</f>
        <v>0</v>
      </c>
      <c r="AA441" s="347">
        <f>+'NF-KSF-TRIAL-BAL-2020'!T441+'RA-TRIAL-BAL-2020'!T441+'DES-TRIAL-BAL-2020'!T441+'DMP-TRIAL-BAL-2020'!T441</f>
        <v>0</v>
      </c>
      <c r="AB441" s="51"/>
      <c r="AC441" s="8">
        <v>0</v>
      </c>
      <c r="AD441" s="9">
        <v>0</v>
      </c>
      <c r="AE441" s="29">
        <v>0</v>
      </c>
      <c r="AF441" s="9">
        <v>0</v>
      </c>
      <c r="AG441" s="27">
        <f t="shared" si="239"/>
        <v>0</v>
      </c>
      <c r="AH441" s="28">
        <f t="shared" si="235"/>
        <v>0</v>
      </c>
      <c r="AI441" s="51"/>
      <c r="AJ441" s="1497">
        <f t="shared" si="226"/>
        <v>6079</v>
      </c>
      <c r="AK441" s="8">
        <v>0</v>
      </c>
      <c r="AL441" s="9">
        <v>0</v>
      </c>
      <c r="AM441" s="326">
        <f t="shared" si="233"/>
        <v>0</v>
      </c>
      <c r="AN441" s="970">
        <f t="shared" si="233"/>
        <v>0</v>
      </c>
      <c r="AO441" s="326">
        <f t="shared" si="236"/>
        <v>0</v>
      </c>
      <c r="AP441" s="327">
        <f t="shared" si="237"/>
        <v>0</v>
      </c>
      <c r="AQ441" s="43"/>
      <c r="AR441" s="358">
        <f t="shared" si="220"/>
        <v>0</v>
      </c>
      <c r="AS441" s="359">
        <f t="shared" si="221"/>
        <v>0</v>
      </c>
      <c r="AT441" s="360">
        <f t="shared" si="222"/>
        <v>0</v>
      </c>
      <c r="AU441" s="43"/>
      <c r="AV441" s="43"/>
      <c r="AW441" s="119"/>
      <c r="AX441" s="2125">
        <f>+IF(OR(AC441&lt;&gt;0,AD441&lt;&gt;0,AE441&lt;&gt;0,AF441&lt;&gt;0,AG441&lt;&gt;0,AH441&lt;&gt;0),+IF(ABS(AC441+AE441)-ABS(AD441+AF441)&lt;&gt;0,ABS(AC441+AE441)-ABS(AD441+AF441),1),0)</f>
        <v>0</v>
      </c>
      <c r="AY441" s="43"/>
      <c r="AZ441" s="43"/>
      <c r="BA441" s="43"/>
      <c r="BB441" s="43"/>
      <c r="BC441" s="43"/>
      <c r="BD441" s="43"/>
    </row>
    <row r="442" spans="1:56" ht="15.75">
      <c r="A442" s="88">
        <v>6080</v>
      </c>
      <c r="B442" s="1032" t="s">
        <v>458</v>
      </c>
      <c r="C442" s="1033"/>
      <c r="D442" s="1033"/>
      <c r="E442" s="1033"/>
      <c r="F442" s="1033"/>
      <c r="G442" s="1033"/>
      <c r="H442" s="1033"/>
      <c r="I442" s="1033"/>
      <c r="J442" s="1033"/>
      <c r="K442" s="1033"/>
      <c r="L442" s="90"/>
      <c r="M442" s="51" t="s">
        <v>265</v>
      </c>
      <c r="N442" s="113">
        <f>+A442</f>
        <v>6080</v>
      </c>
      <c r="O442" s="8">
        <v>0</v>
      </c>
      <c r="P442" s="9">
        <v>0</v>
      </c>
      <c r="Q442" s="325"/>
      <c r="R442" s="324"/>
      <c r="S442" s="27">
        <f>+IF(ABS(+O442+Q442)&gt;=ABS(P442+R442),+O442-P442+Q442-R442,0)</f>
        <v>0</v>
      </c>
      <c r="T442" s="28">
        <f>+IF(ABS(+O442+Q442)&lt;=ABS(P442+R442),-O442+P442-Q442+R442,0)</f>
        <v>0</v>
      </c>
      <c r="U442" s="51"/>
      <c r="V442" s="541">
        <f>+'NF-KSF-TRIAL-BAL-2020'!O442+'RA-TRIAL-BAL-2020'!O442+'DES-TRIAL-BAL-2020'!O442+'DMP-TRIAL-BAL-2020'!O442</f>
        <v>0</v>
      </c>
      <c r="W442" s="529">
        <f>+'NF-KSF-TRIAL-BAL-2020'!P442+'RA-TRIAL-BAL-2020'!P442+'DES-TRIAL-BAL-2020'!P442+'DMP-TRIAL-BAL-2020'!P442</f>
        <v>0</v>
      </c>
      <c r="X442" s="528">
        <f>+'NF-KSF-TRIAL-BAL-2020'!Q442+'RA-TRIAL-BAL-2020'!Q442+'DES-TRIAL-BAL-2020'!Q442+'DMP-TRIAL-BAL-2020'!Q442</f>
        <v>0</v>
      </c>
      <c r="Y442" s="529">
        <f>+'NF-KSF-TRIAL-BAL-2020'!R442+'RA-TRIAL-BAL-2020'!R442+'DES-TRIAL-BAL-2020'!R442+'DMP-TRIAL-BAL-2020'!R442</f>
        <v>0</v>
      </c>
      <c r="Z442" s="528">
        <f>+'NF-KSF-TRIAL-BAL-2020'!S442+'RA-TRIAL-BAL-2020'!S442+'DES-TRIAL-BAL-2020'!S442+'DMP-TRIAL-BAL-2020'!S442</f>
        <v>0</v>
      </c>
      <c r="AA442" s="347">
        <f>+'NF-KSF-TRIAL-BAL-2020'!T442+'RA-TRIAL-BAL-2020'!T442+'DES-TRIAL-BAL-2020'!T442+'DMP-TRIAL-BAL-2020'!T442</f>
        <v>0</v>
      </c>
      <c r="AB442" s="51"/>
      <c r="AC442" s="8">
        <v>0</v>
      </c>
      <c r="AD442" s="9">
        <v>0</v>
      </c>
      <c r="AE442" s="122"/>
      <c r="AF442" s="121"/>
      <c r="AG442" s="27">
        <f>+IF(ABS(+AC442+AE442)&gt;=ABS(AD442+AF442),+AC442-AD442+AE442-AF442,0)</f>
        <v>0</v>
      </c>
      <c r="AH442" s="28">
        <f>+IF(ABS(+AC442+AE442)&lt;=ABS(AD442+AF442),-AC442+AD442-AE442+AF442,0)</f>
        <v>0</v>
      </c>
      <c r="AI442" s="51"/>
      <c r="AJ442" s="1497">
        <f>+N442</f>
        <v>6080</v>
      </c>
      <c r="AK442" s="8">
        <v>0</v>
      </c>
      <c r="AL442" s="9">
        <v>0</v>
      </c>
      <c r="AM442" s="326">
        <f t="shared" si="233"/>
        <v>0</v>
      </c>
      <c r="AN442" s="970">
        <f t="shared" si="233"/>
        <v>0</v>
      </c>
      <c r="AO442" s="326">
        <f t="shared" si="236"/>
        <v>0</v>
      </c>
      <c r="AP442" s="327">
        <f t="shared" si="237"/>
        <v>0</v>
      </c>
      <c r="AQ442" s="43"/>
      <c r="AR442" s="358">
        <f>+ROUND(+SUM(AK442-AL442)-SUM(O442-P442)-SUM(V442-W442)-SUM(AC442-AD442),2)</f>
        <v>0</v>
      </c>
      <c r="AS442" s="359">
        <f>+ROUND(+SUM(AM442-AN442)-SUM(Q442-R442)-SUM(X442-Y442)-SUM(AE442-AF442),2)</f>
        <v>0</v>
      </c>
      <c r="AT442" s="360">
        <f>+ROUND(+SUM(AO442-AP442)-SUM(S442-T442)-SUM(Z442-AA442)-SUM(AG442-AH442),2)</f>
        <v>0</v>
      </c>
      <c r="AU442" s="43"/>
      <c r="AV442" s="43"/>
      <c r="AW442" s="119"/>
      <c r="AX442" s="119"/>
      <c r="AY442" s="43"/>
      <c r="AZ442" s="43"/>
      <c r="BA442" s="43"/>
      <c r="BB442" s="43"/>
      <c r="BC442" s="43"/>
      <c r="BD442" s="43"/>
    </row>
    <row r="443" spans="1:56" ht="15.75">
      <c r="A443" s="88">
        <v>6081</v>
      </c>
      <c r="B443" s="1032" t="s">
        <v>459</v>
      </c>
      <c r="C443" s="1033"/>
      <c r="D443" s="1033"/>
      <c r="E443" s="1033"/>
      <c r="F443" s="1033"/>
      <c r="G443" s="1033"/>
      <c r="H443" s="1033"/>
      <c r="I443" s="1033"/>
      <c r="J443" s="1033"/>
      <c r="K443" s="1033"/>
      <c r="L443" s="90"/>
      <c r="M443" s="51" t="s">
        <v>265</v>
      </c>
      <c r="N443" s="113">
        <f>+A443</f>
        <v>6081</v>
      </c>
      <c r="O443" s="8">
        <v>0</v>
      </c>
      <c r="P443" s="9">
        <v>0</v>
      </c>
      <c r="Q443" s="325"/>
      <c r="R443" s="324"/>
      <c r="S443" s="27">
        <f>+IF(ABS(+O443+Q443)&gt;=ABS(P443+R443),+O443-P443+Q443-R443,0)</f>
        <v>0</v>
      </c>
      <c r="T443" s="28">
        <f>+IF(ABS(+O443+Q443)&lt;=ABS(P443+R443),-O443+P443-Q443+R443,0)</f>
        <v>0</v>
      </c>
      <c r="U443" s="51"/>
      <c r="V443" s="541">
        <f>+'NF-KSF-TRIAL-BAL-2020'!O443+'RA-TRIAL-BAL-2020'!O443+'DES-TRIAL-BAL-2020'!O443+'DMP-TRIAL-BAL-2020'!O443</f>
        <v>0</v>
      </c>
      <c r="W443" s="529">
        <f>+'NF-KSF-TRIAL-BAL-2020'!P443+'RA-TRIAL-BAL-2020'!P443+'DES-TRIAL-BAL-2020'!P443+'DMP-TRIAL-BAL-2020'!P443</f>
        <v>0</v>
      </c>
      <c r="X443" s="528">
        <f>+'NF-KSF-TRIAL-BAL-2020'!Q443+'RA-TRIAL-BAL-2020'!Q443+'DES-TRIAL-BAL-2020'!Q443+'DMP-TRIAL-BAL-2020'!Q443</f>
        <v>0</v>
      </c>
      <c r="Y443" s="529">
        <f>+'NF-KSF-TRIAL-BAL-2020'!R443+'RA-TRIAL-BAL-2020'!R443+'DES-TRIAL-BAL-2020'!R443+'DMP-TRIAL-BAL-2020'!R443</f>
        <v>0</v>
      </c>
      <c r="Z443" s="528">
        <f>+'NF-KSF-TRIAL-BAL-2020'!S443+'RA-TRIAL-BAL-2020'!S443+'DES-TRIAL-BAL-2020'!S443+'DMP-TRIAL-BAL-2020'!S443</f>
        <v>0</v>
      </c>
      <c r="AA443" s="347">
        <f>+'NF-KSF-TRIAL-BAL-2020'!T443+'RA-TRIAL-BAL-2020'!T443+'DES-TRIAL-BAL-2020'!T443+'DMP-TRIAL-BAL-2020'!T443</f>
        <v>0</v>
      </c>
      <c r="AB443" s="51"/>
      <c r="AC443" s="8">
        <v>0</v>
      </c>
      <c r="AD443" s="9">
        <v>0</v>
      </c>
      <c r="AE443" s="122"/>
      <c r="AF443" s="121"/>
      <c r="AG443" s="27">
        <f>+IF(ABS(+AC443+AE443)&gt;=ABS(AD443+AF443),+AC443-AD443+AE443-AF443,0)</f>
        <v>0</v>
      </c>
      <c r="AH443" s="28">
        <f>+IF(ABS(+AC443+AE443)&lt;=ABS(AD443+AF443),-AC443+AD443-AE443+AF443,0)</f>
        <v>0</v>
      </c>
      <c r="AI443" s="51"/>
      <c r="AJ443" s="1497">
        <f>+N443</f>
        <v>6081</v>
      </c>
      <c r="AK443" s="8">
        <v>0</v>
      </c>
      <c r="AL443" s="9">
        <v>0</v>
      </c>
      <c r="AM443" s="326">
        <f>+ROUND(+Q443+X443+AE443,2)</f>
        <v>0</v>
      </c>
      <c r="AN443" s="970">
        <f>+ROUND(+R443+Y443+AF443,2)</f>
        <v>0</v>
      </c>
      <c r="AO443" s="326">
        <f t="shared" si="236"/>
        <v>0</v>
      </c>
      <c r="AP443" s="327">
        <f t="shared" si="237"/>
        <v>0</v>
      </c>
      <c r="AQ443" s="43"/>
      <c r="AR443" s="358">
        <f>+ROUND(+SUM(AK443-AL443)-SUM(O443-P443)-SUM(V443-W443)-SUM(AC443-AD443),2)</f>
        <v>0</v>
      </c>
      <c r="AS443" s="359">
        <f>+ROUND(+SUM(AM443-AN443)-SUM(Q443-R443)-SUM(X443-Y443)-SUM(AE443-AF443),2)</f>
        <v>0</v>
      </c>
      <c r="AT443" s="360">
        <f>+ROUND(+SUM(AO443-AP443)-SUM(S443-T443)-SUM(Z443-AA443)-SUM(AG443-AH443),2)</f>
        <v>0</v>
      </c>
      <c r="AU443" s="43"/>
      <c r="AV443" s="43"/>
      <c r="AW443" s="119"/>
      <c r="AX443" s="119"/>
      <c r="AY443" s="43"/>
      <c r="AZ443" s="43"/>
      <c r="BA443" s="43"/>
      <c r="BB443" s="43"/>
      <c r="BC443" s="43"/>
      <c r="BD443" s="43"/>
    </row>
    <row r="444" spans="1:56" ht="15.75">
      <c r="A444" s="88">
        <v>6082</v>
      </c>
      <c r="B444" s="1033" t="s">
        <v>460</v>
      </c>
      <c r="C444" s="1033"/>
      <c r="D444" s="1033"/>
      <c r="E444" s="1033"/>
      <c r="F444" s="1033"/>
      <c r="G444" s="1033"/>
      <c r="H444" s="1033"/>
      <c r="I444" s="1033"/>
      <c r="J444" s="1033"/>
      <c r="K444" s="1033"/>
      <c r="L444" s="90"/>
      <c r="M444" s="51" t="s">
        <v>265</v>
      </c>
      <c r="N444" s="113">
        <f t="shared" si="212"/>
        <v>6082</v>
      </c>
      <c r="O444" s="8">
        <v>0</v>
      </c>
      <c r="P444" s="9">
        <v>0</v>
      </c>
      <c r="Q444" s="325"/>
      <c r="R444" s="324"/>
      <c r="S444" s="27">
        <f t="shared" si="238"/>
        <v>0</v>
      </c>
      <c r="T444" s="28">
        <f t="shared" si="234"/>
        <v>0</v>
      </c>
      <c r="U444" s="51"/>
      <c r="V444" s="541">
        <f>+'NF-KSF-TRIAL-BAL-2020'!O444+'RA-TRIAL-BAL-2020'!O444+'DES-TRIAL-BAL-2020'!O444+'DMP-TRIAL-BAL-2020'!O444</f>
        <v>0</v>
      </c>
      <c r="W444" s="529">
        <f>+'NF-KSF-TRIAL-BAL-2020'!P444+'RA-TRIAL-BAL-2020'!P444+'DES-TRIAL-BAL-2020'!P444+'DMP-TRIAL-BAL-2020'!P444</f>
        <v>0</v>
      </c>
      <c r="X444" s="528">
        <f>+'NF-KSF-TRIAL-BAL-2020'!Q444+'RA-TRIAL-BAL-2020'!Q444+'DES-TRIAL-BAL-2020'!Q444+'DMP-TRIAL-BAL-2020'!Q444</f>
        <v>0</v>
      </c>
      <c r="Y444" s="529">
        <f>+'NF-KSF-TRIAL-BAL-2020'!R444+'RA-TRIAL-BAL-2020'!R444+'DES-TRIAL-BAL-2020'!R444+'DMP-TRIAL-BAL-2020'!R444</f>
        <v>0</v>
      </c>
      <c r="Z444" s="528">
        <f>+'NF-KSF-TRIAL-BAL-2020'!S444+'RA-TRIAL-BAL-2020'!S444+'DES-TRIAL-BAL-2020'!S444+'DMP-TRIAL-BAL-2020'!S444</f>
        <v>0</v>
      </c>
      <c r="AA444" s="347">
        <f>+'NF-KSF-TRIAL-BAL-2020'!T444+'RA-TRIAL-BAL-2020'!T444+'DES-TRIAL-BAL-2020'!T444+'DMP-TRIAL-BAL-2020'!T444</f>
        <v>0</v>
      </c>
      <c r="AB444" s="51"/>
      <c r="AC444" s="8">
        <v>0</v>
      </c>
      <c r="AD444" s="9">
        <v>0</v>
      </c>
      <c r="AE444" s="122"/>
      <c r="AF444" s="121"/>
      <c r="AG444" s="27">
        <f t="shared" si="239"/>
        <v>0</v>
      </c>
      <c r="AH444" s="28">
        <f t="shared" si="235"/>
        <v>0</v>
      </c>
      <c r="AI444" s="51"/>
      <c r="AJ444" s="1497">
        <f t="shared" si="226"/>
        <v>6082</v>
      </c>
      <c r="AK444" s="8">
        <v>0</v>
      </c>
      <c r="AL444" s="9">
        <v>0</v>
      </c>
      <c r="AM444" s="326">
        <f t="shared" si="233"/>
        <v>0</v>
      </c>
      <c r="AN444" s="970">
        <f t="shared" si="233"/>
        <v>0</v>
      </c>
      <c r="AO444" s="326">
        <f t="shared" si="236"/>
        <v>0</v>
      </c>
      <c r="AP444" s="327">
        <f t="shared" si="237"/>
        <v>0</v>
      </c>
      <c r="AQ444" s="43"/>
      <c r="AR444" s="358">
        <f t="shared" si="220"/>
        <v>0</v>
      </c>
      <c r="AS444" s="359">
        <f t="shared" si="221"/>
        <v>0</v>
      </c>
      <c r="AT444" s="360">
        <f t="shared" si="222"/>
        <v>0</v>
      </c>
      <c r="AU444" s="43"/>
      <c r="AV444" s="43"/>
      <c r="AW444" s="119"/>
      <c r="AX444" s="119"/>
      <c r="AY444" s="43"/>
      <c r="AZ444" s="43"/>
      <c r="BA444" s="43"/>
      <c r="BB444" s="43"/>
      <c r="BC444" s="43"/>
      <c r="BD444" s="43"/>
    </row>
    <row r="445" spans="1:56" ht="15.75">
      <c r="A445" s="88">
        <v>6087</v>
      </c>
      <c r="B445" s="1033" t="s">
        <v>461</v>
      </c>
      <c r="C445" s="1033"/>
      <c r="D445" s="1033"/>
      <c r="E445" s="1033"/>
      <c r="F445" s="1033"/>
      <c r="G445" s="1033"/>
      <c r="H445" s="1033"/>
      <c r="I445" s="1033"/>
      <c r="J445" s="1033"/>
      <c r="K445" s="1033"/>
      <c r="L445" s="90"/>
      <c r="M445" s="51" t="s">
        <v>265</v>
      </c>
      <c r="N445" s="113">
        <f t="shared" si="212"/>
        <v>6087</v>
      </c>
      <c r="O445" s="8">
        <v>0</v>
      </c>
      <c r="P445" s="9">
        <v>0</v>
      </c>
      <c r="Q445" s="325"/>
      <c r="R445" s="324"/>
      <c r="S445" s="27">
        <f t="shared" si="238"/>
        <v>0</v>
      </c>
      <c r="T445" s="28">
        <f t="shared" si="234"/>
        <v>0</v>
      </c>
      <c r="U445" s="51"/>
      <c r="V445" s="541">
        <f>+'NF-KSF-TRIAL-BAL-2020'!O445+'RA-TRIAL-BAL-2020'!O445+'DES-TRIAL-BAL-2020'!O445+'DMP-TRIAL-BAL-2020'!O445</f>
        <v>0</v>
      </c>
      <c r="W445" s="529">
        <f>+'NF-KSF-TRIAL-BAL-2020'!P445+'RA-TRIAL-BAL-2020'!P445+'DES-TRIAL-BAL-2020'!P445+'DMP-TRIAL-BAL-2020'!P445</f>
        <v>0</v>
      </c>
      <c r="X445" s="528">
        <f>+'NF-KSF-TRIAL-BAL-2020'!Q445+'RA-TRIAL-BAL-2020'!Q445+'DES-TRIAL-BAL-2020'!Q445+'DMP-TRIAL-BAL-2020'!Q445</f>
        <v>0</v>
      </c>
      <c r="Y445" s="529">
        <f>+'NF-KSF-TRIAL-BAL-2020'!R445+'RA-TRIAL-BAL-2020'!R445+'DES-TRIAL-BAL-2020'!R445+'DMP-TRIAL-BAL-2020'!R445</f>
        <v>0</v>
      </c>
      <c r="Z445" s="528">
        <f>+'NF-KSF-TRIAL-BAL-2020'!S445+'RA-TRIAL-BAL-2020'!S445+'DES-TRIAL-BAL-2020'!S445+'DMP-TRIAL-BAL-2020'!S445</f>
        <v>0</v>
      </c>
      <c r="AA445" s="347">
        <f>+'NF-KSF-TRIAL-BAL-2020'!T445+'RA-TRIAL-BAL-2020'!T445+'DES-TRIAL-BAL-2020'!T445+'DMP-TRIAL-BAL-2020'!T445</f>
        <v>0</v>
      </c>
      <c r="AB445" s="51"/>
      <c r="AC445" s="8">
        <v>0</v>
      </c>
      <c r="AD445" s="9">
        <v>0</v>
      </c>
      <c r="AE445" s="122"/>
      <c r="AF445" s="121"/>
      <c r="AG445" s="27">
        <f t="shared" si="239"/>
        <v>0</v>
      </c>
      <c r="AH445" s="28">
        <f t="shared" si="235"/>
        <v>0</v>
      </c>
      <c r="AI445" s="51"/>
      <c r="AJ445" s="1497">
        <f t="shared" si="226"/>
        <v>6087</v>
      </c>
      <c r="AK445" s="8">
        <v>0</v>
      </c>
      <c r="AL445" s="9">
        <v>0</v>
      </c>
      <c r="AM445" s="326">
        <f t="shared" si="233"/>
        <v>0</v>
      </c>
      <c r="AN445" s="970">
        <f t="shared" si="233"/>
        <v>0</v>
      </c>
      <c r="AO445" s="326">
        <f t="shared" si="236"/>
        <v>0</v>
      </c>
      <c r="AP445" s="327">
        <f t="shared" si="237"/>
        <v>0</v>
      </c>
      <c r="AQ445" s="43"/>
      <c r="AR445" s="358">
        <f t="shared" si="220"/>
        <v>0</v>
      </c>
      <c r="AS445" s="359">
        <f t="shared" si="221"/>
        <v>0</v>
      </c>
      <c r="AT445" s="360">
        <f t="shared" si="222"/>
        <v>0</v>
      </c>
      <c r="AU445" s="43"/>
      <c r="AV445" s="43"/>
      <c r="AW445" s="119"/>
      <c r="AX445" s="119"/>
      <c r="AY445" s="43"/>
      <c r="AZ445" s="43"/>
      <c r="BA445" s="43"/>
      <c r="BB445" s="43"/>
      <c r="BC445" s="43"/>
      <c r="BD445" s="43"/>
    </row>
    <row r="446" spans="1:56" ht="15.75">
      <c r="A446" s="88">
        <v>6089</v>
      </c>
      <c r="B446" s="1033" t="s">
        <v>462</v>
      </c>
      <c r="C446" s="1033"/>
      <c r="D446" s="1033"/>
      <c r="E446" s="1033"/>
      <c r="F446" s="1033"/>
      <c r="G446" s="1033"/>
      <c r="H446" s="1033"/>
      <c r="I446" s="1033"/>
      <c r="J446" s="1033"/>
      <c r="K446" s="1033"/>
      <c r="L446" s="90"/>
      <c r="M446" s="51" t="s">
        <v>265</v>
      </c>
      <c r="N446" s="113">
        <f t="shared" si="212"/>
        <v>6089</v>
      </c>
      <c r="O446" s="8">
        <v>0</v>
      </c>
      <c r="P446" s="9">
        <v>0</v>
      </c>
      <c r="Q446" s="325"/>
      <c r="R446" s="324"/>
      <c r="S446" s="27">
        <f t="shared" si="238"/>
        <v>0</v>
      </c>
      <c r="T446" s="28">
        <f t="shared" si="234"/>
        <v>0</v>
      </c>
      <c r="U446" s="51"/>
      <c r="V446" s="541">
        <f>+'NF-KSF-TRIAL-BAL-2020'!O446+'RA-TRIAL-BAL-2020'!O446+'DES-TRIAL-BAL-2020'!O446+'DMP-TRIAL-BAL-2020'!O446</f>
        <v>0</v>
      </c>
      <c r="W446" s="529">
        <f>+'NF-KSF-TRIAL-BAL-2020'!P446+'RA-TRIAL-BAL-2020'!P446+'DES-TRIAL-BAL-2020'!P446+'DMP-TRIAL-BAL-2020'!P446</f>
        <v>0</v>
      </c>
      <c r="X446" s="528">
        <f>+'NF-KSF-TRIAL-BAL-2020'!Q446+'RA-TRIAL-BAL-2020'!Q446+'DES-TRIAL-BAL-2020'!Q446+'DMP-TRIAL-BAL-2020'!Q446</f>
        <v>0</v>
      </c>
      <c r="Y446" s="529">
        <f>+'NF-KSF-TRIAL-BAL-2020'!R446+'RA-TRIAL-BAL-2020'!R446+'DES-TRIAL-BAL-2020'!R446+'DMP-TRIAL-BAL-2020'!R446</f>
        <v>0</v>
      </c>
      <c r="Z446" s="528">
        <f>+'NF-KSF-TRIAL-BAL-2020'!S446+'RA-TRIAL-BAL-2020'!S446+'DES-TRIAL-BAL-2020'!S446+'DMP-TRIAL-BAL-2020'!S446</f>
        <v>0</v>
      </c>
      <c r="AA446" s="347">
        <f>+'NF-KSF-TRIAL-BAL-2020'!T446+'RA-TRIAL-BAL-2020'!T446+'DES-TRIAL-BAL-2020'!T446+'DMP-TRIAL-BAL-2020'!T446</f>
        <v>0</v>
      </c>
      <c r="AB446" s="51"/>
      <c r="AC446" s="8">
        <v>0</v>
      </c>
      <c r="AD446" s="9">
        <v>0</v>
      </c>
      <c r="AE446" s="122"/>
      <c r="AF446" s="121"/>
      <c r="AG446" s="27">
        <f t="shared" si="239"/>
        <v>0</v>
      </c>
      <c r="AH446" s="28">
        <f t="shared" si="235"/>
        <v>0</v>
      </c>
      <c r="AI446" s="51"/>
      <c r="AJ446" s="1497">
        <f t="shared" si="226"/>
        <v>6089</v>
      </c>
      <c r="AK446" s="8">
        <v>0</v>
      </c>
      <c r="AL446" s="9">
        <v>0</v>
      </c>
      <c r="AM446" s="326">
        <f t="shared" si="233"/>
        <v>0</v>
      </c>
      <c r="AN446" s="970">
        <f t="shared" si="233"/>
        <v>0</v>
      </c>
      <c r="AO446" s="326">
        <f t="shared" si="236"/>
        <v>0</v>
      </c>
      <c r="AP446" s="327">
        <f t="shared" si="237"/>
        <v>0</v>
      </c>
      <c r="AQ446" s="43"/>
      <c r="AR446" s="358">
        <f t="shared" si="220"/>
        <v>0</v>
      </c>
      <c r="AS446" s="359">
        <f t="shared" si="221"/>
        <v>0</v>
      </c>
      <c r="AT446" s="360">
        <f t="shared" si="222"/>
        <v>0</v>
      </c>
      <c r="AU446" s="43"/>
      <c r="AV446" s="43"/>
      <c r="AW446" s="119"/>
      <c r="AX446" s="119"/>
      <c r="AY446" s="43"/>
      <c r="AZ446" s="43"/>
      <c r="BA446" s="43"/>
      <c r="BB446" s="43"/>
      <c r="BC446" s="43"/>
      <c r="BD446" s="43"/>
    </row>
    <row r="447" spans="1:56" ht="15.75">
      <c r="A447" s="88">
        <v>6090</v>
      </c>
      <c r="B447" s="1032" t="s">
        <v>463</v>
      </c>
      <c r="C447" s="1033"/>
      <c r="D447" s="1033"/>
      <c r="E447" s="1033"/>
      <c r="F447" s="1033"/>
      <c r="G447" s="1033"/>
      <c r="H447" s="1033"/>
      <c r="I447" s="1033"/>
      <c r="J447" s="1033"/>
      <c r="K447" s="1033"/>
      <c r="L447" s="90"/>
      <c r="M447" s="51" t="s">
        <v>265</v>
      </c>
      <c r="N447" s="113">
        <f>+A447</f>
        <v>6090</v>
      </c>
      <c r="O447" s="8">
        <v>0</v>
      </c>
      <c r="P447" s="9">
        <v>0</v>
      </c>
      <c r="Q447" s="325"/>
      <c r="R447" s="324"/>
      <c r="S447" s="27">
        <f>+IF(ABS(+O447+Q447)&gt;=ABS(P447+R447),+O447-P447+Q447-R447,0)</f>
        <v>0</v>
      </c>
      <c r="T447" s="28">
        <f>+IF(ABS(+O447+Q447)&lt;=ABS(P447+R447),-O447+P447-Q447+R447,0)</f>
        <v>0</v>
      </c>
      <c r="U447" s="51"/>
      <c r="V447" s="541">
        <f>+'NF-KSF-TRIAL-BAL-2020'!O447+'RA-TRIAL-BAL-2020'!O447+'DES-TRIAL-BAL-2020'!O447+'DMP-TRIAL-BAL-2020'!O447</f>
        <v>0</v>
      </c>
      <c r="W447" s="529">
        <f>+'NF-KSF-TRIAL-BAL-2020'!P447+'RA-TRIAL-BAL-2020'!P447+'DES-TRIAL-BAL-2020'!P447+'DMP-TRIAL-BAL-2020'!P447</f>
        <v>0</v>
      </c>
      <c r="X447" s="528">
        <f>+'NF-KSF-TRIAL-BAL-2020'!Q447+'RA-TRIAL-BAL-2020'!Q447+'DES-TRIAL-BAL-2020'!Q447+'DMP-TRIAL-BAL-2020'!Q447</f>
        <v>0</v>
      </c>
      <c r="Y447" s="529">
        <f>+'NF-KSF-TRIAL-BAL-2020'!R447+'RA-TRIAL-BAL-2020'!R447+'DES-TRIAL-BAL-2020'!R447+'DMP-TRIAL-BAL-2020'!R447</f>
        <v>0</v>
      </c>
      <c r="Z447" s="528">
        <f>+'NF-KSF-TRIAL-BAL-2020'!S447+'RA-TRIAL-BAL-2020'!S447+'DES-TRIAL-BAL-2020'!S447+'DMP-TRIAL-BAL-2020'!S447</f>
        <v>0</v>
      </c>
      <c r="AA447" s="347">
        <f>+'NF-KSF-TRIAL-BAL-2020'!T447+'RA-TRIAL-BAL-2020'!T447+'DES-TRIAL-BAL-2020'!T447+'DMP-TRIAL-BAL-2020'!T447</f>
        <v>0</v>
      </c>
      <c r="AB447" s="51"/>
      <c r="AC447" s="8">
        <v>0</v>
      </c>
      <c r="AD447" s="9">
        <v>0</v>
      </c>
      <c r="AE447" s="122"/>
      <c r="AF447" s="121"/>
      <c r="AG447" s="27">
        <f>+IF(ABS(+AC447+AE447)&gt;=ABS(AD447+AF447),+AC447-AD447+AE447-AF447,0)</f>
        <v>0</v>
      </c>
      <c r="AH447" s="28">
        <f>+IF(ABS(+AC447+AE447)&lt;=ABS(AD447+AF447),-AC447+AD447-AE447+AF447,0)</f>
        <v>0</v>
      </c>
      <c r="AI447" s="51"/>
      <c r="AJ447" s="1497">
        <f>+N447</f>
        <v>6090</v>
      </c>
      <c r="AK447" s="8">
        <v>0</v>
      </c>
      <c r="AL447" s="9">
        <v>0</v>
      </c>
      <c r="AM447" s="326">
        <f>+ROUND(+Q447+X447+AE447,2)</f>
        <v>0</v>
      </c>
      <c r="AN447" s="970">
        <f>+ROUND(+R447+Y447+AF447,2)</f>
        <v>0</v>
      </c>
      <c r="AO447" s="326">
        <f t="shared" si="236"/>
        <v>0</v>
      </c>
      <c r="AP447" s="327">
        <f t="shared" si="237"/>
        <v>0</v>
      </c>
      <c r="AQ447" s="43"/>
      <c r="AR447" s="358">
        <f>+ROUND(+SUM(AK447-AL447)-SUM(O447-P447)-SUM(V447-W447)-SUM(AC447-AD447),2)</f>
        <v>0</v>
      </c>
      <c r="AS447" s="359">
        <f>+ROUND(+SUM(AM447-AN447)-SUM(Q447-R447)-SUM(X447-Y447)-SUM(AE447-AF447),2)</f>
        <v>0</v>
      </c>
      <c r="AT447" s="360">
        <f>+ROUND(+SUM(AO447-AP447)-SUM(S447-T447)-SUM(Z447-AA447)-SUM(AG447-AH447),2)</f>
        <v>0</v>
      </c>
      <c r="AU447" s="43"/>
      <c r="AV447" s="43"/>
      <c r="AW447" s="119"/>
      <c r="AX447" s="119"/>
      <c r="AY447" s="43"/>
      <c r="AZ447" s="43"/>
      <c r="BA447" s="43"/>
      <c r="BB447" s="43"/>
      <c r="BC447" s="43"/>
      <c r="BD447" s="43"/>
    </row>
    <row r="448" spans="1:56" ht="15.75">
      <c r="A448" s="88">
        <v>6091</v>
      </c>
      <c r="B448" s="1033" t="s">
        <v>464</v>
      </c>
      <c r="C448" s="1033"/>
      <c r="D448" s="1033"/>
      <c r="E448" s="1033"/>
      <c r="F448" s="1033"/>
      <c r="G448" s="1033"/>
      <c r="H448" s="1033"/>
      <c r="I448" s="1033"/>
      <c r="J448" s="1033"/>
      <c r="K448" s="1033"/>
      <c r="L448" s="90"/>
      <c r="M448" s="51" t="s">
        <v>265</v>
      </c>
      <c r="N448" s="113">
        <f t="shared" si="212"/>
        <v>6091</v>
      </c>
      <c r="O448" s="8">
        <v>0</v>
      </c>
      <c r="P448" s="9">
        <v>0</v>
      </c>
      <c r="Q448" s="325">
        <v>0</v>
      </c>
      <c r="R448" s="324">
        <v>0</v>
      </c>
      <c r="S448" s="27">
        <f t="shared" si="238"/>
        <v>0</v>
      </c>
      <c r="T448" s="28">
        <f t="shared" si="234"/>
        <v>0</v>
      </c>
      <c r="U448" s="51"/>
      <c r="V448" s="541">
        <f>+'NF-KSF-TRIAL-BAL-2020'!O448+'RA-TRIAL-BAL-2020'!O448+'DES-TRIAL-BAL-2020'!O448+'DMP-TRIAL-BAL-2020'!O448</f>
        <v>0</v>
      </c>
      <c r="W448" s="529">
        <f>+'NF-KSF-TRIAL-BAL-2020'!P448+'RA-TRIAL-BAL-2020'!P448+'DES-TRIAL-BAL-2020'!P448+'DMP-TRIAL-BAL-2020'!P448</f>
        <v>0</v>
      </c>
      <c r="X448" s="528">
        <f>+'NF-KSF-TRIAL-BAL-2020'!Q448+'RA-TRIAL-BAL-2020'!Q448+'DES-TRIAL-BAL-2020'!Q448+'DMP-TRIAL-BAL-2020'!Q448</f>
        <v>0</v>
      </c>
      <c r="Y448" s="529">
        <f>+'NF-KSF-TRIAL-BAL-2020'!R448+'RA-TRIAL-BAL-2020'!R448+'DES-TRIAL-BAL-2020'!R448+'DMP-TRIAL-BAL-2020'!R448</f>
        <v>0</v>
      </c>
      <c r="Z448" s="528">
        <f>+'NF-KSF-TRIAL-BAL-2020'!S448+'RA-TRIAL-BAL-2020'!S448+'DES-TRIAL-BAL-2020'!S448+'DMP-TRIAL-BAL-2020'!S448</f>
        <v>0</v>
      </c>
      <c r="AA448" s="347">
        <f>+'NF-KSF-TRIAL-BAL-2020'!T448+'RA-TRIAL-BAL-2020'!T448+'DES-TRIAL-BAL-2020'!T448+'DMP-TRIAL-BAL-2020'!T448</f>
        <v>0</v>
      </c>
      <c r="AB448" s="51"/>
      <c r="AC448" s="8">
        <v>0</v>
      </c>
      <c r="AD448" s="9">
        <v>0</v>
      </c>
      <c r="AE448" s="122">
        <v>0</v>
      </c>
      <c r="AF448" s="121">
        <v>0</v>
      </c>
      <c r="AG448" s="27">
        <f t="shared" si="239"/>
        <v>0</v>
      </c>
      <c r="AH448" s="28">
        <f t="shared" si="235"/>
        <v>0</v>
      </c>
      <c r="AI448" s="51"/>
      <c r="AJ448" s="1497">
        <f t="shared" si="226"/>
        <v>6091</v>
      </c>
      <c r="AK448" s="8">
        <v>0</v>
      </c>
      <c r="AL448" s="9">
        <v>0</v>
      </c>
      <c r="AM448" s="326">
        <f t="shared" si="233"/>
        <v>0</v>
      </c>
      <c r="AN448" s="970">
        <f t="shared" si="233"/>
        <v>0</v>
      </c>
      <c r="AO448" s="326">
        <f t="shared" si="236"/>
        <v>0</v>
      </c>
      <c r="AP448" s="327">
        <f t="shared" si="237"/>
        <v>0</v>
      </c>
      <c r="AQ448" s="43"/>
      <c r="AR448" s="358">
        <f t="shared" si="220"/>
        <v>0</v>
      </c>
      <c r="AS448" s="359">
        <f t="shared" si="221"/>
        <v>0</v>
      </c>
      <c r="AT448" s="360">
        <f t="shared" si="222"/>
        <v>0</v>
      </c>
      <c r="AU448" s="43"/>
      <c r="AV448" s="43"/>
      <c r="AW448" s="119"/>
      <c r="AX448" s="119"/>
      <c r="AY448" s="43"/>
      <c r="AZ448" s="43"/>
      <c r="BA448" s="43"/>
      <c r="BB448" s="43"/>
      <c r="BC448" s="43"/>
      <c r="BD448" s="43"/>
    </row>
    <row r="449" spans="1:56" ht="15.75">
      <c r="A449" s="88">
        <v>6092</v>
      </c>
      <c r="B449" s="1032" t="s">
        <v>465</v>
      </c>
      <c r="C449" s="1033"/>
      <c r="D449" s="1033"/>
      <c r="E449" s="1033"/>
      <c r="F449" s="1033"/>
      <c r="G449" s="1033"/>
      <c r="H449" s="1033"/>
      <c r="I449" s="1033"/>
      <c r="J449" s="1033"/>
      <c r="K449" s="1033"/>
      <c r="L449" s="90"/>
      <c r="M449" s="51" t="s">
        <v>265</v>
      </c>
      <c r="N449" s="113">
        <f>+A449</f>
        <v>6092</v>
      </c>
      <c r="O449" s="8">
        <v>0</v>
      </c>
      <c r="P449" s="9">
        <v>0</v>
      </c>
      <c r="Q449" s="325"/>
      <c r="R449" s="324"/>
      <c r="S449" s="27">
        <f>+IF(ABS(+O449+Q449)&gt;=ABS(P449+R449),+O449-P449+Q449-R449,0)</f>
        <v>0</v>
      </c>
      <c r="T449" s="28">
        <f>+IF(ABS(+O449+Q449)&lt;=ABS(P449+R449),-O449+P449-Q449+R449,0)</f>
        <v>0</v>
      </c>
      <c r="U449" s="51"/>
      <c r="V449" s="541">
        <f>+'NF-KSF-TRIAL-BAL-2020'!O449+'RA-TRIAL-BAL-2020'!O449+'DES-TRIAL-BAL-2020'!O449+'DMP-TRIAL-BAL-2020'!O449</f>
        <v>0</v>
      </c>
      <c r="W449" s="529">
        <f>+'NF-KSF-TRIAL-BAL-2020'!P449+'RA-TRIAL-BAL-2020'!P449+'DES-TRIAL-BAL-2020'!P449+'DMP-TRIAL-BAL-2020'!P449</f>
        <v>0</v>
      </c>
      <c r="X449" s="528">
        <f>+'NF-KSF-TRIAL-BAL-2020'!Q449+'RA-TRIAL-BAL-2020'!Q449+'DES-TRIAL-BAL-2020'!Q449+'DMP-TRIAL-BAL-2020'!Q449</f>
        <v>0</v>
      </c>
      <c r="Y449" s="529">
        <f>+'NF-KSF-TRIAL-BAL-2020'!R449+'RA-TRIAL-BAL-2020'!R449+'DES-TRIAL-BAL-2020'!R449+'DMP-TRIAL-BAL-2020'!R449</f>
        <v>0</v>
      </c>
      <c r="Z449" s="528">
        <f>+'NF-KSF-TRIAL-BAL-2020'!S449+'RA-TRIAL-BAL-2020'!S449+'DES-TRIAL-BAL-2020'!S449+'DMP-TRIAL-BAL-2020'!S449</f>
        <v>0</v>
      </c>
      <c r="AA449" s="347">
        <f>+'NF-KSF-TRIAL-BAL-2020'!T449+'RA-TRIAL-BAL-2020'!T449+'DES-TRIAL-BAL-2020'!T449+'DMP-TRIAL-BAL-2020'!T449</f>
        <v>0</v>
      </c>
      <c r="AB449" s="51"/>
      <c r="AC449" s="8">
        <v>0</v>
      </c>
      <c r="AD449" s="9">
        <v>0</v>
      </c>
      <c r="AE449" s="122"/>
      <c r="AF449" s="121"/>
      <c r="AG449" s="27">
        <f>+IF(ABS(+AC449+AE449)&gt;=ABS(AD449+AF449),+AC449-AD449+AE449-AF449,0)</f>
        <v>0</v>
      </c>
      <c r="AH449" s="28">
        <f>+IF(ABS(+AC449+AE449)&lt;=ABS(AD449+AF449),-AC449+AD449-AE449+AF449,0)</f>
        <v>0</v>
      </c>
      <c r="AI449" s="51"/>
      <c r="AJ449" s="1497">
        <f>+N449</f>
        <v>6092</v>
      </c>
      <c r="AK449" s="8">
        <v>0</v>
      </c>
      <c r="AL449" s="9">
        <v>0</v>
      </c>
      <c r="AM449" s="326">
        <f t="shared" si="233"/>
        <v>0</v>
      </c>
      <c r="AN449" s="970">
        <f t="shared" si="233"/>
        <v>0</v>
      </c>
      <c r="AO449" s="326">
        <f t="shared" si="236"/>
        <v>0</v>
      </c>
      <c r="AP449" s="327">
        <f t="shared" si="237"/>
        <v>0</v>
      </c>
      <c r="AQ449" s="43"/>
      <c r="AR449" s="358">
        <f>+ROUND(+SUM(AK449-AL449)-SUM(O449-P449)-SUM(V449-W449)-SUM(AC449-AD449),2)</f>
        <v>0</v>
      </c>
      <c r="AS449" s="359">
        <f>+ROUND(+SUM(AM449-AN449)-SUM(Q449-R449)-SUM(X449-Y449)-SUM(AE449-AF449),2)</f>
        <v>0</v>
      </c>
      <c r="AT449" s="360">
        <f>+ROUND(+SUM(AO449-AP449)-SUM(S449-T449)-SUM(Z449-AA449)-SUM(AG449-AH449),2)</f>
        <v>0</v>
      </c>
      <c r="AU449" s="43"/>
      <c r="AV449" s="43"/>
      <c r="AW449" s="119"/>
      <c r="AX449" s="119"/>
      <c r="AY449" s="43"/>
      <c r="AZ449" s="43"/>
      <c r="BA449" s="43"/>
      <c r="BB449" s="43"/>
      <c r="BC449" s="43"/>
      <c r="BD449" s="43"/>
    </row>
    <row r="450" spans="1:56" ht="15.75">
      <c r="A450" s="88">
        <v>6093</v>
      </c>
      <c r="B450" s="378" t="s">
        <v>466</v>
      </c>
      <c r="C450" s="1033"/>
      <c r="D450" s="1033"/>
      <c r="E450" s="1033"/>
      <c r="F450" s="1033"/>
      <c r="G450" s="1033"/>
      <c r="H450" s="1033"/>
      <c r="I450" s="1033"/>
      <c r="J450" s="1033"/>
      <c r="K450" s="1033"/>
      <c r="L450" s="90"/>
      <c r="M450" s="51" t="s">
        <v>265</v>
      </c>
      <c r="N450" s="113">
        <f t="shared" si="212"/>
        <v>6093</v>
      </c>
      <c r="O450" s="8">
        <v>0</v>
      </c>
      <c r="P450" s="9">
        <v>0</v>
      </c>
      <c r="Q450" s="325">
        <v>415.36</v>
      </c>
      <c r="R450" s="324">
        <v>0</v>
      </c>
      <c r="S450" s="27">
        <f t="shared" si="238"/>
        <v>415.36</v>
      </c>
      <c r="T450" s="28">
        <f t="shared" si="234"/>
        <v>0</v>
      </c>
      <c r="U450" s="51"/>
      <c r="V450" s="541">
        <f>+'NF-KSF-TRIAL-BAL-2020'!O450+'RA-TRIAL-BAL-2020'!O450+'DES-TRIAL-BAL-2020'!O450+'DMP-TRIAL-BAL-2020'!O450</f>
        <v>0</v>
      </c>
      <c r="W450" s="529">
        <f>+'NF-KSF-TRIAL-BAL-2020'!P450+'RA-TRIAL-BAL-2020'!P450+'DES-TRIAL-BAL-2020'!P450+'DMP-TRIAL-BAL-2020'!P450</f>
        <v>0</v>
      </c>
      <c r="X450" s="528">
        <f>+'NF-KSF-TRIAL-BAL-2020'!Q450+'RA-TRIAL-BAL-2020'!Q450+'DES-TRIAL-BAL-2020'!Q450+'DMP-TRIAL-BAL-2020'!Q450</f>
        <v>0</v>
      </c>
      <c r="Y450" s="529">
        <f>+'NF-KSF-TRIAL-BAL-2020'!R450+'RA-TRIAL-BAL-2020'!R450+'DES-TRIAL-BAL-2020'!R450+'DMP-TRIAL-BAL-2020'!R450</f>
        <v>0</v>
      </c>
      <c r="Z450" s="528">
        <f>+'NF-KSF-TRIAL-BAL-2020'!S450+'RA-TRIAL-BAL-2020'!S450+'DES-TRIAL-BAL-2020'!S450+'DMP-TRIAL-BAL-2020'!S450</f>
        <v>0</v>
      </c>
      <c r="AA450" s="347">
        <f>+'NF-KSF-TRIAL-BAL-2020'!T450+'RA-TRIAL-BAL-2020'!T450+'DES-TRIAL-BAL-2020'!T450+'DMP-TRIAL-BAL-2020'!T450</f>
        <v>0</v>
      </c>
      <c r="AB450" s="51"/>
      <c r="AC450" s="8">
        <v>0</v>
      </c>
      <c r="AD450" s="9">
        <v>0</v>
      </c>
      <c r="AE450" s="122">
        <v>0</v>
      </c>
      <c r="AF450" s="121">
        <v>0</v>
      </c>
      <c r="AG450" s="27">
        <f t="shared" si="239"/>
        <v>0</v>
      </c>
      <c r="AH450" s="28">
        <f t="shared" si="235"/>
        <v>0</v>
      </c>
      <c r="AI450" s="51"/>
      <c r="AJ450" s="1497">
        <f t="shared" si="226"/>
        <v>6093</v>
      </c>
      <c r="AK450" s="8">
        <v>0</v>
      </c>
      <c r="AL450" s="9">
        <v>0</v>
      </c>
      <c r="AM450" s="326">
        <f t="shared" si="233"/>
        <v>415.36</v>
      </c>
      <c r="AN450" s="970">
        <f t="shared" si="233"/>
        <v>0</v>
      </c>
      <c r="AO450" s="326">
        <f t="shared" si="236"/>
        <v>415.36</v>
      </c>
      <c r="AP450" s="327">
        <f t="shared" si="237"/>
        <v>0</v>
      </c>
      <c r="AQ450" s="43"/>
      <c r="AR450" s="358">
        <f t="shared" si="220"/>
        <v>0</v>
      </c>
      <c r="AS450" s="359">
        <f t="shared" si="221"/>
        <v>0</v>
      </c>
      <c r="AT450" s="360">
        <f t="shared" si="222"/>
        <v>0</v>
      </c>
      <c r="AU450" s="43"/>
      <c r="AV450" s="43"/>
      <c r="AW450" s="119"/>
      <c r="AX450" s="119"/>
      <c r="AY450" s="43"/>
      <c r="AZ450" s="43"/>
      <c r="BA450" s="43"/>
      <c r="BB450" s="43"/>
      <c r="BC450" s="43"/>
      <c r="BD450" s="43"/>
    </row>
    <row r="451" spans="1:56" ht="15.75">
      <c r="A451" s="88">
        <v>6094</v>
      </c>
      <c r="B451" s="378" t="s">
        <v>467</v>
      </c>
      <c r="C451" s="1033"/>
      <c r="D451" s="1033"/>
      <c r="E451" s="1033"/>
      <c r="F451" s="1033"/>
      <c r="G451" s="1033"/>
      <c r="H451" s="1033"/>
      <c r="I451" s="1033"/>
      <c r="J451" s="1033"/>
      <c r="K451" s="1033"/>
      <c r="L451" s="90"/>
      <c r="M451" s="51" t="s">
        <v>265</v>
      </c>
      <c r="N451" s="113">
        <f t="shared" si="212"/>
        <v>6094</v>
      </c>
      <c r="O451" s="8">
        <v>0</v>
      </c>
      <c r="P451" s="9">
        <v>0</v>
      </c>
      <c r="Q451" s="325">
        <v>0</v>
      </c>
      <c r="R451" s="324">
        <v>0</v>
      </c>
      <c r="S451" s="27">
        <f t="shared" si="238"/>
        <v>0</v>
      </c>
      <c r="T451" s="28">
        <f t="shared" si="234"/>
        <v>0</v>
      </c>
      <c r="U451" s="51"/>
      <c r="V451" s="541">
        <f>+'NF-KSF-TRIAL-BAL-2020'!O451+'RA-TRIAL-BAL-2020'!O451+'DES-TRIAL-BAL-2020'!O451+'DMP-TRIAL-BAL-2020'!O451</f>
        <v>0</v>
      </c>
      <c r="W451" s="529">
        <f>+'NF-KSF-TRIAL-BAL-2020'!P451+'RA-TRIAL-BAL-2020'!P451+'DES-TRIAL-BAL-2020'!P451+'DMP-TRIAL-BAL-2020'!P451</f>
        <v>0</v>
      </c>
      <c r="X451" s="528">
        <f>+'NF-KSF-TRIAL-BAL-2020'!Q451+'RA-TRIAL-BAL-2020'!Q451+'DES-TRIAL-BAL-2020'!Q451+'DMP-TRIAL-BAL-2020'!Q451</f>
        <v>0</v>
      </c>
      <c r="Y451" s="529">
        <f>+'NF-KSF-TRIAL-BAL-2020'!R451+'RA-TRIAL-BAL-2020'!R451+'DES-TRIAL-BAL-2020'!R451+'DMP-TRIAL-BAL-2020'!R451</f>
        <v>0</v>
      </c>
      <c r="Z451" s="528">
        <f>+'NF-KSF-TRIAL-BAL-2020'!S451+'RA-TRIAL-BAL-2020'!S451+'DES-TRIAL-BAL-2020'!S451+'DMP-TRIAL-BAL-2020'!S451</f>
        <v>0</v>
      </c>
      <c r="AA451" s="347">
        <f>+'NF-KSF-TRIAL-BAL-2020'!T451+'RA-TRIAL-BAL-2020'!T451+'DES-TRIAL-BAL-2020'!T451+'DMP-TRIAL-BAL-2020'!T451</f>
        <v>0</v>
      </c>
      <c r="AB451" s="51"/>
      <c r="AC451" s="8">
        <v>0</v>
      </c>
      <c r="AD451" s="9">
        <v>0</v>
      </c>
      <c r="AE451" s="122">
        <v>0</v>
      </c>
      <c r="AF451" s="121">
        <v>0</v>
      </c>
      <c r="AG451" s="27">
        <f t="shared" si="239"/>
        <v>0</v>
      </c>
      <c r="AH451" s="28">
        <f t="shared" si="235"/>
        <v>0</v>
      </c>
      <c r="AI451" s="51"/>
      <c r="AJ451" s="1497">
        <f t="shared" si="226"/>
        <v>6094</v>
      </c>
      <c r="AK451" s="8">
        <v>0</v>
      </c>
      <c r="AL451" s="9">
        <v>0</v>
      </c>
      <c r="AM451" s="326">
        <f t="shared" si="233"/>
        <v>0</v>
      </c>
      <c r="AN451" s="970">
        <f t="shared" si="233"/>
        <v>0</v>
      </c>
      <c r="AO451" s="326">
        <f t="shared" si="236"/>
        <v>0</v>
      </c>
      <c r="AP451" s="327">
        <f t="shared" si="237"/>
        <v>0</v>
      </c>
      <c r="AQ451" s="43"/>
      <c r="AR451" s="358">
        <f t="shared" si="220"/>
        <v>0</v>
      </c>
      <c r="AS451" s="359">
        <f t="shared" si="221"/>
        <v>0</v>
      </c>
      <c r="AT451" s="360">
        <f t="shared" si="222"/>
        <v>0</v>
      </c>
      <c r="AU451" s="43"/>
      <c r="AV451" s="43"/>
      <c r="AW451" s="119"/>
      <c r="AX451" s="119"/>
      <c r="AY451" s="43"/>
      <c r="AZ451" s="43"/>
      <c r="BA451" s="43"/>
      <c r="BB451" s="43"/>
      <c r="BC451" s="43"/>
      <c r="BD451" s="43"/>
    </row>
    <row r="452" spans="1:56" ht="15.75">
      <c r="A452" s="88">
        <v>6095</v>
      </c>
      <c r="B452" s="378" t="s">
        <v>468</v>
      </c>
      <c r="C452" s="1033"/>
      <c r="D452" s="1033"/>
      <c r="E452" s="1033"/>
      <c r="F452" s="1033"/>
      <c r="G452" s="1033"/>
      <c r="H452" s="1033"/>
      <c r="I452" s="1033"/>
      <c r="J452" s="1033"/>
      <c r="K452" s="1033"/>
      <c r="L452" s="90"/>
      <c r="M452" s="51" t="s">
        <v>265</v>
      </c>
      <c r="N452" s="113">
        <f t="shared" si="212"/>
        <v>6095</v>
      </c>
      <c r="O452" s="8">
        <v>0</v>
      </c>
      <c r="P452" s="9">
        <v>0</v>
      </c>
      <c r="Q452" s="325">
        <v>0</v>
      </c>
      <c r="R452" s="324">
        <v>0</v>
      </c>
      <c r="S452" s="27">
        <f t="shared" si="238"/>
        <v>0</v>
      </c>
      <c r="T452" s="28">
        <f t="shared" si="234"/>
        <v>0</v>
      </c>
      <c r="U452" s="51"/>
      <c r="V452" s="541">
        <f>+'NF-KSF-TRIAL-BAL-2020'!O452+'RA-TRIAL-BAL-2020'!O452+'DES-TRIAL-BAL-2020'!O452+'DMP-TRIAL-BAL-2020'!O452</f>
        <v>0</v>
      </c>
      <c r="W452" s="529">
        <f>+'NF-KSF-TRIAL-BAL-2020'!P452+'RA-TRIAL-BAL-2020'!P452+'DES-TRIAL-BAL-2020'!P452+'DMP-TRIAL-BAL-2020'!P452</f>
        <v>0</v>
      </c>
      <c r="X452" s="528">
        <f>+'NF-KSF-TRIAL-BAL-2020'!Q452+'RA-TRIAL-BAL-2020'!Q452+'DES-TRIAL-BAL-2020'!Q452+'DMP-TRIAL-BAL-2020'!Q452</f>
        <v>0</v>
      </c>
      <c r="Y452" s="529">
        <f>+'NF-KSF-TRIAL-BAL-2020'!R452+'RA-TRIAL-BAL-2020'!R452+'DES-TRIAL-BAL-2020'!R452+'DMP-TRIAL-BAL-2020'!R452</f>
        <v>0</v>
      </c>
      <c r="Z452" s="528">
        <f>+'NF-KSF-TRIAL-BAL-2020'!S452+'RA-TRIAL-BAL-2020'!S452+'DES-TRIAL-BAL-2020'!S452+'DMP-TRIAL-BAL-2020'!S452</f>
        <v>0</v>
      </c>
      <c r="AA452" s="347">
        <f>+'NF-KSF-TRIAL-BAL-2020'!T452+'RA-TRIAL-BAL-2020'!T452+'DES-TRIAL-BAL-2020'!T452+'DMP-TRIAL-BAL-2020'!T452</f>
        <v>0</v>
      </c>
      <c r="AB452" s="51"/>
      <c r="AC452" s="8">
        <v>0</v>
      </c>
      <c r="AD452" s="9">
        <v>0</v>
      </c>
      <c r="AE452" s="122">
        <v>0</v>
      </c>
      <c r="AF452" s="121">
        <v>0</v>
      </c>
      <c r="AG452" s="27">
        <f t="shared" si="239"/>
        <v>0</v>
      </c>
      <c r="AH452" s="28">
        <f t="shared" si="235"/>
        <v>0</v>
      </c>
      <c r="AI452" s="51"/>
      <c r="AJ452" s="1497">
        <f t="shared" si="226"/>
        <v>6095</v>
      </c>
      <c r="AK452" s="8">
        <v>0</v>
      </c>
      <c r="AL452" s="9">
        <v>0</v>
      </c>
      <c r="AM452" s="326">
        <f t="shared" si="233"/>
        <v>0</v>
      </c>
      <c r="AN452" s="970">
        <f t="shared" si="233"/>
        <v>0</v>
      </c>
      <c r="AO452" s="326">
        <f t="shared" si="236"/>
        <v>0</v>
      </c>
      <c r="AP452" s="327">
        <f t="shared" si="237"/>
        <v>0</v>
      </c>
      <c r="AQ452" s="43"/>
      <c r="AR452" s="358">
        <f t="shared" si="220"/>
        <v>0</v>
      </c>
      <c r="AS452" s="359">
        <f t="shared" si="221"/>
        <v>0</v>
      </c>
      <c r="AT452" s="360">
        <f t="shared" si="222"/>
        <v>0</v>
      </c>
      <c r="AU452" s="43"/>
      <c r="AV452" s="43"/>
      <c r="AW452" s="119"/>
      <c r="AX452" s="119"/>
      <c r="AY452" s="43"/>
      <c r="AZ452" s="43"/>
      <c r="BA452" s="43"/>
      <c r="BB452" s="43"/>
      <c r="BC452" s="43"/>
      <c r="BD452" s="43"/>
    </row>
    <row r="453" spans="1:56" ht="15.75">
      <c r="A453" s="88">
        <v>6096</v>
      </c>
      <c r="B453" s="378" t="s">
        <v>469</v>
      </c>
      <c r="C453" s="1033"/>
      <c r="D453" s="1033"/>
      <c r="E453" s="1033"/>
      <c r="F453" s="1033"/>
      <c r="G453" s="1033"/>
      <c r="H453" s="1033"/>
      <c r="I453" s="1033"/>
      <c r="J453" s="1033"/>
      <c r="K453" s="1033"/>
      <c r="L453" s="90"/>
      <c r="M453" s="51" t="s">
        <v>265</v>
      </c>
      <c r="N453" s="113">
        <f t="shared" ref="N453:N527" si="240">+A453</f>
        <v>6096</v>
      </c>
      <c r="O453" s="8">
        <v>0</v>
      </c>
      <c r="P453" s="9">
        <v>0</v>
      </c>
      <c r="Q453" s="325"/>
      <c r="R453" s="324"/>
      <c r="S453" s="27">
        <f t="shared" si="238"/>
        <v>0</v>
      </c>
      <c r="T453" s="28">
        <f t="shared" si="234"/>
        <v>0</v>
      </c>
      <c r="U453" s="51"/>
      <c r="V453" s="541">
        <f>+'NF-KSF-TRIAL-BAL-2020'!O453+'RA-TRIAL-BAL-2020'!O453+'DES-TRIAL-BAL-2020'!O453+'DMP-TRIAL-BAL-2020'!O453</f>
        <v>0</v>
      </c>
      <c r="W453" s="529">
        <f>+'NF-KSF-TRIAL-BAL-2020'!P453+'RA-TRIAL-BAL-2020'!P453+'DES-TRIAL-BAL-2020'!P453+'DMP-TRIAL-BAL-2020'!P453</f>
        <v>0</v>
      </c>
      <c r="X453" s="528">
        <f>+'NF-KSF-TRIAL-BAL-2020'!Q453+'RA-TRIAL-BAL-2020'!Q453+'DES-TRIAL-BAL-2020'!Q453+'DMP-TRIAL-BAL-2020'!Q453</f>
        <v>0</v>
      </c>
      <c r="Y453" s="529">
        <f>+'NF-KSF-TRIAL-BAL-2020'!R453+'RA-TRIAL-BAL-2020'!R453+'DES-TRIAL-BAL-2020'!R453+'DMP-TRIAL-BAL-2020'!R453</f>
        <v>0</v>
      </c>
      <c r="Z453" s="528">
        <f>+'NF-KSF-TRIAL-BAL-2020'!S453+'RA-TRIAL-BAL-2020'!S453+'DES-TRIAL-BAL-2020'!S453+'DMP-TRIAL-BAL-2020'!S453</f>
        <v>0</v>
      </c>
      <c r="AA453" s="347">
        <f>+'NF-KSF-TRIAL-BAL-2020'!T453+'RA-TRIAL-BAL-2020'!T453+'DES-TRIAL-BAL-2020'!T453+'DMP-TRIAL-BAL-2020'!T453</f>
        <v>0</v>
      </c>
      <c r="AB453" s="51"/>
      <c r="AC453" s="8">
        <v>0</v>
      </c>
      <c r="AD453" s="9">
        <v>0</v>
      </c>
      <c r="AE453" s="122"/>
      <c r="AF453" s="121"/>
      <c r="AG453" s="27">
        <f t="shared" si="239"/>
        <v>0</v>
      </c>
      <c r="AH453" s="28">
        <f t="shared" si="235"/>
        <v>0</v>
      </c>
      <c r="AI453" s="51"/>
      <c r="AJ453" s="1497">
        <f t="shared" si="226"/>
        <v>6096</v>
      </c>
      <c r="AK453" s="8">
        <v>0</v>
      </c>
      <c r="AL453" s="9">
        <v>0</v>
      </c>
      <c r="AM453" s="326">
        <f t="shared" si="233"/>
        <v>0</v>
      </c>
      <c r="AN453" s="970">
        <f t="shared" si="233"/>
        <v>0</v>
      </c>
      <c r="AO453" s="326">
        <f t="shared" si="236"/>
        <v>0</v>
      </c>
      <c r="AP453" s="327">
        <f t="shared" si="237"/>
        <v>0</v>
      </c>
      <c r="AQ453" s="43"/>
      <c r="AR453" s="358">
        <f t="shared" si="220"/>
        <v>0</v>
      </c>
      <c r="AS453" s="359">
        <f t="shared" si="221"/>
        <v>0</v>
      </c>
      <c r="AT453" s="360">
        <f t="shared" si="222"/>
        <v>0</v>
      </c>
      <c r="AU453" s="43"/>
      <c r="AV453" s="43"/>
      <c r="AW453" s="119"/>
      <c r="AX453" s="119"/>
      <c r="AY453" s="43"/>
      <c r="AZ453" s="43"/>
      <c r="BA453" s="43"/>
      <c r="BB453" s="43"/>
      <c r="BC453" s="43"/>
      <c r="BD453" s="43"/>
    </row>
    <row r="454" spans="1:56" ht="15.75">
      <c r="A454" s="88">
        <v>6098</v>
      </c>
      <c r="B454" s="378" t="s">
        <v>470</v>
      </c>
      <c r="C454" s="1033"/>
      <c r="D454" s="1033"/>
      <c r="E454" s="1033"/>
      <c r="F454" s="1033"/>
      <c r="G454" s="1033"/>
      <c r="H454" s="1033"/>
      <c r="I454" s="1033"/>
      <c r="J454" s="1033"/>
      <c r="K454" s="1033"/>
      <c r="L454" s="90"/>
      <c r="M454" s="51" t="s">
        <v>265</v>
      </c>
      <c r="N454" s="113">
        <f t="shared" si="240"/>
        <v>6098</v>
      </c>
      <c r="O454" s="8">
        <v>0</v>
      </c>
      <c r="P454" s="9">
        <v>0</v>
      </c>
      <c r="Q454" s="325">
        <v>0</v>
      </c>
      <c r="R454" s="324">
        <v>0</v>
      </c>
      <c r="S454" s="27">
        <f t="shared" si="238"/>
        <v>0</v>
      </c>
      <c r="T454" s="28">
        <f t="shared" si="234"/>
        <v>0</v>
      </c>
      <c r="U454" s="51"/>
      <c r="V454" s="541">
        <f>+'NF-KSF-TRIAL-BAL-2020'!O454+'RA-TRIAL-BAL-2020'!O454+'DES-TRIAL-BAL-2020'!O454+'DMP-TRIAL-BAL-2020'!O454</f>
        <v>0</v>
      </c>
      <c r="W454" s="529">
        <f>+'NF-KSF-TRIAL-BAL-2020'!P454+'RA-TRIAL-BAL-2020'!P454+'DES-TRIAL-BAL-2020'!P454+'DMP-TRIAL-BAL-2020'!P454</f>
        <v>0</v>
      </c>
      <c r="X454" s="528">
        <f>+'NF-KSF-TRIAL-BAL-2020'!Q454+'RA-TRIAL-BAL-2020'!Q454+'DES-TRIAL-BAL-2020'!Q454+'DMP-TRIAL-BAL-2020'!Q454</f>
        <v>0</v>
      </c>
      <c r="Y454" s="529">
        <f>+'NF-KSF-TRIAL-BAL-2020'!R454+'RA-TRIAL-BAL-2020'!R454+'DES-TRIAL-BAL-2020'!R454+'DMP-TRIAL-BAL-2020'!R454</f>
        <v>0</v>
      </c>
      <c r="Z454" s="528">
        <f>+'NF-KSF-TRIAL-BAL-2020'!S454+'RA-TRIAL-BAL-2020'!S454+'DES-TRIAL-BAL-2020'!S454+'DMP-TRIAL-BAL-2020'!S454</f>
        <v>0</v>
      </c>
      <c r="AA454" s="347">
        <f>+'NF-KSF-TRIAL-BAL-2020'!T454+'RA-TRIAL-BAL-2020'!T454+'DES-TRIAL-BAL-2020'!T454+'DMP-TRIAL-BAL-2020'!T454</f>
        <v>0</v>
      </c>
      <c r="AB454" s="51"/>
      <c r="AC454" s="8">
        <v>0</v>
      </c>
      <c r="AD454" s="9">
        <v>0</v>
      </c>
      <c r="AE454" s="122">
        <v>0</v>
      </c>
      <c r="AF454" s="121">
        <v>0</v>
      </c>
      <c r="AG454" s="27">
        <f t="shared" si="239"/>
        <v>0</v>
      </c>
      <c r="AH454" s="28">
        <f t="shared" si="235"/>
        <v>0</v>
      </c>
      <c r="AI454" s="51"/>
      <c r="AJ454" s="1497">
        <f t="shared" si="226"/>
        <v>6098</v>
      </c>
      <c r="AK454" s="8">
        <v>0</v>
      </c>
      <c r="AL454" s="9">
        <v>0</v>
      </c>
      <c r="AM454" s="326">
        <f t="shared" si="233"/>
        <v>0</v>
      </c>
      <c r="AN454" s="970">
        <f t="shared" si="233"/>
        <v>0</v>
      </c>
      <c r="AO454" s="326">
        <f t="shared" si="236"/>
        <v>0</v>
      </c>
      <c r="AP454" s="327">
        <f t="shared" si="237"/>
        <v>0</v>
      </c>
      <c r="AQ454" s="43"/>
      <c r="AR454" s="358">
        <f t="shared" ref="AR454:AR528" si="241">+ROUND(+SUM(AK454-AL454)-SUM(O454-P454)-SUM(V454-W454)-SUM(AC454-AD454),2)</f>
        <v>0</v>
      </c>
      <c r="AS454" s="359">
        <f t="shared" ref="AS454:AS528" si="242">+ROUND(+SUM(AM454-AN454)-SUM(Q454-R454)-SUM(X454-Y454)-SUM(AE454-AF454),2)</f>
        <v>0</v>
      </c>
      <c r="AT454" s="360">
        <f t="shared" ref="AT454:AT528" si="243">+ROUND(+SUM(AO454-AP454)-SUM(S454-T454)-SUM(Z454-AA454)-SUM(AG454-AH454),2)</f>
        <v>0</v>
      </c>
      <c r="AU454" s="43"/>
      <c r="AV454" s="43"/>
      <c r="AW454" s="119"/>
      <c r="AX454" s="119"/>
      <c r="AY454" s="43"/>
      <c r="AZ454" s="43"/>
      <c r="BA454" s="43"/>
      <c r="BB454" s="43"/>
      <c r="BC454" s="43"/>
      <c r="BD454" s="43"/>
    </row>
    <row r="455" spans="1:56" ht="15.75">
      <c r="A455" s="88">
        <v>6099</v>
      </c>
      <c r="B455" s="378" t="s">
        <v>471</v>
      </c>
      <c r="C455" s="1033"/>
      <c r="D455" s="1033"/>
      <c r="E455" s="1033"/>
      <c r="F455" s="1033"/>
      <c r="G455" s="1033"/>
      <c r="H455" s="1033"/>
      <c r="I455" s="1033"/>
      <c r="J455" s="1033"/>
      <c r="K455" s="1033"/>
      <c r="L455" s="90"/>
      <c r="M455" s="51" t="s">
        <v>265</v>
      </c>
      <c r="N455" s="113">
        <f t="shared" si="240"/>
        <v>6099</v>
      </c>
      <c r="O455" s="8">
        <v>0</v>
      </c>
      <c r="P455" s="9">
        <v>0</v>
      </c>
      <c r="Q455" s="325">
        <v>0</v>
      </c>
      <c r="R455" s="324">
        <v>0</v>
      </c>
      <c r="S455" s="27">
        <f t="shared" si="238"/>
        <v>0</v>
      </c>
      <c r="T455" s="28">
        <f t="shared" si="234"/>
        <v>0</v>
      </c>
      <c r="U455" s="51"/>
      <c r="V455" s="541">
        <f>+'NF-KSF-TRIAL-BAL-2020'!O455+'RA-TRIAL-BAL-2020'!O455+'DES-TRIAL-BAL-2020'!O455+'DMP-TRIAL-BAL-2020'!O455</f>
        <v>0</v>
      </c>
      <c r="W455" s="529">
        <f>+'NF-KSF-TRIAL-BAL-2020'!P455+'RA-TRIAL-BAL-2020'!P455+'DES-TRIAL-BAL-2020'!P455+'DMP-TRIAL-BAL-2020'!P455</f>
        <v>0</v>
      </c>
      <c r="X455" s="528">
        <f>+'NF-KSF-TRIAL-BAL-2020'!Q455+'RA-TRIAL-BAL-2020'!Q455+'DES-TRIAL-BAL-2020'!Q455+'DMP-TRIAL-BAL-2020'!Q455</f>
        <v>0</v>
      </c>
      <c r="Y455" s="529">
        <f>+'NF-KSF-TRIAL-BAL-2020'!R455+'RA-TRIAL-BAL-2020'!R455+'DES-TRIAL-BAL-2020'!R455+'DMP-TRIAL-BAL-2020'!R455</f>
        <v>0</v>
      </c>
      <c r="Z455" s="528">
        <f>+'NF-KSF-TRIAL-BAL-2020'!S455+'RA-TRIAL-BAL-2020'!S455+'DES-TRIAL-BAL-2020'!S455+'DMP-TRIAL-BAL-2020'!S455</f>
        <v>0</v>
      </c>
      <c r="AA455" s="347">
        <f>+'NF-KSF-TRIAL-BAL-2020'!T455+'RA-TRIAL-BAL-2020'!T455+'DES-TRIAL-BAL-2020'!T455+'DMP-TRIAL-BAL-2020'!T455</f>
        <v>0</v>
      </c>
      <c r="AB455" s="51"/>
      <c r="AC455" s="8">
        <v>0</v>
      </c>
      <c r="AD455" s="9">
        <v>0</v>
      </c>
      <c r="AE455" s="122">
        <v>0</v>
      </c>
      <c r="AF455" s="121">
        <v>0</v>
      </c>
      <c r="AG455" s="27">
        <f t="shared" si="239"/>
        <v>0</v>
      </c>
      <c r="AH455" s="28">
        <f t="shared" si="235"/>
        <v>0</v>
      </c>
      <c r="AI455" s="51"/>
      <c r="AJ455" s="1497">
        <f t="shared" si="226"/>
        <v>6099</v>
      </c>
      <c r="AK455" s="8">
        <v>0</v>
      </c>
      <c r="AL455" s="9">
        <v>0</v>
      </c>
      <c r="AM455" s="326">
        <f t="shared" si="233"/>
        <v>0</v>
      </c>
      <c r="AN455" s="970">
        <f t="shared" si="233"/>
        <v>0</v>
      </c>
      <c r="AO455" s="326">
        <f t="shared" si="236"/>
        <v>0</v>
      </c>
      <c r="AP455" s="327">
        <f t="shared" si="237"/>
        <v>0</v>
      </c>
      <c r="AQ455" s="43"/>
      <c r="AR455" s="358">
        <f t="shared" si="241"/>
        <v>0</v>
      </c>
      <c r="AS455" s="359">
        <f t="shared" si="242"/>
        <v>0</v>
      </c>
      <c r="AT455" s="360">
        <f t="shared" si="243"/>
        <v>0</v>
      </c>
      <c r="AU455" s="43"/>
      <c r="AV455" s="43"/>
      <c r="AW455" s="119"/>
      <c r="AX455" s="119"/>
      <c r="AY455" s="43"/>
      <c r="AZ455" s="43"/>
      <c r="BA455" s="43"/>
      <c r="BB455" s="43"/>
      <c r="BC455" s="43"/>
      <c r="BD455" s="43"/>
    </row>
    <row r="456" spans="1:56" ht="15.75">
      <c r="A456" s="88">
        <v>6111</v>
      </c>
      <c r="B456" s="2296" t="s">
        <v>2148</v>
      </c>
      <c r="C456" s="2297"/>
      <c r="D456" s="2297"/>
      <c r="E456" s="2297"/>
      <c r="F456" s="2297"/>
      <c r="G456" s="2297"/>
      <c r="H456" s="2297"/>
      <c r="I456" s="2297"/>
      <c r="J456" s="1033"/>
      <c r="K456" s="1033"/>
      <c r="L456" s="90"/>
      <c r="M456" s="51" t="s">
        <v>265</v>
      </c>
      <c r="N456" s="113">
        <f t="shared" si="240"/>
        <v>6111</v>
      </c>
      <c r="O456" s="8">
        <v>0</v>
      </c>
      <c r="P456" s="9">
        <v>0</v>
      </c>
      <c r="Q456" s="325"/>
      <c r="R456" s="324"/>
      <c r="S456" s="27">
        <f t="shared" si="238"/>
        <v>0</v>
      </c>
      <c r="T456" s="28">
        <f t="shared" si="234"/>
        <v>0</v>
      </c>
      <c r="U456" s="51"/>
      <c r="V456" s="541">
        <f>+'NF-KSF-TRIAL-BAL-2020'!O456+'RA-TRIAL-BAL-2020'!O456+'DES-TRIAL-BAL-2020'!O456+'DMP-TRIAL-BAL-2020'!O456</f>
        <v>0</v>
      </c>
      <c r="W456" s="529">
        <f>+'NF-KSF-TRIAL-BAL-2020'!P456+'RA-TRIAL-BAL-2020'!P456+'DES-TRIAL-BAL-2020'!P456+'DMP-TRIAL-BAL-2020'!P456</f>
        <v>0</v>
      </c>
      <c r="X456" s="528">
        <f>+'NF-KSF-TRIAL-BAL-2020'!Q456+'RA-TRIAL-BAL-2020'!Q456+'DES-TRIAL-BAL-2020'!Q456+'DMP-TRIAL-BAL-2020'!Q456</f>
        <v>0</v>
      </c>
      <c r="Y456" s="529">
        <f>+'NF-KSF-TRIAL-BAL-2020'!R456+'RA-TRIAL-BAL-2020'!R456+'DES-TRIAL-BAL-2020'!R456+'DMP-TRIAL-BAL-2020'!R456</f>
        <v>0</v>
      </c>
      <c r="Z456" s="528">
        <f>+'NF-KSF-TRIAL-BAL-2020'!S456+'RA-TRIAL-BAL-2020'!S456+'DES-TRIAL-BAL-2020'!S456+'DMP-TRIAL-BAL-2020'!S456</f>
        <v>0</v>
      </c>
      <c r="AA456" s="347">
        <f>+'NF-KSF-TRIAL-BAL-2020'!T456+'RA-TRIAL-BAL-2020'!T456+'DES-TRIAL-BAL-2020'!T456+'DMP-TRIAL-BAL-2020'!T456</f>
        <v>0</v>
      </c>
      <c r="AB456" s="51"/>
      <c r="AC456" s="8">
        <v>0</v>
      </c>
      <c r="AD456" s="9">
        <v>0</v>
      </c>
      <c r="AE456" s="122"/>
      <c r="AF456" s="121"/>
      <c r="AG456" s="27">
        <f t="shared" si="239"/>
        <v>0</v>
      </c>
      <c r="AH456" s="28">
        <f t="shared" si="235"/>
        <v>0</v>
      </c>
      <c r="AI456" s="51"/>
      <c r="AJ456" s="1497">
        <f t="shared" si="226"/>
        <v>6111</v>
      </c>
      <c r="AK456" s="8">
        <v>0</v>
      </c>
      <c r="AL456" s="9">
        <v>0</v>
      </c>
      <c r="AM456" s="326">
        <f t="shared" si="233"/>
        <v>0</v>
      </c>
      <c r="AN456" s="970">
        <f t="shared" si="233"/>
        <v>0</v>
      </c>
      <c r="AO456" s="326">
        <f t="shared" si="236"/>
        <v>0</v>
      </c>
      <c r="AP456" s="327">
        <f t="shared" si="237"/>
        <v>0</v>
      </c>
      <c r="AQ456" s="43"/>
      <c r="AR456" s="358">
        <f t="shared" si="241"/>
        <v>0</v>
      </c>
      <c r="AS456" s="359">
        <f t="shared" si="242"/>
        <v>0</v>
      </c>
      <c r="AT456" s="360">
        <f t="shared" si="243"/>
        <v>0</v>
      </c>
      <c r="AU456" s="43"/>
      <c r="AV456" s="43"/>
      <c r="AW456" s="119"/>
      <c r="AX456" s="119"/>
      <c r="AY456" s="43"/>
      <c r="AZ456" s="43"/>
      <c r="BA456" s="43"/>
      <c r="BB456" s="43"/>
      <c r="BC456" s="43"/>
      <c r="BD456" s="43"/>
    </row>
    <row r="457" spans="1:56" ht="15.75">
      <c r="A457" s="88">
        <v>6112</v>
      </c>
      <c r="B457" s="1045" t="s">
        <v>2149</v>
      </c>
      <c r="C457" s="1033"/>
      <c r="D457" s="1033"/>
      <c r="E457" s="1033"/>
      <c r="F457" s="1033"/>
      <c r="G457" s="1033"/>
      <c r="H457" s="1033"/>
      <c r="I457" s="1033"/>
      <c r="J457" s="1033"/>
      <c r="K457" s="1033"/>
      <c r="L457" s="90"/>
      <c r="M457" s="51" t="s">
        <v>265</v>
      </c>
      <c r="N457" s="113">
        <f t="shared" si="240"/>
        <v>6112</v>
      </c>
      <c r="O457" s="8">
        <v>0</v>
      </c>
      <c r="P457" s="9">
        <v>0</v>
      </c>
      <c r="Q457" s="325">
        <v>0</v>
      </c>
      <c r="R457" s="324">
        <v>0</v>
      </c>
      <c r="S457" s="27">
        <f t="shared" si="238"/>
        <v>0</v>
      </c>
      <c r="T457" s="28">
        <f t="shared" si="234"/>
        <v>0</v>
      </c>
      <c r="U457" s="51"/>
      <c r="V457" s="541">
        <f>+'NF-KSF-TRIAL-BAL-2020'!O457+'RA-TRIAL-BAL-2020'!O457+'DES-TRIAL-BAL-2020'!O457+'DMP-TRIAL-BAL-2020'!O457</f>
        <v>0</v>
      </c>
      <c r="W457" s="529">
        <f>+'NF-KSF-TRIAL-BAL-2020'!P457+'RA-TRIAL-BAL-2020'!P457+'DES-TRIAL-BAL-2020'!P457+'DMP-TRIAL-BAL-2020'!P457</f>
        <v>0</v>
      </c>
      <c r="X457" s="528">
        <f>+'NF-KSF-TRIAL-BAL-2020'!Q457+'RA-TRIAL-BAL-2020'!Q457+'DES-TRIAL-BAL-2020'!Q457+'DMP-TRIAL-BAL-2020'!Q457</f>
        <v>0</v>
      </c>
      <c r="Y457" s="529">
        <f>+'NF-KSF-TRIAL-BAL-2020'!R457+'RA-TRIAL-BAL-2020'!R457+'DES-TRIAL-BAL-2020'!R457+'DMP-TRIAL-BAL-2020'!R457</f>
        <v>0</v>
      </c>
      <c r="Z457" s="528">
        <f>+'NF-KSF-TRIAL-BAL-2020'!S457+'RA-TRIAL-BAL-2020'!S457+'DES-TRIAL-BAL-2020'!S457+'DMP-TRIAL-BAL-2020'!S457</f>
        <v>0</v>
      </c>
      <c r="AA457" s="347">
        <f>+'NF-KSF-TRIAL-BAL-2020'!T457+'RA-TRIAL-BAL-2020'!T457+'DES-TRIAL-BAL-2020'!T457+'DMP-TRIAL-BAL-2020'!T457</f>
        <v>0</v>
      </c>
      <c r="AB457" s="51"/>
      <c r="AC457" s="8">
        <v>0</v>
      </c>
      <c r="AD457" s="9">
        <v>0</v>
      </c>
      <c r="AE457" s="122">
        <v>0</v>
      </c>
      <c r="AF457" s="121">
        <v>0</v>
      </c>
      <c r="AG457" s="27">
        <f t="shared" si="239"/>
        <v>0</v>
      </c>
      <c r="AH457" s="28">
        <f t="shared" si="235"/>
        <v>0</v>
      </c>
      <c r="AI457" s="51"/>
      <c r="AJ457" s="1497">
        <f t="shared" si="226"/>
        <v>6112</v>
      </c>
      <c r="AK457" s="8">
        <v>0</v>
      </c>
      <c r="AL457" s="9">
        <v>0</v>
      </c>
      <c r="AM457" s="326">
        <f t="shared" si="233"/>
        <v>0</v>
      </c>
      <c r="AN457" s="970">
        <f t="shared" si="233"/>
        <v>0</v>
      </c>
      <c r="AO457" s="326">
        <f t="shared" si="236"/>
        <v>0</v>
      </c>
      <c r="AP457" s="327">
        <f t="shared" si="237"/>
        <v>0</v>
      </c>
      <c r="AQ457" s="43"/>
      <c r="AR457" s="358">
        <f t="shared" si="241"/>
        <v>0</v>
      </c>
      <c r="AS457" s="359">
        <f t="shared" si="242"/>
        <v>0</v>
      </c>
      <c r="AT457" s="360">
        <f t="shared" si="243"/>
        <v>0</v>
      </c>
      <c r="AU457" s="43"/>
      <c r="AV457" s="43"/>
      <c r="AW457" s="119"/>
      <c r="AX457" s="119"/>
      <c r="AY457" s="43"/>
      <c r="AZ457" s="43"/>
      <c r="BA457" s="43"/>
      <c r="BB457" s="43"/>
      <c r="BC457" s="43"/>
      <c r="BD457" s="43"/>
    </row>
    <row r="458" spans="1:56" ht="15.75">
      <c r="A458" s="88">
        <v>6113</v>
      </c>
      <c r="B458" s="1045" t="s">
        <v>2150</v>
      </c>
      <c r="C458" s="1033"/>
      <c r="D458" s="1033"/>
      <c r="E458" s="1033"/>
      <c r="F458" s="1033"/>
      <c r="G458" s="1033"/>
      <c r="H458" s="1033"/>
      <c r="I458" s="1033"/>
      <c r="J458" s="1033"/>
      <c r="K458" s="1033"/>
      <c r="L458" s="90"/>
      <c r="M458" s="51" t="s">
        <v>265</v>
      </c>
      <c r="N458" s="113">
        <f t="shared" si="240"/>
        <v>6113</v>
      </c>
      <c r="O458" s="8">
        <v>0</v>
      </c>
      <c r="P458" s="9">
        <v>0</v>
      </c>
      <c r="Q458" s="325">
        <v>0</v>
      </c>
      <c r="R458" s="324">
        <v>0</v>
      </c>
      <c r="S458" s="27">
        <f t="shared" si="238"/>
        <v>0</v>
      </c>
      <c r="T458" s="28">
        <f t="shared" si="234"/>
        <v>0</v>
      </c>
      <c r="U458" s="51"/>
      <c r="V458" s="541">
        <f>+'NF-KSF-TRIAL-BAL-2020'!O458+'RA-TRIAL-BAL-2020'!O458+'DES-TRIAL-BAL-2020'!O458+'DMP-TRIAL-BAL-2020'!O458</f>
        <v>0</v>
      </c>
      <c r="W458" s="529">
        <f>+'NF-KSF-TRIAL-BAL-2020'!P458+'RA-TRIAL-BAL-2020'!P458+'DES-TRIAL-BAL-2020'!P458+'DMP-TRIAL-BAL-2020'!P458</f>
        <v>0</v>
      </c>
      <c r="X458" s="528">
        <f>+'NF-KSF-TRIAL-BAL-2020'!Q458+'RA-TRIAL-BAL-2020'!Q458+'DES-TRIAL-BAL-2020'!Q458+'DMP-TRIAL-BAL-2020'!Q458</f>
        <v>0</v>
      </c>
      <c r="Y458" s="529">
        <f>+'NF-KSF-TRIAL-BAL-2020'!R458+'RA-TRIAL-BAL-2020'!R458+'DES-TRIAL-BAL-2020'!R458+'DMP-TRIAL-BAL-2020'!R458</f>
        <v>0</v>
      </c>
      <c r="Z458" s="528">
        <f>+'NF-KSF-TRIAL-BAL-2020'!S458+'RA-TRIAL-BAL-2020'!S458+'DES-TRIAL-BAL-2020'!S458+'DMP-TRIAL-BAL-2020'!S458</f>
        <v>0</v>
      </c>
      <c r="AA458" s="347">
        <f>+'NF-KSF-TRIAL-BAL-2020'!T458+'RA-TRIAL-BAL-2020'!T458+'DES-TRIAL-BAL-2020'!T458+'DMP-TRIAL-BAL-2020'!T458</f>
        <v>0</v>
      </c>
      <c r="AB458" s="51"/>
      <c r="AC458" s="8">
        <v>0</v>
      </c>
      <c r="AD458" s="9">
        <v>0</v>
      </c>
      <c r="AE458" s="122">
        <v>0</v>
      </c>
      <c r="AF458" s="121">
        <v>0</v>
      </c>
      <c r="AG458" s="27">
        <f t="shared" si="239"/>
        <v>0</v>
      </c>
      <c r="AH458" s="28">
        <f t="shared" si="235"/>
        <v>0</v>
      </c>
      <c r="AI458" s="51"/>
      <c r="AJ458" s="1497">
        <f t="shared" si="226"/>
        <v>6113</v>
      </c>
      <c r="AK458" s="8">
        <v>0</v>
      </c>
      <c r="AL458" s="9">
        <v>0</v>
      </c>
      <c r="AM458" s="326">
        <f t="shared" si="233"/>
        <v>0</v>
      </c>
      <c r="AN458" s="970">
        <f t="shared" si="233"/>
        <v>0</v>
      </c>
      <c r="AO458" s="326">
        <f t="shared" si="236"/>
        <v>0</v>
      </c>
      <c r="AP458" s="327">
        <f t="shared" si="237"/>
        <v>0</v>
      </c>
      <c r="AQ458" s="43"/>
      <c r="AR458" s="358">
        <f t="shared" si="241"/>
        <v>0</v>
      </c>
      <c r="AS458" s="359">
        <f t="shared" si="242"/>
        <v>0</v>
      </c>
      <c r="AT458" s="360">
        <f t="shared" si="243"/>
        <v>0</v>
      </c>
      <c r="AU458" s="43"/>
      <c r="AV458" s="43"/>
      <c r="AW458" s="119"/>
      <c r="AX458" s="119"/>
      <c r="AY458" s="43"/>
      <c r="AZ458" s="43"/>
      <c r="BA458" s="43"/>
      <c r="BB458" s="43"/>
      <c r="BC458" s="43"/>
      <c r="BD458" s="43"/>
    </row>
    <row r="459" spans="1:56" ht="15.75">
      <c r="A459" s="88">
        <v>6114</v>
      </c>
      <c r="B459" s="1045" t="s">
        <v>2151</v>
      </c>
      <c r="C459" s="1033"/>
      <c r="D459" s="1033"/>
      <c r="E459" s="1033"/>
      <c r="F459" s="1033"/>
      <c r="G459" s="1033"/>
      <c r="H459" s="1033"/>
      <c r="I459" s="1033"/>
      <c r="J459" s="1033"/>
      <c r="K459" s="1033"/>
      <c r="L459" s="90"/>
      <c r="M459" s="51" t="s">
        <v>265</v>
      </c>
      <c r="N459" s="113">
        <f t="shared" si="240"/>
        <v>6114</v>
      </c>
      <c r="O459" s="8">
        <v>0</v>
      </c>
      <c r="P459" s="9">
        <v>0</v>
      </c>
      <c r="Q459" s="325">
        <v>0</v>
      </c>
      <c r="R459" s="324">
        <v>0</v>
      </c>
      <c r="S459" s="27">
        <f t="shared" si="238"/>
        <v>0</v>
      </c>
      <c r="T459" s="28">
        <f t="shared" si="234"/>
        <v>0</v>
      </c>
      <c r="U459" s="51"/>
      <c r="V459" s="541">
        <f>+'NF-KSF-TRIAL-BAL-2020'!O459+'RA-TRIAL-BAL-2020'!O459+'DES-TRIAL-BAL-2020'!O459+'DMP-TRIAL-BAL-2020'!O459</f>
        <v>0</v>
      </c>
      <c r="W459" s="529">
        <f>+'NF-KSF-TRIAL-BAL-2020'!P459+'RA-TRIAL-BAL-2020'!P459+'DES-TRIAL-BAL-2020'!P459+'DMP-TRIAL-BAL-2020'!P459</f>
        <v>0</v>
      </c>
      <c r="X459" s="528">
        <f>+'NF-KSF-TRIAL-BAL-2020'!Q459+'RA-TRIAL-BAL-2020'!Q459+'DES-TRIAL-BAL-2020'!Q459+'DMP-TRIAL-BAL-2020'!Q459</f>
        <v>0</v>
      </c>
      <c r="Y459" s="529">
        <f>+'NF-KSF-TRIAL-BAL-2020'!R459+'RA-TRIAL-BAL-2020'!R459+'DES-TRIAL-BAL-2020'!R459+'DMP-TRIAL-BAL-2020'!R459</f>
        <v>0</v>
      </c>
      <c r="Z459" s="528">
        <f>+'NF-KSF-TRIAL-BAL-2020'!S459+'RA-TRIAL-BAL-2020'!S459+'DES-TRIAL-BAL-2020'!S459+'DMP-TRIAL-BAL-2020'!S459</f>
        <v>0</v>
      </c>
      <c r="AA459" s="347">
        <f>+'NF-KSF-TRIAL-BAL-2020'!T459+'RA-TRIAL-BAL-2020'!T459+'DES-TRIAL-BAL-2020'!T459+'DMP-TRIAL-BAL-2020'!T459</f>
        <v>0</v>
      </c>
      <c r="AB459" s="51"/>
      <c r="AC459" s="8">
        <v>0</v>
      </c>
      <c r="AD459" s="9">
        <v>0</v>
      </c>
      <c r="AE459" s="122">
        <v>0</v>
      </c>
      <c r="AF459" s="121">
        <v>0</v>
      </c>
      <c r="AG459" s="27">
        <f t="shared" si="239"/>
        <v>0</v>
      </c>
      <c r="AH459" s="28">
        <f t="shared" si="235"/>
        <v>0</v>
      </c>
      <c r="AI459" s="51"/>
      <c r="AJ459" s="1497">
        <f t="shared" si="226"/>
        <v>6114</v>
      </c>
      <c r="AK459" s="8">
        <v>0</v>
      </c>
      <c r="AL459" s="9">
        <v>0</v>
      </c>
      <c r="AM459" s="326">
        <f t="shared" si="233"/>
        <v>0</v>
      </c>
      <c r="AN459" s="970">
        <f t="shared" si="233"/>
        <v>0</v>
      </c>
      <c r="AO459" s="326">
        <f t="shared" si="236"/>
        <v>0</v>
      </c>
      <c r="AP459" s="327">
        <f t="shared" si="237"/>
        <v>0</v>
      </c>
      <c r="AQ459" s="43"/>
      <c r="AR459" s="358">
        <f t="shared" si="241"/>
        <v>0</v>
      </c>
      <c r="AS459" s="359">
        <f t="shared" si="242"/>
        <v>0</v>
      </c>
      <c r="AT459" s="360">
        <f t="shared" si="243"/>
        <v>0</v>
      </c>
      <c r="AU459" s="43"/>
      <c r="AV459" s="43"/>
      <c r="AW459" s="119"/>
      <c r="AX459" s="119"/>
      <c r="AY459" s="43"/>
      <c r="AZ459" s="43"/>
      <c r="BA459" s="43"/>
      <c r="BB459" s="43"/>
      <c r="BC459" s="43"/>
      <c r="BD459" s="43"/>
    </row>
    <row r="460" spans="1:56" ht="15.75">
      <c r="A460" s="88">
        <v>6115</v>
      </c>
      <c r="B460" s="1045" t="s">
        <v>2152</v>
      </c>
      <c r="C460" s="1033"/>
      <c r="D460" s="1033"/>
      <c r="E460" s="1033"/>
      <c r="F460" s="1033"/>
      <c r="G460" s="1033"/>
      <c r="H460" s="1033"/>
      <c r="I460" s="1033"/>
      <c r="J460" s="1033"/>
      <c r="K460" s="1033"/>
      <c r="L460" s="90"/>
      <c r="M460" s="51" t="s">
        <v>265</v>
      </c>
      <c r="N460" s="113">
        <f t="shared" si="240"/>
        <v>6115</v>
      </c>
      <c r="O460" s="8">
        <v>0</v>
      </c>
      <c r="P460" s="9">
        <v>0</v>
      </c>
      <c r="Q460" s="325"/>
      <c r="R460" s="324"/>
      <c r="S460" s="27">
        <f t="shared" si="238"/>
        <v>0</v>
      </c>
      <c r="T460" s="28">
        <f t="shared" si="234"/>
        <v>0</v>
      </c>
      <c r="U460" s="51"/>
      <c r="V460" s="541">
        <f>+'NF-KSF-TRIAL-BAL-2020'!O460+'RA-TRIAL-BAL-2020'!O460+'DES-TRIAL-BAL-2020'!O460+'DMP-TRIAL-BAL-2020'!O460</f>
        <v>0</v>
      </c>
      <c r="W460" s="529">
        <f>+'NF-KSF-TRIAL-BAL-2020'!P460+'RA-TRIAL-BAL-2020'!P460+'DES-TRIAL-BAL-2020'!P460+'DMP-TRIAL-BAL-2020'!P460</f>
        <v>0</v>
      </c>
      <c r="X460" s="528">
        <f>+'NF-KSF-TRIAL-BAL-2020'!Q460+'RA-TRIAL-BAL-2020'!Q460+'DES-TRIAL-BAL-2020'!Q460+'DMP-TRIAL-BAL-2020'!Q460</f>
        <v>0</v>
      </c>
      <c r="Y460" s="529">
        <f>+'NF-KSF-TRIAL-BAL-2020'!R460+'RA-TRIAL-BAL-2020'!R460+'DES-TRIAL-BAL-2020'!R460+'DMP-TRIAL-BAL-2020'!R460</f>
        <v>0</v>
      </c>
      <c r="Z460" s="528">
        <f>+'NF-KSF-TRIAL-BAL-2020'!S460+'RA-TRIAL-BAL-2020'!S460+'DES-TRIAL-BAL-2020'!S460+'DMP-TRIAL-BAL-2020'!S460</f>
        <v>0</v>
      </c>
      <c r="AA460" s="347">
        <f>+'NF-KSF-TRIAL-BAL-2020'!T460+'RA-TRIAL-BAL-2020'!T460+'DES-TRIAL-BAL-2020'!T460+'DMP-TRIAL-BAL-2020'!T460</f>
        <v>0</v>
      </c>
      <c r="AB460" s="51"/>
      <c r="AC460" s="8">
        <v>0</v>
      </c>
      <c r="AD460" s="9">
        <v>0</v>
      </c>
      <c r="AE460" s="122"/>
      <c r="AF460" s="121"/>
      <c r="AG460" s="27">
        <f t="shared" si="239"/>
        <v>0</v>
      </c>
      <c r="AH460" s="28">
        <f t="shared" si="235"/>
        <v>0</v>
      </c>
      <c r="AI460" s="51"/>
      <c r="AJ460" s="1497">
        <f t="shared" si="226"/>
        <v>6115</v>
      </c>
      <c r="AK460" s="8">
        <v>0</v>
      </c>
      <c r="AL460" s="9">
        <v>0</v>
      </c>
      <c r="AM460" s="326">
        <f t="shared" si="233"/>
        <v>0</v>
      </c>
      <c r="AN460" s="970">
        <f t="shared" si="233"/>
        <v>0</v>
      </c>
      <c r="AO460" s="326">
        <f t="shared" si="236"/>
        <v>0</v>
      </c>
      <c r="AP460" s="327">
        <f t="shared" si="237"/>
        <v>0</v>
      </c>
      <c r="AQ460" s="43"/>
      <c r="AR460" s="358">
        <f t="shared" si="241"/>
        <v>0</v>
      </c>
      <c r="AS460" s="359">
        <f t="shared" si="242"/>
        <v>0</v>
      </c>
      <c r="AT460" s="360">
        <f t="shared" si="243"/>
        <v>0</v>
      </c>
      <c r="AU460" s="43"/>
      <c r="AV460" s="43"/>
      <c r="AW460" s="119"/>
      <c r="AX460" s="119"/>
      <c r="AY460" s="43"/>
      <c r="AZ460" s="43"/>
      <c r="BA460" s="43"/>
      <c r="BB460" s="43"/>
      <c r="BC460" s="43"/>
      <c r="BD460" s="43"/>
    </row>
    <row r="461" spans="1:56" ht="15.75">
      <c r="A461" s="88">
        <v>6131</v>
      </c>
      <c r="B461" s="1045" t="s">
        <v>2153</v>
      </c>
      <c r="C461" s="2298"/>
      <c r="D461" s="2298"/>
      <c r="E461" s="2298"/>
      <c r="F461" s="2298"/>
      <c r="G461" s="2298"/>
      <c r="H461" s="2298"/>
      <c r="I461" s="2298"/>
      <c r="J461" s="1033"/>
      <c r="K461" s="1033"/>
      <c r="L461" s="90"/>
      <c r="M461" s="51" t="s">
        <v>265</v>
      </c>
      <c r="N461" s="113">
        <f>+A461</f>
        <v>6131</v>
      </c>
      <c r="O461" s="8">
        <v>0</v>
      </c>
      <c r="P461" s="9">
        <v>0</v>
      </c>
      <c r="Q461" s="325"/>
      <c r="R461" s="324"/>
      <c r="S461" s="27">
        <f>+IF(ABS(+O461+Q461)&gt;=ABS(P461+R461),+O461-P461+Q461-R461,0)</f>
        <v>0</v>
      </c>
      <c r="T461" s="28">
        <f>+IF(ABS(+O461+Q461)&lt;=ABS(P461+R461),-O461+P461-Q461+R461,0)</f>
        <v>0</v>
      </c>
      <c r="U461" s="51"/>
      <c r="V461" s="541">
        <f>+'NF-KSF-TRIAL-BAL-2020'!O461+'RA-TRIAL-BAL-2020'!O461+'DES-TRIAL-BAL-2020'!O461+'DMP-TRIAL-BAL-2020'!O461</f>
        <v>0</v>
      </c>
      <c r="W461" s="529">
        <f>+'NF-KSF-TRIAL-BAL-2020'!P461+'RA-TRIAL-BAL-2020'!P461+'DES-TRIAL-BAL-2020'!P461+'DMP-TRIAL-BAL-2020'!P461</f>
        <v>0</v>
      </c>
      <c r="X461" s="528">
        <f>+'NF-KSF-TRIAL-BAL-2020'!Q461+'RA-TRIAL-BAL-2020'!Q461+'DES-TRIAL-BAL-2020'!Q461+'DMP-TRIAL-BAL-2020'!Q461</f>
        <v>0</v>
      </c>
      <c r="Y461" s="529">
        <f>+'NF-KSF-TRIAL-BAL-2020'!R461+'RA-TRIAL-BAL-2020'!R461+'DES-TRIAL-BAL-2020'!R461+'DMP-TRIAL-BAL-2020'!R461</f>
        <v>0</v>
      </c>
      <c r="Z461" s="528">
        <f>+'NF-KSF-TRIAL-BAL-2020'!S461+'RA-TRIAL-BAL-2020'!S461+'DES-TRIAL-BAL-2020'!S461+'DMP-TRIAL-BAL-2020'!S461</f>
        <v>0</v>
      </c>
      <c r="AA461" s="347">
        <f>+'NF-KSF-TRIAL-BAL-2020'!T461+'RA-TRIAL-BAL-2020'!T461+'DES-TRIAL-BAL-2020'!T461+'DMP-TRIAL-BAL-2020'!T461</f>
        <v>0</v>
      </c>
      <c r="AB461" s="51"/>
      <c r="AC461" s="8">
        <v>0</v>
      </c>
      <c r="AD461" s="9">
        <v>0</v>
      </c>
      <c r="AE461" s="122"/>
      <c r="AF461" s="121"/>
      <c r="AG461" s="27">
        <f>+IF(ABS(+AC461+AE461)&gt;=ABS(AD461+AF461),+AC461-AD461+AE461-AF461,0)</f>
        <v>0</v>
      </c>
      <c r="AH461" s="28">
        <f>+IF(ABS(+AC461+AE461)&lt;=ABS(AD461+AF461),-AC461+AD461-AE461+AF461,0)</f>
        <v>0</v>
      </c>
      <c r="AI461" s="51"/>
      <c r="AJ461" s="1497">
        <f>+N461</f>
        <v>6131</v>
      </c>
      <c r="AK461" s="8">
        <v>0</v>
      </c>
      <c r="AL461" s="9">
        <v>0</v>
      </c>
      <c r="AM461" s="326">
        <f t="shared" si="233"/>
        <v>0</v>
      </c>
      <c r="AN461" s="970">
        <f t="shared" si="233"/>
        <v>0</v>
      </c>
      <c r="AO461" s="326">
        <f t="shared" si="236"/>
        <v>0</v>
      </c>
      <c r="AP461" s="327">
        <f t="shared" si="237"/>
        <v>0</v>
      </c>
      <c r="AQ461" s="43"/>
      <c r="AR461" s="358">
        <f>+ROUND(+SUM(AK461-AL461)-SUM(O461-P461)-SUM(V461-W461)-SUM(AC461-AD461),2)</f>
        <v>0</v>
      </c>
      <c r="AS461" s="359">
        <f>+ROUND(+SUM(AM461-AN461)-SUM(Q461-R461)-SUM(X461-Y461)-SUM(AE461-AF461),2)</f>
        <v>0</v>
      </c>
      <c r="AT461" s="360">
        <f>+ROUND(+SUM(AO461-AP461)-SUM(S461-T461)-SUM(Z461-AA461)-SUM(AG461-AH461),2)</f>
        <v>0</v>
      </c>
      <c r="AU461" s="43"/>
      <c r="AV461" s="43"/>
      <c r="AW461" s="119"/>
      <c r="AX461" s="119"/>
      <c r="AY461" s="43"/>
      <c r="AZ461" s="43"/>
      <c r="BA461" s="43"/>
      <c r="BB461" s="43"/>
      <c r="BC461" s="43"/>
      <c r="BD461" s="43"/>
    </row>
    <row r="462" spans="1:56" ht="15.75">
      <c r="A462" s="88">
        <v>6132</v>
      </c>
      <c r="B462" s="1045" t="s">
        <v>2154</v>
      </c>
      <c r="C462" s="2298"/>
      <c r="D462" s="2298"/>
      <c r="E462" s="2298"/>
      <c r="F462" s="2298"/>
      <c r="G462" s="2298"/>
      <c r="H462" s="2298"/>
      <c r="I462" s="2298"/>
      <c r="J462" s="1033"/>
      <c r="K462" s="1033"/>
      <c r="L462" s="90"/>
      <c r="M462" s="51" t="s">
        <v>265</v>
      </c>
      <c r="N462" s="113">
        <f>+A462</f>
        <v>6132</v>
      </c>
      <c r="O462" s="8">
        <v>0</v>
      </c>
      <c r="P462" s="9">
        <v>0</v>
      </c>
      <c r="Q462" s="325"/>
      <c r="R462" s="324"/>
      <c r="S462" s="27">
        <f>+IF(ABS(+O462+Q462)&gt;=ABS(P462+R462),+O462-P462+Q462-R462,0)</f>
        <v>0</v>
      </c>
      <c r="T462" s="28">
        <f>+IF(ABS(+O462+Q462)&lt;=ABS(P462+R462),-O462+P462-Q462+R462,0)</f>
        <v>0</v>
      </c>
      <c r="U462" s="51"/>
      <c r="V462" s="541">
        <f>+'NF-KSF-TRIAL-BAL-2020'!O462+'RA-TRIAL-BAL-2020'!O462+'DES-TRIAL-BAL-2020'!O462+'DMP-TRIAL-BAL-2020'!O462</f>
        <v>0</v>
      </c>
      <c r="W462" s="529">
        <f>+'NF-KSF-TRIAL-BAL-2020'!P462+'RA-TRIAL-BAL-2020'!P462+'DES-TRIAL-BAL-2020'!P462+'DMP-TRIAL-BAL-2020'!P462</f>
        <v>0</v>
      </c>
      <c r="X462" s="528">
        <f>+'NF-KSF-TRIAL-BAL-2020'!Q462+'RA-TRIAL-BAL-2020'!Q462+'DES-TRIAL-BAL-2020'!Q462+'DMP-TRIAL-BAL-2020'!Q462</f>
        <v>0</v>
      </c>
      <c r="Y462" s="529">
        <f>+'NF-KSF-TRIAL-BAL-2020'!R462+'RA-TRIAL-BAL-2020'!R462+'DES-TRIAL-BAL-2020'!R462+'DMP-TRIAL-BAL-2020'!R462</f>
        <v>0</v>
      </c>
      <c r="Z462" s="528">
        <f>+'NF-KSF-TRIAL-BAL-2020'!S462+'RA-TRIAL-BAL-2020'!S462+'DES-TRIAL-BAL-2020'!S462+'DMP-TRIAL-BAL-2020'!S462</f>
        <v>0</v>
      </c>
      <c r="AA462" s="347">
        <f>+'NF-KSF-TRIAL-BAL-2020'!T462+'RA-TRIAL-BAL-2020'!T462+'DES-TRIAL-BAL-2020'!T462+'DMP-TRIAL-BAL-2020'!T462</f>
        <v>0</v>
      </c>
      <c r="AB462" s="51"/>
      <c r="AC462" s="8">
        <v>0</v>
      </c>
      <c r="AD462" s="9">
        <v>0</v>
      </c>
      <c r="AE462" s="122"/>
      <c r="AF462" s="121"/>
      <c r="AG462" s="27">
        <f>+IF(ABS(+AC462+AE462)&gt;=ABS(AD462+AF462),+AC462-AD462+AE462-AF462,0)</f>
        <v>0</v>
      </c>
      <c r="AH462" s="28">
        <f>+IF(ABS(+AC462+AE462)&lt;=ABS(AD462+AF462),-AC462+AD462-AE462+AF462,0)</f>
        <v>0</v>
      </c>
      <c r="AI462" s="51"/>
      <c r="AJ462" s="1497">
        <f>+N462</f>
        <v>6132</v>
      </c>
      <c r="AK462" s="8">
        <v>0</v>
      </c>
      <c r="AL462" s="9">
        <v>0</v>
      </c>
      <c r="AM462" s="326">
        <f>+ROUND(+Q462+X462+AE462,2)</f>
        <v>0</v>
      </c>
      <c r="AN462" s="970">
        <f>+ROUND(+R462+Y462+AF462,2)</f>
        <v>0</v>
      </c>
      <c r="AO462" s="326">
        <f t="shared" si="236"/>
        <v>0</v>
      </c>
      <c r="AP462" s="327">
        <f t="shared" si="237"/>
        <v>0</v>
      </c>
      <c r="AQ462" s="43"/>
      <c r="AR462" s="358">
        <f>+ROUND(+SUM(AK462-AL462)-SUM(O462-P462)-SUM(V462-W462)-SUM(AC462-AD462),2)</f>
        <v>0</v>
      </c>
      <c r="AS462" s="359">
        <f>+ROUND(+SUM(AM462-AN462)-SUM(Q462-R462)-SUM(X462-Y462)-SUM(AE462-AF462),2)</f>
        <v>0</v>
      </c>
      <c r="AT462" s="360">
        <f>+ROUND(+SUM(AO462-AP462)-SUM(S462-T462)-SUM(Z462-AA462)-SUM(AG462-AH462),2)</f>
        <v>0</v>
      </c>
      <c r="AU462" s="43"/>
      <c r="AV462" s="43"/>
      <c r="AW462" s="119"/>
      <c r="AX462" s="119"/>
      <c r="AY462" s="43"/>
      <c r="AZ462" s="43"/>
      <c r="BA462" s="43"/>
      <c r="BB462" s="43"/>
      <c r="BC462" s="43"/>
      <c r="BD462" s="43"/>
    </row>
    <row r="463" spans="1:56" ht="15.75" customHeight="1">
      <c r="A463" s="88">
        <v>6133</v>
      </c>
      <c r="B463" s="2300" t="s">
        <v>2155</v>
      </c>
      <c r="C463" s="2299"/>
      <c r="D463" s="2299"/>
      <c r="E463" s="2299"/>
      <c r="F463" s="2299"/>
      <c r="G463" s="2299"/>
      <c r="H463" s="2299"/>
      <c r="I463" s="2299"/>
      <c r="J463" s="1033"/>
      <c r="K463" s="1033"/>
      <c r="L463" s="90"/>
      <c r="M463" s="51" t="s">
        <v>265</v>
      </c>
      <c r="N463" s="113">
        <f>+A463</f>
        <v>6133</v>
      </c>
      <c r="O463" s="8">
        <v>0</v>
      </c>
      <c r="P463" s="9">
        <v>0</v>
      </c>
      <c r="Q463" s="325"/>
      <c r="R463" s="324"/>
      <c r="S463" s="27">
        <f>+IF(ABS(+O463+Q463)&gt;=ABS(P463+R463),+O463-P463+Q463-R463,0)</f>
        <v>0</v>
      </c>
      <c r="T463" s="28">
        <f>+IF(ABS(+O463+Q463)&lt;=ABS(P463+R463),-O463+P463-Q463+R463,0)</f>
        <v>0</v>
      </c>
      <c r="U463" s="51"/>
      <c r="V463" s="541">
        <f>+'NF-KSF-TRIAL-BAL-2020'!O463+'RA-TRIAL-BAL-2020'!O463+'DES-TRIAL-BAL-2020'!O463+'DMP-TRIAL-BAL-2020'!O463</f>
        <v>0</v>
      </c>
      <c r="W463" s="529">
        <f>+'NF-KSF-TRIAL-BAL-2020'!P463+'RA-TRIAL-BAL-2020'!P463+'DES-TRIAL-BAL-2020'!P463+'DMP-TRIAL-BAL-2020'!P463</f>
        <v>0</v>
      </c>
      <c r="X463" s="528">
        <f>+'NF-KSF-TRIAL-BAL-2020'!Q463+'RA-TRIAL-BAL-2020'!Q463+'DES-TRIAL-BAL-2020'!Q463+'DMP-TRIAL-BAL-2020'!Q463</f>
        <v>0</v>
      </c>
      <c r="Y463" s="529">
        <f>+'NF-KSF-TRIAL-BAL-2020'!R463+'RA-TRIAL-BAL-2020'!R463+'DES-TRIAL-BAL-2020'!R463+'DMP-TRIAL-BAL-2020'!R463</f>
        <v>0</v>
      </c>
      <c r="Z463" s="528">
        <f>+'NF-KSF-TRIAL-BAL-2020'!S463+'RA-TRIAL-BAL-2020'!S463+'DES-TRIAL-BAL-2020'!S463+'DMP-TRIAL-BAL-2020'!S463</f>
        <v>0</v>
      </c>
      <c r="AA463" s="347">
        <f>+'NF-KSF-TRIAL-BAL-2020'!T463+'RA-TRIAL-BAL-2020'!T463+'DES-TRIAL-BAL-2020'!T463+'DMP-TRIAL-BAL-2020'!T463</f>
        <v>0</v>
      </c>
      <c r="AB463" s="51"/>
      <c r="AC463" s="8">
        <v>0</v>
      </c>
      <c r="AD463" s="9">
        <v>0</v>
      </c>
      <c r="AE463" s="122"/>
      <c r="AF463" s="121"/>
      <c r="AG463" s="27">
        <f>+IF(ABS(+AC463+AE463)&gt;=ABS(AD463+AF463),+AC463-AD463+AE463-AF463,0)</f>
        <v>0</v>
      </c>
      <c r="AH463" s="28">
        <f>+IF(ABS(+AC463+AE463)&lt;=ABS(AD463+AF463),-AC463+AD463-AE463+AF463,0)</f>
        <v>0</v>
      </c>
      <c r="AI463" s="51"/>
      <c r="AJ463" s="1497">
        <f>+N463</f>
        <v>6133</v>
      </c>
      <c r="AK463" s="8">
        <v>0</v>
      </c>
      <c r="AL463" s="9">
        <v>0</v>
      </c>
      <c r="AM463" s="326">
        <f>+ROUND(+Q463+X463+AE463,2)</f>
        <v>0</v>
      </c>
      <c r="AN463" s="970">
        <f>+ROUND(+R463+Y463+AF463,2)</f>
        <v>0</v>
      </c>
      <c r="AO463" s="326">
        <f t="shared" si="236"/>
        <v>0</v>
      </c>
      <c r="AP463" s="327">
        <f t="shared" si="237"/>
        <v>0</v>
      </c>
      <c r="AQ463" s="43"/>
      <c r="AR463" s="358">
        <f>+ROUND(+SUM(AK463-AL463)-SUM(O463-P463)-SUM(V463-W463)-SUM(AC463-AD463),2)</f>
        <v>0</v>
      </c>
      <c r="AS463" s="359">
        <f>+ROUND(+SUM(AM463-AN463)-SUM(Q463-R463)-SUM(X463-Y463)-SUM(AE463-AF463),2)</f>
        <v>0</v>
      </c>
      <c r="AT463" s="360">
        <f>+ROUND(+SUM(AO463-AP463)-SUM(S463-T463)-SUM(Z463-AA463)-SUM(AG463-AH463),2)</f>
        <v>0</v>
      </c>
      <c r="AU463" s="43"/>
      <c r="AV463" s="43"/>
      <c r="AW463" s="119"/>
      <c r="AX463" s="119"/>
      <c r="AY463" s="43"/>
      <c r="AZ463" s="43"/>
      <c r="BA463" s="43"/>
      <c r="BB463" s="43"/>
      <c r="BC463" s="43"/>
      <c r="BD463" s="43"/>
    </row>
    <row r="464" spans="1:56" ht="15.75">
      <c r="A464" s="88">
        <v>6140</v>
      </c>
      <c r="B464" s="1045" t="s">
        <v>2156</v>
      </c>
      <c r="C464" s="1033"/>
      <c r="D464" s="1033"/>
      <c r="E464" s="1033"/>
      <c r="F464" s="1033"/>
      <c r="G464" s="1033"/>
      <c r="H464" s="1033"/>
      <c r="I464" s="1033"/>
      <c r="J464" s="1033"/>
      <c r="K464" s="1033"/>
      <c r="L464" s="90"/>
      <c r="M464" s="51" t="s">
        <v>265</v>
      </c>
      <c r="N464" s="113">
        <f t="shared" si="240"/>
        <v>6140</v>
      </c>
      <c r="O464" s="8">
        <v>0</v>
      </c>
      <c r="P464" s="9">
        <v>0</v>
      </c>
      <c r="Q464" s="325"/>
      <c r="R464" s="324"/>
      <c r="S464" s="27">
        <f t="shared" si="238"/>
        <v>0</v>
      </c>
      <c r="T464" s="28">
        <f t="shared" si="234"/>
        <v>0</v>
      </c>
      <c r="U464" s="51"/>
      <c r="V464" s="541">
        <f>+'NF-KSF-TRIAL-BAL-2020'!O464+'RA-TRIAL-BAL-2020'!O464+'DES-TRIAL-BAL-2020'!O464+'DMP-TRIAL-BAL-2020'!O464</f>
        <v>0</v>
      </c>
      <c r="W464" s="529">
        <f>+'NF-KSF-TRIAL-BAL-2020'!P464+'RA-TRIAL-BAL-2020'!P464+'DES-TRIAL-BAL-2020'!P464+'DMP-TRIAL-BAL-2020'!P464</f>
        <v>0</v>
      </c>
      <c r="X464" s="528">
        <f>+'NF-KSF-TRIAL-BAL-2020'!Q464+'RA-TRIAL-BAL-2020'!Q464+'DES-TRIAL-BAL-2020'!Q464+'DMP-TRIAL-BAL-2020'!Q464</f>
        <v>0</v>
      </c>
      <c r="Y464" s="529">
        <f>+'NF-KSF-TRIAL-BAL-2020'!R464+'RA-TRIAL-BAL-2020'!R464+'DES-TRIAL-BAL-2020'!R464+'DMP-TRIAL-BAL-2020'!R464</f>
        <v>0</v>
      </c>
      <c r="Z464" s="528">
        <f>+'NF-KSF-TRIAL-BAL-2020'!S464+'RA-TRIAL-BAL-2020'!S464+'DES-TRIAL-BAL-2020'!S464+'DMP-TRIAL-BAL-2020'!S464</f>
        <v>0</v>
      </c>
      <c r="AA464" s="347">
        <f>+'NF-KSF-TRIAL-BAL-2020'!T464+'RA-TRIAL-BAL-2020'!T464+'DES-TRIAL-BAL-2020'!T464+'DMP-TRIAL-BAL-2020'!T464</f>
        <v>0</v>
      </c>
      <c r="AB464" s="51"/>
      <c r="AC464" s="8">
        <v>0</v>
      </c>
      <c r="AD464" s="9">
        <v>0</v>
      </c>
      <c r="AE464" s="122"/>
      <c r="AF464" s="121"/>
      <c r="AG464" s="27">
        <f t="shared" si="239"/>
        <v>0</v>
      </c>
      <c r="AH464" s="28">
        <f t="shared" si="235"/>
        <v>0</v>
      </c>
      <c r="AI464" s="51"/>
      <c r="AJ464" s="1497">
        <f t="shared" si="226"/>
        <v>6140</v>
      </c>
      <c r="AK464" s="8">
        <v>0</v>
      </c>
      <c r="AL464" s="9">
        <v>0</v>
      </c>
      <c r="AM464" s="326">
        <f t="shared" si="233"/>
        <v>0</v>
      </c>
      <c r="AN464" s="970">
        <f t="shared" si="233"/>
        <v>0</v>
      </c>
      <c r="AO464" s="326">
        <f t="shared" si="236"/>
        <v>0</v>
      </c>
      <c r="AP464" s="327">
        <f t="shared" si="237"/>
        <v>0</v>
      </c>
      <c r="AQ464" s="43"/>
      <c r="AR464" s="358">
        <f t="shared" si="241"/>
        <v>0</v>
      </c>
      <c r="AS464" s="359">
        <f t="shared" si="242"/>
        <v>0</v>
      </c>
      <c r="AT464" s="360">
        <f t="shared" si="243"/>
        <v>0</v>
      </c>
      <c r="AU464" s="43"/>
      <c r="AV464" s="43"/>
      <c r="AW464" s="119"/>
      <c r="AX464" s="119"/>
      <c r="AY464" s="43"/>
      <c r="AZ464" s="43"/>
      <c r="BA464" s="43"/>
      <c r="BB464" s="43"/>
      <c r="BC464" s="43"/>
      <c r="BD464" s="43"/>
    </row>
    <row r="465" spans="1:56" ht="15.75">
      <c r="A465" s="88">
        <v>6141</v>
      </c>
      <c r="B465" s="1045" t="s">
        <v>2157</v>
      </c>
      <c r="C465" s="1033"/>
      <c r="D465" s="1033"/>
      <c r="E465" s="1033"/>
      <c r="F465" s="1033"/>
      <c r="G465" s="1033"/>
      <c r="H465" s="1033"/>
      <c r="I465" s="1033"/>
      <c r="J465" s="1033"/>
      <c r="K465" s="1033"/>
      <c r="L465" s="90"/>
      <c r="M465" s="51" t="s">
        <v>265</v>
      </c>
      <c r="N465" s="113">
        <f>+A465</f>
        <v>6141</v>
      </c>
      <c r="O465" s="8">
        <v>0</v>
      </c>
      <c r="P465" s="9">
        <v>0</v>
      </c>
      <c r="Q465" s="325"/>
      <c r="R465" s="324"/>
      <c r="S465" s="27">
        <f>+IF(ABS(+O465+Q465)&gt;=ABS(P465+R465),+O465-P465+Q465-R465,0)</f>
        <v>0</v>
      </c>
      <c r="T465" s="28">
        <f>+IF(ABS(+O465+Q465)&lt;=ABS(P465+R465),-O465+P465-Q465+R465,0)</f>
        <v>0</v>
      </c>
      <c r="U465" s="51"/>
      <c r="V465" s="541">
        <f>+'NF-KSF-TRIAL-BAL-2020'!O465+'RA-TRIAL-BAL-2020'!O465+'DES-TRIAL-BAL-2020'!O465+'DMP-TRIAL-BAL-2020'!O465</f>
        <v>0</v>
      </c>
      <c r="W465" s="529">
        <f>+'NF-KSF-TRIAL-BAL-2020'!P465+'RA-TRIAL-BAL-2020'!P465+'DES-TRIAL-BAL-2020'!P465+'DMP-TRIAL-BAL-2020'!P465</f>
        <v>0</v>
      </c>
      <c r="X465" s="528">
        <f>+'NF-KSF-TRIAL-BAL-2020'!Q465+'RA-TRIAL-BAL-2020'!Q465+'DES-TRIAL-BAL-2020'!Q465+'DMP-TRIAL-BAL-2020'!Q465</f>
        <v>0</v>
      </c>
      <c r="Y465" s="529">
        <f>+'NF-KSF-TRIAL-BAL-2020'!R465+'RA-TRIAL-BAL-2020'!R465+'DES-TRIAL-BAL-2020'!R465+'DMP-TRIAL-BAL-2020'!R465</f>
        <v>0</v>
      </c>
      <c r="Z465" s="528">
        <f>+'NF-KSF-TRIAL-BAL-2020'!S465+'RA-TRIAL-BAL-2020'!S465+'DES-TRIAL-BAL-2020'!S465+'DMP-TRIAL-BAL-2020'!S465</f>
        <v>0</v>
      </c>
      <c r="AA465" s="347">
        <f>+'NF-KSF-TRIAL-BAL-2020'!T465+'RA-TRIAL-BAL-2020'!T465+'DES-TRIAL-BAL-2020'!T465+'DMP-TRIAL-BAL-2020'!T465</f>
        <v>0</v>
      </c>
      <c r="AB465" s="51"/>
      <c r="AC465" s="8">
        <v>0</v>
      </c>
      <c r="AD465" s="9">
        <v>0</v>
      </c>
      <c r="AE465" s="122"/>
      <c r="AF465" s="121"/>
      <c r="AG465" s="27">
        <f>+IF(ABS(+AC465+AE465)&gt;=ABS(AD465+AF465),+AC465-AD465+AE465-AF465,0)</f>
        <v>0</v>
      </c>
      <c r="AH465" s="28">
        <f>+IF(ABS(+AC465+AE465)&lt;=ABS(AD465+AF465),-AC465+AD465-AE465+AF465,0)</f>
        <v>0</v>
      </c>
      <c r="AI465" s="51"/>
      <c r="AJ465" s="1497">
        <f>+N465</f>
        <v>6141</v>
      </c>
      <c r="AK465" s="8">
        <v>0</v>
      </c>
      <c r="AL465" s="9">
        <v>0</v>
      </c>
      <c r="AM465" s="326">
        <f>+ROUND(+Q465+X465+AE465,2)</f>
        <v>0</v>
      </c>
      <c r="AN465" s="970">
        <f>+ROUND(+R465+Y465+AF465,2)</f>
        <v>0</v>
      </c>
      <c r="AO465" s="326">
        <f t="shared" si="236"/>
        <v>0</v>
      </c>
      <c r="AP465" s="327">
        <f t="shared" si="237"/>
        <v>0</v>
      </c>
      <c r="AQ465" s="43"/>
      <c r="AR465" s="358">
        <f>+ROUND(+SUM(AK465-AL465)-SUM(O465-P465)-SUM(V465-W465)-SUM(AC465-AD465),2)</f>
        <v>0</v>
      </c>
      <c r="AS465" s="359">
        <f>+ROUND(+SUM(AM465-AN465)-SUM(Q465-R465)-SUM(X465-Y465)-SUM(AE465-AF465),2)</f>
        <v>0</v>
      </c>
      <c r="AT465" s="360">
        <f>+ROUND(+SUM(AO465-AP465)-SUM(S465-T465)-SUM(Z465-AA465)-SUM(AG465-AH465),2)</f>
        <v>0</v>
      </c>
      <c r="AU465" s="43"/>
      <c r="AV465" s="43"/>
      <c r="AW465" s="119"/>
      <c r="AX465" s="119"/>
      <c r="AY465" s="43"/>
      <c r="AZ465" s="43"/>
      <c r="BA465" s="43"/>
      <c r="BB465" s="43"/>
      <c r="BC465" s="43"/>
      <c r="BD465" s="43"/>
    </row>
    <row r="466" spans="1:56" ht="15.75">
      <c r="A466" s="88">
        <v>6142</v>
      </c>
      <c r="B466" s="1045" t="s">
        <v>2158</v>
      </c>
      <c r="C466" s="1033"/>
      <c r="D466" s="1033"/>
      <c r="E466" s="1033"/>
      <c r="F466" s="1033"/>
      <c r="G466" s="1033"/>
      <c r="H466" s="1033"/>
      <c r="I466" s="1033"/>
      <c r="J466" s="1033"/>
      <c r="K466" s="1033"/>
      <c r="L466" s="90"/>
      <c r="M466" s="51" t="s">
        <v>265</v>
      </c>
      <c r="N466" s="113">
        <f t="shared" si="240"/>
        <v>6142</v>
      </c>
      <c r="O466" s="8">
        <v>0</v>
      </c>
      <c r="P466" s="9">
        <v>0</v>
      </c>
      <c r="Q466" s="325"/>
      <c r="R466" s="324"/>
      <c r="S466" s="27">
        <f t="shared" si="238"/>
        <v>0</v>
      </c>
      <c r="T466" s="28">
        <f t="shared" si="234"/>
        <v>0</v>
      </c>
      <c r="U466" s="51"/>
      <c r="V466" s="541">
        <f>+'NF-KSF-TRIAL-BAL-2020'!O466+'RA-TRIAL-BAL-2020'!O466+'DES-TRIAL-BAL-2020'!O466+'DMP-TRIAL-BAL-2020'!O466</f>
        <v>0</v>
      </c>
      <c r="W466" s="529">
        <f>+'NF-KSF-TRIAL-BAL-2020'!P466+'RA-TRIAL-BAL-2020'!P466+'DES-TRIAL-BAL-2020'!P466+'DMP-TRIAL-BAL-2020'!P466</f>
        <v>0</v>
      </c>
      <c r="X466" s="528">
        <f>+'NF-KSF-TRIAL-BAL-2020'!Q466+'RA-TRIAL-BAL-2020'!Q466+'DES-TRIAL-BAL-2020'!Q466+'DMP-TRIAL-BAL-2020'!Q466</f>
        <v>0</v>
      </c>
      <c r="Y466" s="529">
        <f>+'NF-KSF-TRIAL-BAL-2020'!R466+'RA-TRIAL-BAL-2020'!R466+'DES-TRIAL-BAL-2020'!R466+'DMP-TRIAL-BAL-2020'!R466</f>
        <v>0</v>
      </c>
      <c r="Z466" s="528">
        <f>+'NF-KSF-TRIAL-BAL-2020'!S466+'RA-TRIAL-BAL-2020'!S466+'DES-TRIAL-BAL-2020'!S466+'DMP-TRIAL-BAL-2020'!S466</f>
        <v>0</v>
      </c>
      <c r="AA466" s="347">
        <f>+'NF-KSF-TRIAL-BAL-2020'!T466+'RA-TRIAL-BAL-2020'!T466+'DES-TRIAL-BAL-2020'!T466+'DMP-TRIAL-BAL-2020'!T466</f>
        <v>0</v>
      </c>
      <c r="AB466" s="51"/>
      <c r="AC466" s="8">
        <v>0</v>
      </c>
      <c r="AD466" s="9">
        <v>0</v>
      </c>
      <c r="AE466" s="122"/>
      <c r="AF466" s="121"/>
      <c r="AG466" s="27">
        <f t="shared" si="239"/>
        <v>0</v>
      </c>
      <c r="AH466" s="28">
        <f t="shared" si="235"/>
        <v>0</v>
      </c>
      <c r="AI466" s="51"/>
      <c r="AJ466" s="1497">
        <f t="shared" si="226"/>
        <v>6142</v>
      </c>
      <c r="AK466" s="8">
        <v>0</v>
      </c>
      <c r="AL466" s="9">
        <v>0</v>
      </c>
      <c r="AM466" s="326">
        <f t="shared" si="233"/>
        <v>0</v>
      </c>
      <c r="AN466" s="970">
        <f t="shared" si="233"/>
        <v>0</v>
      </c>
      <c r="AO466" s="326">
        <f t="shared" si="236"/>
        <v>0</v>
      </c>
      <c r="AP466" s="327">
        <f t="shared" si="237"/>
        <v>0</v>
      </c>
      <c r="AQ466" s="43"/>
      <c r="AR466" s="358">
        <f t="shared" si="241"/>
        <v>0</v>
      </c>
      <c r="AS466" s="359">
        <f t="shared" si="242"/>
        <v>0</v>
      </c>
      <c r="AT466" s="360">
        <f t="shared" si="243"/>
        <v>0</v>
      </c>
      <c r="AU466" s="43"/>
      <c r="AV466" s="43"/>
      <c r="AW466" s="119"/>
      <c r="AX466" s="119"/>
      <c r="AY466" s="43"/>
      <c r="AZ466" s="43"/>
      <c r="BA466" s="43"/>
      <c r="BB466" s="43"/>
      <c r="BC466" s="43"/>
      <c r="BD466" s="43"/>
    </row>
    <row r="467" spans="1:56" ht="15.75">
      <c r="A467" s="88">
        <v>6143</v>
      </c>
      <c r="B467" s="1045" t="s">
        <v>2159</v>
      </c>
      <c r="C467" s="1033"/>
      <c r="D467" s="1033"/>
      <c r="E467" s="1033"/>
      <c r="F467" s="1033"/>
      <c r="G467" s="1033"/>
      <c r="H467" s="1033"/>
      <c r="I467" s="1033"/>
      <c r="J467" s="1033"/>
      <c r="K467" s="1033"/>
      <c r="L467" s="90"/>
      <c r="M467" s="51" t="s">
        <v>265</v>
      </c>
      <c r="N467" s="113">
        <f t="shared" si="240"/>
        <v>6143</v>
      </c>
      <c r="O467" s="8">
        <v>0</v>
      </c>
      <c r="P467" s="9">
        <v>0</v>
      </c>
      <c r="Q467" s="325">
        <v>0</v>
      </c>
      <c r="R467" s="324">
        <v>0</v>
      </c>
      <c r="S467" s="27">
        <f t="shared" si="238"/>
        <v>0</v>
      </c>
      <c r="T467" s="28">
        <f t="shared" si="234"/>
        <v>0</v>
      </c>
      <c r="U467" s="51"/>
      <c r="V467" s="541">
        <f>+'NF-KSF-TRIAL-BAL-2020'!O467+'RA-TRIAL-BAL-2020'!O467+'DES-TRIAL-BAL-2020'!O467+'DMP-TRIAL-BAL-2020'!O467</f>
        <v>0</v>
      </c>
      <c r="W467" s="529">
        <f>+'NF-KSF-TRIAL-BAL-2020'!P467+'RA-TRIAL-BAL-2020'!P467+'DES-TRIAL-BAL-2020'!P467+'DMP-TRIAL-BAL-2020'!P467</f>
        <v>0</v>
      </c>
      <c r="X467" s="528">
        <f>+'NF-KSF-TRIAL-BAL-2020'!Q467+'RA-TRIAL-BAL-2020'!Q467+'DES-TRIAL-BAL-2020'!Q467+'DMP-TRIAL-BAL-2020'!Q467</f>
        <v>0</v>
      </c>
      <c r="Y467" s="529">
        <f>+'NF-KSF-TRIAL-BAL-2020'!R467+'RA-TRIAL-BAL-2020'!R467+'DES-TRIAL-BAL-2020'!R467+'DMP-TRIAL-BAL-2020'!R467</f>
        <v>0</v>
      </c>
      <c r="Z467" s="528">
        <f>+'NF-KSF-TRIAL-BAL-2020'!S467+'RA-TRIAL-BAL-2020'!S467+'DES-TRIAL-BAL-2020'!S467+'DMP-TRIAL-BAL-2020'!S467</f>
        <v>0</v>
      </c>
      <c r="AA467" s="347">
        <f>+'NF-KSF-TRIAL-BAL-2020'!T467+'RA-TRIAL-BAL-2020'!T467+'DES-TRIAL-BAL-2020'!T467+'DMP-TRIAL-BAL-2020'!T467</f>
        <v>0</v>
      </c>
      <c r="AB467" s="51"/>
      <c r="AC467" s="8">
        <v>0</v>
      </c>
      <c r="AD467" s="9">
        <v>0</v>
      </c>
      <c r="AE467" s="122">
        <v>0</v>
      </c>
      <c r="AF467" s="121">
        <v>0</v>
      </c>
      <c r="AG467" s="27">
        <f t="shared" si="239"/>
        <v>0</v>
      </c>
      <c r="AH467" s="28">
        <f t="shared" si="235"/>
        <v>0</v>
      </c>
      <c r="AI467" s="51"/>
      <c r="AJ467" s="1497">
        <f t="shared" si="226"/>
        <v>6143</v>
      </c>
      <c r="AK467" s="8">
        <v>0</v>
      </c>
      <c r="AL467" s="9">
        <v>0</v>
      </c>
      <c r="AM467" s="326">
        <f t="shared" si="233"/>
        <v>0</v>
      </c>
      <c r="AN467" s="970">
        <f t="shared" si="233"/>
        <v>0</v>
      </c>
      <c r="AO467" s="326">
        <f t="shared" si="236"/>
        <v>0</v>
      </c>
      <c r="AP467" s="327">
        <f t="shared" si="237"/>
        <v>0</v>
      </c>
      <c r="AQ467" s="43"/>
      <c r="AR467" s="358">
        <f t="shared" si="241"/>
        <v>0</v>
      </c>
      <c r="AS467" s="359">
        <f t="shared" si="242"/>
        <v>0</v>
      </c>
      <c r="AT467" s="360">
        <f t="shared" si="243"/>
        <v>0</v>
      </c>
      <c r="AU467" s="43"/>
      <c r="AV467" s="43"/>
      <c r="AW467" s="119"/>
      <c r="AX467" s="119"/>
      <c r="AY467" s="43"/>
      <c r="AZ467" s="43"/>
      <c r="BA467" s="43"/>
      <c r="BB467" s="43"/>
      <c r="BC467" s="43"/>
      <c r="BD467" s="43"/>
    </row>
    <row r="468" spans="1:56" ht="15.75">
      <c r="A468" s="88">
        <v>6144</v>
      </c>
      <c r="B468" s="1045" t="s">
        <v>2160</v>
      </c>
      <c r="C468" s="1033"/>
      <c r="D468" s="1033"/>
      <c r="E468" s="1033"/>
      <c r="F468" s="1033"/>
      <c r="G468" s="1033"/>
      <c r="H468" s="1033"/>
      <c r="I468" s="1033"/>
      <c r="J468" s="1033"/>
      <c r="K468" s="1033"/>
      <c r="L468" s="90"/>
      <c r="M468" s="51" t="s">
        <v>265</v>
      </c>
      <c r="N468" s="113">
        <f t="shared" si="240"/>
        <v>6144</v>
      </c>
      <c r="O468" s="8">
        <v>0</v>
      </c>
      <c r="P468" s="9">
        <v>0</v>
      </c>
      <c r="Q468" s="325">
        <v>0</v>
      </c>
      <c r="R468" s="324">
        <v>0</v>
      </c>
      <c r="S468" s="27">
        <f t="shared" si="238"/>
        <v>0</v>
      </c>
      <c r="T468" s="28">
        <f t="shared" si="234"/>
        <v>0</v>
      </c>
      <c r="U468" s="51"/>
      <c r="V468" s="541">
        <f>+'NF-KSF-TRIAL-BAL-2020'!O468+'RA-TRIAL-BAL-2020'!O468+'DES-TRIAL-BAL-2020'!O468+'DMP-TRIAL-BAL-2020'!O468</f>
        <v>0</v>
      </c>
      <c r="W468" s="529">
        <f>+'NF-KSF-TRIAL-BAL-2020'!P468+'RA-TRIAL-BAL-2020'!P468+'DES-TRIAL-BAL-2020'!P468+'DMP-TRIAL-BAL-2020'!P468</f>
        <v>0</v>
      </c>
      <c r="X468" s="528">
        <f>+'NF-KSF-TRIAL-BAL-2020'!Q468+'RA-TRIAL-BAL-2020'!Q468+'DES-TRIAL-BAL-2020'!Q468+'DMP-TRIAL-BAL-2020'!Q468</f>
        <v>0</v>
      </c>
      <c r="Y468" s="529">
        <f>+'NF-KSF-TRIAL-BAL-2020'!R468+'RA-TRIAL-BAL-2020'!R468+'DES-TRIAL-BAL-2020'!R468+'DMP-TRIAL-BAL-2020'!R468</f>
        <v>0</v>
      </c>
      <c r="Z468" s="528">
        <f>+'NF-KSF-TRIAL-BAL-2020'!S468+'RA-TRIAL-BAL-2020'!S468+'DES-TRIAL-BAL-2020'!S468+'DMP-TRIAL-BAL-2020'!S468</f>
        <v>0</v>
      </c>
      <c r="AA468" s="347">
        <f>+'NF-KSF-TRIAL-BAL-2020'!T468+'RA-TRIAL-BAL-2020'!T468+'DES-TRIAL-BAL-2020'!T468+'DMP-TRIAL-BAL-2020'!T468</f>
        <v>0</v>
      </c>
      <c r="AB468" s="51"/>
      <c r="AC468" s="8">
        <v>0</v>
      </c>
      <c r="AD468" s="9">
        <v>0</v>
      </c>
      <c r="AE468" s="122">
        <v>0</v>
      </c>
      <c r="AF468" s="121">
        <v>0</v>
      </c>
      <c r="AG468" s="27">
        <f t="shared" si="239"/>
        <v>0</v>
      </c>
      <c r="AH468" s="28">
        <f t="shared" si="235"/>
        <v>0</v>
      </c>
      <c r="AI468" s="51"/>
      <c r="AJ468" s="1497">
        <f t="shared" si="226"/>
        <v>6144</v>
      </c>
      <c r="AK468" s="8">
        <v>0</v>
      </c>
      <c r="AL468" s="9">
        <v>0</v>
      </c>
      <c r="AM468" s="326">
        <f t="shared" si="233"/>
        <v>0</v>
      </c>
      <c r="AN468" s="970">
        <f t="shared" si="233"/>
        <v>0</v>
      </c>
      <c r="AO468" s="326">
        <f t="shared" si="236"/>
        <v>0</v>
      </c>
      <c r="AP468" s="327">
        <f t="shared" si="237"/>
        <v>0</v>
      </c>
      <c r="AQ468" s="43"/>
      <c r="AR468" s="358">
        <f t="shared" si="241"/>
        <v>0</v>
      </c>
      <c r="AS468" s="359">
        <f t="shared" si="242"/>
        <v>0</v>
      </c>
      <c r="AT468" s="360">
        <f t="shared" si="243"/>
        <v>0</v>
      </c>
      <c r="AU468" s="43"/>
      <c r="AV468" s="43"/>
      <c r="AW468" s="119"/>
      <c r="AX468" s="119"/>
      <c r="AY468" s="43"/>
      <c r="AZ468" s="43"/>
      <c r="BA468" s="43"/>
      <c r="BB468" s="43"/>
      <c r="BC468" s="43"/>
      <c r="BD468" s="43"/>
    </row>
    <row r="469" spans="1:56" ht="15.75">
      <c r="A469" s="88">
        <v>6145</v>
      </c>
      <c r="B469" s="1045" t="s">
        <v>2161</v>
      </c>
      <c r="C469" s="1033"/>
      <c r="D469" s="1033"/>
      <c r="E469" s="1033"/>
      <c r="F469" s="1033"/>
      <c r="G469" s="1033"/>
      <c r="H469" s="1033"/>
      <c r="I469" s="1033"/>
      <c r="J469" s="1033"/>
      <c r="K469" s="1033"/>
      <c r="L469" s="90"/>
      <c r="M469" s="51" t="s">
        <v>265</v>
      </c>
      <c r="N469" s="113">
        <f t="shared" si="240"/>
        <v>6145</v>
      </c>
      <c r="O469" s="8">
        <v>0</v>
      </c>
      <c r="P469" s="9">
        <v>0</v>
      </c>
      <c r="Q469" s="325">
        <v>0</v>
      </c>
      <c r="R469" s="324">
        <v>0</v>
      </c>
      <c r="S469" s="27">
        <f t="shared" si="238"/>
        <v>0</v>
      </c>
      <c r="T469" s="28">
        <f t="shared" si="234"/>
        <v>0</v>
      </c>
      <c r="U469" s="51"/>
      <c r="V469" s="541">
        <f>+'NF-KSF-TRIAL-BAL-2020'!O469+'RA-TRIAL-BAL-2020'!O469+'DES-TRIAL-BAL-2020'!O469+'DMP-TRIAL-BAL-2020'!O469</f>
        <v>0</v>
      </c>
      <c r="W469" s="529">
        <f>+'NF-KSF-TRIAL-BAL-2020'!P469+'RA-TRIAL-BAL-2020'!P469+'DES-TRIAL-BAL-2020'!P469+'DMP-TRIAL-BAL-2020'!P469</f>
        <v>0</v>
      </c>
      <c r="X469" s="528">
        <f>+'NF-KSF-TRIAL-BAL-2020'!Q469+'RA-TRIAL-BAL-2020'!Q469+'DES-TRIAL-BAL-2020'!Q469+'DMP-TRIAL-BAL-2020'!Q469</f>
        <v>0</v>
      </c>
      <c r="Y469" s="529">
        <f>+'NF-KSF-TRIAL-BAL-2020'!R469+'RA-TRIAL-BAL-2020'!R469+'DES-TRIAL-BAL-2020'!R469+'DMP-TRIAL-BAL-2020'!R469</f>
        <v>0</v>
      </c>
      <c r="Z469" s="528">
        <f>+'NF-KSF-TRIAL-BAL-2020'!S469+'RA-TRIAL-BAL-2020'!S469+'DES-TRIAL-BAL-2020'!S469+'DMP-TRIAL-BAL-2020'!S469</f>
        <v>0</v>
      </c>
      <c r="AA469" s="347">
        <f>+'NF-KSF-TRIAL-BAL-2020'!T469+'RA-TRIAL-BAL-2020'!T469+'DES-TRIAL-BAL-2020'!T469+'DMP-TRIAL-BAL-2020'!T469</f>
        <v>0</v>
      </c>
      <c r="AB469" s="51"/>
      <c r="AC469" s="8">
        <v>0</v>
      </c>
      <c r="AD469" s="9">
        <v>0</v>
      </c>
      <c r="AE469" s="122">
        <v>0</v>
      </c>
      <c r="AF469" s="121">
        <v>0</v>
      </c>
      <c r="AG469" s="27">
        <f t="shared" si="239"/>
        <v>0</v>
      </c>
      <c r="AH469" s="28">
        <f t="shared" si="235"/>
        <v>0</v>
      </c>
      <c r="AI469" s="51"/>
      <c r="AJ469" s="1497">
        <f t="shared" si="226"/>
        <v>6145</v>
      </c>
      <c r="AK469" s="8">
        <v>0</v>
      </c>
      <c r="AL469" s="9">
        <v>0</v>
      </c>
      <c r="AM469" s="326">
        <f t="shared" si="233"/>
        <v>0</v>
      </c>
      <c r="AN469" s="970">
        <f t="shared" si="233"/>
        <v>0</v>
      </c>
      <c r="AO469" s="326">
        <f t="shared" si="236"/>
        <v>0</v>
      </c>
      <c r="AP469" s="327">
        <f t="shared" si="237"/>
        <v>0</v>
      </c>
      <c r="AQ469" s="43"/>
      <c r="AR469" s="358">
        <f t="shared" si="241"/>
        <v>0</v>
      </c>
      <c r="AS469" s="359">
        <f t="shared" si="242"/>
        <v>0</v>
      </c>
      <c r="AT469" s="360">
        <f t="shared" si="243"/>
        <v>0</v>
      </c>
      <c r="AU469" s="43"/>
      <c r="AV469" s="43"/>
      <c r="AW469" s="119"/>
      <c r="AX469" s="119"/>
      <c r="AY469" s="43"/>
      <c r="AZ469" s="43"/>
      <c r="BA469" s="43"/>
      <c r="BB469" s="43"/>
      <c r="BC469" s="43"/>
      <c r="BD469" s="43"/>
    </row>
    <row r="470" spans="1:56" ht="15.75">
      <c r="A470" s="88">
        <v>6146</v>
      </c>
      <c r="B470" s="1045" t="s">
        <v>2162</v>
      </c>
      <c r="C470" s="1033"/>
      <c r="D470" s="1033"/>
      <c r="E470" s="1033"/>
      <c r="F470" s="1033"/>
      <c r="G470" s="1033"/>
      <c r="H470" s="1033"/>
      <c r="I470" s="1033"/>
      <c r="J470" s="1033"/>
      <c r="K470" s="1033"/>
      <c r="L470" s="90"/>
      <c r="M470" s="51" t="s">
        <v>265</v>
      </c>
      <c r="N470" s="113">
        <f t="shared" si="240"/>
        <v>6146</v>
      </c>
      <c r="O470" s="8">
        <v>0</v>
      </c>
      <c r="P470" s="9">
        <v>0</v>
      </c>
      <c r="Q470" s="325">
        <v>0</v>
      </c>
      <c r="R470" s="324">
        <v>0</v>
      </c>
      <c r="S470" s="27">
        <f t="shared" si="238"/>
        <v>0</v>
      </c>
      <c r="T470" s="28">
        <f t="shared" si="234"/>
        <v>0</v>
      </c>
      <c r="U470" s="51"/>
      <c r="V470" s="541">
        <f>+'NF-KSF-TRIAL-BAL-2020'!O470+'RA-TRIAL-BAL-2020'!O470+'DES-TRIAL-BAL-2020'!O470+'DMP-TRIAL-BAL-2020'!O470</f>
        <v>0</v>
      </c>
      <c r="W470" s="529">
        <f>+'NF-KSF-TRIAL-BAL-2020'!P470+'RA-TRIAL-BAL-2020'!P470+'DES-TRIAL-BAL-2020'!P470+'DMP-TRIAL-BAL-2020'!P470</f>
        <v>0</v>
      </c>
      <c r="X470" s="528">
        <f>+'NF-KSF-TRIAL-BAL-2020'!Q470+'RA-TRIAL-BAL-2020'!Q470+'DES-TRIAL-BAL-2020'!Q470+'DMP-TRIAL-BAL-2020'!Q470</f>
        <v>0</v>
      </c>
      <c r="Y470" s="529">
        <f>+'NF-KSF-TRIAL-BAL-2020'!R470+'RA-TRIAL-BAL-2020'!R470+'DES-TRIAL-BAL-2020'!R470+'DMP-TRIAL-BAL-2020'!R470</f>
        <v>0</v>
      </c>
      <c r="Z470" s="528">
        <f>+'NF-KSF-TRIAL-BAL-2020'!S470+'RA-TRIAL-BAL-2020'!S470+'DES-TRIAL-BAL-2020'!S470+'DMP-TRIAL-BAL-2020'!S470</f>
        <v>0</v>
      </c>
      <c r="AA470" s="347">
        <f>+'NF-KSF-TRIAL-BAL-2020'!T470+'RA-TRIAL-BAL-2020'!T470+'DES-TRIAL-BAL-2020'!T470+'DMP-TRIAL-BAL-2020'!T470</f>
        <v>0</v>
      </c>
      <c r="AB470" s="51"/>
      <c r="AC470" s="8">
        <v>0</v>
      </c>
      <c r="AD470" s="9">
        <v>0</v>
      </c>
      <c r="AE470" s="122">
        <v>0</v>
      </c>
      <c r="AF470" s="121">
        <v>0</v>
      </c>
      <c r="AG470" s="27">
        <f t="shared" si="239"/>
        <v>0</v>
      </c>
      <c r="AH470" s="28">
        <f t="shared" si="235"/>
        <v>0</v>
      </c>
      <c r="AI470" s="51"/>
      <c r="AJ470" s="1497">
        <f t="shared" si="226"/>
        <v>6146</v>
      </c>
      <c r="AK470" s="8">
        <v>0</v>
      </c>
      <c r="AL470" s="9">
        <v>0</v>
      </c>
      <c r="AM470" s="326">
        <f t="shared" si="233"/>
        <v>0</v>
      </c>
      <c r="AN470" s="970">
        <f t="shared" si="233"/>
        <v>0</v>
      </c>
      <c r="AO470" s="326">
        <f t="shared" si="236"/>
        <v>0</v>
      </c>
      <c r="AP470" s="327">
        <f t="shared" si="237"/>
        <v>0</v>
      </c>
      <c r="AQ470" s="43"/>
      <c r="AR470" s="358">
        <f t="shared" si="241"/>
        <v>0</v>
      </c>
      <c r="AS470" s="359">
        <f t="shared" si="242"/>
        <v>0</v>
      </c>
      <c r="AT470" s="360">
        <f t="shared" si="243"/>
        <v>0</v>
      </c>
      <c r="AU470" s="43"/>
      <c r="AV470" s="43"/>
      <c r="AW470" s="119"/>
      <c r="AX470" s="119"/>
      <c r="AY470" s="43"/>
      <c r="AZ470" s="43"/>
      <c r="BA470" s="43"/>
      <c r="BB470" s="43"/>
      <c r="BC470" s="43"/>
      <c r="BD470" s="43"/>
    </row>
    <row r="471" spans="1:56" ht="15.75">
      <c r="A471" s="88">
        <v>6147</v>
      </c>
      <c r="B471" s="1045" t="s">
        <v>2163</v>
      </c>
      <c r="C471" s="1033"/>
      <c r="D471" s="1033"/>
      <c r="E471" s="1033"/>
      <c r="F471" s="1033"/>
      <c r="G471" s="1033"/>
      <c r="H471" s="1033"/>
      <c r="I471" s="1033"/>
      <c r="J471" s="1033"/>
      <c r="K471" s="1033"/>
      <c r="L471" s="90"/>
      <c r="M471" s="51" t="s">
        <v>265</v>
      </c>
      <c r="N471" s="113">
        <f t="shared" si="240"/>
        <v>6147</v>
      </c>
      <c r="O471" s="8">
        <v>0</v>
      </c>
      <c r="P471" s="9">
        <v>0</v>
      </c>
      <c r="Q471" s="325"/>
      <c r="R471" s="324"/>
      <c r="S471" s="27">
        <f t="shared" si="238"/>
        <v>0</v>
      </c>
      <c r="T471" s="28">
        <f t="shared" si="234"/>
        <v>0</v>
      </c>
      <c r="U471" s="51"/>
      <c r="V471" s="541">
        <f>+'NF-KSF-TRIAL-BAL-2020'!O471+'RA-TRIAL-BAL-2020'!O471+'DES-TRIAL-BAL-2020'!O471+'DMP-TRIAL-BAL-2020'!O471</f>
        <v>0</v>
      </c>
      <c r="W471" s="529">
        <f>+'NF-KSF-TRIAL-BAL-2020'!P471+'RA-TRIAL-BAL-2020'!P471+'DES-TRIAL-BAL-2020'!P471+'DMP-TRIAL-BAL-2020'!P471</f>
        <v>0</v>
      </c>
      <c r="X471" s="528">
        <f>+'NF-KSF-TRIAL-BAL-2020'!Q471+'RA-TRIAL-BAL-2020'!Q471+'DES-TRIAL-BAL-2020'!Q471+'DMP-TRIAL-BAL-2020'!Q471</f>
        <v>0</v>
      </c>
      <c r="Y471" s="529">
        <f>+'NF-KSF-TRIAL-BAL-2020'!R471+'RA-TRIAL-BAL-2020'!R471+'DES-TRIAL-BAL-2020'!R471+'DMP-TRIAL-BAL-2020'!R471</f>
        <v>0</v>
      </c>
      <c r="Z471" s="528">
        <f>+'NF-KSF-TRIAL-BAL-2020'!S471+'RA-TRIAL-BAL-2020'!S471+'DES-TRIAL-BAL-2020'!S471+'DMP-TRIAL-BAL-2020'!S471</f>
        <v>0</v>
      </c>
      <c r="AA471" s="347">
        <f>+'NF-KSF-TRIAL-BAL-2020'!T471+'RA-TRIAL-BAL-2020'!T471+'DES-TRIAL-BAL-2020'!T471+'DMP-TRIAL-BAL-2020'!T471</f>
        <v>0</v>
      </c>
      <c r="AB471" s="51"/>
      <c r="AC471" s="8">
        <v>0</v>
      </c>
      <c r="AD471" s="9">
        <v>0</v>
      </c>
      <c r="AE471" s="122"/>
      <c r="AF471" s="121"/>
      <c r="AG471" s="27">
        <f t="shared" si="239"/>
        <v>0</v>
      </c>
      <c r="AH471" s="28">
        <f t="shared" si="235"/>
        <v>0</v>
      </c>
      <c r="AI471" s="51"/>
      <c r="AJ471" s="1497">
        <f t="shared" si="226"/>
        <v>6147</v>
      </c>
      <c r="AK471" s="8">
        <v>0</v>
      </c>
      <c r="AL471" s="9">
        <v>0</v>
      </c>
      <c r="AM471" s="326">
        <f t="shared" si="233"/>
        <v>0</v>
      </c>
      <c r="AN471" s="970">
        <f t="shared" si="233"/>
        <v>0</v>
      </c>
      <c r="AO471" s="326">
        <f t="shared" si="236"/>
        <v>0</v>
      </c>
      <c r="AP471" s="327">
        <f t="shared" si="237"/>
        <v>0</v>
      </c>
      <c r="AQ471" s="43"/>
      <c r="AR471" s="358">
        <f t="shared" si="241"/>
        <v>0</v>
      </c>
      <c r="AS471" s="359">
        <f t="shared" si="242"/>
        <v>0</v>
      </c>
      <c r="AT471" s="360">
        <f t="shared" si="243"/>
        <v>0</v>
      </c>
      <c r="AU471" s="43"/>
      <c r="AV471" s="43"/>
      <c r="AW471" s="119"/>
      <c r="AX471" s="119"/>
      <c r="AY471" s="43"/>
      <c r="AZ471" s="43"/>
      <c r="BA471" s="43"/>
      <c r="BB471" s="43"/>
      <c r="BC471" s="43"/>
      <c r="BD471" s="43"/>
    </row>
    <row r="472" spans="1:56" ht="15.75">
      <c r="A472" s="88">
        <v>6149</v>
      </c>
      <c r="B472" s="1045" t="s">
        <v>2164</v>
      </c>
      <c r="C472" s="1033"/>
      <c r="D472" s="1033"/>
      <c r="E472" s="1033"/>
      <c r="F472" s="1033"/>
      <c r="G472" s="1033"/>
      <c r="H472" s="1033"/>
      <c r="I472" s="1033"/>
      <c r="J472" s="1033"/>
      <c r="K472" s="1033"/>
      <c r="L472" s="90"/>
      <c r="M472" s="51" t="s">
        <v>265</v>
      </c>
      <c r="N472" s="113">
        <f t="shared" si="240"/>
        <v>6149</v>
      </c>
      <c r="O472" s="8">
        <v>0</v>
      </c>
      <c r="P472" s="9">
        <v>0</v>
      </c>
      <c r="Q472" s="325">
        <v>0</v>
      </c>
      <c r="R472" s="324">
        <v>0</v>
      </c>
      <c r="S472" s="27">
        <f t="shared" si="238"/>
        <v>0</v>
      </c>
      <c r="T472" s="28">
        <f t="shared" si="234"/>
        <v>0</v>
      </c>
      <c r="U472" s="51"/>
      <c r="V472" s="541">
        <f>+'NF-KSF-TRIAL-BAL-2020'!O472+'RA-TRIAL-BAL-2020'!O472+'DES-TRIAL-BAL-2020'!O472+'DMP-TRIAL-BAL-2020'!O472</f>
        <v>0</v>
      </c>
      <c r="W472" s="529">
        <f>+'NF-KSF-TRIAL-BAL-2020'!P472+'RA-TRIAL-BAL-2020'!P472+'DES-TRIAL-BAL-2020'!P472+'DMP-TRIAL-BAL-2020'!P472</f>
        <v>0</v>
      </c>
      <c r="X472" s="528">
        <f>+'NF-KSF-TRIAL-BAL-2020'!Q472+'RA-TRIAL-BAL-2020'!Q472+'DES-TRIAL-BAL-2020'!Q472+'DMP-TRIAL-BAL-2020'!Q472</f>
        <v>0</v>
      </c>
      <c r="Y472" s="529">
        <f>+'NF-KSF-TRIAL-BAL-2020'!R472+'RA-TRIAL-BAL-2020'!R472+'DES-TRIAL-BAL-2020'!R472+'DMP-TRIAL-BAL-2020'!R472</f>
        <v>0</v>
      </c>
      <c r="Z472" s="528">
        <f>+'NF-KSF-TRIAL-BAL-2020'!S472+'RA-TRIAL-BAL-2020'!S472+'DES-TRIAL-BAL-2020'!S472+'DMP-TRIAL-BAL-2020'!S472</f>
        <v>0</v>
      </c>
      <c r="AA472" s="347">
        <f>+'NF-KSF-TRIAL-BAL-2020'!T472+'RA-TRIAL-BAL-2020'!T472+'DES-TRIAL-BAL-2020'!T472+'DMP-TRIAL-BAL-2020'!T472</f>
        <v>0</v>
      </c>
      <c r="AB472" s="51"/>
      <c r="AC472" s="8">
        <v>0</v>
      </c>
      <c r="AD472" s="9">
        <v>0</v>
      </c>
      <c r="AE472" s="122">
        <v>0</v>
      </c>
      <c r="AF472" s="121">
        <v>0</v>
      </c>
      <c r="AG472" s="27">
        <f t="shared" si="239"/>
        <v>0</v>
      </c>
      <c r="AH472" s="28">
        <f t="shared" si="235"/>
        <v>0</v>
      </c>
      <c r="AI472" s="51"/>
      <c r="AJ472" s="1497">
        <f t="shared" si="226"/>
        <v>6149</v>
      </c>
      <c r="AK472" s="8">
        <v>0</v>
      </c>
      <c r="AL472" s="9">
        <v>0</v>
      </c>
      <c r="AM472" s="326">
        <f t="shared" si="233"/>
        <v>0</v>
      </c>
      <c r="AN472" s="970">
        <f t="shared" si="233"/>
        <v>0</v>
      </c>
      <c r="AO472" s="326">
        <f t="shared" si="236"/>
        <v>0</v>
      </c>
      <c r="AP472" s="327">
        <f t="shared" si="237"/>
        <v>0</v>
      </c>
      <c r="AQ472" s="43"/>
      <c r="AR472" s="358">
        <f t="shared" si="241"/>
        <v>0</v>
      </c>
      <c r="AS472" s="359">
        <f t="shared" si="242"/>
        <v>0</v>
      </c>
      <c r="AT472" s="360">
        <f t="shared" si="243"/>
        <v>0</v>
      </c>
      <c r="AU472" s="43"/>
      <c r="AV472" s="43"/>
      <c r="AW472" s="119"/>
      <c r="AX472" s="119"/>
      <c r="AY472" s="43"/>
      <c r="AZ472" s="43"/>
      <c r="BA472" s="43"/>
      <c r="BB472" s="43"/>
      <c r="BC472" s="43"/>
      <c r="BD472" s="43"/>
    </row>
    <row r="473" spans="1:56" ht="15.75">
      <c r="A473" s="88">
        <v>6151</v>
      </c>
      <c r="B473" s="1045" t="s">
        <v>2165</v>
      </c>
      <c r="C473" s="1033"/>
      <c r="D473" s="1033"/>
      <c r="E473" s="1033"/>
      <c r="F473" s="1033"/>
      <c r="G473" s="1033"/>
      <c r="H473" s="1033"/>
      <c r="I473" s="1033"/>
      <c r="J473" s="1033"/>
      <c r="K473" s="1033"/>
      <c r="L473" s="90"/>
      <c r="M473" s="51" t="s">
        <v>265</v>
      </c>
      <c r="N473" s="113">
        <f t="shared" si="240"/>
        <v>6151</v>
      </c>
      <c r="O473" s="8">
        <v>0</v>
      </c>
      <c r="P473" s="9">
        <v>0</v>
      </c>
      <c r="Q473" s="325"/>
      <c r="R473" s="324"/>
      <c r="S473" s="27">
        <f t="shared" si="238"/>
        <v>0</v>
      </c>
      <c r="T473" s="28">
        <f t="shared" si="234"/>
        <v>0</v>
      </c>
      <c r="U473" s="51"/>
      <c r="V473" s="541">
        <f>+'NF-KSF-TRIAL-BAL-2020'!O473+'RA-TRIAL-BAL-2020'!O473+'DES-TRIAL-BAL-2020'!O473+'DMP-TRIAL-BAL-2020'!O473</f>
        <v>0</v>
      </c>
      <c r="W473" s="529">
        <f>+'NF-KSF-TRIAL-BAL-2020'!P473+'RA-TRIAL-BAL-2020'!P473+'DES-TRIAL-BAL-2020'!P473+'DMP-TRIAL-BAL-2020'!P473</f>
        <v>0</v>
      </c>
      <c r="X473" s="528">
        <f>+'NF-KSF-TRIAL-BAL-2020'!Q473+'RA-TRIAL-BAL-2020'!Q473+'DES-TRIAL-BAL-2020'!Q473+'DMP-TRIAL-BAL-2020'!Q473</f>
        <v>0</v>
      </c>
      <c r="Y473" s="529">
        <f>+'NF-KSF-TRIAL-BAL-2020'!R473+'RA-TRIAL-BAL-2020'!R473+'DES-TRIAL-BAL-2020'!R473+'DMP-TRIAL-BAL-2020'!R473</f>
        <v>0</v>
      </c>
      <c r="Z473" s="528">
        <f>+'NF-KSF-TRIAL-BAL-2020'!S473+'RA-TRIAL-BAL-2020'!S473+'DES-TRIAL-BAL-2020'!S473+'DMP-TRIAL-BAL-2020'!S473</f>
        <v>0</v>
      </c>
      <c r="AA473" s="347">
        <f>+'NF-KSF-TRIAL-BAL-2020'!T473+'RA-TRIAL-BAL-2020'!T473+'DES-TRIAL-BAL-2020'!T473+'DMP-TRIAL-BAL-2020'!T473</f>
        <v>0</v>
      </c>
      <c r="AB473" s="51"/>
      <c r="AC473" s="8">
        <v>0</v>
      </c>
      <c r="AD473" s="9">
        <v>0</v>
      </c>
      <c r="AE473" s="122"/>
      <c r="AF473" s="121"/>
      <c r="AG473" s="27">
        <f t="shared" si="239"/>
        <v>0</v>
      </c>
      <c r="AH473" s="28">
        <f t="shared" si="235"/>
        <v>0</v>
      </c>
      <c r="AI473" s="51"/>
      <c r="AJ473" s="1497">
        <f t="shared" si="226"/>
        <v>6151</v>
      </c>
      <c r="AK473" s="8">
        <v>0</v>
      </c>
      <c r="AL473" s="9">
        <v>0</v>
      </c>
      <c r="AM473" s="326">
        <f t="shared" si="233"/>
        <v>0</v>
      </c>
      <c r="AN473" s="970">
        <f t="shared" si="233"/>
        <v>0</v>
      </c>
      <c r="AO473" s="326">
        <f t="shared" si="236"/>
        <v>0</v>
      </c>
      <c r="AP473" s="327">
        <f t="shared" si="237"/>
        <v>0</v>
      </c>
      <c r="AQ473" s="43"/>
      <c r="AR473" s="358">
        <f t="shared" si="241"/>
        <v>0</v>
      </c>
      <c r="AS473" s="359">
        <f t="shared" si="242"/>
        <v>0</v>
      </c>
      <c r="AT473" s="360">
        <f t="shared" si="243"/>
        <v>0</v>
      </c>
      <c r="AU473" s="43"/>
      <c r="AV473" s="43"/>
      <c r="AW473" s="119"/>
      <c r="AX473" s="119"/>
      <c r="AY473" s="43"/>
      <c r="AZ473" s="43"/>
      <c r="BA473" s="43"/>
      <c r="BB473" s="43"/>
      <c r="BC473" s="43"/>
      <c r="BD473" s="43"/>
    </row>
    <row r="474" spans="1:56" ht="15.75">
      <c r="A474" s="88">
        <v>6159</v>
      </c>
      <c r="B474" s="1045" t="s">
        <v>2166</v>
      </c>
      <c r="C474" s="1033"/>
      <c r="D474" s="1033"/>
      <c r="E474" s="1033"/>
      <c r="F474" s="1033"/>
      <c r="G474" s="1033"/>
      <c r="H474" s="1033"/>
      <c r="I474" s="1033"/>
      <c r="J474" s="1033"/>
      <c r="K474" s="1033"/>
      <c r="L474" s="90"/>
      <c r="M474" s="51" t="s">
        <v>265</v>
      </c>
      <c r="N474" s="113">
        <f t="shared" si="240"/>
        <v>6159</v>
      </c>
      <c r="O474" s="8">
        <v>0</v>
      </c>
      <c r="P474" s="9">
        <v>0</v>
      </c>
      <c r="Q474" s="325"/>
      <c r="R474" s="324"/>
      <c r="S474" s="27">
        <f t="shared" si="238"/>
        <v>0</v>
      </c>
      <c r="T474" s="28">
        <f t="shared" si="234"/>
        <v>0</v>
      </c>
      <c r="U474" s="51"/>
      <c r="V474" s="541">
        <f>+'NF-KSF-TRIAL-BAL-2020'!O474+'RA-TRIAL-BAL-2020'!O474+'DES-TRIAL-BAL-2020'!O474+'DMP-TRIAL-BAL-2020'!O474</f>
        <v>0</v>
      </c>
      <c r="W474" s="529">
        <f>+'NF-KSF-TRIAL-BAL-2020'!P474+'RA-TRIAL-BAL-2020'!P474+'DES-TRIAL-BAL-2020'!P474+'DMP-TRIAL-BAL-2020'!P474</f>
        <v>0</v>
      </c>
      <c r="X474" s="528">
        <f>+'NF-KSF-TRIAL-BAL-2020'!Q474+'RA-TRIAL-BAL-2020'!Q474+'DES-TRIAL-BAL-2020'!Q474+'DMP-TRIAL-BAL-2020'!Q474</f>
        <v>0</v>
      </c>
      <c r="Y474" s="529">
        <f>+'NF-KSF-TRIAL-BAL-2020'!R474+'RA-TRIAL-BAL-2020'!R474+'DES-TRIAL-BAL-2020'!R474+'DMP-TRIAL-BAL-2020'!R474</f>
        <v>0</v>
      </c>
      <c r="Z474" s="528">
        <f>+'NF-KSF-TRIAL-BAL-2020'!S474+'RA-TRIAL-BAL-2020'!S474+'DES-TRIAL-BAL-2020'!S474+'DMP-TRIAL-BAL-2020'!S474</f>
        <v>0</v>
      </c>
      <c r="AA474" s="347">
        <f>+'NF-KSF-TRIAL-BAL-2020'!T474+'RA-TRIAL-BAL-2020'!T474+'DES-TRIAL-BAL-2020'!T474+'DMP-TRIAL-BAL-2020'!T474</f>
        <v>0</v>
      </c>
      <c r="AB474" s="51"/>
      <c r="AC474" s="8">
        <v>0</v>
      </c>
      <c r="AD474" s="9">
        <v>0</v>
      </c>
      <c r="AE474" s="122"/>
      <c r="AF474" s="121"/>
      <c r="AG474" s="27">
        <f t="shared" si="239"/>
        <v>0</v>
      </c>
      <c r="AH474" s="28">
        <f t="shared" si="235"/>
        <v>0</v>
      </c>
      <c r="AI474" s="51"/>
      <c r="AJ474" s="1497">
        <f t="shared" si="226"/>
        <v>6159</v>
      </c>
      <c r="AK474" s="8">
        <v>0</v>
      </c>
      <c r="AL474" s="9">
        <v>0</v>
      </c>
      <c r="AM474" s="326">
        <f t="shared" si="233"/>
        <v>0</v>
      </c>
      <c r="AN474" s="970">
        <f t="shared" si="233"/>
        <v>0</v>
      </c>
      <c r="AO474" s="326">
        <f t="shared" si="236"/>
        <v>0</v>
      </c>
      <c r="AP474" s="327">
        <f t="shared" si="237"/>
        <v>0</v>
      </c>
      <c r="AQ474" s="43"/>
      <c r="AR474" s="358">
        <f t="shared" si="241"/>
        <v>0</v>
      </c>
      <c r="AS474" s="359">
        <f t="shared" si="242"/>
        <v>0</v>
      </c>
      <c r="AT474" s="360">
        <f t="shared" si="243"/>
        <v>0</v>
      </c>
      <c r="AU474" s="43"/>
      <c r="AV474" s="43"/>
      <c r="AW474" s="119"/>
      <c r="AX474" s="119"/>
      <c r="AY474" s="43"/>
      <c r="AZ474" s="43"/>
      <c r="BA474" s="43"/>
      <c r="BB474" s="43"/>
      <c r="BC474" s="43"/>
      <c r="BD474" s="43"/>
    </row>
    <row r="475" spans="1:56" ht="15.75">
      <c r="A475" s="88">
        <v>6161</v>
      </c>
      <c r="B475" s="1045" t="s">
        <v>2167</v>
      </c>
      <c r="C475" s="1033"/>
      <c r="D475" s="1033"/>
      <c r="E475" s="1033"/>
      <c r="F475" s="1033"/>
      <c r="G475" s="1033"/>
      <c r="H475" s="1033"/>
      <c r="I475" s="1033"/>
      <c r="J475" s="1033"/>
      <c r="K475" s="1033"/>
      <c r="L475" s="90"/>
      <c r="M475" s="51" t="s">
        <v>265</v>
      </c>
      <c r="N475" s="113">
        <f t="shared" si="240"/>
        <v>6161</v>
      </c>
      <c r="O475" s="8">
        <v>0</v>
      </c>
      <c r="P475" s="9">
        <v>0</v>
      </c>
      <c r="Q475" s="325"/>
      <c r="R475" s="324"/>
      <c r="S475" s="27">
        <f t="shared" si="238"/>
        <v>0</v>
      </c>
      <c r="T475" s="28">
        <f t="shared" si="234"/>
        <v>0</v>
      </c>
      <c r="U475" s="51"/>
      <c r="V475" s="541">
        <f>+'NF-KSF-TRIAL-BAL-2020'!O475+'RA-TRIAL-BAL-2020'!O475+'DES-TRIAL-BAL-2020'!O475+'DMP-TRIAL-BAL-2020'!O475</f>
        <v>0</v>
      </c>
      <c r="W475" s="529">
        <f>+'NF-KSF-TRIAL-BAL-2020'!P475+'RA-TRIAL-BAL-2020'!P475+'DES-TRIAL-BAL-2020'!P475+'DMP-TRIAL-BAL-2020'!P475</f>
        <v>0</v>
      </c>
      <c r="X475" s="528">
        <f>+'NF-KSF-TRIAL-BAL-2020'!Q475+'RA-TRIAL-BAL-2020'!Q475+'DES-TRIAL-BAL-2020'!Q475+'DMP-TRIAL-BAL-2020'!Q475</f>
        <v>0</v>
      </c>
      <c r="Y475" s="529">
        <f>+'NF-KSF-TRIAL-BAL-2020'!R475+'RA-TRIAL-BAL-2020'!R475+'DES-TRIAL-BAL-2020'!R475+'DMP-TRIAL-BAL-2020'!R475</f>
        <v>0</v>
      </c>
      <c r="Z475" s="528">
        <f>+'NF-KSF-TRIAL-BAL-2020'!S475+'RA-TRIAL-BAL-2020'!S475+'DES-TRIAL-BAL-2020'!S475+'DMP-TRIAL-BAL-2020'!S475</f>
        <v>0</v>
      </c>
      <c r="AA475" s="347">
        <f>+'NF-KSF-TRIAL-BAL-2020'!T475+'RA-TRIAL-BAL-2020'!T475+'DES-TRIAL-BAL-2020'!T475+'DMP-TRIAL-BAL-2020'!T475</f>
        <v>0</v>
      </c>
      <c r="AB475" s="51"/>
      <c r="AC475" s="8">
        <v>0</v>
      </c>
      <c r="AD475" s="9">
        <v>0</v>
      </c>
      <c r="AE475" s="122"/>
      <c r="AF475" s="121"/>
      <c r="AG475" s="27">
        <f t="shared" si="239"/>
        <v>0</v>
      </c>
      <c r="AH475" s="28">
        <f t="shared" si="235"/>
        <v>0</v>
      </c>
      <c r="AI475" s="51"/>
      <c r="AJ475" s="1497">
        <f t="shared" si="226"/>
        <v>6161</v>
      </c>
      <c r="AK475" s="8">
        <v>0</v>
      </c>
      <c r="AL475" s="9">
        <v>0</v>
      </c>
      <c r="AM475" s="326">
        <f t="shared" si="233"/>
        <v>0</v>
      </c>
      <c r="AN475" s="970">
        <f t="shared" si="233"/>
        <v>0</v>
      </c>
      <c r="AO475" s="326">
        <f t="shared" si="236"/>
        <v>0</v>
      </c>
      <c r="AP475" s="327">
        <f t="shared" si="237"/>
        <v>0</v>
      </c>
      <c r="AQ475" s="43"/>
      <c r="AR475" s="358">
        <f t="shared" si="241"/>
        <v>0</v>
      </c>
      <c r="AS475" s="359">
        <f t="shared" si="242"/>
        <v>0</v>
      </c>
      <c r="AT475" s="360">
        <f t="shared" si="243"/>
        <v>0</v>
      </c>
      <c r="AU475" s="43"/>
      <c r="AV475" s="43"/>
      <c r="AW475" s="119"/>
      <c r="AX475" s="119"/>
      <c r="AY475" s="43"/>
      <c r="AZ475" s="43"/>
      <c r="BA475" s="43"/>
      <c r="BB475" s="43"/>
      <c r="BC475" s="43"/>
      <c r="BD475" s="43"/>
    </row>
    <row r="476" spans="1:56" ht="15.75">
      <c r="A476" s="88">
        <v>6162</v>
      </c>
      <c r="B476" s="1045" t="s">
        <v>2168</v>
      </c>
      <c r="C476" s="1033"/>
      <c r="D476" s="1033"/>
      <c r="E476" s="1033"/>
      <c r="F476" s="1033"/>
      <c r="G476" s="1033"/>
      <c r="H476" s="1033"/>
      <c r="I476" s="1033"/>
      <c r="J476" s="1033"/>
      <c r="K476" s="1033"/>
      <c r="L476" s="90"/>
      <c r="M476" s="51" t="s">
        <v>265</v>
      </c>
      <c r="N476" s="113">
        <f t="shared" si="240"/>
        <v>6162</v>
      </c>
      <c r="O476" s="8">
        <v>0</v>
      </c>
      <c r="P476" s="9">
        <v>0</v>
      </c>
      <c r="Q476" s="325"/>
      <c r="R476" s="324"/>
      <c r="S476" s="27">
        <f t="shared" si="238"/>
        <v>0</v>
      </c>
      <c r="T476" s="28">
        <f t="shared" si="234"/>
        <v>0</v>
      </c>
      <c r="U476" s="51"/>
      <c r="V476" s="541">
        <f>+'NF-KSF-TRIAL-BAL-2020'!O476+'RA-TRIAL-BAL-2020'!O476+'DES-TRIAL-BAL-2020'!O476+'DMP-TRIAL-BAL-2020'!O476</f>
        <v>0</v>
      </c>
      <c r="W476" s="529">
        <f>+'NF-KSF-TRIAL-BAL-2020'!P476+'RA-TRIAL-BAL-2020'!P476+'DES-TRIAL-BAL-2020'!P476+'DMP-TRIAL-BAL-2020'!P476</f>
        <v>0</v>
      </c>
      <c r="X476" s="528">
        <f>+'NF-KSF-TRIAL-BAL-2020'!Q476+'RA-TRIAL-BAL-2020'!Q476+'DES-TRIAL-BAL-2020'!Q476+'DMP-TRIAL-BAL-2020'!Q476</f>
        <v>0</v>
      </c>
      <c r="Y476" s="529">
        <f>+'NF-KSF-TRIAL-BAL-2020'!R476+'RA-TRIAL-BAL-2020'!R476+'DES-TRIAL-BAL-2020'!R476+'DMP-TRIAL-BAL-2020'!R476</f>
        <v>0</v>
      </c>
      <c r="Z476" s="528">
        <f>+'NF-KSF-TRIAL-BAL-2020'!S476+'RA-TRIAL-BAL-2020'!S476+'DES-TRIAL-BAL-2020'!S476+'DMP-TRIAL-BAL-2020'!S476</f>
        <v>0</v>
      </c>
      <c r="AA476" s="347">
        <f>+'NF-KSF-TRIAL-BAL-2020'!T476+'RA-TRIAL-BAL-2020'!T476+'DES-TRIAL-BAL-2020'!T476+'DMP-TRIAL-BAL-2020'!T476</f>
        <v>0</v>
      </c>
      <c r="AB476" s="51"/>
      <c r="AC476" s="8">
        <v>0</v>
      </c>
      <c r="AD476" s="9">
        <v>0</v>
      </c>
      <c r="AE476" s="122"/>
      <c r="AF476" s="121"/>
      <c r="AG476" s="27">
        <f t="shared" si="239"/>
        <v>0</v>
      </c>
      <c r="AH476" s="28">
        <f t="shared" si="235"/>
        <v>0</v>
      </c>
      <c r="AI476" s="51"/>
      <c r="AJ476" s="1497">
        <f t="shared" ref="AJ476:AJ557" si="244">+N476</f>
        <v>6162</v>
      </c>
      <c r="AK476" s="8">
        <v>0</v>
      </c>
      <c r="AL476" s="9">
        <v>0</v>
      </c>
      <c r="AM476" s="326">
        <f t="shared" si="233"/>
        <v>0</v>
      </c>
      <c r="AN476" s="970">
        <f t="shared" si="233"/>
        <v>0</v>
      </c>
      <c r="AO476" s="326">
        <f t="shared" si="236"/>
        <v>0</v>
      </c>
      <c r="AP476" s="327">
        <f t="shared" si="237"/>
        <v>0</v>
      </c>
      <c r="AQ476" s="43"/>
      <c r="AR476" s="358">
        <f t="shared" si="241"/>
        <v>0</v>
      </c>
      <c r="AS476" s="359">
        <f t="shared" si="242"/>
        <v>0</v>
      </c>
      <c r="AT476" s="360">
        <f t="shared" si="243"/>
        <v>0</v>
      </c>
      <c r="AU476" s="43"/>
      <c r="AV476" s="43"/>
      <c r="AW476" s="119"/>
      <c r="AX476" s="119"/>
      <c r="AY476" s="43"/>
      <c r="AZ476" s="43"/>
      <c r="BA476" s="43"/>
      <c r="BB476" s="43"/>
      <c r="BC476" s="43"/>
      <c r="BD476" s="43"/>
    </row>
    <row r="477" spans="1:56" ht="15.75">
      <c r="A477" s="88">
        <v>6163</v>
      </c>
      <c r="B477" s="1045" t="s">
        <v>2169</v>
      </c>
      <c r="C477" s="1033"/>
      <c r="D477" s="1033"/>
      <c r="E477" s="1033"/>
      <c r="F477" s="1033"/>
      <c r="G477" s="1033"/>
      <c r="H477" s="1033"/>
      <c r="I477" s="1033"/>
      <c r="J477" s="1033"/>
      <c r="K477" s="1033"/>
      <c r="L477" s="90"/>
      <c r="M477" s="51" t="s">
        <v>265</v>
      </c>
      <c r="N477" s="113">
        <f t="shared" si="240"/>
        <v>6163</v>
      </c>
      <c r="O477" s="8">
        <v>0</v>
      </c>
      <c r="P477" s="9">
        <v>0</v>
      </c>
      <c r="Q477" s="325"/>
      <c r="R477" s="324"/>
      <c r="S477" s="27">
        <f t="shared" si="238"/>
        <v>0</v>
      </c>
      <c r="T477" s="28">
        <f t="shared" si="234"/>
        <v>0</v>
      </c>
      <c r="U477" s="51"/>
      <c r="V477" s="541">
        <f>+'NF-KSF-TRIAL-BAL-2020'!O477+'RA-TRIAL-BAL-2020'!O477+'DES-TRIAL-BAL-2020'!O477+'DMP-TRIAL-BAL-2020'!O477</f>
        <v>0</v>
      </c>
      <c r="W477" s="529">
        <f>+'NF-KSF-TRIAL-BAL-2020'!P477+'RA-TRIAL-BAL-2020'!P477+'DES-TRIAL-BAL-2020'!P477+'DMP-TRIAL-BAL-2020'!P477</f>
        <v>0</v>
      </c>
      <c r="X477" s="528">
        <f>+'NF-KSF-TRIAL-BAL-2020'!Q477+'RA-TRIAL-BAL-2020'!Q477+'DES-TRIAL-BAL-2020'!Q477+'DMP-TRIAL-BAL-2020'!Q477</f>
        <v>0</v>
      </c>
      <c r="Y477" s="529">
        <f>+'NF-KSF-TRIAL-BAL-2020'!R477+'RA-TRIAL-BAL-2020'!R477+'DES-TRIAL-BAL-2020'!R477+'DMP-TRIAL-BAL-2020'!R477</f>
        <v>0</v>
      </c>
      <c r="Z477" s="528">
        <f>+'NF-KSF-TRIAL-BAL-2020'!S477+'RA-TRIAL-BAL-2020'!S477+'DES-TRIAL-BAL-2020'!S477+'DMP-TRIAL-BAL-2020'!S477</f>
        <v>0</v>
      </c>
      <c r="AA477" s="347">
        <f>+'NF-KSF-TRIAL-BAL-2020'!T477+'RA-TRIAL-BAL-2020'!T477+'DES-TRIAL-BAL-2020'!T477+'DMP-TRIAL-BAL-2020'!T477</f>
        <v>0</v>
      </c>
      <c r="AB477" s="51"/>
      <c r="AC477" s="8">
        <v>0</v>
      </c>
      <c r="AD477" s="9">
        <v>0</v>
      </c>
      <c r="AE477" s="122"/>
      <c r="AF477" s="121"/>
      <c r="AG477" s="27">
        <f t="shared" si="239"/>
        <v>0</v>
      </c>
      <c r="AH477" s="28">
        <f t="shared" si="235"/>
        <v>0</v>
      </c>
      <c r="AI477" s="51"/>
      <c r="AJ477" s="1497">
        <f t="shared" si="244"/>
        <v>6163</v>
      </c>
      <c r="AK477" s="8">
        <v>0</v>
      </c>
      <c r="AL477" s="9">
        <v>0</v>
      </c>
      <c r="AM477" s="326">
        <f t="shared" si="233"/>
        <v>0</v>
      </c>
      <c r="AN477" s="970">
        <f t="shared" si="233"/>
        <v>0</v>
      </c>
      <c r="AO477" s="326">
        <f t="shared" si="236"/>
        <v>0</v>
      </c>
      <c r="AP477" s="327">
        <f t="shared" si="237"/>
        <v>0</v>
      </c>
      <c r="AQ477" s="43"/>
      <c r="AR477" s="358">
        <f t="shared" si="241"/>
        <v>0</v>
      </c>
      <c r="AS477" s="359">
        <f t="shared" si="242"/>
        <v>0</v>
      </c>
      <c r="AT477" s="360">
        <f t="shared" si="243"/>
        <v>0</v>
      </c>
      <c r="AU477" s="43"/>
      <c r="AV477" s="43"/>
      <c r="AW477" s="119"/>
      <c r="AX477" s="119"/>
      <c r="AY477" s="43"/>
      <c r="AZ477" s="43"/>
      <c r="BA477" s="43"/>
      <c r="BB477" s="43"/>
      <c r="BC477" s="43"/>
      <c r="BD477" s="43"/>
    </row>
    <row r="478" spans="1:56" ht="15.75">
      <c r="A478" s="88">
        <v>6201</v>
      </c>
      <c r="B478" s="1033" t="s">
        <v>432</v>
      </c>
      <c r="C478" s="1033"/>
      <c r="D478" s="1033"/>
      <c r="E478" s="1033"/>
      <c r="F478" s="1033"/>
      <c r="G478" s="1033"/>
      <c r="H478" s="1033"/>
      <c r="I478" s="1033"/>
      <c r="J478" s="1033"/>
      <c r="K478" s="1033"/>
      <c r="L478" s="90"/>
      <c r="M478" s="51" t="s">
        <v>265</v>
      </c>
      <c r="N478" s="113">
        <f t="shared" si="240"/>
        <v>6201</v>
      </c>
      <c r="O478" s="8">
        <v>0</v>
      </c>
      <c r="P478" s="9">
        <v>0</v>
      </c>
      <c r="Q478" s="325"/>
      <c r="R478" s="324"/>
      <c r="S478" s="27">
        <f t="shared" si="238"/>
        <v>0</v>
      </c>
      <c r="T478" s="28">
        <f t="shared" si="234"/>
        <v>0</v>
      </c>
      <c r="U478" s="51"/>
      <c r="V478" s="541">
        <f>+'NF-KSF-TRIAL-BAL-2020'!O478+'RA-TRIAL-BAL-2020'!O478+'DES-TRIAL-BAL-2020'!O478+'DMP-TRIAL-BAL-2020'!O478</f>
        <v>0</v>
      </c>
      <c r="W478" s="529">
        <f>+'NF-KSF-TRIAL-BAL-2020'!P478+'RA-TRIAL-BAL-2020'!P478+'DES-TRIAL-BAL-2020'!P478+'DMP-TRIAL-BAL-2020'!P478</f>
        <v>0</v>
      </c>
      <c r="X478" s="528">
        <f>+'NF-KSF-TRIAL-BAL-2020'!Q478+'RA-TRIAL-BAL-2020'!Q478+'DES-TRIAL-BAL-2020'!Q478+'DMP-TRIAL-BAL-2020'!Q478</f>
        <v>0</v>
      </c>
      <c r="Y478" s="529">
        <f>+'NF-KSF-TRIAL-BAL-2020'!R478+'RA-TRIAL-BAL-2020'!R478+'DES-TRIAL-BAL-2020'!R478+'DMP-TRIAL-BAL-2020'!R478</f>
        <v>0</v>
      </c>
      <c r="Z478" s="528">
        <f>+'NF-KSF-TRIAL-BAL-2020'!S478+'RA-TRIAL-BAL-2020'!S478+'DES-TRIAL-BAL-2020'!S478+'DMP-TRIAL-BAL-2020'!S478</f>
        <v>0</v>
      </c>
      <c r="AA478" s="347">
        <f>+'NF-KSF-TRIAL-BAL-2020'!T478+'RA-TRIAL-BAL-2020'!T478+'DES-TRIAL-BAL-2020'!T478+'DMP-TRIAL-BAL-2020'!T478</f>
        <v>0</v>
      </c>
      <c r="AB478" s="51"/>
      <c r="AC478" s="8">
        <v>0</v>
      </c>
      <c r="AD478" s="9">
        <v>0</v>
      </c>
      <c r="AE478" s="122"/>
      <c r="AF478" s="121"/>
      <c r="AG478" s="27">
        <f t="shared" si="239"/>
        <v>0</v>
      </c>
      <c r="AH478" s="28">
        <f t="shared" si="235"/>
        <v>0</v>
      </c>
      <c r="AI478" s="51"/>
      <c r="AJ478" s="1497">
        <f t="shared" si="244"/>
        <v>6201</v>
      </c>
      <c r="AK478" s="8">
        <v>0</v>
      </c>
      <c r="AL478" s="9">
        <v>0</v>
      </c>
      <c r="AM478" s="326">
        <f t="shared" si="233"/>
        <v>0</v>
      </c>
      <c r="AN478" s="970">
        <f t="shared" si="233"/>
        <v>0</v>
      </c>
      <c r="AO478" s="326">
        <f t="shared" si="236"/>
        <v>0</v>
      </c>
      <c r="AP478" s="327">
        <f t="shared" si="237"/>
        <v>0</v>
      </c>
      <c r="AQ478" s="43"/>
      <c r="AR478" s="358">
        <f t="shared" si="241"/>
        <v>0</v>
      </c>
      <c r="AS478" s="359">
        <f t="shared" si="242"/>
        <v>0</v>
      </c>
      <c r="AT478" s="360">
        <f t="shared" si="243"/>
        <v>0</v>
      </c>
      <c r="AU478" s="43"/>
      <c r="AV478" s="43"/>
      <c r="AW478" s="119"/>
      <c r="AX478" s="119"/>
      <c r="AY478" s="43"/>
      <c r="AZ478" s="43"/>
      <c r="BA478" s="43"/>
      <c r="BB478" s="43"/>
      <c r="BC478" s="43"/>
      <c r="BD478" s="43"/>
    </row>
    <row r="479" spans="1:56" ht="15.75">
      <c r="A479" s="88">
        <v>6202</v>
      </c>
      <c r="B479" s="1033" t="s">
        <v>499</v>
      </c>
      <c r="C479" s="1033"/>
      <c r="D479" s="1033"/>
      <c r="E479" s="1033"/>
      <c r="F479" s="1033"/>
      <c r="G479" s="1033"/>
      <c r="H479" s="1033"/>
      <c r="I479" s="1033"/>
      <c r="J479" s="1033"/>
      <c r="K479" s="1033"/>
      <c r="L479" s="90"/>
      <c r="M479" s="51" t="s">
        <v>265</v>
      </c>
      <c r="N479" s="113">
        <f t="shared" si="240"/>
        <v>6202</v>
      </c>
      <c r="O479" s="8">
        <v>0</v>
      </c>
      <c r="P479" s="9">
        <v>0</v>
      </c>
      <c r="Q479" s="325"/>
      <c r="R479" s="324"/>
      <c r="S479" s="27">
        <f t="shared" si="238"/>
        <v>0</v>
      </c>
      <c r="T479" s="28">
        <f t="shared" si="234"/>
        <v>0</v>
      </c>
      <c r="U479" s="51"/>
      <c r="V479" s="541">
        <f>+'NF-KSF-TRIAL-BAL-2020'!O479+'RA-TRIAL-BAL-2020'!O479+'DES-TRIAL-BAL-2020'!O479+'DMP-TRIAL-BAL-2020'!O479</f>
        <v>0</v>
      </c>
      <c r="W479" s="529">
        <f>+'NF-KSF-TRIAL-BAL-2020'!P479+'RA-TRIAL-BAL-2020'!P479+'DES-TRIAL-BAL-2020'!P479+'DMP-TRIAL-BAL-2020'!P479</f>
        <v>0</v>
      </c>
      <c r="X479" s="528">
        <f>+'NF-KSF-TRIAL-BAL-2020'!Q479+'RA-TRIAL-BAL-2020'!Q479+'DES-TRIAL-BAL-2020'!Q479+'DMP-TRIAL-BAL-2020'!Q479</f>
        <v>0</v>
      </c>
      <c r="Y479" s="529">
        <f>+'NF-KSF-TRIAL-BAL-2020'!R479+'RA-TRIAL-BAL-2020'!R479+'DES-TRIAL-BAL-2020'!R479+'DMP-TRIAL-BAL-2020'!R479</f>
        <v>0</v>
      </c>
      <c r="Z479" s="528">
        <f>+'NF-KSF-TRIAL-BAL-2020'!S479+'RA-TRIAL-BAL-2020'!S479+'DES-TRIAL-BAL-2020'!S479+'DMP-TRIAL-BAL-2020'!S479</f>
        <v>0</v>
      </c>
      <c r="AA479" s="347">
        <f>+'NF-KSF-TRIAL-BAL-2020'!T479+'RA-TRIAL-BAL-2020'!T479+'DES-TRIAL-BAL-2020'!T479+'DMP-TRIAL-BAL-2020'!T479</f>
        <v>0</v>
      </c>
      <c r="AB479" s="51"/>
      <c r="AC479" s="8">
        <v>0</v>
      </c>
      <c r="AD479" s="9">
        <v>0</v>
      </c>
      <c r="AE479" s="122"/>
      <c r="AF479" s="121"/>
      <c r="AG479" s="27">
        <f t="shared" si="239"/>
        <v>0</v>
      </c>
      <c r="AH479" s="28">
        <f t="shared" si="235"/>
        <v>0</v>
      </c>
      <c r="AI479" s="51"/>
      <c r="AJ479" s="1497">
        <f t="shared" si="244"/>
        <v>6202</v>
      </c>
      <c r="AK479" s="8">
        <v>0</v>
      </c>
      <c r="AL479" s="9">
        <v>0</v>
      </c>
      <c r="AM479" s="326">
        <f t="shared" si="233"/>
        <v>0</v>
      </c>
      <c r="AN479" s="970">
        <f t="shared" si="233"/>
        <v>0</v>
      </c>
      <c r="AO479" s="326">
        <f t="shared" si="236"/>
        <v>0</v>
      </c>
      <c r="AP479" s="327">
        <f t="shared" si="237"/>
        <v>0</v>
      </c>
      <c r="AQ479" s="43"/>
      <c r="AR479" s="358">
        <f t="shared" si="241"/>
        <v>0</v>
      </c>
      <c r="AS479" s="359">
        <f t="shared" si="242"/>
        <v>0</v>
      </c>
      <c r="AT479" s="360">
        <f t="shared" si="243"/>
        <v>0</v>
      </c>
      <c r="AU479" s="43"/>
      <c r="AV479" s="43"/>
      <c r="AW479" s="119"/>
      <c r="AX479" s="119"/>
      <c r="AY479" s="43"/>
      <c r="AZ479" s="43"/>
      <c r="BA479" s="43"/>
      <c r="BB479" s="43"/>
      <c r="BC479" s="43"/>
      <c r="BD479" s="43"/>
    </row>
    <row r="480" spans="1:56" ht="15.75">
      <c r="A480" s="88">
        <v>6203</v>
      </c>
      <c r="B480" s="1033" t="s">
        <v>500</v>
      </c>
      <c r="C480" s="1033"/>
      <c r="D480" s="1033"/>
      <c r="E480" s="1033"/>
      <c r="F480" s="1033"/>
      <c r="G480" s="1033"/>
      <c r="H480" s="1033"/>
      <c r="I480" s="1033"/>
      <c r="J480" s="1033"/>
      <c r="K480" s="1033"/>
      <c r="L480" s="90"/>
      <c r="M480" s="51" t="s">
        <v>265</v>
      </c>
      <c r="N480" s="113">
        <f t="shared" si="240"/>
        <v>6203</v>
      </c>
      <c r="O480" s="8">
        <v>0</v>
      </c>
      <c r="P480" s="9">
        <v>0</v>
      </c>
      <c r="Q480" s="325">
        <v>0</v>
      </c>
      <c r="R480" s="324">
        <v>0</v>
      </c>
      <c r="S480" s="27">
        <f t="shared" si="238"/>
        <v>0</v>
      </c>
      <c r="T480" s="28">
        <f t="shared" si="234"/>
        <v>0</v>
      </c>
      <c r="U480" s="51"/>
      <c r="V480" s="541">
        <f>+'NF-KSF-TRIAL-BAL-2020'!O480+'RA-TRIAL-BAL-2020'!O480+'DES-TRIAL-BAL-2020'!O480+'DMP-TRIAL-BAL-2020'!O480</f>
        <v>0</v>
      </c>
      <c r="W480" s="529">
        <f>+'NF-KSF-TRIAL-BAL-2020'!P480+'RA-TRIAL-BAL-2020'!P480+'DES-TRIAL-BAL-2020'!P480+'DMP-TRIAL-BAL-2020'!P480</f>
        <v>0</v>
      </c>
      <c r="X480" s="528">
        <f>+'NF-KSF-TRIAL-BAL-2020'!Q480+'RA-TRIAL-BAL-2020'!Q480+'DES-TRIAL-BAL-2020'!Q480+'DMP-TRIAL-BAL-2020'!Q480</f>
        <v>0</v>
      </c>
      <c r="Y480" s="529">
        <f>+'NF-KSF-TRIAL-BAL-2020'!R480+'RA-TRIAL-BAL-2020'!R480+'DES-TRIAL-BAL-2020'!R480+'DMP-TRIAL-BAL-2020'!R480</f>
        <v>0</v>
      </c>
      <c r="Z480" s="528">
        <f>+'NF-KSF-TRIAL-BAL-2020'!S480+'RA-TRIAL-BAL-2020'!S480+'DES-TRIAL-BAL-2020'!S480+'DMP-TRIAL-BAL-2020'!S480</f>
        <v>0</v>
      </c>
      <c r="AA480" s="347">
        <f>+'NF-KSF-TRIAL-BAL-2020'!T480+'RA-TRIAL-BAL-2020'!T480+'DES-TRIAL-BAL-2020'!T480+'DMP-TRIAL-BAL-2020'!T480</f>
        <v>0</v>
      </c>
      <c r="AB480" s="51"/>
      <c r="AC480" s="8">
        <v>0</v>
      </c>
      <c r="AD480" s="9">
        <v>0</v>
      </c>
      <c r="AE480" s="122">
        <v>0</v>
      </c>
      <c r="AF480" s="121">
        <v>0</v>
      </c>
      <c r="AG480" s="27">
        <f t="shared" si="239"/>
        <v>0</v>
      </c>
      <c r="AH480" s="28">
        <f t="shared" si="235"/>
        <v>0</v>
      </c>
      <c r="AI480" s="51"/>
      <c r="AJ480" s="1497">
        <f t="shared" si="244"/>
        <v>6203</v>
      </c>
      <c r="AK480" s="8">
        <v>0</v>
      </c>
      <c r="AL480" s="9">
        <v>0</v>
      </c>
      <c r="AM480" s="326">
        <f t="shared" si="233"/>
        <v>0</v>
      </c>
      <c r="AN480" s="970">
        <f t="shared" si="233"/>
        <v>0</v>
      </c>
      <c r="AO480" s="326">
        <f t="shared" si="236"/>
        <v>0</v>
      </c>
      <c r="AP480" s="327">
        <f t="shared" si="237"/>
        <v>0</v>
      </c>
      <c r="AQ480" s="43"/>
      <c r="AR480" s="358">
        <f t="shared" si="241"/>
        <v>0</v>
      </c>
      <c r="AS480" s="359">
        <f t="shared" si="242"/>
        <v>0</v>
      </c>
      <c r="AT480" s="360">
        <f t="shared" si="243"/>
        <v>0</v>
      </c>
      <c r="AU480" s="43"/>
      <c r="AV480" s="43"/>
      <c r="AW480" s="119"/>
      <c r="AX480" s="119"/>
      <c r="AY480" s="43"/>
      <c r="AZ480" s="43"/>
      <c r="BA480" s="43"/>
      <c r="BB480" s="43"/>
      <c r="BC480" s="43"/>
      <c r="BD480" s="43"/>
    </row>
    <row r="481" spans="1:56" ht="15.75">
      <c r="A481" s="88">
        <v>6209</v>
      </c>
      <c r="B481" s="1033" t="s">
        <v>501</v>
      </c>
      <c r="C481" s="1033"/>
      <c r="D481" s="1033"/>
      <c r="E481" s="1033"/>
      <c r="F481" s="1033"/>
      <c r="G481" s="1033"/>
      <c r="H481" s="1033"/>
      <c r="I481" s="1033"/>
      <c r="J481" s="1033"/>
      <c r="K481" s="1033"/>
      <c r="L481" s="90"/>
      <c r="M481" s="51" t="s">
        <v>265</v>
      </c>
      <c r="N481" s="113">
        <f t="shared" si="240"/>
        <v>6209</v>
      </c>
      <c r="O481" s="8">
        <v>0</v>
      </c>
      <c r="P481" s="9">
        <v>0</v>
      </c>
      <c r="Q481" s="325">
        <v>0</v>
      </c>
      <c r="R481" s="324">
        <v>0</v>
      </c>
      <c r="S481" s="27">
        <f t="shared" si="238"/>
        <v>0</v>
      </c>
      <c r="T481" s="28">
        <f t="shared" si="234"/>
        <v>0</v>
      </c>
      <c r="U481" s="51"/>
      <c r="V481" s="541">
        <f>+'NF-KSF-TRIAL-BAL-2020'!O481+'RA-TRIAL-BAL-2020'!O481+'DES-TRIAL-BAL-2020'!O481+'DMP-TRIAL-BAL-2020'!O481</f>
        <v>0</v>
      </c>
      <c r="W481" s="529">
        <f>+'NF-KSF-TRIAL-BAL-2020'!P481+'RA-TRIAL-BAL-2020'!P481+'DES-TRIAL-BAL-2020'!P481+'DMP-TRIAL-BAL-2020'!P481</f>
        <v>0</v>
      </c>
      <c r="X481" s="528">
        <f>+'NF-KSF-TRIAL-BAL-2020'!Q481+'RA-TRIAL-BAL-2020'!Q481+'DES-TRIAL-BAL-2020'!Q481+'DMP-TRIAL-BAL-2020'!Q481</f>
        <v>0</v>
      </c>
      <c r="Y481" s="529">
        <f>+'NF-KSF-TRIAL-BAL-2020'!R481+'RA-TRIAL-BAL-2020'!R481+'DES-TRIAL-BAL-2020'!R481+'DMP-TRIAL-BAL-2020'!R481</f>
        <v>0</v>
      </c>
      <c r="Z481" s="528">
        <f>+'NF-KSF-TRIAL-BAL-2020'!S481+'RA-TRIAL-BAL-2020'!S481+'DES-TRIAL-BAL-2020'!S481+'DMP-TRIAL-BAL-2020'!S481</f>
        <v>0</v>
      </c>
      <c r="AA481" s="347">
        <f>+'NF-KSF-TRIAL-BAL-2020'!T481+'RA-TRIAL-BAL-2020'!T481+'DES-TRIAL-BAL-2020'!T481+'DMP-TRIAL-BAL-2020'!T481</f>
        <v>0</v>
      </c>
      <c r="AB481" s="51"/>
      <c r="AC481" s="8">
        <v>0</v>
      </c>
      <c r="AD481" s="9">
        <v>0</v>
      </c>
      <c r="AE481" s="122">
        <v>0</v>
      </c>
      <c r="AF481" s="121">
        <v>0</v>
      </c>
      <c r="AG481" s="27">
        <f t="shared" si="239"/>
        <v>0</v>
      </c>
      <c r="AH481" s="28">
        <f t="shared" si="235"/>
        <v>0</v>
      </c>
      <c r="AI481" s="51"/>
      <c r="AJ481" s="1497">
        <f t="shared" si="244"/>
        <v>6209</v>
      </c>
      <c r="AK481" s="8">
        <v>0</v>
      </c>
      <c r="AL481" s="9">
        <v>0</v>
      </c>
      <c r="AM481" s="326">
        <f t="shared" si="233"/>
        <v>0</v>
      </c>
      <c r="AN481" s="970">
        <f t="shared" si="233"/>
        <v>0</v>
      </c>
      <c r="AO481" s="326">
        <f t="shared" ref="AO481:AO544" si="245">+S481+Z481+AG481</f>
        <v>0</v>
      </c>
      <c r="AP481" s="327">
        <f t="shared" ref="AP481:AP544" si="246">+T481+AA481+AH481</f>
        <v>0</v>
      </c>
      <c r="AQ481" s="43"/>
      <c r="AR481" s="358">
        <f t="shared" si="241"/>
        <v>0</v>
      </c>
      <c r="AS481" s="359">
        <f t="shared" si="242"/>
        <v>0</v>
      </c>
      <c r="AT481" s="360">
        <f t="shared" si="243"/>
        <v>0</v>
      </c>
      <c r="AU481" s="43"/>
      <c r="AV481" s="43"/>
      <c r="AW481" s="119"/>
      <c r="AX481" s="119"/>
      <c r="AY481" s="43"/>
      <c r="AZ481" s="43"/>
      <c r="BA481" s="43"/>
      <c r="BB481" s="43"/>
      <c r="BC481" s="43"/>
      <c r="BD481" s="43"/>
    </row>
    <row r="482" spans="1:56" ht="15.75">
      <c r="A482" s="88">
        <v>6211</v>
      </c>
      <c r="B482" s="1033" t="s">
        <v>502</v>
      </c>
      <c r="C482" s="1033"/>
      <c r="D482" s="1033"/>
      <c r="E482" s="1033"/>
      <c r="F482" s="1033"/>
      <c r="G482" s="1033"/>
      <c r="H482" s="1033"/>
      <c r="I482" s="1033"/>
      <c r="J482" s="1033"/>
      <c r="K482" s="1033"/>
      <c r="L482" s="90"/>
      <c r="M482" s="51" t="s">
        <v>265</v>
      </c>
      <c r="N482" s="113">
        <f t="shared" si="240"/>
        <v>6211</v>
      </c>
      <c r="O482" s="8">
        <v>0</v>
      </c>
      <c r="P482" s="9">
        <v>0</v>
      </c>
      <c r="Q482" s="325"/>
      <c r="R482" s="324"/>
      <c r="S482" s="27">
        <f t="shared" si="238"/>
        <v>0</v>
      </c>
      <c r="T482" s="28">
        <f t="shared" si="234"/>
        <v>0</v>
      </c>
      <c r="U482" s="51"/>
      <c r="V482" s="541">
        <f>+'NF-KSF-TRIAL-BAL-2020'!O482+'RA-TRIAL-BAL-2020'!O482+'DES-TRIAL-BAL-2020'!O482+'DMP-TRIAL-BAL-2020'!O482</f>
        <v>0</v>
      </c>
      <c r="W482" s="529">
        <f>+'NF-KSF-TRIAL-BAL-2020'!P482+'RA-TRIAL-BAL-2020'!P482+'DES-TRIAL-BAL-2020'!P482+'DMP-TRIAL-BAL-2020'!P482</f>
        <v>0</v>
      </c>
      <c r="X482" s="528">
        <f>+'NF-KSF-TRIAL-BAL-2020'!Q482+'RA-TRIAL-BAL-2020'!Q482+'DES-TRIAL-BAL-2020'!Q482+'DMP-TRIAL-BAL-2020'!Q482</f>
        <v>0</v>
      </c>
      <c r="Y482" s="529">
        <f>+'NF-KSF-TRIAL-BAL-2020'!R482+'RA-TRIAL-BAL-2020'!R482+'DES-TRIAL-BAL-2020'!R482+'DMP-TRIAL-BAL-2020'!R482</f>
        <v>0</v>
      </c>
      <c r="Z482" s="528">
        <f>+'NF-KSF-TRIAL-BAL-2020'!S482+'RA-TRIAL-BAL-2020'!S482+'DES-TRIAL-BAL-2020'!S482+'DMP-TRIAL-BAL-2020'!S482</f>
        <v>0</v>
      </c>
      <c r="AA482" s="347">
        <f>+'NF-KSF-TRIAL-BAL-2020'!T482+'RA-TRIAL-BAL-2020'!T482+'DES-TRIAL-BAL-2020'!T482+'DMP-TRIAL-BAL-2020'!T482</f>
        <v>0</v>
      </c>
      <c r="AB482" s="51"/>
      <c r="AC482" s="8">
        <v>0</v>
      </c>
      <c r="AD482" s="9">
        <v>0</v>
      </c>
      <c r="AE482" s="122"/>
      <c r="AF482" s="121"/>
      <c r="AG482" s="27">
        <f t="shared" si="239"/>
        <v>0</v>
      </c>
      <c r="AH482" s="28">
        <f t="shared" si="235"/>
        <v>0</v>
      </c>
      <c r="AI482" s="51"/>
      <c r="AJ482" s="1497">
        <f t="shared" si="244"/>
        <v>6211</v>
      </c>
      <c r="AK482" s="8">
        <v>0</v>
      </c>
      <c r="AL482" s="9">
        <v>0</v>
      </c>
      <c r="AM482" s="326">
        <f t="shared" si="233"/>
        <v>0</v>
      </c>
      <c r="AN482" s="970">
        <f t="shared" si="233"/>
        <v>0</v>
      </c>
      <c r="AO482" s="326">
        <f t="shared" si="245"/>
        <v>0</v>
      </c>
      <c r="AP482" s="327">
        <f t="shared" si="246"/>
        <v>0</v>
      </c>
      <c r="AQ482" s="43"/>
      <c r="AR482" s="358">
        <f t="shared" si="241"/>
        <v>0</v>
      </c>
      <c r="AS482" s="359">
        <f t="shared" si="242"/>
        <v>0</v>
      </c>
      <c r="AT482" s="360">
        <f t="shared" si="243"/>
        <v>0</v>
      </c>
      <c r="AU482" s="43"/>
      <c r="AV482" s="43"/>
      <c r="AW482" s="119"/>
      <c r="AX482" s="119"/>
      <c r="AY482" s="43"/>
      <c r="AZ482" s="43"/>
      <c r="BA482" s="43"/>
      <c r="BB482" s="43"/>
      <c r="BC482" s="43"/>
      <c r="BD482" s="43"/>
    </row>
    <row r="483" spans="1:56" ht="15.75">
      <c r="A483" s="88">
        <v>6218</v>
      </c>
      <c r="B483" s="1033" t="s">
        <v>503</v>
      </c>
      <c r="C483" s="1033"/>
      <c r="D483" s="1033"/>
      <c r="E483" s="1033"/>
      <c r="F483" s="1033"/>
      <c r="G483" s="1033"/>
      <c r="H483" s="1033"/>
      <c r="I483" s="1033"/>
      <c r="J483" s="1033"/>
      <c r="K483" s="1033"/>
      <c r="L483" s="90"/>
      <c r="M483" s="51" t="s">
        <v>265</v>
      </c>
      <c r="N483" s="113">
        <f>+A483</f>
        <v>6218</v>
      </c>
      <c r="O483" s="8">
        <v>0</v>
      </c>
      <c r="P483" s="9">
        <v>0</v>
      </c>
      <c r="Q483" s="325"/>
      <c r="R483" s="324"/>
      <c r="S483" s="27">
        <f>+IF(ABS(+O483+Q483)&gt;=ABS(P483+R483),+O483-P483+Q483-R483,0)</f>
        <v>0</v>
      </c>
      <c r="T483" s="28">
        <f>+IF(ABS(+O483+Q483)&lt;=ABS(P483+R483),-O483+P483-Q483+R483,0)</f>
        <v>0</v>
      </c>
      <c r="U483" s="51"/>
      <c r="V483" s="541">
        <f>+'NF-KSF-TRIAL-BAL-2020'!O483+'RA-TRIAL-BAL-2020'!O483+'DES-TRIAL-BAL-2020'!O483+'DMP-TRIAL-BAL-2020'!O483</f>
        <v>0</v>
      </c>
      <c r="W483" s="529">
        <f>+'NF-KSF-TRIAL-BAL-2020'!P483+'RA-TRIAL-BAL-2020'!P483+'DES-TRIAL-BAL-2020'!P483+'DMP-TRIAL-BAL-2020'!P483</f>
        <v>0</v>
      </c>
      <c r="X483" s="528">
        <f>+'NF-KSF-TRIAL-BAL-2020'!Q483+'RA-TRIAL-BAL-2020'!Q483+'DES-TRIAL-BAL-2020'!Q483+'DMP-TRIAL-BAL-2020'!Q483</f>
        <v>0</v>
      </c>
      <c r="Y483" s="529">
        <f>+'NF-KSF-TRIAL-BAL-2020'!R483+'RA-TRIAL-BAL-2020'!R483+'DES-TRIAL-BAL-2020'!R483+'DMP-TRIAL-BAL-2020'!R483</f>
        <v>0</v>
      </c>
      <c r="Z483" s="528">
        <f>+'NF-KSF-TRIAL-BAL-2020'!S483+'RA-TRIAL-BAL-2020'!S483+'DES-TRIAL-BAL-2020'!S483+'DMP-TRIAL-BAL-2020'!S483</f>
        <v>0</v>
      </c>
      <c r="AA483" s="347">
        <f>+'NF-KSF-TRIAL-BAL-2020'!T483+'RA-TRIAL-BAL-2020'!T483+'DES-TRIAL-BAL-2020'!T483+'DMP-TRIAL-BAL-2020'!T483</f>
        <v>0</v>
      </c>
      <c r="AB483" s="51"/>
      <c r="AC483" s="8">
        <v>0</v>
      </c>
      <c r="AD483" s="9">
        <v>0</v>
      </c>
      <c r="AE483" s="122"/>
      <c r="AF483" s="121"/>
      <c r="AG483" s="27">
        <f>+IF(ABS(+AC483+AE483)&gt;=ABS(AD483+AF483),+AC483-AD483+AE483-AF483,0)</f>
        <v>0</v>
      </c>
      <c r="AH483" s="28">
        <f>+IF(ABS(+AC483+AE483)&lt;=ABS(AD483+AF483),-AC483+AD483-AE483+AF483,0)</f>
        <v>0</v>
      </c>
      <c r="AI483" s="51"/>
      <c r="AJ483" s="1497">
        <f>+N483</f>
        <v>6218</v>
      </c>
      <c r="AK483" s="8">
        <v>0</v>
      </c>
      <c r="AL483" s="9">
        <v>0</v>
      </c>
      <c r="AM483" s="326">
        <f>+ROUND(+Q483+X483+AE483,2)</f>
        <v>0</v>
      </c>
      <c r="AN483" s="970">
        <f>+ROUND(+R483+Y483+AF483,2)</f>
        <v>0</v>
      </c>
      <c r="AO483" s="326">
        <f t="shared" si="245"/>
        <v>0</v>
      </c>
      <c r="AP483" s="327">
        <f t="shared" si="246"/>
        <v>0</v>
      </c>
      <c r="AQ483" s="43"/>
      <c r="AR483" s="358">
        <f>+ROUND(+SUM(AK483-AL483)-SUM(O483-P483)-SUM(V483-W483)-SUM(AC483-AD483),2)</f>
        <v>0</v>
      </c>
      <c r="AS483" s="359">
        <f>+ROUND(+SUM(AM483-AN483)-SUM(Q483-R483)-SUM(X483-Y483)-SUM(AE483-AF483),2)</f>
        <v>0</v>
      </c>
      <c r="AT483" s="360">
        <f>+ROUND(+SUM(AO483-AP483)-SUM(S483-T483)-SUM(Z483-AA483)-SUM(AG483-AH483),2)</f>
        <v>0</v>
      </c>
      <c r="AU483" s="43"/>
      <c r="AV483" s="43"/>
      <c r="AW483" s="119"/>
      <c r="AX483" s="119"/>
      <c r="AY483" s="43"/>
      <c r="AZ483" s="43"/>
      <c r="BA483" s="43"/>
      <c r="BB483" s="43"/>
      <c r="BC483" s="43"/>
      <c r="BD483" s="43"/>
    </row>
    <row r="484" spans="1:56" ht="15.75">
      <c r="A484" s="88">
        <v>6221</v>
      </c>
      <c r="B484" s="1033" t="s">
        <v>504</v>
      </c>
      <c r="C484" s="1033"/>
      <c r="D484" s="1033"/>
      <c r="E484" s="1033"/>
      <c r="F484" s="1033"/>
      <c r="G484" s="1033"/>
      <c r="H484" s="1033"/>
      <c r="I484" s="1033"/>
      <c r="J484" s="1033"/>
      <c r="K484" s="1033"/>
      <c r="L484" s="90"/>
      <c r="M484" s="51" t="s">
        <v>265</v>
      </c>
      <c r="N484" s="113">
        <f t="shared" si="240"/>
        <v>6221</v>
      </c>
      <c r="O484" s="8">
        <v>0</v>
      </c>
      <c r="P484" s="9">
        <v>0</v>
      </c>
      <c r="Q484" s="325"/>
      <c r="R484" s="324"/>
      <c r="S484" s="27">
        <f t="shared" ref="S484:S564" si="247">+IF(ABS(+O484+Q484)&gt;=ABS(P484+R484),+O484-P484+Q484-R484,0)</f>
        <v>0</v>
      </c>
      <c r="T484" s="28">
        <f t="shared" ref="T484:T568" si="248">+IF(ABS(+O484+Q484)&lt;=ABS(P484+R484),-O484+P484-Q484+R484,0)</f>
        <v>0</v>
      </c>
      <c r="U484" s="51"/>
      <c r="V484" s="541">
        <f>+'NF-KSF-TRIAL-BAL-2020'!O484+'RA-TRIAL-BAL-2020'!O484+'DES-TRIAL-BAL-2020'!O484+'DMP-TRIAL-BAL-2020'!O484</f>
        <v>0</v>
      </c>
      <c r="W484" s="529">
        <f>+'NF-KSF-TRIAL-BAL-2020'!P484+'RA-TRIAL-BAL-2020'!P484+'DES-TRIAL-BAL-2020'!P484+'DMP-TRIAL-BAL-2020'!P484</f>
        <v>0</v>
      </c>
      <c r="X484" s="528">
        <f>+'NF-KSF-TRIAL-BAL-2020'!Q484+'RA-TRIAL-BAL-2020'!Q484+'DES-TRIAL-BAL-2020'!Q484+'DMP-TRIAL-BAL-2020'!Q484</f>
        <v>0</v>
      </c>
      <c r="Y484" s="529">
        <f>+'NF-KSF-TRIAL-BAL-2020'!R484+'RA-TRIAL-BAL-2020'!R484+'DES-TRIAL-BAL-2020'!R484+'DMP-TRIAL-BAL-2020'!R484</f>
        <v>0</v>
      </c>
      <c r="Z484" s="528">
        <f>+'NF-KSF-TRIAL-BAL-2020'!S484+'RA-TRIAL-BAL-2020'!S484+'DES-TRIAL-BAL-2020'!S484+'DMP-TRIAL-BAL-2020'!S484</f>
        <v>0</v>
      </c>
      <c r="AA484" s="347">
        <f>+'NF-KSF-TRIAL-BAL-2020'!T484+'RA-TRIAL-BAL-2020'!T484+'DES-TRIAL-BAL-2020'!T484+'DMP-TRIAL-BAL-2020'!T484</f>
        <v>0</v>
      </c>
      <c r="AB484" s="51"/>
      <c r="AC484" s="8">
        <v>0</v>
      </c>
      <c r="AD484" s="9">
        <v>0</v>
      </c>
      <c r="AE484" s="122"/>
      <c r="AF484" s="121"/>
      <c r="AG484" s="27">
        <f t="shared" ref="AG484:AG564" si="249">+IF(ABS(+AC484+AE484)&gt;=ABS(AD484+AF484),+AC484-AD484+AE484-AF484,0)</f>
        <v>0</v>
      </c>
      <c r="AH484" s="28">
        <f t="shared" ref="AH484:AH564" si="250">+IF(ABS(+AC484+AE484)&lt;=ABS(AD484+AF484),-AC484+AD484-AE484+AF484,0)</f>
        <v>0</v>
      </c>
      <c r="AI484" s="51"/>
      <c r="AJ484" s="1497">
        <f t="shared" si="244"/>
        <v>6221</v>
      </c>
      <c r="AK484" s="8">
        <v>0</v>
      </c>
      <c r="AL484" s="9">
        <v>0</v>
      </c>
      <c r="AM484" s="326">
        <f t="shared" ref="AM484:AN568" si="251">+ROUND(+Q484+X484+AE484,2)</f>
        <v>0</v>
      </c>
      <c r="AN484" s="970">
        <f t="shared" si="251"/>
        <v>0</v>
      </c>
      <c r="AO484" s="27">
        <f t="shared" si="245"/>
        <v>0</v>
      </c>
      <c r="AP484" s="28">
        <f t="shared" si="246"/>
        <v>0</v>
      </c>
      <c r="AQ484" s="43"/>
      <c r="AR484" s="358">
        <f t="shared" si="241"/>
        <v>0</v>
      </c>
      <c r="AS484" s="359">
        <f t="shared" si="242"/>
        <v>0</v>
      </c>
      <c r="AT484" s="360">
        <f t="shared" si="243"/>
        <v>0</v>
      </c>
      <c r="AU484" s="43"/>
      <c r="AV484" s="43"/>
      <c r="AW484" s="119"/>
      <c r="AX484" s="119"/>
      <c r="AY484" s="43"/>
      <c r="AZ484" s="43"/>
      <c r="BA484" s="43"/>
      <c r="BB484" s="43"/>
      <c r="BC484" s="43"/>
      <c r="BD484" s="43"/>
    </row>
    <row r="485" spans="1:56" ht="15.75">
      <c r="A485" s="88">
        <v>6224</v>
      </c>
      <c r="B485" s="1033" t="s">
        <v>505</v>
      </c>
      <c r="C485" s="1033"/>
      <c r="D485" s="1033"/>
      <c r="E485" s="1033"/>
      <c r="F485" s="1033"/>
      <c r="G485" s="1033"/>
      <c r="H485" s="1033"/>
      <c r="I485" s="1033"/>
      <c r="J485" s="1033"/>
      <c r="K485" s="1033"/>
      <c r="L485" s="90"/>
      <c r="M485" s="51" t="s">
        <v>265</v>
      </c>
      <c r="N485" s="113">
        <f t="shared" si="240"/>
        <v>6224</v>
      </c>
      <c r="O485" s="8">
        <v>0</v>
      </c>
      <c r="P485" s="9">
        <v>0</v>
      </c>
      <c r="Q485" s="325"/>
      <c r="R485" s="324"/>
      <c r="S485" s="27">
        <f t="shared" si="247"/>
        <v>0</v>
      </c>
      <c r="T485" s="28">
        <f t="shared" si="248"/>
        <v>0</v>
      </c>
      <c r="U485" s="51"/>
      <c r="V485" s="541">
        <f>+'NF-KSF-TRIAL-BAL-2020'!O485+'RA-TRIAL-BAL-2020'!O485+'DES-TRIAL-BAL-2020'!O485+'DMP-TRIAL-BAL-2020'!O485</f>
        <v>0</v>
      </c>
      <c r="W485" s="529">
        <f>+'NF-KSF-TRIAL-BAL-2020'!P485+'RA-TRIAL-BAL-2020'!P485+'DES-TRIAL-BAL-2020'!P485+'DMP-TRIAL-BAL-2020'!P485</f>
        <v>0</v>
      </c>
      <c r="X485" s="528">
        <f>+'NF-KSF-TRIAL-BAL-2020'!Q485+'RA-TRIAL-BAL-2020'!Q485+'DES-TRIAL-BAL-2020'!Q485+'DMP-TRIAL-BAL-2020'!Q485</f>
        <v>0</v>
      </c>
      <c r="Y485" s="529">
        <f>+'NF-KSF-TRIAL-BAL-2020'!R485+'RA-TRIAL-BAL-2020'!R485+'DES-TRIAL-BAL-2020'!R485+'DMP-TRIAL-BAL-2020'!R485</f>
        <v>0</v>
      </c>
      <c r="Z485" s="528">
        <f>+'NF-KSF-TRIAL-BAL-2020'!S485+'RA-TRIAL-BAL-2020'!S485+'DES-TRIAL-BAL-2020'!S485+'DMP-TRIAL-BAL-2020'!S485</f>
        <v>0</v>
      </c>
      <c r="AA485" s="347">
        <f>+'NF-KSF-TRIAL-BAL-2020'!T485+'RA-TRIAL-BAL-2020'!T485+'DES-TRIAL-BAL-2020'!T485+'DMP-TRIAL-BAL-2020'!T485</f>
        <v>0</v>
      </c>
      <c r="AB485" s="51"/>
      <c r="AC485" s="8">
        <v>0</v>
      </c>
      <c r="AD485" s="9">
        <v>0</v>
      </c>
      <c r="AE485" s="122"/>
      <c r="AF485" s="121"/>
      <c r="AG485" s="27">
        <f t="shared" si="249"/>
        <v>0</v>
      </c>
      <c r="AH485" s="28">
        <f t="shared" si="250"/>
        <v>0</v>
      </c>
      <c r="AI485" s="51"/>
      <c r="AJ485" s="1497">
        <f t="shared" si="244"/>
        <v>6224</v>
      </c>
      <c r="AK485" s="8">
        <v>0</v>
      </c>
      <c r="AL485" s="9">
        <v>0</v>
      </c>
      <c r="AM485" s="326">
        <f t="shared" si="251"/>
        <v>0</v>
      </c>
      <c r="AN485" s="970">
        <f t="shared" si="251"/>
        <v>0</v>
      </c>
      <c r="AO485" s="27">
        <f t="shared" si="245"/>
        <v>0</v>
      </c>
      <c r="AP485" s="28">
        <f t="shared" si="246"/>
        <v>0</v>
      </c>
      <c r="AQ485" s="43"/>
      <c r="AR485" s="358">
        <f t="shared" si="241"/>
        <v>0</v>
      </c>
      <c r="AS485" s="359">
        <f t="shared" si="242"/>
        <v>0</v>
      </c>
      <c r="AT485" s="360">
        <f t="shared" si="243"/>
        <v>0</v>
      </c>
      <c r="AU485" s="43"/>
      <c r="AV485" s="43"/>
      <c r="AW485" s="119"/>
      <c r="AX485" s="119"/>
      <c r="AY485" s="43"/>
      <c r="AZ485" s="43"/>
      <c r="BA485" s="43"/>
      <c r="BB485" s="43"/>
      <c r="BC485" s="43"/>
      <c r="BD485" s="43"/>
    </row>
    <row r="486" spans="1:56" ht="15.75">
      <c r="A486" s="88">
        <v>6225</v>
      </c>
      <c r="B486" s="1033" t="s">
        <v>506</v>
      </c>
      <c r="C486" s="1033"/>
      <c r="D486" s="1033"/>
      <c r="E486" s="1033"/>
      <c r="F486" s="1033"/>
      <c r="G486" s="1033"/>
      <c r="H486" s="1033"/>
      <c r="I486" s="1033"/>
      <c r="J486" s="1033"/>
      <c r="K486" s="1033"/>
      <c r="L486" s="90"/>
      <c r="M486" s="51" t="s">
        <v>265</v>
      </c>
      <c r="N486" s="113">
        <f t="shared" si="240"/>
        <v>6225</v>
      </c>
      <c r="O486" s="8">
        <v>0</v>
      </c>
      <c r="P486" s="9">
        <v>0</v>
      </c>
      <c r="Q486" s="325"/>
      <c r="R486" s="324"/>
      <c r="S486" s="27">
        <f t="shared" si="247"/>
        <v>0</v>
      </c>
      <c r="T486" s="28">
        <f t="shared" si="248"/>
        <v>0</v>
      </c>
      <c r="U486" s="51"/>
      <c r="V486" s="541">
        <f>+'NF-KSF-TRIAL-BAL-2020'!O486+'RA-TRIAL-BAL-2020'!O486+'DES-TRIAL-BAL-2020'!O486+'DMP-TRIAL-BAL-2020'!O486</f>
        <v>0</v>
      </c>
      <c r="W486" s="529">
        <f>+'NF-KSF-TRIAL-BAL-2020'!P486+'RA-TRIAL-BAL-2020'!P486+'DES-TRIAL-BAL-2020'!P486+'DMP-TRIAL-BAL-2020'!P486</f>
        <v>0</v>
      </c>
      <c r="X486" s="528">
        <f>+'NF-KSF-TRIAL-BAL-2020'!Q486+'RA-TRIAL-BAL-2020'!Q486+'DES-TRIAL-BAL-2020'!Q486+'DMP-TRIAL-BAL-2020'!Q486</f>
        <v>0</v>
      </c>
      <c r="Y486" s="529">
        <f>+'NF-KSF-TRIAL-BAL-2020'!R486+'RA-TRIAL-BAL-2020'!R486+'DES-TRIAL-BAL-2020'!R486+'DMP-TRIAL-BAL-2020'!R486</f>
        <v>0</v>
      </c>
      <c r="Z486" s="528">
        <f>+'NF-KSF-TRIAL-BAL-2020'!S486+'RA-TRIAL-BAL-2020'!S486+'DES-TRIAL-BAL-2020'!S486+'DMP-TRIAL-BAL-2020'!S486</f>
        <v>0</v>
      </c>
      <c r="AA486" s="347">
        <f>+'NF-KSF-TRIAL-BAL-2020'!T486+'RA-TRIAL-BAL-2020'!T486+'DES-TRIAL-BAL-2020'!T486+'DMP-TRIAL-BAL-2020'!T486</f>
        <v>0</v>
      </c>
      <c r="AB486" s="51"/>
      <c r="AC486" s="8">
        <v>0</v>
      </c>
      <c r="AD486" s="9">
        <v>0</v>
      </c>
      <c r="AE486" s="122"/>
      <c r="AF486" s="121"/>
      <c r="AG486" s="27">
        <f t="shared" si="249"/>
        <v>0</v>
      </c>
      <c r="AH486" s="28">
        <f t="shared" si="250"/>
        <v>0</v>
      </c>
      <c r="AI486" s="51"/>
      <c r="AJ486" s="1497">
        <f t="shared" si="244"/>
        <v>6225</v>
      </c>
      <c r="AK486" s="8">
        <v>0</v>
      </c>
      <c r="AL486" s="9">
        <v>0</v>
      </c>
      <c r="AM486" s="326">
        <f t="shared" si="251"/>
        <v>0</v>
      </c>
      <c r="AN486" s="970">
        <f t="shared" si="251"/>
        <v>0</v>
      </c>
      <c r="AO486" s="27">
        <f t="shared" si="245"/>
        <v>0</v>
      </c>
      <c r="AP486" s="28">
        <f t="shared" si="246"/>
        <v>0</v>
      </c>
      <c r="AQ486" s="43"/>
      <c r="AR486" s="358">
        <f t="shared" si="241"/>
        <v>0</v>
      </c>
      <c r="AS486" s="359">
        <f t="shared" si="242"/>
        <v>0</v>
      </c>
      <c r="AT486" s="360">
        <f t="shared" si="243"/>
        <v>0</v>
      </c>
      <c r="AU486" s="43"/>
      <c r="AV486" s="43"/>
      <c r="AW486" s="119"/>
      <c r="AX486" s="119"/>
      <c r="AY486" s="43"/>
      <c r="AZ486" s="43"/>
      <c r="BA486" s="43"/>
      <c r="BB486" s="43"/>
      <c r="BC486" s="43"/>
      <c r="BD486" s="43"/>
    </row>
    <row r="487" spans="1:56" ht="15.75">
      <c r="A487" s="88">
        <v>6226</v>
      </c>
      <c r="B487" s="1033" t="s">
        <v>507</v>
      </c>
      <c r="C487" s="1033"/>
      <c r="D487" s="1033"/>
      <c r="E487" s="1033"/>
      <c r="F487" s="1033"/>
      <c r="G487" s="1033"/>
      <c r="H487" s="1033"/>
      <c r="I487" s="1033"/>
      <c r="J487" s="1033"/>
      <c r="K487" s="1033"/>
      <c r="L487" s="90"/>
      <c r="M487" s="51" t="s">
        <v>265</v>
      </c>
      <c r="N487" s="113">
        <f t="shared" si="240"/>
        <v>6226</v>
      </c>
      <c r="O487" s="8">
        <v>0</v>
      </c>
      <c r="P487" s="9">
        <v>0</v>
      </c>
      <c r="Q487" s="325"/>
      <c r="R487" s="324"/>
      <c r="S487" s="27">
        <f t="shared" si="247"/>
        <v>0</v>
      </c>
      <c r="T487" s="28">
        <f t="shared" si="248"/>
        <v>0</v>
      </c>
      <c r="U487" s="51"/>
      <c r="V487" s="541">
        <f>+'NF-KSF-TRIAL-BAL-2020'!O487+'RA-TRIAL-BAL-2020'!O487+'DES-TRIAL-BAL-2020'!O487+'DMP-TRIAL-BAL-2020'!O487</f>
        <v>0</v>
      </c>
      <c r="W487" s="529">
        <f>+'NF-KSF-TRIAL-BAL-2020'!P487+'RA-TRIAL-BAL-2020'!P487+'DES-TRIAL-BAL-2020'!P487+'DMP-TRIAL-BAL-2020'!P487</f>
        <v>0</v>
      </c>
      <c r="X487" s="528">
        <f>+'NF-KSF-TRIAL-BAL-2020'!Q487+'RA-TRIAL-BAL-2020'!Q487+'DES-TRIAL-BAL-2020'!Q487+'DMP-TRIAL-BAL-2020'!Q487</f>
        <v>0</v>
      </c>
      <c r="Y487" s="529">
        <f>+'NF-KSF-TRIAL-BAL-2020'!R487+'RA-TRIAL-BAL-2020'!R487+'DES-TRIAL-BAL-2020'!R487+'DMP-TRIAL-BAL-2020'!R487</f>
        <v>0</v>
      </c>
      <c r="Z487" s="528">
        <f>+'NF-KSF-TRIAL-BAL-2020'!S487+'RA-TRIAL-BAL-2020'!S487+'DES-TRIAL-BAL-2020'!S487+'DMP-TRIAL-BAL-2020'!S487</f>
        <v>0</v>
      </c>
      <c r="AA487" s="347">
        <f>+'NF-KSF-TRIAL-BAL-2020'!T487+'RA-TRIAL-BAL-2020'!T487+'DES-TRIAL-BAL-2020'!T487+'DMP-TRIAL-BAL-2020'!T487</f>
        <v>0</v>
      </c>
      <c r="AB487" s="51"/>
      <c r="AC487" s="8">
        <v>0</v>
      </c>
      <c r="AD487" s="9">
        <v>0</v>
      </c>
      <c r="AE487" s="122"/>
      <c r="AF487" s="121"/>
      <c r="AG487" s="27">
        <f t="shared" si="249"/>
        <v>0</v>
      </c>
      <c r="AH487" s="28">
        <f t="shared" si="250"/>
        <v>0</v>
      </c>
      <c r="AI487" s="51"/>
      <c r="AJ487" s="1497">
        <f t="shared" si="244"/>
        <v>6226</v>
      </c>
      <c r="AK487" s="8">
        <v>0</v>
      </c>
      <c r="AL487" s="9">
        <v>0</v>
      </c>
      <c r="AM487" s="326">
        <f t="shared" si="251"/>
        <v>0</v>
      </c>
      <c r="AN487" s="970">
        <f t="shared" si="251"/>
        <v>0</v>
      </c>
      <c r="AO487" s="27">
        <f t="shared" si="245"/>
        <v>0</v>
      </c>
      <c r="AP487" s="28">
        <f t="shared" si="246"/>
        <v>0</v>
      </c>
      <c r="AQ487" s="43"/>
      <c r="AR487" s="358">
        <f t="shared" si="241"/>
        <v>0</v>
      </c>
      <c r="AS487" s="359">
        <f t="shared" si="242"/>
        <v>0</v>
      </c>
      <c r="AT487" s="360">
        <f t="shared" si="243"/>
        <v>0</v>
      </c>
      <c r="AU487" s="43"/>
      <c r="AV487" s="43"/>
      <c r="AW487" s="119"/>
      <c r="AX487" s="119"/>
      <c r="AY487" s="43"/>
      <c r="AZ487" s="43"/>
      <c r="BA487" s="43"/>
      <c r="BB487" s="43"/>
      <c r="BC487" s="43"/>
      <c r="BD487" s="43"/>
    </row>
    <row r="488" spans="1:56" ht="15.75">
      <c r="A488" s="88">
        <v>6227</v>
      </c>
      <c r="B488" s="1033" t="s">
        <v>508</v>
      </c>
      <c r="C488" s="1033"/>
      <c r="D488" s="1033"/>
      <c r="E488" s="1033"/>
      <c r="F488" s="1033"/>
      <c r="G488" s="1033"/>
      <c r="H488" s="1033"/>
      <c r="I488" s="1033"/>
      <c r="J488" s="1033"/>
      <c r="K488" s="1033"/>
      <c r="L488" s="90"/>
      <c r="M488" s="51" t="s">
        <v>265</v>
      </c>
      <c r="N488" s="113">
        <f t="shared" si="240"/>
        <v>6227</v>
      </c>
      <c r="O488" s="8">
        <v>0</v>
      </c>
      <c r="P488" s="9">
        <v>0</v>
      </c>
      <c r="Q488" s="325"/>
      <c r="R488" s="324"/>
      <c r="S488" s="27">
        <f t="shared" si="247"/>
        <v>0</v>
      </c>
      <c r="T488" s="28">
        <f t="shared" si="248"/>
        <v>0</v>
      </c>
      <c r="U488" s="51"/>
      <c r="V488" s="541">
        <f>+'NF-KSF-TRIAL-BAL-2020'!O488+'RA-TRIAL-BAL-2020'!O488+'DES-TRIAL-BAL-2020'!O488+'DMP-TRIAL-BAL-2020'!O488</f>
        <v>0</v>
      </c>
      <c r="W488" s="529">
        <f>+'NF-KSF-TRIAL-BAL-2020'!P488+'RA-TRIAL-BAL-2020'!P488+'DES-TRIAL-BAL-2020'!P488+'DMP-TRIAL-BAL-2020'!P488</f>
        <v>0</v>
      </c>
      <c r="X488" s="528">
        <f>+'NF-KSF-TRIAL-BAL-2020'!Q488+'RA-TRIAL-BAL-2020'!Q488+'DES-TRIAL-BAL-2020'!Q488+'DMP-TRIAL-BAL-2020'!Q488</f>
        <v>0</v>
      </c>
      <c r="Y488" s="529">
        <f>+'NF-KSF-TRIAL-BAL-2020'!R488+'RA-TRIAL-BAL-2020'!R488+'DES-TRIAL-BAL-2020'!R488+'DMP-TRIAL-BAL-2020'!R488</f>
        <v>0</v>
      </c>
      <c r="Z488" s="528">
        <f>+'NF-KSF-TRIAL-BAL-2020'!S488+'RA-TRIAL-BAL-2020'!S488+'DES-TRIAL-BAL-2020'!S488+'DMP-TRIAL-BAL-2020'!S488</f>
        <v>0</v>
      </c>
      <c r="AA488" s="347">
        <f>+'NF-KSF-TRIAL-BAL-2020'!T488+'RA-TRIAL-BAL-2020'!T488+'DES-TRIAL-BAL-2020'!T488+'DMP-TRIAL-BAL-2020'!T488</f>
        <v>0</v>
      </c>
      <c r="AB488" s="51"/>
      <c r="AC488" s="8">
        <v>0</v>
      </c>
      <c r="AD488" s="9">
        <v>0</v>
      </c>
      <c r="AE488" s="122"/>
      <c r="AF488" s="121"/>
      <c r="AG488" s="27">
        <f t="shared" si="249"/>
        <v>0</v>
      </c>
      <c r="AH488" s="28">
        <f t="shared" si="250"/>
        <v>0</v>
      </c>
      <c r="AI488" s="51"/>
      <c r="AJ488" s="1497">
        <f t="shared" si="244"/>
        <v>6227</v>
      </c>
      <c r="AK488" s="8">
        <v>0</v>
      </c>
      <c r="AL488" s="9">
        <v>0</v>
      </c>
      <c r="AM488" s="326">
        <f t="shared" si="251"/>
        <v>0</v>
      </c>
      <c r="AN488" s="970">
        <f t="shared" si="251"/>
        <v>0</v>
      </c>
      <c r="AO488" s="27">
        <f t="shared" si="245"/>
        <v>0</v>
      </c>
      <c r="AP488" s="28">
        <f t="shared" si="246"/>
        <v>0</v>
      </c>
      <c r="AQ488" s="43"/>
      <c r="AR488" s="358">
        <f t="shared" si="241"/>
        <v>0</v>
      </c>
      <c r="AS488" s="359">
        <f t="shared" si="242"/>
        <v>0</v>
      </c>
      <c r="AT488" s="360">
        <f t="shared" si="243"/>
        <v>0</v>
      </c>
      <c r="AU488" s="43"/>
      <c r="AV488" s="43"/>
      <c r="AW488" s="119"/>
      <c r="AX488" s="119"/>
      <c r="AY488" s="43"/>
      <c r="AZ488" s="43"/>
      <c r="BA488" s="43"/>
      <c r="BB488" s="43"/>
      <c r="BC488" s="43"/>
      <c r="BD488" s="43"/>
    </row>
    <row r="489" spans="1:56" ht="15.75">
      <c r="A489" s="88">
        <v>6229</v>
      </c>
      <c r="B489" s="1033" t="s">
        <v>509</v>
      </c>
      <c r="C489" s="1033"/>
      <c r="D489" s="1033"/>
      <c r="E489" s="1033"/>
      <c r="F489" s="1033"/>
      <c r="G489" s="1033"/>
      <c r="H489" s="1033"/>
      <c r="I489" s="1033"/>
      <c r="J489" s="1033"/>
      <c r="K489" s="1033"/>
      <c r="L489" s="90"/>
      <c r="M489" s="51" t="s">
        <v>265</v>
      </c>
      <c r="N489" s="113">
        <f t="shared" si="240"/>
        <v>6229</v>
      </c>
      <c r="O489" s="8">
        <v>0</v>
      </c>
      <c r="P489" s="9">
        <v>0</v>
      </c>
      <c r="Q489" s="325"/>
      <c r="R489" s="324"/>
      <c r="S489" s="27">
        <f t="shared" si="247"/>
        <v>0</v>
      </c>
      <c r="T489" s="28">
        <f t="shared" si="248"/>
        <v>0</v>
      </c>
      <c r="U489" s="51"/>
      <c r="V489" s="541">
        <f>+'NF-KSF-TRIAL-BAL-2020'!O489+'RA-TRIAL-BAL-2020'!O489+'DES-TRIAL-BAL-2020'!O489+'DMP-TRIAL-BAL-2020'!O489</f>
        <v>0</v>
      </c>
      <c r="W489" s="529">
        <f>+'NF-KSF-TRIAL-BAL-2020'!P489+'RA-TRIAL-BAL-2020'!P489+'DES-TRIAL-BAL-2020'!P489+'DMP-TRIAL-BAL-2020'!P489</f>
        <v>0</v>
      </c>
      <c r="X489" s="528">
        <f>+'NF-KSF-TRIAL-BAL-2020'!Q489+'RA-TRIAL-BAL-2020'!Q489+'DES-TRIAL-BAL-2020'!Q489+'DMP-TRIAL-BAL-2020'!Q489</f>
        <v>0</v>
      </c>
      <c r="Y489" s="529">
        <f>+'NF-KSF-TRIAL-BAL-2020'!R489+'RA-TRIAL-BAL-2020'!R489+'DES-TRIAL-BAL-2020'!R489+'DMP-TRIAL-BAL-2020'!R489</f>
        <v>0</v>
      </c>
      <c r="Z489" s="528">
        <f>+'NF-KSF-TRIAL-BAL-2020'!S489+'RA-TRIAL-BAL-2020'!S489+'DES-TRIAL-BAL-2020'!S489+'DMP-TRIAL-BAL-2020'!S489</f>
        <v>0</v>
      </c>
      <c r="AA489" s="347">
        <f>+'NF-KSF-TRIAL-BAL-2020'!T489+'RA-TRIAL-BAL-2020'!T489+'DES-TRIAL-BAL-2020'!T489+'DMP-TRIAL-BAL-2020'!T489</f>
        <v>0</v>
      </c>
      <c r="AB489" s="51"/>
      <c r="AC489" s="8">
        <v>0</v>
      </c>
      <c r="AD489" s="9">
        <v>0</v>
      </c>
      <c r="AE489" s="122"/>
      <c r="AF489" s="121"/>
      <c r="AG489" s="27">
        <f t="shared" si="249"/>
        <v>0</v>
      </c>
      <c r="AH489" s="28">
        <f t="shared" si="250"/>
        <v>0</v>
      </c>
      <c r="AI489" s="51"/>
      <c r="AJ489" s="1497">
        <f t="shared" si="244"/>
        <v>6229</v>
      </c>
      <c r="AK489" s="8">
        <v>0</v>
      </c>
      <c r="AL489" s="9">
        <v>0</v>
      </c>
      <c r="AM489" s="326">
        <f t="shared" si="251"/>
        <v>0</v>
      </c>
      <c r="AN489" s="970">
        <f t="shared" si="251"/>
        <v>0</v>
      </c>
      <c r="AO489" s="27">
        <f t="shared" si="245"/>
        <v>0</v>
      </c>
      <c r="AP489" s="28">
        <f t="shared" si="246"/>
        <v>0</v>
      </c>
      <c r="AQ489" s="43"/>
      <c r="AR489" s="358">
        <f t="shared" si="241"/>
        <v>0</v>
      </c>
      <c r="AS489" s="359">
        <f t="shared" si="242"/>
        <v>0</v>
      </c>
      <c r="AT489" s="360">
        <f t="shared" si="243"/>
        <v>0</v>
      </c>
      <c r="AU489" s="43"/>
      <c r="AV489" s="43"/>
      <c r="AW489" s="119"/>
      <c r="AX489" s="119"/>
      <c r="AY489" s="43"/>
      <c r="AZ489" s="43"/>
      <c r="BA489" s="43"/>
      <c r="BB489" s="43"/>
      <c r="BC489" s="43"/>
      <c r="BD489" s="43"/>
    </row>
    <row r="490" spans="1:56" ht="15.75">
      <c r="A490" s="88">
        <v>6231</v>
      </c>
      <c r="B490" s="1033" t="s">
        <v>510</v>
      </c>
      <c r="C490" s="1033"/>
      <c r="D490" s="1033"/>
      <c r="E490" s="1033"/>
      <c r="F490" s="1033"/>
      <c r="G490" s="1033"/>
      <c r="H490" s="1033"/>
      <c r="I490" s="1033"/>
      <c r="J490" s="1033"/>
      <c r="K490" s="1033"/>
      <c r="L490" s="90"/>
      <c r="M490" s="51" t="s">
        <v>265</v>
      </c>
      <c r="N490" s="113">
        <f t="shared" si="240"/>
        <v>6231</v>
      </c>
      <c r="O490" s="8">
        <v>0</v>
      </c>
      <c r="P490" s="9">
        <v>0</v>
      </c>
      <c r="Q490" s="325"/>
      <c r="R490" s="324"/>
      <c r="S490" s="27">
        <f t="shared" si="247"/>
        <v>0</v>
      </c>
      <c r="T490" s="28">
        <f t="shared" si="248"/>
        <v>0</v>
      </c>
      <c r="U490" s="51"/>
      <c r="V490" s="541">
        <f>+'NF-KSF-TRIAL-BAL-2020'!O490+'RA-TRIAL-BAL-2020'!O490+'DES-TRIAL-BAL-2020'!O490+'DMP-TRIAL-BAL-2020'!O490</f>
        <v>0</v>
      </c>
      <c r="W490" s="529">
        <f>+'NF-KSF-TRIAL-BAL-2020'!P490+'RA-TRIAL-BAL-2020'!P490+'DES-TRIAL-BAL-2020'!P490+'DMP-TRIAL-BAL-2020'!P490</f>
        <v>0</v>
      </c>
      <c r="X490" s="528">
        <f>+'NF-KSF-TRIAL-BAL-2020'!Q490+'RA-TRIAL-BAL-2020'!Q490+'DES-TRIAL-BAL-2020'!Q490+'DMP-TRIAL-BAL-2020'!Q490</f>
        <v>0</v>
      </c>
      <c r="Y490" s="529">
        <f>+'NF-KSF-TRIAL-BAL-2020'!R490+'RA-TRIAL-BAL-2020'!R490+'DES-TRIAL-BAL-2020'!R490+'DMP-TRIAL-BAL-2020'!R490</f>
        <v>0</v>
      </c>
      <c r="Z490" s="528">
        <f>+'NF-KSF-TRIAL-BAL-2020'!S490+'RA-TRIAL-BAL-2020'!S490+'DES-TRIAL-BAL-2020'!S490+'DMP-TRIAL-BAL-2020'!S490</f>
        <v>0</v>
      </c>
      <c r="AA490" s="347">
        <f>+'NF-KSF-TRIAL-BAL-2020'!T490+'RA-TRIAL-BAL-2020'!T490+'DES-TRIAL-BAL-2020'!T490+'DMP-TRIAL-BAL-2020'!T490</f>
        <v>0</v>
      </c>
      <c r="AB490" s="51"/>
      <c r="AC490" s="8">
        <v>0</v>
      </c>
      <c r="AD490" s="9">
        <v>0</v>
      </c>
      <c r="AE490" s="122"/>
      <c r="AF490" s="121"/>
      <c r="AG490" s="27">
        <f t="shared" si="249"/>
        <v>0</v>
      </c>
      <c r="AH490" s="28">
        <f t="shared" si="250"/>
        <v>0</v>
      </c>
      <c r="AI490" s="51"/>
      <c r="AJ490" s="1497">
        <f t="shared" si="244"/>
        <v>6231</v>
      </c>
      <c r="AK490" s="8">
        <v>0</v>
      </c>
      <c r="AL490" s="9">
        <v>0</v>
      </c>
      <c r="AM490" s="326">
        <f t="shared" si="251"/>
        <v>0</v>
      </c>
      <c r="AN490" s="970">
        <f t="shared" si="251"/>
        <v>0</v>
      </c>
      <c r="AO490" s="27">
        <f t="shared" si="245"/>
        <v>0</v>
      </c>
      <c r="AP490" s="28">
        <f t="shared" si="246"/>
        <v>0</v>
      </c>
      <c r="AQ490" s="43"/>
      <c r="AR490" s="358">
        <f t="shared" si="241"/>
        <v>0</v>
      </c>
      <c r="AS490" s="359">
        <f t="shared" si="242"/>
        <v>0</v>
      </c>
      <c r="AT490" s="360">
        <f t="shared" si="243"/>
        <v>0</v>
      </c>
      <c r="AU490" s="43"/>
      <c r="AV490" s="43"/>
      <c r="AW490" s="119"/>
      <c r="AX490" s="119"/>
      <c r="AY490" s="43"/>
      <c r="AZ490" s="43"/>
      <c r="BA490" s="43"/>
      <c r="BB490" s="43"/>
      <c r="BC490" s="43"/>
      <c r="BD490" s="43"/>
    </row>
    <row r="491" spans="1:56" ht="15.75">
      <c r="A491" s="88">
        <v>6232</v>
      </c>
      <c r="B491" s="1033" t="s">
        <v>511</v>
      </c>
      <c r="C491" s="1033"/>
      <c r="D491" s="1033"/>
      <c r="E491" s="1033"/>
      <c r="F491" s="1033"/>
      <c r="G491" s="1033"/>
      <c r="H491" s="1033"/>
      <c r="I491" s="1033"/>
      <c r="J491" s="1033"/>
      <c r="K491" s="1033"/>
      <c r="L491" s="90"/>
      <c r="M491" s="51" t="s">
        <v>265</v>
      </c>
      <c r="N491" s="113">
        <f t="shared" si="240"/>
        <v>6232</v>
      </c>
      <c r="O491" s="8">
        <v>0</v>
      </c>
      <c r="P491" s="9">
        <v>0</v>
      </c>
      <c r="Q491" s="325"/>
      <c r="R491" s="324"/>
      <c r="S491" s="27">
        <f t="shared" si="247"/>
        <v>0</v>
      </c>
      <c r="T491" s="28">
        <f t="shared" si="248"/>
        <v>0</v>
      </c>
      <c r="U491" s="51"/>
      <c r="V491" s="541">
        <f>+'NF-KSF-TRIAL-BAL-2020'!O491+'RA-TRIAL-BAL-2020'!O491+'DES-TRIAL-BAL-2020'!O491+'DMP-TRIAL-BAL-2020'!O491</f>
        <v>0</v>
      </c>
      <c r="W491" s="529">
        <f>+'NF-KSF-TRIAL-BAL-2020'!P491+'RA-TRIAL-BAL-2020'!P491+'DES-TRIAL-BAL-2020'!P491+'DMP-TRIAL-BAL-2020'!P491</f>
        <v>0</v>
      </c>
      <c r="X491" s="528">
        <f>+'NF-KSF-TRIAL-BAL-2020'!Q491+'RA-TRIAL-BAL-2020'!Q491+'DES-TRIAL-BAL-2020'!Q491+'DMP-TRIAL-BAL-2020'!Q491</f>
        <v>0</v>
      </c>
      <c r="Y491" s="529">
        <f>+'NF-KSF-TRIAL-BAL-2020'!R491+'RA-TRIAL-BAL-2020'!R491+'DES-TRIAL-BAL-2020'!R491+'DMP-TRIAL-BAL-2020'!R491</f>
        <v>0</v>
      </c>
      <c r="Z491" s="528">
        <f>+'NF-KSF-TRIAL-BAL-2020'!S491+'RA-TRIAL-BAL-2020'!S491+'DES-TRIAL-BAL-2020'!S491+'DMP-TRIAL-BAL-2020'!S491</f>
        <v>0</v>
      </c>
      <c r="AA491" s="347">
        <f>+'NF-KSF-TRIAL-BAL-2020'!T491+'RA-TRIAL-BAL-2020'!T491+'DES-TRIAL-BAL-2020'!T491+'DMP-TRIAL-BAL-2020'!T491</f>
        <v>0</v>
      </c>
      <c r="AB491" s="51"/>
      <c r="AC491" s="8">
        <v>0</v>
      </c>
      <c r="AD491" s="9">
        <v>0</v>
      </c>
      <c r="AE491" s="122"/>
      <c r="AF491" s="121"/>
      <c r="AG491" s="27">
        <f t="shared" si="249"/>
        <v>0</v>
      </c>
      <c r="AH491" s="28">
        <f t="shared" si="250"/>
        <v>0</v>
      </c>
      <c r="AI491" s="51"/>
      <c r="AJ491" s="1497">
        <f t="shared" si="244"/>
        <v>6232</v>
      </c>
      <c r="AK491" s="8">
        <v>0</v>
      </c>
      <c r="AL491" s="9">
        <v>0</v>
      </c>
      <c r="AM491" s="326">
        <f t="shared" si="251"/>
        <v>0</v>
      </c>
      <c r="AN491" s="970">
        <f t="shared" si="251"/>
        <v>0</v>
      </c>
      <c r="AO491" s="27">
        <f t="shared" si="245"/>
        <v>0</v>
      </c>
      <c r="AP491" s="28">
        <f t="shared" si="246"/>
        <v>0</v>
      </c>
      <c r="AQ491" s="43"/>
      <c r="AR491" s="358">
        <f t="shared" si="241"/>
        <v>0</v>
      </c>
      <c r="AS491" s="359">
        <f t="shared" si="242"/>
        <v>0</v>
      </c>
      <c r="AT491" s="360">
        <f t="shared" si="243"/>
        <v>0</v>
      </c>
      <c r="AU491" s="43"/>
      <c r="AV491" s="43"/>
      <c r="AW491" s="119"/>
      <c r="AX491" s="119"/>
      <c r="AY491" s="43"/>
      <c r="AZ491" s="43"/>
      <c r="BA491" s="43"/>
      <c r="BB491" s="43"/>
      <c r="BC491" s="43"/>
      <c r="BD491" s="43"/>
    </row>
    <row r="492" spans="1:56" ht="15.75">
      <c r="A492" s="88">
        <v>6241</v>
      </c>
      <c r="B492" s="1033" t="s">
        <v>512</v>
      </c>
      <c r="C492" s="1033"/>
      <c r="D492" s="1033"/>
      <c r="E492" s="1033"/>
      <c r="F492" s="1033"/>
      <c r="G492" s="1033"/>
      <c r="H492" s="1033"/>
      <c r="I492" s="1033"/>
      <c r="J492" s="1033"/>
      <c r="K492" s="1033"/>
      <c r="L492" s="90"/>
      <c r="M492" s="51" t="s">
        <v>265</v>
      </c>
      <c r="N492" s="113">
        <f t="shared" si="240"/>
        <v>6241</v>
      </c>
      <c r="O492" s="8">
        <v>0</v>
      </c>
      <c r="P492" s="9">
        <v>0</v>
      </c>
      <c r="Q492" s="325">
        <v>0</v>
      </c>
      <c r="R492" s="324">
        <v>0</v>
      </c>
      <c r="S492" s="27">
        <f t="shared" si="247"/>
        <v>0</v>
      </c>
      <c r="T492" s="28">
        <f t="shared" si="248"/>
        <v>0</v>
      </c>
      <c r="U492" s="51"/>
      <c r="V492" s="541">
        <f>+'NF-KSF-TRIAL-BAL-2020'!O492+'RA-TRIAL-BAL-2020'!O492+'DES-TRIAL-BAL-2020'!O492+'DMP-TRIAL-BAL-2020'!O492</f>
        <v>0</v>
      </c>
      <c r="W492" s="529">
        <f>+'NF-KSF-TRIAL-BAL-2020'!P492+'RA-TRIAL-BAL-2020'!P492+'DES-TRIAL-BAL-2020'!P492+'DMP-TRIAL-BAL-2020'!P492</f>
        <v>0</v>
      </c>
      <c r="X492" s="528">
        <f>+'NF-KSF-TRIAL-BAL-2020'!Q492+'RA-TRIAL-BAL-2020'!Q492+'DES-TRIAL-BAL-2020'!Q492+'DMP-TRIAL-BAL-2020'!Q492</f>
        <v>0</v>
      </c>
      <c r="Y492" s="529">
        <f>+'NF-KSF-TRIAL-BAL-2020'!R492+'RA-TRIAL-BAL-2020'!R492+'DES-TRIAL-BAL-2020'!R492+'DMP-TRIAL-BAL-2020'!R492</f>
        <v>0</v>
      </c>
      <c r="Z492" s="528">
        <f>+'NF-KSF-TRIAL-BAL-2020'!S492+'RA-TRIAL-BAL-2020'!S492+'DES-TRIAL-BAL-2020'!S492+'DMP-TRIAL-BAL-2020'!S492</f>
        <v>0</v>
      </c>
      <c r="AA492" s="347">
        <f>+'NF-KSF-TRIAL-BAL-2020'!T492+'RA-TRIAL-BAL-2020'!T492+'DES-TRIAL-BAL-2020'!T492+'DMP-TRIAL-BAL-2020'!T492</f>
        <v>0</v>
      </c>
      <c r="AB492" s="51"/>
      <c r="AC492" s="8">
        <v>0</v>
      </c>
      <c r="AD492" s="9">
        <v>0</v>
      </c>
      <c r="AE492" s="122">
        <v>0</v>
      </c>
      <c r="AF492" s="121">
        <v>0</v>
      </c>
      <c r="AG492" s="27">
        <f t="shared" si="249"/>
        <v>0</v>
      </c>
      <c r="AH492" s="28">
        <f t="shared" si="250"/>
        <v>0</v>
      </c>
      <c r="AI492" s="51"/>
      <c r="AJ492" s="1497">
        <f t="shared" si="244"/>
        <v>6241</v>
      </c>
      <c r="AK492" s="8">
        <v>0</v>
      </c>
      <c r="AL492" s="9">
        <v>0</v>
      </c>
      <c r="AM492" s="326">
        <f t="shared" si="251"/>
        <v>0</v>
      </c>
      <c r="AN492" s="970">
        <f t="shared" si="251"/>
        <v>0</v>
      </c>
      <c r="AO492" s="27">
        <f t="shared" si="245"/>
        <v>0</v>
      </c>
      <c r="AP492" s="28">
        <f t="shared" si="246"/>
        <v>0</v>
      </c>
      <c r="AQ492" s="43"/>
      <c r="AR492" s="358">
        <f t="shared" si="241"/>
        <v>0</v>
      </c>
      <c r="AS492" s="359">
        <f t="shared" si="242"/>
        <v>0</v>
      </c>
      <c r="AT492" s="360">
        <f t="shared" si="243"/>
        <v>0</v>
      </c>
      <c r="AU492" s="43"/>
      <c r="AV492" s="43"/>
      <c r="AW492" s="119"/>
      <c r="AX492" s="119"/>
      <c r="AY492" s="43"/>
      <c r="AZ492" s="43"/>
      <c r="BA492" s="43"/>
      <c r="BB492" s="43"/>
      <c r="BC492" s="43"/>
      <c r="BD492" s="43"/>
    </row>
    <row r="493" spans="1:56" ht="15.75">
      <c r="A493" s="88">
        <v>6242</v>
      </c>
      <c r="B493" s="1033" t="s">
        <v>513</v>
      </c>
      <c r="C493" s="1033"/>
      <c r="D493" s="1033"/>
      <c r="E493" s="1033"/>
      <c r="F493" s="1033"/>
      <c r="G493" s="1033"/>
      <c r="H493" s="1033"/>
      <c r="I493" s="1033"/>
      <c r="J493" s="1033"/>
      <c r="K493" s="1033"/>
      <c r="L493" s="90"/>
      <c r="M493" s="51" t="s">
        <v>265</v>
      </c>
      <c r="N493" s="113">
        <f t="shared" si="240"/>
        <v>6242</v>
      </c>
      <c r="O493" s="8">
        <v>0</v>
      </c>
      <c r="P493" s="9">
        <v>0</v>
      </c>
      <c r="Q493" s="325"/>
      <c r="R493" s="324"/>
      <c r="S493" s="27">
        <f t="shared" si="247"/>
        <v>0</v>
      </c>
      <c r="T493" s="28">
        <f t="shared" si="248"/>
        <v>0</v>
      </c>
      <c r="U493" s="51"/>
      <c r="V493" s="541">
        <f>+'NF-KSF-TRIAL-BAL-2020'!O493+'RA-TRIAL-BAL-2020'!O493+'DES-TRIAL-BAL-2020'!O493+'DMP-TRIAL-BAL-2020'!O493</f>
        <v>0</v>
      </c>
      <c r="W493" s="529">
        <f>+'NF-KSF-TRIAL-BAL-2020'!P493+'RA-TRIAL-BAL-2020'!P493+'DES-TRIAL-BAL-2020'!P493+'DMP-TRIAL-BAL-2020'!P493</f>
        <v>0</v>
      </c>
      <c r="X493" s="528">
        <f>+'NF-KSF-TRIAL-BAL-2020'!Q493+'RA-TRIAL-BAL-2020'!Q493+'DES-TRIAL-BAL-2020'!Q493+'DMP-TRIAL-BAL-2020'!Q493</f>
        <v>0</v>
      </c>
      <c r="Y493" s="529">
        <f>+'NF-KSF-TRIAL-BAL-2020'!R493+'RA-TRIAL-BAL-2020'!R493+'DES-TRIAL-BAL-2020'!R493+'DMP-TRIAL-BAL-2020'!R493</f>
        <v>0</v>
      </c>
      <c r="Z493" s="528">
        <f>+'NF-KSF-TRIAL-BAL-2020'!S493+'RA-TRIAL-BAL-2020'!S493+'DES-TRIAL-BAL-2020'!S493+'DMP-TRIAL-BAL-2020'!S493</f>
        <v>0</v>
      </c>
      <c r="AA493" s="347">
        <f>+'NF-KSF-TRIAL-BAL-2020'!T493+'RA-TRIAL-BAL-2020'!T493+'DES-TRIAL-BAL-2020'!T493+'DMP-TRIAL-BAL-2020'!T493</f>
        <v>0</v>
      </c>
      <c r="AB493" s="51"/>
      <c r="AC493" s="8">
        <v>0</v>
      </c>
      <c r="AD493" s="9">
        <v>0</v>
      </c>
      <c r="AE493" s="122"/>
      <c r="AF493" s="121"/>
      <c r="AG493" s="27">
        <f t="shared" si="249"/>
        <v>0</v>
      </c>
      <c r="AH493" s="28">
        <f t="shared" si="250"/>
        <v>0</v>
      </c>
      <c r="AI493" s="51"/>
      <c r="AJ493" s="1497">
        <f t="shared" si="244"/>
        <v>6242</v>
      </c>
      <c r="AK493" s="8">
        <v>0</v>
      </c>
      <c r="AL493" s="9">
        <v>0</v>
      </c>
      <c r="AM493" s="326">
        <f t="shared" si="251"/>
        <v>0</v>
      </c>
      <c r="AN493" s="970">
        <f t="shared" si="251"/>
        <v>0</v>
      </c>
      <c r="AO493" s="27">
        <f t="shared" si="245"/>
        <v>0</v>
      </c>
      <c r="AP493" s="28">
        <f t="shared" si="246"/>
        <v>0</v>
      </c>
      <c r="AQ493" s="43"/>
      <c r="AR493" s="358">
        <f t="shared" si="241"/>
        <v>0</v>
      </c>
      <c r="AS493" s="359">
        <f t="shared" si="242"/>
        <v>0</v>
      </c>
      <c r="AT493" s="360">
        <f t="shared" si="243"/>
        <v>0</v>
      </c>
      <c r="AU493" s="43"/>
      <c r="AV493" s="43"/>
      <c r="AW493" s="119"/>
      <c r="AX493" s="119"/>
      <c r="AY493" s="43"/>
      <c r="AZ493" s="43"/>
      <c r="BA493" s="43"/>
      <c r="BB493" s="43"/>
      <c r="BC493" s="43"/>
      <c r="BD493" s="43"/>
    </row>
    <row r="494" spans="1:56" ht="15.75">
      <c r="A494" s="88">
        <v>6270</v>
      </c>
      <c r="B494" s="1033" t="s">
        <v>514</v>
      </c>
      <c r="C494" s="1033"/>
      <c r="D494" s="1033"/>
      <c r="E494" s="1033"/>
      <c r="F494" s="1033"/>
      <c r="G494" s="1033"/>
      <c r="H494" s="1033"/>
      <c r="I494" s="1033"/>
      <c r="J494" s="1033"/>
      <c r="K494" s="1033"/>
      <c r="L494" s="90"/>
      <c r="M494" s="51" t="s">
        <v>265</v>
      </c>
      <c r="N494" s="113">
        <f>+A494</f>
        <v>6270</v>
      </c>
      <c r="O494" s="8">
        <v>0</v>
      </c>
      <c r="P494" s="9">
        <v>0</v>
      </c>
      <c r="Q494" s="325"/>
      <c r="R494" s="324"/>
      <c r="S494" s="27">
        <f>+IF(ABS(+O494+Q494)&gt;=ABS(P494+R494),+O494-P494+Q494-R494,0)</f>
        <v>0</v>
      </c>
      <c r="T494" s="28">
        <f>+IF(ABS(+O494+Q494)&lt;=ABS(P494+R494),-O494+P494-Q494+R494,0)</f>
        <v>0</v>
      </c>
      <c r="U494" s="51"/>
      <c r="V494" s="541">
        <f>+'NF-KSF-TRIAL-BAL-2020'!O494+'RA-TRIAL-BAL-2020'!O494+'DES-TRIAL-BAL-2020'!O494+'DMP-TRIAL-BAL-2020'!O494</f>
        <v>0</v>
      </c>
      <c r="W494" s="529">
        <f>+'NF-KSF-TRIAL-BAL-2020'!P494+'RA-TRIAL-BAL-2020'!P494+'DES-TRIAL-BAL-2020'!P494+'DMP-TRIAL-BAL-2020'!P494</f>
        <v>0</v>
      </c>
      <c r="X494" s="528">
        <f>+'NF-KSF-TRIAL-BAL-2020'!Q494+'RA-TRIAL-BAL-2020'!Q494+'DES-TRIAL-BAL-2020'!Q494+'DMP-TRIAL-BAL-2020'!Q494</f>
        <v>0</v>
      </c>
      <c r="Y494" s="529">
        <f>+'NF-KSF-TRIAL-BAL-2020'!R494+'RA-TRIAL-BAL-2020'!R494+'DES-TRIAL-BAL-2020'!R494+'DMP-TRIAL-BAL-2020'!R494</f>
        <v>0</v>
      </c>
      <c r="Z494" s="528">
        <f>+'NF-KSF-TRIAL-BAL-2020'!S494+'RA-TRIAL-BAL-2020'!S494+'DES-TRIAL-BAL-2020'!S494+'DMP-TRIAL-BAL-2020'!S494</f>
        <v>0</v>
      </c>
      <c r="AA494" s="347">
        <f>+'NF-KSF-TRIAL-BAL-2020'!T494+'RA-TRIAL-BAL-2020'!T494+'DES-TRIAL-BAL-2020'!T494+'DMP-TRIAL-BAL-2020'!T494</f>
        <v>0</v>
      </c>
      <c r="AB494" s="51"/>
      <c r="AC494" s="8">
        <v>0</v>
      </c>
      <c r="AD494" s="9">
        <v>0</v>
      </c>
      <c r="AE494" s="122"/>
      <c r="AF494" s="121"/>
      <c r="AG494" s="27">
        <f>+IF(ABS(+AC494+AE494)&gt;=ABS(AD494+AF494),+AC494-AD494+AE494-AF494,0)</f>
        <v>0</v>
      </c>
      <c r="AH494" s="28">
        <f>+IF(ABS(+AC494+AE494)&lt;=ABS(AD494+AF494),-AC494+AD494-AE494+AF494,0)</f>
        <v>0</v>
      </c>
      <c r="AI494" s="51"/>
      <c r="AJ494" s="1497">
        <f>+N494</f>
        <v>6270</v>
      </c>
      <c r="AK494" s="8">
        <v>0</v>
      </c>
      <c r="AL494" s="9">
        <v>0</v>
      </c>
      <c r="AM494" s="326">
        <f t="shared" si="251"/>
        <v>0</v>
      </c>
      <c r="AN494" s="970">
        <f t="shared" si="251"/>
        <v>0</v>
      </c>
      <c r="AO494" s="27">
        <f t="shared" si="245"/>
        <v>0</v>
      </c>
      <c r="AP494" s="28">
        <f t="shared" si="246"/>
        <v>0</v>
      </c>
      <c r="AQ494" s="43"/>
      <c r="AR494" s="358">
        <f>+ROUND(+SUM(AK494-AL494)-SUM(O494-P494)-SUM(V494-W494)-SUM(AC494-AD494),2)</f>
        <v>0</v>
      </c>
      <c r="AS494" s="359">
        <f>+ROUND(+SUM(AM494-AN494)-SUM(Q494-R494)-SUM(X494-Y494)-SUM(AE494-AF494),2)</f>
        <v>0</v>
      </c>
      <c r="AT494" s="360">
        <f>+ROUND(+SUM(AO494-AP494)-SUM(S494-T494)-SUM(Z494-AA494)-SUM(AG494-AH494),2)</f>
        <v>0</v>
      </c>
      <c r="AU494" s="43"/>
      <c r="AV494" s="43"/>
      <c r="AW494" s="119"/>
      <c r="AX494" s="119"/>
      <c r="AY494" s="43"/>
      <c r="AZ494" s="43"/>
      <c r="BA494" s="43"/>
      <c r="BB494" s="43"/>
      <c r="BC494" s="43"/>
      <c r="BD494" s="43"/>
    </row>
    <row r="495" spans="1:56" ht="15.75">
      <c r="A495" s="88">
        <v>6271</v>
      </c>
      <c r="B495" s="1033" t="s">
        <v>515</v>
      </c>
      <c r="C495" s="1033"/>
      <c r="D495" s="1033"/>
      <c r="E495" s="1033"/>
      <c r="F495" s="1033"/>
      <c r="G495" s="1033"/>
      <c r="H495" s="1033"/>
      <c r="I495" s="1033"/>
      <c r="J495" s="1033"/>
      <c r="K495" s="1033"/>
      <c r="L495" s="90"/>
      <c r="M495" s="51" t="s">
        <v>265</v>
      </c>
      <c r="N495" s="113">
        <f t="shared" si="240"/>
        <v>6271</v>
      </c>
      <c r="O495" s="8">
        <v>0</v>
      </c>
      <c r="P495" s="9">
        <v>0</v>
      </c>
      <c r="Q495" s="325"/>
      <c r="R495" s="324"/>
      <c r="S495" s="27">
        <f t="shared" si="247"/>
        <v>0</v>
      </c>
      <c r="T495" s="28">
        <f t="shared" si="248"/>
        <v>0</v>
      </c>
      <c r="U495" s="51"/>
      <c r="V495" s="541">
        <f>+'NF-KSF-TRIAL-BAL-2020'!O495+'RA-TRIAL-BAL-2020'!O495+'DES-TRIAL-BAL-2020'!O495+'DMP-TRIAL-BAL-2020'!O495</f>
        <v>0</v>
      </c>
      <c r="W495" s="529">
        <f>+'NF-KSF-TRIAL-BAL-2020'!P495+'RA-TRIAL-BAL-2020'!P495+'DES-TRIAL-BAL-2020'!P495+'DMP-TRIAL-BAL-2020'!P495</f>
        <v>0</v>
      </c>
      <c r="X495" s="528">
        <f>+'NF-KSF-TRIAL-BAL-2020'!Q495+'RA-TRIAL-BAL-2020'!Q495+'DES-TRIAL-BAL-2020'!Q495+'DMP-TRIAL-BAL-2020'!Q495</f>
        <v>0</v>
      </c>
      <c r="Y495" s="529">
        <f>+'NF-KSF-TRIAL-BAL-2020'!R495+'RA-TRIAL-BAL-2020'!R495+'DES-TRIAL-BAL-2020'!R495+'DMP-TRIAL-BAL-2020'!R495</f>
        <v>0</v>
      </c>
      <c r="Z495" s="528">
        <f>+'NF-KSF-TRIAL-BAL-2020'!S495+'RA-TRIAL-BAL-2020'!S495+'DES-TRIAL-BAL-2020'!S495+'DMP-TRIAL-BAL-2020'!S495</f>
        <v>0</v>
      </c>
      <c r="AA495" s="347">
        <f>+'NF-KSF-TRIAL-BAL-2020'!T495+'RA-TRIAL-BAL-2020'!T495+'DES-TRIAL-BAL-2020'!T495+'DMP-TRIAL-BAL-2020'!T495</f>
        <v>0</v>
      </c>
      <c r="AB495" s="51"/>
      <c r="AC495" s="8">
        <v>0</v>
      </c>
      <c r="AD495" s="9">
        <v>0</v>
      </c>
      <c r="AE495" s="122"/>
      <c r="AF495" s="121"/>
      <c r="AG495" s="27">
        <f t="shared" si="249"/>
        <v>0</v>
      </c>
      <c r="AH495" s="28">
        <f t="shared" si="250"/>
        <v>0</v>
      </c>
      <c r="AI495" s="51"/>
      <c r="AJ495" s="1497">
        <f t="shared" si="244"/>
        <v>6271</v>
      </c>
      <c r="AK495" s="8">
        <v>0</v>
      </c>
      <c r="AL495" s="9">
        <v>0</v>
      </c>
      <c r="AM495" s="326">
        <f t="shared" si="251"/>
        <v>0</v>
      </c>
      <c r="AN495" s="970">
        <f t="shared" si="251"/>
        <v>0</v>
      </c>
      <c r="AO495" s="27">
        <f t="shared" si="245"/>
        <v>0</v>
      </c>
      <c r="AP495" s="28">
        <f t="shared" si="246"/>
        <v>0</v>
      </c>
      <c r="AQ495" s="43"/>
      <c r="AR495" s="358">
        <f t="shared" si="241"/>
        <v>0</v>
      </c>
      <c r="AS495" s="359">
        <f t="shared" si="242"/>
        <v>0</v>
      </c>
      <c r="AT495" s="360">
        <f t="shared" si="243"/>
        <v>0</v>
      </c>
      <c r="AU495" s="43"/>
      <c r="AV495" s="43"/>
      <c r="AW495" s="119"/>
      <c r="AX495" s="119"/>
      <c r="AY495" s="43"/>
      <c r="AZ495" s="43"/>
      <c r="BA495" s="43"/>
      <c r="BB495" s="43"/>
      <c r="BC495" s="43"/>
      <c r="BD495" s="43"/>
    </row>
    <row r="496" spans="1:56" ht="15.75">
      <c r="A496" s="88">
        <v>6272</v>
      </c>
      <c r="B496" s="1033" t="s">
        <v>516</v>
      </c>
      <c r="C496" s="1033"/>
      <c r="D496" s="1033"/>
      <c r="E496" s="1033"/>
      <c r="F496" s="1033"/>
      <c r="G496" s="1033"/>
      <c r="H496" s="1033"/>
      <c r="I496" s="1033"/>
      <c r="J496" s="1033"/>
      <c r="K496" s="1033"/>
      <c r="L496" s="90"/>
      <c r="M496" s="51" t="s">
        <v>265</v>
      </c>
      <c r="N496" s="113">
        <f t="shared" si="240"/>
        <v>6272</v>
      </c>
      <c r="O496" s="8">
        <v>0</v>
      </c>
      <c r="P496" s="9">
        <v>0</v>
      </c>
      <c r="Q496" s="325"/>
      <c r="R496" s="324"/>
      <c r="S496" s="27">
        <f t="shared" si="247"/>
        <v>0</v>
      </c>
      <c r="T496" s="28">
        <f t="shared" si="248"/>
        <v>0</v>
      </c>
      <c r="U496" s="51"/>
      <c r="V496" s="541">
        <f>+'NF-KSF-TRIAL-BAL-2020'!O496+'RA-TRIAL-BAL-2020'!O496+'DES-TRIAL-BAL-2020'!O496+'DMP-TRIAL-BAL-2020'!O496</f>
        <v>0</v>
      </c>
      <c r="W496" s="529">
        <f>+'NF-KSF-TRIAL-BAL-2020'!P496+'RA-TRIAL-BAL-2020'!P496+'DES-TRIAL-BAL-2020'!P496+'DMP-TRIAL-BAL-2020'!P496</f>
        <v>0</v>
      </c>
      <c r="X496" s="528">
        <f>+'NF-KSF-TRIAL-BAL-2020'!Q496+'RA-TRIAL-BAL-2020'!Q496+'DES-TRIAL-BAL-2020'!Q496+'DMP-TRIAL-BAL-2020'!Q496</f>
        <v>0</v>
      </c>
      <c r="Y496" s="529">
        <f>+'NF-KSF-TRIAL-BAL-2020'!R496+'RA-TRIAL-BAL-2020'!R496+'DES-TRIAL-BAL-2020'!R496+'DMP-TRIAL-BAL-2020'!R496</f>
        <v>0</v>
      </c>
      <c r="Z496" s="528">
        <f>+'NF-KSF-TRIAL-BAL-2020'!S496+'RA-TRIAL-BAL-2020'!S496+'DES-TRIAL-BAL-2020'!S496+'DMP-TRIAL-BAL-2020'!S496</f>
        <v>0</v>
      </c>
      <c r="AA496" s="347">
        <f>+'NF-KSF-TRIAL-BAL-2020'!T496+'RA-TRIAL-BAL-2020'!T496+'DES-TRIAL-BAL-2020'!T496+'DMP-TRIAL-BAL-2020'!T496</f>
        <v>0</v>
      </c>
      <c r="AB496" s="51"/>
      <c r="AC496" s="8">
        <v>0</v>
      </c>
      <c r="AD496" s="9">
        <v>0</v>
      </c>
      <c r="AE496" s="122"/>
      <c r="AF496" s="121"/>
      <c r="AG496" s="27">
        <f t="shared" si="249"/>
        <v>0</v>
      </c>
      <c r="AH496" s="28">
        <f t="shared" si="250"/>
        <v>0</v>
      </c>
      <c r="AI496" s="51"/>
      <c r="AJ496" s="1497">
        <f t="shared" si="244"/>
        <v>6272</v>
      </c>
      <c r="AK496" s="8">
        <v>0</v>
      </c>
      <c r="AL496" s="9">
        <v>0</v>
      </c>
      <c r="AM496" s="326">
        <f t="shared" si="251"/>
        <v>0</v>
      </c>
      <c r="AN496" s="970">
        <f t="shared" si="251"/>
        <v>0</v>
      </c>
      <c r="AO496" s="27">
        <f t="shared" si="245"/>
        <v>0</v>
      </c>
      <c r="AP496" s="28">
        <f t="shared" si="246"/>
        <v>0</v>
      </c>
      <c r="AQ496" s="43"/>
      <c r="AR496" s="358">
        <f t="shared" si="241"/>
        <v>0</v>
      </c>
      <c r="AS496" s="359">
        <f t="shared" si="242"/>
        <v>0</v>
      </c>
      <c r="AT496" s="360">
        <f t="shared" si="243"/>
        <v>0</v>
      </c>
      <c r="AU496" s="43"/>
      <c r="AV496" s="43"/>
      <c r="AW496" s="119"/>
      <c r="AX496" s="119"/>
      <c r="AY496" s="43"/>
      <c r="AZ496" s="43"/>
      <c r="BA496" s="43"/>
      <c r="BB496" s="43"/>
      <c r="BC496" s="43"/>
      <c r="BD496" s="43"/>
    </row>
    <row r="497" spans="1:56" ht="15.75">
      <c r="A497" s="88">
        <v>6273</v>
      </c>
      <c r="B497" s="1033" t="s">
        <v>520</v>
      </c>
      <c r="C497" s="1033"/>
      <c r="D497" s="1033"/>
      <c r="E497" s="1033"/>
      <c r="F497" s="1033"/>
      <c r="G497" s="1033"/>
      <c r="H497" s="1033"/>
      <c r="I497" s="1033"/>
      <c r="J497" s="1033"/>
      <c r="K497" s="1033"/>
      <c r="L497" s="90"/>
      <c r="M497" s="51" t="s">
        <v>265</v>
      </c>
      <c r="N497" s="113">
        <f t="shared" ref="N497:N502" si="252">+A497</f>
        <v>6273</v>
      </c>
      <c r="O497" s="8">
        <v>0</v>
      </c>
      <c r="P497" s="9">
        <v>0</v>
      </c>
      <c r="Q497" s="325"/>
      <c r="R497" s="324"/>
      <c r="S497" s="27">
        <f t="shared" ref="S497:S502" si="253">+IF(ABS(+O497+Q497)&gt;=ABS(P497+R497),+O497-P497+Q497-R497,0)</f>
        <v>0</v>
      </c>
      <c r="T497" s="28">
        <f t="shared" ref="T497:T502" si="254">+IF(ABS(+O497+Q497)&lt;=ABS(P497+R497),-O497+P497-Q497+R497,0)</f>
        <v>0</v>
      </c>
      <c r="U497" s="51"/>
      <c r="V497" s="541">
        <f>+'NF-KSF-TRIAL-BAL-2020'!O497+'RA-TRIAL-BAL-2020'!O497+'DES-TRIAL-BAL-2020'!O497+'DMP-TRIAL-BAL-2020'!O497</f>
        <v>0</v>
      </c>
      <c r="W497" s="529">
        <f>+'NF-KSF-TRIAL-BAL-2020'!P497+'RA-TRIAL-BAL-2020'!P497+'DES-TRIAL-BAL-2020'!P497+'DMP-TRIAL-BAL-2020'!P497</f>
        <v>0</v>
      </c>
      <c r="X497" s="528">
        <f>+'NF-KSF-TRIAL-BAL-2020'!Q497+'RA-TRIAL-BAL-2020'!Q497+'DES-TRIAL-BAL-2020'!Q497+'DMP-TRIAL-BAL-2020'!Q497</f>
        <v>0</v>
      </c>
      <c r="Y497" s="529">
        <f>+'NF-KSF-TRIAL-BAL-2020'!R497+'RA-TRIAL-BAL-2020'!R497+'DES-TRIAL-BAL-2020'!R497+'DMP-TRIAL-BAL-2020'!R497</f>
        <v>0</v>
      </c>
      <c r="Z497" s="528">
        <f>+'NF-KSF-TRIAL-BAL-2020'!S497+'RA-TRIAL-BAL-2020'!S497+'DES-TRIAL-BAL-2020'!S497+'DMP-TRIAL-BAL-2020'!S497</f>
        <v>0</v>
      </c>
      <c r="AA497" s="347">
        <f>+'NF-KSF-TRIAL-BAL-2020'!T497+'RA-TRIAL-BAL-2020'!T497+'DES-TRIAL-BAL-2020'!T497+'DMP-TRIAL-BAL-2020'!T497</f>
        <v>0</v>
      </c>
      <c r="AB497" s="51"/>
      <c r="AC497" s="8">
        <v>0</v>
      </c>
      <c r="AD497" s="9">
        <v>0</v>
      </c>
      <c r="AE497" s="122"/>
      <c r="AF497" s="121"/>
      <c r="AG497" s="27">
        <f t="shared" ref="AG497:AG502" si="255">+IF(ABS(+AC497+AE497)&gt;=ABS(AD497+AF497),+AC497-AD497+AE497-AF497,0)</f>
        <v>0</v>
      </c>
      <c r="AH497" s="28">
        <f t="shared" ref="AH497:AH502" si="256">+IF(ABS(+AC497+AE497)&lt;=ABS(AD497+AF497),-AC497+AD497-AE497+AF497,0)</f>
        <v>0</v>
      </c>
      <c r="AI497" s="51"/>
      <c r="AJ497" s="1497">
        <f t="shared" ref="AJ497:AJ502" si="257">+N497</f>
        <v>6273</v>
      </c>
      <c r="AK497" s="8">
        <v>0</v>
      </c>
      <c r="AL497" s="9">
        <v>0</v>
      </c>
      <c r="AM497" s="326">
        <f t="shared" ref="AM497:AN502" si="258">+ROUND(+Q497+X497+AE497,2)</f>
        <v>0</v>
      </c>
      <c r="AN497" s="970">
        <f t="shared" si="258"/>
        <v>0</v>
      </c>
      <c r="AO497" s="27">
        <f t="shared" si="245"/>
        <v>0</v>
      </c>
      <c r="AP497" s="28">
        <f t="shared" si="246"/>
        <v>0</v>
      </c>
      <c r="AQ497" s="43"/>
      <c r="AR497" s="358">
        <f t="shared" ref="AR497:AR502" si="259">+ROUND(+SUM(AK497-AL497)-SUM(O497-P497)-SUM(V497-W497)-SUM(AC497-AD497),2)</f>
        <v>0</v>
      </c>
      <c r="AS497" s="359">
        <f t="shared" ref="AS497:AS502" si="260">+ROUND(+SUM(AM497-AN497)-SUM(Q497-R497)-SUM(X497-Y497)-SUM(AE497-AF497),2)</f>
        <v>0</v>
      </c>
      <c r="AT497" s="360">
        <f t="shared" ref="AT497:AT502" si="261">+ROUND(+SUM(AO497-AP497)-SUM(S497-T497)-SUM(Z497-AA497)-SUM(AG497-AH497),2)</f>
        <v>0</v>
      </c>
      <c r="AU497" s="43"/>
      <c r="AV497" s="43"/>
      <c r="AW497" s="119"/>
      <c r="AX497" s="119"/>
      <c r="AY497" s="43"/>
      <c r="AZ497" s="43"/>
      <c r="BA497" s="43"/>
      <c r="BB497" s="43"/>
      <c r="BC497" s="43"/>
      <c r="BD497" s="43"/>
    </row>
    <row r="498" spans="1:56" ht="15.75">
      <c r="A498" s="88">
        <v>6274</v>
      </c>
      <c r="B498" s="1033" t="s">
        <v>521</v>
      </c>
      <c r="C498" s="1033"/>
      <c r="D498" s="1033"/>
      <c r="E498" s="1033"/>
      <c r="F498" s="1033"/>
      <c r="G498" s="1033"/>
      <c r="H498" s="1033"/>
      <c r="I498" s="1033"/>
      <c r="J498" s="1033"/>
      <c r="K498" s="1033"/>
      <c r="L498" s="90"/>
      <c r="M498" s="51" t="s">
        <v>265</v>
      </c>
      <c r="N498" s="113">
        <f t="shared" si="252"/>
        <v>6274</v>
      </c>
      <c r="O498" s="8">
        <v>0</v>
      </c>
      <c r="P498" s="9">
        <v>0</v>
      </c>
      <c r="Q498" s="325"/>
      <c r="R498" s="324"/>
      <c r="S498" s="27">
        <f t="shared" si="253"/>
        <v>0</v>
      </c>
      <c r="T498" s="28">
        <f t="shared" si="254"/>
        <v>0</v>
      </c>
      <c r="U498" s="51"/>
      <c r="V498" s="541">
        <f>+'NF-KSF-TRIAL-BAL-2020'!O498+'RA-TRIAL-BAL-2020'!O498+'DES-TRIAL-BAL-2020'!O498+'DMP-TRIAL-BAL-2020'!O498</f>
        <v>0</v>
      </c>
      <c r="W498" s="529">
        <f>+'NF-KSF-TRIAL-BAL-2020'!P498+'RA-TRIAL-BAL-2020'!P498+'DES-TRIAL-BAL-2020'!P498+'DMP-TRIAL-BAL-2020'!P498</f>
        <v>0</v>
      </c>
      <c r="X498" s="528">
        <f>+'NF-KSF-TRIAL-BAL-2020'!Q498+'RA-TRIAL-BAL-2020'!Q498+'DES-TRIAL-BAL-2020'!Q498+'DMP-TRIAL-BAL-2020'!Q498</f>
        <v>0</v>
      </c>
      <c r="Y498" s="529">
        <f>+'NF-KSF-TRIAL-BAL-2020'!R498+'RA-TRIAL-BAL-2020'!R498+'DES-TRIAL-BAL-2020'!R498+'DMP-TRIAL-BAL-2020'!R498</f>
        <v>0</v>
      </c>
      <c r="Z498" s="528">
        <f>+'NF-KSF-TRIAL-BAL-2020'!S498+'RA-TRIAL-BAL-2020'!S498+'DES-TRIAL-BAL-2020'!S498+'DMP-TRIAL-BAL-2020'!S498</f>
        <v>0</v>
      </c>
      <c r="AA498" s="347">
        <f>+'NF-KSF-TRIAL-BAL-2020'!T498+'RA-TRIAL-BAL-2020'!T498+'DES-TRIAL-BAL-2020'!T498+'DMP-TRIAL-BAL-2020'!T498</f>
        <v>0</v>
      </c>
      <c r="AB498" s="51"/>
      <c r="AC498" s="8">
        <v>0</v>
      </c>
      <c r="AD498" s="9">
        <v>0</v>
      </c>
      <c r="AE498" s="122"/>
      <c r="AF498" s="121"/>
      <c r="AG498" s="27">
        <f t="shared" si="255"/>
        <v>0</v>
      </c>
      <c r="AH498" s="28">
        <f t="shared" si="256"/>
        <v>0</v>
      </c>
      <c r="AI498" s="51"/>
      <c r="AJ498" s="1497">
        <f t="shared" si="257"/>
        <v>6274</v>
      </c>
      <c r="AK498" s="8">
        <v>0</v>
      </c>
      <c r="AL498" s="9">
        <v>0</v>
      </c>
      <c r="AM498" s="326">
        <f t="shared" si="258"/>
        <v>0</v>
      </c>
      <c r="AN498" s="970">
        <f t="shared" si="258"/>
        <v>0</v>
      </c>
      <c r="AO498" s="27">
        <f t="shared" si="245"/>
        <v>0</v>
      </c>
      <c r="AP498" s="28">
        <f t="shared" si="246"/>
        <v>0</v>
      </c>
      <c r="AQ498" s="43"/>
      <c r="AR498" s="358">
        <f t="shared" si="259"/>
        <v>0</v>
      </c>
      <c r="AS498" s="359">
        <f t="shared" si="260"/>
        <v>0</v>
      </c>
      <c r="AT498" s="360">
        <f t="shared" si="261"/>
        <v>0</v>
      </c>
      <c r="AU498" s="43"/>
      <c r="AV498" s="43"/>
      <c r="AW498" s="119"/>
      <c r="AX498" s="119"/>
      <c r="AY498" s="43"/>
      <c r="AZ498" s="43"/>
      <c r="BA498" s="43"/>
      <c r="BB498" s="43"/>
      <c r="BC498" s="43"/>
      <c r="BD498" s="43"/>
    </row>
    <row r="499" spans="1:56" ht="15.75">
      <c r="A499" s="88">
        <v>6275</v>
      </c>
      <c r="B499" s="1033" t="s">
        <v>522</v>
      </c>
      <c r="C499" s="1033"/>
      <c r="D499" s="1033"/>
      <c r="E499" s="1033"/>
      <c r="F499" s="1033"/>
      <c r="G499" s="1033"/>
      <c r="H499" s="1033"/>
      <c r="I499" s="1033"/>
      <c r="J499" s="1033"/>
      <c r="K499" s="1033"/>
      <c r="L499" s="90"/>
      <c r="M499" s="51" t="s">
        <v>265</v>
      </c>
      <c r="N499" s="113">
        <f t="shared" si="252"/>
        <v>6275</v>
      </c>
      <c r="O499" s="8">
        <v>0</v>
      </c>
      <c r="P499" s="9">
        <v>0</v>
      </c>
      <c r="Q499" s="325"/>
      <c r="R499" s="324"/>
      <c r="S499" s="27">
        <f t="shared" si="253"/>
        <v>0</v>
      </c>
      <c r="T499" s="28">
        <f t="shared" si="254"/>
        <v>0</v>
      </c>
      <c r="U499" s="51"/>
      <c r="V499" s="541">
        <f>+'NF-KSF-TRIAL-BAL-2020'!O499+'RA-TRIAL-BAL-2020'!O499+'DES-TRIAL-BAL-2020'!O499+'DMP-TRIAL-BAL-2020'!O499</f>
        <v>0</v>
      </c>
      <c r="W499" s="529">
        <f>+'NF-KSF-TRIAL-BAL-2020'!P499+'RA-TRIAL-BAL-2020'!P499+'DES-TRIAL-BAL-2020'!P499+'DMP-TRIAL-BAL-2020'!P499</f>
        <v>0</v>
      </c>
      <c r="X499" s="528">
        <f>+'NF-KSF-TRIAL-BAL-2020'!Q499+'RA-TRIAL-BAL-2020'!Q499+'DES-TRIAL-BAL-2020'!Q499+'DMP-TRIAL-BAL-2020'!Q499</f>
        <v>0</v>
      </c>
      <c r="Y499" s="529">
        <f>+'NF-KSF-TRIAL-BAL-2020'!R499+'RA-TRIAL-BAL-2020'!R499+'DES-TRIAL-BAL-2020'!R499+'DMP-TRIAL-BAL-2020'!R499</f>
        <v>0</v>
      </c>
      <c r="Z499" s="528">
        <f>+'NF-KSF-TRIAL-BAL-2020'!S499+'RA-TRIAL-BAL-2020'!S499+'DES-TRIAL-BAL-2020'!S499+'DMP-TRIAL-BAL-2020'!S499</f>
        <v>0</v>
      </c>
      <c r="AA499" s="347">
        <f>+'NF-KSF-TRIAL-BAL-2020'!T499+'RA-TRIAL-BAL-2020'!T499+'DES-TRIAL-BAL-2020'!T499+'DMP-TRIAL-BAL-2020'!T499</f>
        <v>0</v>
      </c>
      <c r="AB499" s="51"/>
      <c r="AC499" s="8">
        <v>0</v>
      </c>
      <c r="AD499" s="9">
        <v>0</v>
      </c>
      <c r="AE499" s="122"/>
      <c r="AF499" s="121"/>
      <c r="AG499" s="27">
        <f t="shared" si="255"/>
        <v>0</v>
      </c>
      <c r="AH499" s="28">
        <f t="shared" si="256"/>
        <v>0</v>
      </c>
      <c r="AI499" s="51"/>
      <c r="AJ499" s="1497">
        <f t="shared" si="257"/>
        <v>6275</v>
      </c>
      <c r="AK499" s="8">
        <v>0</v>
      </c>
      <c r="AL499" s="9">
        <v>0</v>
      </c>
      <c r="AM499" s="326">
        <f t="shared" si="258"/>
        <v>0</v>
      </c>
      <c r="AN499" s="970">
        <f t="shared" si="258"/>
        <v>0</v>
      </c>
      <c r="AO499" s="27">
        <f t="shared" si="245"/>
        <v>0</v>
      </c>
      <c r="AP499" s="28">
        <f t="shared" si="246"/>
        <v>0</v>
      </c>
      <c r="AQ499" s="43"/>
      <c r="AR499" s="358">
        <f t="shared" si="259"/>
        <v>0</v>
      </c>
      <c r="AS499" s="359">
        <f t="shared" si="260"/>
        <v>0</v>
      </c>
      <c r="AT499" s="360">
        <f t="shared" si="261"/>
        <v>0</v>
      </c>
      <c r="AU499" s="43"/>
      <c r="AV499" s="43"/>
      <c r="AW499" s="119"/>
      <c r="AX499" s="119"/>
      <c r="AY499" s="43"/>
      <c r="AZ499" s="43"/>
      <c r="BA499" s="43"/>
      <c r="BB499" s="43"/>
      <c r="BC499" s="43"/>
      <c r="BD499" s="43"/>
    </row>
    <row r="500" spans="1:56" ht="15.75">
      <c r="A500" s="88">
        <v>6276</v>
      </c>
      <c r="B500" s="1033" t="s">
        <v>523</v>
      </c>
      <c r="C500" s="1033"/>
      <c r="D500" s="1033"/>
      <c r="E500" s="1033"/>
      <c r="F500" s="1033"/>
      <c r="G500" s="1033"/>
      <c r="H500" s="1033"/>
      <c r="I500" s="1033"/>
      <c r="J500" s="1033"/>
      <c r="K500" s="1033"/>
      <c r="L500" s="90"/>
      <c r="M500" s="51" t="s">
        <v>265</v>
      </c>
      <c r="N500" s="113">
        <f t="shared" si="252"/>
        <v>6276</v>
      </c>
      <c r="O500" s="8">
        <v>0</v>
      </c>
      <c r="P500" s="9">
        <v>0</v>
      </c>
      <c r="Q500" s="325"/>
      <c r="R500" s="324"/>
      <c r="S500" s="27">
        <f t="shared" si="253"/>
        <v>0</v>
      </c>
      <c r="T500" s="28">
        <f t="shared" si="254"/>
        <v>0</v>
      </c>
      <c r="U500" s="51"/>
      <c r="V500" s="541">
        <f>+'NF-KSF-TRIAL-BAL-2020'!O500+'RA-TRIAL-BAL-2020'!O500+'DES-TRIAL-BAL-2020'!O500+'DMP-TRIAL-BAL-2020'!O500</f>
        <v>0</v>
      </c>
      <c r="W500" s="529">
        <f>+'NF-KSF-TRIAL-BAL-2020'!P500+'RA-TRIAL-BAL-2020'!P500+'DES-TRIAL-BAL-2020'!P500+'DMP-TRIAL-BAL-2020'!P500</f>
        <v>0</v>
      </c>
      <c r="X500" s="528">
        <f>+'NF-KSF-TRIAL-BAL-2020'!Q500+'RA-TRIAL-BAL-2020'!Q500+'DES-TRIAL-BAL-2020'!Q500+'DMP-TRIAL-BAL-2020'!Q500</f>
        <v>0</v>
      </c>
      <c r="Y500" s="529">
        <f>+'NF-KSF-TRIAL-BAL-2020'!R500+'RA-TRIAL-BAL-2020'!R500+'DES-TRIAL-BAL-2020'!R500+'DMP-TRIAL-BAL-2020'!R500</f>
        <v>0</v>
      </c>
      <c r="Z500" s="528">
        <f>+'NF-KSF-TRIAL-BAL-2020'!S500+'RA-TRIAL-BAL-2020'!S500+'DES-TRIAL-BAL-2020'!S500+'DMP-TRIAL-BAL-2020'!S500</f>
        <v>0</v>
      </c>
      <c r="AA500" s="347">
        <f>+'NF-KSF-TRIAL-BAL-2020'!T500+'RA-TRIAL-BAL-2020'!T500+'DES-TRIAL-BAL-2020'!T500+'DMP-TRIAL-BAL-2020'!T500</f>
        <v>0</v>
      </c>
      <c r="AB500" s="51"/>
      <c r="AC500" s="8">
        <v>0</v>
      </c>
      <c r="AD500" s="9">
        <v>0</v>
      </c>
      <c r="AE500" s="122"/>
      <c r="AF500" s="121"/>
      <c r="AG500" s="27">
        <f t="shared" si="255"/>
        <v>0</v>
      </c>
      <c r="AH500" s="28">
        <f t="shared" si="256"/>
        <v>0</v>
      </c>
      <c r="AI500" s="51"/>
      <c r="AJ500" s="1497">
        <f t="shared" si="257"/>
        <v>6276</v>
      </c>
      <c r="AK500" s="8">
        <v>0</v>
      </c>
      <c r="AL500" s="9">
        <v>0</v>
      </c>
      <c r="AM500" s="326">
        <f t="shared" si="258"/>
        <v>0</v>
      </c>
      <c r="AN500" s="970">
        <f t="shared" si="258"/>
        <v>0</v>
      </c>
      <c r="AO500" s="27">
        <f t="shared" si="245"/>
        <v>0</v>
      </c>
      <c r="AP500" s="28">
        <f t="shared" si="246"/>
        <v>0</v>
      </c>
      <c r="AQ500" s="43"/>
      <c r="AR500" s="358">
        <f t="shared" si="259"/>
        <v>0</v>
      </c>
      <c r="AS500" s="359">
        <f t="shared" si="260"/>
        <v>0</v>
      </c>
      <c r="AT500" s="360">
        <f t="shared" si="261"/>
        <v>0</v>
      </c>
      <c r="AU500" s="43"/>
      <c r="AV500" s="43"/>
      <c r="AW500" s="119"/>
      <c r="AX500" s="119"/>
      <c r="AY500" s="43"/>
      <c r="AZ500" s="43"/>
      <c r="BA500" s="43"/>
      <c r="BB500" s="43"/>
      <c r="BC500" s="43"/>
      <c r="BD500" s="43"/>
    </row>
    <row r="501" spans="1:56" ht="15.75">
      <c r="A501" s="88">
        <v>6277</v>
      </c>
      <c r="B501" s="1033" t="s">
        <v>524</v>
      </c>
      <c r="C501" s="1033"/>
      <c r="D501" s="1033"/>
      <c r="E501" s="1033"/>
      <c r="F501" s="1033"/>
      <c r="G501" s="1033"/>
      <c r="H501" s="1033"/>
      <c r="I501" s="1033"/>
      <c r="J501" s="1033"/>
      <c r="K501" s="1033"/>
      <c r="L501" s="90"/>
      <c r="M501" s="51" t="s">
        <v>265</v>
      </c>
      <c r="N501" s="113">
        <f t="shared" si="252"/>
        <v>6277</v>
      </c>
      <c r="O501" s="8">
        <v>0</v>
      </c>
      <c r="P501" s="9">
        <v>0</v>
      </c>
      <c r="Q501" s="325"/>
      <c r="R501" s="324"/>
      <c r="S501" s="27">
        <f t="shared" si="253"/>
        <v>0</v>
      </c>
      <c r="T501" s="28">
        <f t="shared" si="254"/>
        <v>0</v>
      </c>
      <c r="U501" s="51"/>
      <c r="V501" s="541">
        <f>+'NF-KSF-TRIAL-BAL-2020'!O501+'RA-TRIAL-BAL-2020'!O501+'DES-TRIAL-BAL-2020'!O501+'DMP-TRIAL-BAL-2020'!O501</f>
        <v>0</v>
      </c>
      <c r="W501" s="529">
        <f>+'NF-KSF-TRIAL-BAL-2020'!P501+'RA-TRIAL-BAL-2020'!P501+'DES-TRIAL-BAL-2020'!P501+'DMP-TRIAL-BAL-2020'!P501</f>
        <v>0</v>
      </c>
      <c r="X501" s="528">
        <f>+'NF-KSF-TRIAL-BAL-2020'!Q501+'RA-TRIAL-BAL-2020'!Q501+'DES-TRIAL-BAL-2020'!Q501+'DMP-TRIAL-BAL-2020'!Q501</f>
        <v>0</v>
      </c>
      <c r="Y501" s="529">
        <f>+'NF-KSF-TRIAL-BAL-2020'!R501+'RA-TRIAL-BAL-2020'!R501+'DES-TRIAL-BAL-2020'!R501+'DMP-TRIAL-BAL-2020'!R501</f>
        <v>0</v>
      </c>
      <c r="Z501" s="528">
        <f>+'NF-KSF-TRIAL-BAL-2020'!S501+'RA-TRIAL-BAL-2020'!S501+'DES-TRIAL-BAL-2020'!S501+'DMP-TRIAL-BAL-2020'!S501</f>
        <v>0</v>
      </c>
      <c r="AA501" s="347">
        <f>+'NF-KSF-TRIAL-BAL-2020'!T501+'RA-TRIAL-BAL-2020'!T501+'DES-TRIAL-BAL-2020'!T501+'DMP-TRIAL-BAL-2020'!T501</f>
        <v>0</v>
      </c>
      <c r="AB501" s="51"/>
      <c r="AC501" s="8">
        <v>0</v>
      </c>
      <c r="AD501" s="9">
        <v>0</v>
      </c>
      <c r="AE501" s="122"/>
      <c r="AF501" s="121"/>
      <c r="AG501" s="27">
        <f t="shared" si="255"/>
        <v>0</v>
      </c>
      <c r="AH501" s="28">
        <f t="shared" si="256"/>
        <v>0</v>
      </c>
      <c r="AI501" s="51"/>
      <c r="AJ501" s="1497">
        <f t="shared" si="257"/>
        <v>6277</v>
      </c>
      <c r="AK501" s="8">
        <v>0</v>
      </c>
      <c r="AL501" s="9">
        <v>0</v>
      </c>
      <c r="AM501" s="326">
        <f t="shared" si="258"/>
        <v>0</v>
      </c>
      <c r="AN501" s="970">
        <f t="shared" si="258"/>
        <v>0</v>
      </c>
      <c r="AO501" s="27">
        <f t="shared" si="245"/>
        <v>0</v>
      </c>
      <c r="AP501" s="28">
        <f t="shared" si="246"/>
        <v>0</v>
      </c>
      <c r="AQ501" s="43"/>
      <c r="AR501" s="358">
        <f t="shared" si="259"/>
        <v>0</v>
      </c>
      <c r="AS501" s="359">
        <f t="shared" si="260"/>
        <v>0</v>
      </c>
      <c r="AT501" s="360">
        <f t="shared" si="261"/>
        <v>0</v>
      </c>
      <c r="AU501" s="43"/>
      <c r="AV501" s="43"/>
      <c r="AW501" s="119"/>
      <c r="AX501" s="119"/>
      <c r="AY501" s="43"/>
      <c r="AZ501" s="43"/>
      <c r="BA501" s="43"/>
      <c r="BB501" s="43"/>
      <c r="BC501" s="43"/>
      <c r="BD501" s="43"/>
    </row>
    <row r="502" spans="1:56" ht="15.75">
      <c r="A502" s="88">
        <v>6278</v>
      </c>
      <c r="B502" s="1033" t="s">
        <v>578</v>
      </c>
      <c r="C502" s="1033"/>
      <c r="D502" s="1033"/>
      <c r="E502" s="1033"/>
      <c r="F502" s="1033"/>
      <c r="G502" s="1033"/>
      <c r="H502" s="1033"/>
      <c r="I502" s="1033"/>
      <c r="J502" s="1033"/>
      <c r="K502" s="1033"/>
      <c r="L502" s="90"/>
      <c r="M502" s="51" t="s">
        <v>265</v>
      </c>
      <c r="N502" s="113">
        <f t="shared" si="252"/>
        <v>6278</v>
      </c>
      <c r="O502" s="8">
        <v>0</v>
      </c>
      <c r="P502" s="9">
        <v>0</v>
      </c>
      <c r="Q502" s="325"/>
      <c r="R502" s="324"/>
      <c r="S502" s="27">
        <f t="shared" si="253"/>
        <v>0</v>
      </c>
      <c r="T502" s="28">
        <f t="shared" si="254"/>
        <v>0</v>
      </c>
      <c r="U502" s="51"/>
      <c r="V502" s="541">
        <f>+'NF-KSF-TRIAL-BAL-2020'!O502+'RA-TRIAL-BAL-2020'!O502+'DES-TRIAL-BAL-2020'!O502+'DMP-TRIAL-BAL-2020'!O502</f>
        <v>0</v>
      </c>
      <c r="W502" s="529">
        <f>+'NF-KSF-TRIAL-BAL-2020'!P502+'RA-TRIAL-BAL-2020'!P502+'DES-TRIAL-BAL-2020'!P502+'DMP-TRIAL-BAL-2020'!P502</f>
        <v>0</v>
      </c>
      <c r="X502" s="528">
        <f>+'NF-KSF-TRIAL-BAL-2020'!Q502+'RA-TRIAL-BAL-2020'!Q502+'DES-TRIAL-BAL-2020'!Q502+'DMP-TRIAL-BAL-2020'!Q502</f>
        <v>0</v>
      </c>
      <c r="Y502" s="529">
        <f>+'NF-KSF-TRIAL-BAL-2020'!R502+'RA-TRIAL-BAL-2020'!R502+'DES-TRIAL-BAL-2020'!R502+'DMP-TRIAL-BAL-2020'!R502</f>
        <v>0</v>
      </c>
      <c r="Z502" s="528">
        <f>+'NF-KSF-TRIAL-BAL-2020'!S502+'RA-TRIAL-BAL-2020'!S502+'DES-TRIAL-BAL-2020'!S502+'DMP-TRIAL-BAL-2020'!S502</f>
        <v>0</v>
      </c>
      <c r="AA502" s="347">
        <f>+'NF-KSF-TRIAL-BAL-2020'!T502+'RA-TRIAL-BAL-2020'!T502+'DES-TRIAL-BAL-2020'!T502+'DMP-TRIAL-BAL-2020'!T502</f>
        <v>0</v>
      </c>
      <c r="AB502" s="51"/>
      <c r="AC502" s="8">
        <v>0</v>
      </c>
      <c r="AD502" s="9">
        <v>0</v>
      </c>
      <c r="AE502" s="122"/>
      <c r="AF502" s="121"/>
      <c r="AG502" s="27">
        <f t="shared" si="255"/>
        <v>0</v>
      </c>
      <c r="AH502" s="28">
        <f t="shared" si="256"/>
        <v>0</v>
      </c>
      <c r="AI502" s="51"/>
      <c r="AJ502" s="1497">
        <f t="shared" si="257"/>
        <v>6278</v>
      </c>
      <c r="AK502" s="8">
        <v>0</v>
      </c>
      <c r="AL502" s="9">
        <v>0</v>
      </c>
      <c r="AM502" s="326">
        <f t="shared" si="258"/>
        <v>0</v>
      </c>
      <c r="AN502" s="970">
        <f t="shared" si="258"/>
        <v>0</v>
      </c>
      <c r="AO502" s="27">
        <f t="shared" si="245"/>
        <v>0</v>
      </c>
      <c r="AP502" s="28">
        <f t="shared" si="246"/>
        <v>0</v>
      </c>
      <c r="AQ502" s="43"/>
      <c r="AR502" s="358">
        <f t="shared" si="259"/>
        <v>0</v>
      </c>
      <c r="AS502" s="359">
        <f t="shared" si="260"/>
        <v>0</v>
      </c>
      <c r="AT502" s="360">
        <f t="shared" si="261"/>
        <v>0</v>
      </c>
      <c r="AU502" s="43"/>
      <c r="AV502" s="43"/>
      <c r="AW502" s="119"/>
      <c r="AX502" s="119"/>
      <c r="AY502" s="43"/>
      <c r="AZ502" s="43"/>
      <c r="BA502" s="43"/>
      <c r="BB502" s="43"/>
      <c r="BC502" s="43"/>
      <c r="BD502" s="43"/>
    </row>
    <row r="503" spans="1:56" ht="15.75">
      <c r="A503" s="88">
        <v>6279</v>
      </c>
      <c r="B503" s="1033" t="s">
        <v>517</v>
      </c>
      <c r="C503" s="1033"/>
      <c r="D503" s="1033"/>
      <c r="E503" s="1033"/>
      <c r="F503" s="1033"/>
      <c r="G503" s="1033"/>
      <c r="H503" s="1033"/>
      <c r="I503" s="1033"/>
      <c r="J503" s="1033"/>
      <c r="K503" s="1033"/>
      <c r="L503" s="90"/>
      <c r="M503" s="51" t="s">
        <v>265</v>
      </c>
      <c r="N503" s="113">
        <f t="shared" si="240"/>
        <v>6279</v>
      </c>
      <c r="O503" s="8">
        <v>0</v>
      </c>
      <c r="P503" s="9">
        <v>0</v>
      </c>
      <c r="Q503" s="325"/>
      <c r="R503" s="324"/>
      <c r="S503" s="27">
        <f t="shared" si="247"/>
        <v>0</v>
      </c>
      <c r="T503" s="28">
        <f t="shared" si="248"/>
        <v>0</v>
      </c>
      <c r="U503" s="51"/>
      <c r="V503" s="541">
        <f>+'NF-KSF-TRIAL-BAL-2020'!O503+'RA-TRIAL-BAL-2020'!O503+'DES-TRIAL-BAL-2020'!O503+'DMP-TRIAL-BAL-2020'!O503</f>
        <v>0</v>
      </c>
      <c r="W503" s="529">
        <f>+'NF-KSF-TRIAL-BAL-2020'!P503+'RA-TRIAL-BAL-2020'!P503+'DES-TRIAL-BAL-2020'!P503+'DMP-TRIAL-BAL-2020'!P503</f>
        <v>0</v>
      </c>
      <c r="X503" s="528">
        <f>+'NF-KSF-TRIAL-BAL-2020'!Q503+'RA-TRIAL-BAL-2020'!Q503+'DES-TRIAL-BAL-2020'!Q503+'DMP-TRIAL-BAL-2020'!Q503</f>
        <v>0</v>
      </c>
      <c r="Y503" s="529">
        <f>+'NF-KSF-TRIAL-BAL-2020'!R503+'RA-TRIAL-BAL-2020'!R503+'DES-TRIAL-BAL-2020'!R503+'DMP-TRIAL-BAL-2020'!R503</f>
        <v>0</v>
      </c>
      <c r="Z503" s="528">
        <f>+'NF-KSF-TRIAL-BAL-2020'!S503+'RA-TRIAL-BAL-2020'!S503+'DES-TRIAL-BAL-2020'!S503+'DMP-TRIAL-BAL-2020'!S503</f>
        <v>0</v>
      </c>
      <c r="AA503" s="347">
        <f>+'NF-KSF-TRIAL-BAL-2020'!T503+'RA-TRIAL-BAL-2020'!T503+'DES-TRIAL-BAL-2020'!T503+'DMP-TRIAL-BAL-2020'!T503</f>
        <v>0</v>
      </c>
      <c r="AB503" s="51"/>
      <c r="AC503" s="8">
        <v>0</v>
      </c>
      <c r="AD503" s="9">
        <v>0</v>
      </c>
      <c r="AE503" s="122"/>
      <c r="AF503" s="121"/>
      <c r="AG503" s="27">
        <f t="shared" si="249"/>
        <v>0</v>
      </c>
      <c r="AH503" s="28">
        <f t="shared" si="250"/>
        <v>0</v>
      </c>
      <c r="AI503" s="51"/>
      <c r="AJ503" s="1497">
        <f t="shared" si="244"/>
        <v>6279</v>
      </c>
      <c r="AK503" s="8">
        <v>0</v>
      </c>
      <c r="AL503" s="9">
        <v>0</v>
      </c>
      <c r="AM503" s="326">
        <f t="shared" si="251"/>
        <v>0</v>
      </c>
      <c r="AN503" s="970">
        <f t="shared" si="251"/>
        <v>0</v>
      </c>
      <c r="AO503" s="27">
        <f t="shared" si="245"/>
        <v>0</v>
      </c>
      <c r="AP503" s="28">
        <f t="shared" si="246"/>
        <v>0</v>
      </c>
      <c r="AQ503" s="43"/>
      <c r="AR503" s="358">
        <f t="shared" si="241"/>
        <v>0</v>
      </c>
      <c r="AS503" s="359">
        <f t="shared" si="242"/>
        <v>0</v>
      </c>
      <c r="AT503" s="360">
        <f t="shared" si="243"/>
        <v>0</v>
      </c>
      <c r="AU503" s="43"/>
      <c r="AV503" s="43"/>
      <c r="AW503" s="119"/>
      <c r="AX503" s="119"/>
      <c r="AY503" s="43"/>
      <c r="AZ503" s="43"/>
      <c r="BA503" s="43"/>
      <c r="BB503" s="43"/>
      <c r="BC503" s="43"/>
      <c r="BD503" s="43"/>
    </row>
    <row r="504" spans="1:56" ht="15.75">
      <c r="A504" s="88">
        <v>6281</v>
      </c>
      <c r="B504" s="1033" t="s">
        <v>560</v>
      </c>
      <c r="C504" s="1033"/>
      <c r="D504" s="1033"/>
      <c r="E504" s="1033"/>
      <c r="F504" s="1033"/>
      <c r="G504" s="1033"/>
      <c r="H504" s="1033"/>
      <c r="I504" s="1033"/>
      <c r="J504" s="1033"/>
      <c r="K504" s="1033"/>
      <c r="L504" s="90"/>
      <c r="M504" s="51" t="s">
        <v>265</v>
      </c>
      <c r="N504" s="113">
        <f t="shared" si="240"/>
        <v>6281</v>
      </c>
      <c r="O504" s="8">
        <v>0</v>
      </c>
      <c r="P504" s="9">
        <v>0</v>
      </c>
      <c r="Q504" s="325"/>
      <c r="R504" s="324"/>
      <c r="S504" s="27">
        <f t="shared" si="247"/>
        <v>0</v>
      </c>
      <c r="T504" s="28">
        <f t="shared" si="248"/>
        <v>0</v>
      </c>
      <c r="U504" s="51"/>
      <c r="V504" s="541">
        <f>+'NF-KSF-TRIAL-BAL-2020'!O504+'RA-TRIAL-BAL-2020'!O504+'DES-TRIAL-BAL-2020'!O504+'DMP-TRIAL-BAL-2020'!O504</f>
        <v>0</v>
      </c>
      <c r="W504" s="529">
        <f>+'NF-KSF-TRIAL-BAL-2020'!P504+'RA-TRIAL-BAL-2020'!P504+'DES-TRIAL-BAL-2020'!P504+'DMP-TRIAL-BAL-2020'!P504</f>
        <v>0</v>
      </c>
      <c r="X504" s="528">
        <f>+'NF-KSF-TRIAL-BAL-2020'!Q504+'RA-TRIAL-BAL-2020'!Q504+'DES-TRIAL-BAL-2020'!Q504+'DMP-TRIAL-BAL-2020'!Q504</f>
        <v>0</v>
      </c>
      <c r="Y504" s="529">
        <f>+'NF-KSF-TRIAL-BAL-2020'!R504+'RA-TRIAL-BAL-2020'!R504+'DES-TRIAL-BAL-2020'!R504+'DMP-TRIAL-BAL-2020'!R504</f>
        <v>0</v>
      </c>
      <c r="Z504" s="528">
        <f>+'NF-KSF-TRIAL-BAL-2020'!S504+'RA-TRIAL-BAL-2020'!S504+'DES-TRIAL-BAL-2020'!S504+'DMP-TRIAL-BAL-2020'!S504</f>
        <v>0</v>
      </c>
      <c r="AA504" s="347">
        <f>+'NF-KSF-TRIAL-BAL-2020'!T504+'RA-TRIAL-BAL-2020'!T504+'DES-TRIAL-BAL-2020'!T504+'DMP-TRIAL-BAL-2020'!T504</f>
        <v>0</v>
      </c>
      <c r="AB504" s="51"/>
      <c r="AC504" s="8">
        <v>0</v>
      </c>
      <c r="AD504" s="9">
        <v>0</v>
      </c>
      <c r="AE504" s="122"/>
      <c r="AF504" s="121"/>
      <c r="AG504" s="27">
        <f t="shared" si="249"/>
        <v>0</v>
      </c>
      <c r="AH504" s="28">
        <f t="shared" si="250"/>
        <v>0</v>
      </c>
      <c r="AI504" s="51"/>
      <c r="AJ504" s="1497">
        <f t="shared" si="244"/>
        <v>6281</v>
      </c>
      <c r="AK504" s="8">
        <v>0</v>
      </c>
      <c r="AL504" s="9">
        <v>0</v>
      </c>
      <c r="AM504" s="326">
        <f t="shared" si="251"/>
        <v>0</v>
      </c>
      <c r="AN504" s="970">
        <f t="shared" si="251"/>
        <v>0</v>
      </c>
      <c r="AO504" s="27">
        <f t="shared" si="245"/>
        <v>0</v>
      </c>
      <c r="AP504" s="28">
        <f t="shared" si="246"/>
        <v>0</v>
      </c>
      <c r="AQ504" s="43"/>
      <c r="AR504" s="358">
        <f t="shared" si="241"/>
        <v>0</v>
      </c>
      <c r="AS504" s="359">
        <f t="shared" si="242"/>
        <v>0</v>
      </c>
      <c r="AT504" s="360">
        <f t="shared" si="243"/>
        <v>0</v>
      </c>
      <c r="AU504" s="43"/>
      <c r="AV504" s="43"/>
      <c r="AW504" s="119"/>
      <c r="AX504" s="119"/>
      <c r="AY504" s="43"/>
      <c r="AZ504" s="43"/>
      <c r="BA504" s="43"/>
      <c r="BB504" s="43"/>
      <c r="BC504" s="43"/>
      <c r="BD504" s="43"/>
    </row>
    <row r="505" spans="1:56" ht="15.75">
      <c r="A505" s="88">
        <v>6282</v>
      </c>
      <c r="B505" s="1033" t="s">
        <v>561</v>
      </c>
      <c r="C505" s="1033"/>
      <c r="D505" s="1033"/>
      <c r="E505" s="1033"/>
      <c r="F505" s="1033"/>
      <c r="G505" s="1033"/>
      <c r="H505" s="1033"/>
      <c r="I505" s="1033"/>
      <c r="J505" s="1033"/>
      <c r="K505" s="1033"/>
      <c r="L505" s="90"/>
      <c r="M505" s="51" t="s">
        <v>265</v>
      </c>
      <c r="N505" s="113">
        <f t="shared" si="240"/>
        <v>6282</v>
      </c>
      <c r="O505" s="8">
        <v>0</v>
      </c>
      <c r="P505" s="9">
        <v>0</v>
      </c>
      <c r="Q505" s="325"/>
      <c r="R505" s="324"/>
      <c r="S505" s="27">
        <f t="shared" si="247"/>
        <v>0</v>
      </c>
      <c r="T505" s="28">
        <f t="shared" si="248"/>
        <v>0</v>
      </c>
      <c r="U505" s="51"/>
      <c r="V505" s="541">
        <f>+'NF-KSF-TRIAL-BAL-2020'!O505+'RA-TRIAL-BAL-2020'!O505+'DES-TRIAL-BAL-2020'!O505+'DMP-TRIAL-BAL-2020'!O505</f>
        <v>0</v>
      </c>
      <c r="W505" s="529">
        <f>+'NF-KSF-TRIAL-BAL-2020'!P505+'RA-TRIAL-BAL-2020'!P505+'DES-TRIAL-BAL-2020'!P505+'DMP-TRIAL-BAL-2020'!P505</f>
        <v>0</v>
      </c>
      <c r="X505" s="528">
        <f>+'NF-KSF-TRIAL-BAL-2020'!Q505+'RA-TRIAL-BAL-2020'!Q505+'DES-TRIAL-BAL-2020'!Q505+'DMP-TRIAL-BAL-2020'!Q505</f>
        <v>0</v>
      </c>
      <c r="Y505" s="529">
        <f>+'NF-KSF-TRIAL-BAL-2020'!R505+'RA-TRIAL-BAL-2020'!R505+'DES-TRIAL-BAL-2020'!R505+'DMP-TRIAL-BAL-2020'!R505</f>
        <v>0</v>
      </c>
      <c r="Z505" s="528">
        <f>+'NF-KSF-TRIAL-BAL-2020'!S505+'RA-TRIAL-BAL-2020'!S505+'DES-TRIAL-BAL-2020'!S505+'DMP-TRIAL-BAL-2020'!S505</f>
        <v>0</v>
      </c>
      <c r="AA505" s="347">
        <f>+'NF-KSF-TRIAL-BAL-2020'!T505+'RA-TRIAL-BAL-2020'!T505+'DES-TRIAL-BAL-2020'!T505+'DMP-TRIAL-BAL-2020'!T505</f>
        <v>0</v>
      </c>
      <c r="AB505" s="51"/>
      <c r="AC505" s="8">
        <v>0</v>
      </c>
      <c r="AD505" s="9">
        <v>0</v>
      </c>
      <c r="AE505" s="122"/>
      <c r="AF505" s="121"/>
      <c r="AG505" s="27">
        <f t="shared" si="249"/>
        <v>0</v>
      </c>
      <c r="AH505" s="28">
        <f t="shared" si="250"/>
        <v>0</v>
      </c>
      <c r="AI505" s="51"/>
      <c r="AJ505" s="1497">
        <f t="shared" si="244"/>
        <v>6282</v>
      </c>
      <c r="AK505" s="8">
        <v>0</v>
      </c>
      <c r="AL505" s="9">
        <v>0</v>
      </c>
      <c r="AM505" s="326">
        <f t="shared" si="251"/>
        <v>0</v>
      </c>
      <c r="AN505" s="970">
        <f t="shared" si="251"/>
        <v>0</v>
      </c>
      <c r="AO505" s="27">
        <f t="shared" si="245"/>
        <v>0</v>
      </c>
      <c r="AP505" s="28">
        <f t="shared" si="246"/>
        <v>0</v>
      </c>
      <c r="AQ505" s="43"/>
      <c r="AR505" s="358">
        <f t="shared" si="241"/>
        <v>0</v>
      </c>
      <c r="AS505" s="359">
        <f t="shared" si="242"/>
        <v>0</v>
      </c>
      <c r="AT505" s="360">
        <f t="shared" si="243"/>
        <v>0</v>
      </c>
      <c r="AU505" s="43"/>
      <c r="AV505" s="43"/>
      <c r="AW505" s="119"/>
      <c r="AX505" s="119"/>
      <c r="AY505" s="43"/>
      <c r="AZ505" s="43"/>
      <c r="BA505" s="43"/>
      <c r="BB505" s="43"/>
      <c r="BC505" s="43"/>
      <c r="BD505" s="43"/>
    </row>
    <row r="506" spans="1:56" ht="15.75">
      <c r="A506" s="88">
        <v>6291</v>
      </c>
      <c r="B506" s="1033" t="s">
        <v>562</v>
      </c>
      <c r="C506" s="1033"/>
      <c r="D506" s="1033"/>
      <c r="E506" s="1033"/>
      <c r="F506" s="1033"/>
      <c r="G506" s="1033"/>
      <c r="H506" s="1033"/>
      <c r="I506" s="1033"/>
      <c r="J506" s="1033"/>
      <c r="K506" s="1033"/>
      <c r="L506" s="90"/>
      <c r="M506" s="51" t="s">
        <v>265</v>
      </c>
      <c r="N506" s="113">
        <f t="shared" si="240"/>
        <v>6291</v>
      </c>
      <c r="O506" s="8">
        <v>0</v>
      </c>
      <c r="P506" s="9">
        <v>0</v>
      </c>
      <c r="Q506" s="325"/>
      <c r="R506" s="324"/>
      <c r="S506" s="27">
        <f t="shared" si="247"/>
        <v>0</v>
      </c>
      <c r="T506" s="28">
        <f t="shared" si="248"/>
        <v>0</v>
      </c>
      <c r="U506" s="51"/>
      <c r="V506" s="541">
        <f>+'NF-KSF-TRIAL-BAL-2020'!O506+'RA-TRIAL-BAL-2020'!O506+'DES-TRIAL-BAL-2020'!O506+'DMP-TRIAL-BAL-2020'!O506</f>
        <v>0</v>
      </c>
      <c r="W506" s="529">
        <f>+'NF-KSF-TRIAL-BAL-2020'!P506+'RA-TRIAL-BAL-2020'!P506+'DES-TRIAL-BAL-2020'!P506+'DMP-TRIAL-BAL-2020'!P506</f>
        <v>0</v>
      </c>
      <c r="X506" s="528">
        <f>+'NF-KSF-TRIAL-BAL-2020'!Q506+'RA-TRIAL-BAL-2020'!Q506+'DES-TRIAL-BAL-2020'!Q506+'DMP-TRIAL-BAL-2020'!Q506</f>
        <v>0</v>
      </c>
      <c r="Y506" s="529">
        <f>+'NF-KSF-TRIAL-BAL-2020'!R506+'RA-TRIAL-BAL-2020'!R506+'DES-TRIAL-BAL-2020'!R506+'DMP-TRIAL-BAL-2020'!R506</f>
        <v>0</v>
      </c>
      <c r="Z506" s="528">
        <f>+'NF-KSF-TRIAL-BAL-2020'!S506+'RA-TRIAL-BAL-2020'!S506+'DES-TRIAL-BAL-2020'!S506+'DMP-TRIAL-BAL-2020'!S506</f>
        <v>0</v>
      </c>
      <c r="AA506" s="347">
        <f>+'NF-KSF-TRIAL-BAL-2020'!T506+'RA-TRIAL-BAL-2020'!T506+'DES-TRIAL-BAL-2020'!T506+'DMP-TRIAL-BAL-2020'!T506</f>
        <v>0</v>
      </c>
      <c r="AB506" s="51"/>
      <c r="AC506" s="8">
        <v>0</v>
      </c>
      <c r="AD506" s="9">
        <v>0</v>
      </c>
      <c r="AE506" s="122"/>
      <c r="AF506" s="121"/>
      <c r="AG506" s="27">
        <f t="shared" si="249"/>
        <v>0</v>
      </c>
      <c r="AH506" s="28">
        <f t="shared" si="250"/>
        <v>0</v>
      </c>
      <c r="AI506" s="51"/>
      <c r="AJ506" s="1497">
        <f t="shared" si="244"/>
        <v>6291</v>
      </c>
      <c r="AK506" s="8">
        <v>0</v>
      </c>
      <c r="AL506" s="9">
        <v>0</v>
      </c>
      <c r="AM506" s="326">
        <f t="shared" si="251"/>
        <v>0</v>
      </c>
      <c r="AN506" s="970">
        <f t="shared" si="251"/>
        <v>0</v>
      </c>
      <c r="AO506" s="27">
        <f t="shared" si="245"/>
        <v>0</v>
      </c>
      <c r="AP506" s="28">
        <f t="shared" si="246"/>
        <v>0</v>
      </c>
      <c r="AQ506" s="43"/>
      <c r="AR506" s="358">
        <f t="shared" si="241"/>
        <v>0</v>
      </c>
      <c r="AS506" s="359">
        <f t="shared" si="242"/>
        <v>0</v>
      </c>
      <c r="AT506" s="360">
        <f t="shared" si="243"/>
        <v>0</v>
      </c>
      <c r="AU506" s="43"/>
      <c r="AV506" s="43"/>
      <c r="AW506" s="119"/>
      <c r="AX506" s="119"/>
      <c r="AY506" s="43"/>
      <c r="AZ506" s="43"/>
      <c r="BA506" s="43"/>
      <c r="BB506" s="43"/>
      <c r="BC506" s="43"/>
      <c r="BD506" s="43"/>
    </row>
    <row r="507" spans="1:56" ht="15.75">
      <c r="A507" s="88">
        <v>6292</v>
      </c>
      <c r="B507" s="1033" t="s">
        <v>563</v>
      </c>
      <c r="C507" s="1033"/>
      <c r="D507" s="1033"/>
      <c r="E507" s="1033"/>
      <c r="F507" s="1033"/>
      <c r="G507" s="1033"/>
      <c r="H507" s="1033"/>
      <c r="I507" s="1033"/>
      <c r="J507" s="1033"/>
      <c r="K507" s="1033"/>
      <c r="L507" s="90"/>
      <c r="M507" s="51" t="s">
        <v>265</v>
      </c>
      <c r="N507" s="113">
        <f t="shared" si="240"/>
        <v>6292</v>
      </c>
      <c r="O507" s="8">
        <v>0</v>
      </c>
      <c r="P507" s="9">
        <v>0</v>
      </c>
      <c r="Q507" s="325"/>
      <c r="R507" s="324"/>
      <c r="S507" s="27">
        <f t="shared" si="247"/>
        <v>0</v>
      </c>
      <c r="T507" s="28">
        <f t="shared" si="248"/>
        <v>0</v>
      </c>
      <c r="U507" s="51"/>
      <c r="V507" s="541">
        <f>+'NF-KSF-TRIAL-BAL-2020'!O507+'RA-TRIAL-BAL-2020'!O507+'DES-TRIAL-BAL-2020'!O507+'DMP-TRIAL-BAL-2020'!O507</f>
        <v>0</v>
      </c>
      <c r="W507" s="529">
        <f>+'NF-KSF-TRIAL-BAL-2020'!P507+'RA-TRIAL-BAL-2020'!P507+'DES-TRIAL-BAL-2020'!P507+'DMP-TRIAL-BAL-2020'!P507</f>
        <v>0</v>
      </c>
      <c r="X507" s="528">
        <f>+'NF-KSF-TRIAL-BAL-2020'!Q507+'RA-TRIAL-BAL-2020'!Q507+'DES-TRIAL-BAL-2020'!Q507+'DMP-TRIAL-BAL-2020'!Q507</f>
        <v>0</v>
      </c>
      <c r="Y507" s="529">
        <f>+'NF-KSF-TRIAL-BAL-2020'!R507+'RA-TRIAL-BAL-2020'!R507+'DES-TRIAL-BAL-2020'!R507+'DMP-TRIAL-BAL-2020'!R507</f>
        <v>0</v>
      </c>
      <c r="Z507" s="528">
        <f>+'NF-KSF-TRIAL-BAL-2020'!S507+'RA-TRIAL-BAL-2020'!S507+'DES-TRIAL-BAL-2020'!S507+'DMP-TRIAL-BAL-2020'!S507</f>
        <v>0</v>
      </c>
      <c r="AA507" s="347">
        <f>+'NF-KSF-TRIAL-BAL-2020'!T507+'RA-TRIAL-BAL-2020'!T507+'DES-TRIAL-BAL-2020'!T507+'DMP-TRIAL-BAL-2020'!T507</f>
        <v>0</v>
      </c>
      <c r="AB507" s="51"/>
      <c r="AC507" s="8">
        <v>0</v>
      </c>
      <c r="AD507" s="9">
        <v>0</v>
      </c>
      <c r="AE507" s="122"/>
      <c r="AF507" s="121"/>
      <c r="AG507" s="27">
        <f t="shared" si="249"/>
        <v>0</v>
      </c>
      <c r="AH507" s="28">
        <f t="shared" si="250"/>
        <v>0</v>
      </c>
      <c r="AI507" s="51"/>
      <c r="AJ507" s="1497">
        <f t="shared" si="244"/>
        <v>6292</v>
      </c>
      <c r="AK507" s="8">
        <v>0</v>
      </c>
      <c r="AL507" s="9">
        <v>0</v>
      </c>
      <c r="AM507" s="326">
        <f t="shared" si="251"/>
        <v>0</v>
      </c>
      <c r="AN507" s="970">
        <f t="shared" si="251"/>
        <v>0</v>
      </c>
      <c r="AO507" s="27">
        <f t="shared" si="245"/>
        <v>0</v>
      </c>
      <c r="AP507" s="28">
        <f t="shared" si="246"/>
        <v>0</v>
      </c>
      <c r="AQ507" s="43"/>
      <c r="AR507" s="358">
        <f t="shared" si="241"/>
        <v>0</v>
      </c>
      <c r="AS507" s="359">
        <f t="shared" si="242"/>
        <v>0</v>
      </c>
      <c r="AT507" s="360">
        <f t="shared" si="243"/>
        <v>0</v>
      </c>
      <c r="AU507" s="43"/>
      <c r="AV507" s="43"/>
      <c r="AW507" s="119"/>
      <c r="AX507" s="119"/>
      <c r="AY507" s="43"/>
      <c r="AZ507" s="43"/>
      <c r="BA507" s="43"/>
      <c r="BB507" s="43"/>
      <c r="BC507" s="43"/>
      <c r="BD507" s="43"/>
    </row>
    <row r="508" spans="1:56" ht="15.75">
      <c r="A508" s="88">
        <v>6298</v>
      </c>
      <c r="B508" s="1033" t="s">
        <v>579</v>
      </c>
      <c r="C508" s="1033"/>
      <c r="D508" s="1033"/>
      <c r="E508" s="1033"/>
      <c r="F508" s="1033"/>
      <c r="G508" s="1033"/>
      <c r="H508" s="1033"/>
      <c r="I508" s="1033"/>
      <c r="J508" s="1033"/>
      <c r="K508" s="1033"/>
      <c r="L508" s="90"/>
      <c r="M508" s="51" t="s">
        <v>265</v>
      </c>
      <c r="N508" s="113">
        <f>+A508</f>
        <v>6298</v>
      </c>
      <c r="O508" s="8">
        <v>0</v>
      </c>
      <c r="P508" s="9">
        <v>0</v>
      </c>
      <c r="Q508" s="325"/>
      <c r="R508" s="324"/>
      <c r="S508" s="27">
        <f>+IF(ABS(+O508+Q508)&gt;=ABS(P508+R508),+O508-P508+Q508-R508,0)</f>
        <v>0</v>
      </c>
      <c r="T508" s="28">
        <f>+IF(ABS(+O508+Q508)&lt;=ABS(P508+R508),-O508+P508-Q508+R508,0)</f>
        <v>0</v>
      </c>
      <c r="U508" s="51"/>
      <c r="V508" s="541">
        <f>+'NF-KSF-TRIAL-BAL-2020'!O508+'RA-TRIAL-BAL-2020'!O508+'DES-TRIAL-BAL-2020'!O508+'DMP-TRIAL-BAL-2020'!O508</f>
        <v>0</v>
      </c>
      <c r="W508" s="529">
        <f>+'NF-KSF-TRIAL-BAL-2020'!P508+'RA-TRIAL-BAL-2020'!P508+'DES-TRIAL-BAL-2020'!P508+'DMP-TRIAL-BAL-2020'!P508</f>
        <v>0</v>
      </c>
      <c r="X508" s="528">
        <f>+'NF-KSF-TRIAL-BAL-2020'!Q508+'RA-TRIAL-BAL-2020'!Q508+'DES-TRIAL-BAL-2020'!Q508+'DMP-TRIAL-BAL-2020'!Q508</f>
        <v>0</v>
      </c>
      <c r="Y508" s="529">
        <f>+'NF-KSF-TRIAL-BAL-2020'!R508+'RA-TRIAL-BAL-2020'!R508+'DES-TRIAL-BAL-2020'!R508+'DMP-TRIAL-BAL-2020'!R508</f>
        <v>0</v>
      </c>
      <c r="Z508" s="528">
        <f>+'NF-KSF-TRIAL-BAL-2020'!S508+'RA-TRIAL-BAL-2020'!S508+'DES-TRIAL-BAL-2020'!S508+'DMP-TRIAL-BAL-2020'!S508</f>
        <v>0</v>
      </c>
      <c r="AA508" s="347">
        <f>+'NF-KSF-TRIAL-BAL-2020'!T508+'RA-TRIAL-BAL-2020'!T508+'DES-TRIAL-BAL-2020'!T508+'DMP-TRIAL-BAL-2020'!T508</f>
        <v>0</v>
      </c>
      <c r="AB508" s="51"/>
      <c r="AC508" s="8">
        <v>0</v>
      </c>
      <c r="AD508" s="9">
        <v>0</v>
      </c>
      <c r="AE508" s="122"/>
      <c r="AF508" s="121"/>
      <c r="AG508" s="27">
        <f>+IF(ABS(+AC508+AE508)&gt;=ABS(AD508+AF508),+AC508-AD508+AE508-AF508,0)</f>
        <v>0</v>
      </c>
      <c r="AH508" s="28">
        <f>+IF(ABS(+AC508+AE508)&lt;=ABS(AD508+AF508),-AC508+AD508-AE508+AF508,0)</f>
        <v>0</v>
      </c>
      <c r="AI508" s="51"/>
      <c r="AJ508" s="1497">
        <f>+N508</f>
        <v>6298</v>
      </c>
      <c r="AK508" s="8">
        <v>0</v>
      </c>
      <c r="AL508" s="9">
        <v>0</v>
      </c>
      <c r="AM508" s="326">
        <f t="shared" si="251"/>
        <v>0</v>
      </c>
      <c r="AN508" s="970">
        <f t="shared" si="251"/>
        <v>0</v>
      </c>
      <c r="AO508" s="27">
        <f t="shared" si="245"/>
        <v>0</v>
      </c>
      <c r="AP508" s="28">
        <f t="shared" si="246"/>
        <v>0</v>
      </c>
      <c r="AQ508" s="43"/>
      <c r="AR508" s="358">
        <f>+ROUND(+SUM(AK508-AL508)-SUM(O508-P508)-SUM(V508-W508)-SUM(AC508-AD508),2)</f>
        <v>0</v>
      </c>
      <c r="AS508" s="359">
        <f>+ROUND(+SUM(AM508-AN508)-SUM(Q508-R508)-SUM(X508-Y508)-SUM(AE508-AF508),2)</f>
        <v>0</v>
      </c>
      <c r="AT508" s="360">
        <f>+ROUND(+SUM(AO508-AP508)-SUM(S508-T508)-SUM(Z508-AA508)-SUM(AG508-AH508),2)</f>
        <v>0</v>
      </c>
      <c r="AU508" s="43"/>
      <c r="AV508" s="43"/>
      <c r="AW508" s="119"/>
      <c r="AX508" s="119"/>
      <c r="AY508" s="43"/>
      <c r="AZ508" s="43"/>
      <c r="BA508" s="43"/>
      <c r="BB508" s="43"/>
      <c r="BC508" s="43"/>
      <c r="BD508" s="43"/>
    </row>
    <row r="509" spans="1:56" ht="15.75">
      <c r="A509" s="88">
        <v>6401</v>
      </c>
      <c r="B509" s="1033" t="s">
        <v>580</v>
      </c>
      <c r="C509" s="1033"/>
      <c r="D509" s="1033"/>
      <c r="E509" s="1033"/>
      <c r="F509" s="1033"/>
      <c r="G509" s="1033"/>
      <c r="H509" s="1033"/>
      <c r="I509" s="1033"/>
      <c r="J509" s="1033"/>
      <c r="K509" s="1033"/>
      <c r="L509" s="90"/>
      <c r="M509" s="51" t="s">
        <v>265</v>
      </c>
      <c r="N509" s="113">
        <f t="shared" si="240"/>
        <v>6401</v>
      </c>
      <c r="O509" s="8">
        <v>0</v>
      </c>
      <c r="P509" s="9">
        <v>0</v>
      </c>
      <c r="Q509" s="325"/>
      <c r="R509" s="324"/>
      <c r="S509" s="27">
        <f t="shared" si="247"/>
        <v>0</v>
      </c>
      <c r="T509" s="28">
        <f t="shared" si="248"/>
        <v>0</v>
      </c>
      <c r="U509" s="51"/>
      <c r="V509" s="541">
        <f>+'NF-KSF-TRIAL-BAL-2020'!O509+'RA-TRIAL-BAL-2020'!O509+'DES-TRIAL-BAL-2020'!O509+'DMP-TRIAL-BAL-2020'!O509</f>
        <v>0</v>
      </c>
      <c r="W509" s="529">
        <f>+'NF-KSF-TRIAL-BAL-2020'!P509+'RA-TRIAL-BAL-2020'!P509+'DES-TRIAL-BAL-2020'!P509+'DMP-TRIAL-BAL-2020'!P509</f>
        <v>0</v>
      </c>
      <c r="X509" s="528">
        <f>+'NF-KSF-TRIAL-BAL-2020'!Q509+'RA-TRIAL-BAL-2020'!Q509+'DES-TRIAL-BAL-2020'!Q509+'DMP-TRIAL-BAL-2020'!Q509</f>
        <v>0</v>
      </c>
      <c r="Y509" s="529">
        <f>+'NF-KSF-TRIAL-BAL-2020'!R509+'RA-TRIAL-BAL-2020'!R509+'DES-TRIAL-BAL-2020'!R509+'DMP-TRIAL-BAL-2020'!R509</f>
        <v>0</v>
      </c>
      <c r="Z509" s="528">
        <f>+'NF-KSF-TRIAL-BAL-2020'!S509+'RA-TRIAL-BAL-2020'!S509+'DES-TRIAL-BAL-2020'!S509+'DMP-TRIAL-BAL-2020'!S509</f>
        <v>0</v>
      </c>
      <c r="AA509" s="347">
        <f>+'NF-KSF-TRIAL-BAL-2020'!T509+'RA-TRIAL-BAL-2020'!T509+'DES-TRIAL-BAL-2020'!T509+'DMP-TRIAL-BAL-2020'!T509</f>
        <v>0</v>
      </c>
      <c r="AB509" s="51"/>
      <c r="AC509" s="8">
        <v>0</v>
      </c>
      <c r="AD509" s="9">
        <v>0</v>
      </c>
      <c r="AE509" s="122"/>
      <c r="AF509" s="121"/>
      <c r="AG509" s="27">
        <f t="shared" si="249"/>
        <v>0</v>
      </c>
      <c r="AH509" s="28">
        <f t="shared" si="250"/>
        <v>0</v>
      </c>
      <c r="AI509" s="51"/>
      <c r="AJ509" s="1497">
        <f t="shared" si="244"/>
        <v>6401</v>
      </c>
      <c r="AK509" s="8">
        <v>0</v>
      </c>
      <c r="AL509" s="9">
        <v>0</v>
      </c>
      <c r="AM509" s="326">
        <f t="shared" si="251"/>
        <v>0</v>
      </c>
      <c r="AN509" s="970">
        <f t="shared" si="251"/>
        <v>0</v>
      </c>
      <c r="AO509" s="27">
        <f t="shared" si="245"/>
        <v>0</v>
      </c>
      <c r="AP509" s="28">
        <f t="shared" si="246"/>
        <v>0</v>
      </c>
      <c r="AQ509" s="43"/>
      <c r="AR509" s="358">
        <f t="shared" si="241"/>
        <v>0</v>
      </c>
      <c r="AS509" s="359">
        <f t="shared" si="242"/>
        <v>0</v>
      </c>
      <c r="AT509" s="360">
        <f t="shared" si="243"/>
        <v>0</v>
      </c>
      <c r="AU509" s="43"/>
      <c r="AV509" s="43"/>
      <c r="AW509" s="119"/>
      <c r="AX509" s="119"/>
      <c r="AY509" s="43"/>
      <c r="AZ509" s="43"/>
      <c r="BA509" s="43"/>
      <c r="BB509" s="43"/>
      <c r="BC509" s="43"/>
      <c r="BD509" s="43"/>
    </row>
    <row r="510" spans="1:56" ht="15.75">
      <c r="A510" s="88">
        <v>6402</v>
      </c>
      <c r="B510" s="1033" t="s">
        <v>581</v>
      </c>
      <c r="C510" s="1033"/>
      <c r="D510" s="1033"/>
      <c r="E510" s="1033"/>
      <c r="F510" s="1033"/>
      <c r="G510" s="1033"/>
      <c r="H510" s="1033"/>
      <c r="I510" s="1033"/>
      <c r="J510" s="1033"/>
      <c r="K510" s="1033"/>
      <c r="L510" s="90"/>
      <c r="M510" s="51" t="s">
        <v>265</v>
      </c>
      <c r="N510" s="113">
        <f t="shared" si="240"/>
        <v>6402</v>
      </c>
      <c r="O510" s="8">
        <v>0</v>
      </c>
      <c r="P510" s="9">
        <v>0</v>
      </c>
      <c r="Q510" s="325"/>
      <c r="R510" s="324"/>
      <c r="S510" s="27">
        <f t="shared" si="247"/>
        <v>0</v>
      </c>
      <c r="T510" s="28">
        <f t="shared" si="248"/>
        <v>0</v>
      </c>
      <c r="U510" s="51"/>
      <c r="V510" s="541">
        <f>+'NF-KSF-TRIAL-BAL-2020'!O510+'RA-TRIAL-BAL-2020'!O510+'DES-TRIAL-BAL-2020'!O510+'DMP-TRIAL-BAL-2020'!O510</f>
        <v>0</v>
      </c>
      <c r="W510" s="529">
        <f>+'NF-KSF-TRIAL-BAL-2020'!P510+'RA-TRIAL-BAL-2020'!P510+'DES-TRIAL-BAL-2020'!P510+'DMP-TRIAL-BAL-2020'!P510</f>
        <v>0</v>
      </c>
      <c r="X510" s="528">
        <f>+'NF-KSF-TRIAL-BAL-2020'!Q510+'RA-TRIAL-BAL-2020'!Q510+'DES-TRIAL-BAL-2020'!Q510+'DMP-TRIAL-BAL-2020'!Q510</f>
        <v>0</v>
      </c>
      <c r="Y510" s="529">
        <f>+'NF-KSF-TRIAL-BAL-2020'!R510+'RA-TRIAL-BAL-2020'!R510+'DES-TRIAL-BAL-2020'!R510+'DMP-TRIAL-BAL-2020'!R510</f>
        <v>0</v>
      </c>
      <c r="Z510" s="528">
        <f>+'NF-KSF-TRIAL-BAL-2020'!S510+'RA-TRIAL-BAL-2020'!S510+'DES-TRIAL-BAL-2020'!S510+'DMP-TRIAL-BAL-2020'!S510</f>
        <v>0</v>
      </c>
      <c r="AA510" s="347">
        <f>+'NF-KSF-TRIAL-BAL-2020'!T510+'RA-TRIAL-BAL-2020'!T510+'DES-TRIAL-BAL-2020'!T510+'DMP-TRIAL-BAL-2020'!T510</f>
        <v>0</v>
      </c>
      <c r="AB510" s="51"/>
      <c r="AC510" s="8">
        <v>0</v>
      </c>
      <c r="AD510" s="9">
        <v>0</v>
      </c>
      <c r="AE510" s="122"/>
      <c r="AF510" s="121"/>
      <c r="AG510" s="27">
        <f t="shared" si="249"/>
        <v>0</v>
      </c>
      <c r="AH510" s="28">
        <f t="shared" si="250"/>
        <v>0</v>
      </c>
      <c r="AI510" s="51"/>
      <c r="AJ510" s="1497">
        <f t="shared" si="244"/>
        <v>6402</v>
      </c>
      <c r="AK510" s="8">
        <v>0</v>
      </c>
      <c r="AL510" s="9">
        <v>0</v>
      </c>
      <c r="AM510" s="326">
        <f t="shared" si="251"/>
        <v>0</v>
      </c>
      <c r="AN510" s="970">
        <f t="shared" si="251"/>
        <v>0</v>
      </c>
      <c r="AO510" s="27">
        <f t="shared" si="245"/>
        <v>0</v>
      </c>
      <c r="AP510" s="28">
        <f t="shared" si="246"/>
        <v>0</v>
      </c>
      <c r="AQ510" s="43"/>
      <c r="AR510" s="358">
        <f t="shared" si="241"/>
        <v>0</v>
      </c>
      <c r="AS510" s="359">
        <f t="shared" si="242"/>
        <v>0</v>
      </c>
      <c r="AT510" s="360">
        <f t="shared" si="243"/>
        <v>0</v>
      </c>
      <c r="AU510" s="43"/>
      <c r="AV510" s="43"/>
      <c r="AW510" s="119"/>
      <c r="AX510" s="119"/>
      <c r="AY510" s="43"/>
      <c r="AZ510" s="43"/>
      <c r="BA510" s="43"/>
      <c r="BB510" s="43"/>
      <c r="BC510" s="43"/>
      <c r="BD510" s="43"/>
    </row>
    <row r="511" spans="1:56" ht="15.75">
      <c r="A511" s="88">
        <v>6411</v>
      </c>
      <c r="B511" s="1033" t="s">
        <v>582</v>
      </c>
      <c r="C511" s="1033"/>
      <c r="D511" s="1033"/>
      <c r="E511" s="1033"/>
      <c r="F511" s="1033"/>
      <c r="G511" s="1033"/>
      <c r="H511" s="1033"/>
      <c r="I511" s="1033"/>
      <c r="J511" s="1033"/>
      <c r="K511" s="1033"/>
      <c r="L511" s="90"/>
      <c r="M511" s="51" t="s">
        <v>265</v>
      </c>
      <c r="N511" s="113">
        <f t="shared" si="240"/>
        <v>6411</v>
      </c>
      <c r="O511" s="8">
        <v>0</v>
      </c>
      <c r="P511" s="9">
        <v>0</v>
      </c>
      <c r="Q511" s="325">
        <v>0</v>
      </c>
      <c r="R511" s="324">
        <v>0</v>
      </c>
      <c r="S511" s="27">
        <f t="shared" si="247"/>
        <v>0</v>
      </c>
      <c r="T511" s="28">
        <f t="shared" si="248"/>
        <v>0</v>
      </c>
      <c r="U511" s="51"/>
      <c r="V511" s="541">
        <f>+'NF-KSF-TRIAL-BAL-2020'!O511+'RA-TRIAL-BAL-2020'!O511+'DES-TRIAL-BAL-2020'!O511+'DMP-TRIAL-BAL-2020'!O511</f>
        <v>0</v>
      </c>
      <c r="W511" s="529">
        <f>+'NF-KSF-TRIAL-BAL-2020'!P511+'RA-TRIAL-BAL-2020'!P511+'DES-TRIAL-BAL-2020'!P511+'DMP-TRIAL-BAL-2020'!P511</f>
        <v>0</v>
      </c>
      <c r="X511" s="528">
        <f>+'NF-KSF-TRIAL-BAL-2020'!Q511+'RA-TRIAL-BAL-2020'!Q511+'DES-TRIAL-BAL-2020'!Q511+'DMP-TRIAL-BAL-2020'!Q511</f>
        <v>0</v>
      </c>
      <c r="Y511" s="529">
        <f>+'NF-KSF-TRIAL-BAL-2020'!R511+'RA-TRIAL-BAL-2020'!R511+'DES-TRIAL-BAL-2020'!R511+'DMP-TRIAL-BAL-2020'!R511</f>
        <v>0</v>
      </c>
      <c r="Z511" s="528">
        <f>+'NF-KSF-TRIAL-BAL-2020'!S511+'RA-TRIAL-BAL-2020'!S511+'DES-TRIAL-BAL-2020'!S511+'DMP-TRIAL-BAL-2020'!S511</f>
        <v>0</v>
      </c>
      <c r="AA511" s="347">
        <f>+'NF-KSF-TRIAL-BAL-2020'!T511+'RA-TRIAL-BAL-2020'!T511+'DES-TRIAL-BAL-2020'!T511+'DMP-TRIAL-BAL-2020'!T511</f>
        <v>0</v>
      </c>
      <c r="AB511" s="51"/>
      <c r="AC511" s="8">
        <v>0</v>
      </c>
      <c r="AD511" s="9">
        <v>0</v>
      </c>
      <c r="AE511" s="122">
        <v>0</v>
      </c>
      <c r="AF511" s="121">
        <v>0</v>
      </c>
      <c r="AG511" s="27">
        <f t="shared" si="249"/>
        <v>0</v>
      </c>
      <c r="AH511" s="28">
        <f t="shared" si="250"/>
        <v>0</v>
      </c>
      <c r="AI511" s="51"/>
      <c r="AJ511" s="1497">
        <f t="shared" si="244"/>
        <v>6411</v>
      </c>
      <c r="AK511" s="8">
        <v>0</v>
      </c>
      <c r="AL511" s="9">
        <v>0</v>
      </c>
      <c r="AM511" s="326">
        <f t="shared" si="251"/>
        <v>0</v>
      </c>
      <c r="AN511" s="970">
        <f t="shared" si="251"/>
        <v>0</v>
      </c>
      <c r="AO511" s="27">
        <f t="shared" si="245"/>
        <v>0</v>
      </c>
      <c r="AP511" s="28">
        <f t="shared" si="246"/>
        <v>0</v>
      </c>
      <c r="AQ511" s="43"/>
      <c r="AR511" s="358">
        <f t="shared" si="241"/>
        <v>0</v>
      </c>
      <c r="AS511" s="359">
        <f t="shared" si="242"/>
        <v>0</v>
      </c>
      <c r="AT511" s="360">
        <f t="shared" si="243"/>
        <v>0</v>
      </c>
      <c r="AU511" s="43"/>
      <c r="AV511" s="43"/>
      <c r="AW511" s="119"/>
      <c r="AX511" s="119"/>
      <c r="AY511" s="43"/>
      <c r="AZ511" s="43"/>
      <c r="BA511" s="43"/>
      <c r="BB511" s="43"/>
      <c r="BC511" s="43"/>
      <c r="BD511" s="43"/>
    </row>
    <row r="512" spans="1:56" ht="15.75">
      <c r="A512" s="88">
        <v>6412</v>
      </c>
      <c r="B512" s="1033" t="s">
        <v>583</v>
      </c>
      <c r="C512" s="1033"/>
      <c r="D512" s="1033"/>
      <c r="E512" s="1033"/>
      <c r="F512" s="1033"/>
      <c r="G512" s="1033"/>
      <c r="H512" s="1033"/>
      <c r="I512" s="1033"/>
      <c r="J512" s="1033"/>
      <c r="K512" s="1033"/>
      <c r="L512" s="90"/>
      <c r="M512" s="51" t="s">
        <v>265</v>
      </c>
      <c r="N512" s="113">
        <f t="shared" si="240"/>
        <v>6412</v>
      </c>
      <c r="O512" s="8">
        <v>0</v>
      </c>
      <c r="P512" s="9">
        <v>0</v>
      </c>
      <c r="Q512" s="325"/>
      <c r="R512" s="324"/>
      <c r="S512" s="27">
        <f t="shared" si="247"/>
        <v>0</v>
      </c>
      <c r="T512" s="28">
        <f t="shared" si="248"/>
        <v>0</v>
      </c>
      <c r="U512" s="51"/>
      <c r="V512" s="541">
        <f>+'NF-KSF-TRIAL-BAL-2020'!O512+'RA-TRIAL-BAL-2020'!O512+'DES-TRIAL-BAL-2020'!O512+'DMP-TRIAL-BAL-2020'!O512</f>
        <v>0</v>
      </c>
      <c r="W512" s="529">
        <f>+'NF-KSF-TRIAL-BAL-2020'!P512+'RA-TRIAL-BAL-2020'!P512+'DES-TRIAL-BAL-2020'!P512+'DMP-TRIAL-BAL-2020'!P512</f>
        <v>0</v>
      </c>
      <c r="X512" s="528">
        <f>+'NF-KSF-TRIAL-BAL-2020'!Q512+'RA-TRIAL-BAL-2020'!Q512+'DES-TRIAL-BAL-2020'!Q512+'DMP-TRIAL-BAL-2020'!Q512</f>
        <v>0</v>
      </c>
      <c r="Y512" s="529">
        <f>+'NF-KSF-TRIAL-BAL-2020'!R512+'RA-TRIAL-BAL-2020'!R512+'DES-TRIAL-BAL-2020'!R512+'DMP-TRIAL-BAL-2020'!R512</f>
        <v>0</v>
      </c>
      <c r="Z512" s="528">
        <f>+'NF-KSF-TRIAL-BAL-2020'!S512+'RA-TRIAL-BAL-2020'!S512+'DES-TRIAL-BAL-2020'!S512+'DMP-TRIAL-BAL-2020'!S512</f>
        <v>0</v>
      </c>
      <c r="AA512" s="347">
        <f>+'NF-KSF-TRIAL-BAL-2020'!T512+'RA-TRIAL-BAL-2020'!T512+'DES-TRIAL-BAL-2020'!T512+'DMP-TRIAL-BAL-2020'!T512</f>
        <v>0</v>
      </c>
      <c r="AB512" s="51"/>
      <c r="AC512" s="8">
        <v>0</v>
      </c>
      <c r="AD512" s="9">
        <v>0</v>
      </c>
      <c r="AE512" s="122"/>
      <c r="AF512" s="121"/>
      <c r="AG512" s="27">
        <f t="shared" si="249"/>
        <v>0</v>
      </c>
      <c r="AH512" s="28">
        <f t="shared" si="250"/>
        <v>0</v>
      </c>
      <c r="AI512" s="51"/>
      <c r="AJ512" s="1497">
        <f t="shared" si="244"/>
        <v>6412</v>
      </c>
      <c r="AK512" s="8">
        <v>0</v>
      </c>
      <c r="AL512" s="9">
        <v>0</v>
      </c>
      <c r="AM512" s="326">
        <f t="shared" si="251"/>
        <v>0</v>
      </c>
      <c r="AN512" s="970">
        <f t="shared" si="251"/>
        <v>0</v>
      </c>
      <c r="AO512" s="27">
        <f t="shared" si="245"/>
        <v>0</v>
      </c>
      <c r="AP512" s="28">
        <f t="shared" si="246"/>
        <v>0</v>
      </c>
      <c r="AQ512" s="43"/>
      <c r="AR512" s="358">
        <f t="shared" si="241"/>
        <v>0</v>
      </c>
      <c r="AS512" s="359">
        <f t="shared" si="242"/>
        <v>0</v>
      </c>
      <c r="AT512" s="360">
        <f t="shared" si="243"/>
        <v>0</v>
      </c>
      <c r="AU512" s="43"/>
      <c r="AV512" s="43"/>
      <c r="AW512" s="119"/>
      <c r="AX512" s="119"/>
      <c r="AY512" s="43"/>
      <c r="AZ512" s="43"/>
      <c r="BA512" s="43"/>
      <c r="BB512" s="43"/>
      <c r="BC512" s="43"/>
      <c r="BD512" s="43"/>
    </row>
    <row r="513" spans="1:56" ht="15.75">
      <c r="A513" s="88">
        <v>6421</v>
      </c>
      <c r="B513" s="378" t="s">
        <v>584</v>
      </c>
      <c r="C513" s="1033"/>
      <c r="D513" s="1033"/>
      <c r="E513" s="1033"/>
      <c r="F513" s="1033"/>
      <c r="G513" s="1033"/>
      <c r="H513" s="1033"/>
      <c r="I513" s="1033"/>
      <c r="J513" s="1033"/>
      <c r="K513" s="1033"/>
      <c r="L513" s="90"/>
      <c r="M513" s="51" t="s">
        <v>265</v>
      </c>
      <c r="N513" s="113">
        <f t="shared" si="240"/>
        <v>6421</v>
      </c>
      <c r="O513" s="8">
        <v>0</v>
      </c>
      <c r="P513" s="9">
        <v>0</v>
      </c>
      <c r="Q513" s="325"/>
      <c r="R513" s="324"/>
      <c r="S513" s="27">
        <f t="shared" si="247"/>
        <v>0</v>
      </c>
      <c r="T513" s="28">
        <f t="shared" si="248"/>
        <v>0</v>
      </c>
      <c r="U513" s="51"/>
      <c r="V513" s="541">
        <f>+'NF-KSF-TRIAL-BAL-2020'!O513+'RA-TRIAL-BAL-2020'!O513+'DES-TRIAL-BAL-2020'!O513+'DMP-TRIAL-BAL-2020'!O513</f>
        <v>0</v>
      </c>
      <c r="W513" s="529">
        <f>+'NF-KSF-TRIAL-BAL-2020'!P513+'RA-TRIAL-BAL-2020'!P513+'DES-TRIAL-BAL-2020'!P513+'DMP-TRIAL-BAL-2020'!P513</f>
        <v>0</v>
      </c>
      <c r="X513" s="528">
        <f>+'NF-KSF-TRIAL-BAL-2020'!Q513+'RA-TRIAL-BAL-2020'!Q513+'DES-TRIAL-BAL-2020'!Q513+'DMP-TRIAL-BAL-2020'!Q513</f>
        <v>0</v>
      </c>
      <c r="Y513" s="529">
        <f>+'NF-KSF-TRIAL-BAL-2020'!R513+'RA-TRIAL-BAL-2020'!R513+'DES-TRIAL-BAL-2020'!R513+'DMP-TRIAL-BAL-2020'!R513</f>
        <v>0</v>
      </c>
      <c r="Z513" s="528">
        <f>+'NF-KSF-TRIAL-BAL-2020'!S513+'RA-TRIAL-BAL-2020'!S513+'DES-TRIAL-BAL-2020'!S513+'DMP-TRIAL-BAL-2020'!S513</f>
        <v>0</v>
      </c>
      <c r="AA513" s="347">
        <f>+'NF-KSF-TRIAL-BAL-2020'!T513+'RA-TRIAL-BAL-2020'!T513+'DES-TRIAL-BAL-2020'!T513+'DMP-TRIAL-BAL-2020'!T513</f>
        <v>0</v>
      </c>
      <c r="AB513" s="51"/>
      <c r="AC513" s="8">
        <v>0</v>
      </c>
      <c r="AD513" s="9">
        <v>0</v>
      </c>
      <c r="AE513" s="122"/>
      <c r="AF513" s="121"/>
      <c r="AG513" s="27">
        <f t="shared" si="249"/>
        <v>0</v>
      </c>
      <c r="AH513" s="28">
        <f t="shared" si="250"/>
        <v>0</v>
      </c>
      <c r="AI513" s="51"/>
      <c r="AJ513" s="1497">
        <f t="shared" si="244"/>
        <v>6421</v>
      </c>
      <c r="AK513" s="8">
        <v>0</v>
      </c>
      <c r="AL513" s="9">
        <v>0</v>
      </c>
      <c r="AM513" s="326">
        <f t="shared" si="251"/>
        <v>0</v>
      </c>
      <c r="AN513" s="970">
        <f t="shared" si="251"/>
        <v>0</v>
      </c>
      <c r="AO513" s="27">
        <f t="shared" si="245"/>
        <v>0</v>
      </c>
      <c r="AP513" s="28">
        <f t="shared" si="246"/>
        <v>0</v>
      </c>
      <c r="AQ513" s="43"/>
      <c r="AR513" s="358">
        <f t="shared" si="241"/>
        <v>0</v>
      </c>
      <c r="AS513" s="359">
        <f t="shared" si="242"/>
        <v>0</v>
      </c>
      <c r="AT513" s="360">
        <f t="shared" si="243"/>
        <v>0</v>
      </c>
      <c r="AU513" s="43"/>
      <c r="AV513" s="43"/>
      <c r="AW513" s="119"/>
      <c r="AX513" s="119"/>
      <c r="AY513" s="43"/>
      <c r="AZ513" s="43"/>
      <c r="BA513" s="43"/>
      <c r="BB513" s="43"/>
      <c r="BC513" s="43"/>
      <c r="BD513" s="43"/>
    </row>
    <row r="514" spans="1:56" ht="15.75">
      <c r="A514" s="88">
        <v>6422</v>
      </c>
      <c r="B514" s="378" t="s">
        <v>585</v>
      </c>
      <c r="C514" s="1033"/>
      <c r="D514" s="1033"/>
      <c r="E514" s="1033"/>
      <c r="F514" s="1033"/>
      <c r="G514" s="1033"/>
      <c r="H514" s="1033"/>
      <c r="I514" s="1033"/>
      <c r="J514" s="1033"/>
      <c r="K514" s="1033"/>
      <c r="L514" s="90"/>
      <c r="M514" s="51" t="s">
        <v>265</v>
      </c>
      <c r="N514" s="113">
        <f t="shared" si="240"/>
        <v>6422</v>
      </c>
      <c r="O514" s="8">
        <v>0</v>
      </c>
      <c r="P514" s="9">
        <v>0</v>
      </c>
      <c r="Q514" s="325"/>
      <c r="R514" s="324"/>
      <c r="S514" s="27">
        <f t="shared" si="247"/>
        <v>0</v>
      </c>
      <c r="T514" s="28">
        <f t="shared" si="248"/>
        <v>0</v>
      </c>
      <c r="U514" s="51"/>
      <c r="V514" s="541">
        <f>+'NF-KSF-TRIAL-BAL-2020'!O514+'RA-TRIAL-BAL-2020'!O514+'DES-TRIAL-BAL-2020'!O514+'DMP-TRIAL-BAL-2020'!O514</f>
        <v>0</v>
      </c>
      <c r="W514" s="529">
        <f>+'NF-KSF-TRIAL-BAL-2020'!P514+'RA-TRIAL-BAL-2020'!P514+'DES-TRIAL-BAL-2020'!P514+'DMP-TRIAL-BAL-2020'!P514</f>
        <v>0</v>
      </c>
      <c r="X514" s="528">
        <f>+'NF-KSF-TRIAL-BAL-2020'!Q514+'RA-TRIAL-BAL-2020'!Q514+'DES-TRIAL-BAL-2020'!Q514+'DMP-TRIAL-BAL-2020'!Q514</f>
        <v>0</v>
      </c>
      <c r="Y514" s="529">
        <f>+'NF-KSF-TRIAL-BAL-2020'!R514+'RA-TRIAL-BAL-2020'!R514+'DES-TRIAL-BAL-2020'!R514+'DMP-TRIAL-BAL-2020'!R514</f>
        <v>0</v>
      </c>
      <c r="Z514" s="528">
        <f>+'NF-KSF-TRIAL-BAL-2020'!S514+'RA-TRIAL-BAL-2020'!S514+'DES-TRIAL-BAL-2020'!S514+'DMP-TRIAL-BAL-2020'!S514</f>
        <v>0</v>
      </c>
      <c r="AA514" s="347">
        <f>+'NF-KSF-TRIAL-BAL-2020'!T514+'RA-TRIAL-BAL-2020'!T514+'DES-TRIAL-BAL-2020'!T514+'DMP-TRIAL-BAL-2020'!T514</f>
        <v>0</v>
      </c>
      <c r="AB514" s="51"/>
      <c r="AC514" s="8">
        <v>0</v>
      </c>
      <c r="AD514" s="9">
        <v>0</v>
      </c>
      <c r="AE514" s="122"/>
      <c r="AF514" s="121"/>
      <c r="AG514" s="27">
        <f t="shared" si="249"/>
        <v>0</v>
      </c>
      <c r="AH514" s="28">
        <f t="shared" si="250"/>
        <v>0</v>
      </c>
      <c r="AI514" s="51"/>
      <c r="AJ514" s="1497">
        <f t="shared" si="244"/>
        <v>6422</v>
      </c>
      <c r="AK514" s="8">
        <v>0</v>
      </c>
      <c r="AL514" s="9">
        <v>0</v>
      </c>
      <c r="AM514" s="326">
        <f t="shared" si="251"/>
        <v>0</v>
      </c>
      <c r="AN514" s="970">
        <f t="shared" si="251"/>
        <v>0</v>
      </c>
      <c r="AO514" s="27">
        <f t="shared" si="245"/>
        <v>0</v>
      </c>
      <c r="AP514" s="28">
        <f t="shared" si="246"/>
        <v>0</v>
      </c>
      <c r="AQ514" s="43"/>
      <c r="AR514" s="358">
        <f t="shared" si="241"/>
        <v>0</v>
      </c>
      <c r="AS514" s="359">
        <f t="shared" si="242"/>
        <v>0</v>
      </c>
      <c r="AT514" s="360">
        <f t="shared" si="243"/>
        <v>0</v>
      </c>
      <c r="AU514" s="43"/>
      <c r="AV514" s="43"/>
      <c r="AW514" s="119"/>
      <c r="AX514" s="119"/>
      <c r="AY514" s="43"/>
      <c r="AZ514" s="43"/>
      <c r="BA514" s="43"/>
      <c r="BB514" s="43"/>
      <c r="BC514" s="43"/>
      <c r="BD514" s="43"/>
    </row>
    <row r="515" spans="1:56" ht="15.75">
      <c r="A515" s="88">
        <v>6423</v>
      </c>
      <c r="B515" s="378" t="s">
        <v>586</v>
      </c>
      <c r="C515" s="1033"/>
      <c r="D515" s="1033"/>
      <c r="E515" s="1033"/>
      <c r="F515" s="1033"/>
      <c r="G515" s="1033"/>
      <c r="H515" s="1033"/>
      <c r="I515" s="1033"/>
      <c r="J515" s="1033"/>
      <c r="K515" s="1033"/>
      <c r="L515" s="90"/>
      <c r="M515" s="51" t="s">
        <v>265</v>
      </c>
      <c r="N515" s="113">
        <f t="shared" si="240"/>
        <v>6423</v>
      </c>
      <c r="O515" s="8">
        <v>0</v>
      </c>
      <c r="P515" s="9">
        <v>0</v>
      </c>
      <c r="Q515" s="325"/>
      <c r="R515" s="324"/>
      <c r="S515" s="27">
        <f t="shared" si="247"/>
        <v>0</v>
      </c>
      <c r="T515" s="28">
        <f t="shared" si="248"/>
        <v>0</v>
      </c>
      <c r="U515" s="51"/>
      <c r="V515" s="541">
        <f>+'NF-KSF-TRIAL-BAL-2020'!O515+'RA-TRIAL-BAL-2020'!O515+'DES-TRIAL-BAL-2020'!O515+'DMP-TRIAL-BAL-2020'!O515</f>
        <v>0</v>
      </c>
      <c r="W515" s="529">
        <f>+'NF-KSF-TRIAL-BAL-2020'!P515+'RA-TRIAL-BAL-2020'!P515+'DES-TRIAL-BAL-2020'!P515+'DMP-TRIAL-BAL-2020'!P515</f>
        <v>0</v>
      </c>
      <c r="X515" s="528">
        <f>+'NF-KSF-TRIAL-BAL-2020'!Q515+'RA-TRIAL-BAL-2020'!Q515+'DES-TRIAL-BAL-2020'!Q515+'DMP-TRIAL-BAL-2020'!Q515</f>
        <v>0</v>
      </c>
      <c r="Y515" s="529">
        <f>+'NF-KSF-TRIAL-BAL-2020'!R515+'RA-TRIAL-BAL-2020'!R515+'DES-TRIAL-BAL-2020'!R515+'DMP-TRIAL-BAL-2020'!R515</f>
        <v>0</v>
      </c>
      <c r="Z515" s="528">
        <f>+'NF-KSF-TRIAL-BAL-2020'!S515+'RA-TRIAL-BAL-2020'!S515+'DES-TRIAL-BAL-2020'!S515+'DMP-TRIAL-BAL-2020'!S515</f>
        <v>0</v>
      </c>
      <c r="AA515" s="347">
        <f>+'NF-KSF-TRIAL-BAL-2020'!T515+'RA-TRIAL-BAL-2020'!T515+'DES-TRIAL-BAL-2020'!T515+'DMP-TRIAL-BAL-2020'!T515</f>
        <v>0</v>
      </c>
      <c r="AB515" s="51"/>
      <c r="AC515" s="8">
        <v>0</v>
      </c>
      <c r="AD515" s="9">
        <v>0</v>
      </c>
      <c r="AE515" s="122"/>
      <c r="AF515" s="121"/>
      <c r="AG515" s="27">
        <f t="shared" si="249"/>
        <v>0</v>
      </c>
      <c r="AH515" s="28">
        <f t="shared" si="250"/>
        <v>0</v>
      </c>
      <c r="AI515" s="51"/>
      <c r="AJ515" s="1497">
        <f t="shared" si="244"/>
        <v>6423</v>
      </c>
      <c r="AK515" s="8">
        <v>0</v>
      </c>
      <c r="AL515" s="9">
        <v>0</v>
      </c>
      <c r="AM515" s="326">
        <f t="shared" si="251"/>
        <v>0</v>
      </c>
      <c r="AN515" s="970">
        <f t="shared" si="251"/>
        <v>0</v>
      </c>
      <c r="AO515" s="27">
        <f t="shared" si="245"/>
        <v>0</v>
      </c>
      <c r="AP515" s="28">
        <f t="shared" si="246"/>
        <v>0</v>
      </c>
      <c r="AQ515" s="43"/>
      <c r="AR515" s="358">
        <f t="shared" si="241"/>
        <v>0</v>
      </c>
      <c r="AS515" s="359">
        <f t="shared" si="242"/>
        <v>0</v>
      </c>
      <c r="AT515" s="360">
        <f t="shared" si="243"/>
        <v>0</v>
      </c>
      <c r="AU515" s="43"/>
      <c r="AV515" s="43"/>
      <c r="AW515" s="119"/>
      <c r="AX515" s="119"/>
      <c r="AY515" s="43"/>
      <c r="AZ515" s="43"/>
      <c r="BA515" s="43"/>
      <c r="BB515" s="43"/>
      <c r="BC515" s="43"/>
      <c r="BD515" s="43"/>
    </row>
    <row r="516" spans="1:56" ht="15.75">
      <c r="A516" s="88">
        <v>6424</v>
      </c>
      <c r="B516" s="378" t="s">
        <v>587</v>
      </c>
      <c r="C516" s="1033"/>
      <c r="D516" s="1033"/>
      <c r="E516" s="1033"/>
      <c r="F516" s="1033"/>
      <c r="G516" s="1033"/>
      <c r="H516" s="1033"/>
      <c r="I516" s="1033"/>
      <c r="J516" s="1033"/>
      <c r="K516" s="1033"/>
      <c r="L516" s="90"/>
      <c r="M516" s="51" t="s">
        <v>265</v>
      </c>
      <c r="N516" s="113">
        <f t="shared" si="240"/>
        <v>6424</v>
      </c>
      <c r="O516" s="8">
        <v>0</v>
      </c>
      <c r="P516" s="9">
        <v>0</v>
      </c>
      <c r="Q516" s="325"/>
      <c r="R516" s="324"/>
      <c r="S516" s="27">
        <f t="shared" si="247"/>
        <v>0</v>
      </c>
      <c r="T516" s="28">
        <f t="shared" si="248"/>
        <v>0</v>
      </c>
      <c r="U516" s="51"/>
      <c r="V516" s="541">
        <f>+'NF-KSF-TRIAL-BAL-2020'!O516+'RA-TRIAL-BAL-2020'!O516+'DES-TRIAL-BAL-2020'!O516+'DMP-TRIAL-BAL-2020'!O516</f>
        <v>0</v>
      </c>
      <c r="W516" s="529">
        <f>+'NF-KSF-TRIAL-BAL-2020'!P516+'RA-TRIAL-BAL-2020'!P516+'DES-TRIAL-BAL-2020'!P516+'DMP-TRIAL-BAL-2020'!P516</f>
        <v>0</v>
      </c>
      <c r="X516" s="528">
        <f>+'NF-KSF-TRIAL-BAL-2020'!Q516+'RA-TRIAL-BAL-2020'!Q516+'DES-TRIAL-BAL-2020'!Q516+'DMP-TRIAL-BAL-2020'!Q516</f>
        <v>0</v>
      </c>
      <c r="Y516" s="529">
        <f>+'NF-KSF-TRIAL-BAL-2020'!R516+'RA-TRIAL-BAL-2020'!R516+'DES-TRIAL-BAL-2020'!R516+'DMP-TRIAL-BAL-2020'!R516</f>
        <v>0</v>
      </c>
      <c r="Z516" s="528">
        <f>+'NF-KSF-TRIAL-BAL-2020'!S516+'RA-TRIAL-BAL-2020'!S516+'DES-TRIAL-BAL-2020'!S516+'DMP-TRIAL-BAL-2020'!S516</f>
        <v>0</v>
      </c>
      <c r="AA516" s="347">
        <f>+'NF-KSF-TRIAL-BAL-2020'!T516+'RA-TRIAL-BAL-2020'!T516+'DES-TRIAL-BAL-2020'!T516+'DMP-TRIAL-BAL-2020'!T516</f>
        <v>0</v>
      </c>
      <c r="AB516" s="51"/>
      <c r="AC516" s="8">
        <v>0</v>
      </c>
      <c r="AD516" s="9">
        <v>0</v>
      </c>
      <c r="AE516" s="122"/>
      <c r="AF516" s="121"/>
      <c r="AG516" s="27">
        <f t="shared" si="249"/>
        <v>0</v>
      </c>
      <c r="AH516" s="28">
        <f t="shared" si="250"/>
        <v>0</v>
      </c>
      <c r="AI516" s="51"/>
      <c r="AJ516" s="1497">
        <f t="shared" si="244"/>
        <v>6424</v>
      </c>
      <c r="AK516" s="8">
        <v>0</v>
      </c>
      <c r="AL516" s="9">
        <v>0</v>
      </c>
      <c r="AM516" s="326">
        <f t="shared" si="251"/>
        <v>0</v>
      </c>
      <c r="AN516" s="970">
        <f t="shared" si="251"/>
        <v>0</v>
      </c>
      <c r="AO516" s="27">
        <f t="shared" si="245"/>
        <v>0</v>
      </c>
      <c r="AP516" s="28">
        <f t="shared" si="246"/>
        <v>0</v>
      </c>
      <c r="AQ516" s="43"/>
      <c r="AR516" s="358">
        <f t="shared" si="241"/>
        <v>0</v>
      </c>
      <c r="AS516" s="359">
        <f t="shared" si="242"/>
        <v>0</v>
      </c>
      <c r="AT516" s="360">
        <f t="shared" si="243"/>
        <v>0</v>
      </c>
      <c r="AU516" s="43"/>
      <c r="AV516" s="43"/>
      <c r="AW516" s="119"/>
      <c r="AX516" s="119"/>
      <c r="AY516" s="43"/>
      <c r="AZ516" s="43"/>
      <c r="BA516" s="43"/>
      <c r="BB516" s="43"/>
      <c r="BC516" s="43"/>
      <c r="BD516" s="43"/>
    </row>
    <row r="517" spans="1:56" ht="15.75">
      <c r="A517" s="88">
        <v>6425</v>
      </c>
      <c r="B517" s="378" t="s">
        <v>588</v>
      </c>
      <c r="C517" s="1033"/>
      <c r="D517" s="1033"/>
      <c r="E517" s="1033"/>
      <c r="F517" s="1033"/>
      <c r="G517" s="1033"/>
      <c r="H517" s="1033"/>
      <c r="I517" s="1033"/>
      <c r="J517" s="1033"/>
      <c r="K517" s="1033"/>
      <c r="L517" s="90"/>
      <c r="M517" s="51" t="s">
        <v>265</v>
      </c>
      <c r="N517" s="113">
        <f t="shared" si="240"/>
        <v>6425</v>
      </c>
      <c r="O517" s="8">
        <v>0</v>
      </c>
      <c r="P517" s="9">
        <v>0</v>
      </c>
      <c r="Q517" s="325"/>
      <c r="R517" s="324"/>
      <c r="S517" s="27">
        <f t="shared" si="247"/>
        <v>0</v>
      </c>
      <c r="T517" s="28">
        <f t="shared" si="248"/>
        <v>0</v>
      </c>
      <c r="U517" s="51"/>
      <c r="V517" s="541">
        <f>+'NF-KSF-TRIAL-BAL-2020'!O517+'RA-TRIAL-BAL-2020'!O517+'DES-TRIAL-BAL-2020'!O517+'DMP-TRIAL-BAL-2020'!O517</f>
        <v>0</v>
      </c>
      <c r="W517" s="529">
        <f>+'NF-KSF-TRIAL-BAL-2020'!P517+'RA-TRIAL-BAL-2020'!P517+'DES-TRIAL-BAL-2020'!P517+'DMP-TRIAL-BAL-2020'!P517</f>
        <v>0</v>
      </c>
      <c r="X517" s="528">
        <f>+'NF-KSF-TRIAL-BAL-2020'!Q517+'RA-TRIAL-BAL-2020'!Q517+'DES-TRIAL-BAL-2020'!Q517+'DMP-TRIAL-BAL-2020'!Q517</f>
        <v>0</v>
      </c>
      <c r="Y517" s="529">
        <f>+'NF-KSF-TRIAL-BAL-2020'!R517+'RA-TRIAL-BAL-2020'!R517+'DES-TRIAL-BAL-2020'!R517+'DMP-TRIAL-BAL-2020'!R517</f>
        <v>0</v>
      </c>
      <c r="Z517" s="528">
        <f>+'NF-KSF-TRIAL-BAL-2020'!S517+'RA-TRIAL-BAL-2020'!S517+'DES-TRIAL-BAL-2020'!S517+'DMP-TRIAL-BAL-2020'!S517</f>
        <v>0</v>
      </c>
      <c r="AA517" s="347">
        <f>+'NF-KSF-TRIAL-BAL-2020'!T517+'RA-TRIAL-BAL-2020'!T517+'DES-TRIAL-BAL-2020'!T517+'DMP-TRIAL-BAL-2020'!T517</f>
        <v>0</v>
      </c>
      <c r="AB517" s="51"/>
      <c r="AC517" s="8">
        <v>0</v>
      </c>
      <c r="AD517" s="9">
        <v>0</v>
      </c>
      <c r="AE517" s="122"/>
      <c r="AF517" s="121"/>
      <c r="AG517" s="27">
        <f t="shared" si="249"/>
        <v>0</v>
      </c>
      <c r="AH517" s="28">
        <f t="shared" si="250"/>
        <v>0</v>
      </c>
      <c r="AI517" s="51"/>
      <c r="AJ517" s="1497">
        <f t="shared" si="244"/>
        <v>6425</v>
      </c>
      <c r="AK517" s="8">
        <v>0</v>
      </c>
      <c r="AL517" s="9">
        <v>0</v>
      </c>
      <c r="AM517" s="326">
        <f t="shared" si="251"/>
        <v>0</v>
      </c>
      <c r="AN517" s="970">
        <f t="shared" si="251"/>
        <v>0</v>
      </c>
      <c r="AO517" s="27">
        <f t="shared" si="245"/>
        <v>0</v>
      </c>
      <c r="AP517" s="28">
        <f t="shared" si="246"/>
        <v>0</v>
      </c>
      <c r="AQ517" s="43"/>
      <c r="AR517" s="358">
        <f t="shared" si="241"/>
        <v>0</v>
      </c>
      <c r="AS517" s="359">
        <f t="shared" si="242"/>
        <v>0</v>
      </c>
      <c r="AT517" s="360">
        <f t="shared" si="243"/>
        <v>0</v>
      </c>
      <c r="AU517" s="43"/>
      <c r="AV517" s="43"/>
      <c r="AW517" s="119"/>
      <c r="AX517" s="119"/>
      <c r="AY517" s="43"/>
      <c r="AZ517" s="43"/>
      <c r="BA517" s="43"/>
      <c r="BB517" s="43"/>
      <c r="BC517" s="43"/>
      <c r="BD517" s="43"/>
    </row>
    <row r="518" spans="1:56" ht="15.75">
      <c r="A518" s="88">
        <v>6426</v>
      </c>
      <c r="B518" s="378" t="s">
        <v>589</v>
      </c>
      <c r="C518" s="1033"/>
      <c r="D518" s="1033"/>
      <c r="E518" s="1033"/>
      <c r="F518" s="1033"/>
      <c r="G518" s="1033"/>
      <c r="H518" s="1033"/>
      <c r="I518" s="1033"/>
      <c r="J518" s="1033"/>
      <c r="K518" s="1033"/>
      <c r="L518" s="90"/>
      <c r="M518" s="51" t="s">
        <v>265</v>
      </c>
      <c r="N518" s="113">
        <f t="shared" si="240"/>
        <v>6426</v>
      </c>
      <c r="O518" s="8">
        <v>0</v>
      </c>
      <c r="P518" s="9">
        <v>0</v>
      </c>
      <c r="Q518" s="325"/>
      <c r="R518" s="324"/>
      <c r="S518" s="27">
        <f t="shared" si="247"/>
        <v>0</v>
      </c>
      <c r="T518" s="28">
        <f t="shared" si="248"/>
        <v>0</v>
      </c>
      <c r="U518" s="51"/>
      <c r="V518" s="541">
        <f>+'NF-KSF-TRIAL-BAL-2020'!O518+'RA-TRIAL-BAL-2020'!O518+'DES-TRIAL-BAL-2020'!O518+'DMP-TRIAL-BAL-2020'!O518</f>
        <v>0</v>
      </c>
      <c r="W518" s="529">
        <f>+'NF-KSF-TRIAL-BAL-2020'!P518+'RA-TRIAL-BAL-2020'!P518+'DES-TRIAL-BAL-2020'!P518+'DMP-TRIAL-BAL-2020'!P518</f>
        <v>0</v>
      </c>
      <c r="X518" s="528">
        <f>+'NF-KSF-TRIAL-BAL-2020'!Q518+'RA-TRIAL-BAL-2020'!Q518+'DES-TRIAL-BAL-2020'!Q518+'DMP-TRIAL-BAL-2020'!Q518</f>
        <v>0</v>
      </c>
      <c r="Y518" s="529">
        <f>+'NF-KSF-TRIAL-BAL-2020'!R518+'RA-TRIAL-BAL-2020'!R518+'DES-TRIAL-BAL-2020'!R518+'DMP-TRIAL-BAL-2020'!R518</f>
        <v>0</v>
      </c>
      <c r="Z518" s="528">
        <f>+'NF-KSF-TRIAL-BAL-2020'!S518+'RA-TRIAL-BAL-2020'!S518+'DES-TRIAL-BAL-2020'!S518+'DMP-TRIAL-BAL-2020'!S518</f>
        <v>0</v>
      </c>
      <c r="AA518" s="347">
        <f>+'NF-KSF-TRIAL-BAL-2020'!T518+'RA-TRIAL-BAL-2020'!T518+'DES-TRIAL-BAL-2020'!T518+'DMP-TRIAL-BAL-2020'!T518</f>
        <v>0</v>
      </c>
      <c r="AB518" s="51"/>
      <c r="AC518" s="8">
        <v>0</v>
      </c>
      <c r="AD518" s="9">
        <v>0</v>
      </c>
      <c r="AE518" s="122"/>
      <c r="AF518" s="121"/>
      <c r="AG518" s="27">
        <f t="shared" si="249"/>
        <v>0</v>
      </c>
      <c r="AH518" s="28">
        <f t="shared" si="250"/>
        <v>0</v>
      </c>
      <c r="AI518" s="51"/>
      <c r="AJ518" s="1497">
        <f t="shared" si="244"/>
        <v>6426</v>
      </c>
      <c r="AK518" s="8">
        <v>0</v>
      </c>
      <c r="AL518" s="9">
        <v>0</v>
      </c>
      <c r="AM518" s="326">
        <f t="shared" si="251"/>
        <v>0</v>
      </c>
      <c r="AN518" s="970">
        <f t="shared" si="251"/>
        <v>0</v>
      </c>
      <c r="AO518" s="27">
        <f t="shared" si="245"/>
        <v>0</v>
      </c>
      <c r="AP518" s="28">
        <f t="shared" si="246"/>
        <v>0</v>
      </c>
      <c r="AQ518" s="43"/>
      <c r="AR518" s="358">
        <f t="shared" si="241"/>
        <v>0</v>
      </c>
      <c r="AS518" s="359">
        <f t="shared" si="242"/>
        <v>0</v>
      </c>
      <c r="AT518" s="360">
        <f t="shared" si="243"/>
        <v>0</v>
      </c>
      <c r="AU518" s="43"/>
      <c r="AV518" s="43"/>
      <c r="AW518" s="119"/>
      <c r="AX518" s="119"/>
      <c r="AY518" s="43"/>
      <c r="AZ518" s="43"/>
      <c r="BA518" s="43"/>
      <c r="BB518" s="43"/>
      <c r="BC518" s="43"/>
      <c r="BD518" s="43"/>
    </row>
    <row r="519" spans="1:56" ht="15.75">
      <c r="A519" s="88">
        <v>6427</v>
      </c>
      <c r="B519" s="378" t="s">
        <v>598</v>
      </c>
      <c r="C519" s="1033"/>
      <c r="D519" s="1033"/>
      <c r="E519" s="1033"/>
      <c r="F519" s="1033"/>
      <c r="G519" s="1033"/>
      <c r="H519" s="1033"/>
      <c r="I519" s="1033"/>
      <c r="J519" s="1033"/>
      <c r="K519" s="1033"/>
      <c r="L519" s="90"/>
      <c r="M519" s="51" t="s">
        <v>265</v>
      </c>
      <c r="N519" s="113">
        <f t="shared" si="240"/>
        <v>6427</v>
      </c>
      <c r="O519" s="8">
        <v>0</v>
      </c>
      <c r="P519" s="9">
        <v>0</v>
      </c>
      <c r="Q519" s="325"/>
      <c r="R519" s="324"/>
      <c r="S519" s="27">
        <f t="shared" si="247"/>
        <v>0</v>
      </c>
      <c r="T519" s="28">
        <f t="shared" si="248"/>
        <v>0</v>
      </c>
      <c r="U519" s="51"/>
      <c r="V519" s="541">
        <f>+'NF-KSF-TRIAL-BAL-2020'!O519+'RA-TRIAL-BAL-2020'!O519+'DES-TRIAL-BAL-2020'!O519+'DMP-TRIAL-BAL-2020'!O519</f>
        <v>0</v>
      </c>
      <c r="W519" s="529">
        <f>+'NF-KSF-TRIAL-BAL-2020'!P519+'RA-TRIAL-BAL-2020'!P519+'DES-TRIAL-BAL-2020'!P519+'DMP-TRIAL-BAL-2020'!P519</f>
        <v>0</v>
      </c>
      <c r="X519" s="528">
        <f>+'NF-KSF-TRIAL-BAL-2020'!Q519+'RA-TRIAL-BAL-2020'!Q519+'DES-TRIAL-BAL-2020'!Q519+'DMP-TRIAL-BAL-2020'!Q519</f>
        <v>0</v>
      </c>
      <c r="Y519" s="529">
        <f>+'NF-KSF-TRIAL-BAL-2020'!R519+'RA-TRIAL-BAL-2020'!R519+'DES-TRIAL-BAL-2020'!R519+'DMP-TRIAL-BAL-2020'!R519</f>
        <v>0</v>
      </c>
      <c r="Z519" s="528">
        <f>+'NF-KSF-TRIAL-BAL-2020'!S519+'RA-TRIAL-BAL-2020'!S519+'DES-TRIAL-BAL-2020'!S519+'DMP-TRIAL-BAL-2020'!S519</f>
        <v>0</v>
      </c>
      <c r="AA519" s="347">
        <f>+'NF-KSF-TRIAL-BAL-2020'!T519+'RA-TRIAL-BAL-2020'!T519+'DES-TRIAL-BAL-2020'!T519+'DMP-TRIAL-BAL-2020'!T519</f>
        <v>0</v>
      </c>
      <c r="AB519" s="51"/>
      <c r="AC519" s="8">
        <v>0</v>
      </c>
      <c r="AD519" s="9">
        <v>0</v>
      </c>
      <c r="AE519" s="122"/>
      <c r="AF519" s="121"/>
      <c r="AG519" s="27">
        <f t="shared" si="249"/>
        <v>0</v>
      </c>
      <c r="AH519" s="28">
        <f t="shared" si="250"/>
        <v>0</v>
      </c>
      <c r="AI519" s="51"/>
      <c r="AJ519" s="1497">
        <f t="shared" si="244"/>
        <v>6427</v>
      </c>
      <c r="AK519" s="8">
        <v>0</v>
      </c>
      <c r="AL519" s="9">
        <v>0</v>
      </c>
      <c r="AM519" s="326">
        <f t="shared" si="251"/>
        <v>0</v>
      </c>
      <c r="AN519" s="970">
        <f t="shared" si="251"/>
        <v>0</v>
      </c>
      <c r="AO519" s="27">
        <f t="shared" si="245"/>
        <v>0</v>
      </c>
      <c r="AP519" s="28">
        <f t="shared" si="246"/>
        <v>0</v>
      </c>
      <c r="AQ519" s="43"/>
      <c r="AR519" s="358">
        <f t="shared" si="241"/>
        <v>0</v>
      </c>
      <c r="AS519" s="359">
        <f t="shared" si="242"/>
        <v>0</v>
      </c>
      <c r="AT519" s="360">
        <f t="shared" si="243"/>
        <v>0</v>
      </c>
      <c r="AU519" s="43"/>
      <c r="AV519" s="43"/>
      <c r="AW519" s="119"/>
      <c r="AX519" s="119"/>
      <c r="AY519" s="43"/>
      <c r="AZ519" s="43"/>
      <c r="BA519" s="43"/>
      <c r="BB519" s="43"/>
      <c r="BC519" s="43"/>
      <c r="BD519" s="43"/>
    </row>
    <row r="520" spans="1:56" ht="15.75">
      <c r="A520" s="88">
        <v>6428</v>
      </c>
      <c r="B520" s="378" t="s">
        <v>599</v>
      </c>
      <c r="C520" s="1033"/>
      <c r="D520" s="1033"/>
      <c r="E520" s="1033"/>
      <c r="F520" s="1033"/>
      <c r="G520" s="1033"/>
      <c r="H520" s="1033"/>
      <c r="I520" s="1033"/>
      <c r="J520" s="1033"/>
      <c r="K520" s="1033"/>
      <c r="L520" s="90"/>
      <c r="M520" s="51" t="s">
        <v>265</v>
      </c>
      <c r="N520" s="113">
        <f t="shared" si="240"/>
        <v>6428</v>
      </c>
      <c r="O520" s="8">
        <v>0</v>
      </c>
      <c r="P520" s="9">
        <v>0</v>
      </c>
      <c r="Q520" s="325"/>
      <c r="R520" s="324"/>
      <c r="S520" s="27">
        <f t="shared" si="247"/>
        <v>0</v>
      </c>
      <c r="T520" s="28">
        <f t="shared" si="248"/>
        <v>0</v>
      </c>
      <c r="U520" s="51"/>
      <c r="V520" s="541">
        <f>+'NF-KSF-TRIAL-BAL-2020'!O520+'RA-TRIAL-BAL-2020'!O520+'DES-TRIAL-BAL-2020'!O520+'DMP-TRIAL-BAL-2020'!O520</f>
        <v>0</v>
      </c>
      <c r="W520" s="529">
        <f>+'NF-KSF-TRIAL-BAL-2020'!P520+'RA-TRIAL-BAL-2020'!P520+'DES-TRIAL-BAL-2020'!P520+'DMP-TRIAL-BAL-2020'!P520</f>
        <v>0</v>
      </c>
      <c r="X520" s="528">
        <f>+'NF-KSF-TRIAL-BAL-2020'!Q520+'RA-TRIAL-BAL-2020'!Q520+'DES-TRIAL-BAL-2020'!Q520+'DMP-TRIAL-BAL-2020'!Q520</f>
        <v>0</v>
      </c>
      <c r="Y520" s="529">
        <f>+'NF-KSF-TRIAL-BAL-2020'!R520+'RA-TRIAL-BAL-2020'!R520+'DES-TRIAL-BAL-2020'!R520+'DMP-TRIAL-BAL-2020'!R520</f>
        <v>0</v>
      </c>
      <c r="Z520" s="528">
        <f>+'NF-KSF-TRIAL-BAL-2020'!S520+'RA-TRIAL-BAL-2020'!S520+'DES-TRIAL-BAL-2020'!S520+'DMP-TRIAL-BAL-2020'!S520</f>
        <v>0</v>
      </c>
      <c r="AA520" s="347">
        <f>+'NF-KSF-TRIAL-BAL-2020'!T520+'RA-TRIAL-BAL-2020'!T520+'DES-TRIAL-BAL-2020'!T520+'DMP-TRIAL-BAL-2020'!T520</f>
        <v>0</v>
      </c>
      <c r="AB520" s="51"/>
      <c r="AC520" s="8">
        <v>0</v>
      </c>
      <c r="AD520" s="9">
        <v>0</v>
      </c>
      <c r="AE520" s="122"/>
      <c r="AF520" s="121"/>
      <c r="AG520" s="27">
        <f t="shared" si="249"/>
        <v>0</v>
      </c>
      <c r="AH520" s="28">
        <f t="shared" si="250"/>
        <v>0</v>
      </c>
      <c r="AI520" s="51"/>
      <c r="AJ520" s="1497">
        <f t="shared" si="244"/>
        <v>6428</v>
      </c>
      <c r="AK520" s="8">
        <v>0</v>
      </c>
      <c r="AL520" s="9">
        <v>0</v>
      </c>
      <c r="AM520" s="326">
        <f t="shared" si="251"/>
        <v>0</v>
      </c>
      <c r="AN520" s="970">
        <f t="shared" si="251"/>
        <v>0</v>
      </c>
      <c r="AO520" s="27">
        <f t="shared" si="245"/>
        <v>0</v>
      </c>
      <c r="AP520" s="28">
        <f t="shared" si="246"/>
        <v>0</v>
      </c>
      <c r="AQ520" s="43"/>
      <c r="AR520" s="358">
        <f t="shared" si="241"/>
        <v>0</v>
      </c>
      <c r="AS520" s="359">
        <f t="shared" si="242"/>
        <v>0</v>
      </c>
      <c r="AT520" s="360">
        <f t="shared" si="243"/>
        <v>0</v>
      </c>
      <c r="AU520" s="43"/>
      <c r="AV520" s="43"/>
      <c r="AW520" s="119"/>
      <c r="AX520" s="119"/>
      <c r="AY520" s="43"/>
      <c r="AZ520" s="43"/>
      <c r="BA520" s="43"/>
      <c r="BB520" s="43"/>
      <c r="BC520" s="43"/>
      <c r="BD520" s="43"/>
    </row>
    <row r="521" spans="1:56" ht="15.75">
      <c r="A521" s="88">
        <v>6430</v>
      </c>
      <c r="B521" s="1033" t="s">
        <v>899</v>
      </c>
      <c r="C521" s="1033"/>
      <c r="D521" s="1033"/>
      <c r="E521" s="1033"/>
      <c r="F521" s="1033"/>
      <c r="G521" s="1033"/>
      <c r="H521" s="1033"/>
      <c r="I521" s="1033"/>
      <c r="J521" s="1033"/>
      <c r="K521" s="1033"/>
      <c r="L521" s="90"/>
      <c r="M521" s="51" t="s">
        <v>265</v>
      </c>
      <c r="N521" s="113">
        <f t="shared" si="240"/>
        <v>6430</v>
      </c>
      <c r="O521" s="8">
        <v>0</v>
      </c>
      <c r="P521" s="9">
        <v>0</v>
      </c>
      <c r="Q521" s="325"/>
      <c r="R521" s="324"/>
      <c r="S521" s="27">
        <f t="shared" si="247"/>
        <v>0</v>
      </c>
      <c r="T521" s="28">
        <f t="shared" si="248"/>
        <v>0</v>
      </c>
      <c r="U521" s="51"/>
      <c r="V521" s="541">
        <f>+'NF-KSF-TRIAL-BAL-2020'!O521+'RA-TRIAL-BAL-2020'!O521+'DES-TRIAL-BAL-2020'!O521+'DMP-TRIAL-BAL-2020'!O521</f>
        <v>0</v>
      </c>
      <c r="W521" s="529">
        <f>+'NF-KSF-TRIAL-BAL-2020'!P521+'RA-TRIAL-BAL-2020'!P521+'DES-TRIAL-BAL-2020'!P521+'DMP-TRIAL-BAL-2020'!P521</f>
        <v>0</v>
      </c>
      <c r="X521" s="528">
        <f>+'NF-KSF-TRIAL-BAL-2020'!Q521+'RA-TRIAL-BAL-2020'!Q521+'DES-TRIAL-BAL-2020'!Q521+'DMP-TRIAL-BAL-2020'!Q521</f>
        <v>0</v>
      </c>
      <c r="Y521" s="529">
        <f>+'NF-KSF-TRIAL-BAL-2020'!R521+'RA-TRIAL-BAL-2020'!R521+'DES-TRIAL-BAL-2020'!R521+'DMP-TRIAL-BAL-2020'!R521</f>
        <v>0</v>
      </c>
      <c r="Z521" s="528">
        <f>+'NF-KSF-TRIAL-BAL-2020'!S521+'RA-TRIAL-BAL-2020'!S521+'DES-TRIAL-BAL-2020'!S521+'DMP-TRIAL-BAL-2020'!S521</f>
        <v>0</v>
      </c>
      <c r="AA521" s="347">
        <f>+'NF-KSF-TRIAL-BAL-2020'!T521+'RA-TRIAL-BAL-2020'!T521+'DES-TRIAL-BAL-2020'!T521+'DMP-TRIAL-BAL-2020'!T521</f>
        <v>0</v>
      </c>
      <c r="AB521" s="51"/>
      <c r="AC521" s="8">
        <v>0</v>
      </c>
      <c r="AD521" s="9">
        <v>0</v>
      </c>
      <c r="AE521" s="122"/>
      <c r="AF521" s="121"/>
      <c r="AG521" s="27">
        <f t="shared" si="249"/>
        <v>0</v>
      </c>
      <c r="AH521" s="28">
        <f t="shared" si="250"/>
        <v>0</v>
      </c>
      <c r="AI521" s="51"/>
      <c r="AJ521" s="1497">
        <f t="shared" si="244"/>
        <v>6430</v>
      </c>
      <c r="AK521" s="8">
        <v>0</v>
      </c>
      <c r="AL521" s="9">
        <v>0</v>
      </c>
      <c r="AM521" s="326">
        <f t="shared" si="251"/>
        <v>0</v>
      </c>
      <c r="AN521" s="970">
        <f t="shared" si="251"/>
        <v>0</v>
      </c>
      <c r="AO521" s="27">
        <f t="shared" si="245"/>
        <v>0</v>
      </c>
      <c r="AP521" s="28">
        <f t="shared" si="246"/>
        <v>0</v>
      </c>
      <c r="AQ521" s="43"/>
      <c r="AR521" s="358">
        <f t="shared" si="241"/>
        <v>0</v>
      </c>
      <c r="AS521" s="359">
        <f t="shared" si="242"/>
        <v>0</v>
      </c>
      <c r="AT521" s="360">
        <f t="shared" si="243"/>
        <v>0</v>
      </c>
      <c r="AU521" s="43"/>
      <c r="AV521" s="43"/>
      <c r="AW521" s="119"/>
      <c r="AX521" s="119"/>
      <c r="AY521" s="43"/>
      <c r="AZ521" s="43"/>
      <c r="BA521" s="43"/>
      <c r="BB521" s="43"/>
      <c r="BC521" s="43"/>
      <c r="BD521" s="43"/>
    </row>
    <row r="522" spans="1:56" ht="15.75">
      <c r="A522" s="88">
        <v>6437</v>
      </c>
      <c r="B522" s="1033" t="s">
        <v>600</v>
      </c>
      <c r="C522" s="1033"/>
      <c r="D522" s="1033"/>
      <c r="E522" s="1033"/>
      <c r="F522" s="1033"/>
      <c r="G522" s="1033"/>
      <c r="H522" s="1033"/>
      <c r="I522" s="1033"/>
      <c r="J522" s="1033"/>
      <c r="K522" s="1033"/>
      <c r="L522" s="90"/>
      <c r="M522" s="51" t="s">
        <v>265</v>
      </c>
      <c r="N522" s="113">
        <f>+A522</f>
        <v>6437</v>
      </c>
      <c r="O522" s="8">
        <v>0</v>
      </c>
      <c r="P522" s="9">
        <v>0</v>
      </c>
      <c r="Q522" s="325"/>
      <c r="R522" s="324"/>
      <c r="S522" s="27">
        <f>+IF(ABS(+O522+Q522)&gt;=ABS(P522+R522),+O522-P522+Q522-R522,0)</f>
        <v>0</v>
      </c>
      <c r="T522" s="28">
        <f>+IF(ABS(+O522+Q522)&lt;=ABS(P522+R522),-O522+P522-Q522+R522,0)</f>
        <v>0</v>
      </c>
      <c r="U522" s="51"/>
      <c r="V522" s="541">
        <f>+'NF-KSF-TRIAL-BAL-2020'!O522+'RA-TRIAL-BAL-2020'!O522+'DES-TRIAL-BAL-2020'!O522+'DMP-TRIAL-BAL-2020'!O522</f>
        <v>0</v>
      </c>
      <c r="W522" s="529">
        <f>+'NF-KSF-TRIAL-BAL-2020'!P522+'RA-TRIAL-BAL-2020'!P522+'DES-TRIAL-BAL-2020'!P522+'DMP-TRIAL-BAL-2020'!P522</f>
        <v>0</v>
      </c>
      <c r="X522" s="528">
        <f>+'NF-KSF-TRIAL-BAL-2020'!Q522+'RA-TRIAL-BAL-2020'!Q522+'DES-TRIAL-BAL-2020'!Q522+'DMP-TRIAL-BAL-2020'!Q522</f>
        <v>0</v>
      </c>
      <c r="Y522" s="529">
        <f>+'NF-KSF-TRIAL-BAL-2020'!R522+'RA-TRIAL-BAL-2020'!R522+'DES-TRIAL-BAL-2020'!R522+'DMP-TRIAL-BAL-2020'!R522</f>
        <v>0</v>
      </c>
      <c r="Z522" s="528">
        <f>+'NF-KSF-TRIAL-BAL-2020'!S522+'RA-TRIAL-BAL-2020'!S522+'DES-TRIAL-BAL-2020'!S522+'DMP-TRIAL-BAL-2020'!S522</f>
        <v>0</v>
      </c>
      <c r="AA522" s="347">
        <f>+'NF-KSF-TRIAL-BAL-2020'!T522+'RA-TRIAL-BAL-2020'!T522+'DES-TRIAL-BAL-2020'!T522+'DMP-TRIAL-BAL-2020'!T522</f>
        <v>0</v>
      </c>
      <c r="AB522" s="51"/>
      <c r="AC522" s="8">
        <v>0</v>
      </c>
      <c r="AD522" s="9">
        <v>0</v>
      </c>
      <c r="AE522" s="122"/>
      <c r="AF522" s="121"/>
      <c r="AG522" s="27">
        <f>+IF(ABS(+AC522+AE522)&gt;=ABS(AD522+AF522),+AC522-AD522+AE522-AF522,0)</f>
        <v>0</v>
      </c>
      <c r="AH522" s="28">
        <f>+IF(ABS(+AC522+AE522)&lt;=ABS(AD522+AF522),-AC522+AD522-AE522+AF522,0)</f>
        <v>0</v>
      </c>
      <c r="AI522" s="51"/>
      <c r="AJ522" s="1497">
        <f>+N522</f>
        <v>6437</v>
      </c>
      <c r="AK522" s="8">
        <v>0</v>
      </c>
      <c r="AL522" s="9">
        <v>0</v>
      </c>
      <c r="AM522" s="326">
        <f t="shared" ref="AM522:AN524" si="262">+ROUND(+Q522+X522+AE522,2)</f>
        <v>0</v>
      </c>
      <c r="AN522" s="970">
        <f t="shared" si="262"/>
        <v>0</v>
      </c>
      <c r="AO522" s="27">
        <f t="shared" si="245"/>
        <v>0</v>
      </c>
      <c r="AP522" s="28">
        <f t="shared" si="246"/>
        <v>0</v>
      </c>
      <c r="AQ522" s="43"/>
      <c r="AR522" s="358">
        <f>+ROUND(+SUM(AK522-AL522)-SUM(O522-P522)-SUM(V522-W522)-SUM(AC522-AD522),2)</f>
        <v>0</v>
      </c>
      <c r="AS522" s="359">
        <f>+ROUND(+SUM(AM522-AN522)-SUM(Q522-R522)-SUM(X522-Y522)-SUM(AE522-AF522),2)</f>
        <v>0</v>
      </c>
      <c r="AT522" s="360">
        <f>+ROUND(+SUM(AO522-AP522)-SUM(S522-T522)-SUM(Z522-AA522)-SUM(AG522-AH522),2)</f>
        <v>0</v>
      </c>
      <c r="AU522" s="43"/>
      <c r="AV522" s="43"/>
      <c r="AW522" s="119"/>
      <c r="AX522" s="119"/>
      <c r="AY522" s="43"/>
      <c r="AZ522" s="43"/>
      <c r="BA522" s="43"/>
      <c r="BB522" s="43"/>
      <c r="BC522" s="43"/>
      <c r="BD522" s="43"/>
    </row>
    <row r="523" spans="1:56" ht="15.75">
      <c r="A523" s="88">
        <v>6438</v>
      </c>
      <c r="B523" s="1033" t="s">
        <v>601</v>
      </c>
      <c r="C523" s="1033"/>
      <c r="D523" s="1033"/>
      <c r="E523" s="1033"/>
      <c r="F523" s="1033"/>
      <c r="G523" s="1033"/>
      <c r="H523" s="1033"/>
      <c r="I523" s="1033"/>
      <c r="J523" s="1033"/>
      <c r="K523" s="1033"/>
      <c r="L523" s="90"/>
      <c r="M523" s="51" t="s">
        <v>265</v>
      </c>
      <c r="N523" s="113">
        <f>+A523</f>
        <v>6438</v>
      </c>
      <c r="O523" s="8">
        <v>0</v>
      </c>
      <c r="P523" s="9">
        <v>0</v>
      </c>
      <c r="Q523" s="325"/>
      <c r="R523" s="324"/>
      <c r="S523" s="27">
        <f>+IF(ABS(+O523+Q523)&gt;=ABS(P523+R523),+O523-P523+Q523-R523,0)</f>
        <v>0</v>
      </c>
      <c r="T523" s="28">
        <f>+IF(ABS(+O523+Q523)&lt;=ABS(P523+R523),-O523+P523-Q523+R523,0)</f>
        <v>0</v>
      </c>
      <c r="U523" s="51"/>
      <c r="V523" s="541">
        <f>+'NF-KSF-TRIAL-BAL-2020'!O523+'RA-TRIAL-BAL-2020'!O523+'DES-TRIAL-BAL-2020'!O523+'DMP-TRIAL-BAL-2020'!O523</f>
        <v>0</v>
      </c>
      <c r="W523" s="529">
        <f>+'NF-KSF-TRIAL-BAL-2020'!P523+'RA-TRIAL-BAL-2020'!P523+'DES-TRIAL-BAL-2020'!P523+'DMP-TRIAL-BAL-2020'!P523</f>
        <v>0</v>
      </c>
      <c r="X523" s="528">
        <f>+'NF-KSF-TRIAL-BAL-2020'!Q523+'RA-TRIAL-BAL-2020'!Q523+'DES-TRIAL-BAL-2020'!Q523+'DMP-TRIAL-BAL-2020'!Q523</f>
        <v>0</v>
      </c>
      <c r="Y523" s="529">
        <f>+'NF-KSF-TRIAL-BAL-2020'!R523+'RA-TRIAL-BAL-2020'!R523+'DES-TRIAL-BAL-2020'!R523+'DMP-TRIAL-BAL-2020'!R523</f>
        <v>0</v>
      </c>
      <c r="Z523" s="528">
        <f>+'NF-KSF-TRIAL-BAL-2020'!S523+'RA-TRIAL-BAL-2020'!S523+'DES-TRIAL-BAL-2020'!S523+'DMP-TRIAL-BAL-2020'!S523</f>
        <v>0</v>
      </c>
      <c r="AA523" s="347">
        <f>+'NF-KSF-TRIAL-BAL-2020'!T523+'RA-TRIAL-BAL-2020'!T523+'DES-TRIAL-BAL-2020'!T523+'DMP-TRIAL-BAL-2020'!T523</f>
        <v>0</v>
      </c>
      <c r="AB523" s="51"/>
      <c r="AC523" s="8">
        <v>0</v>
      </c>
      <c r="AD523" s="9">
        <v>0</v>
      </c>
      <c r="AE523" s="122"/>
      <c r="AF523" s="121"/>
      <c r="AG523" s="27">
        <f>+IF(ABS(+AC523+AE523)&gt;=ABS(AD523+AF523),+AC523-AD523+AE523-AF523,0)</f>
        <v>0</v>
      </c>
      <c r="AH523" s="28">
        <f>+IF(ABS(+AC523+AE523)&lt;=ABS(AD523+AF523),-AC523+AD523-AE523+AF523,0)</f>
        <v>0</v>
      </c>
      <c r="AI523" s="51"/>
      <c r="AJ523" s="1497">
        <f>+N523</f>
        <v>6438</v>
      </c>
      <c r="AK523" s="8">
        <v>0</v>
      </c>
      <c r="AL523" s="9">
        <v>0</v>
      </c>
      <c r="AM523" s="326">
        <f t="shared" si="262"/>
        <v>0</v>
      </c>
      <c r="AN523" s="970">
        <f t="shared" si="262"/>
        <v>0</v>
      </c>
      <c r="AO523" s="27">
        <f t="shared" si="245"/>
        <v>0</v>
      </c>
      <c r="AP523" s="28">
        <f t="shared" si="246"/>
        <v>0</v>
      </c>
      <c r="AQ523" s="43"/>
      <c r="AR523" s="358">
        <f>+ROUND(+SUM(AK523-AL523)-SUM(O523-P523)-SUM(V523-W523)-SUM(AC523-AD523),2)</f>
        <v>0</v>
      </c>
      <c r="AS523" s="359">
        <f>+ROUND(+SUM(AM523-AN523)-SUM(Q523-R523)-SUM(X523-Y523)-SUM(AE523-AF523),2)</f>
        <v>0</v>
      </c>
      <c r="AT523" s="360">
        <f>+ROUND(+SUM(AO523-AP523)-SUM(S523-T523)-SUM(Z523-AA523)-SUM(AG523-AH523),2)</f>
        <v>0</v>
      </c>
      <c r="AU523" s="43"/>
      <c r="AV523" s="43"/>
      <c r="AW523" s="119"/>
      <c r="AX523" s="119"/>
      <c r="AY523" s="43"/>
      <c r="AZ523" s="43"/>
      <c r="BA523" s="43"/>
      <c r="BB523" s="43"/>
      <c r="BC523" s="43"/>
      <c r="BD523" s="43"/>
    </row>
    <row r="524" spans="1:56" ht="15.75">
      <c r="A524" s="88">
        <v>6440</v>
      </c>
      <c r="B524" s="1033" t="s">
        <v>602</v>
      </c>
      <c r="C524" s="1033"/>
      <c r="D524" s="1033"/>
      <c r="E524" s="1033"/>
      <c r="F524" s="1033"/>
      <c r="G524" s="1033"/>
      <c r="H524" s="1033"/>
      <c r="I524" s="1033"/>
      <c r="J524" s="1033"/>
      <c r="K524" s="1033"/>
      <c r="L524" s="90"/>
      <c r="M524" s="51" t="s">
        <v>265</v>
      </c>
      <c r="N524" s="113">
        <f>+A524</f>
        <v>6440</v>
      </c>
      <c r="O524" s="8">
        <v>0</v>
      </c>
      <c r="P524" s="9">
        <v>0</v>
      </c>
      <c r="Q524" s="325"/>
      <c r="R524" s="324"/>
      <c r="S524" s="27">
        <f>+IF(ABS(+O524+Q524)&gt;=ABS(P524+R524),+O524-P524+Q524-R524,0)</f>
        <v>0</v>
      </c>
      <c r="T524" s="28">
        <f>+IF(ABS(+O524+Q524)&lt;=ABS(P524+R524),-O524+P524-Q524+R524,0)</f>
        <v>0</v>
      </c>
      <c r="U524" s="51"/>
      <c r="V524" s="541">
        <f>+'NF-KSF-TRIAL-BAL-2020'!O524+'RA-TRIAL-BAL-2020'!O524+'DES-TRIAL-BAL-2020'!O524+'DMP-TRIAL-BAL-2020'!O524</f>
        <v>0</v>
      </c>
      <c r="W524" s="529">
        <f>+'NF-KSF-TRIAL-BAL-2020'!P524+'RA-TRIAL-BAL-2020'!P524+'DES-TRIAL-BAL-2020'!P524+'DMP-TRIAL-BAL-2020'!P524</f>
        <v>0</v>
      </c>
      <c r="X524" s="528">
        <f>+'NF-KSF-TRIAL-BAL-2020'!Q524+'RA-TRIAL-BAL-2020'!Q524+'DES-TRIAL-BAL-2020'!Q524+'DMP-TRIAL-BAL-2020'!Q524</f>
        <v>0</v>
      </c>
      <c r="Y524" s="529">
        <f>+'NF-KSF-TRIAL-BAL-2020'!R524+'RA-TRIAL-BAL-2020'!R524+'DES-TRIAL-BAL-2020'!R524+'DMP-TRIAL-BAL-2020'!R524</f>
        <v>0</v>
      </c>
      <c r="Z524" s="528">
        <f>+'NF-KSF-TRIAL-BAL-2020'!S524+'RA-TRIAL-BAL-2020'!S524+'DES-TRIAL-BAL-2020'!S524+'DMP-TRIAL-BAL-2020'!S524</f>
        <v>0</v>
      </c>
      <c r="AA524" s="347">
        <f>+'NF-KSF-TRIAL-BAL-2020'!T524+'RA-TRIAL-BAL-2020'!T524+'DES-TRIAL-BAL-2020'!T524+'DMP-TRIAL-BAL-2020'!T524</f>
        <v>0</v>
      </c>
      <c r="AB524" s="51"/>
      <c r="AC524" s="8">
        <v>0</v>
      </c>
      <c r="AD524" s="9">
        <v>0</v>
      </c>
      <c r="AE524" s="122"/>
      <c r="AF524" s="121"/>
      <c r="AG524" s="27">
        <f>+IF(ABS(+AC524+AE524)&gt;=ABS(AD524+AF524),+AC524-AD524+AE524-AF524,0)</f>
        <v>0</v>
      </c>
      <c r="AH524" s="28">
        <f>+IF(ABS(+AC524+AE524)&lt;=ABS(AD524+AF524),-AC524+AD524-AE524+AF524,0)</f>
        <v>0</v>
      </c>
      <c r="AI524" s="51"/>
      <c r="AJ524" s="1497">
        <f>+N524</f>
        <v>6440</v>
      </c>
      <c r="AK524" s="8">
        <v>0</v>
      </c>
      <c r="AL524" s="9">
        <v>0</v>
      </c>
      <c r="AM524" s="326">
        <f t="shared" si="262"/>
        <v>0</v>
      </c>
      <c r="AN524" s="970">
        <f t="shared" si="262"/>
        <v>0</v>
      </c>
      <c r="AO524" s="27">
        <f t="shared" si="245"/>
        <v>0</v>
      </c>
      <c r="AP524" s="28">
        <f t="shared" si="246"/>
        <v>0</v>
      </c>
      <c r="AQ524" s="43"/>
      <c r="AR524" s="358">
        <f>+ROUND(+SUM(AK524-AL524)-SUM(O524-P524)-SUM(V524-W524)-SUM(AC524-AD524),2)</f>
        <v>0</v>
      </c>
      <c r="AS524" s="359">
        <f>+ROUND(+SUM(AM524-AN524)-SUM(Q524-R524)-SUM(X524-Y524)-SUM(AE524-AF524),2)</f>
        <v>0</v>
      </c>
      <c r="AT524" s="360">
        <f>+ROUND(+SUM(AO524-AP524)-SUM(S524-T524)-SUM(Z524-AA524)-SUM(AG524-AH524),2)</f>
        <v>0</v>
      </c>
      <c r="AU524" s="43"/>
      <c r="AV524" s="43"/>
      <c r="AW524" s="119"/>
      <c r="AX524" s="119"/>
      <c r="AY524" s="43"/>
      <c r="AZ524" s="43"/>
      <c r="BA524" s="43"/>
      <c r="BB524" s="43"/>
      <c r="BC524" s="43"/>
      <c r="BD524" s="43"/>
    </row>
    <row r="525" spans="1:56" ht="15.75">
      <c r="A525" s="606">
        <v>6441</v>
      </c>
      <c r="B525" s="378" t="s">
        <v>603</v>
      </c>
      <c r="C525" s="1033"/>
      <c r="D525" s="1033"/>
      <c r="E525" s="1033"/>
      <c r="F525" s="1033"/>
      <c r="G525" s="1033"/>
      <c r="H525" s="1033"/>
      <c r="I525" s="1033"/>
      <c r="J525" s="1033"/>
      <c r="K525" s="1033"/>
      <c r="L525" s="90"/>
      <c r="M525" s="51" t="s">
        <v>265</v>
      </c>
      <c r="N525" s="113">
        <f t="shared" si="240"/>
        <v>6441</v>
      </c>
      <c r="O525" s="8">
        <v>0</v>
      </c>
      <c r="P525" s="9">
        <v>0</v>
      </c>
      <c r="Q525" s="325">
        <v>0</v>
      </c>
      <c r="R525" s="324">
        <v>0</v>
      </c>
      <c r="S525" s="27">
        <f t="shared" si="247"/>
        <v>0</v>
      </c>
      <c r="T525" s="28">
        <f t="shared" si="248"/>
        <v>0</v>
      </c>
      <c r="U525" s="51"/>
      <c r="V525" s="541">
        <f>+'NF-KSF-TRIAL-BAL-2020'!O525+'RA-TRIAL-BAL-2020'!O525+'DES-TRIAL-BAL-2020'!O525+'DMP-TRIAL-BAL-2020'!O525</f>
        <v>0</v>
      </c>
      <c r="W525" s="529">
        <f>+'NF-KSF-TRIAL-BAL-2020'!P525+'RA-TRIAL-BAL-2020'!P525+'DES-TRIAL-BAL-2020'!P525+'DMP-TRIAL-BAL-2020'!P525</f>
        <v>0</v>
      </c>
      <c r="X525" s="528">
        <f>+'NF-KSF-TRIAL-BAL-2020'!Q525+'RA-TRIAL-BAL-2020'!Q525+'DES-TRIAL-BAL-2020'!Q525+'DMP-TRIAL-BAL-2020'!Q525</f>
        <v>0</v>
      </c>
      <c r="Y525" s="529">
        <f>+'NF-KSF-TRIAL-BAL-2020'!R525+'RA-TRIAL-BAL-2020'!R525+'DES-TRIAL-BAL-2020'!R525+'DMP-TRIAL-BAL-2020'!R525</f>
        <v>0</v>
      </c>
      <c r="Z525" s="528">
        <f>+'NF-KSF-TRIAL-BAL-2020'!S525+'RA-TRIAL-BAL-2020'!S525+'DES-TRIAL-BAL-2020'!S525+'DMP-TRIAL-BAL-2020'!S525</f>
        <v>0</v>
      </c>
      <c r="AA525" s="347">
        <f>+'NF-KSF-TRIAL-BAL-2020'!T525+'RA-TRIAL-BAL-2020'!T525+'DES-TRIAL-BAL-2020'!T525+'DMP-TRIAL-BAL-2020'!T525</f>
        <v>0</v>
      </c>
      <c r="AB525" s="51"/>
      <c r="AC525" s="8">
        <v>0</v>
      </c>
      <c r="AD525" s="9">
        <v>0</v>
      </c>
      <c r="AE525" s="122">
        <v>0</v>
      </c>
      <c r="AF525" s="121">
        <v>0</v>
      </c>
      <c r="AG525" s="27">
        <f t="shared" si="249"/>
        <v>0</v>
      </c>
      <c r="AH525" s="28">
        <f t="shared" si="250"/>
        <v>0</v>
      </c>
      <c r="AI525" s="51"/>
      <c r="AJ525" s="1497">
        <f t="shared" si="244"/>
        <v>6441</v>
      </c>
      <c r="AK525" s="8">
        <v>0</v>
      </c>
      <c r="AL525" s="9">
        <v>0</v>
      </c>
      <c r="AM525" s="326">
        <f t="shared" si="251"/>
        <v>0</v>
      </c>
      <c r="AN525" s="970">
        <f t="shared" si="251"/>
        <v>0</v>
      </c>
      <c r="AO525" s="27">
        <f t="shared" si="245"/>
        <v>0</v>
      </c>
      <c r="AP525" s="28">
        <f t="shared" si="246"/>
        <v>0</v>
      </c>
      <c r="AQ525" s="43"/>
      <c r="AR525" s="358">
        <f t="shared" si="241"/>
        <v>0</v>
      </c>
      <c r="AS525" s="359">
        <f t="shared" si="242"/>
        <v>0</v>
      </c>
      <c r="AT525" s="360">
        <f t="shared" si="243"/>
        <v>0</v>
      </c>
      <c r="AU525" s="43"/>
      <c r="AV525" s="43"/>
      <c r="AW525" s="119"/>
      <c r="AX525" s="119"/>
      <c r="AY525" s="43"/>
      <c r="AZ525" s="43"/>
      <c r="BA525" s="43"/>
      <c r="BB525" s="43"/>
      <c r="BC525" s="43"/>
      <c r="BD525" s="43"/>
    </row>
    <row r="526" spans="1:56" ht="15.75">
      <c r="A526" s="606">
        <v>6442</v>
      </c>
      <c r="B526" s="378" t="s">
        <v>604</v>
      </c>
      <c r="C526" s="1033"/>
      <c r="D526" s="1033"/>
      <c r="E526" s="1033"/>
      <c r="F526" s="1033"/>
      <c r="G526" s="1033"/>
      <c r="H526" s="1033"/>
      <c r="I526" s="1033"/>
      <c r="J526" s="1033"/>
      <c r="K526" s="1033"/>
      <c r="L526" s="90"/>
      <c r="M526" s="51" t="s">
        <v>265</v>
      </c>
      <c r="N526" s="113">
        <f t="shared" si="240"/>
        <v>6442</v>
      </c>
      <c r="O526" s="8">
        <v>0</v>
      </c>
      <c r="P526" s="9">
        <v>0</v>
      </c>
      <c r="Q526" s="325"/>
      <c r="R526" s="324"/>
      <c r="S526" s="27">
        <f t="shared" si="247"/>
        <v>0</v>
      </c>
      <c r="T526" s="28">
        <f t="shared" si="248"/>
        <v>0</v>
      </c>
      <c r="U526" s="51"/>
      <c r="V526" s="541">
        <f>+'NF-KSF-TRIAL-BAL-2020'!O526+'RA-TRIAL-BAL-2020'!O526+'DES-TRIAL-BAL-2020'!O526+'DMP-TRIAL-BAL-2020'!O526</f>
        <v>0</v>
      </c>
      <c r="W526" s="529">
        <f>+'NF-KSF-TRIAL-BAL-2020'!P526+'RA-TRIAL-BAL-2020'!P526+'DES-TRIAL-BAL-2020'!P526+'DMP-TRIAL-BAL-2020'!P526</f>
        <v>0</v>
      </c>
      <c r="X526" s="528">
        <f>+'NF-KSF-TRIAL-BAL-2020'!Q526+'RA-TRIAL-BAL-2020'!Q526+'DES-TRIAL-BAL-2020'!Q526+'DMP-TRIAL-BAL-2020'!Q526</f>
        <v>0</v>
      </c>
      <c r="Y526" s="529">
        <f>+'NF-KSF-TRIAL-BAL-2020'!R526+'RA-TRIAL-BAL-2020'!R526+'DES-TRIAL-BAL-2020'!R526+'DMP-TRIAL-BAL-2020'!R526</f>
        <v>0</v>
      </c>
      <c r="Z526" s="528">
        <f>+'NF-KSF-TRIAL-BAL-2020'!S526+'RA-TRIAL-BAL-2020'!S526+'DES-TRIAL-BAL-2020'!S526+'DMP-TRIAL-BAL-2020'!S526</f>
        <v>0</v>
      </c>
      <c r="AA526" s="347">
        <f>+'NF-KSF-TRIAL-BAL-2020'!T526+'RA-TRIAL-BAL-2020'!T526+'DES-TRIAL-BAL-2020'!T526+'DMP-TRIAL-BAL-2020'!T526</f>
        <v>0</v>
      </c>
      <c r="AB526" s="51"/>
      <c r="AC526" s="8">
        <v>0</v>
      </c>
      <c r="AD526" s="9">
        <v>0</v>
      </c>
      <c r="AE526" s="122"/>
      <c r="AF526" s="121"/>
      <c r="AG526" s="27">
        <f t="shared" si="249"/>
        <v>0</v>
      </c>
      <c r="AH526" s="28">
        <f t="shared" si="250"/>
        <v>0</v>
      </c>
      <c r="AI526" s="51"/>
      <c r="AJ526" s="1497">
        <f t="shared" si="244"/>
        <v>6442</v>
      </c>
      <c r="AK526" s="8">
        <v>0</v>
      </c>
      <c r="AL526" s="9">
        <v>0</v>
      </c>
      <c r="AM526" s="326">
        <f t="shared" si="251"/>
        <v>0</v>
      </c>
      <c r="AN526" s="970">
        <f t="shared" si="251"/>
        <v>0</v>
      </c>
      <c r="AO526" s="27">
        <f t="shared" si="245"/>
        <v>0</v>
      </c>
      <c r="AP526" s="28">
        <f t="shared" si="246"/>
        <v>0</v>
      </c>
      <c r="AQ526" s="43"/>
      <c r="AR526" s="358">
        <f t="shared" si="241"/>
        <v>0</v>
      </c>
      <c r="AS526" s="359">
        <f t="shared" si="242"/>
        <v>0</v>
      </c>
      <c r="AT526" s="360">
        <f t="shared" si="243"/>
        <v>0</v>
      </c>
      <c r="AU526" s="43"/>
      <c r="AV526" s="43"/>
      <c r="AW526" s="119"/>
      <c r="AX526" s="119"/>
      <c r="AY526" s="43"/>
      <c r="AZ526" s="43"/>
      <c r="BA526" s="43"/>
      <c r="BB526" s="43"/>
      <c r="BC526" s="43"/>
      <c r="BD526" s="43"/>
    </row>
    <row r="527" spans="1:56" ht="15.75">
      <c r="A527" s="606">
        <v>6443</v>
      </c>
      <c r="B527" s="378" t="s">
        <v>605</v>
      </c>
      <c r="C527" s="1033"/>
      <c r="D527" s="1033"/>
      <c r="E527" s="1033"/>
      <c r="F527" s="1033"/>
      <c r="G527" s="1033"/>
      <c r="H527" s="1033"/>
      <c r="I527" s="1033"/>
      <c r="J527" s="1033"/>
      <c r="K527" s="1033"/>
      <c r="L527" s="90"/>
      <c r="M527" s="51" t="s">
        <v>265</v>
      </c>
      <c r="N527" s="113">
        <f t="shared" si="240"/>
        <v>6443</v>
      </c>
      <c r="O527" s="8">
        <v>0</v>
      </c>
      <c r="P527" s="9">
        <v>0</v>
      </c>
      <c r="Q527" s="325"/>
      <c r="R527" s="324"/>
      <c r="S527" s="27">
        <f t="shared" si="247"/>
        <v>0</v>
      </c>
      <c r="T527" s="28">
        <f t="shared" si="248"/>
        <v>0</v>
      </c>
      <c r="U527" s="51"/>
      <c r="V527" s="541">
        <f>+'NF-KSF-TRIAL-BAL-2020'!O527+'RA-TRIAL-BAL-2020'!O527+'DES-TRIAL-BAL-2020'!O527+'DMP-TRIAL-BAL-2020'!O527</f>
        <v>0</v>
      </c>
      <c r="W527" s="529">
        <f>+'NF-KSF-TRIAL-BAL-2020'!P527+'RA-TRIAL-BAL-2020'!P527+'DES-TRIAL-BAL-2020'!P527+'DMP-TRIAL-BAL-2020'!P527</f>
        <v>0</v>
      </c>
      <c r="X527" s="528">
        <f>+'NF-KSF-TRIAL-BAL-2020'!Q527+'RA-TRIAL-BAL-2020'!Q527+'DES-TRIAL-BAL-2020'!Q527+'DMP-TRIAL-BAL-2020'!Q527</f>
        <v>0</v>
      </c>
      <c r="Y527" s="529">
        <f>+'NF-KSF-TRIAL-BAL-2020'!R527+'RA-TRIAL-BAL-2020'!R527+'DES-TRIAL-BAL-2020'!R527+'DMP-TRIAL-BAL-2020'!R527</f>
        <v>0</v>
      </c>
      <c r="Z527" s="528">
        <f>+'NF-KSF-TRIAL-BAL-2020'!S527+'RA-TRIAL-BAL-2020'!S527+'DES-TRIAL-BAL-2020'!S527+'DMP-TRIAL-BAL-2020'!S527</f>
        <v>0</v>
      </c>
      <c r="AA527" s="347">
        <f>+'NF-KSF-TRIAL-BAL-2020'!T527+'RA-TRIAL-BAL-2020'!T527+'DES-TRIAL-BAL-2020'!T527+'DMP-TRIAL-BAL-2020'!T527</f>
        <v>0</v>
      </c>
      <c r="AB527" s="51"/>
      <c r="AC527" s="8">
        <v>0</v>
      </c>
      <c r="AD527" s="9">
        <v>0</v>
      </c>
      <c r="AE527" s="122"/>
      <c r="AF527" s="121"/>
      <c r="AG527" s="27">
        <f t="shared" si="249"/>
        <v>0</v>
      </c>
      <c r="AH527" s="28">
        <f t="shared" si="250"/>
        <v>0</v>
      </c>
      <c r="AI527" s="51"/>
      <c r="AJ527" s="1497">
        <f t="shared" si="244"/>
        <v>6443</v>
      </c>
      <c r="AK527" s="8">
        <v>0</v>
      </c>
      <c r="AL527" s="9">
        <v>0</v>
      </c>
      <c r="AM527" s="326">
        <f t="shared" si="251"/>
        <v>0</v>
      </c>
      <c r="AN527" s="970">
        <f t="shared" si="251"/>
        <v>0</v>
      </c>
      <c r="AO527" s="27">
        <f t="shared" si="245"/>
        <v>0</v>
      </c>
      <c r="AP527" s="28">
        <f t="shared" si="246"/>
        <v>0</v>
      </c>
      <c r="AQ527" s="43"/>
      <c r="AR527" s="358">
        <f t="shared" si="241"/>
        <v>0</v>
      </c>
      <c r="AS527" s="359">
        <f t="shared" si="242"/>
        <v>0</v>
      </c>
      <c r="AT527" s="360">
        <f t="shared" si="243"/>
        <v>0</v>
      </c>
      <c r="AU527" s="43"/>
      <c r="AV527" s="43"/>
      <c r="AW527" s="119"/>
      <c r="AX527" s="119"/>
      <c r="AY527" s="43"/>
      <c r="AZ527" s="43"/>
      <c r="BA527" s="43"/>
      <c r="BB527" s="43"/>
      <c r="BC527" s="43"/>
      <c r="BD527" s="43"/>
    </row>
    <row r="528" spans="1:56" ht="15.75">
      <c r="A528" s="606">
        <v>6444</v>
      </c>
      <c r="B528" s="378" t="s">
        <v>606</v>
      </c>
      <c r="C528" s="1033"/>
      <c r="D528" s="1033"/>
      <c r="E528" s="1033"/>
      <c r="F528" s="1033"/>
      <c r="G528" s="1033"/>
      <c r="H528" s="1033"/>
      <c r="I528" s="1033"/>
      <c r="J528" s="1033"/>
      <c r="K528" s="1033"/>
      <c r="L528" s="90"/>
      <c r="M528" s="51" t="s">
        <v>265</v>
      </c>
      <c r="N528" s="113">
        <f t="shared" ref="N528:N593" si="263">+A528</f>
        <v>6444</v>
      </c>
      <c r="O528" s="8">
        <v>0</v>
      </c>
      <c r="P528" s="9">
        <v>0</v>
      </c>
      <c r="Q528" s="325"/>
      <c r="R528" s="324"/>
      <c r="S528" s="27">
        <f t="shared" si="247"/>
        <v>0</v>
      </c>
      <c r="T528" s="28">
        <f t="shared" si="248"/>
        <v>0</v>
      </c>
      <c r="U528" s="51"/>
      <c r="V528" s="541">
        <f>+'NF-KSF-TRIAL-BAL-2020'!O528+'RA-TRIAL-BAL-2020'!O528+'DES-TRIAL-BAL-2020'!O528+'DMP-TRIAL-BAL-2020'!O528</f>
        <v>0</v>
      </c>
      <c r="W528" s="529">
        <f>+'NF-KSF-TRIAL-BAL-2020'!P528+'RA-TRIAL-BAL-2020'!P528+'DES-TRIAL-BAL-2020'!P528+'DMP-TRIAL-BAL-2020'!P528</f>
        <v>0</v>
      </c>
      <c r="X528" s="528">
        <f>+'NF-KSF-TRIAL-BAL-2020'!Q528+'RA-TRIAL-BAL-2020'!Q528+'DES-TRIAL-BAL-2020'!Q528+'DMP-TRIAL-BAL-2020'!Q528</f>
        <v>0</v>
      </c>
      <c r="Y528" s="529">
        <f>+'NF-KSF-TRIAL-BAL-2020'!R528+'RA-TRIAL-BAL-2020'!R528+'DES-TRIAL-BAL-2020'!R528+'DMP-TRIAL-BAL-2020'!R528</f>
        <v>0</v>
      </c>
      <c r="Z528" s="528">
        <f>+'NF-KSF-TRIAL-BAL-2020'!S528+'RA-TRIAL-BAL-2020'!S528+'DES-TRIAL-BAL-2020'!S528+'DMP-TRIAL-BAL-2020'!S528</f>
        <v>0</v>
      </c>
      <c r="AA528" s="347">
        <f>+'NF-KSF-TRIAL-BAL-2020'!T528+'RA-TRIAL-BAL-2020'!T528+'DES-TRIAL-BAL-2020'!T528+'DMP-TRIAL-BAL-2020'!T528</f>
        <v>0</v>
      </c>
      <c r="AB528" s="51"/>
      <c r="AC528" s="8">
        <v>0</v>
      </c>
      <c r="AD528" s="9">
        <v>0</v>
      </c>
      <c r="AE528" s="122"/>
      <c r="AF528" s="121"/>
      <c r="AG528" s="27">
        <f t="shared" si="249"/>
        <v>0</v>
      </c>
      <c r="AH528" s="28">
        <f t="shared" si="250"/>
        <v>0</v>
      </c>
      <c r="AI528" s="51"/>
      <c r="AJ528" s="1497">
        <f t="shared" si="244"/>
        <v>6444</v>
      </c>
      <c r="AK528" s="8">
        <v>0</v>
      </c>
      <c r="AL528" s="9">
        <v>0</v>
      </c>
      <c r="AM528" s="326">
        <f t="shared" si="251"/>
        <v>0</v>
      </c>
      <c r="AN528" s="970">
        <f t="shared" si="251"/>
        <v>0</v>
      </c>
      <c r="AO528" s="27">
        <f t="shared" si="245"/>
        <v>0</v>
      </c>
      <c r="AP528" s="28">
        <f t="shared" si="246"/>
        <v>0</v>
      </c>
      <c r="AQ528" s="43"/>
      <c r="AR528" s="358">
        <f t="shared" si="241"/>
        <v>0</v>
      </c>
      <c r="AS528" s="359">
        <f t="shared" si="242"/>
        <v>0</v>
      </c>
      <c r="AT528" s="360">
        <f t="shared" si="243"/>
        <v>0</v>
      </c>
      <c r="AU528" s="43"/>
      <c r="AV528" s="43"/>
      <c r="AW528" s="119"/>
      <c r="AX528" s="119"/>
      <c r="AY528" s="43"/>
      <c r="AZ528" s="43"/>
      <c r="BA528" s="43"/>
      <c r="BB528" s="43"/>
      <c r="BC528" s="43"/>
      <c r="BD528" s="43"/>
    </row>
    <row r="529" spans="1:56" ht="15.75">
      <c r="A529" s="606">
        <v>6445</v>
      </c>
      <c r="B529" s="378" t="s">
        <v>607</v>
      </c>
      <c r="C529" s="1033"/>
      <c r="D529" s="1033"/>
      <c r="E529" s="1033"/>
      <c r="F529" s="1033"/>
      <c r="G529" s="1033"/>
      <c r="H529" s="1033"/>
      <c r="I529" s="1033"/>
      <c r="J529" s="1033"/>
      <c r="K529" s="1033"/>
      <c r="L529" s="90"/>
      <c r="M529" s="51" t="s">
        <v>265</v>
      </c>
      <c r="N529" s="113">
        <f t="shared" si="263"/>
        <v>6445</v>
      </c>
      <c r="O529" s="8">
        <v>0</v>
      </c>
      <c r="P529" s="9">
        <v>0</v>
      </c>
      <c r="Q529" s="325"/>
      <c r="R529" s="324"/>
      <c r="S529" s="27">
        <f t="shared" si="247"/>
        <v>0</v>
      </c>
      <c r="T529" s="28">
        <f t="shared" si="248"/>
        <v>0</v>
      </c>
      <c r="U529" s="51"/>
      <c r="V529" s="541">
        <f>+'NF-KSF-TRIAL-BAL-2020'!O529+'RA-TRIAL-BAL-2020'!O529+'DES-TRIAL-BAL-2020'!O529+'DMP-TRIAL-BAL-2020'!O529</f>
        <v>0</v>
      </c>
      <c r="W529" s="529">
        <f>+'NF-KSF-TRIAL-BAL-2020'!P529+'RA-TRIAL-BAL-2020'!P529+'DES-TRIAL-BAL-2020'!P529+'DMP-TRIAL-BAL-2020'!P529</f>
        <v>0</v>
      </c>
      <c r="X529" s="528">
        <f>+'NF-KSF-TRIAL-BAL-2020'!Q529+'RA-TRIAL-BAL-2020'!Q529+'DES-TRIAL-BAL-2020'!Q529+'DMP-TRIAL-BAL-2020'!Q529</f>
        <v>0</v>
      </c>
      <c r="Y529" s="529">
        <f>+'NF-KSF-TRIAL-BAL-2020'!R529+'RA-TRIAL-BAL-2020'!R529+'DES-TRIAL-BAL-2020'!R529+'DMP-TRIAL-BAL-2020'!R529</f>
        <v>0</v>
      </c>
      <c r="Z529" s="528">
        <f>+'NF-KSF-TRIAL-BAL-2020'!S529+'RA-TRIAL-BAL-2020'!S529+'DES-TRIAL-BAL-2020'!S529+'DMP-TRIAL-BAL-2020'!S529</f>
        <v>0</v>
      </c>
      <c r="AA529" s="347">
        <f>+'NF-KSF-TRIAL-BAL-2020'!T529+'RA-TRIAL-BAL-2020'!T529+'DES-TRIAL-BAL-2020'!T529+'DMP-TRIAL-BAL-2020'!T529</f>
        <v>0</v>
      </c>
      <c r="AB529" s="51"/>
      <c r="AC529" s="8">
        <v>0</v>
      </c>
      <c r="AD529" s="9">
        <v>0</v>
      </c>
      <c r="AE529" s="122"/>
      <c r="AF529" s="121"/>
      <c r="AG529" s="27">
        <f t="shared" si="249"/>
        <v>0</v>
      </c>
      <c r="AH529" s="28">
        <f t="shared" si="250"/>
        <v>0</v>
      </c>
      <c r="AI529" s="51"/>
      <c r="AJ529" s="1497">
        <f t="shared" si="244"/>
        <v>6445</v>
      </c>
      <c r="AK529" s="8">
        <v>0</v>
      </c>
      <c r="AL529" s="9">
        <v>0</v>
      </c>
      <c r="AM529" s="326">
        <f t="shared" si="251"/>
        <v>0</v>
      </c>
      <c r="AN529" s="970">
        <f t="shared" si="251"/>
        <v>0</v>
      </c>
      <c r="AO529" s="27">
        <f t="shared" si="245"/>
        <v>0</v>
      </c>
      <c r="AP529" s="28">
        <f t="shared" si="246"/>
        <v>0</v>
      </c>
      <c r="AQ529" s="43"/>
      <c r="AR529" s="358">
        <f t="shared" ref="AR529:AR593" si="264">+ROUND(+SUM(AK529-AL529)-SUM(O529-P529)-SUM(V529-W529)-SUM(AC529-AD529),2)</f>
        <v>0</v>
      </c>
      <c r="AS529" s="359">
        <f t="shared" ref="AS529:AS593" si="265">+ROUND(+SUM(AM529-AN529)-SUM(Q529-R529)-SUM(X529-Y529)-SUM(AE529-AF529),2)</f>
        <v>0</v>
      </c>
      <c r="AT529" s="360">
        <f t="shared" ref="AT529:AT593" si="266">+ROUND(+SUM(AO529-AP529)-SUM(S529-T529)-SUM(Z529-AA529)-SUM(AG529-AH529),2)</f>
        <v>0</v>
      </c>
      <c r="AU529" s="43"/>
      <c r="AV529" s="43"/>
      <c r="AW529" s="119"/>
      <c r="AX529" s="119"/>
      <c r="AY529" s="43"/>
      <c r="AZ529" s="43"/>
      <c r="BA529" s="43"/>
      <c r="BB529" s="43"/>
      <c r="BC529" s="43"/>
      <c r="BD529" s="43"/>
    </row>
    <row r="530" spans="1:56" ht="15.75">
      <c r="A530" s="606">
        <v>6446</v>
      </c>
      <c r="B530" s="378" t="s">
        <v>608</v>
      </c>
      <c r="C530" s="1033"/>
      <c r="D530" s="1033"/>
      <c r="E530" s="1033"/>
      <c r="F530" s="1033"/>
      <c r="G530" s="1033"/>
      <c r="H530" s="1033"/>
      <c r="I530" s="1033"/>
      <c r="J530" s="1033"/>
      <c r="K530" s="1033"/>
      <c r="L530" s="90"/>
      <c r="M530" s="51" t="s">
        <v>265</v>
      </c>
      <c r="N530" s="113">
        <f t="shared" si="263"/>
        <v>6446</v>
      </c>
      <c r="O530" s="8">
        <v>0</v>
      </c>
      <c r="P530" s="9">
        <v>0</v>
      </c>
      <c r="Q530" s="325"/>
      <c r="R530" s="324"/>
      <c r="S530" s="27">
        <f t="shared" si="247"/>
        <v>0</v>
      </c>
      <c r="T530" s="28">
        <f t="shared" si="248"/>
        <v>0</v>
      </c>
      <c r="U530" s="51"/>
      <c r="V530" s="541">
        <f>+'NF-KSF-TRIAL-BAL-2020'!O530+'RA-TRIAL-BAL-2020'!O530+'DES-TRIAL-BAL-2020'!O530+'DMP-TRIAL-BAL-2020'!O530</f>
        <v>0</v>
      </c>
      <c r="W530" s="529">
        <f>+'NF-KSF-TRIAL-BAL-2020'!P530+'RA-TRIAL-BAL-2020'!P530+'DES-TRIAL-BAL-2020'!P530+'DMP-TRIAL-BAL-2020'!P530</f>
        <v>0</v>
      </c>
      <c r="X530" s="528">
        <f>+'NF-KSF-TRIAL-BAL-2020'!Q530+'RA-TRIAL-BAL-2020'!Q530+'DES-TRIAL-BAL-2020'!Q530+'DMP-TRIAL-BAL-2020'!Q530</f>
        <v>0</v>
      </c>
      <c r="Y530" s="529">
        <f>+'NF-KSF-TRIAL-BAL-2020'!R530+'RA-TRIAL-BAL-2020'!R530+'DES-TRIAL-BAL-2020'!R530+'DMP-TRIAL-BAL-2020'!R530</f>
        <v>0</v>
      </c>
      <c r="Z530" s="528">
        <f>+'NF-KSF-TRIAL-BAL-2020'!S530+'RA-TRIAL-BAL-2020'!S530+'DES-TRIAL-BAL-2020'!S530+'DMP-TRIAL-BAL-2020'!S530</f>
        <v>0</v>
      </c>
      <c r="AA530" s="347">
        <f>+'NF-KSF-TRIAL-BAL-2020'!T530+'RA-TRIAL-BAL-2020'!T530+'DES-TRIAL-BAL-2020'!T530+'DMP-TRIAL-BAL-2020'!T530</f>
        <v>0</v>
      </c>
      <c r="AB530" s="51"/>
      <c r="AC530" s="8">
        <v>0</v>
      </c>
      <c r="AD530" s="9">
        <v>0</v>
      </c>
      <c r="AE530" s="122"/>
      <c r="AF530" s="121"/>
      <c r="AG530" s="27">
        <f t="shared" si="249"/>
        <v>0</v>
      </c>
      <c r="AH530" s="28">
        <f t="shared" si="250"/>
        <v>0</v>
      </c>
      <c r="AI530" s="51"/>
      <c r="AJ530" s="1497">
        <f t="shared" si="244"/>
        <v>6446</v>
      </c>
      <c r="AK530" s="8">
        <v>0</v>
      </c>
      <c r="AL530" s="9">
        <v>0</v>
      </c>
      <c r="AM530" s="326">
        <f t="shared" si="251"/>
        <v>0</v>
      </c>
      <c r="AN530" s="970">
        <f t="shared" si="251"/>
        <v>0</v>
      </c>
      <c r="AO530" s="27">
        <f t="shared" si="245"/>
        <v>0</v>
      </c>
      <c r="AP530" s="28">
        <f t="shared" si="246"/>
        <v>0</v>
      </c>
      <c r="AQ530" s="43"/>
      <c r="AR530" s="358">
        <f t="shared" si="264"/>
        <v>0</v>
      </c>
      <c r="AS530" s="359">
        <f t="shared" si="265"/>
        <v>0</v>
      </c>
      <c r="AT530" s="360">
        <f t="shared" si="266"/>
        <v>0</v>
      </c>
      <c r="AU530" s="43"/>
      <c r="AV530" s="43"/>
      <c r="AW530" s="119"/>
      <c r="AX530" s="119"/>
      <c r="AY530" s="43"/>
      <c r="AZ530" s="43"/>
      <c r="BA530" s="43"/>
      <c r="BB530" s="43"/>
      <c r="BC530" s="43"/>
      <c r="BD530" s="43"/>
    </row>
    <row r="531" spans="1:56" ht="15.75">
      <c r="A531" s="606">
        <v>6447</v>
      </c>
      <c r="B531" s="378" t="s">
        <v>609</v>
      </c>
      <c r="C531" s="1033"/>
      <c r="D531" s="1033"/>
      <c r="E531" s="1033"/>
      <c r="F531" s="1033"/>
      <c r="G531" s="1033"/>
      <c r="H531" s="1033"/>
      <c r="I531" s="1033"/>
      <c r="J531" s="1033"/>
      <c r="K531" s="1033"/>
      <c r="L531" s="90"/>
      <c r="M531" s="51" t="s">
        <v>265</v>
      </c>
      <c r="N531" s="113">
        <f t="shared" si="263"/>
        <v>6447</v>
      </c>
      <c r="O531" s="8">
        <v>0</v>
      </c>
      <c r="P531" s="9">
        <v>0</v>
      </c>
      <c r="Q531" s="325"/>
      <c r="R531" s="324"/>
      <c r="S531" s="27">
        <f t="shared" si="247"/>
        <v>0</v>
      </c>
      <c r="T531" s="28">
        <f t="shared" si="248"/>
        <v>0</v>
      </c>
      <c r="U531" s="51"/>
      <c r="V531" s="541">
        <f>+'NF-KSF-TRIAL-BAL-2020'!O531+'RA-TRIAL-BAL-2020'!O531+'DES-TRIAL-BAL-2020'!O531+'DMP-TRIAL-BAL-2020'!O531</f>
        <v>0</v>
      </c>
      <c r="W531" s="529">
        <f>+'NF-KSF-TRIAL-BAL-2020'!P531+'RA-TRIAL-BAL-2020'!P531+'DES-TRIAL-BAL-2020'!P531+'DMP-TRIAL-BAL-2020'!P531</f>
        <v>0</v>
      </c>
      <c r="X531" s="528">
        <f>+'NF-KSF-TRIAL-BAL-2020'!Q531+'RA-TRIAL-BAL-2020'!Q531+'DES-TRIAL-BAL-2020'!Q531+'DMP-TRIAL-BAL-2020'!Q531</f>
        <v>0</v>
      </c>
      <c r="Y531" s="529">
        <f>+'NF-KSF-TRIAL-BAL-2020'!R531+'RA-TRIAL-BAL-2020'!R531+'DES-TRIAL-BAL-2020'!R531+'DMP-TRIAL-BAL-2020'!R531</f>
        <v>0</v>
      </c>
      <c r="Z531" s="528">
        <f>+'NF-KSF-TRIAL-BAL-2020'!S531+'RA-TRIAL-BAL-2020'!S531+'DES-TRIAL-BAL-2020'!S531+'DMP-TRIAL-BAL-2020'!S531</f>
        <v>0</v>
      </c>
      <c r="AA531" s="347">
        <f>+'NF-KSF-TRIAL-BAL-2020'!T531+'RA-TRIAL-BAL-2020'!T531+'DES-TRIAL-BAL-2020'!T531+'DMP-TRIAL-BAL-2020'!T531</f>
        <v>0</v>
      </c>
      <c r="AB531" s="51"/>
      <c r="AC531" s="8">
        <v>0</v>
      </c>
      <c r="AD531" s="9">
        <v>0</v>
      </c>
      <c r="AE531" s="122"/>
      <c r="AF531" s="121"/>
      <c r="AG531" s="27">
        <f t="shared" si="249"/>
        <v>0</v>
      </c>
      <c r="AH531" s="28">
        <f t="shared" si="250"/>
        <v>0</v>
      </c>
      <c r="AI531" s="51"/>
      <c r="AJ531" s="1497">
        <f t="shared" si="244"/>
        <v>6447</v>
      </c>
      <c r="AK531" s="8">
        <v>0</v>
      </c>
      <c r="AL531" s="9">
        <v>0</v>
      </c>
      <c r="AM531" s="326">
        <f t="shared" si="251"/>
        <v>0</v>
      </c>
      <c r="AN531" s="970">
        <f t="shared" si="251"/>
        <v>0</v>
      </c>
      <c r="AO531" s="27">
        <f t="shared" si="245"/>
        <v>0</v>
      </c>
      <c r="AP531" s="28">
        <f t="shared" si="246"/>
        <v>0</v>
      </c>
      <c r="AQ531" s="43"/>
      <c r="AR531" s="358">
        <f t="shared" si="264"/>
        <v>0</v>
      </c>
      <c r="AS531" s="359">
        <f t="shared" si="265"/>
        <v>0</v>
      </c>
      <c r="AT531" s="360">
        <f t="shared" si="266"/>
        <v>0</v>
      </c>
      <c r="AU531" s="43"/>
      <c r="AV531" s="43"/>
      <c r="AW531" s="119"/>
      <c r="AX531" s="119"/>
      <c r="AY531" s="43"/>
      <c r="AZ531" s="43"/>
      <c r="BA531" s="43"/>
      <c r="BB531" s="43"/>
      <c r="BC531" s="43"/>
      <c r="BD531" s="43"/>
    </row>
    <row r="532" spans="1:56" ht="15.75">
      <c r="A532" s="606">
        <v>6448</v>
      </c>
      <c r="B532" s="378" t="s">
        <v>610</v>
      </c>
      <c r="C532" s="1033"/>
      <c r="D532" s="1033"/>
      <c r="E532" s="1033"/>
      <c r="F532" s="1033"/>
      <c r="G532" s="1033"/>
      <c r="H532" s="1033"/>
      <c r="I532" s="1033"/>
      <c r="J532" s="1033"/>
      <c r="K532" s="1033"/>
      <c r="L532" s="90"/>
      <c r="M532" s="51" t="s">
        <v>265</v>
      </c>
      <c r="N532" s="113">
        <f t="shared" si="263"/>
        <v>6448</v>
      </c>
      <c r="O532" s="8">
        <v>0</v>
      </c>
      <c r="P532" s="9">
        <v>0</v>
      </c>
      <c r="Q532" s="325"/>
      <c r="R532" s="324"/>
      <c r="S532" s="27">
        <f t="shared" si="247"/>
        <v>0</v>
      </c>
      <c r="T532" s="28">
        <f t="shared" si="248"/>
        <v>0</v>
      </c>
      <c r="U532" s="51"/>
      <c r="V532" s="541">
        <f>+'NF-KSF-TRIAL-BAL-2020'!O532+'RA-TRIAL-BAL-2020'!O532+'DES-TRIAL-BAL-2020'!O532+'DMP-TRIAL-BAL-2020'!O532</f>
        <v>0</v>
      </c>
      <c r="W532" s="529">
        <f>+'NF-KSF-TRIAL-BAL-2020'!P532+'RA-TRIAL-BAL-2020'!P532+'DES-TRIAL-BAL-2020'!P532+'DMP-TRIAL-BAL-2020'!P532</f>
        <v>0</v>
      </c>
      <c r="X532" s="528">
        <f>+'NF-KSF-TRIAL-BAL-2020'!Q532+'RA-TRIAL-BAL-2020'!Q532+'DES-TRIAL-BAL-2020'!Q532+'DMP-TRIAL-BAL-2020'!Q532</f>
        <v>0</v>
      </c>
      <c r="Y532" s="529">
        <f>+'NF-KSF-TRIAL-BAL-2020'!R532+'RA-TRIAL-BAL-2020'!R532+'DES-TRIAL-BAL-2020'!R532+'DMP-TRIAL-BAL-2020'!R532</f>
        <v>0</v>
      </c>
      <c r="Z532" s="528">
        <f>+'NF-KSF-TRIAL-BAL-2020'!S532+'RA-TRIAL-BAL-2020'!S532+'DES-TRIAL-BAL-2020'!S532+'DMP-TRIAL-BAL-2020'!S532</f>
        <v>0</v>
      </c>
      <c r="AA532" s="347">
        <f>+'NF-KSF-TRIAL-BAL-2020'!T532+'RA-TRIAL-BAL-2020'!T532+'DES-TRIAL-BAL-2020'!T532+'DMP-TRIAL-BAL-2020'!T532</f>
        <v>0</v>
      </c>
      <c r="AB532" s="51"/>
      <c r="AC532" s="8">
        <v>0</v>
      </c>
      <c r="AD532" s="9">
        <v>0</v>
      </c>
      <c r="AE532" s="122"/>
      <c r="AF532" s="121"/>
      <c r="AG532" s="27">
        <f t="shared" si="249"/>
        <v>0</v>
      </c>
      <c r="AH532" s="28">
        <f t="shared" si="250"/>
        <v>0</v>
      </c>
      <c r="AI532" s="51"/>
      <c r="AJ532" s="1497">
        <f t="shared" si="244"/>
        <v>6448</v>
      </c>
      <c r="AK532" s="8">
        <v>0</v>
      </c>
      <c r="AL532" s="9">
        <v>0</v>
      </c>
      <c r="AM532" s="326">
        <f t="shared" si="251"/>
        <v>0</v>
      </c>
      <c r="AN532" s="970">
        <f t="shared" si="251"/>
        <v>0</v>
      </c>
      <c r="AO532" s="27">
        <f t="shared" si="245"/>
        <v>0</v>
      </c>
      <c r="AP532" s="28">
        <f t="shared" si="246"/>
        <v>0</v>
      </c>
      <c r="AQ532" s="43"/>
      <c r="AR532" s="358">
        <f t="shared" si="264"/>
        <v>0</v>
      </c>
      <c r="AS532" s="359">
        <f t="shared" si="265"/>
        <v>0</v>
      </c>
      <c r="AT532" s="360">
        <f t="shared" si="266"/>
        <v>0</v>
      </c>
      <c r="AU532" s="43"/>
      <c r="AV532" s="43"/>
      <c r="AW532" s="119"/>
      <c r="AX532" s="119"/>
      <c r="AY532" s="43"/>
      <c r="AZ532" s="43"/>
      <c r="BA532" s="43"/>
      <c r="BB532" s="43"/>
      <c r="BC532" s="43"/>
      <c r="BD532" s="43"/>
    </row>
    <row r="533" spans="1:56" ht="15.75">
      <c r="A533" s="606">
        <v>6449</v>
      </c>
      <c r="B533" s="378" t="s">
        <v>525</v>
      </c>
      <c r="C533" s="1033"/>
      <c r="D533" s="1033"/>
      <c r="E533" s="1033"/>
      <c r="F533" s="1033"/>
      <c r="G533" s="1033"/>
      <c r="H533" s="1033"/>
      <c r="I533" s="1033"/>
      <c r="J533" s="1033"/>
      <c r="K533" s="1033"/>
      <c r="L533" s="90"/>
      <c r="M533" s="51" t="s">
        <v>265</v>
      </c>
      <c r="N533" s="113">
        <f>+A533</f>
        <v>6449</v>
      </c>
      <c r="O533" s="8">
        <v>0</v>
      </c>
      <c r="P533" s="9">
        <v>0</v>
      </c>
      <c r="Q533" s="325"/>
      <c r="R533" s="324"/>
      <c r="S533" s="27">
        <f>+IF(ABS(+O533+Q533)&gt;=ABS(P533+R533),+O533-P533+Q533-R533,0)</f>
        <v>0</v>
      </c>
      <c r="T533" s="28">
        <f>+IF(ABS(+O533+Q533)&lt;=ABS(P533+R533),-O533+P533-Q533+R533,0)</f>
        <v>0</v>
      </c>
      <c r="U533" s="51"/>
      <c r="V533" s="541">
        <f>+'NF-KSF-TRIAL-BAL-2020'!O533+'RA-TRIAL-BAL-2020'!O533+'DES-TRIAL-BAL-2020'!O533+'DMP-TRIAL-BAL-2020'!O533</f>
        <v>0</v>
      </c>
      <c r="W533" s="529">
        <f>+'NF-KSF-TRIAL-BAL-2020'!P533+'RA-TRIAL-BAL-2020'!P533+'DES-TRIAL-BAL-2020'!P533+'DMP-TRIAL-BAL-2020'!P533</f>
        <v>0</v>
      </c>
      <c r="X533" s="528">
        <f>+'NF-KSF-TRIAL-BAL-2020'!Q533+'RA-TRIAL-BAL-2020'!Q533+'DES-TRIAL-BAL-2020'!Q533+'DMP-TRIAL-BAL-2020'!Q533</f>
        <v>0</v>
      </c>
      <c r="Y533" s="529">
        <f>+'NF-KSF-TRIAL-BAL-2020'!R533+'RA-TRIAL-BAL-2020'!R533+'DES-TRIAL-BAL-2020'!R533+'DMP-TRIAL-BAL-2020'!R533</f>
        <v>0</v>
      </c>
      <c r="Z533" s="528">
        <f>+'NF-KSF-TRIAL-BAL-2020'!S533+'RA-TRIAL-BAL-2020'!S533+'DES-TRIAL-BAL-2020'!S533+'DMP-TRIAL-BAL-2020'!S533</f>
        <v>0</v>
      </c>
      <c r="AA533" s="347">
        <f>+'NF-KSF-TRIAL-BAL-2020'!T533+'RA-TRIAL-BAL-2020'!T533+'DES-TRIAL-BAL-2020'!T533+'DMP-TRIAL-BAL-2020'!T533</f>
        <v>0</v>
      </c>
      <c r="AB533" s="51"/>
      <c r="AC533" s="8">
        <v>0</v>
      </c>
      <c r="AD533" s="9">
        <v>0</v>
      </c>
      <c r="AE533" s="122"/>
      <c r="AF533" s="121"/>
      <c r="AG533" s="27">
        <f>+IF(ABS(+AC533+AE533)&gt;=ABS(AD533+AF533),+AC533-AD533+AE533-AF533,0)</f>
        <v>0</v>
      </c>
      <c r="AH533" s="28">
        <f>+IF(ABS(+AC533+AE533)&lt;=ABS(AD533+AF533),-AC533+AD533-AE533+AF533,0)</f>
        <v>0</v>
      </c>
      <c r="AI533" s="51"/>
      <c r="AJ533" s="1497">
        <f>+N533</f>
        <v>6449</v>
      </c>
      <c r="AK533" s="8">
        <v>0</v>
      </c>
      <c r="AL533" s="9">
        <v>0</v>
      </c>
      <c r="AM533" s="326">
        <f t="shared" si="251"/>
        <v>0</v>
      </c>
      <c r="AN533" s="970">
        <f t="shared" si="251"/>
        <v>0</v>
      </c>
      <c r="AO533" s="27">
        <f t="shared" si="245"/>
        <v>0</v>
      </c>
      <c r="AP533" s="28">
        <f t="shared" si="246"/>
        <v>0</v>
      </c>
      <c r="AQ533" s="43"/>
      <c r="AR533" s="358">
        <f>+ROUND(+SUM(AK533-AL533)-SUM(O533-P533)-SUM(V533-W533)-SUM(AC533-AD533),2)</f>
        <v>0</v>
      </c>
      <c r="AS533" s="359">
        <f>+ROUND(+SUM(AM533-AN533)-SUM(Q533-R533)-SUM(X533-Y533)-SUM(AE533-AF533),2)</f>
        <v>0</v>
      </c>
      <c r="AT533" s="360">
        <f>+ROUND(+SUM(AO533-AP533)-SUM(S533-T533)-SUM(Z533-AA533)-SUM(AG533-AH533),2)</f>
        <v>0</v>
      </c>
      <c r="AU533" s="43"/>
      <c r="AV533" s="43"/>
      <c r="AW533" s="119"/>
      <c r="AX533" s="119"/>
      <c r="AY533" s="43"/>
      <c r="AZ533" s="43"/>
      <c r="BA533" s="43"/>
      <c r="BB533" s="43"/>
      <c r="BC533" s="43"/>
      <c r="BD533" s="43"/>
    </row>
    <row r="534" spans="1:56" ht="15.75">
      <c r="A534" s="88">
        <v>6451</v>
      </c>
      <c r="B534" s="378" t="s">
        <v>526</v>
      </c>
      <c r="C534" s="1033"/>
      <c r="D534" s="1033"/>
      <c r="E534" s="1033"/>
      <c r="F534" s="1033"/>
      <c r="G534" s="1033"/>
      <c r="H534" s="1033"/>
      <c r="I534" s="1033"/>
      <c r="J534" s="1033"/>
      <c r="K534" s="1033"/>
      <c r="L534" s="90"/>
      <c r="M534" s="51" t="s">
        <v>265</v>
      </c>
      <c r="N534" s="113">
        <f t="shared" si="263"/>
        <v>6451</v>
      </c>
      <c r="O534" s="8">
        <v>0</v>
      </c>
      <c r="P534" s="9">
        <v>0</v>
      </c>
      <c r="Q534" s="325">
        <v>0</v>
      </c>
      <c r="R534" s="324">
        <v>0</v>
      </c>
      <c r="S534" s="27">
        <f t="shared" si="247"/>
        <v>0</v>
      </c>
      <c r="T534" s="28">
        <f t="shared" si="248"/>
        <v>0</v>
      </c>
      <c r="U534" s="51"/>
      <c r="V534" s="541">
        <f>+'NF-KSF-TRIAL-BAL-2020'!O534+'RA-TRIAL-BAL-2020'!O534+'DES-TRIAL-BAL-2020'!O534+'DMP-TRIAL-BAL-2020'!O534</f>
        <v>0</v>
      </c>
      <c r="W534" s="529">
        <f>+'NF-KSF-TRIAL-BAL-2020'!P534+'RA-TRIAL-BAL-2020'!P534+'DES-TRIAL-BAL-2020'!P534+'DMP-TRIAL-BAL-2020'!P534</f>
        <v>0</v>
      </c>
      <c r="X534" s="528">
        <f>+'NF-KSF-TRIAL-BAL-2020'!Q534+'RA-TRIAL-BAL-2020'!Q534+'DES-TRIAL-BAL-2020'!Q534+'DMP-TRIAL-BAL-2020'!Q534</f>
        <v>0</v>
      </c>
      <c r="Y534" s="529">
        <f>+'NF-KSF-TRIAL-BAL-2020'!R534+'RA-TRIAL-BAL-2020'!R534+'DES-TRIAL-BAL-2020'!R534+'DMP-TRIAL-BAL-2020'!R534</f>
        <v>0</v>
      </c>
      <c r="Z534" s="528">
        <f>+'NF-KSF-TRIAL-BAL-2020'!S534+'RA-TRIAL-BAL-2020'!S534+'DES-TRIAL-BAL-2020'!S534+'DMP-TRIAL-BAL-2020'!S534</f>
        <v>0</v>
      </c>
      <c r="AA534" s="347">
        <f>+'NF-KSF-TRIAL-BAL-2020'!T534+'RA-TRIAL-BAL-2020'!T534+'DES-TRIAL-BAL-2020'!T534+'DMP-TRIAL-BAL-2020'!T534</f>
        <v>0</v>
      </c>
      <c r="AB534" s="51"/>
      <c r="AC534" s="8">
        <v>0</v>
      </c>
      <c r="AD534" s="9">
        <v>0</v>
      </c>
      <c r="AE534" s="122">
        <v>0</v>
      </c>
      <c r="AF534" s="121">
        <v>0</v>
      </c>
      <c r="AG534" s="27">
        <f t="shared" si="249"/>
        <v>0</v>
      </c>
      <c r="AH534" s="28">
        <f t="shared" si="250"/>
        <v>0</v>
      </c>
      <c r="AI534" s="51"/>
      <c r="AJ534" s="1497">
        <f t="shared" si="244"/>
        <v>6451</v>
      </c>
      <c r="AK534" s="8">
        <v>0</v>
      </c>
      <c r="AL534" s="9">
        <v>0</v>
      </c>
      <c r="AM534" s="326">
        <f t="shared" si="251"/>
        <v>0</v>
      </c>
      <c r="AN534" s="970">
        <f t="shared" si="251"/>
        <v>0</v>
      </c>
      <c r="AO534" s="27">
        <f t="shared" si="245"/>
        <v>0</v>
      </c>
      <c r="AP534" s="28">
        <f t="shared" si="246"/>
        <v>0</v>
      </c>
      <c r="AQ534" s="43"/>
      <c r="AR534" s="358">
        <f t="shared" si="264"/>
        <v>0</v>
      </c>
      <c r="AS534" s="359">
        <f t="shared" si="265"/>
        <v>0</v>
      </c>
      <c r="AT534" s="360">
        <f t="shared" si="266"/>
        <v>0</v>
      </c>
      <c r="AU534" s="43"/>
      <c r="AV534" s="43"/>
      <c r="AW534" s="119"/>
      <c r="AX534" s="119"/>
      <c r="AY534" s="43"/>
      <c r="AZ534" s="43"/>
      <c r="BA534" s="43"/>
      <c r="BB534" s="43"/>
      <c r="BC534" s="43"/>
      <c r="BD534" s="43"/>
    </row>
    <row r="535" spans="1:56" ht="15.75">
      <c r="A535" s="88">
        <v>6453</v>
      </c>
      <c r="B535" s="1032" t="s">
        <v>527</v>
      </c>
      <c r="C535" s="1033"/>
      <c r="D535" s="1033"/>
      <c r="E535" s="1033"/>
      <c r="F535" s="1033"/>
      <c r="G535" s="1033"/>
      <c r="H535" s="1033"/>
      <c r="I535" s="1033"/>
      <c r="J535" s="1033"/>
      <c r="K535" s="1033"/>
      <c r="L535" s="90"/>
      <c r="M535" s="51" t="s">
        <v>265</v>
      </c>
      <c r="N535" s="113">
        <f t="shared" si="263"/>
        <v>6453</v>
      </c>
      <c r="O535" s="8">
        <v>0</v>
      </c>
      <c r="P535" s="9">
        <v>0</v>
      </c>
      <c r="Q535" s="325"/>
      <c r="R535" s="324"/>
      <c r="S535" s="27">
        <f t="shared" si="247"/>
        <v>0</v>
      </c>
      <c r="T535" s="28">
        <f t="shared" si="248"/>
        <v>0</v>
      </c>
      <c r="U535" s="51"/>
      <c r="V535" s="541">
        <f>+'NF-KSF-TRIAL-BAL-2020'!O535+'RA-TRIAL-BAL-2020'!O535+'DES-TRIAL-BAL-2020'!O535+'DMP-TRIAL-BAL-2020'!O535</f>
        <v>0</v>
      </c>
      <c r="W535" s="529">
        <f>+'NF-KSF-TRIAL-BAL-2020'!P535+'RA-TRIAL-BAL-2020'!P535+'DES-TRIAL-BAL-2020'!P535+'DMP-TRIAL-BAL-2020'!P535</f>
        <v>0</v>
      </c>
      <c r="X535" s="528">
        <f>+'NF-KSF-TRIAL-BAL-2020'!Q535+'RA-TRIAL-BAL-2020'!Q535+'DES-TRIAL-BAL-2020'!Q535+'DMP-TRIAL-BAL-2020'!Q535</f>
        <v>0</v>
      </c>
      <c r="Y535" s="529">
        <f>+'NF-KSF-TRIAL-BAL-2020'!R535+'RA-TRIAL-BAL-2020'!R535+'DES-TRIAL-BAL-2020'!R535+'DMP-TRIAL-BAL-2020'!R535</f>
        <v>0</v>
      </c>
      <c r="Z535" s="528">
        <f>+'NF-KSF-TRIAL-BAL-2020'!S535+'RA-TRIAL-BAL-2020'!S535+'DES-TRIAL-BAL-2020'!S535+'DMP-TRIAL-BAL-2020'!S535</f>
        <v>0</v>
      </c>
      <c r="AA535" s="347">
        <f>+'NF-KSF-TRIAL-BAL-2020'!T535+'RA-TRIAL-BAL-2020'!T535+'DES-TRIAL-BAL-2020'!T535+'DMP-TRIAL-BAL-2020'!T535</f>
        <v>0</v>
      </c>
      <c r="AB535" s="51"/>
      <c r="AC535" s="8">
        <v>0</v>
      </c>
      <c r="AD535" s="9">
        <v>0</v>
      </c>
      <c r="AE535" s="122"/>
      <c r="AF535" s="121"/>
      <c r="AG535" s="27">
        <f t="shared" si="249"/>
        <v>0</v>
      </c>
      <c r="AH535" s="28">
        <f t="shared" si="250"/>
        <v>0</v>
      </c>
      <c r="AI535" s="51"/>
      <c r="AJ535" s="1497">
        <f t="shared" si="244"/>
        <v>6453</v>
      </c>
      <c r="AK535" s="8">
        <v>0</v>
      </c>
      <c r="AL535" s="9">
        <v>0</v>
      </c>
      <c r="AM535" s="326">
        <f t="shared" si="251"/>
        <v>0</v>
      </c>
      <c r="AN535" s="970">
        <f t="shared" si="251"/>
        <v>0</v>
      </c>
      <c r="AO535" s="27">
        <f t="shared" si="245"/>
        <v>0</v>
      </c>
      <c r="AP535" s="28">
        <f t="shared" si="246"/>
        <v>0</v>
      </c>
      <c r="AQ535" s="43"/>
      <c r="AR535" s="358">
        <f t="shared" si="264"/>
        <v>0</v>
      </c>
      <c r="AS535" s="359">
        <f t="shared" si="265"/>
        <v>0</v>
      </c>
      <c r="AT535" s="360">
        <f t="shared" si="266"/>
        <v>0</v>
      </c>
      <c r="AU535" s="43"/>
      <c r="AV535" s="43"/>
      <c r="AW535" s="119"/>
      <c r="AX535" s="119"/>
      <c r="AY535" s="43"/>
      <c r="AZ535" s="43"/>
      <c r="BA535" s="43"/>
      <c r="BB535" s="43"/>
      <c r="BC535" s="43"/>
      <c r="BD535" s="43"/>
    </row>
    <row r="536" spans="1:56" ht="15.75">
      <c r="A536" s="88">
        <v>6454</v>
      </c>
      <c r="B536" s="1032" t="s">
        <v>528</v>
      </c>
      <c r="C536" s="1033"/>
      <c r="D536" s="1033"/>
      <c r="E536" s="1033"/>
      <c r="F536" s="1033"/>
      <c r="G536" s="1033"/>
      <c r="H536" s="1033"/>
      <c r="I536" s="1033"/>
      <c r="J536" s="1033"/>
      <c r="K536" s="1033"/>
      <c r="L536" s="90"/>
      <c r="M536" s="51" t="s">
        <v>265</v>
      </c>
      <c r="N536" s="113">
        <f t="shared" si="263"/>
        <v>6454</v>
      </c>
      <c r="O536" s="8">
        <v>0</v>
      </c>
      <c r="P536" s="9">
        <v>0</v>
      </c>
      <c r="Q536" s="325"/>
      <c r="R536" s="324"/>
      <c r="S536" s="27">
        <f t="shared" si="247"/>
        <v>0</v>
      </c>
      <c r="T536" s="28">
        <f t="shared" si="248"/>
        <v>0</v>
      </c>
      <c r="U536" s="51"/>
      <c r="V536" s="541">
        <f>+'NF-KSF-TRIAL-BAL-2020'!O536+'RA-TRIAL-BAL-2020'!O536+'DES-TRIAL-BAL-2020'!O536+'DMP-TRIAL-BAL-2020'!O536</f>
        <v>0</v>
      </c>
      <c r="W536" s="529">
        <f>+'NF-KSF-TRIAL-BAL-2020'!P536+'RA-TRIAL-BAL-2020'!P536+'DES-TRIAL-BAL-2020'!P536+'DMP-TRIAL-BAL-2020'!P536</f>
        <v>0</v>
      </c>
      <c r="X536" s="528">
        <f>+'NF-KSF-TRIAL-BAL-2020'!Q536+'RA-TRIAL-BAL-2020'!Q536+'DES-TRIAL-BAL-2020'!Q536+'DMP-TRIAL-BAL-2020'!Q536</f>
        <v>0</v>
      </c>
      <c r="Y536" s="529">
        <f>+'NF-KSF-TRIAL-BAL-2020'!R536+'RA-TRIAL-BAL-2020'!R536+'DES-TRIAL-BAL-2020'!R536+'DMP-TRIAL-BAL-2020'!R536</f>
        <v>0</v>
      </c>
      <c r="Z536" s="528">
        <f>+'NF-KSF-TRIAL-BAL-2020'!S536+'RA-TRIAL-BAL-2020'!S536+'DES-TRIAL-BAL-2020'!S536+'DMP-TRIAL-BAL-2020'!S536</f>
        <v>0</v>
      </c>
      <c r="AA536" s="347">
        <f>+'NF-KSF-TRIAL-BAL-2020'!T536+'RA-TRIAL-BAL-2020'!T536+'DES-TRIAL-BAL-2020'!T536+'DMP-TRIAL-BAL-2020'!T536</f>
        <v>0</v>
      </c>
      <c r="AB536" s="51"/>
      <c r="AC536" s="8">
        <v>0</v>
      </c>
      <c r="AD536" s="9">
        <v>0</v>
      </c>
      <c r="AE536" s="122"/>
      <c r="AF536" s="121"/>
      <c r="AG536" s="27">
        <f t="shared" si="249"/>
        <v>0</v>
      </c>
      <c r="AH536" s="28">
        <f t="shared" si="250"/>
        <v>0</v>
      </c>
      <c r="AI536" s="51"/>
      <c r="AJ536" s="1497">
        <f t="shared" si="244"/>
        <v>6454</v>
      </c>
      <c r="AK536" s="8">
        <v>0</v>
      </c>
      <c r="AL536" s="9">
        <v>0</v>
      </c>
      <c r="AM536" s="326">
        <f t="shared" si="251"/>
        <v>0</v>
      </c>
      <c r="AN536" s="970">
        <f t="shared" si="251"/>
        <v>0</v>
      </c>
      <c r="AO536" s="27">
        <f t="shared" si="245"/>
        <v>0</v>
      </c>
      <c r="AP536" s="28">
        <f t="shared" si="246"/>
        <v>0</v>
      </c>
      <c r="AQ536" s="43"/>
      <c r="AR536" s="358">
        <f t="shared" si="264"/>
        <v>0</v>
      </c>
      <c r="AS536" s="359">
        <f t="shared" si="265"/>
        <v>0</v>
      </c>
      <c r="AT536" s="360">
        <f t="shared" si="266"/>
        <v>0</v>
      </c>
      <c r="AU536" s="43"/>
      <c r="AV536" s="43"/>
      <c r="AW536" s="119"/>
      <c r="AX536" s="119"/>
      <c r="AY536" s="43"/>
      <c r="AZ536" s="43"/>
      <c r="BA536" s="43"/>
      <c r="BB536" s="43"/>
      <c r="BC536" s="43"/>
      <c r="BD536" s="43"/>
    </row>
    <row r="537" spans="1:56" ht="15.75">
      <c r="A537" s="88">
        <v>6455</v>
      </c>
      <c r="B537" s="1032" t="s">
        <v>529</v>
      </c>
      <c r="C537" s="1033"/>
      <c r="D537" s="1033"/>
      <c r="E537" s="1033"/>
      <c r="F537" s="1033"/>
      <c r="G537" s="1033"/>
      <c r="H537" s="1033"/>
      <c r="I537" s="1033"/>
      <c r="J537" s="1033"/>
      <c r="K537" s="1033"/>
      <c r="L537" s="90"/>
      <c r="M537" s="51" t="s">
        <v>265</v>
      </c>
      <c r="N537" s="113">
        <f t="shared" si="263"/>
        <v>6455</v>
      </c>
      <c r="O537" s="8">
        <v>0</v>
      </c>
      <c r="P537" s="9">
        <v>0</v>
      </c>
      <c r="Q537" s="325">
        <v>0</v>
      </c>
      <c r="R537" s="324">
        <v>0</v>
      </c>
      <c r="S537" s="27">
        <f t="shared" si="247"/>
        <v>0</v>
      </c>
      <c r="T537" s="28">
        <f t="shared" si="248"/>
        <v>0</v>
      </c>
      <c r="U537" s="51"/>
      <c r="V537" s="541">
        <f>+'NF-KSF-TRIAL-BAL-2020'!O537+'RA-TRIAL-BAL-2020'!O537+'DES-TRIAL-BAL-2020'!O537+'DMP-TRIAL-BAL-2020'!O537</f>
        <v>0</v>
      </c>
      <c r="W537" s="529">
        <f>+'NF-KSF-TRIAL-BAL-2020'!P537+'RA-TRIAL-BAL-2020'!P537+'DES-TRIAL-BAL-2020'!P537+'DMP-TRIAL-BAL-2020'!P537</f>
        <v>0</v>
      </c>
      <c r="X537" s="528">
        <f>+'NF-KSF-TRIAL-BAL-2020'!Q537+'RA-TRIAL-BAL-2020'!Q537+'DES-TRIAL-BAL-2020'!Q537+'DMP-TRIAL-BAL-2020'!Q537</f>
        <v>0</v>
      </c>
      <c r="Y537" s="529">
        <f>+'NF-KSF-TRIAL-BAL-2020'!R537+'RA-TRIAL-BAL-2020'!R537+'DES-TRIAL-BAL-2020'!R537+'DMP-TRIAL-BAL-2020'!R537</f>
        <v>0</v>
      </c>
      <c r="Z537" s="528">
        <f>+'NF-KSF-TRIAL-BAL-2020'!S537+'RA-TRIAL-BAL-2020'!S537+'DES-TRIAL-BAL-2020'!S537+'DMP-TRIAL-BAL-2020'!S537</f>
        <v>0</v>
      </c>
      <c r="AA537" s="347">
        <f>+'NF-KSF-TRIAL-BAL-2020'!T537+'RA-TRIAL-BAL-2020'!T537+'DES-TRIAL-BAL-2020'!T537+'DMP-TRIAL-BAL-2020'!T537</f>
        <v>0</v>
      </c>
      <c r="AB537" s="51"/>
      <c r="AC537" s="8">
        <v>0</v>
      </c>
      <c r="AD537" s="9">
        <v>0</v>
      </c>
      <c r="AE537" s="122">
        <v>0</v>
      </c>
      <c r="AF537" s="121">
        <v>0</v>
      </c>
      <c r="AG537" s="27">
        <f t="shared" si="249"/>
        <v>0</v>
      </c>
      <c r="AH537" s="28">
        <f t="shared" si="250"/>
        <v>0</v>
      </c>
      <c r="AI537" s="51"/>
      <c r="AJ537" s="1497">
        <f t="shared" si="244"/>
        <v>6455</v>
      </c>
      <c r="AK537" s="8">
        <v>0</v>
      </c>
      <c r="AL537" s="9">
        <v>0</v>
      </c>
      <c r="AM537" s="326">
        <f t="shared" si="251"/>
        <v>0</v>
      </c>
      <c r="AN537" s="970">
        <f t="shared" si="251"/>
        <v>0</v>
      </c>
      <c r="AO537" s="27">
        <f t="shared" si="245"/>
        <v>0</v>
      </c>
      <c r="AP537" s="28">
        <f t="shared" si="246"/>
        <v>0</v>
      </c>
      <c r="AQ537" s="43"/>
      <c r="AR537" s="358">
        <f t="shared" si="264"/>
        <v>0</v>
      </c>
      <c r="AS537" s="359">
        <f t="shared" si="265"/>
        <v>0</v>
      </c>
      <c r="AT537" s="360">
        <f t="shared" si="266"/>
        <v>0</v>
      </c>
      <c r="AU537" s="43"/>
      <c r="AV537" s="43"/>
      <c r="AW537" s="119"/>
      <c r="AX537" s="119"/>
      <c r="AY537" s="43"/>
      <c r="AZ537" s="43"/>
      <c r="BA537" s="43"/>
      <c r="BB537" s="43"/>
      <c r="BC537" s="43"/>
      <c r="BD537" s="43"/>
    </row>
    <row r="538" spans="1:56" ht="15.75">
      <c r="A538" s="88">
        <v>6457</v>
      </c>
      <c r="B538" s="1032" t="s">
        <v>530</v>
      </c>
      <c r="C538" s="1033"/>
      <c r="D538" s="1033"/>
      <c r="E538" s="1033"/>
      <c r="F538" s="1033"/>
      <c r="G538" s="1033"/>
      <c r="H538" s="1033"/>
      <c r="I538" s="1033"/>
      <c r="J538" s="1033"/>
      <c r="K538" s="1033"/>
      <c r="L538" s="90"/>
      <c r="M538" s="51" t="s">
        <v>265</v>
      </c>
      <c r="N538" s="113">
        <f t="shared" si="263"/>
        <v>6457</v>
      </c>
      <c r="O538" s="8">
        <v>0</v>
      </c>
      <c r="P538" s="9">
        <v>0</v>
      </c>
      <c r="Q538" s="325">
        <v>0</v>
      </c>
      <c r="R538" s="324">
        <v>0</v>
      </c>
      <c r="S538" s="27">
        <f t="shared" si="247"/>
        <v>0</v>
      </c>
      <c r="T538" s="28">
        <f t="shared" si="248"/>
        <v>0</v>
      </c>
      <c r="U538" s="51"/>
      <c r="V538" s="541">
        <f>+'NF-KSF-TRIAL-BAL-2020'!O538+'RA-TRIAL-BAL-2020'!O538+'DES-TRIAL-BAL-2020'!O538+'DMP-TRIAL-BAL-2020'!O538</f>
        <v>0</v>
      </c>
      <c r="W538" s="529">
        <f>+'NF-KSF-TRIAL-BAL-2020'!P538+'RA-TRIAL-BAL-2020'!P538+'DES-TRIAL-BAL-2020'!P538+'DMP-TRIAL-BAL-2020'!P538</f>
        <v>0</v>
      </c>
      <c r="X538" s="528">
        <f>+'NF-KSF-TRIAL-BAL-2020'!Q538+'RA-TRIAL-BAL-2020'!Q538+'DES-TRIAL-BAL-2020'!Q538+'DMP-TRIAL-BAL-2020'!Q538</f>
        <v>0</v>
      </c>
      <c r="Y538" s="529">
        <f>+'NF-KSF-TRIAL-BAL-2020'!R538+'RA-TRIAL-BAL-2020'!R538+'DES-TRIAL-BAL-2020'!R538+'DMP-TRIAL-BAL-2020'!R538</f>
        <v>0</v>
      </c>
      <c r="Z538" s="528">
        <f>+'NF-KSF-TRIAL-BAL-2020'!S538+'RA-TRIAL-BAL-2020'!S538+'DES-TRIAL-BAL-2020'!S538+'DMP-TRIAL-BAL-2020'!S538</f>
        <v>0</v>
      </c>
      <c r="AA538" s="347">
        <f>+'NF-KSF-TRIAL-BAL-2020'!T538+'RA-TRIAL-BAL-2020'!T538+'DES-TRIAL-BAL-2020'!T538+'DMP-TRIAL-BAL-2020'!T538</f>
        <v>0</v>
      </c>
      <c r="AB538" s="51"/>
      <c r="AC538" s="8">
        <v>0</v>
      </c>
      <c r="AD538" s="9">
        <v>0</v>
      </c>
      <c r="AE538" s="122">
        <v>0</v>
      </c>
      <c r="AF538" s="121">
        <v>0</v>
      </c>
      <c r="AG538" s="27">
        <f t="shared" si="249"/>
        <v>0</v>
      </c>
      <c r="AH538" s="28">
        <f t="shared" si="250"/>
        <v>0</v>
      </c>
      <c r="AI538" s="51"/>
      <c r="AJ538" s="1497">
        <f t="shared" si="244"/>
        <v>6457</v>
      </c>
      <c r="AK538" s="8">
        <v>0</v>
      </c>
      <c r="AL538" s="9">
        <v>0</v>
      </c>
      <c r="AM538" s="326">
        <f t="shared" si="251"/>
        <v>0</v>
      </c>
      <c r="AN538" s="970">
        <f t="shared" si="251"/>
        <v>0</v>
      </c>
      <c r="AO538" s="27">
        <f t="shared" si="245"/>
        <v>0</v>
      </c>
      <c r="AP538" s="28">
        <f t="shared" si="246"/>
        <v>0</v>
      </c>
      <c r="AQ538" s="43"/>
      <c r="AR538" s="358">
        <f t="shared" si="264"/>
        <v>0</v>
      </c>
      <c r="AS538" s="359">
        <f t="shared" si="265"/>
        <v>0</v>
      </c>
      <c r="AT538" s="360">
        <f t="shared" si="266"/>
        <v>0</v>
      </c>
      <c r="AU538" s="43"/>
      <c r="AV538" s="43"/>
      <c r="AW538" s="119"/>
      <c r="AX538" s="119"/>
      <c r="AY538" s="43"/>
      <c r="AZ538" s="43"/>
      <c r="BA538" s="43"/>
      <c r="BB538" s="43"/>
      <c r="BC538" s="43"/>
      <c r="BD538" s="43"/>
    </row>
    <row r="539" spans="1:56" ht="15.75">
      <c r="A539" s="88">
        <v>6458</v>
      </c>
      <c r="B539" s="1032" t="s">
        <v>531</v>
      </c>
      <c r="C539" s="1033"/>
      <c r="D539" s="1033"/>
      <c r="E539" s="1033"/>
      <c r="F539" s="1033"/>
      <c r="G539" s="1033"/>
      <c r="H539" s="1033"/>
      <c r="I539" s="1033"/>
      <c r="J539" s="1033"/>
      <c r="K539" s="1033"/>
      <c r="L539" s="90"/>
      <c r="M539" s="51" t="s">
        <v>265</v>
      </c>
      <c r="N539" s="113">
        <f t="shared" si="263"/>
        <v>6458</v>
      </c>
      <c r="O539" s="8">
        <v>0</v>
      </c>
      <c r="P539" s="9">
        <v>0</v>
      </c>
      <c r="Q539" s="325"/>
      <c r="R539" s="324"/>
      <c r="S539" s="27">
        <f t="shared" si="247"/>
        <v>0</v>
      </c>
      <c r="T539" s="28">
        <f t="shared" si="248"/>
        <v>0</v>
      </c>
      <c r="U539" s="51"/>
      <c r="V539" s="541">
        <f>+'NF-KSF-TRIAL-BAL-2020'!O539+'RA-TRIAL-BAL-2020'!O539+'DES-TRIAL-BAL-2020'!O539+'DMP-TRIAL-BAL-2020'!O539</f>
        <v>0</v>
      </c>
      <c r="W539" s="529">
        <f>+'NF-KSF-TRIAL-BAL-2020'!P539+'RA-TRIAL-BAL-2020'!P539+'DES-TRIAL-BAL-2020'!P539+'DMP-TRIAL-BAL-2020'!P539</f>
        <v>0</v>
      </c>
      <c r="X539" s="528">
        <f>+'NF-KSF-TRIAL-BAL-2020'!Q539+'RA-TRIAL-BAL-2020'!Q539+'DES-TRIAL-BAL-2020'!Q539+'DMP-TRIAL-BAL-2020'!Q539</f>
        <v>0</v>
      </c>
      <c r="Y539" s="529">
        <f>+'NF-KSF-TRIAL-BAL-2020'!R539+'RA-TRIAL-BAL-2020'!R539+'DES-TRIAL-BAL-2020'!R539+'DMP-TRIAL-BAL-2020'!R539</f>
        <v>0</v>
      </c>
      <c r="Z539" s="528">
        <f>+'NF-KSF-TRIAL-BAL-2020'!S539+'RA-TRIAL-BAL-2020'!S539+'DES-TRIAL-BAL-2020'!S539+'DMP-TRIAL-BAL-2020'!S539</f>
        <v>0</v>
      </c>
      <c r="AA539" s="347">
        <f>+'NF-KSF-TRIAL-BAL-2020'!T539+'RA-TRIAL-BAL-2020'!T539+'DES-TRIAL-BAL-2020'!T539+'DMP-TRIAL-BAL-2020'!T539</f>
        <v>0</v>
      </c>
      <c r="AB539" s="51"/>
      <c r="AC539" s="8">
        <v>0</v>
      </c>
      <c r="AD539" s="9">
        <v>0</v>
      </c>
      <c r="AE539" s="122"/>
      <c r="AF539" s="121"/>
      <c r="AG539" s="27">
        <f t="shared" si="249"/>
        <v>0</v>
      </c>
      <c r="AH539" s="28">
        <f t="shared" si="250"/>
        <v>0</v>
      </c>
      <c r="AI539" s="51"/>
      <c r="AJ539" s="1497">
        <f t="shared" si="244"/>
        <v>6458</v>
      </c>
      <c r="AK539" s="8">
        <v>0</v>
      </c>
      <c r="AL539" s="9">
        <v>0</v>
      </c>
      <c r="AM539" s="326">
        <f t="shared" si="251"/>
        <v>0</v>
      </c>
      <c r="AN539" s="970">
        <f t="shared" si="251"/>
        <v>0</v>
      </c>
      <c r="AO539" s="27">
        <f t="shared" si="245"/>
        <v>0</v>
      </c>
      <c r="AP539" s="28">
        <f t="shared" si="246"/>
        <v>0</v>
      </c>
      <c r="AQ539" s="43"/>
      <c r="AR539" s="358">
        <f t="shared" si="264"/>
        <v>0</v>
      </c>
      <c r="AS539" s="359">
        <f t="shared" si="265"/>
        <v>0</v>
      </c>
      <c r="AT539" s="360">
        <f t="shared" si="266"/>
        <v>0</v>
      </c>
      <c r="AU539" s="43"/>
      <c r="AV539" s="43"/>
      <c r="AW539" s="119"/>
      <c r="AX539" s="119"/>
      <c r="AY539" s="43"/>
      <c r="AZ539" s="43"/>
      <c r="BA539" s="43"/>
      <c r="BB539" s="43"/>
      <c r="BC539" s="43"/>
      <c r="BD539" s="43"/>
    </row>
    <row r="540" spans="1:56" ht="15.75">
      <c r="A540" s="88">
        <v>6460</v>
      </c>
      <c r="B540" s="1032" t="s">
        <v>532</v>
      </c>
      <c r="C540" s="1033"/>
      <c r="D540" s="1033"/>
      <c r="E540" s="1033"/>
      <c r="F540" s="1033"/>
      <c r="G540" s="1033"/>
      <c r="H540" s="1033"/>
      <c r="I540" s="1033"/>
      <c r="J540" s="1033"/>
      <c r="K540" s="1033"/>
      <c r="L540" s="90"/>
      <c r="M540" s="51" t="s">
        <v>265</v>
      </c>
      <c r="N540" s="113">
        <f t="shared" ref="N540:N549" si="267">+A540</f>
        <v>6460</v>
      </c>
      <c r="O540" s="8">
        <v>0</v>
      </c>
      <c r="P540" s="9">
        <v>0</v>
      </c>
      <c r="Q540" s="325"/>
      <c r="R540" s="324"/>
      <c r="S540" s="27">
        <f t="shared" ref="S540:S549" si="268">+IF(ABS(+O540+Q540)&gt;=ABS(P540+R540),+O540-P540+Q540-R540,0)</f>
        <v>0</v>
      </c>
      <c r="T540" s="28">
        <f t="shared" ref="T540:T549" si="269">+IF(ABS(+O540+Q540)&lt;=ABS(P540+R540),-O540+P540-Q540+R540,0)</f>
        <v>0</v>
      </c>
      <c r="U540" s="51"/>
      <c r="V540" s="541">
        <f>+'NF-KSF-TRIAL-BAL-2020'!O540+'RA-TRIAL-BAL-2020'!O540+'DES-TRIAL-BAL-2020'!O540+'DMP-TRIAL-BAL-2020'!O540</f>
        <v>0</v>
      </c>
      <c r="W540" s="529">
        <f>+'NF-KSF-TRIAL-BAL-2020'!P540+'RA-TRIAL-BAL-2020'!P540+'DES-TRIAL-BAL-2020'!P540+'DMP-TRIAL-BAL-2020'!P540</f>
        <v>0</v>
      </c>
      <c r="X540" s="528">
        <f>+'NF-KSF-TRIAL-BAL-2020'!Q540+'RA-TRIAL-BAL-2020'!Q540+'DES-TRIAL-BAL-2020'!Q540+'DMP-TRIAL-BAL-2020'!Q540</f>
        <v>0</v>
      </c>
      <c r="Y540" s="529">
        <f>+'NF-KSF-TRIAL-BAL-2020'!R540+'RA-TRIAL-BAL-2020'!R540+'DES-TRIAL-BAL-2020'!R540+'DMP-TRIAL-BAL-2020'!R540</f>
        <v>0</v>
      </c>
      <c r="Z540" s="528">
        <f>+'NF-KSF-TRIAL-BAL-2020'!S540+'RA-TRIAL-BAL-2020'!S540+'DES-TRIAL-BAL-2020'!S540+'DMP-TRIAL-BAL-2020'!S540</f>
        <v>0</v>
      </c>
      <c r="AA540" s="347">
        <f>+'NF-KSF-TRIAL-BAL-2020'!T540+'RA-TRIAL-BAL-2020'!T540+'DES-TRIAL-BAL-2020'!T540+'DMP-TRIAL-BAL-2020'!T540</f>
        <v>0</v>
      </c>
      <c r="AB540" s="51"/>
      <c r="AC540" s="8">
        <v>0</v>
      </c>
      <c r="AD540" s="9">
        <v>0</v>
      </c>
      <c r="AE540" s="122"/>
      <c r="AF540" s="121"/>
      <c r="AG540" s="27">
        <f t="shared" ref="AG540:AG549" si="270">+IF(ABS(+AC540+AE540)&gt;=ABS(AD540+AF540),+AC540-AD540+AE540-AF540,0)</f>
        <v>0</v>
      </c>
      <c r="AH540" s="28">
        <f t="shared" ref="AH540:AH549" si="271">+IF(ABS(+AC540+AE540)&lt;=ABS(AD540+AF540),-AC540+AD540-AE540+AF540,0)</f>
        <v>0</v>
      </c>
      <c r="AI540" s="51"/>
      <c r="AJ540" s="1497">
        <f t="shared" ref="AJ540:AJ549" si="272">+N540</f>
        <v>6460</v>
      </c>
      <c r="AK540" s="8">
        <v>0</v>
      </c>
      <c r="AL540" s="9">
        <v>0</v>
      </c>
      <c r="AM540" s="326">
        <f t="shared" ref="AM540:AM549" si="273">+ROUND(+Q540+X540+AE540,2)</f>
        <v>0</v>
      </c>
      <c r="AN540" s="970">
        <f t="shared" ref="AN540:AN549" si="274">+ROUND(+R540+Y540+AF540,2)</f>
        <v>0</v>
      </c>
      <c r="AO540" s="27">
        <f t="shared" si="245"/>
        <v>0</v>
      </c>
      <c r="AP540" s="28">
        <f t="shared" si="246"/>
        <v>0</v>
      </c>
      <c r="AQ540" s="43"/>
      <c r="AR540" s="358">
        <f t="shared" ref="AR540:AR549" si="275">+ROUND(+SUM(AK540-AL540)-SUM(O540-P540)-SUM(V540-W540)-SUM(AC540-AD540),2)</f>
        <v>0</v>
      </c>
      <c r="AS540" s="359">
        <f t="shared" ref="AS540:AS549" si="276">+ROUND(+SUM(AM540-AN540)-SUM(Q540-R540)-SUM(X540-Y540)-SUM(AE540-AF540),2)</f>
        <v>0</v>
      </c>
      <c r="AT540" s="360">
        <f t="shared" ref="AT540:AT549" si="277">+ROUND(+SUM(AO540-AP540)-SUM(S540-T540)-SUM(Z540-AA540)-SUM(AG540-AH540),2)</f>
        <v>0</v>
      </c>
      <c r="AU540" s="43"/>
      <c r="AV540" s="43"/>
      <c r="AW540" s="119"/>
      <c r="AX540" s="119"/>
      <c r="AY540" s="43"/>
      <c r="AZ540" s="43"/>
      <c r="BA540" s="43"/>
      <c r="BB540" s="43"/>
      <c r="BC540" s="43"/>
      <c r="BD540" s="43"/>
    </row>
    <row r="541" spans="1:56" ht="15.75">
      <c r="A541" s="88">
        <v>6461</v>
      </c>
      <c r="B541" s="1032" t="s">
        <v>533</v>
      </c>
      <c r="C541" s="1033"/>
      <c r="D541" s="1033"/>
      <c r="E541" s="1033"/>
      <c r="F541" s="1033"/>
      <c r="G541" s="1033"/>
      <c r="H541" s="1033"/>
      <c r="I541" s="1033"/>
      <c r="J541" s="1033"/>
      <c r="K541" s="1033"/>
      <c r="L541" s="90"/>
      <c r="M541" s="51" t="s">
        <v>265</v>
      </c>
      <c r="N541" s="113">
        <f t="shared" si="267"/>
        <v>6461</v>
      </c>
      <c r="O541" s="8">
        <v>0</v>
      </c>
      <c r="P541" s="9">
        <v>0</v>
      </c>
      <c r="Q541" s="325"/>
      <c r="R541" s="324"/>
      <c r="S541" s="27">
        <f t="shared" si="268"/>
        <v>0</v>
      </c>
      <c r="T541" s="28">
        <f t="shared" si="269"/>
        <v>0</v>
      </c>
      <c r="U541" s="51"/>
      <c r="V541" s="541">
        <f>+'NF-KSF-TRIAL-BAL-2020'!O541+'RA-TRIAL-BAL-2020'!O541+'DES-TRIAL-BAL-2020'!O541+'DMP-TRIAL-BAL-2020'!O541</f>
        <v>0</v>
      </c>
      <c r="W541" s="529">
        <f>+'NF-KSF-TRIAL-BAL-2020'!P541+'RA-TRIAL-BAL-2020'!P541+'DES-TRIAL-BAL-2020'!P541+'DMP-TRIAL-BAL-2020'!P541</f>
        <v>0</v>
      </c>
      <c r="X541" s="528">
        <f>+'NF-KSF-TRIAL-BAL-2020'!Q541+'RA-TRIAL-BAL-2020'!Q541+'DES-TRIAL-BAL-2020'!Q541+'DMP-TRIAL-BAL-2020'!Q541</f>
        <v>0</v>
      </c>
      <c r="Y541" s="529">
        <f>+'NF-KSF-TRIAL-BAL-2020'!R541+'RA-TRIAL-BAL-2020'!R541+'DES-TRIAL-BAL-2020'!R541+'DMP-TRIAL-BAL-2020'!R541</f>
        <v>0</v>
      </c>
      <c r="Z541" s="528">
        <f>+'NF-KSF-TRIAL-BAL-2020'!S541+'RA-TRIAL-BAL-2020'!S541+'DES-TRIAL-BAL-2020'!S541+'DMP-TRIAL-BAL-2020'!S541</f>
        <v>0</v>
      </c>
      <c r="AA541" s="347">
        <f>+'NF-KSF-TRIAL-BAL-2020'!T541+'RA-TRIAL-BAL-2020'!T541+'DES-TRIAL-BAL-2020'!T541+'DMP-TRIAL-BAL-2020'!T541</f>
        <v>0</v>
      </c>
      <c r="AB541" s="51"/>
      <c r="AC541" s="8">
        <v>0</v>
      </c>
      <c r="AD541" s="9">
        <v>0</v>
      </c>
      <c r="AE541" s="122"/>
      <c r="AF541" s="121"/>
      <c r="AG541" s="27">
        <f t="shared" si="270"/>
        <v>0</v>
      </c>
      <c r="AH541" s="28">
        <f t="shared" si="271"/>
        <v>0</v>
      </c>
      <c r="AI541" s="51"/>
      <c r="AJ541" s="1497">
        <f t="shared" si="272"/>
        <v>6461</v>
      </c>
      <c r="AK541" s="8">
        <v>0</v>
      </c>
      <c r="AL541" s="9">
        <v>0</v>
      </c>
      <c r="AM541" s="326">
        <f t="shared" si="273"/>
        <v>0</v>
      </c>
      <c r="AN541" s="970">
        <f t="shared" si="274"/>
        <v>0</v>
      </c>
      <c r="AO541" s="27">
        <f t="shared" si="245"/>
        <v>0</v>
      </c>
      <c r="AP541" s="28">
        <f t="shared" si="246"/>
        <v>0</v>
      </c>
      <c r="AQ541" s="43"/>
      <c r="AR541" s="358">
        <f t="shared" si="275"/>
        <v>0</v>
      </c>
      <c r="AS541" s="359">
        <f t="shared" si="276"/>
        <v>0</v>
      </c>
      <c r="AT541" s="360">
        <f t="shared" si="277"/>
        <v>0</v>
      </c>
      <c r="AU541" s="43"/>
      <c r="AV541" s="43"/>
      <c r="AW541" s="119"/>
      <c r="AX541" s="119"/>
      <c r="AY541" s="43"/>
      <c r="AZ541" s="43"/>
      <c r="BA541" s="43"/>
      <c r="BB541" s="43"/>
      <c r="BC541" s="43"/>
      <c r="BD541" s="43"/>
    </row>
    <row r="542" spans="1:56" ht="15.75">
      <c r="A542" s="88">
        <v>6462</v>
      </c>
      <c r="B542" s="1032" t="s">
        <v>535</v>
      </c>
      <c r="C542" s="1033"/>
      <c r="D542" s="1033"/>
      <c r="E542" s="1033"/>
      <c r="F542" s="1033"/>
      <c r="G542" s="1033"/>
      <c r="H542" s="1033"/>
      <c r="I542" s="1033"/>
      <c r="J542" s="1033"/>
      <c r="K542" s="1033"/>
      <c r="L542" s="90"/>
      <c r="M542" s="51" t="s">
        <v>265</v>
      </c>
      <c r="N542" s="113">
        <f t="shared" si="267"/>
        <v>6462</v>
      </c>
      <c r="O542" s="8">
        <v>0</v>
      </c>
      <c r="P542" s="9">
        <v>0</v>
      </c>
      <c r="Q542" s="325"/>
      <c r="R542" s="324"/>
      <c r="S542" s="27">
        <f t="shared" si="268"/>
        <v>0</v>
      </c>
      <c r="T542" s="28">
        <f t="shared" si="269"/>
        <v>0</v>
      </c>
      <c r="U542" s="51"/>
      <c r="V542" s="541">
        <f>+'NF-KSF-TRIAL-BAL-2020'!O542+'RA-TRIAL-BAL-2020'!O542+'DES-TRIAL-BAL-2020'!O542+'DMP-TRIAL-BAL-2020'!O542</f>
        <v>0</v>
      </c>
      <c r="W542" s="529">
        <f>+'NF-KSF-TRIAL-BAL-2020'!P542+'RA-TRIAL-BAL-2020'!P542+'DES-TRIAL-BAL-2020'!P542+'DMP-TRIAL-BAL-2020'!P542</f>
        <v>0</v>
      </c>
      <c r="X542" s="528">
        <f>+'NF-KSF-TRIAL-BAL-2020'!Q542+'RA-TRIAL-BAL-2020'!Q542+'DES-TRIAL-BAL-2020'!Q542+'DMP-TRIAL-BAL-2020'!Q542</f>
        <v>0</v>
      </c>
      <c r="Y542" s="529">
        <f>+'NF-KSF-TRIAL-BAL-2020'!R542+'RA-TRIAL-BAL-2020'!R542+'DES-TRIAL-BAL-2020'!R542+'DMP-TRIAL-BAL-2020'!R542</f>
        <v>0</v>
      </c>
      <c r="Z542" s="528">
        <f>+'NF-KSF-TRIAL-BAL-2020'!S542+'RA-TRIAL-BAL-2020'!S542+'DES-TRIAL-BAL-2020'!S542+'DMP-TRIAL-BAL-2020'!S542</f>
        <v>0</v>
      </c>
      <c r="AA542" s="347">
        <f>+'NF-KSF-TRIAL-BAL-2020'!T542+'RA-TRIAL-BAL-2020'!T542+'DES-TRIAL-BAL-2020'!T542+'DMP-TRIAL-BAL-2020'!T542</f>
        <v>0</v>
      </c>
      <c r="AB542" s="51"/>
      <c r="AC542" s="8">
        <v>0</v>
      </c>
      <c r="AD542" s="9">
        <v>0</v>
      </c>
      <c r="AE542" s="122"/>
      <c r="AF542" s="121"/>
      <c r="AG542" s="27">
        <f t="shared" si="270"/>
        <v>0</v>
      </c>
      <c r="AH542" s="28">
        <f t="shared" si="271"/>
        <v>0</v>
      </c>
      <c r="AI542" s="51"/>
      <c r="AJ542" s="1497">
        <f t="shared" si="272"/>
        <v>6462</v>
      </c>
      <c r="AK542" s="8">
        <v>0</v>
      </c>
      <c r="AL542" s="9">
        <v>0</v>
      </c>
      <c r="AM542" s="326">
        <f t="shared" si="273"/>
        <v>0</v>
      </c>
      <c r="AN542" s="970">
        <f t="shared" si="274"/>
        <v>0</v>
      </c>
      <c r="AO542" s="27">
        <f t="shared" si="245"/>
        <v>0</v>
      </c>
      <c r="AP542" s="28">
        <f t="shared" si="246"/>
        <v>0</v>
      </c>
      <c r="AQ542" s="43"/>
      <c r="AR542" s="358">
        <f t="shared" si="275"/>
        <v>0</v>
      </c>
      <c r="AS542" s="359">
        <f t="shared" si="276"/>
        <v>0</v>
      </c>
      <c r="AT542" s="360">
        <f t="shared" si="277"/>
        <v>0</v>
      </c>
      <c r="AU542" s="43"/>
      <c r="AV542" s="43"/>
      <c r="AW542" s="119"/>
      <c r="AX542" s="119"/>
      <c r="AY542" s="43"/>
      <c r="AZ542" s="43"/>
      <c r="BA542" s="43"/>
      <c r="BB542" s="43"/>
      <c r="BC542" s="43"/>
      <c r="BD542" s="43"/>
    </row>
    <row r="543" spans="1:56" ht="15.75">
      <c r="A543" s="88">
        <v>6463</v>
      </c>
      <c r="B543" s="1032" t="s">
        <v>536</v>
      </c>
      <c r="C543" s="1033"/>
      <c r="D543" s="1033"/>
      <c r="E543" s="1033"/>
      <c r="F543" s="1033"/>
      <c r="G543" s="1033"/>
      <c r="H543" s="1033"/>
      <c r="I543" s="1033"/>
      <c r="J543" s="1033"/>
      <c r="K543" s="1033"/>
      <c r="L543" s="90"/>
      <c r="M543" s="51" t="s">
        <v>265</v>
      </c>
      <c r="N543" s="113">
        <f t="shared" si="267"/>
        <v>6463</v>
      </c>
      <c r="O543" s="8">
        <v>0</v>
      </c>
      <c r="P543" s="9">
        <v>0</v>
      </c>
      <c r="Q543" s="325"/>
      <c r="R543" s="324"/>
      <c r="S543" s="27">
        <f t="shared" si="268"/>
        <v>0</v>
      </c>
      <c r="T543" s="28">
        <f t="shared" si="269"/>
        <v>0</v>
      </c>
      <c r="U543" s="51"/>
      <c r="V543" s="541">
        <f>+'NF-KSF-TRIAL-BAL-2020'!O543+'RA-TRIAL-BAL-2020'!O543+'DES-TRIAL-BAL-2020'!O543+'DMP-TRIAL-BAL-2020'!O543</f>
        <v>0</v>
      </c>
      <c r="W543" s="529">
        <f>+'NF-KSF-TRIAL-BAL-2020'!P543+'RA-TRIAL-BAL-2020'!P543+'DES-TRIAL-BAL-2020'!P543+'DMP-TRIAL-BAL-2020'!P543</f>
        <v>0</v>
      </c>
      <c r="X543" s="528">
        <f>+'NF-KSF-TRIAL-BAL-2020'!Q543+'RA-TRIAL-BAL-2020'!Q543+'DES-TRIAL-BAL-2020'!Q543+'DMP-TRIAL-BAL-2020'!Q543</f>
        <v>0</v>
      </c>
      <c r="Y543" s="529">
        <f>+'NF-KSF-TRIAL-BAL-2020'!R543+'RA-TRIAL-BAL-2020'!R543+'DES-TRIAL-BAL-2020'!R543+'DMP-TRIAL-BAL-2020'!R543</f>
        <v>0</v>
      </c>
      <c r="Z543" s="528">
        <f>+'NF-KSF-TRIAL-BAL-2020'!S543+'RA-TRIAL-BAL-2020'!S543+'DES-TRIAL-BAL-2020'!S543+'DMP-TRIAL-BAL-2020'!S543</f>
        <v>0</v>
      </c>
      <c r="AA543" s="347">
        <f>+'NF-KSF-TRIAL-BAL-2020'!T543+'RA-TRIAL-BAL-2020'!T543+'DES-TRIAL-BAL-2020'!T543+'DMP-TRIAL-BAL-2020'!T543</f>
        <v>0</v>
      </c>
      <c r="AB543" s="51"/>
      <c r="AC543" s="8">
        <v>0</v>
      </c>
      <c r="AD543" s="9">
        <v>0</v>
      </c>
      <c r="AE543" s="122"/>
      <c r="AF543" s="121"/>
      <c r="AG543" s="27">
        <f t="shared" si="270"/>
        <v>0</v>
      </c>
      <c r="AH543" s="28">
        <f t="shared" si="271"/>
        <v>0</v>
      </c>
      <c r="AI543" s="51"/>
      <c r="AJ543" s="1497">
        <f t="shared" si="272"/>
        <v>6463</v>
      </c>
      <c r="AK543" s="8">
        <v>0</v>
      </c>
      <c r="AL543" s="9">
        <v>0</v>
      </c>
      <c r="AM543" s="326">
        <f t="shared" si="273"/>
        <v>0</v>
      </c>
      <c r="AN543" s="970">
        <f t="shared" si="274"/>
        <v>0</v>
      </c>
      <c r="AO543" s="27">
        <f t="shared" si="245"/>
        <v>0</v>
      </c>
      <c r="AP543" s="28">
        <f t="shared" si="246"/>
        <v>0</v>
      </c>
      <c r="AQ543" s="43"/>
      <c r="AR543" s="358">
        <f t="shared" si="275"/>
        <v>0</v>
      </c>
      <c r="AS543" s="359">
        <f t="shared" si="276"/>
        <v>0</v>
      </c>
      <c r="AT543" s="360">
        <f t="shared" si="277"/>
        <v>0</v>
      </c>
      <c r="AU543" s="43"/>
      <c r="AV543" s="43"/>
      <c r="AW543" s="119"/>
      <c r="AX543" s="119"/>
      <c r="AY543" s="43"/>
      <c r="AZ543" s="43"/>
      <c r="BA543" s="43"/>
      <c r="BB543" s="43"/>
      <c r="BC543" s="43"/>
      <c r="BD543" s="43"/>
    </row>
    <row r="544" spans="1:56" ht="15.75">
      <c r="A544" s="88">
        <v>6464</v>
      </c>
      <c r="B544" s="1032" t="s">
        <v>537</v>
      </c>
      <c r="C544" s="1033"/>
      <c r="D544" s="1033"/>
      <c r="E544" s="1033"/>
      <c r="F544" s="1033"/>
      <c r="G544" s="1033"/>
      <c r="H544" s="1033"/>
      <c r="I544" s="1033"/>
      <c r="J544" s="1033"/>
      <c r="K544" s="1033"/>
      <c r="L544" s="90"/>
      <c r="M544" s="51" t="s">
        <v>265</v>
      </c>
      <c r="N544" s="113">
        <f t="shared" si="267"/>
        <v>6464</v>
      </c>
      <c r="O544" s="8">
        <v>0</v>
      </c>
      <c r="P544" s="9">
        <v>0</v>
      </c>
      <c r="Q544" s="325"/>
      <c r="R544" s="324"/>
      <c r="S544" s="27">
        <f t="shared" si="268"/>
        <v>0</v>
      </c>
      <c r="T544" s="28">
        <f t="shared" si="269"/>
        <v>0</v>
      </c>
      <c r="U544" s="51"/>
      <c r="V544" s="541">
        <f>+'NF-KSF-TRIAL-BAL-2020'!O544+'RA-TRIAL-BAL-2020'!O544+'DES-TRIAL-BAL-2020'!O544+'DMP-TRIAL-BAL-2020'!O544</f>
        <v>0</v>
      </c>
      <c r="W544" s="529">
        <f>+'NF-KSF-TRIAL-BAL-2020'!P544+'RA-TRIAL-BAL-2020'!P544+'DES-TRIAL-BAL-2020'!P544+'DMP-TRIAL-BAL-2020'!P544</f>
        <v>0</v>
      </c>
      <c r="X544" s="528">
        <f>+'NF-KSF-TRIAL-BAL-2020'!Q544+'RA-TRIAL-BAL-2020'!Q544+'DES-TRIAL-BAL-2020'!Q544+'DMP-TRIAL-BAL-2020'!Q544</f>
        <v>0</v>
      </c>
      <c r="Y544" s="529">
        <f>+'NF-KSF-TRIAL-BAL-2020'!R544+'RA-TRIAL-BAL-2020'!R544+'DES-TRIAL-BAL-2020'!R544+'DMP-TRIAL-BAL-2020'!R544</f>
        <v>0</v>
      </c>
      <c r="Z544" s="528">
        <f>+'NF-KSF-TRIAL-BAL-2020'!S544+'RA-TRIAL-BAL-2020'!S544+'DES-TRIAL-BAL-2020'!S544+'DMP-TRIAL-BAL-2020'!S544</f>
        <v>0</v>
      </c>
      <c r="AA544" s="347">
        <f>+'NF-KSF-TRIAL-BAL-2020'!T544+'RA-TRIAL-BAL-2020'!T544+'DES-TRIAL-BAL-2020'!T544+'DMP-TRIAL-BAL-2020'!T544</f>
        <v>0</v>
      </c>
      <c r="AB544" s="51"/>
      <c r="AC544" s="8">
        <v>0</v>
      </c>
      <c r="AD544" s="9">
        <v>0</v>
      </c>
      <c r="AE544" s="122"/>
      <c r="AF544" s="121"/>
      <c r="AG544" s="27">
        <f t="shared" si="270"/>
        <v>0</v>
      </c>
      <c r="AH544" s="28">
        <f t="shared" si="271"/>
        <v>0</v>
      </c>
      <c r="AI544" s="51"/>
      <c r="AJ544" s="1497">
        <f t="shared" si="272"/>
        <v>6464</v>
      </c>
      <c r="AK544" s="8">
        <v>0</v>
      </c>
      <c r="AL544" s="9">
        <v>0</v>
      </c>
      <c r="AM544" s="326">
        <f t="shared" si="273"/>
        <v>0</v>
      </c>
      <c r="AN544" s="970">
        <f t="shared" si="274"/>
        <v>0</v>
      </c>
      <c r="AO544" s="27">
        <f t="shared" si="245"/>
        <v>0</v>
      </c>
      <c r="AP544" s="28">
        <f t="shared" si="246"/>
        <v>0</v>
      </c>
      <c r="AQ544" s="43"/>
      <c r="AR544" s="358">
        <f t="shared" si="275"/>
        <v>0</v>
      </c>
      <c r="AS544" s="359">
        <f t="shared" si="276"/>
        <v>0</v>
      </c>
      <c r="AT544" s="360">
        <f t="shared" si="277"/>
        <v>0</v>
      </c>
      <c r="AU544" s="43"/>
      <c r="AV544" s="43"/>
      <c r="AW544" s="119"/>
      <c r="AX544" s="119"/>
      <c r="AY544" s="43"/>
      <c r="AZ544" s="43"/>
      <c r="BA544" s="43"/>
      <c r="BB544" s="43"/>
      <c r="BC544" s="43"/>
      <c r="BD544" s="43"/>
    </row>
    <row r="545" spans="1:56" ht="15.75">
      <c r="A545" s="88">
        <v>6465</v>
      </c>
      <c r="B545" s="1032" t="s">
        <v>538</v>
      </c>
      <c r="C545" s="1033"/>
      <c r="D545" s="1033"/>
      <c r="E545" s="1033"/>
      <c r="F545" s="1033"/>
      <c r="G545" s="1033"/>
      <c r="H545" s="1033"/>
      <c r="I545" s="1033"/>
      <c r="J545" s="1033"/>
      <c r="K545" s="1033"/>
      <c r="L545" s="90"/>
      <c r="M545" s="51" t="s">
        <v>265</v>
      </c>
      <c r="N545" s="113">
        <f t="shared" si="267"/>
        <v>6465</v>
      </c>
      <c r="O545" s="8">
        <v>0</v>
      </c>
      <c r="P545" s="9">
        <v>0</v>
      </c>
      <c r="Q545" s="325"/>
      <c r="R545" s="324"/>
      <c r="S545" s="27">
        <f t="shared" si="268"/>
        <v>0</v>
      </c>
      <c r="T545" s="28">
        <f t="shared" si="269"/>
        <v>0</v>
      </c>
      <c r="U545" s="51"/>
      <c r="V545" s="541">
        <f>+'NF-KSF-TRIAL-BAL-2020'!O545+'RA-TRIAL-BAL-2020'!O545+'DES-TRIAL-BAL-2020'!O545+'DMP-TRIAL-BAL-2020'!O545</f>
        <v>0</v>
      </c>
      <c r="W545" s="529">
        <f>+'NF-KSF-TRIAL-BAL-2020'!P545+'RA-TRIAL-BAL-2020'!P545+'DES-TRIAL-BAL-2020'!P545+'DMP-TRIAL-BAL-2020'!P545</f>
        <v>0</v>
      </c>
      <c r="X545" s="528">
        <f>+'NF-KSF-TRIAL-BAL-2020'!Q545+'RA-TRIAL-BAL-2020'!Q545+'DES-TRIAL-BAL-2020'!Q545+'DMP-TRIAL-BAL-2020'!Q545</f>
        <v>0</v>
      </c>
      <c r="Y545" s="529">
        <f>+'NF-KSF-TRIAL-BAL-2020'!R545+'RA-TRIAL-BAL-2020'!R545+'DES-TRIAL-BAL-2020'!R545+'DMP-TRIAL-BAL-2020'!R545</f>
        <v>0</v>
      </c>
      <c r="Z545" s="528">
        <f>+'NF-KSF-TRIAL-BAL-2020'!S545+'RA-TRIAL-BAL-2020'!S545+'DES-TRIAL-BAL-2020'!S545+'DMP-TRIAL-BAL-2020'!S545</f>
        <v>0</v>
      </c>
      <c r="AA545" s="347">
        <f>+'NF-KSF-TRIAL-BAL-2020'!T545+'RA-TRIAL-BAL-2020'!T545+'DES-TRIAL-BAL-2020'!T545+'DMP-TRIAL-BAL-2020'!T545</f>
        <v>0</v>
      </c>
      <c r="AB545" s="51"/>
      <c r="AC545" s="8">
        <v>0</v>
      </c>
      <c r="AD545" s="9">
        <v>0</v>
      </c>
      <c r="AE545" s="122"/>
      <c r="AF545" s="121"/>
      <c r="AG545" s="27">
        <f t="shared" si="270"/>
        <v>0</v>
      </c>
      <c r="AH545" s="28">
        <f t="shared" si="271"/>
        <v>0</v>
      </c>
      <c r="AI545" s="51"/>
      <c r="AJ545" s="1497">
        <f t="shared" si="272"/>
        <v>6465</v>
      </c>
      <c r="AK545" s="8">
        <v>0</v>
      </c>
      <c r="AL545" s="9">
        <v>0</v>
      </c>
      <c r="AM545" s="326">
        <f t="shared" si="273"/>
        <v>0</v>
      </c>
      <c r="AN545" s="970">
        <f t="shared" si="274"/>
        <v>0</v>
      </c>
      <c r="AO545" s="27">
        <f t="shared" ref="AO545:AO565" si="278">+S545+Z545+AG545</f>
        <v>0</v>
      </c>
      <c r="AP545" s="28">
        <f t="shared" ref="AP545:AP572" si="279">+T545+AA545+AH545</f>
        <v>0</v>
      </c>
      <c r="AQ545" s="43"/>
      <c r="AR545" s="358">
        <f t="shared" si="275"/>
        <v>0</v>
      </c>
      <c r="AS545" s="359">
        <f t="shared" si="276"/>
        <v>0</v>
      </c>
      <c r="AT545" s="360">
        <f t="shared" si="277"/>
        <v>0</v>
      </c>
      <c r="AU545" s="43"/>
      <c r="AV545" s="43"/>
      <c r="AW545" s="119"/>
      <c r="AX545" s="119"/>
      <c r="AY545" s="43"/>
      <c r="AZ545" s="43"/>
      <c r="BA545" s="43"/>
      <c r="BB545" s="43"/>
      <c r="BC545" s="43"/>
      <c r="BD545" s="43"/>
    </row>
    <row r="546" spans="1:56" ht="15.75">
      <c r="A546" s="88">
        <v>6466</v>
      </c>
      <c r="B546" s="1032" t="s">
        <v>539</v>
      </c>
      <c r="C546" s="1033"/>
      <c r="D546" s="1033"/>
      <c r="E546" s="1033"/>
      <c r="F546" s="1033"/>
      <c r="G546" s="1033"/>
      <c r="H546" s="1033"/>
      <c r="I546" s="1033"/>
      <c r="J546" s="1033"/>
      <c r="K546" s="1033"/>
      <c r="L546" s="90"/>
      <c r="M546" s="51" t="s">
        <v>265</v>
      </c>
      <c r="N546" s="113">
        <f t="shared" si="267"/>
        <v>6466</v>
      </c>
      <c r="O546" s="8">
        <v>0</v>
      </c>
      <c r="P546" s="9">
        <v>0</v>
      </c>
      <c r="Q546" s="325"/>
      <c r="R546" s="324"/>
      <c r="S546" s="27">
        <f t="shared" si="268"/>
        <v>0</v>
      </c>
      <c r="T546" s="28">
        <f t="shared" si="269"/>
        <v>0</v>
      </c>
      <c r="U546" s="51"/>
      <c r="V546" s="541">
        <f>+'NF-KSF-TRIAL-BAL-2020'!O546+'RA-TRIAL-BAL-2020'!O546+'DES-TRIAL-BAL-2020'!O546+'DMP-TRIAL-BAL-2020'!O546</f>
        <v>0</v>
      </c>
      <c r="W546" s="529">
        <f>+'NF-KSF-TRIAL-BAL-2020'!P546+'RA-TRIAL-BAL-2020'!P546+'DES-TRIAL-BAL-2020'!P546+'DMP-TRIAL-BAL-2020'!P546</f>
        <v>0</v>
      </c>
      <c r="X546" s="528">
        <f>+'NF-KSF-TRIAL-BAL-2020'!Q546+'RA-TRIAL-BAL-2020'!Q546+'DES-TRIAL-BAL-2020'!Q546+'DMP-TRIAL-BAL-2020'!Q546</f>
        <v>0</v>
      </c>
      <c r="Y546" s="529">
        <f>+'NF-KSF-TRIAL-BAL-2020'!R546+'RA-TRIAL-BAL-2020'!R546+'DES-TRIAL-BAL-2020'!R546+'DMP-TRIAL-BAL-2020'!R546</f>
        <v>0</v>
      </c>
      <c r="Z546" s="528">
        <f>+'NF-KSF-TRIAL-BAL-2020'!S546+'RA-TRIAL-BAL-2020'!S546+'DES-TRIAL-BAL-2020'!S546+'DMP-TRIAL-BAL-2020'!S546</f>
        <v>0</v>
      </c>
      <c r="AA546" s="347">
        <f>+'NF-KSF-TRIAL-BAL-2020'!T546+'RA-TRIAL-BAL-2020'!T546+'DES-TRIAL-BAL-2020'!T546+'DMP-TRIAL-BAL-2020'!T546</f>
        <v>0</v>
      </c>
      <c r="AB546" s="51"/>
      <c r="AC546" s="8">
        <v>0</v>
      </c>
      <c r="AD546" s="9">
        <v>0</v>
      </c>
      <c r="AE546" s="122"/>
      <c r="AF546" s="121"/>
      <c r="AG546" s="27">
        <f t="shared" si="270"/>
        <v>0</v>
      </c>
      <c r="AH546" s="28">
        <f t="shared" si="271"/>
        <v>0</v>
      </c>
      <c r="AI546" s="51"/>
      <c r="AJ546" s="1497">
        <f t="shared" si="272"/>
        <v>6466</v>
      </c>
      <c r="AK546" s="8">
        <v>0</v>
      </c>
      <c r="AL546" s="9">
        <v>0</v>
      </c>
      <c r="AM546" s="326">
        <f t="shared" si="273"/>
        <v>0</v>
      </c>
      <c r="AN546" s="970">
        <f t="shared" si="274"/>
        <v>0</v>
      </c>
      <c r="AO546" s="27">
        <f t="shared" si="278"/>
        <v>0</v>
      </c>
      <c r="AP546" s="28">
        <f t="shared" si="279"/>
        <v>0</v>
      </c>
      <c r="AQ546" s="43"/>
      <c r="AR546" s="358">
        <f t="shared" si="275"/>
        <v>0</v>
      </c>
      <c r="AS546" s="359">
        <f t="shared" si="276"/>
        <v>0</v>
      </c>
      <c r="AT546" s="360">
        <f t="shared" si="277"/>
        <v>0</v>
      </c>
      <c r="AU546" s="43"/>
      <c r="AV546" s="43"/>
      <c r="AW546" s="119"/>
      <c r="AX546" s="119"/>
      <c r="AY546" s="43"/>
      <c r="AZ546" s="43"/>
      <c r="BA546" s="43"/>
      <c r="BB546" s="43"/>
      <c r="BC546" s="43"/>
      <c r="BD546" s="43"/>
    </row>
    <row r="547" spans="1:56" ht="15.75">
      <c r="A547" s="88">
        <v>6467</v>
      </c>
      <c r="B547" s="1032" t="s">
        <v>540</v>
      </c>
      <c r="C547" s="1033"/>
      <c r="D547" s="1033"/>
      <c r="E547" s="1033"/>
      <c r="F547" s="1033"/>
      <c r="G547" s="1033"/>
      <c r="H547" s="1033"/>
      <c r="I547" s="1033"/>
      <c r="J547" s="1033"/>
      <c r="K547" s="1033"/>
      <c r="L547" s="90"/>
      <c r="M547" s="51" t="s">
        <v>265</v>
      </c>
      <c r="N547" s="113">
        <f t="shared" si="267"/>
        <v>6467</v>
      </c>
      <c r="O547" s="8">
        <v>0</v>
      </c>
      <c r="P547" s="9">
        <v>0</v>
      </c>
      <c r="Q547" s="325"/>
      <c r="R547" s="324"/>
      <c r="S547" s="27">
        <f t="shared" si="268"/>
        <v>0</v>
      </c>
      <c r="T547" s="28">
        <f t="shared" si="269"/>
        <v>0</v>
      </c>
      <c r="U547" s="51"/>
      <c r="V547" s="541">
        <f>+'NF-KSF-TRIAL-BAL-2020'!O547+'RA-TRIAL-BAL-2020'!O547+'DES-TRIAL-BAL-2020'!O547+'DMP-TRIAL-BAL-2020'!O547</f>
        <v>0</v>
      </c>
      <c r="W547" s="529">
        <f>+'NF-KSF-TRIAL-BAL-2020'!P547+'RA-TRIAL-BAL-2020'!P547+'DES-TRIAL-BAL-2020'!P547+'DMP-TRIAL-BAL-2020'!P547</f>
        <v>0</v>
      </c>
      <c r="X547" s="528">
        <f>+'NF-KSF-TRIAL-BAL-2020'!Q547+'RA-TRIAL-BAL-2020'!Q547+'DES-TRIAL-BAL-2020'!Q547+'DMP-TRIAL-BAL-2020'!Q547</f>
        <v>0</v>
      </c>
      <c r="Y547" s="529">
        <f>+'NF-KSF-TRIAL-BAL-2020'!R547+'RA-TRIAL-BAL-2020'!R547+'DES-TRIAL-BAL-2020'!R547+'DMP-TRIAL-BAL-2020'!R547</f>
        <v>0</v>
      </c>
      <c r="Z547" s="528">
        <f>+'NF-KSF-TRIAL-BAL-2020'!S547+'RA-TRIAL-BAL-2020'!S547+'DES-TRIAL-BAL-2020'!S547+'DMP-TRIAL-BAL-2020'!S547</f>
        <v>0</v>
      </c>
      <c r="AA547" s="347">
        <f>+'NF-KSF-TRIAL-BAL-2020'!T547+'RA-TRIAL-BAL-2020'!T547+'DES-TRIAL-BAL-2020'!T547+'DMP-TRIAL-BAL-2020'!T547</f>
        <v>0</v>
      </c>
      <c r="AB547" s="51"/>
      <c r="AC547" s="8">
        <v>0</v>
      </c>
      <c r="AD547" s="9">
        <v>0</v>
      </c>
      <c r="AE547" s="122"/>
      <c r="AF547" s="121"/>
      <c r="AG547" s="27">
        <f t="shared" si="270"/>
        <v>0</v>
      </c>
      <c r="AH547" s="28">
        <f t="shared" si="271"/>
        <v>0</v>
      </c>
      <c r="AI547" s="51"/>
      <c r="AJ547" s="1497">
        <f t="shared" si="272"/>
        <v>6467</v>
      </c>
      <c r="AK547" s="8">
        <v>0</v>
      </c>
      <c r="AL547" s="9">
        <v>0</v>
      </c>
      <c r="AM547" s="326">
        <f t="shared" si="273"/>
        <v>0</v>
      </c>
      <c r="AN547" s="970">
        <f t="shared" si="274"/>
        <v>0</v>
      </c>
      <c r="AO547" s="27">
        <f t="shared" si="278"/>
        <v>0</v>
      </c>
      <c r="AP547" s="28">
        <f t="shared" si="279"/>
        <v>0</v>
      </c>
      <c r="AQ547" s="43"/>
      <c r="AR547" s="358">
        <f t="shared" si="275"/>
        <v>0</v>
      </c>
      <c r="AS547" s="359">
        <f t="shared" si="276"/>
        <v>0</v>
      </c>
      <c r="AT547" s="360">
        <f t="shared" si="277"/>
        <v>0</v>
      </c>
      <c r="AU547" s="43"/>
      <c r="AV547" s="43"/>
      <c r="AW547" s="119"/>
      <c r="AX547" s="119"/>
      <c r="AY547" s="43"/>
      <c r="AZ547" s="43"/>
      <c r="BA547" s="43"/>
      <c r="BB547" s="43"/>
      <c r="BC547" s="43"/>
      <c r="BD547" s="43"/>
    </row>
    <row r="548" spans="1:56" ht="15.75">
      <c r="A548" s="88">
        <v>6468</v>
      </c>
      <c r="B548" s="1032" t="s">
        <v>541</v>
      </c>
      <c r="C548" s="1033"/>
      <c r="D548" s="1033"/>
      <c r="E548" s="1033"/>
      <c r="F548" s="1033"/>
      <c r="G548" s="1033"/>
      <c r="H548" s="1033"/>
      <c r="I548" s="1033"/>
      <c r="J548" s="1033"/>
      <c r="K548" s="1033"/>
      <c r="L548" s="90"/>
      <c r="M548" s="51" t="s">
        <v>265</v>
      </c>
      <c r="N548" s="113">
        <f t="shared" si="267"/>
        <v>6468</v>
      </c>
      <c r="O548" s="8">
        <v>0</v>
      </c>
      <c r="P548" s="9">
        <v>0</v>
      </c>
      <c r="Q548" s="325"/>
      <c r="R548" s="324"/>
      <c r="S548" s="27">
        <f t="shared" si="268"/>
        <v>0</v>
      </c>
      <c r="T548" s="28">
        <f t="shared" si="269"/>
        <v>0</v>
      </c>
      <c r="U548" s="51"/>
      <c r="V548" s="541">
        <f>+'NF-KSF-TRIAL-BAL-2020'!O548+'RA-TRIAL-BAL-2020'!O548+'DES-TRIAL-BAL-2020'!O548+'DMP-TRIAL-BAL-2020'!O548</f>
        <v>0</v>
      </c>
      <c r="W548" s="529">
        <f>+'NF-KSF-TRIAL-BAL-2020'!P548+'RA-TRIAL-BAL-2020'!P548+'DES-TRIAL-BAL-2020'!P548+'DMP-TRIAL-BAL-2020'!P548</f>
        <v>0</v>
      </c>
      <c r="X548" s="528">
        <f>+'NF-KSF-TRIAL-BAL-2020'!Q548+'RA-TRIAL-BAL-2020'!Q548+'DES-TRIAL-BAL-2020'!Q548+'DMP-TRIAL-BAL-2020'!Q548</f>
        <v>0</v>
      </c>
      <c r="Y548" s="529">
        <f>+'NF-KSF-TRIAL-BAL-2020'!R548+'RA-TRIAL-BAL-2020'!R548+'DES-TRIAL-BAL-2020'!R548+'DMP-TRIAL-BAL-2020'!R548</f>
        <v>0</v>
      </c>
      <c r="Z548" s="528">
        <f>+'NF-KSF-TRIAL-BAL-2020'!S548+'RA-TRIAL-BAL-2020'!S548+'DES-TRIAL-BAL-2020'!S548+'DMP-TRIAL-BAL-2020'!S548</f>
        <v>0</v>
      </c>
      <c r="AA548" s="347">
        <f>+'NF-KSF-TRIAL-BAL-2020'!T548+'RA-TRIAL-BAL-2020'!T548+'DES-TRIAL-BAL-2020'!T548+'DMP-TRIAL-BAL-2020'!T548</f>
        <v>0</v>
      </c>
      <c r="AB548" s="51"/>
      <c r="AC548" s="8">
        <v>0</v>
      </c>
      <c r="AD548" s="9">
        <v>0</v>
      </c>
      <c r="AE548" s="122"/>
      <c r="AF548" s="121"/>
      <c r="AG548" s="27">
        <f t="shared" si="270"/>
        <v>0</v>
      </c>
      <c r="AH548" s="28">
        <f t="shared" si="271"/>
        <v>0</v>
      </c>
      <c r="AI548" s="51"/>
      <c r="AJ548" s="1497">
        <f t="shared" si="272"/>
        <v>6468</v>
      </c>
      <c r="AK548" s="8">
        <v>0</v>
      </c>
      <c r="AL548" s="9">
        <v>0</v>
      </c>
      <c r="AM548" s="326">
        <f t="shared" si="273"/>
        <v>0</v>
      </c>
      <c r="AN548" s="970">
        <f t="shared" si="274"/>
        <v>0</v>
      </c>
      <c r="AO548" s="27">
        <f t="shared" si="278"/>
        <v>0</v>
      </c>
      <c r="AP548" s="28">
        <f t="shared" si="279"/>
        <v>0</v>
      </c>
      <c r="AQ548" s="43"/>
      <c r="AR548" s="358">
        <f t="shared" si="275"/>
        <v>0</v>
      </c>
      <c r="AS548" s="359">
        <f t="shared" si="276"/>
        <v>0</v>
      </c>
      <c r="AT548" s="360">
        <f t="shared" si="277"/>
        <v>0</v>
      </c>
      <c r="AU548" s="43"/>
      <c r="AV548" s="43"/>
      <c r="AW548" s="119"/>
      <c r="AX548" s="119"/>
      <c r="AY548" s="43"/>
      <c r="AZ548" s="43"/>
      <c r="BA548" s="43"/>
      <c r="BB548" s="43"/>
      <c r="BC548" s="43"/>
      <c r="BD548" s="43"/>
    </row>
    <row r="549" spans="1:56" ht="15.75">
      <c r="A549" s="88">
        <v>6469</v>
      </c>
      <c r="B549" s="1032" t="s">
        <v>542</v>
      </c>
      <c r="C549" s="1033"/>
      <c r="D549" s="1033"/>
      <c r="E549" s="1033"/>
      <c r="F549" s="1033"/>
      <c r="G549" s="1033"/>
      <c r="H549" s="1033"/>
      <c r="I549" s="1033"/>
      <c r="J549" s="1033"/>
      <c r="K549" s="1033"/>
      <c r="L549" s="90"/>
      <c r="M549" s="51" t="s">
        <v>265</v>
      </c>
      <c r="N549" s="113">
        <f t="shared" si="267"/>
        <v>6469</v>
      </c>
      <c r="O549" s="8">
        <v>0</v>
      </c>
      <c r="P549" s="9">
        <v>0</v>
      </c>
      <c r="Q549" s="325"/>
      <c r="R549" s="324"/>
      <c r="S549" s="27">
        <f t="shared" si="268"/>
        <v>0</v>
      </c>
      <c r="T549" s="28">
        <f t="shared" si="269"/>
        <v>0</v>
      </c>
      <c r="U549" s="51"/>
      <c r="V549" s="541">
        <f>+'NF-KSF-TRIAL-BAL-2020'!O549+'RA-TRIAL-BAL-2020'!O549+'DES-TRIAL-BAL-2020'!O549+'DMP-TRIAL-BAL-2020'!O549</f>
        <v>0</v>
      </c>
      <c r="W549" s="529">
        <f>+'NF-KSF-TRIAL-BAL-2020'!P549+'RA-TRIAL-BAL-2020'!P549+'DES-TRIAL-BAL-2020'!P549+'DMP-TRIAL-BAL-2020'!P549</f>
        <v>0</v>
      </c>
      <c r="X549" s="528">
        <f>+'NF-KSF-TRIAL-BAL-2020'!Q549+'RA-TRIAL-BAL-2020'!Q549+'DES-TRIAL-BAL-2020'!Q549+'DMP-TRIAL-BAL-2020'!Q549</f>
        <v>0</v>
      </c>
      <c r="Y549" s="529">
        <f>+'NF-KSF-TRIAL-BAL-2020'!R549+'RA-TRIAL-BAL-2020'!R549+'DES-TRIAL-BAL-2020'!R549+'DMP-TRIAL-BAL-2020'!R549</f>
        <v>0</v>
      </c>
      <c r="Z549" s="528">
        <f>+'NF-KSF-TRIAL-BAL-2020'!S549+'RA-TRIAL-BAL-2020'!S549+'DES-TRIAL-BAL-2020'!S549+'DMP-TRIAL-BAL-2020'!S549</f>
        <v>0</v>
      </c>
      <c r="AA549" s="347">
        <f>+'NF-KSF-TRIAL-BAL-2020'!T549+'RA-TRIAL-BAL-2020'!T549+'DES-TRIAL-BAL-2020'!T549+'DMP-TRIAL-BAL-2020'!T549</f>
        <v>0</v>
      </c>
      <c r="AB549" s="51"/>
      <c r="AC549" s="8">
        <v>0</v>
      </c>
      <c r="AD549" s="9">
        <v>0</v>
      </c>
      <c r="AE549" s="122"/>
      <c r="AF549" s="121"/>
      <c r="AG549" s="27">
        <f t="shared" si="270"/>
        <v>0</v>
      </c>
      <c r="AH549" s="28">
        <f t="shared" si="271"/>
        <v>0</v>
      </c>
      <c r="AI549" s="51"/>
      <c r="AJ549" s="1497">
        <f t="shared" si="272"/>
        <v>6469</v>
      </c>
      <c r="AK549" s="8">
        <v>0</v>
      </c>
      <c r="AL549" s="9">
        <v>0</v>
      </c>
      <c r="AM549" s="326">
        <f t="shared" si="273"/>
        <v>0</v>
      </c>
      <c r="AN549" s="970">
        <f t="shared" si="274"/>
        <v>0</v>
      </c>
      <c r="AO549" s="27">
        <f t="shared" si="278"/>
        <v>0</v>
      </c>
      <c r="AP549" s="28">
        <f t="shared" si="279"/>
        <v>0</v>
      </c>
      <c r="AQ549" s="43"/>
      <c r="AR549" s="358">
        <f t="shared" si="275"/>
        <v>0</v>
      </c>
      <c r="AS549" s="359">
        <f t="shared" si="276"/>
        <v>0</v>
      </c>
      <c r="AT549" s="360">
        <f t="shared" si="277"/>
        <v>0</v>
      </c>
      <c r="AU549" s="43"/>
      <c r="AV549" s="43"/>
      <c r="AW549" s="119"/>
      <c r="AX549" s="119"/>
      <c r="AY549" s="43"/>
      <c r="AZ549" s="43"/>
      <c r="BA549" s="43"/>
      <c r="BB549" s="43"/>
      <c r="BC549" s="43"/>
      <c r="BD549" s="43"/>
    </row>
    <row r="550" spans="1:56" ht="15.75">
      <c r="A550" s="88">
        <v>6471</v>
      </c>
      <c r="B550" s="1033" t="s">
        <v>543</v>
      </c>
      <c r="C550" s="1033"/>
      <c r="D550" s="1033"/>
      <c r="E550" s="1033"/>
      <c r="F550" s="1033"/>
      <c r="G550" s="1033"/>
      <c r="H550" s="1033"/>
      <c r="I550" s="1033"/>
      <c r="J550" s="1033"/>
      <c r="K550" s="1033"/>
      <c r="L550" s="90"/>
      <c r="M550" s="51" t="s">
        <v>265</v>
      </c>
      <c r="N550" s="113">
        <f t="shared" si="263"/>
        <v>6471</v>
      </c>
      <c r="O550" s="8">
        <v>0</v>
      </c>
      <c r="P550" s="9">
        <v>0</v>
      </c>
      <c r="Q550" s="325"/>
      <c r="R550" s="324"/>
      <c r="S550" s="27">
        <f t="shared" si="247"/>
        <v>0</v>
      </c>
      <c r="T550" s="28">
        <f t="shared" si="248"/>
        <v>0</v>
      </c>
      <c r="U550" s="51"/>
      <c r="V550" s="541">
        <f>+'NF-KSF-TRIAL-BAL-2020'!O550+'RA-TRIAL-BAL-2020'!O550+'DES-TRIAL-BAL-2020'!O550+'DMP-TRIAL-BAL-2020'!O550</f>
        <v>0</v>
      </c>
      <c r="W550" s="529">
        <f>+'NF-KSF-TRIAL-BAL-2020'!P550+'RA-TRIAL-BAL-2020'!P550+'DES-TRIAL-BAL-2020'!P550+'DMP-TRIAL-BAL-2020'!P550</f>
        <v>0</v>
      </c>
      <c r="X550" s="528">
        <f>+'NF-KSF-TRIAL-BAL-2020'!Q550+'RA-TRIAL-BAL-2020'!Q550+'DES-TRIAL-BAL-2020'!Q550+'DMP-TRIAL-BAL-2020'!Q550</f>
        <v>0</v>
      </c>
      <c r="Y550" s="529">
        <f>+'NF-KSF-TRIAL-BAL-2020'!R550+'RA-TRIAL-BAL-2020'!R550+'DES-TRIAL-BAL-2020'!R550+'DMP-TRIAL-BAL-2020'!R550</f>
        <v>0</v>
      </c>
      <c r="Z550" s="528">
        <f>+'NF-KSF-TRIAL-BAL-2020'!S550+'RA-TRIAL-BAL-2020'!S550+'DES-TRIAL-BAL-2020'!S550+'DMP-TRIAL-BAL-2020'!S550</f>
        <v>0</v>
      </c>
      <c r="AA550" s="347">
        <f>+'NF-KSF-TRIAL-BAL-2020'!T550+'RA-TRIAL-BAL-2020'!T550+'DES-TRIAL-BAL-2020'!T550+'DMP-TRIAL-BAL-2020'!T550</f>
        <v>0</v>
      </c>
      <c r="AB550" s="51"/>
      <c r="AC550" s="8">
        <v>0</v>
      </c>
      <c r="AD550" s="9">
        <v>0</v>
      </c>
      <c r="AE550" s="122"/>
      <c r="AF550" s="121"/>
      <c r="AG550" s="27">
        <f t="shared" si="249"/>
        <v>0</v>
      </c>
      <c r="AH550" s="28">
        <f t="shared" si="250"/>
        <v>0</v>
      </c>
      <c r="AI550" s="51"/>
      <c r="AJ550" s="1497">
        <f t="shared" si="244"/>
        <v>6471</v>
      </c>
      <c r="AK550" s="8">
        <v>0</v>
      </c>
      <c r="AL550" s="9">
        <v>0</v>
      </c>
      <c r="AM550" s="326">
        <f t="shared" si="251"/>
        <v>0</v>
      </c>
      <c r="AN550" s="970">
        <f t="shared" si="251"/>
        <v>0</v>
      </c>
      <c r="AO550" s="27">
        <f t="shared" si="278"/>
        <v>0</v>
      </c>
      <c r="AP550" s="28">
        <f t="shared" si="279"/>
        <v>0</v>
      </c>
      <c r="AQ550" s="43"/>
      <c r="AR550" s="358">
        <f t="shared" si="264"/>
        <v>0</v>
      </c>
      <c r="AS550" s="359">
        <f t="shared" si="265"/>
        <v>0</v>
      </c>
      <c r="AT550" s="360">
        <f t="shared" si="266"/>
        <v>0</v>
      </c>
      <c r="AU550" s="43"/>
      <c r="AV550" s="43"/>
      <c r="AW550" s="119"/>
      <c r="AX550" s="119"/>
      <c r="AY550" s="43"/>
      <c r="AZ550" s="43"/>
      <c r="BA550" s="43"/>
      <c r="BB550" s="43"/>
      <c r="BC550" s="43"/>
      <c r="BD550" s="43"/>
    </row>
    <row r="551" spans="1:56" ht="15.75">
      <c r="A551" s="88">
        <f>2+A550</f>
        <v>6473</v>
      </c>
      <c r="B551" s="1033" t="s">
        <v>544</v>
      </c>
      <c r="C551" s="1033"/>
      <c r="D551" s="1033"/>
      <c r="E551" s="1033"/>
      <c r="F551" s="1033"/>
      <c r="G551" s="1033"/>
      <c r="H551" s="1033"/>
      <c r="I551" s="1033"/>
      <c r="J551" s="1033"/>
      <c r="K551" s="1033"/>
      <c r="L551" s="90"/>
      <c r="M551" s="51" t="s">
        <v>265</v>
      </c>
      <c r="N551" s="113">
        <f t="shared" si="263"/>
        <v>6473</v>
      </c>
      <c r="O551" s="8">
        <v>0</v>
      </c>
      <c r="P551" s="9">
        <v>0</v>
      </c>
      <c r="Q551" s="325"/>
      <c r="R551" s="324"/>
      <c r="S551" s="27">
        <f t="shared" si="247"/>
        <v>0</v>
      </c>
      <c r="T551" s="28">
        <f t="shared" si="248"/>
        <v>0</v>
      </c>
      <c r="U551" s="51"/>
      <c r="V551" s="541">
        <f>+'NF-KSF-TRIAL-BAL-2020'!O551+'RA-TRIAL-BAL-2020'!O551+'DES-TRIAL-BAL-2020'!O551+'DMP-TRIAL-BAL-2020'!O551</f>
        <v>0</v>
      </c>
      <c r="W551" s="529">
        <f>+'NF-KSF-TRIAL-BAL-2020'!P551+'RA-TRIAL-BAL-2020'!P551+'DES-TRIAL-BAL-2020'!P551+'DMP-TRIAL-BAL-2020'!P551</f>
        <v>0</v>
      </c>
      <c r="X551" s="528">
        <f>+'NF-KSF-TRIAL-BAL-2020'!Q551+'RA-TRIAL-BAL-2020'!Q551+'DES-TRIAL-BAL-2020'!Q551+'DMP-TRIAL-BAL-2020'!Q551</f>
        <v>0</v>
      </c>
      <c r="Y551" s="529">
        <f>+'NF-KSF-TRIAL-BAL-2020'!R551+'RA-TRIAL-BAL-2020'!R551+'DES-TRIAL-BAL-2020'!R551+'DMP-TRIAL-BAL-2020'!R551</f>
        <v>0</v>
      </c>
      <c r="Z551" s="528">
        <f>+'NF-KSF-TRIAL-BAL-2020'!S551+'RA-TRIAL-BAL-2020'!S551+'DES-TRIAL-BAL-2020'!S551+'DMP-TRIAL-BAL-2020'!S551</f>
        <v>0</v>
      </c>
      <c r="AA551" s="347">
        <f>+'NF-KSF-TRIAL-BAL-2020'!T551+'RA-TRIAL-BAL-2020'!T551+'DES-TRIAL-BAL-2020'!T551+'DMP-TRIAL-BAL-2020'!T551</f>
        <v>0</v>
      </c>
      <c r="AB551" s="51"/>
      <c r="AC551" s="8">
        <v>0</v>
      </c>
      <c r="AD551" s="9">
        <v>0</v>
      </c>
      <c r="AE551" s="122"/>
      <c r="AF551" s="121"/>
      <c r="AG551" s="27">
        <f t="shared" si="249"/>
        <v>0</v>
      </c>
      <c r="AH551" s="28">
        <f t="shared" si="250"/>
        <v>0</v>
      </c>
      <c r="AI551" s="51"/>
      <c r="AJ551" s="1497">
        <f t="shared" si="244"/>
        <v>6473</v>
      </c>
      <c r="AK551" s="8">
        <v>0</v>
      </c>
      <c r="AL551" s="9">
        <v>0</v>
      </c>
      <c r="AM551" s="326">
        <f t="shared" si="251"/>
        <v>0</v>
      </c>
      <c r="AN551" s="970">
        <f t="shared" si="251"/>
        <v>0</v>
      </c>
      <c r="AO551" s="27">
        <f t="shared" si="278"/>
        <v>0</v>
      </c>
      <c r="AP551" s="28">
        <f t="shared" si="279"/>
        <v>0</v>
      </c>
      <c r="AQ551" s="43"/>
      <c r="AR551" s="358">
        <f t="shared" si="264"/>
        <v>0</v>
      </c>
      <c r="AS551" s="359">
        <f t="shared" si="265"/>
        <v>0</v>
      </c>
      <c r="AT551" s="360">
        <f t="shared" si="266"/>
        <v>0</v>
      </c>
      <c r="AU551" s="43"/>
      <c r="AV551" s="43"/>
      <c r="AW551" s="119"/>
      <c r="AX551" s="119"/>
      <c r="AY551" s="43"/>
      <c r="AZ551" s="43"/>
      <c r="BA551" s="43"/>
      <c r="BB551" s="43"/>
      <c r="BC551" s="43"/>
      <c r="BD551" s="43"/>
    </row>
    <row r="552" spans="1:56" ht="15.75">
      <c r="A552" s="88">
        <f>2+A551</f>
        <v>6475</v>
      </c>
      <c r="B552" s="1033" t="s">
        <v>545</v>
      </c>
      <c r="C552" s="1033"/>
      <c r="D552" s="1033"/>
      <c r="E552" s="1033"/>
      <c r="F552" s="1033"/>
      <c r="G552" s="1033"/>
      <c r="H552" s="1033"/>
      <c r="I552" s="1033"/>
      <c r="J552" s="1033"/>
      <c r="K552" s="1033"/>
      <c r="L552" s="90"/>
      <c r="M552" s="51" t="s">
        <v>265</v>
      </c>
      <c r="N552" s="113">
        <f t="shared" si="263"/>
        <v>6475</v>
      </c>
      <c r="O552" s="8">
        <v>0</v>
      </c>
      <c r="P552" s="9">
        <v>0</v>
      </c>
      <c r="Q552" s="325"/>
      <c r="R552" s="324"/>
      <c r="S552" s="27">
        <f t="shared" si="247"/>
        <v>0</v>
      </c>
      <c r="T552" s="28">
        <f t="shared" si="248"/>
        <v>0</v>
      </c>
      <c r="U552" s="51"/>
      <c r="V552" s="541">
        <f>+'NF-KSF-TRIAL-BAL-2020'!O552+'RA-TRIAL-BAL-2020'!O552+'DES-TRIAL-BAL-2020'!O552+'DMP-TRIAL-BAL-2020'!O552</f>
        <v>0</v>
      </c>
      <c r="W552" s="529">
        <f>+'NF-KSF-TRIAL-BAL-2020'!P552+'RA-TRIAL-BAL-2020'!P552+'DES-TRIAL-BAL-2020'!P552+'DMP-TRIAL-BAL-2020'!P552</f>
        <v>0</v>
      </c>
      <c r="X552" s="528">
        <f>+'NF-KSF-TRIAL-BAL-2020'!Q552+'RA-TRIAL-BAL-2020'!Q552+'DES-TRIAL-BAL-2020'!Q552+'DMP-TRIAL-BAL-2020'!Q552</f>
        <v>0</v>
      </c>
      <c r="Y552" s="529">
        <f>+'NF-KSF-TRIAL-BAL-2020'!R552+'RA-TRIAL-BAL-2020'!R552+'DES-TRIAL-BAL-2020'!R552+'DMP-TRIAL-BAL-2020'!R552</f>
        <v>0</v>
      </c>
      <c r="Z552" s="528">
        <f>+'NF-KSF-TRIAL-BAL-2020'!S552+'RA-TRIAL-BAL-2020'!S552+'DES-TRIAL-BAL-2020'!S552+'DMP-TRIAL-BAL-2020'!S552</f>
        <v>0</v>
      </c>
      <c r="AA552" s="347">
        <f>+'NF-KSF-TRIAL-BAL-2020'!T552+'RA-TRIAL-BAL-2020'!T552+'DES-TRIAL-BAL-2020'!T552+'DMP-TRIAL-BAL-2020'!T552</f>
        <v>0</v>
      </c>
      <c r="AB552" s="51"/>
      <c r="AC552" s="8">
        <v>0</v>
      </c>
      <c r="AD552" s="9">
        <v>0</v>
      </c>
      <c r="AE552" s="122"/>
      <c r="AF552" s="121"/>
      <c r="AG552" s="27">
        <f t="shared" si="249"/>
        <v>0</v>
      </c>
      <c r="AH552" s="28">
        <f t="shared" si="250"/>
        <v>0</v>
      </c>
      <c r="AI552" s="51"/>
      <c r="AJ552" s="1497">
        <f t="shared" si="244"/>
        <v>6475</v>
      </c>
      <c r="AK552" s="8">
        <v>0</v>
      </c>
      <c r="AL552" s="9">
        <v>0</v>
      </c>
      <c r="AM552" s="326">
        <f t="shared" si="251"/>
        <v>0</v>
      </c>
      <c r="AN552" s="970">
        <f t="shared" si="251"/>
        <v>0</v>
      </c>
      <c r="AO552" s="27">
        <f t="shared" si="278"/>
        <v>0</v>
      </c>
      <c r="AP552" s="28">
        <f t="shared" si="279"/>
        <v>0</v>
      </c>
      <c r="AQ552" s="43"/>
      <c r="AR552" s="358">
        <f t="shared" si="264"/>
        <v>0</v>
      </c>
      <c r="AS552" s="359">
        <f t="shared" si="265"/>
        <v>0</v>
      </c>
      <c r="AT552" s="360">
        <f t="shared" si="266"/>
        <v>0</v>
      </c>
      <c r="AU552" s="43"/>
      <c r="AV552" s="43"/>
      <c r="AW552" s="119"/>
      <c r="AX552" s="119"/>
      <c r="AY552" s="43"/>
      <c r="AZ552" s="43"/>
      <c r="BA552" s="43"/>
      <c r="BB552" s="43"/>
      <c r="BC552" s="43"/>
      <c r="BD552" s="43"/>
    </row>
    <row r="553" spans="1:56" ht="15.75">
      <c r="A553" s="88">
        <f>2+A552</f>
        <v>6477</v>
      </c>
      <c r="B553" s="1033" t="s">
        <v>546</v>
      </c>
      <c r="C553" s="1033"/>
      <c r="D553" s="1033"/>
      <c r="E553" s="1033"/>
      <c r="F553" s="1033"/>
      <c r="G553" s="1033"/>
      <c r="H553" s="1033"/>
      <c r="I553" s="1033"/>
      <c r="J553" s="1033"/>
      <c r="K553" s="1033"/>
      <c r="L553" s="90"/>
      <c r="M553" s="51" t="s">
        <v>265</v>
      </c>
      <c r="N553" s="113">
        <f t="shared" si="263"/>
        <v>6477</v>
      </c>
      <c r="O553" s="8">
        <v>0</v>
      </c>
      <c r="P553" s="9">
        <v>0</v>
      </c>
      <c r="Q553" s="325"/>
      <c r="R553" s="324"/>
      <c r="S553" s="27">
        <f t="shared" si="247"/>
        <v>0</v>
      </c>
      <c r="T553" s="28">
        <f t="shared" si="248"/>
        <v>0</v>
      </c>
      <c r="U553" s="51"/>
      <c r="V553" s="541">
        <f>+'NF-KSF-TRIAL-BAL-2020'!O553+'RA-TRIAL-BAL-2020'!O553+'DES-TRIAL-BAL-2020'!O553+'DMP-TRIAL-BAL-2020'!O553</f>
        <v>0</v>
      </c>
      <c r="W553" s="529">
        <f>+'NF-KSF-TRIAL-BAL-2020'!P553+'RA-TRIAL-BAL-2020'!P553+'DES-TRIAL-BAL-2020'!P553+'DMP-TRIAL-BAL-2020'!P553</f>
        <v>0</v>
      </c>
      <c r="X553" s="528">
        <f>+'NF-KSF-TRIAL-BAL-2020'!Q553+'RA-TRIAL-BAL-2020'!Q553+'DES-TRIAL-BAL-2020'!Q553+'DMP-TRIAL-BAL-2020'!Q553</f>
        <v>0</v>
      </c>
      <c r="Y553" s="529">
        <f>+'NF-KSF-TRIAL-BAL-2020'!R553+'RA-TRIAL-BAL-2020'!R553+'DES-TRIAL-BAL-2020'!R553+'DMP-TRIAL-BAL-2020'!R553</f>
        <v>0</v>
      </c>
      <c r="Z553" s="528">
        <f>+'NF-KSF-TRIAL-BAL-2020'!S553+'RA-TRIAL-BAL-2020'!S553+'DES-TRIAL-BAL-2020'!S553+'DMP-TRIAL-BAL-2020'!S553</f>
        <v>0</v>
      </c>
      <c r="AA553" s="347">
        <f>+'NF-KSF-TRIAL-BAL-2020'!T553+'RA-TRIAL-BAL-2020'!T553+'DES-TRIAL-BAL-2020'!T553+'DMP-TRIAL-BAL-2020'!T553</f>
        <v>0</v>
      </c>
      <c r="AB553" s="51"/>
      <c r="AC553" s="8">
        <v>0</v>
      </c>
      <c r="AD553" s="9">
        <v>0</v>
      </c>
      <c r="AE553" s="325"/>
      <c r="AF553" s="324"/>
      <c r="AG553" s="27">
        <f t="shared" si="249"/>
        <v>0</v>
      </c>
      <c r="AH553" s="28">
        <f t="shared" si="250"/>
        <v>0</v>
      </c>
      <c r="AI553" s="51"/>
      <c r="AJ553" s="1497">
        <f t="shared" si="244"/>
        <v>6477</v>
      </c>
      <c r="AK553" s="8">
        <v>0</v>
      </c>
      <c r="AL553" s="9">
        <v>0</v>
      </c>
      <c r="AM553" s="326">
        <f t="shared" si="251"/>
        <v>0</v>
      </c>
      <c r="AN553" s="970">
        <f t="shared" si="251"/>
        <v>0</v>
      </c>
      <c r="AO553" s="27">
        <f t="shared" si="278"/>
        <v>0</v>
      </c>
      <c r="AP553" s="28">
        <f t="shared" si="279"/>
        <v>0</v>
      </c>
      <c r="AQ553" s="43"/>
      <c r="AR553" s="358">
        <f t="shared" si="264"/>
        <v>0</v>
      </c>
      <c r="AS553" s="359">
        <f t="shared" si="265"/>
        <v>0</v>
      </c>
      <c r="AT553" s="360">
        <f t="shared" si="266"/>
        <v>0</v>
      </c>
      <c r="AU553" s="43"/>
      <c r="AV553" s="43"/>
      <c r="AW553" s="119"/>
      <c r="AX553" s="119"/>
      <c r="AY553" s="43"/>
      <c r="AZ553" s="43"/>
      <c r="BA553" s="43"/>
      <c r="BB553" s="43"/>
      <c r="BC553" s="43"/>
      <c r="BD553" s="43"/>
    </row>
    <row r="554" spans="1:56" ht="15.75">
      <c r="A554" s="88">
        <v>6479</v>
      </c>
      <c r="B554" s="1033" t="s">
        <v>547</v>
      </c>
      <c r="C554" s="1033"/>
      <c r="D554" s="1033"/>
      <c r="E554" s="1033"/>
      <c r="F554" s="1033"/>
      <c r="G554" s="1033"/>
      <c r="H554" s="1033"/>
      <c r="I554" s="1033"/>
      <c r="J554" s="1033"/>
      <c r="K554" s="1033"/>
      <c r="L554" s="90"/>
      <c r="M554" s="51" t="s">
        <v>265</v>
      </c>
      <c r="N554" s="113">
        <f>+A554</f>
        <v>6479</v>
      </c>
      <c r="O554" s="8">
        <v>0</v>
      </c>
      <c r="P554" s="9">
        <v>0</v>
      </c>
      <c r="Q554" s="325"/>
      <c r="R554" s="324"/>
      <c r="S554" s="27">
        <f>+IF(ABS(+O554+Q554)&gt;=ABS(P554+R554),+O554-P554+Q554-R554,0)</f>
        <v>0</v>
      </c>
      <c r="T554" s="28">
        <f>+IF(ABS(+O554+Q554)&lt;=ABS(P554+R554),-O554+P554-Q554+R554,0)</f>
        <v>0</v>
      </c>
      <c r="U554" s="51"/>
      <c r="V554" s="541">
        <f>+'NF-KSF-TRIAL-BAL-2020'!O554+'RA-TRIAL-BAL-2020'!O554+'DES-TRIAL-BAL-2020'!O554+'DMP-TRIAL-BAL-2020'!O554</f>
        <v>0</v>
      </c>
      <c r="W554" s="529">
        <f>+'NF-KSF-TRIAL-BAL-2020'!P554+'RA-TRIAL-BAL-2020'!P554+'DES-TRIAL-BAL-2020'!P554+'DMP-TRIAL-BAL-2020'!P554</f>
        <v>0</v>
      </c>
      <c r="X554" s="528">
        <f>+'NF-KSF-TRIAL-BAL-2020'!Q554+'RA-TRIAL-BAL-2020'!Q554+'DES-TRIAL-BAL-2020'!Q554+'DMP-TRIAL-BAL-2020'!Q554</f>
        <v>0</v>
      </c>
      <c r="Y554" s="529">
        <f>+'NF-KSF-TRIAL-BAL-2020'!R554+'RA-TRIAL-BAL-2020'!R554+'DES-TRIAL-BAL-2020'!R554+'DMP-TRIAL-BAL-2020'!R554</f>
        <v>0</v>
      </c>
      <c r="Z554" s="528">
        <f>+'NF-KSF-TRIAL-BAL-2020'!S554+'RA-TRIAL-BAL-2020'!S554+'DES-TRIAL-BAL-2020'!S554+'DMP-TRIAL-BAL-2020'!S554</f>
        <v>0</v>
      </c>
      <c r="AA554" s="347">
        <f>+'NF-KSF-TRIAL-BAL-2020'!T554+'RA-TRIAL-BAL-2020'!T554+'DES-TRIAL-BAL-2020'!T554+'DMP-TRIAL-BAL-2020'!T554</f>
        <v>0</v>
      </c>
      <c r="AB554" s="51"/>
      <c r="AC554" s="8">
        <v>0</v>
      </c>
      <c r="AD554" s="9">
        <v>0</v>
      </c>
      <c r="AE554" s="325"/>
      <c r="AF554" s="324"/>
      <c r="AG554" s="27">
        <f>+IF(ABS(+AC554+AE554)&gt;=ABS(AD554+AF554),+AC554-AD554+AE554-AF554,0)</f>
        <v>0</v>
      </c>
      <c r="AH554" s="28">
        <f>+IF(ABS(+AC554+AE554)&lt;=ABS(AD554+AF554),-AC554+AD554-AE554+AF554,0)</f>
        <v>0</v>
      </c>
      <c r="AI554" s="51"/>
      <c r="AJ554" s="1497">
        <f>+N554</f>
        <v>6479</v>
      </c>
      <c r="AK554" s="8">
        <v>0</v>
      </c>
      <c r="AL554" s="9">
        <v>0</v>
      </c>
      <c r="AM554" s="326">
        <f t="shared" si="251"/>
        <v>0</v>
      </c>
      <c r="AN554" s="970">
        <f t="shared" si="251"/>
        <v>0</v>
      </c>
      <c r="AO554" s="27">
        <f t="shared" si="278"/>
        <v>0</v>
      </c>
      <c r="AP554" s="28">
        <f t="shared" si="279"/>
        <v>0</v>
      </c>
      <c r="AQ554" s="43"/>
      <c r="AR554" s="358">
        <f>+ROUND(+SUM(AK554-AL554)-SUM(O554-P554)-SUM(V554-W554)-SUM(AC554-AD554),2)</f>
        <v>0</v>
      </c>
      <c r="AS554" s="359">
        <f>+ROUND(+SUM(AM554-AN554)-SUM(Q554-R554)-SUM(X554-Y554)-SUM(AE554-AF554),2)</f>
        <v>0</v>
      </c>
      <c r="AT554" s="360">
        <f>+ROUND(+SUM(AO554-AP554)-SUM(S554-T554)-SUM(Z554-AA554)-SUM(AG554-AH554),2)</f>
        <v>0</v>
      </c>
      <c r="AU554" s="43"/>
      <c r="AV554" s="43"/>
      <c r="AW554" s="119"/>
      <c r="AX554" s="119"/>
      <c r="AY554" s="43"/>
      <c r="AZ554" s="43"/>
      <c r="BA554" s="43"/>
      <c r="BB554" s="43"/>
      <c r="BC554" s="43"/>
      <c r="BD554" s="43"/>
    </row>
    <row r="555" spans="1:56" ht="15.75">
      <c r="A555" s="88">
        <v>6480</v>
      </c>
      <c r="B555" s="1033" t="s">
        <v>567</v>
      </c>
      <c r="C555" s="1033"/>
      <c r="D555" s="1033"/>
      <c r="E555" s="1033"/>
      <c r="F555" s="1033"/>
      <c r="G555" s="1033"/>
      <c r="H555" s="1033"/>
      <c r="I555" s="1033"/>
      <c r="J555" s="1033"/>
      <c r="K555" s="1033"/>
      <c r="L555" s="90"/>
      <c r="M555" s="51" t="s">
        <v>265</v>
      </c>
      <c r="N555" s="113">
        <f>+A555</f>
        <v>6480</v>
      </c>
      <c r="O555" s="8">
        <v>0</v>
      </c>
      <c r="P555" s="9">
        <v>0</v>
      </c>
      <c r="Q555" s="325"/>
      <c r="R555" s="324"/>
      <c r="S555" s="27">
        <f>+IF(ABS(+O555+Q555)&gt;=ABS(P555+R555),+O555-P555+Q555-R555,0)</f>
        <v>0</v>
      </c>
      <c r="T555" s="28">
        <f>+IF(ABS(+O555+Q555)&lt;=ABS(P555+R555),-O555+P555-Q555+R555,0)</f>
        <v>0</v>
      </c>
      <c r="U555" s="51"/>
      <c r="V555" s="541">
        <f>+'NF-KSF-TRIAL-BAL-2020'!O555+'RA-TRIAL-BAL-2020'!O555+'DES-TRIAL-BAL-2020'!O555+'DMP-TRIAL-BAL-2020'!O555</f>
        <v>0</v>
      </c>
      <c r="W555" s="529">
        <f>+'NF-KSF-TRIAL-BAL-2020'!P555+'RA-TRIAL-BAL-2020'!P555+'DES-TRIAL-BAL-2020'!P555+'DMP-TRIAL-BAL-2020'!P555</f>
        <v>0</v>
      </c>
      <c r="X555" s="528">
        <f>+'NF-KSF-TRIAL-BAL-2020'!Q555+'RA-TRIAL-BAL-2020'!Q555+'DES-TRIAL-BAL-2020'!Q555+'DMP-TRIAL-BAL-2020'!Q555</f>
        <v>0</v>
      </c>
      <c r="Y555" s="529">
        <f>+'NF-KSF-TRIAL-BAL-2020'!R555+'RA-TRIAL-BAL-2020'!R555+'DES-TRIAL-BAL-2020'!R555+'DMP-TRIAL-BAL-2020'!R555</f>
        <v>0</v>
      </c>
      <c r="Z555" s="528">
        <f>+'NF-KSF-TRIAL-BAL-2020'!S555+'RA-TRIAL-BAL-2020'!S555+'DES-TRIAL-BAL-2020'!S555+'DMP-TRIAL-BAL-2020'!S555</f>
        <v>0</v>
      </c>
      <c r="AA555" s="347">
        <f>+'NF-KSF-TRIAL-BAL-2020'!T555+'RA-TRIAL-BAL-2020'!T555+'DES-TRIAL-BAL-2020'!T555+'DMP-TRIAL-BAL-2020'!T555</f>
        <v>0</v>
      </c>
      <c r="AB555" s="51"/>
      <c r="AC555" s="8">
        <v>0</v>
      </c>
      <c r="AD555" s="9">
        <v>0</v>
      </c>
      <c r="AE555" s="122"/>
      <c r="AF555" s="121"/>
      <c r="AG555" s="27">
        <f>+IF(ABS(+AC555+AE555)&gt;=ABS(AD555+AF555),+AC555-AD555+AE555-AF555,0)</f>
        <v>0</v>
      </c>
      <c r="AH555" s="28">
        <f>+IF(ABS(+AC555+AE555)&lt;=ABS(AD555+AF555),-AC555+AD555-AE555+AF555,0)</f>
        <v>0</v>
      </c>
      <c r="AI555" s="51"/>
      <c r="AJ555" s="1497">
        <f>+N555</f>
        <v>6480</v>
      </c>
      <c r="AK555" s="8">
        <v>0</v>
      </c>
      <c r="AL555" s="9">
        <v>0</v>
      </c>
      <c r="AM555" s="326">
        <f>+ROUND(+Q555+X555+AE555,2)</f>
        <v>0</v>
      </c>
      <c r="AN555" s="970">
        <f>+ROUND(+R555+Y555+AF555,2)</f>
        <v>0</v>
      </c>
      <c r="AO555" s="27">
        <f t="shared" si="278"/>
        <v>0</v>
      </c>
      <c r="AP555" s="28">
        <f t="shared" si="279"/>
        <v>0</v>
      </c>
      <c r="AQ555" s="43"/>
      <c r="AR555" s="358">
        <f>+ROUND(+SUM(AK555-AL555)-SUM(O555-P555)-SUM(V555-W555)-SUM(AC555-AD555),2)</f>
        <v>0</v>
      </c>
      <c r="AS555" s="359">
        <f>+ROUND(+SUM(AM555-AN555)-SUM(Q555-R555)-SUM(X555-Y555)-SUM(AE555-AF555),2)</f>
        <v>0</v>
      </c>
      <c r="AT555" s="360">
        <f>+ROUND(+SUM(AO555-AP555)-SUM(S555-T555)-SUM(Z555-AA555)-SUM(AG555-AH555),2)</f>
        <v>0</v>
      </c>
      <c r="AU555" s="43"/>
      <c r="AV555" s="43"/>
      <c r="AW555" s="119"/>
      <c r="AX555" s="119"/>
      <c r="AY555" s="43"/>
      <c r="AZ555" s="43"/>
      <c r="BA555" s="43"/>
      <c r="BB555" s="43"/>
      <c r="BC555" s="43"/>
      <c r="BD555" s="43"/>
    </row>
    <row r="556" spans="1:56" ht="15.75">
      <c r="A556" s="88">
        <v>6481</v>
      </c>
      <c r="B556" s="1033" t="s">
        <v>568</v>
      </c>
      <c r="C556" s="1033"/>
      <c r="D556" s="1033"/>
      <c r="E556" s="1033"/>
      <c r="F556" s="1033"/>
      <c r="G556" s="1033"/>
      <c r="H556" s="1033"/>
      <c r="I556" s="1033"/>
      <c r="J556" s="1033"/>
      <c r="K556" s="1033"/>
      <c r="L556" s="90"/>
      <c r="M556" s="51" t="s">
        <v>265</v>
      </c>
      <c r="N556" s="113">
        <f t="shared" si="263"/>
        <v>6481</v>
      </c>
      <c r="O556" s="8">
        <v>0</v>
      </c>
      <c r="P556" s="9">
        <v>0</v>
      </c>
      <c r="Q556" s="325"/>
      <c r="R556" s="324"/>
      <c r="S556" s="27">
        <f t="shared" si="247"/>
        <v>0</v>
      </c>
      <c r="T556" s="28">
        <f t="shared" si="248"/>
        <v>0</v>
      </c>
      <c r="U556" s="51"/>
      <c r="V556" s="541">
        <f>+'NF-KSF-TRIAL-BAL-2020'!O556+'RA-TRIAL-BAL-2020'!O556+'DES-TRIAL-BAL-2020'!O556+'DMP-TRIAL-BAL-2020'!O556</f>
        <v>0</v>
      </c>
      <c r="W556" s="529">
        <f>+'NF-KSF-TRIAL-BAL-2020'!P556+'RA-TRIAL-BAL-2020'!P556+'DES-TRIAL-BAL-2020'!P556+'DMP-TRIAL-BAL-2020'!P556</f>
        <v>0</v>
      </c>
      <c r="X556" s="528">
        <f>+'NF-KSF-TRIAL-BAL-2020'!Q556+'RA-TRIAL-BAL-2020'!Q556+'DES-TRIAL-BAL-2020'!Q556+'DMP-TRIAL-BAL-2020'!Q556</f>
        <v>0</v>
      </c>
      <c r="Y556" s="529">
        <f>+'NF-KSF-TRIAL-BAL-2020'!R556+'RA-TRIAL-BAL-2020'!R556+'DES-TRIAL-BAL-2020'!R556+'DMP-TRIAL-BAL-2020'!R556</f>
        <v>0</v>
      </c>
      <c r="Z556" s="528">
        <f>+'NF-KSF-TRIAL-BAL-2020'!S556+'RA-TRIAL-BAL-2020'!S556+'DES-TRIAL-BAL-2020'!S556+'DMP-TRIAL-BAL-2020'!S556</f>
        <v>0</v>
      </c>
      <c r="AA556" s="347">
        <f>+'NF-KSF-TRIAL-BAL-2020'!T556+'RA-TRIAL-BAL-2020'!T556+'DES-TRIAL-BAL-2020'!T556+'DMP-TRIAL-BAL-2020'!T556</f>
        <v>0</v>
      </c>
      <c r="AB556" s="51"/>
      <c r="AC556" s="8">
        <v>0</v>
      </c>
      <c r="AD556" s="9">
        <v>0</v>
      </c>
      <c r="AE556" s="122"/>
      <c r="AF556" s="121"/>
      <c r="AG556" s="27">
        <f t="shared" si="249"/>
        <v>0</v>
      </c>
      <c r="AH556" s="28">
        <f t="shared" si="250"/>
        <v>0</v>
      </c>
      <c r="AI556" s="51"/>
      <c r="AJ556" s="1497">
        <f t="shared" si="244"/>
        <v>6481</v>
      </c>
      <c r="AK556" s="8">
        <v>0</v>
      </c>
      <c r="AL556" s="9">
        <v>0</v>
      </c>
      <c r="AM556" s="326">
        <f t="shared" si="251"/>
        <v>0</v>
      </c>
      <c r="AN556" s="970">
        <f t="shared" si="251"/>
        <v>0</v>
      </c>
      <c r="AO556" s="27">
        <f t="shared" si="278"/>
        <v>0</v>
      </c>
      <c r="AP556" s="28">
        <f t="shared" si="279"/>
        <v>0</v>
      </c>
      <c r="AQ556" s="43"/>
      <c r="AR556" s="358">
        <f t="shared" si="264"/>
        <v>0</v>
      </c>
      <c r="AS556" s="359">
        <f t="shared" si="265"/>
        <v>0</v>
      </c>
      <c r="AT556" s="360">
        <f t="shared" si="266"/>
        <v>0</v>
      </c>
      <c r="AU556" s="43"/>
      <c r="AV556" s="43"/>
      <c r="AW556" s="119"/>
      <c r="AX556" s="119"/>
      <c r="AY556" s="43"/>
      <c r="AZ556" s="43"/>
      <c r="BA556" s="43"/>
      <c r="BB556" s="43"/>
      <c r="BC556" s="43"/>
      <c r="BD556" s="43"/>
    </row>
    <row r="557" spans="1:56" ht="15.75">
      <c r="A557" s="88">
        <f>2+A556</f>
        <v>6483</v>
      </c>
      <c r="B557" s="1033" t="s">
        <v>569</v>
      </c>
      <c r="C557" s="1033"/>
      <c r="D557" s="1033"/>
      <c r="E557" s="1033"/>
      <c r="F557" s="1033"/>
      <c r="G557" s="1033"/>
      <c r="H557" s="1033"/>
      <c r="I557" s="1033"/>
      <c r="J557" s="1033"/>
      <c r="K557" s="1033"/>
      <c r="L557" s="90"/>
      <c r="M557" s="51" t="s">
        <v>265</v>
      </c>
      <c r="N557" s="113">
        <f t="shared" si="263"/>
        <v>6483</v>
      </c>
      <c r="O557" s="8">
        <v>0</v>
      </c>
      <c r="P557" s="9">
        <v>0</v>
      </c>
      <c r="Q557" s="325"/>
      <c r="R557" s="324"/>
      <c r="S557" s="27">
        <f t="shared" si="247"/>
        <v>0</v>
      </c>
      <c r="T557" s="28">
        <f t="shared" si="248"/>
        <v>0</v>
      </c>
      <c r="U557" s="51"/>
      <c r="V557" s="541">
        <f>+'NF-KSF-TRIAL-BAL-2020'!O557+'RA-TRIAL-BAL-2020'!O557+'DES-TRIAL-BAL-2020'!O557+'DMP-TRIAL-BAL-2020'!O557</f>
        <v>0</v>
      </c>
      <c r="W557" s="529">
        <f>+'NF-KSF-TRIAL-BAL-2020'!P557+'RA-TRIAL-BAL-2020'!P557+'DES-TRIAL-BAL-2020'!P557+'DMP-TRIAL-BAL-2020'!P557</f>
        <v>0</v>
      </c>
      <c r="X557" s="528">
        <f>+'NF-KSF-TRIAL-BAL-2020'!Q557+'RA-TRIAL-BAL-2020'!Q557+'DES-TRIAL-BAL-2020'!Q557+'DMP-TRIAL-BAL-2020'!Q557</f>
        <v>0</v>
      </c>
      <c r="Y557" s="529">
        <f>+'NF-KSF-TRIAL-BAL-2020'!R557+'RA-TRIAL-BAL-2020'!R557+'DES-TRIAL-BAL-2020'!R557+'DMP-TRIAL-BAL-2020'!R557</f>
        <v>0</v>
      </c>
      <c r="Z557" s="528">
        <f>+'NF-KSF-TRIAL-BAL-2020'!S557+'RA-TRIAL-BAL-2020'!S557+'DES-TRIAL-BAL-2020'!S557+'DMP-TRIAL-BAL-2020'!S557</f>
        <v>0</v>
      </c>
      <c r="AA557" s="347">
        <f>+'NF-KSF-TRIAL-BAL-2020'!T557+'RA-TRIAL-BAL-2020'!T557+'DES-TRIAL-BAL-2020'!T557+'DMP-TRIAL-BAL-2020'!T557</f>
        <v>0</v>
      </c>
      <c r="AB557" s="51"/>
      <c r="AC557" s="8">
        <v>0</v>
      </c>
      <c r="AD557" s="9">
        <v>0</v>
      </c>
      <c r="AE557" s="122"/>
      <c r="AF557" s="121"/>
      <c r="AG557" s="27">
        <f t="shared" si="249"/>
        <v>0</v>
      </c>
      <c r="AH557" s="28">
        <f t="shared" si="250"/>
        <v>0</v>
      </c>
      <c r="AI557" s="51"/>
      <c r="AJ557" s="1497">
        <f t="shared" si="244"/>
        <v>6483</v>
      </c>
      <c r="AK557" s="8">
        <v>0</v>
      </c>
      <c r="AL557" s="9">
        <v>0</v>
      </c>
      <c r="AM557" s="326">
        <f t="shared" si="251"/>
        <v>0</v>
      </c>
      <c r="AN557" s="970">
        <f t="shared" si="251"/>
        <v>0</v>
      </c>
      <c r="AO557" s="27">
        <f t="shared" si="278"/>
        <v>0</v>
      </c>
      <c r="AP557" s="28">
        <f t="shared" si="279"/>
        <v>0</v>
      </c>
      <c r="AQ557" s="43"/>
      <c r="AR557" s="358">
        <f t="shared" si="264"/>
        <v>0</v>
      </c>
      <c r="AS557" s="359">
        <f t="shared" si="265"/>
        <v>0</v>
      </c>
      <c r="AT557" s="360">
        <f t="shared" si="266"/>
        <v>0</v>
      </c>
      <c r="AU557" s="43"/>
      <c r="AV557" s="43"/>
      <c r="AW557" s="119"/>
      <c r="AX557" s="119"/>
      <c r="AY557" s="43"/>
      <c r="AZ557" s="43"/>
      <c r="BA557" s="43"/>
      <c r="BB557" s="43"/>
      <c r="BC557" s="43"/>
      <c r="BD557" s="43"/>
    </row>
    <row r="558" spans="1:56" ht="15.75">
      <c r="A558" s="88">
        <f>2+A557</f>
        <v>6485</v>
      </c>
      <c r="B558" s="1033" t="s">
        <v>570</v>
      </c>
      <c r="C558" s="1033"/>
      <c r="D558" s="1033"/>
      <c r="E558" s="1033"/>
      <c r="F558" s="1033"/>
      <c r="G558" s="1033"/>
      <c r="H558" s="1033"/>
      <c r="I558" s="1033"/>
      <c r="J558" s="1033"/>
      <c r="K558" s="1033"/>
      <c r="L558" s="90"/>
      <c r="M558" s="51" t="s">
        <v>265</v>
      </c>
      <c r="N558" s="113">
        <f t="shared" si="263"/>
        <v>6485</v>
      </c>
      <c r="O558" s="8">
        <v>0</v>
      </c>
      <c r="P558" s="9">
        <v>0</v>
      </c>
      <c r="Q558" s="325"/>
      <c r="R558" s="324"/>
      <c r="S558" s="27">
        <f t="shared" si="247"/>
        <v>0</v>
      </c>
      <c r="T558" s="28">
        <f t="shared" si="248"/>
        <v>0</v>
      </c>
      <c r="U558" s="51"/>
      <c r="V558" s="541">
        <f>+'NF-KSF-TRIAL-BAL-2020'!O558+'RA-TRIAL-BAL-2020'!O558+'DES-TRIAL-BAL-2020'!O558+'DMP-TRIAL-BAL-2020'!O558</f>
        <v>0</v>
      </c>
      <c r="W558" s="529">
        <f>+'NF-KSF-TRIAL-BAL-2020'!P558+'RA-TRIAL-BAL-2020'!P558+'DES-TRIAL-BAL-2020'!P558+'DMP-TRIAL-BAL-2020'!P558</f>
        <v>0</v>
      </c>
      <c r="X558" s="528">
        <f>+'NF-KSF-TRIAL-BAL-2020'!Q558+'RA-TRIAL-BAL-2020'!Q558+'DES-TRIAL-BAL-2020'!Q558+'DMP-TRIAL-BAL-2020'!Q558</f>
        <v>0</v>
      </c>
      <c r="Y558" s="529">
        <f>+'NF-KSF-TRIAL-BAL-2020'!R558+'RA-TRIAL-BAL-2020'!R558+'DES-TRIAL-BAL-2020'!R558+'DMP-TRIAL-BAL-2020'!R558</f>
        <v>0</v>
      </c>
      <c r="Z558" s="528">
        <f>+'NF-KSF-TRIAL-BAL-2020'!S558+'RA-TRIAL-BAL-2020'!S558+'DES-TRIAL-BAL-2020'!S558+'DMP-TRIAL-BAL-2020'!S558</f>
        <v>0</v>
      </c>
      <c r="AA558" s="347">
        <f>+'NF-KSF-TRIAL-BAL-2020'!T558+'RA-TRIAL-BAL-2020'!T558+'DES-TRIAL-BAL-2020'!T558+'DMP-TRIAL-BAL-2020'!T558</f>
        <v>0</v>
      </c>
      <c r="AB558" s="51"/>
      <c r="AC558" s="8">
        <v>0</v>
      </c>
      <c r="AD558" s="9">
        <v>0</v>
      </c>
      <c r="AE558" s="122"/>
      <c r="AF558" s="121"/>
      <c r="AG558" s="27">
        <f t="shared" si="249"/>
        <v>0</v>
      </c>
      <c r="AH558" s="28">
        <f t="shared" si="250"/>
        <v>0</v>
      </c>
      <c r="AI558" s="51"/>
      <c r="AJ558" s="1497">
        <f t="shared" ref="AJ558:AJ624" si="280">+N558</f>
        <v>6485</v>
      </c>
      <c r="AK558" s="8">
        <v>0</v>
      </c>
      <c r="AL558" s="9">
        <v>0</v>
      </c>
      <c r="AM558" s="326">
        <f t="shared" si="251"/>
        <v>0</v>
      </c>
      <c r="AN558" s="970">
        <f t="shared" si="251"/>
        <v>0</v>
      </c>
      <c r="AO558" s="27">
        <f t="shared" si="278"/>
        <v>0</v>
      </c>
      <c r="AP558" s="28">
        <f t="shared" si="279"/>
        <v>0</v>
      </c>
      <c r="AQ558" s="43"/>
      <c r="AR558" s="358">
        <f t="shared" si="264"/>
        <v>0</v>
      </c>
      <c r="AS558" s="359">
        <f t="shared" si="265"/>
        <v>0</v>
      </c>
      <c r="AT558" s="360">
        <f t="shared" si="266"/>
        <v>0</v>
      </c>
      <c r="AU558" s="43"/>
      <c r="AV558" s="43"/>
      <c r="AW558" s="119"/>
      <c r="AX558" s="119"/>
      <c r="AY558" s="43"/>
      <c r="AZ558" s="43"/>
      <c r="BA558" s="43"/>
      <c r="BB558" s="43"/>
      <c r="BC558" s="43"/>
      <c r="BD558" s="43"/>
    </row>
    <row r="559" spans="1:56" ht="15.75">
      <c r="A559" s="88">
        <f>2+A558</f>
        <v>6487</v>
      </c>
      <c r="B559" s="1033" t="s">
        <v>571</v>
      </c>
      <c r="C559" s="1033"/>
      <c r="D559" s="1033"/>
      <c r="E559" s="1033"/>
      <c r="F559" s="1033"/>
      <c r="G559" s="1033"/>
      <c r="H559" s="1033"/>
      <c r="I559" s="1033"/>
      <c r="J559" s="1033"/>
      <c r="K559" s="1033"/>
      <c r="L559" s="90"/>
      <c r="M559" s="51" t="s">
        <v>265</v>
      </c>
      <c r="N559" s="113">
        <f t="shared" si="263"/>
        <v>6487</v>
      </c>
      <c r="O559" s="8">
        <v>0</v>
      </c>
      <c r="P559" s="9">
        <v>0</v>
      </c>
      <c r="Q559" s="325"/>
      <c r="R559" s="324"/>
      <c r="S559" s="27">
        <f t="shared" si="247"/>
        <v>0</v>
      </c>
      <c r="T559" s="28">
        <f t="shared" si="248"/>
        <v>0</v>
      </c>
      <c r="U559" s="51"/>
      <c r="V559" s="541">
        <f>+'NF-KSF-TRIAL-BAL-2020'!O559+'RA-TRIAL-BAL-2020'!O559+'DES-TRIAL-BAL-2020'!O559+'DMP-TRIAL-BAL-2020'!O559</f>
        <v>0</v>
      </c>
      <c r="W559" s="529">
        <f>+'NF-KSF-TRIAL-BAL-2020'!P559+'RA-TRIAL-BAL-2020'!P559+'DES-TRIAL-BAL-2020'!P559+'DMP-TRIAL-BAL-2020'!P559</f>
        <v>0</v>
      </c>
      <c r="X559" s="528">
        <f>+'NF-KSF-TRIAL-BAL-2020'!Q559+'RA-TRIAL-BAL-2020'!Q559+'DES-TRIAL-BAL-2020'!Q559+'DMP-TRIAL-BAL-2020'!Q559</f>
        <v>0</v>
      </c>
      <c r="Y559" s="529">
        <f>+'NF-KSF-TRIAL-BAL-2020'!R559+'RA-TRIAL-BAL-2020'!R559+'DES-TRIAL-BAL-2020'!R559+'DMP-TRIAL-BAL-2020'!R559</f>
        <v>0</v>
      </c>
      <c r="Z559" s="528">
        <f>+'NF-KSF-TRIAL-BAL-2020'!S559+'RA-TRIAL-BAL-2020'!S559+'DES-TRIAL-BAL-2020'!S559+'DMP-TRIAL-BAL-2020'!S559</f>
        <v>0</v>
      </c>
      <c r="AA559" s="347">
        <f>+'NF-KSF-TRIAL-BAL-2020'!T559+'RA-TRIAL-BAL-2020'!T559+'DES-TRIAL-BAL-2020'!T559+'DMP-TRIAL-BAL-2020'!T559</f>
        <v>0</v>
      </c>
      <c r="AB559" s="51"/>
      <c r="AC559" s="8">
        <v>0</v>
      </c>
      <c r="AD559" s="9">
        <v>0</v>
      </c>
      <c r="AE559" s="325"/>
      <c r="AF559" s="324"/>
      <c r="AG559" s="27">
        <f t="shared" si="249"/>
        <v>0</v>
      </c>
      <c r="AH559" s="28">
        <f t="shared" si="250"/>
        <v>0</v>
      </c>
      <c r="AI559" s="51"/>
      <c r="AJ559" s="1497">
        <f t="shared" si="280"/>
        <v>6487</v>
      </c>
      <c r="AK559" s="8">
        <v>0</v>
      </c>
      <c r="AL559" s="9">
        <v>0</v>
      </c>
      <c r="AM559" s="326">
        <f t="shared" si="251"/>
        <v>0</v>
      </c>
      <c r="AN559" s="970">
        <f t="shared" si="251"/>
        <v>0</v>
      </c>
      <c r="AO559" s="27">
        <f t="shared" si="278"/>
        <v>0</v>
      </c>
      <c r="AP559" s="28">
        <f t="shared" si="279"/>
        <v>0</v>
      </c>
      <c r="AQ559" s="43"/>
      <c r="AR559" s="358">
        <f t="shared" si="264"/>
        <v>0</v>
      </c>
      <c r="AS559" s="359">
        <f t="shared" si="265"/>
        <v>0</v>
      </c>
      <c r="AT559" s="360">
        <f t="shared" si="266"/>
        <v>0</v>
      </c>
      <c r="AU559" s="43"/>
      <c r="AV559" s="43"/>
      <c r="AW559" s="119"/>
      <c r="AX559" s="119"/>
      <c r="AY559" s="43"/>
      <c r="AZ559" s="43"/>
      <c r="BA559" s="43"/>
      <c r="BB559" s="43"/>
      <c r="BC559" s="43"/>
      <c r="BD559" s="43"/>
    </row>
    <row r="560" spans="1:56" ht="15.75">
      <c r="A560" s="88">
        <v>6489</v>
      </c>
      <c r="B560" s="1033" t="s">
        <v>572</v>
      </c>
      <c r="C560" s="1033"/>
      <c r="D560" s="1033"/>
      <c r="E560" s="1033"/>
      <c r="F560" s="1033"/>
      <c r="G560" s="1033"/>
      <c r="H560" s="1033"/>
      <c r="I560" s="1033"/>
      <c r="J560" s="1033"/>
      <c r="K560" s="1033"/>
      <c r="L560" s="90"/>
      <c r="M560" s="51" t="s">
        <v>265</v>
      </c>
      <c r="N560" s="113">
        <f>+A560</f>
        <v>6489</v>
      </c>
      <c r="O560" s="8">
        <v>0</v>
      </c>
      <c r="P560" s="9">
        <v>0</v>
      </c>
      <c r="Q560" s="325"/>
      <c r="R560" s="324"/>
      <c r="S560" s="27">
        <f>+IF(ABS(+O560+Q560)&gt;=ABS(P560+R560),+O560-P560+Q560-R560,0)</f>
        <v>0</v>
      </c>
      <c r="T560" s="28">
        <f>+IF(ABS(+O560+Q560)&lt;=ABS(P560+R560),-O560+P560-Q560+R560,0)</f>
        <v>0</v>
      </c>
      <c r="U560" s="51"/>
      <c r="V560" s="541">
        <f>+'NF-KSF-TRIAL-BAL-2020'!O560+'RA-TRIAL-BAL-2020'!O560+'DES-TRIAL-BAL-2020'!O560+'DMP-TRIAL-BAL-2020'!O560</f>
        <v>0</v>
      </c>
      <c r="W560" s="529">
        <f>+'NF-KSF-TRIAL-BAL-2020'!P560+'RA-TRIAL-BAL-2020'!P560+'DES-TRIAL-BAL-2020'!P560+'DMP-TRIAL-BAL-2020'!P560</f>
        <v>0</v>
      </c>
      <c r="X560" s="528">
        <f>+'NF-KSF-TRIAL-BAL-2020'!Q560+'RA-TRIAL-BAL-2020'!Q560+'DES-TRIAL-BAL-2020'!Q560+'DMP-TRIAL-BAL-2020'!Q560</f>
        <v>0</v>
      </c>
      <c r="Y560" s="529">
        <f>+'NF-KSF-TRIAL-BAL-2020'!R560+'RA-TRIAL-BAL-2020'!R560+'DES-TRIAL-BAL-2020'!R560+'DMP-TRIAL-BAL-2020'!R560</f>
        <v>0</v>
      </c>
      <c r="Z560" s="528">
        <f>+'NF-KSF-TRIAL-BAL-2020'!S560+'RA-TRIAL-BAL-2020'!S560+'DES-TRIAL-BAL-2020'!S560+'DMP-TRIAL-BAL-2020'!S560</f>
        <v>0</v>
      </c>
      <c r="AA560" s="347">
        <f>+'NF-KSF-TRIAL-BAL-2020'!T560+'RA-TRIAL-BAL-2020'!T560+'DES-TRIAL-BAL-2020'!T560+'DMP-TRIAL-BAL-2020'!T560</f>
        <v>0</v>
      </c>
      <c r="AB560" s="51"/>
      <c r="AC560" s="8">
        <v>0</v>
      </c>
      <c r="AD560" s="9">
        <v>0</v>
      </c>
      <c r="AE560" s="325"/>
      <c r="AF560" s="324"/>
      <c r="AG560" s="27">
        <f>+IF(ABS(+AC560+AE560)&gt;=ABS(AD560+AF560),+AC560-AD560+AE560-AF560,0)</f>
        <v>0</v>
      </c>
      <c r="AH560" s="28">
        <f>+IF(ABS(+AC560+AE560)&lt;=ABS(AD560+AF560),-AC560+AD560-AE560+AF560,0)</f>
        <v>0</v>
      </c>
      <c r="AI560" s="51"/>
      <c r="AJ560" s="1497">
        <f>+N560</f>
        <v>6489</v>
      </c>
      <c r="AK560" s="8">
        <v>0</v>
      </c>
      <c r="AL560" s="9">
        <v>0</v>
      </c>
      <c r="AM560" s="326">
        <f t="shared" si="251"/>
        <v>0</v>
      </c>
      <c r="AN560" s="970">
        <f t="shared" si="251"/>
        <v>0</v>
      </c>
      <c r="AO560" s="27">
        <f t="shared" si="278"/>
        <v>0</v>
      </c>
      <c r="AP560" s="28">
        <f t="shared" si="279"/>
        <v>0</v>
      </c>
      <c r="AQ560" s="43"/>
      <c r="AR560" s="358">
        <f>+ROUND(+SUM(AK560-AL560)-SUM(O560-P560)-SUM(V560-W560)-SUM(AC560-AD560),2)</f>
        <v>0</v>
      </c>
      <c r="AS560" s="359">
        <f>+ROUND(+SUM(AM560-AN560)-SUM(Q560-R560)-SUM(X560-Y560)-SUM(AE560-AF560),2)</f>
        <v>0</v>
      </c>
      <c r="AT560" s="360">
        <f>+ROUND(+SUM(AO560-AP560)-SUM(S560-T560)-SUM(Z560-AA560)-SUM(AG560-AH560),2)</f>
        <v>0</v>
      </c>
      <c r="AU560" s="43"/>
      <c r="AV560" s="43"/>
      <c r="AW560" s="119"/>
      <c r="AX560" s="119"/>
      <c r="AY560" s="43"/>
      <c r="AZ560" s="43"/>
      <c r="BA560" s="43"/>
      <c r="BB560" s="43"/>
      <c r="BC560" s="43"/>
      <c r="BD560" s="43"/>
    </row>
    <row r="561" spans="1:56" ht="15.75">
      <c r="A561" s="88">
        <v>6491</v>
      </c>
      <c r="B561" s="1033" t="s">
        <v>573</v>
      </c>
      <c r="C561" s="1033"/>
      <c r="D561" s="1033"/>
      <c r="E561" s="1033"/>
      <c r="F561" s="1033"/>
      <c r="G561" s="1033"/>
      <c r="H561" s="1033"/>
      <c r="I561" s="1033"/>
      <c r="J561" s="1033"/>
      <c r="K561" s="1033"/>
      <c r="L561" s="90"/>
      <c r="M561" s="51" t="s">
        <v>265</v>
      </c>
      <c r="N561" s="113">
        <f t="shared" si="263"/>
        <v>6491</v>
      </c>
      <c r="O561" s="8">
        <v>0</v>
      </c>
      <c r="P561" s="9">
        <v>0</v>
      </c>
      <c r="Q561" s="325"/>
      <c r="R561" s="324"/>
      <c r="S561" s="27">
        <f t="shared" si="247"/>
        <v>0</v>
      </c>
      <c r="T561" s="28">
        <f t="shared" si="248"/>
        <v>0</v>
      </c>
      <c r="U561" s="51"/>
      <c r="V561" s="541">
        <f>+'NF-KSF-TRIAL-BAL-2020'!O561+'RA-TRIAL-BAL-2020'!O561+'DES-TRIAL-BAL-2020'!O561+'DMP-TRIAL-BAL-2020'!O561</f>
        <v>0</v>
      </c>
      <c r="W561" s="529">
        <f>+'NF-KSF-TRIAL-BAL-2020'!P561+'RA-TRIAL-BAL-2020'!P561+'DES-TRIAL-BAL-2020'!P561+'DMP-TRIAL-BAL-2020'!P561</f>
        <v>0</v>
      </c>
      <c r="X561" s="528">
        <f>+'NF-KSF-TRIAL-BAL-2020'!Q561+'RA-TRIAL-BAL-2020'!Q561+'DES-TRIAL-BAL-2020'!Q561+'DMP-TRIAL-BAL-2020'!Q561</f>
        <v>0</v>
      </c>
      <c r="Y561" s="529">
        <f>+'NF-KSF-TRIAL-BAL-2020'!R561+'RA-TRIAL-BAL-2020'!R561+'DES-TRIAL-BAL-2020'!R561+'DMP-TRIAL-BAL-2020'!R561</f>
        <v>0</v>
      </c>
      <c r="Z561" s="528">
        <f>+'NF-KSF-TRIAL-BAL-2020'!S561+'RA-TRIAL-BAL-2020'!S561+'DES-TRIAL-BAL-2020'!S561+'DMP-TRIAL-BAL-2020'!S561</f>
        <v>0</v>
      </c>
      <c r="AA561" s="347">
        <f>+'NF-KSF-TRIAL-BAL-2020'!T561+'RA-TRIAL-BAL-2020'!T561+'DES-TRIAL-BAL-2020'!T561+'DMP-TRIAL-BAL-2020'!T561</f>
        <v>0</v>
      </c>
      <c r="AB561" s="51"/>
      <c r="AC561" s="8">
        <v>0</v>
      </c>
      <c r="AD561" s="9">
        <v>0</v>
      </c>
      <c r="AE561" s="122"/>
      <c r="AF561" s="121"/>
      <c r="AG561" s="27">
        <f t="shared" si="249"/>
        <v>0</v>
      </c>
      <c r="AH561" s="28">
        <f t="shared" si="250"/>
        <v>0</v>
      </c>
      <c r="AI561" s="51"/>
      <c r="AJ561" s="1497">
        <f t="shared" si="280"/>
        <v>6491</v>
      </c>
      <c r="AK561" s="8">
        <v>0</v>
      </c>
      <c r="AL561" s="9">
        <v>0</v>
      </c>
      <c r="AM561" s="326">
        <f t="shared" si="251"/>
        <v>0</v>
      </c>
      <c r="AN561" s="970">
        <f t="shared" si="251"/>
        <v>0</v>
      </c>
      <c r="AO561" s="27">
        <f t="shared" si="278"/>
        <v>0</v>
      </c>
      <c r="AP561" s="28">
        <f t="shared" si="279"/>
        <v>0</v>
      </c>
      <c r="AQ561" s="43"/>
      <c r="AR561" s="358">
        <f t="shared" si="264"/>
        <v>0</v>
      </c>
      <c r="AS561" s="359">
        <f t="shared" si="265"/>
        <v>0</v>
      </c>
      <c r="AT561" s="360">
        <f t="shared" si="266"/>
        <v>0</v>
      </c>
      <c r="AU561" s="43"/>
      <c r="AV561" s="43"/>
      <c r="AW561" s="119"/>
      <c r="AX561" s="119"/>
      <c r="AY561" s="43"/>
      <c r="AZ561" s="43"/>
      <c r="BA561" s="43"/>
      <c r="BB561" s="43"/>
      <c r="BC561" s="43"/>
      <c r="BD561" s="43"/>
    </row>
    <row r="562" spans="1:56" ht="15.75">
      <c r="A562" s="88">
        <f>2+A561</f>
        <v>6493</v>
      </c>
      <c r="B562" s="1033" t="s">
        <v>574</v>
      </c>
      <c r="C562" s="1033"/>
      <c r="D562" s="1033"/>
      <c r="E562" s="1033"/>
      <c r="F562" s="1033"/>
      <c r="G562" s="1033"/>
      <c r="H562" s="1033"/>
      <c r="I562" s="1033"/>
      <c r="J562" s="1033"/>
      <c r="K562" s="1033"/>
      <c r="L562" s="90"/>
      <c r="M562" s="51" t="s">
        <v>265</v>
      </c>
      <c r="N562" s="113">
        <f t="shared" si="263"/>
        <v>6493</v>
      </c>
      <c r="O562" s="8">
        <v>0</v>
      </c>
      <c r="P562" s="9">
        <v>0</v>
      </c>
      <c r="Q562" s="325"/>
      <c r="R562" s="324"/>
      <c r="S562" s="27">
        <f t="shared" si="247"/>
        <v>0</v>
      </c>
      <c r="T562" s="28">
        <f t="shared" si="248"/>
        <v>0</v>
      </c>
      <c r="U562" s="51"/>
      <c r="V562" s="541">
        <f>+'NF-KSF-TRIAL-BAL-2020'!O562+'RA-TRIAL-BAL-2020'!O562+'DES-TRIAL-BAL-2020'!O562+'DMP-TRIAL-BAL-2020'!O562</f>
        <v>0</v>
      </c>
      <c r="W562" s="529">
        <f>+'NF-KSF-TRIAL-BAL-2020'!P562+'RA-TRIAL-BAL-2020'!P562+'DES-TRIAL-BAL-2020'!P562+'DMP-TRIAL-BAL-2020'!P562</f>
        <v>0</v>
      </c>
      <c r="X562" s="528">
        <f>+'NF-KSF-TRIAL-BAL-2020'!Q562+'RA-TRIAL-BAL-2020'!Q562+'DES-TRIAL-BAL-2020'!Q562+'DMP-TRIAL-BAL-2020'!Q562</f>
        <v>0</v>
      </c>
      <c r="Y562" s="529">
        <f>+'NF-KSF-TRIAL-BAL-2020'!R562+'RA-TRIAL-BAL-2020'!R562+'DES-TRIAL-BAL-2020'!R562+'DMP-TRIAL-BAL-2020'!R562</f>
        <v>0</v>
      </c>
      <c r="Z562" s="528">
        <f>+'NF-KSF-TRIAL-BAL-2020'!S562+'RA-TRIAL-BAL-2020'!S562+'DES-TRIAL-BAL-2020'!S562+'DMP-TRIAL-BAL-2020'!S562</f>
        <v>0</v>
      </c>
      <c r="AA562" s="347">
        <f>+'NF-KSF-TRIAL-BAL-2020'!T562+'RA-TRIAL-BAL-2020'!T562+'DES-TRIAL-BAL-2020'!T562+'DMP-TRIAL-BAL-2020'!T562</f>
        <v>0</v>
      </c>
      <c r="AB562" s="51"/>
      <c r="AC562" s="8">
        <v>0</v>
      </c>
      <c r="AD562" s="9">
        <v>0</v>
      </c>
      <c r="AE562" s="122"/>
      <c r="AF562" s="121"/>
      <c r="AG562" s="27">
        <f t="shared" si="249"/>
        <v>0</v>
      </c>
      <c r="AH562" s="28">
        <f t="shared" si="250"/>
        <v>0</v>
      </c>
      <c r="AI562" s="51"/>
      <c r="AJ562" s="1497">
        <f t="shared" si="280"/>
        <v>6493</v>
      </c>
      <c r="AK562" s="8">
        <v>0</v>
      </c>
      <c r="AL562" s="9">
        <v>0</v>
      </c>
      <c r="AM562" s="326">
        <f t="shared" si="251"/>
        <v>0</v>
      </c>
      <c r="AN562" s="970">
        <f t="shared" si="251"/>
        <v>0</v>
      </c>
      <c r="AO562" s="27">
        <f t="shared" si="278"/>
        <v>0</v>
      </c>
      <c r="AP562" s="28">
        <f t="shared" si="279"/>
        <v>0</v>
      </c>
      <c r="AQ562" s="43"/>
      <c r="AR562" s="358">
        <f t="shared" si="264"/>
        <v>0</v>
      </c>
      <c r="AS562" s="359">
        <f t="shared" si="265"/>
        <v>0</v>
      </c>
      <c r="AT562" s="360">
        <f t="shared" si="266"/>
        <v>0</v>
      </c>
      <c r="AU562" s="43"/>
      <c r="AV562" s="43"/>
      <c r="AW562" s="119"/>
      <c r="AX562" s="119"/>
      <c r="AY562" s="43"/>
      <c r="AZ562" s="43"/>
      <c r="BA562" s="43"/>
      <c r="BB562" s="43"/>
      <c r="BC562" s="43"/>
      <c r="BD562" s="43"/>
    </row>
    <row r="563" spans="1:56" ht="15.75">
      <c r="A563" s="88">
        <f>2+A562</f>
        <v>6495</v>
      </c>
      <c r="B563" s="1033" t="s">
        <v>575</v>
      </c>
      <c r="C563" s="1033"/>
      <c r="D563" s="1033"/>
      <c r="E563" s="1033"/>
      <c r="F563" s="1033"/>
      <c r="G563" s="1033"/>
      <c r="H563" s="1033"/>
      <c r="I563" s="1033"/>
      <c r="J563" s="1033"/>
      <c r="K563" s="1033"/>
      <c r="L563" s="90"/>
      <c r="M563" s="51" t="s">
        <v>265</v>
      </c>
      <c r="N563" s="113">
        <f t="shared" si="263"/>
        <v>6495</v>
      </c>
      <c r="O563" s="8">
        <v>0</v>
      </c>
      <c r="P563" s="9">
        <v>0</v>
      </c>
      <c r="Q563" s="325"/>
      <c r="R563" s="324"/>
      <c r="S563" s="27">
        <f t="shared" si="247"/>
        <v>0</v>
      </c>
      <c r="T563" s="28">
        <f t="shared" si="248"/>
        <v>0</v>
      </c>
      <c r="U563" s="51"/>
      <c r="V563" s="541">
        <f>+'NF-KSF-TRIAL-BAL-2020'!O563+'RA-TRIAL-BAL-2020'!O563+'DES-TRIAL-BAL-2020'!O563+'DMP-TRIAL-BAL-2020'!O563</f>
        <v>0</v>
      </c>
      <c r="W563" s="529">
        <f>+'NF-KSF-TRIAL-BAL-2020'!P563+'RA-TRIAL-BAL-2020'!P563+'DES-TRIAL-BAL-2020'!P563+'DMP-TRIAL-BAL-2020'!P563</f>
        <v>0</v>
      </c>
      <c r="X563" s="528">
        <f>+'NF-KSF-TRIAL-BAL-2020'!Q563+'RA-TRIAL-BAL-2020'!Q563+'DES-TRIAL-BAL-2020'!Q563+'DMP-TRIAL-BAL-2020'!Q563</f>
        <v>0</v>
      </c>
      <c r="Y563" s="529">
        <f>+'NF-KSF-TRIAL-BAL-2020'!R563+'RA-TRIAL-BAL-2020'!R563+'DES-TRIAL-BAL-2020'!R563+'DMP-TRIAL-BAL-2020'!R563</f>
        <v>0</v>
      </c>
      <c r="Z563" s="528">
        <f>+'NF-KSF-TRIAL-BAL-2020'!S563+'RA-TRIAL-BAL-2020'!S563+'DES-TRIAL-BAL-2020'!S563+'DMP-TRIAL-BAL-2020'!S563</f>
        <v>0</v>
      </c>
      <c r="AA563" s="347">
        <f>+'NF-KSF-TRIAL-BAL-2020'!T563+'RA-TRIAL-BAL-2020'!T563+'DES-TRIAL-BAL-2020'!T563+'DMP-TRIAL-BAL-2020'!T563</f>
        <v>0</v>
      </c>
      <c r="AB563" s="51"/>
      <c r="AC563" s="8">
        <v>0</v>
      </c>
      <c r="AD563" s="9">
        <v>0</v>
      </c>
      <c r="AE563" s="122"/>
      <c r="AF563" s="121"/>
      <c r="AG563" s="27">
        <f t="shared" si="249"/>
        <v>0</v>
      </c>
      <c r="AH563" s="28">
        <f t="shared" si="250"/>
        <v>0</v>
      </c>
      <c r="AI563" s="51"/>
      <c r="AJ563" s="1497">
        <f t="shared" si="280"/>
        <v>6495</v>
      </c>
      <c r="AK563" s="8">
        <v>0</v>
      </c>
      <c r="AL563" s="9">
        <v>0</v>
      </c>
      <c r="AM563" s="326">
        <f t="shared" si="251"/>
        <v>0</v>
      </c>
      <c r="AN563" s="970">
        <f t="shared" si="251"/>
        <v>0</v>
      </c>
      <c r="AO563" s="27">
        <f t="shared" si="278"/>
        <v>0</v>
      </c>
      <c r="AP563" s="28">
        <f t="shared" si="279"/>
        <v>0</v>
      </c>
      <c r="AQ563" s="43"/>
      <c r="AR563" s="358">
        <f t="shared" si="264"/>
        <v>0</v>
      </c>
      <c r="AS563" s="359">
        <f t="shared" si="265"/>
        <v>0</v>
      </c>
      <c r="AT563" s="360">
        <f t="shared" si="266"/>
        <v>0</v>
      </c>
      <c r="AU563" s="43"/>
      <c r="AV563" s="43"/>
      <c r="AW563" s="119"/>
      <c r="AX563" s="119"/>
      <c r="AY563" s="43"/>
      <c r="AZ563" s="43"/>
      <c r="BA563" s="43"/>
      <c r="BB563" s="43"/>
      <c r="BC563" s="43"/>
      <c r="BD563" s="43"/>
    </row>
    <row r="564" spans="1:56" ht="15.75">
      <c r="A564" s="88">
        <f>2+A563</f>
        <v>6497</v>
      </c>
      <c r="B564" s="1033" t="s">
        <v>576</v>
      </c>
      <c r="C564" s="1033"/>
      <c r="D564" s="1033"/>
      <c r="E564" s="1033"/>
      <c r="F564" s="1033"/>
      <c r="G564" s="1033"/>
      <c r="H564" s="1033"/>
      <c r="I564" s="1033"/>
      <c r="J564" s="1033"/>
      <c r="K564" s="1033"/>
      <c r="L564" s="90"/>
      <c r="M564" s="51" t="s">
        <v>265</v>
      </c>
      <c r="N564" s="113">
        <f t="shared" si="263"/>
        <v>6497</v>
      </c>
      <c r="O564" s="8">
        <v>0</v>
      </c>
      <c r="P564" s="9">
        <v>0</v>
      </c>
      <c r="Q564" s="325"/>
      <c r="R564" s="324"/>
      <c r="S564" s="27">
        <f t="shared" si="247"/>
        <v>0</v>
      </c>
      <c r="T564" s="28">
        <f t="shared" si="248"/>
        <v>0</v>
      </c>
      <c r="U564" s="51"/>
      <c r="V564" s="541">
        <f>+'NF-KSF-TRIAL-BAL-2020'!O564+'RA-TRIAL-BAL-2020'!O564+'DES-TRIAL-BAL-2020'!O564+'DMP-TRIAL-BAL-2020'!O564</f>
        <v>0</v>
      </c>
      <c r="W564" s="529">
        <f>+'NF-KSF-TRIAL-BAL-2020'!P564+'RA-TRIAL-BAL-2020'!P564+'DES-TRIAL-BAL-2020'!P564+'DMP-TRIAL-BAL-2020'!P564</f>
        <v>0</v>
      </c>
      <c r="X564" s="528">
        <f>+'NF-KSF-TRIAL-BAL-2020'!Q564+'RA-TRIAL-BAL-2020'!Q564+'DES-TRIAL-BAL-2020'!Q564+'DMP-TRIAL-BAL-2020'!Q564</f>
        <v>0</v>
      </c>
      <c r="Y564" s="529">
        <f>+'NF-KSF-TRIAL-BAL-2020'!R564+'RA-TRIAL-BAL-2020'!R564+'DES-TRIAL-BAL-2020'!R564+'DMP-TRIAL-BAL-2020'!R564</f>
        <v>0</v>
      </c>
      <c r="Z564" s="528">
        <f>+'NF-KSF-TRIAL-BAL-2020'!S564+'RA-TRIAL-BAL-2020'!S564+'DES-TRIAL-BAL-2020'!S564+'DMP-TRIAL-BAL-2020'!S564</f>
        <v>0</v>
      </c>
      <c r="AA564" s="347">
        <f>+'NF-KSF-TRIAL-BAL-2020'!T564+'RA-TRIAL-BAL-2020'!T564+'DES-TRIAL-BAL-2020'!T564+'DMP-TRIAL-BAL-2020'!T564</f>
        <v>0</v>
      </c>
      <c r="AB564" s="51"/>
      <c r="AC564" s="8">
        <v>0</v>
      </c>
      <c r="AD564" s="9">
        <v>0</v>
      </c>
      <c r="AE564" s="122"/>
      <c r="AF564" s="121"/>
      <c r="AG564" s="27">
        <f t="shared" si="249"/>
        <v>0</v>
      </c>
      <c r="AH564" s="28">
        <f t="shared" si="250"/>
        <v>0</v>
      </c>
      <c r="AI564" s="51"/>
      <c r="AJ564" s="1497">
        <f t="shared" si="280"/>
        <v>6497</v>
      </c>
      <c r="AK564" s="8">
        <v>0</v>
      </c>
      <c r="AL564" s="9">
        <v>0</v>
      </c>
      <c r="AM564" s="326">
        <f t="shared" si="251"/>
        <v>0</v>
      </c>
      <c r="AN564" s="970">
        <f t="shared" si="251"/>
        <v>0</v>
      </c>
      <c r="AO564" s="27">
        <f t="shared" si="278"/>
        <v>0</v>
      </c>
      <c r="AP564" s="28">
        <f t="shared" si="279"/>
        <v>0</v>
      </c>
      <c r="AQ564" s="43"/>
      <c r="AR564" s="358">
        <f t="shared" si="264"/>
        <v>0</v>
      </c>
      <c r="AS564" s="359">
        <f t="shared" si="265"/>
        <v>0</v>
      </c>
      <c r="AT564" s="360">
        <f t="shared" si="266"/>
        <v>0</v>
      </c>
      <c r="AU564" s="43"/>
      <c r="AV564" s="43"/>
      <c r="AW564" s="119"/>
      <c r="AX564" s="119"/>
      <c r="AY564" s="43"/>
      <c r="AZ564" s="43"/>
      <c r="BA564" s="43"/>
      <c r="BB564" s="43"/>
      <c r="BC564" s="43"/>
      <c r="BD564" s="43"/>
    </row>
    <row r="565" spans="1:56" ht="15.75">
      <c r="A565" s="88">
        <v>6499</v>
      </c>
      <c r="B565" s="1033" t="s">
        <v>577</v>
      </c>
      <c r="C565" s="1033"/>
      <c r="D565" s="1033"/>
      <c r="E565" s="1033"/>
      <c r="F565" s="1033"/>
      <c r="G565" s="1033"/>
      <c r="H565" s="1033"/>
      <c r="I565" s="1033"/>
      <c r="J565" s="1033"/>
      <c r="K565" s="1033"/>
      <c r="L565" s="90"/>
      <c r="M565" s="51" t="s">
        <v>265</v>
      </c>
      <c r="N565" s="113">
        <f>+A565</f>
        <v>6499</v>
      </c>
      <c r="O565" s="8">
        <v>0</v>
      </c>
      <c r="P565" s="9">
        <v>0</v>
      </c>
      <c r="Q565" s="325"/>
      <c r="R565" s="324"/>
      <c r="S565" s="27">
        <f>+IF(ABS(+O565+Q565)&gt;=ABS(P565+R565),+O565-P565+Q565-R565,0)</f>
        <v>0</v>
      </c>
      <c r="T565" s="28">
        <f>+IF(ABS(+O565+Q565)&lt;=ABS(P565+R565),-O565+P565-Q565+R565,0)</f>
        <v>0</v>
      </c>
      <c r="U565" s="51"/>
      <c r="V565" s="541">
        <f>+'NF-KSF-TRIAL-BAL-2020'!O565+'RA-TRIAL-BAL-2020'!O565+'DES-TRIAL-BAL-2020'!O565+'DMP-TRIAL-BAL-2020'!O565</f>
        <v>0</v>
      </c>
      <c r="W565" s="529">
        <f>+'NF-KSF-TRIAL-BAL-2020'!P565+'RA-TRIAL-BAL-2020'!P565+'DES-TRIAL-BAL-2020'!P565+'DMP-TRIAL-BAL-2020'!P565</f>
        <v>0</v>
      </c>
      <c r="X565" s="528">
        <f>+'NF-KSF-TRIAL-BAL-2020'!Q565+'RA-TRIAL-BAL-2020'!Q565+'DES-TRIAL-BAL-2020'!Q565+'DMP-TRIAL-BAL-2020'!Q565</f>
        <v>0</v>
      </c>
      <c r="Y565" s="529">
        <f>+'NF-KSF-TRIAL-BAL-2020'!R565+'RA-TRIAL-BAL-2020'!R565+'DES-TRIAL-BAL-2020'!R565+'DMP-TRIAL-BAL-2020'!R565</f>
        <v>0</v>
      </c>
      <c r="Z565" s="528">
        <f>+'NF-KSF-TRIAL-BAL-2020'!S565+'RA-TRIAL-BAL-2020'!S565+'DES-TRIAL-BAL-2020'!S565+'DMP-TRIAL-BAL-2020'!S565</f>
        <v>0</v>
      </c>
      <c r="AA565" s="347">
        <f>+'NF-KSF-TRIAL-BAL-2020'!T565+'RA-TRIAL-BAL-2020'!T565+'DES-TRIAL-BAL-2020'!T565+'DMP-TRIAL-BAL-2020'!T565</f>
        <v>0</v>
      </c>
      <c r="AB565" s="51"/>
      <c r="AC565" s="8">
        <v>0</v>
      </c>
      <c r="AD565" s="9">
        <v>0</v>
      </c>
      <c r="AE565" s="122"/>
      <c r="AF565" s="121"/>
      <c r="AG565" s="27">
        <f>+IF(ABS(+AC565+AE565)&gt;=ABS(AD565+AF565),+AC565-AD565+AE565-AF565,0)</f>
        <v>0</v>
      </c>
      <c r="AH565" s="28">
        <f>+IF(ABS(+AC565+AE565)&lt;=ABS(AD565+AF565),-AC565+AD565-AE565+AF565,0)</f>
        <v>0</v>
      </c>
      <c r="AI565" s="51"/>
      <c r="AJ565" s="1497">
        <f>+N565</f>
        <v>6499</v>
      </c>
      <c r="AK565" s="8">
        <v>0</v>
      </c>
      <c r="AL565" s="9">
        <v>0</v>
      </c>
      <c r="AM565" s="326">
        <f>+ROUND(+Q565+X565+AE565,2)</f>
        <v>0</v>
      </c>
      <c r="AN565" s="970">
        <f>+ROUND(+R565+Y565+AF565,2)</f>
        <v>0</v>
      </c>
      <c r="AO565" s="27">
        <f t="shared" si="278"/>
        <v>0</v>
      </c>
      <c r="AP565" s="28">
        <f t="shared" si="279"/>
        <v>0</v>
      </c>
      <c r="AQ565" s="43"/>
      <c r="AR565" s="358">
        <f>+ROUND(+SUM(AK565-AL565)-SUM(O565-P565)-SUM(V565-W565)-SUM(AC565-AD565),2)</f>
        <v>0</v>
      </c>
      <c r="AS565" s="359">
        <f>+ROUND(+SUM(AM565-AN565)-SUM(Q565-R565)-SUM(X565-Y565)-SUM(AE565-AF565),2)</f>
        <v>0</v>
      </c>
      <c r="AT565" s="360">
        <f>+ROUND(+SUM(AO565-AP565)-SUM(S565-T565)-SUM(Z565-AA565)-SUM(AG565-AH565),2)</f>
        <v>0</v>
      </c>
      <c r="AU565" s="43"/>
      <c r="AV565" s="43"/>
      <c r="AW565" s="119"/>
      <c r="AX565" s="119"/>
      <c r="AY565" s="43"/>
      <c r="AZ565" s="43"/>
      <c r="BA565" s="43"/>
      <c r="BB565" s="43"/>
      <c r="BC565" s="43"/>
      <c r="BD565" s="43"/>
    </row>
    <row r="566" spans="1:56" ht="15.75">
      <c r="A566" s="88">
        <v>6501</v>
      </c>
      <c r="B566" s="1032" t="s">
        <v>655</v>
      </c>
      <c r="C566" s="1033"/>
      <c r="D566" s="1033"/>
      <c r="E566" s="1033"/>
      <c r="F566" s="1033"/>
      <c r="G566" s="1033"/>
      <c r="H566" s="1033"/>
      <c r="I566" s="1033"/>
      <c r="J566" s="1033"/>
      <c r="K566" s="1033"/>
      <c r="L566" s="90"/>
      <c r="M566" s="51" t="s">
        <v>265</v>
      </c>
      <c r="N566" s="113">
        <f t="shared" si="263"/>
        <v>6501</v>
      </c>
      <c r="O566" s="8">
        <v>0</v>
      </c>
      <c r="P566" s="9">
        <v>0</v>
      </c>
      <c r="Q566" s="325">
        <v>0</v>
      </c>
      <c r="R566" s="324">
        <v>0</v>
      </c>
      <c r="S566" s="29">
        <v>0</v>
      </c>
      <c r="T566" s="347">
        <f t="shared" si="248"/>
        <v>0</v>
      </c>
      <c r="U566" s="51"/>
      <c r="V566" s="541">
        <f>+'NF-KSF-TRIAL-BAL-2020'!O566+'RA-TRIAL-BAL-2020'!O566+'DES-TRIAL-BAL-2020'!O566+'DMP-TRIAL-BAL-2020'!O566</f>
        <v>0</v>
      </c>
      <c r="W566" s="529">
        <f>+'NF-KSF-TRIAL-BAL-2020'!P566+'RA-TRIAL-BAL-2020'!P566+'DES-TRIAL-BAL-2020'!P566+'DMP-TRIAL-BAL-2020'!P566</f>
        <v>0</v>
      </c>
      <c r="X566" s="528">
        <f>+'NF-KSF-TRIAL-BAL-2020'!Q566+'RA-TRIAL-BAL-2020'!Q566+'DES-TRIAL-BAL-2020'!Q566+'DMP-TRIAL-BAL-2020'!Q566</f>
        <v>0</v>
      </c>
      <c r="Y566" s="529">
        <f>+'NF-KSF-TRIAL-BAL-2020'!R566+'RA-TRIAL-BAL-2020'!R566+'DES-TRIAL-BAL-2020'!R566+'DMP-TRIAL-BAL-2020'!R566</f>
        <v>0</v>
      </c>
      <c r="Z566" s="528">
        <f>+'NF-KSF-TRIAL-BAL-2020'!S566+'RA-TRIAL-BAL-2020'!S566+'DES-TRIAL-BAL-2020'!S566+'DMP-TRIAL-BAL-2020'!S566</f>
        <v>0</v>
      </c>
      <c r="AA566" s="347">
        <f>+'NF-KSF-TRIAL-BAL-2020'!T566+'RA-TRIAL-BAL-2020'!T566+'DES-TRIAL-BAL-2020'!T566+'DMP-TRIAL-BAL-2020'!T566</f>
        <v>0</v>
      </c>
      <c r="AB566" s="51"/>
      <c r="AC566" s="8">
        <v>0</v>
      </c>
      <c r="AD566" s="9">
        <v>0</v>
      </c>
      <c r="AE566" s="122">
        <v>0</v>
      </c>
      <c r="AF566" s="324">
        <v>0</v>
      </c>
      <c r="AG566" s="29">
        <v>0</v>
      </c>
      <c r="AH566" s="347">
        <f>+IF(ABS(+AC566+AE566)&lt;=ABS(AD566+AF566),-AC566+AD566-AE566+AF566,0)</f>
        <v>0</v>
      </c>
      <c r="AI566" s="51"/>
      <c r="AJ566" s="1497">
        <f t="shared" si="280"/>
        <v>6501</v>
      </c>
      <c r="AK566" s="8">
        <v>0</v>
      </c>
      <c r="AL566" s="9">
        <v>0</v>
      </c>
      <c r="AM566" s="326">
        <f t="shared" si="251"/>
        <v>0</v>
      </c>
      <c r="AN566" s="970">
        <f t="shared" si="251"/>
        <v>0</v>
      </c>
      <c r="AO566" s="29">
        <v>0</v>
      </c>
      <c r="AP566" s="347">
        <f t="shared" si="279"/>
        <v>0</v>
      </c>
      <c r="AQ566" s="43"/>
      <c r="AR566" s="358">
        <f t="shared" si="264"/>
        <v>0</v>
      </c>
      <c r="AS566" s="359">
        <f t="shared" si="265"/>
        <v>0</v>
      </c>
      <c r="AT566" s="360">
        <f t="shared" si="266"/>
        <v>0</v>
      </c>
      <c r="AU566" s="43"/>
      <c r="AV566" s="2119">
        <f>+IF(OR(+ROUND(O566,2)+ROUND(Q566,2)&gt;ROUND(P566,2)+ROUND(R566,2),+ABS(ROUND(O566,2)+ROUND(Q566,2))&gt;+ABS(ROUND(P566,2)+ROUND(R566,2))),+(ROUND(O566,2)+ROUND(Q566,2))-(ROUND(P566,2)+ROUND(R566,2)),0)</f>
        <v>0</v>
      </c>
      <c r="AW566" s="119"/>
      <c r="AX566" s="2119">
        <f>+IF(OR(+ROUND(AC566,2)+ROUND(AE566,2)&gt;ROUND(AD566,2)+ROUND(AF566,2),+ABS(ROUND(AC566,2)+ROUND(AE566,2))&gt;+ABS(ROUND(AD566,2)+ROUND(AF566,2))),+(ROUND(AC566,2)+ROUND(AE566,2))-(ROUND(AD566,2)+ROUND(AF566,2)),0)</f>
        <v>0</v>
      </c>
      <c r="AY566" s="43"/>
      <c r="AZ566" s="43"/>
      <c r="BA566" s="43"/>
      <c r="BB566" s="43"/>
      <c r="BC566" s="43"/>
      <c r="BD566" s="43"/>
    </row>
    <row r="567" spans="1:56" ht="15.75">
      <c r="A567" s="88">
        <v>6502</v>
      </c>
      <c r="B567" s="1032" t="s">
        <v>656</v>
      </c>
      <c r="C567" s="1033"/>
      <c r="D567" s="1033"/>
      <c r="E567" s="1033"/>
      <c r="F567" s="1033"/>
      <c r="G567" s="1033"/>
      <c r="H567" s="1033"/>
      <c r="I567" s="1033"/>
      <c r="J567" s="1033"/>
      <c r="K567" s="1033"/>
      <c r="L567" s="90"/>
      <c r="M567" s="51" t="s">
        <v>265</v>
      </c>
      <c r="N567" s="113">
        <f t="shared" si="263"/>
        <v>6502</v>
      </c>
      <c r="O567" s="8">
        <v>0</v>
      </c>
      <c r="P567" s="9">
        <v>0</v>
      </c>
      <c r="Q567" s="325"/>
      <c r="R567" s="324"/>
      <c r="S567" s="29">
        <v>0</v>
      </c>
      <c r="T567" s="347">
        <f t="shared" si="248"/>
        <v>0</v>
      </c>
      <c r="U567" s="51"/>
      <c r="V567" s="541">
        <f>+'NF-KSF-TRIAL-BAL-2020'!O567+'RA-TRIAL-BAL-2020'!O567+'DES-TRIAL-BAL-2020'!O567+'DMP-TRIAL-BAL-2020'!O567</f>
        <v>0</v>
      </c>
      <c r="W567" s="529">
        <f>+'NF-KSF-TRIAL-BAL-2020'!P567+'RA-TRIAL-BAL-2020'!P567+'DES-TRIAL-BAL-2020'!P567+'DMP-TRIAL-BAL-2020'!P567</f>
        <v>0</v>
      </c>
      <c r="X567" s="528">
        <f>+'NF-KSF-TRIAL-BAL-2020'!Q567+'RA-TRIAL-BAL-2020'!Q567+'DES-TRIAL-BAL-2020'!Q567+'DMP-TRIAL-BAL-2020'!Q567</f>
        <v>0</v>
      </c>
      <c r="Y567" s="529">
        <f>+'NF-KSF-TRIAL-BAL-2020'!R567+'RA-TRIAL-BAL-2020'!R567+'DES-TRIAL-BAL-2020'!R567+'DMP-TRIAL-BAL-2020'!R567</f>
        <v>0</v>
      </c>
      <c r="Z567" s="528">
        <f>+'NF-KSF-TRIAL-BAL-2020'!S567+'RA-TRIAL-BAL-2020'!S567+'DES-TRIAL-BAL-2020'!S567+'DMP-TRIAL-BAL-2020'!S567</f>
        <v>0</v>
      </c>
      <c r="AA567" s="347">
        <f>+'NF-KSF-TRIAL-BAL-2020'!T567+'RA-TRIAL-BAL-2020'!T567+'DES-TRIAL-BAL-2020'!T567+'DMP-TRIAL-BAL-2020'!T567</f>
        <v>0</v>
      </c>
      <c r="AB567" s="51"/>
      <c r="AC567" s="8">
        <v>0</v>
      </c>
      <c r="AD567" s="9">
        <v>0</v>
      </c>
      <c r="AE567" s="122"/>
      <c r="AF567" s="324"/>
      <c r="AG567" s="29">
        <v>0</v>
      </c>
      <c r="AH567" s="347">
        <f>+IF(ABS(+AC567+AE567)&lt;=ABS(AD567+AF567),-AC567+AD567-AE567+AF567,0)</f>
        <v>0</v>
      </c>
      <c r="AI567" s="51"/>
      <c r="AJ567" s="1497">
        <f t="shared" si="280"/>
        <v>6502</v>
      </c>
      <c r="AK567" s="8">
        <v>0</v>
      </c>
      <c r="AL567" s="9">
        <v>0</v>
      </c>
      <c r="AM567" s="326">
        <f t="shared" si="251"/>
        <v>0</v>
      </c>
      <c r="AN567" s="970">
        <f t="shared" si="251"/>
        <v>0</v>
      </c>
      <c r="AO567" s="29">
        <v>0</v>
      </c>
      <c r="AP567" s="347">
        <f t="shared" si="279"/>
        <v>0</v>
      </c>
      <c r="AQ567" s="43"/>
      <c r="AR567" s="358">
        <f t="shared" si="264"/>
        <v>0</v>
      </c>
      <c r="AS567" s="359">
        <f t="shared" si="265"/>
        <v>0</v>
      </c>
      <c r="AT567" s="360">
        <f t="shared" si="266"/>
        <v>0</v>
      </c>
      <c r="AU567" s="43"/>
      <c r="AV567" s="2119">
        <f>+IF(OR(+ROUND(O567,2)+ROUND(Q567,2)&gt;ROUND(P567,2)+ROUND(R567,2),+ABS(ROUND(O567,2)+ROUND(Q567,2))&gt;+ABS(ROUND(P567,2)+ROUND(R567,2))),+(ROUND(O567,2)+ROUND(Q567,2))-(ROUND(P567,2)+ROUND(R567,2)),0)</f>
        <v>0</v>
      </c>
      <c r="AW567" s="119"/>
      <c r="AX567" s="2119">
        <f>+IF(OR(+ROUND(AC567,2)+ROUND(AE567,2)&gt;ROUND(AD567,2)+ROUND(AF567,2),+ABS(ROUND(AC567,2)+ROUND(AE567,2))&gt;+ABS(ROUND(AD567,2)+ROUND(AF567,2))),+(ROUND(AC567,2)+ROUND(AE567,2))-(ROUND(AD567,2)+ROUND(AF567,2)),0)</f>
        <v>0</v>
      </c>
      <c r="AY567" s="43"/>
      <c r="AZ567" s="43"/>
      <c r="BA567" s="43"/>
      <c r="BB567" s="43"/>
      <c r="BC567" s="43"/>
      <c r="BD567" s="43"/>
    </row>
    <row r="568" spans="1:56" ht="15.75">
      <c r="A568" s="88">
        <v>6503</v>
      </c>
      <c r="B568" s="1032" t="s">
        <v>657</v>
      </c>
      <c r="C568" s="1033"/>
      <c r="D568" s="1033"/>
      <c r="E568" s="1033"/>
      <c r="F568" s="1033"/>
      <c r="G568" s="1033"/>
      <c r="H568" s="1033"/>
      <c r="I568" s="1033"/>
      <c r="J568" s="1033"/>
      <c r="K568" s="1033"/>
      <c r="L568" s="90"/>
      <c r="M568" s="51" t="s">
        <v>265</v>
      </c>
      <c r="N568" s="113">
        <f t="shared" si="263"/>
        <v>6503</v>
      </c>
      <c r="O568" s="8">
        <v>0</v>
      </c>
      <c r="P568" s="9">
        <v>0</v>
      </c>
      <c r="Q568" s="325">
        <v>0</v>
      </c>
      <c r="R568" s="324">
        <v>0</v>
      </c>
      <c r="S568" s="29">
        <v>0</v>
      </c>
      <c r="T568" s="347">
        <f t="shared" si="248"/>
        <v>0</v>
      </c>
      <c r="U568" s="51"/>
      <c r="V568" s="541">
        <f>+'NF-KSF-TRIAL-BAL-2020'!O568+'RA-TRIAL-BAL-2020'!O568+'DES-TRIAL-BAL-2020'!O568+'DMP-TRIAL-BAL-2020'!O568</f>
        <v>0</v>
      </c>
      <c r="W568" s="529">
        <f>+'NF-KSF-TRIAL-BAL-2020'!P568+'RA-TRIAL-BAL-2020'!P568+'DES-TRIAL-BAL-2020'!P568+'DMP-TRIAL-BAL-2020'!P568</f>
        <v>0</v>
      </c>
      <c r="X568" s="528">
        <f>+'NF-KSF-TRIAL-BAL-2020'!Q568+'RA-TRIAL-BAL-2020'!Q568+'DES-TRIAL-BAL-2020'!Q568+'DMP-TRIAL-BAL-2020'!Q568</f>
        <v>0</v>
      </c>
      <c r="Y568" s="529">
        <f>+'NF-KSF-TRIAL-BAL-2020'!R568+'RA-TRIAL-BAL-2020'!R568+'DES-TRIAL-BAL-2020'!R568+'DMP-TRIAL-BAL-2020'!R568</f>
        <v>0</v>
      </c>
      <c r="Z568" s="528">
        <f>+'NF-KSF-TRIAL-BAL-2020'!S568+'RA-TRIAL-BAL-2020'!S568+'DES-TRIAL-BAL-2020'!S568+'DMP-TRIAL-BAL-2020'!S568</f>
        <v>0</v>
      </c>
      <c r="AA568" s="347">
        <f>+'NF-KSF-TRIAL-BAL-2020'!T568+'RA-TRIAL-BAL-2020'!T568+'DES-TRIAL-BAL-2020'!T568+'DMP-TRIAL-BAL-2020'!T568</f>
        <v>0</v>
      </c>
      <c r="AB568" s="51"/>
      <c r="AC568" s="8">
        <v>0</v>
      </c>
      <c r="AD568" s="9">
        <v>0</v>
      </c>
      <c r="AE568" s="122">
        <v>0</v>
      </c>
      <c r="AF568" s="324">
        <v>0</v>
      </c>
      <c r="AG568" s="29">
        <v>0</v>
      </c>
      <c r="AH568" s="347">
        <f>+IF(ABS(+AC568+AE568)&lt;=ABS(AD568+AF568),-AC568+AD568-AE568+AF568,0)</f>
        <v>0</v>
      </c>
      <c r="AI568" s="51"/>
      <c r="AJ568" s="1497">
        <f t="shared" si="280"/>
        <v>6503</v>
      </c>
      <c r="AK568" s="8">
        <v>0</v>
      </c>
      <c r="AL568" s="9">
        <v>0</v>
      </c>
      <c r="AM568" s="326">
        <f t="shared" si="251"/>
        <v>0</v>
      </c>
      <c r="AN568" s="970">
        <f t="shared" si="251"/>
        <v>0</v>
      </c>
      <c r="AO568" s="29">
        <v>0</v>
      </c>
      <c r="AP568" s="347">
        <f t="shared" si="279"/>
        <v>0</v>
      </c>
      <c r="AQ568" s="43"/>
      <c r="AR568" s="358">
        <f t="shared" si="264"/>
        <v>0</v>
      </c>
      <c r="AS568" s="359">
        <f t="shared" si="265"/>
        <v>0</v>
      </c>
      <c r="AT568" s="360">
        <f t="shared" si="266"/>
        <v>0</v>
      </c>
      <c r="AU568" s="43"/>
      <c r="AV568" s="2119">
        <f>+IF(OR(+ROUND(O568,2)+ROUND(Q568,2)&gt;ROUND(P568,2)+ROUND(R568,2),+ABS(ROUND(O568,2)+ROUND(Q568,2))&gt;+ABS(ROUND(P568,2)+ROUND(R568,2))),+(ROUND(O568,2)+ROUND(Q568,2))-(ROUND(P568,2)+ROUND(R568,2)),0)</f>
        <v>0</v>
      </c>
      <c r="AW568" s="119"/>
      <c r="AX568" s="2119">
        <f>+IF(OR(+ROUND(AC568,2)+ROUND(AE568,2)&gt;ROUND(AD568,2)+ROUND(AF568,2),+ABS(ROUND(AC568,2)+ROUND(AE568,2))&gt;+ABS(ROUND(AD568,2)+ROUND(AF568,2))),+(ROUND(AC568,2)+ROUND(AE568,2))-(ROUND(AD568,2)+ROUND(AF568,2)),0)</f>
        <v>0</v>
      </c>
      <c r="AY568" s="43"/>
      <c r="AZ568" s="43"/>
      <c r="BA568" s="43"/>
      <c r="BB568" s="43"/>
      <c r="BC568" s="43"/>
      <c r="BD568" s="43"/>
    </row>
    <row r="569" spans="1:56" ht="15.75">
      <c r="A569" s="88">
        <v>6504</v>
      </c>
      <c r="B569" s="1032" t="s">
        <v>658</v>
      </c>
      <c r="C569" s="1033"/>
      <c r="D569" s="1033"/>
      <c r="E569" s="1033"/>
      <c r="F569" s="1033"/>
      <c r="G569" s="1033"/>
      <c r="H569" s="1033"/>
      <c r="I569" s="1033"/>
      <c r="J569" s="1033"/>
      <c r="K569" s="1033"/>
      <c r="L569" s="90"/>
      <c r="M569" s="51" t="s">
        <v>265</v>
      </c>
      <c r="N569" s="113">
        <f t="shared" si="263"/>
        <v>6504</v>
      </c>
      <c r="O569" s="8">
        <v>0</v>
      </c>
      <c r="P569" s="9">
        <v>0</v>
      </c>
      <c r="Q569" s="325"/>
      <c r="R569" s="324"/>
      <c r="S569" s="29">
        <v>0</v>
      </c>
      <c r="T569" s="347">
        <f>+IF(ABS(+O569+Q569)&lt;=ABS(P569+R569),-O569+P569-Q569+R569,0)</f>
        <v>0</v>
      </c>
      <c r="U569" s="51"/>
      <c r="V569" s="541">
        <f>+'NF-KSF-TRIAL-BAL-2020'!O569+'RA-TRIAL-BAL-2020'!O569+'DES-TRIAL-BAL-2020'!O569+'DMP-TRIAL-BAL-2020'!O569</f>
        <v>0</v>
      </c>
      <c r="W569" s="529">
        <f>+'NF-KSF-TRIAL-BAL-2020'!P569+'RA-TRIAL-BAL-2020'!P569+'DES-TRIAL-BAL-2020'!P569+'DMP-TRIAL-BAL-2020'!P569</f>
        <v>0</v>
      </c>
      <c r="X569" s="528">
        <f>+'NF-KSF-TRIAL-BAL-2020'!Q569+'RA-TRIAL-BAL-2020'!Q569+'DES-TRIAL-BAL-2020'!Q569+'DMP-TRIAL-BAL-2020'!Q569</f>
        <v>0</v>
      </c>
      <c r="Y569" s="529">
        <f>+'NF-KSF-TRIAL-BAL-2020'!R569+'RA-TRIAL-BAL-2020'!R569+'DES-TRIAL-BAL-2020'!R569+'DMP-TRIAL-BAL-2020'!R569</f>
        <v>0</v>
      </c>
      <c r="Z569" s="528">
        <f>+'NF-KSF-TRIAL-BAL-2020'!S569+'RA-TRIAL-BAL-2020'!S569+'DES-TRIAL-BAL-2020'!S569+'DMP-TRIAL-BAL-2020'!S569</f>
        <v>0</v>
      </c>
      <c r="AA569" s="347">
        <f>+'NF-KSF-TRIAL-BAL-2020'!T569+'RA-TRIAL-BAL-2020'!T569+'DES-TRIAL-BAL-2020'!T569+'DMP-TRIAL-BAL-2020'!T569</f>
        <v>0</v>
      </c>
      <c r="AB569" s="51"/>
      <c r="AC569" s="8">
        <v>0</v>
      </c>
      <c r="AD569" s="9">
        <v>0</v>
      </c>
      <c r="AE569" s="122"/>
      <c r="AF569" s="324"/>
      <c r="AG569" s="29">
        <v>0</v>
      </c>
      <c r="AH569" s="347">
        <f>+IF(ABS(+AC569+AE569)&lt;=ABS(AD569+AF569),-AC569+AD569-AE569+AF569,0)</f>
        <v>0</v>
      </c>
      <c r="AI569" s="51"/>
      <c r="AJ569" s="1497">
        <f t="shared" si="280"/>
        <v>6504</v>
      </c>
      <c r="AK569" s="8">
        <v>0</v>
      </c>
      <c r="AL569" s="9">
        <v>0</v>
      </c>
      <c r="AM569" s="326">
        <f t="shared" ref="AM569:AN593" si="281">+ROUND(+Q569+X569+AE569,2)</f>
        <v>0</v>
      </c>
      <c r="AN569" s="970">
        <f t="shared" si="281"/>
        <v>0</v>
      </c>
      <c r="AO569" s="29">
        <v>0</v>
      </c>
      <c r="AP569" s="347">
        <f t="shared" si="279"/>
        <v>0</v>
      </c>
      <c r="AQ569" s="43"/>
      <c r="AR569" s="358">
        <f t="shared" si="264"/>
        <v>0</v>
      </c>
      <c r="AS569" s="359">
        <f t="shared" si="265"/>
        <v>0</v>
      </c>
      <c r="AT569" s="360">
        <f t="shared" si="266"/>
        <v>0</v>
      </c>
      <c r="AU569" s="43"/>
      <c r="AV569" s="2119">
        <f>+IF(OR(+ROUND(O569,2)+ROUND(Q569,2)&gt;ROUND(P569,2)+ROUND(R569,2),+ABS(ROUND(O569,2)+ROUND(Q569,2))&gt;+ABS(ROUND(P569,2)+ROUND(R569,2))),+(ROUND(O569,2)+ROUND(Q569,2))-(ROUND(P569,2)+ROUND(R569,2)),0)</f>
        <v>0</v>
      </c>
      <c r="AW569" s="119"/>
      <c r="AX569" s="2119">
        <f>+IF(OR(+ROUND(AC569,2)+ROUND(AE569,2)&gt;ROUND(AD569,2)+ROUND(AF569,2),+ABS(ROUND(AC569,2)+ROUND(AE569,2))&gt;+ABS(ROUND(AD569,2)+ROUND(AF569,2))),+(ROUND(AC569,2)+ROUND(AE569,2))-(ROUND(AD569,2)+ROUND(AF569,2)),0)</f>
        <v>0</v>
      </c>
      <c r="AY569" s="43"/>
      <c r="AZ569" s="43"/>
      <c r="BA569" s="43"/>
      <c r="BB569" s="43"/>
      <c r="BC569" s="43"/>
      <c r="BD569" s="43"/>
    </row>
    <row r="570" spans="1:56" ht="15.75">
      <c r="A570" s="88">
        <v>6506</v>
      </c>
      <c r="B570" s="1032" t="s">
        <v>659</v>
      </c>
      <c r="C570" s="1033"/>
      <c r="D570" s="1033"/>
      <c r="E570" s="1033"/>
      <c r="F570" s="1033"/>
      <c r="G570" s="1033"/>
      <c r="H570" s="1033"/>
      <c r="I570" s="1033"/>
      <c r="J570" s="1033"/>
      <c r="K570" s="1033"/>
      <c r="L570" s="90"/>
      <c r="M570" s="51" t="s">
        <v>265</v>
      </c>
      <c r="N570" s="113">
        <f t="shared" si="263"/>
        <v>6506</v>
      </c>
      <c r="O570" s="8">
        <v>0</v>
      </c>
      <c r="P570" s="9">
        <v>0</v>
      </c>
      <c r="Q570" s="325">
        <v>0</v>
      </c>
      <c r="R570" s="324">
        <v>0</v>
      </c>
      <c r="S570" s="2114">
        <v>0</v>
      </c>
      <c r="T570" s="2115">
        <v>0</v>
      </c>
      <c r="U570" s="51"/>
      <c r="V570" s="541">
        <f>+'NF-KSF-TRIAL-BAL-2020'!O570+'RA-TRIAL-BAL-2020'!O570+'DES-TRIAL-BAL-2020'!O570+'DMP-TRIAL-BAL-2020'!O570</f>
        <v>0</v>
      </c>
      <c r="W570" s="529">
        <f>+'NF-KSF-TRIAL-BAL-2020'!P570+'RA-TRIAL-BAL-2020'!P570+'DES-TRIAL-BAL-2020'!P570+'DMP-TRIAL-BAL-2020'!P570</f>
        <v>0</v>
      </c>
      <c r="X570" s="528">
        <f>+'NF-KSF-TRIAL-BAL-2020'!Q570+'RA-TRIAL-BAL-2020'!Q570+'DES-TRIAL-BAL-2020'!Q570+'DMP-TRIAL-BAL-2020'!Q570</f>
        <v>0</v>
      </c>
      <c r="Y570" s="529">
        <f>+'NF-KSF-TRIAL-BAL-2020'!R570+'RA-TRIAL-BAL-2020'!R570+'DES-TRIAL-BAL-2020'!R570+'DMP-TRIAL-BAL-2020'!R570</f>
        <v>0</v>
      </c>
      <c r="Z570" s="528">
        <f>+'NF-KSF-TRIAL-BAL-2020'!S570+'RA-TRIAL-BAL-2020'!S570+'DES-TRIAL-BAL-2020'!S570+'DMP-TRIAL-BAL-2020'!S570</f>
        <v>0</v>
      </c>
      <c r="AA570" s="347">
        <f>+'NF-KSF-TRIAL-BAL-2020'!T570+'RA-TRIAL-BAL-2020'!T570+'DES-TRIAL-BAL-2020'!T570+'DMP-TRIAL-BAL-2020'!T570</f>
        <v>0</v>
      </c>
      <c r="AB570" s="51"/>
      <c r="AC570" s="8">
        <v>0</v>
      </c>
      <c r="AD570" s="9">
        <v>0</v>
      </c>
      <c r="AE570" s="122">
        <v>0</v>
      </c>
      <c r="AF570" s="121">
        <v>0</v>
      </c>
      <c r="AG570" s="2114">
        <v>0</v>
      </c>
      <c r="AH570" s="2115">
        <v>0</v>
      </c>
      <c r="AI570" s="51"/>
      <c r="AJ570" s="1497">
        <f t="shared" si="280"/>
        <v>6506</v>
      </c>
      <c r="AK570" s="8">
        <v>0</v>
      </c>
      <c r="AL570" s="9">
        <v>0</v>
      </c>
      <c r="AM570" s="326">
        <f t="shared" si="281"/>
        <v>0</v>
      </c>
      <c r="AN570" s="970">
        <f t="shared" si="281"/>
        <v>0</v>
      </c>
      <c r="AO570" s="29">
        <v>0</v>
      </c>
      <c r="AP570" s="30">
        <v>0</v>
      </c>
      <c r="AQ570" s="43"/>
      <c r="AR570" s="358">
        <f t="shared" si="264"/>
        <v>0</v>
      </c>
      <c r="AS570" s="359">
        <f t="shared" si="265"/>
        <v>0</v>
      </c>
      <c r="AT570" s="360">
        <f t="shared" si="266"/>
        <v>0</v>
      </c>
      <c r="AU570" s="43"/>
      <c r="AV570" s="2125">
        <f>+IF(Q570=R570,0,+Q570-R570)</f>
        <v>0</v>
      </c>
      <c r="AW570" s="119"/>
      <c r="AX570" s="2120">
        <f>+IF(OR(ROUND(AD570,2)+ROUND(AF570,2)&gt;+ROUND(AC570,2)+ROUND(AE570,2),+ABS(ROUND(AD570,2)+ROUND(AF570,2))&gt;+ABS(ROUND(AC570,2)+ROUND(AE570,2))),+(ROUND(AD570,2)+ROUND(AF570,2))-(ROUND(AC570,2)+ROUND(AE570,2)),0)</f>
        <v>0</v>
      </c>
      <c r="AY570" s="43"/>
      <c r="AZ570" s="43"/>
      <c r="BA570" s="43"/>
      <c r="BB570" s="43"/>
      <c r="BC570" s="43"/>
      <c r="BD570" s="43"/>
    </row>
    <row r="571" spans="1:56" ht="15.75">
      <c r="A571" s="88">
        <v>6507</v>
      </c>
      <c r="B571" s="1032" t="s">
        <v>660</v>
      </c>
      <c r="C571" s="1033"/>
      <c r="D571" s="1033"/>
      <c r="E571" s="1033"/>
      <c r="F571" s="1033"/>
      <c r="G571" s="1033"/>
      <c r="H571" s="1033"/>
      <c r="I571" s="1033"/>
      <c r="J571" s="1033"/>
      <c r="K571" s="1033"/>
      <c r="L571" s="90"/>
      <c r="M571" s="51" t="s">
        <v>265</v>
      </c>
      <c r="N571" s="113">
        <f t="shared" si="263"/>
        <v>6507</v>
      </c>
      <c r="O571" s="8">
        <v>0</v>
      </c>
      <c r="P571" s="9">
        <v>0</v>
      </c>
      <c r="Q571" s="325">
        <v>0</v>
      </c>
      <c r="R571" s="324">
        <v>0</v>
      </c>
      <c r="S571" s="29">
        <v>0</v>
      </c>
      <c r="T571" s="347">
        <f>+IF(ABS(+O571+Q571)&lt;=ABS(P571+R571),-O571+P571-Q571+R571,0)</f>
        <v>0</v>
      </c>
      <c r="U571" s="51"/>
      <c r="V571" s="541">
        <f>+'NF-KSF-TRIAL-BAL-2020'!O571+'RA-TRIAL-BAL-2020'!O571+'DES-TRIAL-BAL-2020'!O571+'DMP-TRIAL-BAL-2020'!O571</f>
        <v>0</v>
      </c>
      <c r="W571" s="529">
        <f>+'NF-KSF-TRIAL-BAL-2020'!P571+'RA-TRIAL-BAL-2020'!P571+'DES-TRIAL-BAL-2020'!P571+'DMP-TRIAL-BAL-2020'!P571</f>
        <v>0</v>
      </c>
      <c r="X571" s="528">
        <f>+'NF-KSF-TRIAL-BAL-2020'!Q571+'RA-TRIAL-BAL-2020'!Q571+'DES-TRIAL-BAL-2020'!Q571+'DMP-TRIAL-BAL-2020'!Q571</f>
        <v>0</v>
      </c>
      <c r="Y571" s="529">
        <f>+'NF-KSF-TRIAL-BAL-2020'!R571+'RA-TRIAL-BAL-2020'!R571+'DES-TRIAL-BAL-2020'!R571+'DMP-TRIAL-BAL-2020'!R571</f>
        <v>0</v>
      </c>
      <c r="Z571" s="528">
        <f>+'NF-KSF-TRIAL-BAL-2020'!S571+'RA-TRIAL-BAL-2020'!S571+'DES-TRIAL-BAL-2020'!S571+'DMP-TRIAL-BAL-2020'!S571</f>
        <v>0</v>
      </c>
      <c r="AA571" s="347">
        <f>+'NF-KSF-TRIAL-BAL-2020'!T571+'RA-TRIAL-BAL-2020'!T571+'DES-TRIAL-BAL-2020'!T571+'DMP-TRIAL-BAL-2020'!T571</f>
        <v>0</v>
      </c>
      <c r="AB571" s="51"/>
      <c r="AC571" s="8">
        <v>0</v>
      </c>
      <c r="AD571" s="9">
        <v>0</v>
      </c>
      <c r="AE571" s="325">
        <v>0</v>
      </c>
      <c r="AF571" s="324">
        <v>0</v>
      </c>
      <c r="AG571" s="29">
        <v>0</v>
      </c>
      <c r="AH571" s="347">
        <f>+IF(ABS(+AC571+AE571)&lt;=ABS(AD571+AF571),-AC571+AD571-AE571+AF571,0)</f>
        <v>0</v>
      </c>
      <c r="AI571" s="51"/>
      <c r="AJ571" s="1497">
        <f t="shared" si="280"/>
        <v>6507</v>
      </c>
      <c r="AK571" s="8">
        <v>0</v>
      </c>
      <c r="AL571" s="9">
        <v>0</v>
      </c>
      <c r="AM571" s="326">
        <f t="shared" si="281"/>
        <v>0</v>
      </c>
      <c r="AN571" s="970">
        <f t="shared" si="281"/>
        <v>0</v>
      </c>
      <c r="AO571" s="29">
        <v>0</v>
      </c>
      <c r="AP571" s="347">
        <f t="shared" si="279"/>
        <v>0</v>
      </c>
      <c r="AQ571" s="43"/>
      <c r="AR571" s="358">
        <f t="shared" si="264"/>
        <v>0</v>
      </c>
      <c r="AS571" s="359">
        <f t="shared" si="265"/>
        <v>0</v>
      </c>
      <c r="AT571" s="360">
        <f t="shared" si="266"/>
        <v>0</v>
      </c>
      <c r="AU571" s="43"/>
      <c r="AV571" s="2119">
        <f>+IF(OR(+ROUND(O571,2)+ROUND(Q571,2)&gt;ROUND(P571,2)+ROUND(R571,2),+ABS(ROUND(O571,2)+ROUND(Q571,2))&gt;+ABS(ROUND(P571,2)+ROUND(R571,2))),+(ROUND(O571,2)+ROUND(Q571,2))-(ROUND(P571,2)+ROUND(R571,2)),0)</f>
        <v>0</v>
      </c>
      <c r="AW571" s="119"/>
      <c r="AX571" s="2119">
        <f>+IF(OR(+ROUND(AC571,2)+ROUND(AE571,2)&gt;ROUND(AD571,2)+ROUND(AF571,2),+ABS(ROUND(AC571,2)+ROUND(AE571,2))&gt;+ABS(ROUND(AD571,2)+ROUND(AF571,2))),+(ROUND(AC571,2)+ROUND(AE571,2))-(ROUND(AD571,2)+ROUND(AF571,2)),0)</f>
        <v>0</v>
      </c>
      <c r="AY571" s="43"/>
      <c r="AZ571" s="43"/>
      <c r="BA571" s="43"/>
      <c r="BB571" s="43"/>
      <c r="BC571" s="43"/>
      <c r="BD571" s="43"/>
    </row>
    <row r="572" spans="1:56" ht="15.75">
      <c r="A572" s="88">
        <v>6508</v>
      </c>
      <c r="B572" s="1032" t="s">
        <v>661</v>
      </c>
      <c r="C572" s="1033"/>
      <c r="D572" s="1033"/>
      <c r="E572" s="1033"/>
      <c r="F572" s="1033"/>
      <c r="G572" s="1033"/>
      <c r="H572" s="1033"/>
      <c r="I572" s="1033"/>
      <c r="J572" s="1033"/>
      <c r="K572" s="1033"/>
      <c r="L572" s="90"/>
      <c r="M572" s="51" t="s">
        <v>265</v>
      </c>
      <c r="N572" s="113">
        <f t="shared" si="263"/>
        <v>6508</v>
      </c>
      <c r="O572" s="8">
        <v>0</v>
      </c>
      <c r="P572" s="9">
        <v>0</v>
      </c>
      <c r="Q572" s="325"/>
      <c r="R572" s="324"/>
      <c r="S572" s="29">
        <v>0</v>
      </c>
      <c r="T572" s="347">
        <f>+IF(ABS(+O572+Q572)&lt;=ABS(P572+R572),-O572+P572-Q572+R572,0)</f>
        <v>0</v>
      </c>
      <c r="U572" s="51"/>
      <c r="V572" s="541">
        <f>+'NF-KSF-TRIAL-BAL-2020'!O572+'RA-TRIAL-BAL-2020'!O572+'DES-TRIAL-BAL-2020'!O572+'DMP-TRIAL-BAL-2020'!O572</f>
        <v>0</v>
      </c>
      <c r="W572" s="529">
        <f>+'NF-KSF-TRIAL-BAL-2020'!P572+'RA-TRIAL-BAL-2020'!P572+'DES-TRIAL-BAL-2020'!P572+'DMP-TRIAL-BAL-2020'!P572</f>
        <v>0</v>
      </c>
      <c r="X572" s="528">
        <f>+'NF-KSF-TRIAL-BAL-2020'!Q572+'RA-TRIAL-BAL-2020'!Q572+'DES-TRIAL-BAL-2020'!Q572+'DMP-TRIAL-BAL-2020'!Q572</f>
        <v>0</v>
      </c>
      <c r="Y572" s="529">
        <f>+'NF-KSF-TRIAL-BAL-2020'!R572+'RA-TRIAL-BAL-2020'!R572+'DES-TRIAL-BAL-2020'!R572+'DMP-TRIAL-BAL-2020'!R572</f>
        <v>0</v>
      </c>
      <c r="Z572" s="528">
        <f>+'NF-KSF-TRIAL-BAL-2020'!S572+'RA-TRIAL-BAL-2020'!S572+'DES-TRIAL-BAL-2020'!S572+'DMP-TRIAL-BAL-2020'!S572</f>
        <v>0</v>
      </c>
      <c r="AA572" s="347">
        <f>+'NF-KSF-TRIAL-BAL-2020'!T572+'RA-TRIAL-BAL-2020'!T572+'DES-TRIAL-BAL-2020'!T572+'DMP-TRIAL-BAL-2020'!T572</f>
        <v>0</v>
      </c>
      <c r="AB572" s="51"/>
      <c r="AC572" s="8">
        <v>0</v>
      </c>
      <c r="AD572" s="9">
        <v>0</v>
      </c>
      <c r="AE572" s="325"/>
      <c r="AF572" s="324"/>
      <c r="AG572" s="29">
        <v>0</v>
      </c>
      <c r="AH572" s="347">
        <f>+IF(ABS(+AC572+AE572)&lt;=ABS(AD572+AF572),-AC572+AD572-AE572+AF572,0)</f>
        <v>0</v>
      </c>
      <c r="AI572" s="51"/>
      <c r="AJ572" s="1497">
        <f t="shared" si="280"/>
        <v>6508</v>
      </c>
      <c r="AK572" s="8">
        <v>0</v>
      </c>
      <c r="AL572" s="9">
        <v>0</v>
      </c>
      <c r="AM572" s="326">
        <f t="shared" si="281"/>
        <v>0</v>
      </c>
      <c r="AN572" s="970">
        <f t="shared" si="281"/>
        <v>0</v>
      </c>
      <c r="AO572" s="29">
        <v>0</v>
      </c>
      <c r="AP572" s="347">
        <f t="shared" si="279"/>
        <v>0</v>
      </c>
      <c r="AQ572" s="43"/>
      <c r="AR572" s="358">
        <f t="shared" si="264"/>
        <v>0</v>
      </c>
      <c r="AS572" s="359">
        <f t="shared" si="265"/>
        <v>0</v>
      </c>
      <c r="AT572" s="360">
        <f t="shared" si="266"/>
        <v>0</v>
      </c>
      <c r="AU572" s="43"/>
      <c r="AV572" s="2119">
        <f>+IF(OR(+ROUND(O572,2)+ROUND(Q572,2)&gt;ROUND(P572,2)+ROUND(R572,2),+ABS(ROUND(O572,2)+ROUND(Q572,2))&gt;+ABS(ROUND(P572,2)+ROUND(R572,2))),+(ROUND(O572,2)+ROUND(Q572,2))-(ROUND(P572,2)+ROUND(R572,2)),0)</f>
        <v>0</v>
      </c>
      <c r="AW572" s="119"/>
      <c r="AX572" s="2119">
        <f>+IF(OR(+ROUND(AC572,2)+ROUND(AE572,2)&gt;ROUND(AD572,2)+ROUND(AF572,2),+ABS(ROUND(AC572,2)+ROUND(AE572,2))&gt;+ABS(ROUND(AD572,2)+ROUND(AF572,2))),+(ROUND(AC572,2)+ROUND(AE572,2))-(ROUND(AD572,2)+ROUND(AF572,2)),0)</f>
        <v>0</v>
      </c>
      <c r="AY572" s="43"/>
      <c r="AZ572" s="43"/>
      <c r="BA572" s="43"/>
      <c r="BB572" s="43"/>
      <c r="BC572" s="43"/>
      <c r="BD572" s="43"/>
    </row>
    <row r="573" spans="1:56" ht="15.75">
      <c r="A573" s="88">
        <v>6711</v>
      </c>
      <c r="B573" s="1033" t="s">
        <v>662</v>
      </c>
      <c r="C573" s="1033"/>
      <c r="D573" s="1033"/>
      <c r="E573" s="1033"/>
      <c r="F573" s="1033"/>
      <c r="G573" s="1033"/>
      <c r="H573" s="1033"/>
      <c r="I573" s="1033"/>
      <c r="J573" s="1033"/>
      <c r="K573" s="1033"/>
      <c r="L573" s="90"/>
      <c r="M573" s="51" t="s">
        <v>265</v>
      </c>
      <c r="N573" s="113">
        <f t="shared" si="263"/>
        <v>6711</v>
      </c>
      <c r="O573" s="8">
        <v>0</v>
      </c>
      <c r="P573" s="9">
        <v>0</v>
      </c>
      <c r="Q573" s="325"/>
      <c r="R573" s="324"/>
      <c r="S573" s="27">
        <f>+IF(ABS(+O573+Q573)&gt;=ABS(P573+R573),+O573-P573+Q573-R573,0)</f>
        <v>0</v>
      </c>
      <c r="T573" s="30">
        <v>0</v>
      </c>
      <c r="U573" s="51"/>
      <c r="V573" s="541">
        <f>+'NF-KSF-TRIAL-BAL-2020'!O573+'RA-TRIAL-BAL-2020'!O573+'DES-TRIAL-BAL-2020'!O573+'DMP-TRIAL-BAL-2020'!O573</f>
        <v>0</v>
      </c>
      <c r="W573" s="529">
        <f>+'NF-KSF-TRIAL-BAL-2020'!P573+'RA-TRIAL-BAL-2020'!P573+'DES-TRIAL-BAL-2020'!P573+'DMP-TRIAL-BAL-2020'!P573</f>
        <v>0</v>
      </c>
      <c r="X573" s="528">
        <f>+'NF-KSF-TRIAL-BAL-2020'!Q573+'RA-TRIAL-BAL-2020'!Q573+'DES-TRIAL-BAL-2020'!Q573+'DMP-TRIAL-BAL-2020'!Q573</f>
        <v>0</v>
      </c>
      <c r="Y573" s="529">
        <f>+'NF-KSF-TRIAL-BAL-2020'!R573+'RA-TRIAL-BAL-2020'!R573+'DES-TRIAL-BAL-2020'!R573+'DMP-TRIAL-BAL-2020'!R573</f>
        <v>0</v>
      </c>
      <c r="Z573" s="528">
        <f>+'NF-KSF-TRIAL-BAL-2020'!S573+'RA-TRIAL-BAL-2020'!S573+'DES-TRIAL-BAL-2020'!S573+'DMP-TRIAL-BAL-2020'!S573</f>
        <v>0</v>
      </c>
      <c r="AA573" s="347">
        <f>+'NF-KSF-TRIAL-BAL-2020'!T573+'RA-TRIAL-BAL-2020'!T573+'DES-TRIAL-BAL-2020'!T573+'DMP-TRIAL-BAL-2020'!T573</f>
        <v>0</v>
      </c>
      <c r="AB573" s="51"/>
      <c r="AC573" s="8">
        <v>0</v>
      </c>
      <c r="AD573" s="9">
        <v>0</v>
      </c>
      <c r="AE573" s="122"/>
      <c r="AF573" s="324"/>
      <c r="AG573" s="27">
        <f>+IF(ABS(+AC573+AE573)&gt;=ABS(AD573+AF573),+AC573-AD573+AE573-AF573,0)</f>
        <v>0</v>
      </c>
      <c r="AH573" s="30">
        <v>0</v>
      </c>
      <c r="AI573" s="51"/>
      <c r="AJ573" s="1497">
        <f t="shared" si="280"/>
        <v>6711</v>
      </c>
      <c r="AK573" s="8">
        <v>0</v>
      </c>
      <c r="AL573" s="9">
        <v>0</v>
      </c>
      <c r="AM573" s="326">
        <f t="shared" si="281"/>
        <v>0</v>
      </c>
      <c r="AN573" s="970">
        <f t="shared" si="281"/>
        <v>0</v>
      </c>
      <c r="AO573" s="27">
        <f>+S573+Z573+AG573</f>
        <v>0</v>
      </c>
      <c r="AP573" s="30">
        <v>0</v>
      </c>
      <c r="AQ573" s="43"/>
      <c r="AR573" s="358">
        <f t="shared" si="264"/>
        <v>0</v>
      </c>
      <c r="AS573" s="359">
        <f t="shared" si="265"/>
        <v>0</v>
      </c>
      <c r="AT573" s="360">
        <f t="shared" si="266"/>
        <v>0</v>
      </c>
      <c r="AU573" s="43"/>
      <c r="AV573" s="2120">
        <f>+IF(OR(ROUND(P573,2)+ROUND(R573,2)&gt;+ROUND(O573,2)+ROUND(Q573,2),+ABS(ROUND(P573,2)+ROUND(R573,2))&gt;+ABS(ROUND(O573,2)+ROUND(Q573,2))),+(ROUND(P573,2)+ROUND(R573,2))-(ROUND(O573,2)+ROUND(Q573,2)),0)</f>
        <v>0</v>
      </c>
      <c r="AW573" s="119"/>
      <c r="AX573" s="2120">
        <f>+IF(OR(ROUND(AD573,2)+ROUND(AF573,2)&gt;+ROUND(AC573,2)+ROUND(AE573,2),+ABS(ROUND(AD573,2)+ROUND(AF573,2))&gt;+ABS(ROUND(AC573,2)+ROUND(AE573,2))),+(ROUND(AD573,2)+ROUND(AF573,2))-(ROUND(AC573,2)+ROUND(AE573,2)),0)</f>
        <v>0</v>
      </c>
      <c r="AY573" s="43"/>
      <c r="AZ573" s="43"/>
      <c r="BA573" s="43"/>
      <c r="BB573" s="43"/>
      <c r="BC573" s="43"/>
      <c r="BD573" s="43"/>
    </row>
    <row r="574" spans="1:56" ht="15.75">
      <c r="A574" s="88">
        <v>6713</v>
      </c>
      <c r="B574" s="1033" t="s">
        <v>663</v>
      </c>
      <c r="C574" s="1033"/>
      <c r="D574" s="1033"/>
      <c r="E574" s="1033"/>
      <c r="F574" s="1033"/>
      <c r="G574" s="1033"/>
      <c r="H574" s="1033"/>
      <c r="I574" s="1033"/>
      <c r="J574" s="1033"/>
      <c r="K574" s="1033"/>
      <c r="L574" s="90"/>
      <c r="M574" s="51" t="s">
        <v>265</v>
      </c>
      <c r="N574" s="113">
        <f t="shared" si="263"/>
        <v>6713</v>
      </c>
      <c r="O574" s="8">
        <v>0</v>
      </c>
      <c r="P574" s="9">
        <v>0</v>
      </c>
      <c r="Q574" s="325"/>
      <c r="R574" s="324"/>
      <c r="S574" s="27">
        <f>+IF(ABS(+O574+Q574)&gt;=ABS(P574+R574),+O574-P574+Q574-R574,0)</f>
        <v>0</v>
      </c>
      <c r="T574" s="30">
        <v>0</v>
      </c>
      <c r="U574" s="51"/>
      <c r="V574" s="541">
        <f>+'NF-KSF-TRIAL-BAL-2020'!O574+'RA-TRIAL-BAL-2020'!O574+'DES-TRIAL-BAL-2020'!O574+'DMP-TRIAL-BAL-2020'!O574</f>
        <v>0</v>
      </c>
      <c r="W574" s="529">
        <f>+'NF-KSF-TRIAL-BAL-2020'!P574+'RA-TRIAL-BAL-2020'!P574+'DES-TRIAL-BAL-2020'!P574+'DMP-TRIAL-BAL-2020'!P574</f>
        <v>0</v>
      </c>
      <c r="X574" s="528">
        <f>+'NF-KSF-TRIAL-BAL-2020'!Q574+'RA-TRIAL-BAL-2020'!Q574+'DES-TRIAL-BAL-2020'!Q574+'DMP-TRIAL-BAL-2020'!Q574</f>
        <v>0</v>
      </c>
      <c r="Y574" s="529">
        <f>+'NF-KSF-TRIAL-BAL-2020'!R574+'RA-TRIAL-BAL-2020'!R574+'DES-TRIAL-BAL-2020'!R574+'DMP-TRIAL-BAL-2020'!R574</f>
        <v>0</v>
      </c>
      <c r="Z574" s="528">
        <f>+'NF-KSF-TRIAL-BAL-2020'!S574+'RA-TRIAL-BAL-2020'!S574+'DES-TRIAL-BAL-2020'!S574+'DMP-TRIAL-BAL-2020'!S574</f>
        <v>0</v>
      </c>
      <c r="AA574" s="347">
        <f>+'NF-KSF-TRIAL-BAL-2020'!T574+'RA-TRIAL-BAL-2020'!T574+'DES-TRIAL-BAL-2020'!T574+'DMP-TRIAL-BAL-2020'!T574</f>
        <v>0</v>
      </c>
      <c r="AB574" s="51"/>
      <c r="AC574" s="8">
        <v>0</v>
      </c>
      <c r="AD574" s="9">
        <v>0</v>
      </c>
      <c r="AE574" s="122"/>
      <c r="AF574" s="324"/>
      <c r="AG574" s="27">
        <f>+IF(ABS(+AC574+AE574)&gt;=ABS(AD574+AF574),+AC574-AD574+AE574-AF574,0)</f>
        <v>0</v>
      </c>
      <c r="AH574" s="30">
        <v>0</v>
      </c>
      <c r="AI574" s="51"/>
      <c r="AJ574" s="1497">
        <f t="shared" si="280"/>
        <v>6713</v>
      </c>
      <c r="AK574" s="8">
        <v>0</v>
      </c>
      <c r="AL574" s="9">
        <v>0</v>
      </c>
      <c r="AM574" s="326">
        <f t="shared" si="281"/>
        <v>0</v>
      </c>
      <c r="AN574" s="970">
        <f t="shared" si="281"/>
        <v>0</v>
      </c>
      <c r="AO574" s="27">
        <f>+S574+Z574+AG574</f>
        <v>0</v>
      </c>
      <c r="AP574" s="30">
        <v>0</v>
      </c>
      <c r="AQ574" s="43"/>
      <c r="AR574" s="358">
        <f t="shared" si="264"/>
        <v>0</v>
      </c>
      <c r="AS574" s="359">
        <f t="shared" si="265"/>
        <v>0</v>
      </c>
      <c r="AT574" s="360">
        <f t="shared" si="266"/>
        <v>0</v>
      </c>
      <c r="AU574" s="43"/>
      <c r="AV574" s="2120">
        <f>+IF(OR(ROUND(P574,2)+ROUND(R574,2)&gt;+ROUND(O574,2)+ROUND(Q574,2),+ABS(ROUND(P574,2)+ROUND(R574,2))&gt;+ABS(ROUND(O574,2)+ROUND(Q574,2))),+(ROUND(P574,2)+ROUND(R574,2))-(ROUND(O574,2)+ROUND(Q574,2)),0)</f>
        <v>0</v>
      </c>
      <c r="AW574" s="119"/>
      <c r="AX574" s="2120">
        <f>+IF(OR(ROUND(AD574,2)+ROUND(AF574,2)&gt;+ROUND(AC574,2)+ROUND(AE574,2),+ABS(ROUND(AD574,2)+ROUND(AF574,2))&gt;+ABS(ROUND(AC574,2)+ROUND(AE574,2))),+(ROUND(AD574,2)+ROUND(AF574,2))-(ROUND(AC574,2)+ROUND(AE574,2)),0)</f>
        <v>0</v>
      </c>
      <c r="AY574" s="43"/>
      <c r="AZ574" s="43"/>
      <c r="BA574" s="43"/>
      <c r="BB574" s="43"/>
      <c r="BC574" s="43"/>
      <c r="BD574" s="43"/>
    </row>
    <row r="575" spans="1:56" ht="15.75">
      <c r="A575" s="88">
        <v>6717</v>
      </c>
      <c r="B575" s="1033" t="s">
        <v>9</v>
      </c>
      <c r="C575" s="1033"/>
      <c r="D575" s="1033"/>
      <c r="E575" s="1033"/>
      <c r="F575" s="1033"/>
      <c r="G575" s="1033"/>
      <c r="H575" s="1033"/>
      <c r="I575" s="1033"/>
      <c r="J575" s="1033"/>
      <c r="K575" s="1033"/>
      <c r="L575" s="90"/>
      <c r="M575" s="51" t="s">
        <v>265</v>
      </c>
      <c r="N575" s="113">
        <f t="shared" si="263"/>
        <v>6717</v>
      </c>
      <c r="O575" s="8">
        <v>0</v>
      </c>
      <c r="P575" s="9">
        <v>0</v>
      </c>
      <c r="Q575" s="325">
        <v>0</v>
      </c>
      <c r="R575" s="324">
        <v>0</v>
      </c>
      <c r="S575" s="27">
        <f>+IF(ABS(+O575+Q575)&gt;=ABS(P575+R575),+O575-P575+Q575-R575,0)</f>
        <v>0</v>
      </c>
      <c r="T575" s="30">
        <v>0</v>
      </c>
      <c r="U575" s="51"/>
      <c r="V575" s="541">
        <f>+'NF-KSF-TRIAL-BAL-2020'!O575+'RA-TRIAL-BAL-2020'!O575+'DES-TRIAL-BAL-2020'!O575+'DMP-TRIAL-BAL-2020'!O575</f>
        <v>0</v>
      </c>
      <c r="W575" s="529">
        <f>+'NF-KSF-TRIAL-BAL-2020'!P575+'RA-TRIAL-BAL-2020'!P575+'DES-TRIAL-BAL-2020'!P575+'DMP-TRIAL-BAL-2020'!P575</f>
        <v>0</v>
      </c>
      <c r="X575" s="528">
        <f>+'NF-KSF-TRIAL-BAL-2020'!Q575+'RA-TRIAL-BAL-2020'!Q575+'DES-TRIAL-BAL-2020'!Q575+'DMP-TRIAL-BAL-2020'!Q575</f>
        <v>0</v>
      </c>
      <c r="Y575" s="529">
        <f>+'NF-KSF-TRIAL-BAL-2020'!R575+'RA-TRIAL-BAL-2020'!R575+'DES-TRIAL-BAL-2020'!R575+'DMP-TRIAL-BAL-2020'!R575</f>
        <v>0</v>
      </c>
      <c r="Z575" s="528">
        <f>+'NF-KSF-TRIAL-BAL-2020'!S575+'RA-TRIAL-BAL-2020'!S575+'DES-TRIAL-BAL-2020'!S575+'DMP-TRIAL-BAL-2020'!S575</f>
        <v>0</v>
      </c>
      <c r="AA575" s="347">
        <f>+'NF-KSF-TRIAL-BAL-2020'!T575+'RA-TRIAL-BAL-2020'!T575+'DES-TRIAL-BAL-2020'!T575+'DMP-TRIAL-BAL-2020'!T575</f>
        <v>0</v>
      </c>
      <c r="AB575" s="51"/>
      <c r="AC575" s="8">
        <v>0</v>
      </c>
      <c r="AD575" s="9">
        <v>0</v>
      </c>
      <c r="AE575" s="122">
        <v>0</v>
      </c>
      <c r="AF575" s="324">
        <v>0</v>
      </c>
      <c r="AG575" s="27">
        <f>+IF(ABS(+AC575+AE575)&gt;=ABS(AD575+AF575),+AC575-AD575+AE575-AF575,0)</f>
        <v>0</v>
      </c>
      <c r="AH575" s="30">
        <v>0</v>
      </c>
      <c r="AI575" s="51"/>
      <c r="AJ575" s="1497">
        <f t="shared" si="280"/>
        <v>6717</v>
      </c>
      <c r="AK575" s="8">
        <v>0</v>
      </c>
      <c r="AL575" s="9">
        <v>0</v>
      </c>
      <c r="AM575" s="326">
        <f t="shared" si="281"/>
        <v>0</v>
      </c>
      <c r="AN575" s="970">
        <f t="shared" si="281"/>
        <v>0</v>
      </c>
      <c r="AO575" s="27">
        <f>+S575+Z575+AG575</f>
        <v>0</v>
      </c>
      <c r="AP575" s="30">
        <v>0</v>
      </c>
      <c r="AQ575" s="43"/>
      <c r="AR575" s="358">
        <f t="shared" si="264"/>
        <v>0</v>
      </c>
      <c r="AS575" s="359">
        <f t="shared" si="265"/>
        <v>0</v>
      </c>
      <c r="AT575" s="360">
        <f t="shared" si="266"/>
        <v>0</v>
      </c>
      <c r="AU575" s="43"/>
      <c r="AV575" s="2120">
        <f>+IF(OR(ROUND(P575,2)+ROUND(R575,2)&gt;+ROUND(O575,2)+ROUND(Q575,2),+ABS(ROUND(P575,2)+ROUND(R575,2))&gt;+ABS(ROUND(O575,2)+ROUND(Q575,2))),+(ROUND(P575,2)+ROUND(R575,2))-(ROUND(O575,2)+ROUND(Q575,2)),0)</f>
        <v>0</v>
      </c>
      <c r="AW575" s="119"/>
      <c r="AX575" s="2120">
        <f>+IF(OR(ROUND(AD575,2)+ROUND(AF575,2)&gt;+ROUND(AC575,2)+ROUND(AE575,2),+ABS(ROUND(AD575,2)+ROUND(AF575,2))&gt;+ABS(ROUND(AC575,2)+ROUND(AE575,2))),+(ROUND(AD575,2)+ROUND(AF575,2))-(ROUND(AC575,2)+ROUND(AE575,2)),0)</f>
        <v>0</v>
      </c>
      <c r="AY575" s="43"/>
      <c r="AZ575" s="43"/>
      <c r="BA575" s="43"/>
      <c r="BB575" s="43"/>
      <c r="BC575" s="43"/>
      <c r="BD575" s="43"/>
    </row>
    <row r="576" spans="1:56" ht="15.75">
      <c r="A576" s="88">
        <v>6721</v>
      </c>
      <c r="B576" s="1033" t="s">
        <v>10</v>
      </c>
      <c r="C576" s="1033"/>
      <c r="D576" s="1033"/>
      <c r="E576" s="1033"/>
      <c r="F576" s="1033"/>
      <c r="G576" s="1033"/>
      <c r="H576" s="1033"/>
      <c r="I576" s="1033"/>
      <c r="J576" s="1033"/>
      <c r="K576" s="1033"/>
      <c r="L576" s="90"/>
      <c r="M576" s="51" t="s">
        <v>265</v>
      </c>
      <c r="N576" s="113">
        <f t="shared" si="263"/>
        <v>6721</v>
      </c>
      <c r="O576" s="8">
        <v>0</v>
      </c>
      <c r="P576" s="9">
        <v>0</v>
      </c>
      <c r="Q576" s="325"/>
      <c r="R576" s="324"/>
      <c r="S576" s="29">
        <v>0</v>
      </c>
      <c r="T576" s="28">
        <f>+IF(ABS(+O576+Q576)&lt;=ABS(P576+R576),-O576+P576-Q576+R576,0)</f>
        <v>0</v>
      </c>
      <c r="U576" s="51"/>
      <c r="V576" s="541">
        <f>+'NF-KSF-TRIAL-BAL-2020'!O576+'RA-TRIAL-BAL-2020'!O576+'DES-TRIAL-BAL-2020'!O576+'DMP-TRIAL-BAL-2020'!O576</f>
        <v>0</v>
      </c>
      <c r="W576" s="529">
        <f>+'NF-KSF-TRIAL-BAL-2020'!P576+'RA-TRIAL-BAL-2020'!P576+'DES-TRIAL-BAL-2020'!P576+'DMP-TRIAL-BAL-2020'!P576</f>
        <v>0</v>
      </c>
      <c r="X576" s="528">
        <f>+'NF-KSF-TRIAL-BAL-2020'!Q576+'RA-TRIAL-BAL-2020'!Q576+'DES-TRIAL-BAL-2020'!Q576+'DMP-TRIAL-BAL-2020'!Q576</f>
        <v>0</v>
      </c>
      <c r="Y576" s="529">
        <f>+'NF-KSF-TRIAL-BAL-2020'!R576+'RA-TRIAL-BAL-2020'!R576+'DES-TRIAL-BAL-2020'!R576+'DMP-TRIAL-BAL-2020'!R576</f>
        <v>0</v>
      </c>
      <c r="Z576" s="528">
        <f>+'NF-KSF-TRIAL-BAL-2020'!S576+'RA-TRIAL-BAL-2020'!S576+'DES-TRIAL-BAL-2020'!S576+'DMP-TRIAL-BAL-2020'!S576</f>
        <v>0</v>
      </c>
      <c r="AA576" s="347">
        <f>+'NF-KSF-TRIAL-BAL-2020'!T576+'RA-TRIAL-BAL-2020'!T576+'DES-TRIAL-BAL-2020'!T576+'DMP-TRIAL-BAL-2020'!T576</f>
        <v>0</v>
      </c>
      <c r="AB576" s="51"/>
      <c r="AC576" s="8">
        <v>0</v>
      </c>
      <c r="AD576" s="9">
        <v>0</v>
      </c>
      <c r="AE576" s="122"/>
      <c r="AF576" s="324"/>
      <c r="AG576" s="29">
        <v>0</v>
      </c>
      <c r="AH576" s="28">
        <f>+IF(ABS(+AC576+AE576)&lt;=ABS(AD576+AF576),-AC576+AD576-AE576+AF576,0)</f>
        <v>0</v>
      </c>
      <c r="AI576" s="51"/>
      <c r="AJ576" s="1497">
        <f t="shared" si="280"/>
        <v>6721</v>
      </c>
      <c r="AK576" s="8">
        <v>0</v>
      </c>
      <c r="AL576" s="9">
        <v>0</v>
      </c>
      <c r="AM576" s="326">
        <f t="shared" si="281"/>
        <v>0</v>
      </c>
      <c r="AN576" s="970">
        <f t="shared" si="281"/>
        <v>0</v>
      </c>
      <c r="AO576" s="29">
        <v>0</v>
      </c>
      <c r="AP576" s="347">
        <f>+T576+AA576+AH576</f>
        <v>0</v>
      </c>
      <c r="AQ576" s="43"/>
      <c r="AR576" s="358">
        <f t="shared" si="264"/>
        <v>0</v>
      </c>
      <c r="AS576" s="359">
        <f t="shared" si="265"/>
        <v>0</v>
      </c>
      <c r="AT576" s="360">
        <f t="shared" si="266"/>
        <v>0</v>
      </c>
      <c r="AU576" s="43"/>
      <c r="AV576" s="2119">
        <f>+IF(OR(+ROUND(O576,2)+ROUND(Q576,2)&gt;ROUND(P576,2)+ROUND(R576,2),+ABS(ROUND(O576,2)+ROUND(Q576,2))&gt;+ABS(ROUND(P576,2)+ROUND(R576,2))),+(ROUND(O576,2)+ROUND(Q576,2))-(ROUND(P576,2)+ROUND(R576,2)),0)</f>
        <v>0</v>
      </c>
      <c r="AW576" s="119"/>
      <c r="AX576" s="2119">
        <f>+IF(OR(+ROUND(AC576,2)+ROUND(AE576,2)&gt;ROUND(AD576,2)+ROUND(AF576,2),+ABS(ROUND(AC576,2)+ROUND(AE576,2))&gt;+ABS(ROUND(AD576,2)+ROUND(AF576,2))),+(ROUND(AC576,2)+ROUND(AE576,2))-(ROUND(AD576,2)+ROUND(AF576,2)),0)</f>
        <v>0</v>
      </c>
      <c r="AY576" s="43"/>
      <c r="AZ576" s="43"/>
      <c r="BA576" s="43"/>
      <c r="BB576" s="43"/>
      <c r="BC576" s="43"/>
      <c r="BD576" s="43"/>
    </row>
    <row r="577" spans="1:56" ht="15.75">
      <c r="A577" s="88">
        <v>6723</v>
      </c>
      <c r="B577" s="1033" t="s">
        <v>11</v>
      </c>
      <c r="C577" s="1033"/>
      <c r="D577" s="1033"/>
      <c r="E577" s="1033"/>
      <c r="F577" s="1033"/>
      <c r="G577" s="1033"/>
      <c r="H577" s="1033"/>
      <c r="I577" s="1033"/>
      <c r="J577" s="1033"/>
      <c r="K577" s="1033"/>
      <c r="L577" s="90"/>
      <c r="M577" s="51" t="s">
        <v>265</v>
      </c>
      <c r="N577" s="113">
        <f t="shared" si="263"/>
        <v>6723</v>
      </c>
      <c r="O577" s="8">
        <v>0</v>
      </c>
      <c r="P577" s="9">
        <v>0</v>
      </c>
      <c r="Q577" s="325"/>
      <c r="R577" s="324"/>
      <c r="S577" s="29">
        <v>0</v>
      </c>
      <c r="T577" s="28">
        <f>+IF(ABS(+O577+Q577)&lt;=ABS(P577+R577),-O577+P577-Q577+R577,0)</f>
        <v>0</v>
      </c>
      <c r="U577" s="51"/>
      <c r="V577" s="541">
        <f>+'NF-KSF-TRIAL-BAL-2020'!O577+'RA-TRIAL-BAL-2020'!O577+'DES-TRIAL-BAL-2020'!O577+'DMP-TRIAL-BAL-2020'!O577</f>
        <v>0</v>
      </c>
      <c r="W577" s="529">
        <f>+'NF-KSF-TRIAL-BAL-2020'!P577+'RA-TRIAL-BAL-2020'!P577+'DES-TRIAL-BAL-2020'!P577+'DMP-TRIAL-BAL-2020'!P577</f>
        <v>0</v>
      </c>
      <c r="X577" s="528">
        <f>+'NF-KSF-TRIAL-BAL-2020'!Q577+'RA-TRIAL-BAL-2020'!Q577+'DES-TRIAL-BAL-2020'!Q577+'DMP-TRIAL-BAL-2020'!Q577</f>
        <v>0</v>
      </c>
      <c r="Y577" s="529">
        <f>+'NF-KSF-TRIAL-BAL-2020'!R577+'RA-TRIAL-BAL-2020'!R577+'DES-TRIAL-BAL-2020'!R577+'DMP-TRIAL-BAL-2020'!R577</f>
        <v>0</v>
      </c>
      <c r="Z577" s="528">
        <f>+'NF-KSF-TRIAL-BAL-2020'!S577+'RA-TRIAL-BAL-2020'!S577+'DES-TRIAL-BAL-2020'!S577+'DMP-TRIAL-BAL-2020'!S577</f>
        <v>0</v>
      </c>
      <c r="AA577" s="347">
        <f>+'NF-KSF-TRIAL-BAL-2020'!T577+'RA-TRIAL-BAL-2020'!T577+'DES-TRIAL-BAL-2020'!T577+'DMP-TRIAL-BAL-2020'!T577</f>
        <v>0</v>
      </c>
      <c r="AB577" s="51"/>
      <c r="AC577" s="8">
        <v>0</v>
      </c>
      <c r="AD577" s="9">
        <v>0</v>
      </c>
      <c r="AE577" s="122"/>
      <c r="AF577" s="324"/>
      <c r="AG577" s="29">
        <v>0</v>
      </c>
      <c r="AH577" s="28">
        <f>+IF(ABS(+AC577+AE577)&lt;=ABS(AD577+AF577),-AC577+AD577-AE577+AF577,0)</f>
        <v>0</v>
      </c>
      <c r="AI577" s="51"/>
      <c r="AJ577" s="1497">
        <f t="shared" si="280"/>
        <v>6723</v>
      </c>
      <c r="AK577" s="8">
        <v>0</v>
      </c>
      <c r="AL577" s="9">
        <v>0</v>
      </c>
      <c r="AM577" s="326">
        <f t="shared" si="281"/>
        <v>0</v>
      </c>
      <c r="AN577" s="970">
        <f t="shared" si="281"/>
        <v>0</v>
      </c>
      <c r="AO577" s="29">
        <v>0</v>
      </c>
      <c r="AP577" s="347">
        <f>+T577+AA577+AH577</f>
        <v>0</v>
      </c>
      <c r="AQ577" s="43"/>
      <c r="AR577" s="358">
        <f t="shared" si="264"/>
        <v>0</v>
      </c>
      <c r="AS577" s="359">
        <f t="shared" si="265"/>
        <v>0</v>
      </c>
      <c r="AT577" s="360">
        <f t="shared" si="266"/>
        <v>0</v>
      </c>
      <c r="AU577" s="43"/>
      <c r="AV577" s="2119">
        <f>+IF(OR(+ROUND(O577,2)+ROUND(Q577,2)&gt;ROUND(P577,2)+ROUND(R577,2),+ABS(ROUND(O577,2)+ROUND(Q577,2))&gt;+ABS(ROUND(P577,2)+ROUND(R577,2))),+(ROUND(O577,2)+ROUND(Q577,2))-(ROUND(P577,2)+ROUND(R577,2)),0)</f>
        <v>0</v>
      </c>
      <c r="AW577" s="119"/>
      <c r="AX577" s="2119">
        <f>+IF(OR(+ROUND(AC577,2)+ROUND(AE577,2)&gt;ROUND(AD577,2)+ROUND(AF577,2),+ABS(ROUND(AC577,2)+ROUND(AE577,2))&gt;+ABS(ROUND(AD577,2)+ROUND(AF577,2))),+(ROUND(AC577,2)+ROUND(AE577,2))-(ROUND(AD577,2)+ROUND(AF577,2)),0)</f>
        <v>0</v>
      </c>
      <c r="AY577" s="43"/>
      <c r="AZ577" s="43"/>
      <c r="BA577" s="43"/>
      <c r="BB577" s="43"/>
      <c r="BC577" s="43"/>
      <c r="BD577" s="43"/>
    </row>
    <row r="578" spans="1:56" ht="15.75">
      <c r="A578" s="88">
        <v>6727</v>
      </c>
      <c r="B578" s="1033" t="s">
        <v>12</v>
      </c>
      <c r="C578" s="1033"/>
      <c r="D578" s="1033"/>
      <c r="E578" s="1033"/>
      <c r="F578" s="1033"/>
      <c r="G578" s="1033"/>
      <c r="H578" s="1033"/>
      <c r="I578" s="1033"/>
      <c r="J578" s="1033"/>
      <c r="K578" s="1033"/>
      <c r="L578" s="90"/>
      <c r="M578" s="51" t="s">
        <v>265</v>
      </c>
      <c r="N578" s="113">
        <f t="shared" si="263"/>
        <v>6727</v>
      </c>
      <c r="O578" s="8">
        <v>0</v>
      </c>
      <c r="P578" s="9">
        <v>0</v>
      </c>
      <c r="Q578" s="325">
        <v>0</v>
      </c>
      <c r="R578" s="324">
        <v>0</v>
      </c>
      <c r="S578" s="29">
        <v>0</v>
      </c>
      <c r="T578" s="28">
        <f>+IF(ABS(+O578+Q578)&lt;=ABS(P578+R578),-O578+P578-Q578+R578,0)</f>
        <v>0</v>
      </c>
      <c r="U578" s="51"/>
      <c r="V578" s="541">
        <f>+'NF-KSF-TRIAL-BAL-2020'!O578+'RA-TRIAL-BAL-2020'!O578+'DES-TRIAL-BAL-2020'!O578+'DMP-TRIAL-BAL-2020'!O578</f>
        <v>0</v>
      </c>
      <c r="W578" s="529">
        <f>+'NF-KSF-TRIAL-BAL-2020'!P578+'RA-TRIAL-BAL-2020'!P578+'DES-TRIAL-BAL-2020'!P578+'DMP-TRIAL-BAL-2020'!P578</f>
        <v>0</v>
      </c>
      <c r="X578" s="528">
        <f>+'NF-KSF-TRIAL-BAL-2020'!Q578+'RA-TRIAL-BAL-2020'!Q578+'DES-TRIAL-BAL-2020'!Q578+'DMP-TRIAL-BAL-2020'!Q578</f>
        <v>0</v>
      </c>
      <c r="Y578" s="529">
        <f>+'NF-KSF-TRIAL-BAL-2020'!R578+'RA-TRIAL-BAL-2020'!R578+'DES-TRIAL-BAL-2020'!R578+'DMP-TRIAL-BAL-2020'!R578</f>
        <v>0</v>
      </c>
      <c r="Z578" s="528">
        <f>+'NF-KSF-TRIAL-BAL-2020'!S578+'RA-TRIAL-BAL-2020'!S578+'DES-TRIAL-BAL-2020'!S578+'DMP-TRIAL-BAL-2020'!S578</f>
        <v>0</v>
      </c>
      <c r="AA578" s="347">
        <f>+'NF-KSF-TRIAL-BAL-2020'!T578+'RA-TRIAL-BAL-2020'!T578+'DES-TRIAL-BAL-2020'!T578+'DMP-TRIAL-BAL-2020'!T578</f>
        <v>0</v>
      </c>
      <c r="AB578" s="51"/>
      <c r="AC578" s="8">
        <v>0</v>
      </c>
      <c r="AD578" s="9">
        <v>0</v>
      </c>
      <c r="AE578" s="122">
        <v>0</v>
      </c>
      <c r="AF578" s="324">
        <v>0</v>
      </c>
      <c r="AG578" s="29">
        <v>0</v>
      </c>
      <c r="AH578" s="28">
        <f>+IF(ABS(+AC578+AE578)&lt;=ABS(AD578+AF578),-AC578+AD578-AE578+AF578,0)</f>
        <v>0</v>
      </c>
      <c r="AI578" s="51"/>
      <c r="AJ578" s="1497">
        <f t="shared" si="280"/>
        <v>6727</v>
      </c>
      <c r="AK578" s="8">
        <v>0</v>
      </c>
      <c r="AL578" s="9">
        <v>0</v>
      </c>
      <c r="AM578" s="326">
        <f t="shared" si="281"/>
        <v>0</v>
      </c>
      <c r="AN578" s="970">
        <f t="shared" si="281"/>
        <v>0</v>
      </c>
      <c r="AO578" s="29">
        <v>0</v>
      </c>
      <c r="AP578" s="347">
        <f>+T578+AA578+AH578</f>
        <v>0</v>
      </c>
      <c r="AQ578" s="43"/>
      <c r="AR578" s="358">
        <f t="shared" si="264"/>
        <v>0</v>
      </c>
      <c r="AS578" s="359">
        <f t="shared" si="265"/>
        <v>0</v>
      </c>
      <c r="AT578" s="360">
        <f t="shared" si="266"/>
        <v>0</v>
      </c>
      <c r="AU578" s="43"/>
      <c r="AV578" s="2119">
        <f>+IF(OR(+ROUND(O578,2)+ROUND(Q578,2)&gt;ROUND(P578,2)+ROUND(R578,2),+ABS(ROUND(O578,2)+ROUND(Q578,2))&gt;+ABS(ROUND(P578,2)+ROUND(R578,2))),+(ROUND(O578,2)+ROUND(Q578,2))-(ROUND(P578,2)+ROUND(R578,2)),0)</f>
        <v>0</v>
      </c>
      <c r="AW578" s="119"/>
      <c r="AX578" s="2119">
        <f>+IF(OR(+ROUND(AC578,2)+ROUND(AE578,2)&gt;ROUND(AD578,2)+ROUND(AF578,2),+ABS(ROUND(AC578,2)+ROUND(AE578,2))&gt;+ABS(ROUND(AD578,2)+ROUND(AF578,2))),+(ROUND(AC578,2)+ROUND(AE578,2))-(ROUND(AD578,2)+ROUND(AF578,2)),0)</f>
        <v>0</v>
      </c>
      <c r="AY578" s="43"/>
      <c r="AZ578" s="43"/>
      <c r="BA578" s="43"/>
      <c r="BB578" s="43"/>
      <c r="BC578" s="43"/>
      <c r="BD578" s="43"/>
    </row>
    <row r="579" spans="1:56" ht="15.75">
      <c r="A579" s="88">
        <v>6791</v>
      </c>
      <c r="B579" s="378" t="s">
        <v>13</v>
      </c>
      <c r="C579" s="1033"/>
      <c r="D579" s="1033"/>
      <c r="E579" s="1033"/>
      <c r="F579" s="1033"/>
      <c r="G579" s="1033"/>
      <c r="H579" s="1033"/>
      <c r="I579" s="1033"/>
      <c r="J579" s="1033"/>
      <c r="K579" s="1033"/>
      <c r="L579" s="90"/>
      <c r="M579" s="51" t="s">
        <v>265</v>
      </c>
      <c r="N579" s="113">
        <f t="shared" si="263"/>
        <v>6791</v>
      </c>
      <c r="O579" s="8">
        <v>0</v>
      </c>
      <c r="P579" s="9">
        <v>0</v>
      </c>
      <c r="Q579" s="325"/>
      <c r="R579" s="324"/>
      <c r="S579" s="27">
        <f>+IF(ABS(+O579+Q579)&gt;=ABS(P579+R579),+O579-P579+Q579-R579,0)</f>
        <v>0</v>
      </c>
      <c r="T579" s="30">
        <v>0</v>
      </c>
      <c r="U579" s="51"/>
      <c r="V579" s="541">
        <f>+'NF-KSF-TRIAL-BAL-2020'!O579+'RA-TRIAL-BAL-2020'!O579+'DES-TRIAL-BAL-2020'!O579+'DMP-TRIAL-BAL-2020'!O579</f>
        <v>0</v>
      </c>
      <c r="W579" s="529">
        <f>+'NF-KSF-TRIAL-BAL-2020'!P579+'RA-TRIAL-BAL-2020'!P579+'DES-TRIAL-BAL-2020'!P579+'DMP-TRIAL-BAL-2020'!P579</f>
        <v>0</v>
      </c>
      <c r="X579" s="528">
        <f>+'NF-KSF-TRIAL-BAL-2020'!Q579+'RA-TRIAL-BAL-2020'!Q579+'DES-TRIAL-BAL-2020'!Q579+'DMP-TRIAL-BAL-2020'!Q579</f>
        <v>0</v>
      </c>
      <c r="Y579" s="529">
        <f>+'NF-KSF-TRIAL-BAL-2020'!R579+'RA-TRIAL-BAL-2020'!R579+'DES-TRIAL-BAL-2020'!R579+'DMP-TRIAL-BAL-2020'!R579</f>
        <v>0</v>
      </c>
      <c r="Z579" s="528">
        <f>+'NF-KSF-TRIAL-BAL-2020'!S579+'RA-TRIAL-BAL-2020'!S579+'DES-TRIAL-BAL-2020'!S579+'DMP-TRIAL-BAL-2020'!S579</f>
        <v>0</v>
      </c>
      <c r="AA579" s="347">
        <f>+'NF-KSF-TRIAL-BAL-2020'!T579+'RA-TRIAL-BAL-2020'!T579+'DES-TRIAL-BAL-2020'!T579+'DMP-TRIAL-BAL-2020'!T579</f>
        <v>0</v>
      </c>
      <c r="AB579" s="51"/>
      <c r="AC579" s="8">
        <v>0</v>
      </c>
      <c r="AD579" s="9">
        <v>0</v>
      </c>
      <c r="AE579" s="122"/>
      <c r="AF579" s="324"/>
      <c r="AG579" s="27">
        <f>+IF(ABS(+AC579+AE579)&gt;=ABS(AD579+AF579),+AC579-AD579+AE579-AF579,0)</f>
        <v>0</v>
      </c>
      <c r="AH579" s="30">
        <v>0</v>
      </c>
      <c r="AI579" s="51"/>
      <c r="AJ579" s="1497">
        <f t="shared" si="280"/>
        <v>6791</v>
      </c>
      <c r="AK579" s="8">
        <v>0</v>
      </c>
      <c r="AL579" s="9">
        <v>0</v>
      </c>
      <c r="AM579" s="326">
        <f t="shared" si="281"/>
        <v>0</v>
      </c>
      <c r="AN579" s="970">
        <f t="shared" si="281"/>
        <v>0</v>
      </c>
      <c r="AO579" s="27">
        <f>+S579+Z579+AG579</f>
        <v>0</v>
      </c>
      <c r="AP579" s="30">
        <v>0</v>
      </c>
      <c r="AQ579" s="43"/>
      <c r="AR579" s="358">
        <f t="shared" si="264"/>
        <v>0</v>
      </c>
      <c r="AS579" s="359">
        <f t="shared" si="265"/>
        <v>0</v>
      </c>
      <c r="AT579" s="360">
        <f t="shared" si="266"/>
        <v>0</v>
      </c>
      <c r="AU579" s="43"/>
      <c r="AV579" s="2120">
        <f>+IF(OR(ROUND(P579,2)+ROUND(R579,2)&gt;+ROUND(O579,2)+ROUND(Q579,2),+ABS(ROUND(P579,2)+ROUND(R579,2))&gt;+ABS(ROUND(O579,2)+ROUND(Q579,2))),+(ROUND(P579,2)+ROUND(R579,2))-(ROUND(O579,2)+ROUND(Q579,2)),0)</f>
        <v>0</v>
      </c>
      <c r="AW579" s="119"/>
      <c r="AX579" s="2120">
        <f>+IF(OR(ROUND(AD579,2)+ROUND(AF579,2)&gt;+ROUND(AC579,2)+ROUND(AE579,2),+ABS(ROUND(AD579,2)+ROUND(AF579,2))&gt;+ABS(ROUND(AC579,2)+ROUND(AE579,2))),+(ROUND(AD579,2)+ROUND(AF579,2))-(ROUND(AC579,2)+ROUND(AE579,2)),0)</f>
        <v>0</v>
      </c>
      <c r="AY579" s="43"/>
      <c r="AZ579" s="43"/>
      <c r="BA579" s="43"/>
      <c r="BB579" s="43"/>
      <c r="BC579" s="43"/>
      <c r="BD579" s="43"/>
    </row>
    <row r="580" spans="1:56" ht="15.75">
      <c r="A580" s="88">
        <v>6799</v>
      </c>
      <c r="B580" s="378" t="s">
        <v>14</v>
      </c>
      <c r="C580" s="1033"/>
      <c r="D580" s="1033"/>
      <c r="E580" s="1033"/>
      <c r="F580" s="1033"/>
      <c r="G580" s="1033"/>
      <c r="H580" s="1033"/>
      <c r="I580" s="1033"/>
      <c r="J580" s="1033"/>
      <c r="K580" s="1033"/>
      <c r="L580" s="90"/>
      <c r="M580" s="51" t="s">
        <v>265</v>
      </c>
      <c r="N580" s="113">
        <f t="shared" si="263"/>
        <v>6799</v>
      </c>
      <c r="O580" s="8">
        <v>0</v>
      </c>
      <c r="P580" s="9">
        <v>0</v>
      </c>
      <c r="Q580" s="325"/>
      <c r="R580" s="324"/>
      <c r="S580" s="29">
        <v>0</v>
      </c>
      <c r="T580" s="28">
        <f t="shared" ref="T580:T587" si="282">+IF(ABS(+O580+Q580)&lt;=ABS(P580+R580),-O580+P580-Q580+R580,0)</f>
        <v>0</v>
      </c>
      <c r="U580" s="51"/>
      <c r="V580" s="541">
        <f>+'NF-KSF-TRIAL-BAL-2020'!O580+'RA-TRIAL-BAL-2020'!O580+'DES-TRIAL-BAL-2020'!O580+'DMP-TRIAL-BAL-2020'!O580</f>
        <v>0</v>
      </c>
      <c r="W580" s="529">
        <f>+'NF-KSF-TRIAL-BAL-2020'!P580+'RA-TRIAL-BAL-2020'!P580+'DES-TRIAL-BAL-2020'!P580+'DMP-TRIAL-BAL-2020'!P580</f>
        <v>0</v>
      </c>
      <c r="X580" s="528">
        <f>+'NF-KSF-TRIAL-BAL-2020'!Q580+'RA-TRIAL-BAL-2020'!Q580+'DES-TRIAL-BAL-2020'!Q580+'DMP-TRIAL-BAL-2020'!Q580</f>
        <v>0</v>
      </c>
      <c r="Y580" s="529">
        <f>+'NF-KSF-TRIAL-BAL-2020'!R580+'RA-TRIAL-BAL-2020'!R580+'DES-TRIAL-BAL-2020'!R580+'DMP-TRIAL-BAL-2020'!R580</f>
        <v>0</v>
      </c>
      <c r="Z580" s="528">
        <f>+'NF-KSF-TRIAL-BAL-2020'!S580+'RA-TRIAL-BAL-2020'!S580+'DES-TRIAL-BAL-2020'!S580+'DMP-TRIAL-BAL-2020'!S580</f>
        <v>0</v>
      </c>
      <c r="AA580" s="347">
        <f>+'NF-KSF-TRIAL-BAL-2020'!T580+'RA-TRIAL-BAL-2020'!T580+'DES-TRIAL-BAL-2020'!T580+'DMP-TRIAL-BAL-2020'!T580</f>
        <v>0</v>
      </c>
      <c r="AB580" s="51"/>
      <c r="AC580" s="8">
        <v>0</v>
      </c>
      <c r="AD580" s="9">
        <v>0</v>
      </c>
      <c r="AE580" s="122"/>
      <c r="AF580" s="324"/>
      <c r="AG580" s="29">
        <v>0</v>
      </c>
      <c r="AH580" s="28">
        <f t="shared" ref="AH580:AH587" si="283">+IF(ABS(+AC580+AE580)&lt;=ABS(AD580+AF580),-AC580+AD580-AE580+AF580,0)</f>
        <v>0</v>
      </c>
      <c r="AI580" s="51"/>
      <c r="AJ580" s="1497">
        <f t="shared" si="280"/>
        <v>6799</v>
      </c>
      <c r="AK580" s="8">
        <v>0</v>
      </c>
      <c r="AL580" s="9">
        <v>0</v>
      </c>
      <c r="AM580" s="326">
        <f t="shared" si="281"/>
        <v>0</v>
      </c>
      <c r="AN580" s="970">
        <f t="shared" si="281"/>
        <v>0</v>
      </c>
      <c r="AO580" s="29">
        <v>0</v>
      </c>
      <c r="AP580" s="347">
        <f t="shared" ref="AP580:AP600" si="284">+T580+AA580+AH580</f>
        <v>0</v>
      </c>
      <c r="AQ580" s="43"/>
      <c r="AR580" s="358">
        <f t="shared" si="264"/>
        <v>0</v>
      </c>
      <c r="AS580" s="359">
        <f t="shared" si="265"/>
        <v>0</v>
      </c>
      <c r="AT580" s="360">
        <f t="shared" si="266"/>
        <v>0</v>
      </c>
      <c r="AU580" s="43"/>
      <c r="AV580" s="2119">
        <f>+IF(OR(+ROUND(O580,2)+ROUND(Q580,2)&gt;ROUND(P580,2)+ROUND(R580,2),+ABS(ROUND(O580,2)+ROUND(Q580,2))&gt;+ABS(ROUND(P580,2)+ROUND(R580,2))),+(ROUND(O580,2)+ROUND(Q580,2))-(ROUND(P580,2)+ROUND(R580,2)),0)</f>
        <v>0</v>
      </c>
      <c r="AW580" s="119"/>
      <c r="AX580" s="2119">
        <f>+IF(OR(+ROUND(AC580,2)+ROUND(AE580,2)&gt;ROUND(AD580,2)+ROUND(AF580,2),+ABS(ROUND(AC580,2)+ROUND(AE580,2))&gt;+ABS(ROUND(AD580,2)+ROUND(AF580,2))),+(ROUND(AC580,2)+ROUND(AE580,2))-(ROUND(AD580,2)+ROUND(AF580,2)),0)</f>
        <v>0</v>
      </c>
      <c r="AY580" s="43"/>
      <c r="AZ580" s="43"/>
      <c r="BA580" s="43"/>
      <c r="BB580" s="43"/>
      <c r="BC580" s="43"/>
      <c r="BD580" s="43"/>
    </row>
    <row r="581" spans="1:56" ht="15.75">
      <c r="A581" s="88">
        <v>6901</v>
      </c>
      <c r="B581" s="378" t="s">
        <v>15</v>
      </c>
      <c r="C581" s="1033"/>
      <c r="D581" s="1033"/>
      <c r="E581" s="1033"/>
      <c r="F581" s="1033"/>
      <c r="G581" s="1033"/>
      <c r="H581" s="1033"/>
      <c r="I581" s="1033"/>
      <c r="J581" s="1033"/>
      <c r="K581" s="1033"/>
      <c r="L581" s="90"/>
      <c r="M581" s="51" t="s">
        <v>265</v>
      </c>
      <c r="N581" s="113">
        <f t="shared" ref="N581:N587" si="285">+A581</f>
        <v>6901</v>
      </c>
      <c r="O581" s="8">
        <v>0</v>
      </c>
      <c r="P581" s="9">
        <v>0</v>
      </c>
      <c r="Q581" s="325"/>
      <c r="R581" s="324"/>
      <c r="S581" s="27">
        <f t="shared" ref="S581:S587" si="286">+IF(ABS(+O581+Q581)&gt;=ABS(P581+R581),+O581-P581+Q581-R581,0)</f>
        <v>0</v>
      </c>
      <c r="T581" s="28">
        <f t="shared" si="282"/>
        <v>0</v>
      </c>
      <c r="U581" s="51"/>
      <c r="V581" s="541">
        <f>+'NF-KSF-TRIAL-BAL-2020'!O581+'RA-TRIAL-BAL-2020'!O581+'DES-TRIAL-BAL-2020'!O581+'DMP-TRIAL-BAL-2020'!O581</f>
        <v>0</v>
      </c>
      <c r="W581" s="529">
        <f>+'NF-KSF-TRIAL-BAL-2020'!P581+'RA-TRIAL-BAL-2020'!P581+'DES-TRIAL-BAL-2020'!P581+'DMP-TRIAL-BAL-2020'!P581</f>
        <v>0</v>
      </c>
      <c r="X581" s="528">
        <f>+'NF-KSF-TRIAL-BAL-2020'!Q581+'RA-TRIAL-BAL-2020'!Q581+'DES-TRIAL-BAL-2020'!Q581+'DMP-TRIAL-BAL-2020'!Q581</f>
        <v>0</v>
      </c>
      <c r="Y581" s="529">
        <f>+'NF-KSF-TRIAL-BAL-2020'!R581+'RA-TRIAL-BAL-2020'!R581+'DES-TRIAL-BAL-2020'!R581+'DMP-TRIAL-BAL-2020'!R581</f>
        <v>0</v>
      </c>
      <c r="Z581" s="528">
        <f>+'NF-KSF-TRIAL-BAL-2020'!S581+'RA-TRIAL-BAL-2020'!S581+'DES-TRIAL-BAL-2020'!S581+'DMP-TRIAL-BAL-2020'!S581</f>
        <v>0</v>
      </c>
      <c r="AA581" s="347">
        <f>+'NF-KSF-TRIAL-BAL-2020'!T581+'RA-TRIAL-BAL-2020'!T581+'DES-TRIAL-BAL-2020'!T581+'DMP-TRIAL-BAL-2020'!T581</f>
        <v>0</v>
      </c>
      <c r="AB581" s="51"/>
      <c r="AC581" s="8">
        <v>0</v>
      </c>
      <c r="AD581" s="9">
        <v>0</v>
      </c>
      <c r="AE581" s="122"/>
      <c r="AF581" s="121"/>
      <c r="AG581" s="27">
        <f t="shared" ref="AG581:AG587" si="287">+IF(ABS(+AC581+AE581)&gt;=ABS(AD581+AF581),+AC581-AD581+AE581-AF581,0)</f>
        <v>0</v>
      </c>
      <c r="AH581" s="28">
        <f t="shared" si="283"/>
        <v>0</v>
      </c>
      <c r="AI581" s="51"/>
      <c r="AJ581" s="1497">
        <f t="shared" ref="AJ581:AJ587" si="288">+N581</f>
        <v>6901</v>
      </c>
      <c r="AK581" s="8">
        <v>0</v>
      </c>
      <c r="AL581" s="9">
        <v>0</v>
      </c>
      <c r="AM581" s="326">
        <f t="shared" si="281"/>
        <v>0</v>
      </c>
      <c r="AN581" s="970">
        <f t="shared" si="281"/>
        <v>0</v>
      </c>
      <c r="AO581" s="27">
        <f t="shared" ref="AO581:AO600" si="289">+S581+Z581+AG581</f>
        <v>0</v>
      </c>
      <c r="AP581" s="28">
        <f t="shared" si="284"/>
        <v>0</v>
      </c>
      <c r="AQ581" s="43"/>
      <c r="AR581" s="358">
        <f t="shared" ref="AR581:AR587" si="290">+ROUND(+SUM(AK581-AL581)-SUM(O581-P581)-SUM(V581-W581)-SUM(AC581-AD581),2)</f>
        <v>0</v>
      </c>
      <c r="AS581" s="359">
        <f t="shared" ref="AS581:AS587" si="291">+ROUND(+SUM(AM581-AN581)-SUM(Q581-R581)-SUM(X581-Y581)-SUM(AE581-AF581),2)</f>
        <v>0</v>
      </c>
      <c r="AT581" s="360">
        <f t="shared" ref="AT581:AT587" si="292">+ROUND(+SUM(AO581-AP581)-SUM(S581-T581)-SUM(Z581-AA581)-SUM(AG581-AH581),2)</f>
        <v>0</v>
      </c>
      <c r="AU581" s="43"/>
      <c r="AV581" s="43"/>
      <c r="AW581" s="119"/>
      <c r="AX581" s="119"/>
      <c r="AY581" s="43"/>
      <c r="AZ581" s="43"/>
      <c r="BA581" s="43"/>
      <c r="BB581" s="43"/>
      <c r="BC581" s="43"/>
      <c r="BD581" s="43"/>
    </row>
    <row r="582" spans="1:56" ht="15.75">
      <c r="A582" s="88">
        <v>6902</v>
      </c>
      <c r="B582" s="378" t="s">
        <v>16</v>
      </c>
      <c r="C582" s="1033"/>
      <c r="D582" s="1033"/>
      <c r="E582" s="1033"/>
      <c r="F582" s="1033"/>
      <c r="G582" s="1033"/>
      <c r="H582" s="1033"/>
      <c r="I582" s="1033"/>
      <c r="J582" s="1033"/>
      <c r="K582" s="1033"/>
      <c r="L582" s="90"/>
      <c r="M582" s="51" t="s">
        <v>265</v>
      </c>
      <c r="N582" s="113">
        <f t="shared" si="285"/>
        <v>6902</v>
      </c>
      <c r="O582" s="8">
        <v>0</v>
      </c>
      <c r="P582" s="9">
        <v>0</v>
      </c>
      <c r="Q582" s="325"/>
      <c r="R582" s="324"/>
      <c r="S582" s="27">
        <f t="shared" si="286"/>
        <v>0</v>
      </c>
      <c r="T582" s="28">
        <f t="shared" si="282"/>
        <v>0</v>
      </c>
      <c r="U582" s="51"/>
      <c r="V582" s="541">
        <f>+'NF-KSF-TRIAL-BAL-2020'!O582+'RA-TRIAL-BAL-2020'!O582+'DES-TRIAL-BAL-2020'!O582+'DMP-TRIAL-BAL-2020'!O582</f>
        <v>0</v>
      </c>
      <c r="W582" s="529">
        <f>+'NF-KSF-TRIAL-BAL-2020'!P582+'RA-TRIAL-BAL-2020'!P582+'DES-TRIAL-BAL-2020'!P582+'DMP-TRIAL-BAL-2020'!P582</f>
        <v>0</v>
      </c>
      <c r="X582" s="528">
        <f>+'NF-KSF-TRIAL-BAL-2020'!Q582+'RA-TRIAL-BAL-2020'!Q582+'DES-TRIAL-BAL-2020'!Q582+'DMP-TRIAL-BAL-2020'!Q582</f>
        <v>0</v>
      </c>
      <c r="Y582" s="529">
        <f>+'NF-KSF-TRIAL-BAL-2020'!R582+'RA-TRIAL-BAL-2020'!R582+'DES-TRIAL-BAL-2020'!R582+'DMP-TRIAL-BAL-2020'!R582</f>
        <v>0</v>
      </c>
      <c r="Z582" s="528">
        <f>+'NF-KSF-TRIAL-BAL-2020'!S582+'RA-TRIAL-BAL-2020'!S582+'DES-TRIAL-BAL-2020'!S582+'DMP-TRIAL-BAL-2020'!S582</f>
        <v>0</v>
      </c>
      <c r="AA582" s="347">
        <f>+'NF-KSF-TRIAL-BAL-2020'!T582+'RA-TRIAL-BAL-2020'!T582+'DES-TRIAL-BAL-2020'!T582+'DMP-TRIAL-BAL-2020'!T582</f>
        <v>0</v>
      </c>
      <c r="AB582" s="51"/>
      <c r="AC582" s="8">
        <v>0</v>
      </c>
      <c r="AD582" s="9">
        <v>0</v>
      </c>
      <c r="AE582" s="325"/>
      <c r="AF582" s="324"/>
      <c r="AG582" s="27">
        <f t="shared" si="287"/>
        <v>0</v>
      </c>
      <c r="AH582" s="28">
        <f t="shared" si="283"/>
        <v>0</v>
      </c>
      <c r="AI582" s="51"/>
      <c r="AJ582" s="1497">
        <f t="shared" si="288"/>
        <v>6902</v>
      </c>
      <c r="AK582" s="8">
        <v>0</v>
      </c>
      <c r="AL582" s="9">
        <v>0</v>
      </c>
      <c r="AM582" s="326">
        <f t="shared" si="281"/>
        <v>0</v>
      </c>
      <c r="AN582" s="970">
        <f t="shared" si="281"/>
        <v>0</v>
      </c>
      <c r="AO582" s="27">
        <f t="shared" si="289"/>
        <v>0</v>
      </c>
      <c r="AP582" s="28">
        <f t="shared" si="284"/>
        <v>0</v>
      </c>
      <c r="AQ582" s="43"/>
      <c r="AR582" s="358">
        <f t="shared" si="290"/>
        <v>0</v>
      </c>
      <c r="AS582" s="359">
        <f t="shared" si="291"/>
        <v>0</v>
      </c>
      <c r="AT582" s="360">
        <f t="shared" si="292"/>
        <v>0</v>
      </c>
      <c r="AU582" s="43"/>
      <c r="AV582" s="43"/>
      <c r="AW582" s="119"/>
      <c r="AX582" s="119"/>
      <c r="AY582" s="43"/>
      <c r="AZ582" s="43"/>
      <c r="BA582" s="43"/>
      <c r="BB582" s="43"/>
      <c r="BC582" s="43"/>
      <c r="BD582" s="43"/>
    </row>
    <row r="583" spans="1:56" ht="15.75">
      <c r="A583" s="88">
        <v>6903</v>
      </c>
      <c r="B583" s="378" t="s">
        <v>17</v>
      </c>
      <c r="C583" s="1033"/>
      <c r="D583" s="1033"/>
      <c r="E583" s="1033"/>
      <c r="F583" s="1033"/>
      <c r="G583" s="1033"/>
      <c r="H583" s="1033"/>
      <c r="I583" s="1033"/>
      <c r="J583" s="1033"/>
      <c r="K583" s="1033"/>
      <c r="L583" s="90"/>
      <c r="M583" s="51" t="s">
        <v>265</v>
      </c>
      <c r="N583" s="113">
        <f t="shared" si="285"/>
        <v>6903</v>
      </c>
      <c r="O583" s="8">
        <v>0</v>
      </c>
      <c r="P583" s="9">
        <v>0</v>
      </c>
      <c r="Q583" s="325"/>
      <c r="R583" s="324"/>
      <c r="S583" s="27">
        <f t="shared" si="286"/>
        <v>0</v>
      </c>
      <c r="T583" s="28">
        <f t="shared" si="282"/>
        <v>0</v>
      </c>
      <c r="U583" s="51"/>
      <c r="V583" s="541">
        <f>+'NF-KSF-TRIAL-BAL-2020'!O583+'RA-TRIAL-BAL-2020'!O583+'DES-TRIAL-BAL-2020'!O583+'DMP-TRIAL-BAL-2020'!O583</f>
        <v>0</v>
      </c>
      <c r="W583" s="529">
        <f>+'NF-KSF-TRIAL-BAL-2020'!P583+'RA-TRIAL-BAL-2020'!P583+'DES-TRIAL-BAL-2020'!P583+'DMP-TRIAL-BAL-2020'!P583</f>
        <v>0</v>
      </c>
      <c r="X583" s="528">
        <f>+'NF-KSF-TRIAL-BAL-2020'!Q583+'RA-TRIAL-BAL-2020'!Q583+'DES-TRIAL-BAL-2020'!Q583+'DMP-TRIAL-BAL-2020'!Q583</f>
        <v>0</v>
      </c>
      <c r="Y583" s="529">
        <f>+'NF-KSF-TRIAL-BAL-2020'!R583+'RA-TRIAL-BAL-2020'!R583+'DES-TRIAL-BAL-2020'!R583+'DMP-TRIAL-BAL-2020'!R583</f>
        <v>0</v>
      </c>
      <c r="Z583" s="528">
        <f>+'NF-KSF-TRIAL-BAL-2020'!S583+'RA-TRIAL-BAL-2020'!S583+'DES-TRIAL-BAL-2020'!S583+'DMP-TRIAL-BAL-2020'!S583</f>
        <v>0</v>
      </c>
      <c r="AA583" s="347">
        <f>+'NF-KSF-TRIAL-BAL-2020'!T583+'RA-TRIAL-BAL-2020'!T583+'DES-TRIAL-BAL-2020'!T583+'DMP-TRIAL-BAL-2020'!T583</f>
        <v>0</v>
      </c>
      <c r="AB583" s="51"/>
      <c r="AC583" s="8">
        <v>0</v>
      </c>
      <c r="AD583" s="9">
        <v>0</v>
      </c>
      <c r="AE583" s="325"/>
      <c r="AF583" s="324"/>
      <c r="AG583" s="27">
        <f t="shared" si="287"/>
        <v>0</v>
      </c>
      <c r="AH583" s="28">
        <f t="shared" si="283"/>
        <v>0</v>
      </c>
      <c r="AI583" s="51"/>
      <c r="AJ583" s="1497">
        <f t="shared" si="288"/>
        <v>6903</v>
      </c>
      <c r="AK583" s="8">
        <v>0</v>
      </c>
      <c r="AL583" s="9">
        <v>0</v>
      </c>
      <c r="AM583" s="326">
        <f t="shared" si="281"/>
        <v>0</v>
      </c>
      <c r="AN583" s="970">
        <f t="shared" si="281"/>
        <v>0</v>
      </c>
      <c r="AO583" s="27">
        <f t="shared" si="289"/>
        <v>0</v>
      </c>
      <c r="AP583" s="28">
        <f t="shared" si="284"/>
        <v>0</v>
      </c>
      <c r="AQ583" s="43"/>
      <c r="AR583" s="358">
        <f t="shared" si="290"/>
        <v>0</v>
      </c>
      <c r="AS583" s="359">
        <f t="shared" si="291"/>
        <v>0</v>
      </c>
      <c r="AT583" s="360">
        <f t="shared" si="292"/>
        <v>0</v>
      </c>
      <c r="AU583" s="43"/>
      <c r="AV583" s="43"/>
      <c r="AW583" s="119"/>
      <c r="AX583" s="119"/>
      <c r="AY583" s="43"/>
      <c r="AZ583" s="43"/>
      <c r="BA583" s="43"/>
      <c r="BB583" s="43"/>
      <c r="BC583" s="43"/>
      <c r="BD583" s="43"/>
    </row>
    <row r="584" spans="1:56" ht="15.75">
      <c r="A584" s="88">
        <v>6904</v>
      </c>
      <c r="B584" s="378" t="s">
        <v>18</v>
      </c>
      <c r="C584" s="1033"/>
      <c r="D584" s="1033"/>
      <c r="E584" s="1033"/>
      <c r="F584" s="1033"/>
      <c r="G584" s="1033"/>
      <c r="H584" s="1033"/>
      <c r="I584" s="1033"/>
      <c r="J584" s="1033"/>
      <c r="K584" s="1033"/>
      <c r="L584" s="90"/>
      <c r="M584" s="51" t="s">
        <v>265</v>
      </c>
      <c r="N584" s="113">
        <f t="shared" si="285"/>
        <v>6904</v>
      </c>
      <c r="O584" s="8">
        <v>0</v>
      </c>
      <c r="P584" s="9">
        <v>0</v>
      </c>
      <c r="Q584" s="325"/>
      <c r="R584" s="324"/>
      <c r="S584" s="27">
        <f t="shared" si="286"/>
        <v>0</v>
      </c>
      <c r="T584" s="28">
        <f t="shared" si="282"/>
        <v>0</v>
      </c>
      <c r="U584" s="51"/>
      <c r="V584" s="541">
        <f>+'NF-KSF-TRIAL-BAL-2020'!O584+'RA-TRIAL-BAL-2020'!O584+'DES-TRIAL-BAL-2020'!O584+'DMP-TRIAL-BAL-2020'!O584</f>
        <v>0</v>
      </c>
      <c r="W584" s="529">
        <f>+'NF-KSF-TRIAL-BAL-2020'!P584+'RA-TRIAL-BAL-2020'!P584+'DES-TRIAL-BAL-2020'!P584+'DMP-TRIAL-BAL-2020'!P584</f>
        <v>0</v>
      </c>
      <c r="X584" s="528">
        <f>+'NF-KSF-TRIAL-BAL-2020'!Q584+'RA-TRIAL-BAL-2020'!Q584+'DES-TRIAL-BAL-2020'!Q584+'DMP-TRIAL-BAL-2020'!Q584</f>
        <v>0</v>
      </c>
      <c r="Y584" s="529">
        <f>+'NF-KSF-TRIAL-BAL-2020'!R584+'RA-TRIAL-BAL-2020'!R584+'DES-TRIAL-BAL-2020'!R584+'DMP-TRIAL-BAL-2020'!R584</f>
        <v>0</v>
      </c>
      <c r="Z584" s="528">
        <f>+'NF-KSF-TRIAL-BAL-2020'!S584+'RA-TRIAL-BAL-2020'!S584+'DES-TRIAL-BAL-2020'!S584+'DMP-TRIAL-BAL-2020'!S584</f>
        <v>0</v>
      </c>
      <c r="AA584" s="347">
        <f>+'NF-KSF-TRIAL-BAL-2020'!T584+'RA-TRIAL-BAL-2020'!T584+'DES-TRIAL-BAL-2020'!T584+'DMP-TRIAL-BAL-2020'!T584</f>
        <v>0</v>
      </c>
      <c r="AB584" s="51"/>
      <c r="AC584" s="8">
        <v>0</v>
      </c>
      <c r="AD584" s="9">
        <v>0</v>
      </c>
      <c r="AE584" s="122"/>
      <c r="AF584" s="121"/>
      <c r="AG584" s="27">
        <f t="shared" si="287"/>
        <v>0</v>
      </c>
      <c r="AH584" s="28">
        <f t="shared" si="283"/>
        <v>0</v>
      </c>
      <c r="AI584" s="51"/>
      <c r="AJ584" s="1497">
        <f t="shared" si="288"/>
        <v>6904</v>
      </c>
      <c r="AK584" s="8">
        <v>0</v>
      </c>
      <c r="AL584" s="9">
        <v>0</v>
      </c>
      <c r="AM584" s="326">
        <f t="shared" si="281"/>
        <v>0</v>
      </c>
      <c r="AN584" s="970">
        <f t="shared" si="281"/>
        <v>0</v>
      </c>
      <c r="AO584" s="27">
        <f t="shared" si="289"/>
        <v>0</v>
      </c>
      <c r="AP584" s="28">
        <f t="shared" si="284"/>
        <v>0</v>
      </c>
      <c r="AQ584" s="43"/>
      <c r="AR584" s="358">
        <f t="shared" si="290"/>
        <v>0</v>
      </c>
      <c r="AS584" s="359">
        <f t="shared" si="291"/>
        <v>0</v>
      </c>
      <c r="AT584" s="360">
        <f t="shared" si="292"/>
        <v>0</v>
      </c>
      <c r="AU584" s="43"/>
      <c r="AV584" s="43"/>
      <c r="AW584" s="119"/>
      <c r="AX584" s="119"/>
      <c r="AY584" s="43"/>
      <c r="AZ584" s="43"/>
      <c r="BA584" s="43"/>
      <c r="BB584" s="43"/>
      <c r="BC584" s="43"/>
      <c r="BD584" s="43"/>
    </row>
    <row r="585" spans="1:56" ht="15.75">
      <c r="A585" s="88">
        <v>6905</v>
      </c>
      <c r="B585" s="378" t="s">
        <v>19</v>
      </c>
      <c r="C585" s="1033"/>
      <c r="D585" s="1033"/>
      <c r="E585" s="1033"/>
      <c r="F585" s="1033"/>
      <c r="G585" s="1033"/>
      <c r="H585" s="1033"/>
      <c r="I585" s="1033"/>
      <c r="J585" s="1033"/>
      <c r="K585" s="1033"/>
      <c r="L585" s="90"/>
      <c r="M585" s="51" t="s">
        <v>265</v>
      </c>
      <c r="N585" s="113">
        <f t="shared" si="285"/>
        <v>6905</v>
      </c>
      <c r="O585" s="8">
        <v>0</v>
      </c>
      <c r="P585" s="9">
        <v>0</v>
      </c>
      <c r="Q585" s="325"/>
      <c r="R585" s="324"/>
      <c r="S585" s="27">
        <f t="shared" si="286"/>
        <v>0</v>
      </c>
      <c r="T585" s="28">
        <f t="shared" si="282"/>
        <v>0</v>
      </c>
      <c r="U585" s="51"/>
      <c r="V585" s="541">
        <f>+'NF-KSF-TRIAL-BAL-2020'!O585+'RA-TRIAL-BAL-2020'!O585+'DES-TRIAL-BAL-2020'!O585+'DMP-TRIAL-BAL-2020'!O585</f>
        <v>0</v>
      </c>
      <c r="W585" s="529">
        <f>+'NF-KSF-TRIAL-BAL-2020'!P585+'RA-TRIAL-BAL-2020'!P585+'DES-TRIAL-BAL-2020'!P585+'DMP-TRIAL-BAL-2020'!P585</f>
        <v>0</v>
      </c>
      <c r="X585" s="528">
        <f>+'NF-KSF-TRIAL-BAL-2020'!Q585+'RA-TRIAL-BAL-2020'!Q585+'DES-TRIAL-BAL-2020'!Q585+'DMP-TRIAL-BAL-2020'!Q585</f>
        <v>0</v>
      </c>
      <c r="Y585" s="529">
        <f>+'NF-KSF-TRIAL-BAL-2020'!R585+'RA-TRIAL-BAL-2020'!R585+'DES-TRIAL-BAL-2020'!R585+'DMP-TRIAL-BAL-2020'!R585</f>
        <v>0</v>
      </c>
      <c r="Z585" s="528">
        <f>+'NF-KSF-TRIAL-BAL-2020'!S585+'RA-TRIAL-BAL-2020'!S585+'DES-TRIAL-BAL-2020'!S585+'DMP-TRIAL-BAL-2020'!S585</f>
        <v>0</v>
      </c>
      <c r="AA585" s="347">
        <f>+'NF-KSF-TRIAL-BAL-2020'!T585+'RA-TRIAL-BAL-2020'!T585+'DES-TRIAL-BAL-2020'!T585+'DMP-TRIAL-BAL-2020'!T585</f>
        <v>0</v>
      </c>
      <c r="AB585" s="51"/>
      <c r="AC585" s="8">
        <v>0</v>
      </c>
      <c r="AD585" s="9">
        <v>0</v>
      </c>
      <c r="AE585" s="122"/>
      <c r="AF585" s="121"/>
      <c r="AG585" s="27">
        <f t="shared" si="287"/>
        <v>0</v>
      </c>
      <c r="AH585" s="28">
        <f t="shared" si="283"/>
        <v>0</v>
      </c>
      <c r="AI585" s="51"/>
      <c r="AJ585" s="1497">
        <f t="shared" si="288"/>
        <v>6905</v>
      </c>
      <c r="AK585" s="8">
        <v>0</v>
      </c>
      <c r="AL585" s="9">
        <v>0</v>
      </c>
      <c r="AM585" s="326">
        <f t="shared" si="281"/>
        <v>0</v>
      </c>
      <c r="AN585" s="970">
        <f t="shared" si="281"/>
        <v>0</v>
      </c>
      <c r="AO585" s="27">
        <f t="shared" si="289"/>
        <v>0</v>
      </c>
      <c r="AP585" s="28">
        <f t="shared" si="284"/>
        <v>0</v>
      </c>
      <c r="AQ585" s="43"/>
      <c r="AR585" s="358">
        <f t="shared" si="290"/>
        <v>0</v>
      </c>
      <c r="AS585" s="359">
        <f t="shared" si="291"/>
        <v>0</v>
      </c>
      <c r="AT585" s="360">
        <f t="shared" si="292"/>
        <v>0</v>
      </c>
      <c r="AU585" s="43"/>
      <c r="AV585" s="43"/>
      <c r="AW585" s="119"/>
      <c r="AX585" s="119"/>
      <c r="AY585" s="43"/>
      <c r="AZ585" s="43"/>
      <c r="BA585" s="43"/>
      <c r="BB585" s="43"/>
      <c r="BC585" s="43"/>
      <c r="BD585" s="43"/>
    </row>
    <row r="586" spans="1:56" ht="15.75">
      <c r="A586" s="88">
        <v>6906</v>
      </c>
      <c r="B586" s="378" t="s">
        <v>20</v>
      </c>
      <c r="C586" s="1033"/>
      <c r="D586" s="1033"/>
      <c r="E586" s="1033"/>
      <c r="F586" s="1033"/>
      <c r="G586" s="1033"/>
      <c r="H586" s="1033"/>
      <c r="I586" s="1033"/>
      <c r="J586" s="1033"/>
      <c r="K586" s="1033"/>
      <c r="L586" s="90"/>
      <c r="M586" s="51" t="s">
        <v>265</v>
      </c>
      <c r="N586" s="113">
        <f t="shared" si="285"/>
        <v>6906</v>
      </c>
      <c r="O586" s="8">
        <v>0</v>
      </c>
      <c r="P586" s="9">
        <v>0</v>
      </c>
      <c r="Q586" s="325"/>
      <c r="R586" s="324"/>
      <c r="S586" s="27">
        <f t="shared" si="286"/>
        <v>0</v>
      </c>
      <c r="T586" s="28">
        <f t="shared" si="282"/>
        <v>0</v>
      </c>
      <c r="U586" s="51"/>
      <c r="V586" s="541">
        <f>+'NF-KSF-TRIAL-BAL-2020'!O586+'RA-TRIAL-BAL-2020'!O586+'DES-TRIAL-BAL-2020'!O586+'DMP-TRIAL-BAL-2020'!O586</f>
        <v>0</v>
      </c>
      <c r="W586" s="529">
        <f>+'NF-KSF-TRIAL-BAL-2020'!P586+'RA-TRIAL-BAL-2020'!P586+'DES-TRIAL-BAL-2020'!P586+'DMP-TRIAL-BAL-2020'!P586</f>
        <v>0</v>
      </c>
      <c r="X586" s="528">
        <f>+'NF-KSF-TRIAL-BAL-2020'!Q586+'RA-TRIAL-BAL-2020'!Q586+'DES-TRIAL-BAL-2020'!Q586+'DMP-TRIAL-BAL-2020'!Q586</f>
        <v>0</v>
      </c>
      <c r="Y586" s="529">
        <f>+'NF-KSF-TRIAL-BAL-2020'!R586+'RA-TRIAL-BAL-2020'!R586+'DES-TRIAL-BAL-2020'!R586+'DMP-TRIAL-BAL-2020'!R586</f>
        <v>0</v>
      </c>
      <c r="Z586" s="528">
        <f>+'NF-KSF-TRIAL-BAL-2020'!S586+'RA-TRIAL-BAL-2020'!S586+'DES-TRIAL-BAL-2020'!S586+'DMP-TRIAL-BAL-2020'!S586</f>
        <v>0</v>
      </c>
      <c r="AA586" s="347">
        <f>+'NF-KSF-TRIAL-BAL-2020'!T586+'RA-TRIAL-BAL-2020'!T586+'DES-TRIAL-BAL-2020'!T586+'DMP-TRIAL-BAL-2020'!T586</f>
        <v>0</v>
      </c>
      <c r="AB586" s="51"/>
      <c r="AC586" s="8">
        <v>0</v>
      </c>
      <c r="AD586" s="9">
        <v>0</v>
      </c>
      <c r="AE586" s="122"/>
      <c r="AF586" s="121"/>
      <c r="AG586" s="27">
        <f t="shared" si="287"/>
        <v>0</v>
      </c>
      <c r="AH586" s="28">
        <f t="shared" si="283"/>
        <v>0</v>
      </c>
      <c r="AI586" s="51"/>
      <c r="AJ586" s="1497">
        <f t="shared" si="288"/>
        <v>6906</v>
      </c>
      <c r="AK586" s="8">
        <v>0</v>
      </c>
      <c r="AL586" s="9">
        <v>0</v>
      </c>
      <c r="AM586" s="326">
        <f t="shared" si="281"/>
        <v>0</v>
      </c>
      <c r="AN586" s="970">
        <f t="shared" si="281"/>
        <v>0</v>
      </c>
      <c r="AO586" s="27">
        <f t="shared" si="289"/>
        <v>0</v>
      </c>
      <c r="AP586" s="28">
        <f t="shared" si="284"/>
        <v>0</v>
      </c>
      <c r="AQ586" s="43"/>
      <c r="AR586" s="358">
        <f t="shared" si="290"/>
        <v>0</v>
      </c>
      <c r="AS586" s="359">
        <f t="shared" si="291"/>
        <v>0</v>
      </c>
      <c r="AT586" s="360">
        <f t="shared" si="292"/>
        <v>0</v>
      </c>
      <c r="AU586" s="43"/>
      <c r="AV586" s="43"/>
      <c r="AW586" s="119"/>
      <c r="AX586" s="119"/>
      <c r="AY586" s="43"/>
      <c r="AZ586" s="43"/>
      <c r="BA586" s="43"/>
      <c r="BB586" s="43"/>
      <c r="BC586" s="43"/>
      <c r="BD586" s="43"/>
    </row>
    <row r="587" spans="1:56" ht="15.75">
      <c r="A587" s="88">
        <v>6910</v>
      </c>
      <c r="B587" s="378" t="s">
        <v>21</v>
      </c>
      <c r="C587" s="1033"/>
      <c r="D587" s="1033"/>
      <c r="E587" s="1033"/>
      <c r="F587" s="1033"/>
      <c r="G587" s="1033"/>
      <c r="H587" s="1033"/>
      <c r="I587" s="1033"/>
      <c r="J587" s="1033"/>
      <c r="K587" s="1033"/>
      <c r="L587" s="90"/>
      <c r="M587" s="51" t="s">
        <v>265</v>
      </c>
      <c r="N587" s="113">
        <f t="shared" si="285"/>
        <v>6910</v>
      </c>
      <c r="O587" s="8">
        <v>0</v>
      </c>
      <c r="P587" s="9">
        <v>0</v>
      </c>
      <c r="Q587" s="325"/>
      <c r="R587" s="324"/>
      <c r="S587" s="27">
        <f t="shared" si="286"/>
        <v>0</v>
      </c>
      <c r="T587" s="28">
        <f t="shared" si="282"/>
        <v>0</v>
      </c>
      <c r="U587" s="51"/>
      <c r="V587" s="541">
        <f>+'NF-KSF-TRIAL-BAL-2020'!O587+'RA-TRIAL-BAL-2020'!O587+'DES-TRIAL-BAL-2020'!O587+'DMP-TRIAL-BAL-2020'!O587</f>
        <v>0</v>
      </c>
      <c r="W587" s="529">
        <f>+'NF-KSF-TRIAL-BAL-2020'!P587+'RA-TRIAL-BAL-2020'!P587+'DES-TRIAL-BAL-2020'!P587+'DMP-TRIAL-BAL-2020'!P587</f>
        <v>0</v>
      </c>
      <c r="X587" s="528">
        <f>+'NF-KSF-TRIAL-BAL-2020'!Q587+'RA-TRIAL-BAL-2020'!Q587+'DES-TRIAL-BAL-2020'!Q587+'DMP-TRIAL-BAL-2020'!Q587</f>
        <v>0</v>
      </c>
      <c r="Y587" s="529">
        <f>+'NF-KSF-TRIAL-BAL-2020'!R587+'RA-TRIAL-BAL-2020'!R587+'DES-TRIAL-BAL-2020'!R587+'DMP-TRIAL-BAL-2020'!R587</f>
        <v>0</v>
      </c>
      <c r="Z587" s="528">
        <f>+'NF-KSF-TRIAL-BAL-2020'!S587+'RA-TRIAL-BAL-2020'!S587+'DES-TRIAL-BAL-2020'!S587+'DMP-TRIAL-BAL-2020'!S587</f>
        <v>0</v>
      </c>
      <c r="AA587" s="347">
        <f>+'NF-KSF-TRIAL-BAL-2020'!T587+'RA-TRIAL-BAL-2020'!T587+'DES-TRIAL-BAL-2020'!T587+'DMP-TRIAL-BAL-2020'!T587</f>
        <v>0</v>
      </c>
      <c r="AB587" s="51"/>
      <c r="AC587" s="8">
        <v>0</v>
      </c>
      <c r="AD587" s="9">
        <v>0</v>
      </c>
      <c r="AE587" s="122"/>
      <c r="AF587" s="121"/>
      <c r="AG587" s="27">
        <f t="shared" si="287"/>
        <v>0</v>
      </c>
      <c r="AH587" s="28">
        <f t="shared" si="283"/>
        <v>0</v>
      </c>
      <c r="AI587" s="51"/>
      <c r="AJ587" s="1497">
        <f t="shared" si="288"/>
        <v>6910</v>
      </c>
      <c r="AK587" s="8">
        <v>0</v>
      </c>
      <c r="AL587" s="9">
        <v>0</v>
      </c>
      <c r="AM587" s="326">
        <f>+ROUND(+Q587+X587+AE587,2)</f>
        <v>0</v>
      </c>
      <c r="AN587" s="970">
        <f>+ROUND(+R587+Y587+AF587,2)</f>
        <v>0</v>
      </c>
      <c r="AO587" s="27">
        <f t="shared" si="289"/>
        <v>0</v>
      </c>
      <c r="AP587" s="28">
        <f t="shared" si="284"/>
        <v>0</v>
      </c>
      <c r="AQ587" s="43"/>
      <c r="AR587" s="358">
        <f t="shared" si="290"/>
        <v>0</v>
      </c>
      <c r="AS587" s="359">
        <f t="shared" si="291"/>
        <v>0</v>
      </c>
      <c r="AT587" s="360">
        <f t="shared" si="292"/>
        <v>0</v>
      </c>
      <c r="AU587" s="43"/>
      <c r="AV587" s="43"/>
      <c r="AW587" s="119"/>
      <c r="AX587" s="119"/>
      <c r="AY587" s="43"/>
      <c r="AZ587" s="43"/>
      <c r="BA587" s="43"/>
      <c r="BB587" s="43"/>
      <c r="BC587" s="43"/>
      <c r="BD587" s="43"/>
    </row>
    <row r="588" spans="1:56" ht="15.75">
      <c r="A588" s="88">
        <v>6911</v>
      </c>
      <c r="B588" s="1033" t="s">
        <v>22</v>
      </c>
      <c r="C588" s="1033"/>
      <c r="D588" s="1033"/>
      <c r="E588" s="1033"/>
      <c r="F588" s="1033"/>
      <c r="G588" s="1033"/>
      <c r="H588" s="1033"/>
      <c r="I588" s="1033"/>
      <c r="J588" s="1033"/>
      <c r="K588" s="1033"/>
      <c r="L588" s="90"/>
      <c r="M588" s="51" t="s">
        <v>265</v>
      </c>
      <c r="N588" s="113">
        <f t="shared" si="263"/>
        <v>6911</v>
      </c>
      <c r="O588" s="8">
        <v>0</v>
      </c>
      <c r="P588" s="9">
        <v>0</v>
      </c>
      <c r="Q588" s="325"/>
      <c r="R588" s="324"/>
      <c r="S588" s="27">
        <f t="shared" ref="S588:S593" si="293">+IF(ABS(+O588+Q588)&gt;=ABS(P588+R588),+O588-P588+Q588-R588,0)</f>
        <v>0</v>
      </c>
      <c r="T588" s="28">
        <f t="shared" ref="T588:T593" si="294">+IF(ABS(+O588+Q588)&lt;=ABS(P588+R588),-O588+P588-Q588+R588,0)</f>
        <v>0</v>
      </c>
      <c r="U588" s="51"/>
      <c r="V588" s="541">
        <f>+'NF-KSF-TRIAL-BAL-2020'!O588+'RA-TRIAL-BAL-2020'!O588+'DES-TRIAL-BAL-2020'!O588+'DMP-TRIAL-BAL-2020'!O588</f>
        <v>0</v>
      </c>
      <c r="W588" s="529">
        <f>+'NF-KSF-TRIAL-BAL-2020'!P588+'RA-TRIAL-BAL-2020'!P588+'DES-TRIAL-BAL-2020'!P588+'DMP-TRIAL-BAL-2020'!P588</f>
        <v>0</v>
      </c>
      <c r="X588" s="528">
        <f>+'NF-KSF-TRIAL-BAL-2020'!Q588+'RA-TRIAL-BAL-2020'!Q588+'DES-TRIAL-BAL-2020'!Q588+'DMP-TRIAL-BAL-2020'!Q588</f>
        <v>0</v>
      </c>
      <c r="Y588" s="529">
        <f>+'NF-KSF-TRIAL-BAL-2020'!R588+'RA-TRIAL-BAL-2020'!R588+'DES-TRIAL-BAL-2020'!R588+'DMP-TRIAL-BAL-2020'!R588</f>
        <v>0</v>
      </c>
      <c r="Z588" s="528">
        <f>+'NF-KSF-TRIAL-BAL-2020'!S588+'RA-TRIAL-BAL-2020'!S588+'DES-TRIAL-BAL-2020'!S588+'DMP-TRIAL-BAL-2020'!S588</f>
        <v>0</v>
      </c>
      <c r="AA588" s="347">
        <f>+'NF-KSF-TRIAL-BAL-2020'!T588+'RA-TRIAL-BAL-2020'!T588+'DES-TRIAL-BAL-2020'!T588+'DMP-TRIAL-BAL-2020'!T588</f>
        <v>0</v>
      </c>
      <c r="AB588" s="51"/>
      <c r="AC588" s="8">
        <v>0</v>
      </c>
      <c r="AD588" s="9">
        <v>0</v>
      </c>
      <c r="AE588" s="122"/>
      <c r="AF588" s="121"/>
      <c r="AG588" s="27">
        <f t="shared" ref="AG588:AG593" si="295">+IF(ABS(+AC588+AE588)&gt;=ABS(AD588+AF588),+AC588-AD588+AE588-AF588,0)</f>
        <v>0</v>
      </c>
      <c r="AH588" s="28">
        <f t="shared" ref="AH588:AH593" si="296">+IF(ABS(+AC588+AE588)&lt;=ABS(AD588+AF588),-AC588+AD588-AE588+AF588,0)</f>
        <v>0</v>
      </c>
      <c r="AI588" s="51"/>
      <c r="AJ588" s="1497">
        <f t="shared" si="280"/>
        <v>6911</v>
      </c>
      <c r="AK588" s="8">
        <v>0</v>
      </c>
      <c r="AL588" s="9">
        <v>0</v>
      </c>
      <c r="AM588" s="326">
        <f t="shared" si="281"/>
        <v>0</v>
      </c>
      <c r="AN588" s="970">
        <f t="shared" si="281"/>
        <v>0</v>
      </c>
      <c r="AO588" s="27">
        <f t="shared" si="289"/>
        <v>0</v>
      </c>
      <c r="AP588" s="28">
        <f t="shared" si="284"/>
        <v>0</v>
      </c>
      <c r="AQ588" s="43"/>
      <c r="AR588" s="358">
        <f t="shared" si="264"/>
        <v>0</v>
      </c>
      <c r="AS588" s="359">
        <f t="shared" si="265"/>
        <v>0</v>
      </c>
      <c r="AT588" s="360">
        <f t="shared" si="266"/>
        <v>0</v>
      </c>
      <c r="AU588" s="43"/>
      <c r="AV588" s="43"/>
      <c r="AW588" s="119"/>
      <c r="AX588" s="119"/>
      <c r="AY588" s="43"/>
      <c r="AZ588" s="43"/>
      <c r="BA588" s="43"/>
      <c r="BB588" s="43"/>
      <c r="BC588" s="43"/>
      <c r="BD588" s="43"/>
    </row>
    <row r="589" spans="1:56" ht="15.75">
      <c r="A589" s="88">
        <v>6912</v>
      </c>
      <c r="B589" s="1033" t="s">
        <v>23</v>
      </c>
      <c r="C589" s="1033"/>
      <c r="D589" s="1033"/>
      <c r="E589" s="1033"/>
      <c r="F589" s="1033"/>
      <c r="G589" s="1033"/>
      <c r="H589" s="1033"/>
      <c r="I589" s="1033"/>
      <c r="J589" s="1033"/>
      <c r="K589" s="1033"/>
      <c r="L589" s="90"/>
      <c r="M589" s="51" t="s">
        <v>265</v>
      </c>
      <c r="N589" s="113">
        <f t="shared" si="263"/>
        <v>6912</v>
      </c>
      <c r="O589" s="8">
        <v>0</v>
      </c>
      <c r="P589" s="9">
        <v>0</v>
      </c>
      <c r="Q589" s="325"/>
      <c r="R589" s="324"/>
      <c r="S589" s="27">
        <f t="shared" si="293"/>
        <v>0</v>
      </c>
      <c r="T589" s="28">
        <f t="shared" si="294"/>
        <v>0</v>
      </c>
      <c r="U589" s="51"/>
      <c r="V589" s="541">
        <f>+'NF-KSF-TRIAL-BAL-2020'!O589+'RA-TRIAL-BAL-2020'!O589+'DES-TRIAL-BAL-2020'!O589+'DMP-TRIAL-BAL-2020'!O589</f>
        <v>0</v>
      </c>
      <c r="W589" s="529">
        <f>+'NF-KSF-TRIAL-BAL-2020'!P589+'RA-TRIAL-BAL-2020'!P589+'DES-TRIAL-BAL-2020'!P589+'DMP-TRIAL-BAL-2020'!P589</f>
        <v>0</v>
      </c>
      <c r="X589" s="528">
        <f>+'NF-KSF-TRIAL-BAL-2020'!Q589+'RA-TRIAL-BAL-2020'!Q589+'DES-TRIAL-BAL-2020'!Q589+'DMP-TRIAL-BAL-2020'!Q589</f>
        <v>0</v>
      </c>
      <c r="Y589" s="529">
        <f>+'NF-KSF-TRIAL-BAL-2020'!R589+'RA-TRIAL-BAL-2020'!R589+'DES-TRIAL-BAL-2020'!R589+'DMP-TRIAL-BAL-2020'!R589</f>
        <v>0</v>
      </c>
      <c r="Z589" s="528">
        <f>+'NF-KSF-TRIAL-BAL-2020'!S589+'RA-TRIAL-BAL-2020'!S589+'DES-TRIAL-BAL-2020'!S589+'DMP-TRIAL-BAL-2020'!S589</f>
        <v>0</v>
      </c>
      <c r="AA589" s="347">
        <f>+'NF-KSF-TRIAL-BAL-2020'!T589+'RA-TRIAL-BAL-2020'!T589+'DES-TRIAL-BAL-2020'!T589+'DMP-TRIAL-BAL-2020'!T589</f>
        <v>0</v>
      </c>
      <c r="AB589" s="51"/>
      <c r="AC589" s="8">
        <v>0</v>
      </c>
      <c r="AD589" s="9">
        <v>0</v>
      </c>
      <c r="AE589" s="122"/>
      <c r="AF589" s="121"/>
      <c r="AG589" s="27">
        <f t="shared" si="295"/>
        <v>0</v>
      </c>
      <c r="AH589" s="28">
        <f t="shared" si="296"/>
        <v>0</v>
      </c>
      <c r="AI589" s="51"/>
      <c r="AJ589" s="1497">
        <f t="shared" si="280"/>
        <v>6912</v>
      </c>
      <c r="AK589" s="8">
        <v>0</v>
      </c>
      <c r="AL589" s="9">
        <v>0</v>
      </c>
      <c r="AM589" s="326">
        <f t="shared" si="281"/>
        <v>0</v>
      </c>
      <c r="AN589" s="970">
        <f t="shared" si="281"/>
        <v>0</v>
      </c>
      <c r="AO589" s="27">
        <f t="shared" si="289"/>
        <v>0</v>
      </c>
      <c r="AP589" s="28">
        <f t="shared" si="284"/>
        <v>0</v>
      </c>
      <c r="AQ589" s="43"/>
      <c r="AR589" s="358">
        <f t="shared" si="264"/>
        <v>0</v>
      </c>
      <c r="AS589" s="359">
        <f t="shared" si="265"/>
        <v>0</v>
      </c>
      <c r="AT589" s="360">
        <f t="shared" si="266"/>
        <v>0</v>
      </c>
      <c r="AU589" s="43"/>
      <c r="AV589" s="43"/>
      <c r="AW589" s="119"/>
      <c r="AX589" s="119"/>
      <c r="AY589" s="43"/>
      <c r="AZ589" s="43"/>
      <c r="BA589" s="43"/>
      <c r="BB589" s="43"/>
      <c r="BC589" s="43"/>
      <c r="BD589" s="43"/>
    </row>
    <row r="590" spans="1:56" ht="15.75">
      <c r="A590" s="88">
        <v>6915</v>
      </c>
      <c r="B590" s="1033" t="s">
        <v>24</v>
      </c>
      <c r="C590" s="1033"/>
      <c r="D590" s="1033"/>
      <c r="E590" s="1033"/>
      <c r="F590" s="1033"/>
      <c r="G590" s="1033"/>
      <c r="H590" s="1033"/>
      <c r="I590" s="1033"/>
      <c r="J590" s="1033"/>
      <c r="K590" s="1033"/>
      <c r="L590" s="90"/>
      <c r="M590" s="51" t="s">
        <v>265</v>
      </c>
      <c r="N590" s="113">
        <f>+A590</f>
        <v>6915</v>
      </c>
      <c r="O590" s="8">
        <v>0</v>
      </c>
      <c r="P590" s="9">
        <v>0</v>
      </c>
      <c r="Q590" s="325">
        <v>0</v>
      </c>
      <c r="R590" s="324">
        <v>0</v>
      </c>
      <c r="S590" s="27">
        <f>+IF(ABS(+O590+Q590)&gt;=ABS(P590+R590),+O590-P590+Q590-R590,0)</f>
        <v>0</v>
      </c>
      <c r="T590" s="28">
        <f>+IF(ABS(+O590+Q590)&lt;=ABS(P590+R590),-O590+P590-Q590+R590,0)</f>
        <v>0</v>
      </c>
      <c r="U590" s="51"/>
      <c r="V590" s="541">
        <f>+'NF-KSF-TRIAL-BAL-2020'!O590+'RA-TRIAL-BAL-2020'!O590+'DES-TRIAL-BAL-2020'!O590+'DMP-TRIAL-BAL-2020'!O590</f>
        <v>0</v>
      </c>
      <c r="W590" s="529">
        <f>+'NF-KSF-TRIAL-BAL-2020'!P590+'RA-TRIAL-BAL-2020'!P590+'DES-TRIAL-BAL-2020'!P590+'DMP-TRIAL-BAL-2020'!P590</f>
        <v>0</v>
      </c>
      <c r="X590" s="528">
        <f>+'NF-KSF-TRIAL-BAL-2020'!Q590+'RA-TRIAL-BAL-2020'!Q590+'DES-TRIAL-BAL-2020'!Q590+'DMP-TRIAL-BAL-2020'!Q590</f>
        <v>0</v>
      </c>
      <c r="Y590" s="529">
        <f>+'NF-KSF-TRIAL-BAL-2020'!R590+'RA-TRIAL-BAL-2020'!R590+'DES-TRIAL-BAL-2020'!R590+'DMP-TRIAL-BAL-2020'!R590</f>
        <v>0</v>
      </c>
      <c r="Z590" s="528">
        <f>+'NF-KSF-TRIAL-BAL-2020'!S590+'RA-TRIAL-BAL-2020'!S590+'DES-TRIAL-BAL-2020'!S590+'DMP-TRIAL-BAL-2020'!S590</f>
        <v>0</v>
      </c>
      <c r="AA590" s="347">
        <f>+'NF-KSF-TRIAL-BAL-2020'!T590+'RA-TRIAL-BAL-2020'!T590+'DES-TRIAL-BAL-2020'!T590+'DMP-TRIAL-BAL-2020'!T590</f>
        <v>0</v>
      </c>
      <c r="AB590" s="51"/>
      <c r="AC590" s="8">
        <v>0</v>
      </c>
      <c r="AD590" s="9">
        <v>0</v>
      </c>
      <c r="AE590" s="122">
        <v>0</v>
      </c>
      <c r="AF590" s="121">
        <v>0</v>
      </c>
      <c r="AG590" s="27">
        <f>+IF(ABS(+AC590+AE590)&gt;=ABS(AD590+AF590),+AC590-AD590+AE590-AF590,0)</f>
        <v>0</v>
      </c>
      <c r="AH590" s="28">
        <f>+IF(ABS(+AC590+AE590)&lt;=ABS(AD590+AF590),-AC590+AD590-AE590+AF590,0)</f>
        <v>0</v>
      </c>
      <c r="AI590" s="51"/>
      <c r="AJ590" s="1497">
        <f>+N590</f>
        <v>6915</v>
      </c>
      <c r="AK590" s="8">
        <v>0</v>
      </c>
      <c r="AL590" s="9">
        <v>0</v>
      </c>
      <c r="AM590" s="326">
        <f>+ROUND(+Q590+X590+AE590,2)</f>
        <v>0</v>
      </c>
      <c r="AN590" s="970">
        <f>+ROUND(+R590+Y590+AF590,2)</f>
        <v>0</v>
      </c>
      <c r="AO590" s="27">
        <f t="shared" si="289"/>
        <v>0</v>
      </c>
      <c r="AP590" s="28">
        <f t="shared" si="284"/>
        <v>0</v>
      </c>
      <c r="AQ590" s="43"/>
      <c r="AR590" s="358">
        <f>+ROUND(+SUM(AK590-AL590)-SUM(O590-P590)-SUM(V590-W590)-SUM(AC590-AD590),2)</f>
        <v>0</v>
      </c>
      <c r="AS590" s="359">
        <f>+ROUND(+SUM(AM590-AN590)-SUM(Q590-R590)-SUM(X590-Y590)-SUM(AE590-AF590),2)</f>
        <v>0</v>
      </c>
      <c r="AT590" s="360">
        <f>+ROUND(+SUM(AO590-AP590)-SUM(S590-T590)-SUM(Z590-AA590)-SUM(AG590-AH590),2)</f>
        <v>0</v>
      </c>
      <c r="AU590" s="43"/>
      <c r="AV590" s="43"/>
      <c r="AW590" s="119"/>
      <c r="AX590" s="119"/>
      <c r="AY590" s="43"/>
      <c r="AZ590" s="43"/>
      <c r="BA590" s="43"/>
      <c r="BB590" s="43"/>
      <c r="BC590" s="43"/>
      <c r="BD590" s="43"/>
    </row>
    <row r="591" spans="1:56" ht="15.75">
      <c r="A591" s="88">
        <v>6916</v>
      </c>
      <c r="B591" s="1033" t="s">
        <v>25</v>
      </c>
      <c r="C591" s="1033"/>
      <c r="D591" s="1033"/>
      <c r="E591" s="1033"/>
      <c r="F591" s="1033"/>
      <c r="G591" s="1033"/>
      <c r="H591" s="1033"/>
      <c r="I591" s="1033"/>
      <c r="J591" s="1033"/>
      <c r="K591" s="1033"/>
      <c r="L591" s="90"/>
      <c r="M591" s="51" t="s">
        <v>265</v>
      </c>
      <c r="N591" s="113">
        <f>+A591</f>
        <v>6916</v>
      </c>
      <c r="O591" s="8">
        <v>0</v>
      </c>
      <c r="P591" s="9">
        <v>0</v>
      </c>
      <c r="Q591" s="325"/>
      <c r="R591" s="324"/>
      <c r="S591" s="27">
        <f>+IF(ABS(+O591+Q591)&gt;=ABS(P591+R591),+O591-P591+Q591-R591,0)</f>
        <v>0</v>
      </c>
      <c r="T591" s="28">
        <f>+IF(ABS(+O591+Q591)&lt;=ABS(P591+R591),-O591+P591-Q591+R591,0)</f>
        <v>0</v>
      </c>
      <c r="U591" s="51"/>
      <c r="V591" s="541">
        <f>+'NF-KSF-TRIAL-BAL-2020'!O591+'RA-TRIAL-BAL-2020'!O591+'DES-TRIAL-BAL-2020'!O591+'DMP-TRIAL-BAL-2020'!O591</f>
        <v>0</v>
      </c>
      <c r="W591" s="529">
        <f>+'NF-KSF-TRIAL-BAL-2020'!P591+'RA-TRIAL-BAL-2020'!P591+'DES-TRIAL-BAL-2020'!P591+'DMP-TRIAL-BAL-2020'!P591</f>
        <v>0</v>
      </c>
      <c r="X591" s="528">
        <f>+'NF-KSF-TRIAL-BAL-2020'!Q591+'RA-TRIAL-BAL-2020'!Q591+'DES-TRIAL-BAL-2020'!Q591+'DMP-TRIAL-BAL-2020'!Q591</f>
        <v>0</v>
      </c>
      <c r="Y591" s="529">
        <f>+'NF-KSF-TRIAL-BAL-2020'!R591+'RA-TRIAL-BAL-2020'!R591+'DES-TRIAL-BAL-2020'!R591+'DMP-TRIAL-BAL-2020'!R591</f>
        <v>0</v>
      </c>
      <c r="Z591" s="528">
        <f>+'NF-KSF-TRIAL-BAL-2020'!S591+'RA-TRIAL-BAL-2020'!S591+'DES-TRIAL-BAL-2020'!S591+'DMP-TRIAL-BAL-2020'!S591</f>
        <v>0</v>
      </c>
      <c r="AA591" s="347">
        <f>+'NF-KSF-TRIAL-BAL-2020'!T591+'RA-TRIAL-BAL-2020'!T591+'DES-TRIAL-BAL-2020'!T591+'DMP-TRIAL-BAL-2020'!T591</f>
        <v>0</v>
      </c>
      <c r="AB591" s="51"/>
      <c r="AC591" s="8">
        <v>0</v>
      </c>
      <c r="AD591" s="9">
        <v>0</v>
      </c>
      <c r="AE591" s="122"/>
      <c r="AF591" s="121"/>
      <c r="AG591" s="27">
        <f>+IF(ABS(+AC591+AE591)&gt;=ABS(AD591+AF591),+AC591-AD591+AE591-AF591,0)</f>
        <v>0</v>
      </c>
      <c r="AH591" s="28">
        <f>+IF(ABS(+AC591+AE591)&lt;=ABS(AD591+AF591),-AC591+AD591-AE591+AF591,0)</f>
        <v>0</v>
      </c>
      <c r="AI591" s="51"/>
      <c r="AJ591" s="1497">
        <f>+N591</f>
        <v>6916</v>
      </c>
      <c r="AK591" s="8">
        <v>0</v>
      </c>
      <c r="AL591" s="9">
        <v>0</v>
      </c>
      <c r="AM591" s="326">
        <f>+ROUND(+Q591+X591+AE591,2)</f>
        <v>0</v>
      </c>
      <c r="AN591" s="970">
        <f>+ROUND(+R591+Y591+AF591,2)</f>
        <v>0</v>
      </c>
      <c r="AO591" s="27">
        <f t="shared" si="289"/>
        <v>0</v>
      </c>
      <c r="AP591" s="28">
        <f t="shared" si="284"/>
        <v>0</v>
      </c>
      <c r="AQ591" s="43"/>
      <c r="AR591" s="358">
        <f>+ROUND(+SUM(AK591-AL591)-SUM(O591-P591)-SUM(V591-W591)-SUM(AC591-AD591),2)</f>
        <v>0</v>
      </c>
      <c r="AS591" s="359">
        <f>+ROUND(+SUM(AM591-AN591)-SUM(Q591-R591)-SUM(X591-Y591)-SUM(AE591-AF591),2)</f>
        <v>0</v>
      </c>
      <c r="AT591" s="360">
        <f>+ROUND(+SUM(AO591-AP591)-SUM(S591-T591)-SUM(Z591-AA591)-SUM(AG591-AH591),2)</f>
        <v>0</v>
      </c>
      <c r="AU591" s="43"/>
      <c r="AV591" s="43"/>
      <c r="AW591" s="119"/>
      <c r="AX591" s="119"/>
      <c r="AY591" s="43"/>
      <c r="AZ591" s="43"/>
      <c r="BA591" s="43"/>
      <c r="BB591" s="43"/>
      <c r="BC591" s="43"/>
      <c r="BD591" s="43"/>
    </row>
    <row r="592" spans="1:56" ht="15.75">
      <c r="A592" s="88">
        <v>6917</v>
      </c>
      <c r="B592" s="1033" t="s">
        <v>26</v>
      </c>
      <c r="C592" s="1033"/>
      <c r="D592" s="1033"/>
      <c r="E592" s="1033"/>
      <c r="F592" s="1033"/>
      <c r="G592" s="1033"/>
      <c r="H592" s="1033"/>
      <c r="I592" s="1033"/>
      <c r="J592" s="1033"/>
      <c r="K592" s="1033"/>
      <c r="L592" s="90"/>
      <c r="M592" s="51" t="s">
        <v>265</v>
      </c>
      <c r="N592" s="113">
        <f t="shared" si="263"/>
        <v>6917</v>
      </c>
      <c r="O592" s="8">
        <v>0</v>
      </c>
      <c r="P592" s="9">
        <v>0</v>
      </c>
      <c r="Q592" s="325">
        <v>0</v>
      </c>
      <c r="R592" s="324">
        <v>0</v>
      </c>
      <c r="S592" s="27">
        <f t="shared" si="293"/>
        <v>0</v>
      </c>
      <c r="T592" s="28">
        <f t="shared" si="294"/>
        <v>0</v>
      </c>
      <c r="U592" s="51"/>
      <c r="V592" s="541">
        <f>+'NF-KSF-TRIAL-BAL-2020'!O592+'RA-TRIAL-BAL-2020'!O592+'DES-TRIAL-BAL-2020'!O592+'DMP-TRIAL-BAL-2020'!O592</f>
        <v>0</v>
      </c>
      <c r="W592" s="529">
        <f>+'NF-KSF-TRIAL-BAL-2020'!P592+'RA-TRIAL-BAL-2020'!P592+'DES-TRIAL-BAL-2020'!P592+'DMP-TRIAL-BAL-2020'!P592</f>
        <v>0</v>
      </c>
      <c r="X592" s="528">
        <f>+'NF-KSF-TRIAL-BAL-2020'!Q592+'RA-TRIAL-BAL-2020'!Q592+'DES-TRIAL-BAL-2020'!Q592+'DMP-TRIAL-BAL-2020'!Q592</f>
        <v>0</v>
      </c>
      <c r="Y592" s="529">
        <f>+'NF-KSF-TRIAL-BAL-2020'!R592+'RA-TRIAL-BAL-2020'!R592+'DES-TRIAL-BAL-2020'!R592+'DMP-TRIAL-BAL-2020'!R592</f>
        <v>0</v>
      </c>
      <c r="Z592" s="528">
        <f>+'NF-KSF-TRIAL-BAL-2020'!S592+'RA-TRIAL-BAL-2020'!S592+'DES-TRIAL-BAL-2020'!S592+'DMP-TRIAL-BAL-2020'!S592</f>
        <v>0</v>
      </c>
      <c r="AA592" s="347">
        <f>+'NF-KSF-TRIAL-BAL-2020'!T592+'RA-TRIAL-BAL-2020'!T592+'DES-TRIAL-BAL-2020'!T592+'DMP-TRIAL-BAL-2020'!T592</f>
        <v>0</v>
      </c>
      <c r="AB592" s="51"/>
      <c r="AC592" s="8">
        <v>0</v>
      </c>
      <c r="AD592" s="9">
        <v>0</v>
      </c>
      <c r="AE592" s="122">
        <v>0</v>
      </c>
      <c r="AF592" s="121">
        <v>0</v>
      </c>
      <c r="AG592" s="27">
        <f t="shared" si="295"/>
        <v>0</v>
      </c>
      <c r="AH592" s="28">
        <f t="shared" si="296"/>
        <v>0</v>
      </c>
      <c r="AI592" s="51"/>
      <c r="AJ592" s="1497">
        <f t="shared" si="280"/>
        <v>6917</v>
      </c>
      <c r="AK592" s="8">
        <v>0</v>
      </c>
      <c r="AL592" s="9">
        <v>0</v>
      </c>
      <c r="AM592" s="326">
        <f t="shared" si="281"/>
        <v>0</v>
      </c>
      <c r="AN592" s="970">
        <f t="shared" si="281"/>
        <v>0</v>
      </c>
      <c r="AO592" s="27">
        <f t="shared" si="289"/>
        <v>0</v>
      </c>
      <c r="AP592" s="28">
        <f t="shared" si="284"/>
        <v>0</v>
      </c>
      <c r="AQ592" s="43"/>
      <c r="AR592" s="358">
        <f t="shared" si="264"/>
        <v>0</v>
      </c>
      <c r="AS592" s="359">
        <f t="shared" si="265"/>
        <v>0</v>
      </c>
      <c r="AT592" s="360">
        <f t="shared" si="266"/>
        <v>0</v>
      </c>
      <c r="AU592" s="43"/>
      <c r="AV592" s="43"/>
      <c r="AW592" s="119"/>
      <c r="AX592" s="119"/>
      <c r="AY592" s="43"/>
      <c r="AZ592" s="43"/>
      <c r="BA592" s="43"/>
      <c r="BB592" s="43"/>
      <c r="BC592" s="43"/>
      <c r="BD592" s="43"/>
    </row>
    <row r="593" spans="1:56" ht="15.75">
      <c r="A593" s="88">
        <v>6918</v>
      </c>
      <c r="B593" s="1033" t="s">
        <v>27</v>
      </c>
      <c r="C593" s="1033"/>
      <c r="D593" s="1033"/>
      <c r="E593" s="1033"/>
      <c r="F593" s="1033"/>
      <c r="G593" s="1033"/>
      <c r="H593" s="1033"/>
      <c r="I593" s="1033"/>
      <c r="J593" s="1033"/>
      <c r="K593" s="1033"/>
      <c r="L593" s="90"/>
      <c r="M593" s="51" t="s">
        <v>265</v>
      </c>
      <c r="N593" s="113">
        <f t="shared" si="263"/>
        <v>6918</v>
      </c>
      <c r="O593" s="8">
        <v>0</v>
      </c>
      <c r="P593" s="9">
        <v>0</v>
      </c>
      <c r="Q593" s="325">
        <v>0</v>
      </c>
      <c r="R593" s="324">
        <v>0</v>
      </c>
      <c r="S593" s="27">
        <f t="shared" si="293"/>
        <v>0</v>
      </c>
      <c r="T593" s="28">
        <f t="shared" si="294"/>
        <v>0</v>
      </c>
      <c r="U593" s="51"/>
      <c r="V593" s="541">
        <f>+'NF-KSF-TRIAL-BAL-2020'!O593+'RA-TRIAL-BAL-2020'!O593+'DES-TRIAL-BAL-2020'!O593+'DMP-TRIAL-BAL-2020'!O593</f>
        <v>0</v>
      </c>
      <c r="W593" s="529">
        <f>+'NF-KSF-TRIAL-BAL-2020'!P593+'RA-TRIAL-BAL-2020'!P593+'DES-TRIAL-BAL-2020'!P593+'DMP-TRIAL-BAL-2020'!P593</f>
        <v>0</v>
      </c>
      <c r="X593" s="528">
        <f>+'NF-KSF-TRIAL-BAL-2020'!Q593+'RA-TRIAL-BAL-2020'!Q593+'DES-TRIAL-BAL-2020'!Q593+'DMP-TRIAL-BAL-2020'!Q593</f>
        <v>0</v>
      </c>
      <c r="Y593" s="529">
        <f>+'NF-KSF-TRIAL-BAL-2020'!R593+'RA-TRIAL-BAL-2020'!R593+'DES-TRIAL-BAL-2020'!R593+'DMP-TRIAL-BAL-2020'!R593</f>
        <v>0</v>
      </c>
      <c r="Z593" s="528">
        <f>+'NF-KSF-TRIAL-BAL-2020'!S593+'RA-TRIAL-BAL-2020'!S593+'DES-TRIAL-BAL-2020'!S593+'DMP-TRIAL-BAL-2020'!S593</f>
        <v>0</v>
      </c>
      <c r="AA593" s="347">
        <f>+'NF-KSF-TRIAL-BAL-2020'!T593+'RA-TRIAL-BAL-2020'!T593+'DES-TRIAL-BAL-2020'!T593+'DMP-TRIAL-BAL-2020'!T593</f>
        <v>0</v>
      </c>
      <c r="AB593" s="51"/>
      <c r="AC593" s="8">
        <v>0</v>
      </c>
      <c r="AD593" s="9">
        <v>0</v>
      </c>
      <c r="AE593" s="122">
        <v>0</v>
      </c>
      <c r="AF593" s="121">
        <v>0</v>
      </c>
      <c r="AG593" s="27">
        <f t="shared" si="295"/>
        <v>0</v>
      </c>
      <c r="AH593" s="28">
        <f t="shared" si="296"/>
        <v>0</v>
      </c>
      <c r="AI593" s="51"/>
      <c r="AJ593" s="1497">
        <f t="shared" si="280"/>
        <v>6918</v>
      </c>
      <c r="AK593" s="8">
        <v>0</v>
      </c>
      <c r="AL593" s="9">
        <v>0</v>
      </c>
      <c r="AM593" s="326">
        <f t="shared" si="281"/>
        <v>0</v>
      </c>
      <c r="AN593" s="970">
        <f t="shared" si="281"/>
        <v>0</v>
      </c>
      <c r="AO593" s="27">
        <f t="shared" si="289"/>
        <v>0</v>
      </c>
      <c r="AP593" s="28">
        <f t="shared" si="284"/>
        <v>0</v>
      </c>
      <c r="AQ593" s="43"/>
      <c r="AR593" s="358">
        <f t="shared" si="264"/>
        <v>0</v>
      </c>
      <c r="AS593" s="359">
        <f t="shared" si="265"/>
        <v>0</v>
      </c>
      <c r="AT593" s="360">
        <f t="shared" si="266"/>
        <v>0</v>
      </c>
      <c r="AU593" s="43"/>
      <c r="AV593" s="43"/>
      <c r="AW593" s="119"/>
      <c r="AX593" s="119"/>
      <c r="AY593" s="43"/>
      <c r="AZ593" s="43"/>
      <c r="BA593" s="43"/>
      <c r="BB593" s="43"/>
      <c r="BC593" s="43"/>
      <c r="BD593" s="43"/>
    </row>
    <row r="594" spans="1:56" ht="15.75">
      <c r="A594" s="88">
        <v>6992</v>
      </c>
      <c r="B594" s="1033" t="s">
        <v>28</v>
      </c>
      <c r="C594" s="1033"/>
      <c r="D594" s="1033"/>
      <c r="E594" s="1033"/>
      <c r="F594" s="1033"/>
      <c r="G594" s="1033"/>
      <c r="H594" s="1033"/>
      <c r="I594" s="1033"/>
      <c r="J594" s="1033"/>
      <c r="K594" s="1033"/>
      <c r="L594" s="90"/>
      <c r="M594" s="51" t="s">
        <v>265</v>
      </c>
      <c r="N594" s="113">
        <f t="shared" ref="N594:N600" si="297">+A594</f>
        <v>6992</v>
      </c>
      <c r="O594" s="8">
        <v>0</v>
      </c>
      <c r="P594" s="9">
        <v>0</v>
      </c>
      <c r="Q594" s="325">
        <v>0</v>
      </c>
      <c r="R594" s="324">
        <v>0</v>
      </c>
      <c r="S594" s="27">
        <f t="shared" ref="S594:S600" si="298">+IF(ABS(+O594+Q594)&gt;=ABS(P594+R594),+O594-P594+Q594-R594,0)</f>
        <v>0</v>
      </c>
      <c r="T594" s="28">
        <f t="shared" ref="T594:T600" si="299">+IF(ABS(+O594+Q594)&lt;=ABS(P594+R594),-O594+P594-Q594+R594,0)</f>
        <v>0</v>
      </c>
      <c r="U594" s="51"/>
      <c r="V594" s="541">
        <f>+'NF-KSF-TRIAL-BAL-2020'!O594+'RA-TRIAL-BAL-2020'!O594+'DES-TRIAL-BAL-2020'!O594+'DMP-TRIAL-BAL-2020'!O594</f>
        <v>0</v>
      </c>
      <c r="W594" s="529">
        <f>+'NF-KSF-TRIAL-BAL-2020'!P594+'RA-TRIAL-BAL-2020'!P594+'DES-TRIAL-BAL-2020'!P594+'DMP-TRIAL-BAL-2020'!P594</f>
        <v>0</v>
      </c>
      <c r="X594" s="528">
        <f>+'NF-KSF-TRIAL-BAL-2020'!Q594+'RA-TRIAL-BAL-2020'!Q594+'DES-TRIAL-BAL-2020'!Q594+'DMP-TRIAL-BAL-2020'!Q594</f>
        <v>0</v>
      </c>
      <c r="Y594" s="529">
        <f>+'NF-KSF-TRIAL-BAL-2020'!R594+'RA-TRIAL-BAL-2020'!R594+'DES-TRIAL-BAL-2020'!R594+'DMP-TRIAL-BAL-2020'!R594</f>
        <v>0</v>
      </c>
      <c r="Z594" s="528">
        <f>+'NF-KSF-TRIAL-BAL-2020'!S594+'RA-TRIAL-BAL-2020'!S594+'DES-TRIAL-BAL-2020'!S594+'DMP-TRIAL-BAL-2020'!S594</f>
        <v>0</v>
      </c>
      <c r="AA594" s="347">
        <f>+'NF-KSF-TRIAL-BAL-2020'!T594+'RA-TRIAL-BAL-2020'!T594+'DES-TRIAL-BAL-2020'!T594+'DMP-TRIAL-BAL-2020'!T594</f>
        <v>0</v>
      </c>
      <c r="AB594" s="51"/>
      <c r="AC594" s="8">
        <v>0</v>
      </c>
      <c r="AD594" s="9">
        <v>0</v>
      </c>
      <c r="AE594" s="122">
        <v>0</v>
      </c>
      <c r="AF594" s="121">
        <v>0</v>
      </c>
      <c r="AG594" s="27">
        <f t="shared" ref="AG594:AG600" si="300">+IF(ABS(+AC594+AE594)&gt;=ABS(AD594+AF594),+AC594-AD594+AE594-AF594,0)</f>
        <v>0</v>
      </c>
      <c r="AH594" s="28">
        <f t="shared" ref="AH594:AH600" si="301">+IF(ABS(+AC594+AE594)&lt;=ABS(AD594+AF594),-AC594+AD594-AE594+AF594,0)</f>
        <v>0</v>
      </c>
      <c r="AI594" s="51"/>
      <c r="AJ594" s="1497">
        <f t="shared" ref="AJ594:AJ600" si="302">+N594</f>
        <v>6992</v>
      </c>
      <c r="AK594" s="8">
        <v>0</v>
      </c>
      <c r="AL594" s="9">
        <v>0</v>
      </c>
      <c r="AM594" s="326">
        <f t="shared" ref="AM594:AM600" si="303">+ROUND(+Q594+X594+AE594,2)</f>
        <v>0</v>
      </c>
      <c r="AN594" s="970">
        <f t="shared" ref="AN594:AN600" si="304">+ROUND(+R594+Y594+AF594,2)</f>
        <v>0</v>
      </c>
      <c r="AO594" s="27">
        <f t="shared" si="289"/>
        <v>0</v>
      </c>
      <c r="AP594" s="28">
        <f t="shared" si="284"/>
        <v>0</v>
      </c>
      <c r="AQ594" s="43"/>
      <c r="AR594" s="358">
        <f t="shared" ref="AR594:AR600" si="305">+ROUND(+SUM(AK594-AL594)-SUM(O594-P594)-SUM(V594-W594)-SUM(AC594-AD594),2)</f>
        <v>0</v>
      </c>
      <c r="AS594" s="359">
        <f t="shared" ref="AS594:AS600" si="306">+ROUND(+SUM(AM594-AN594)-SUM(Q594-R594)-SUM(X594-Y594)-SUM(AE594-AF594),2)</f>
        <v>0</v>
      </c>
      <c r="AT594" s="360">
        <f t="shared" ref="AT594:AT600" si="307">+ROUND(+SUM(AO594-AP594)-SUM(S594-T594)-SUM(Z594-AA594)-SUM(AG594-AH594),2)</f>
        <v>0</v>
      </c>
      <c r="AU594" s="43"/>
      <c r="AV594" s="43"/>
      <c r="AW594" s="119"/>
      <c r="AX594" s="119"/>
      <c r="AY594" s="43"/>
      <c r="AZ594" s="43"/>
      <c r="BA594" s="43"/>
      <c r="BB594" s="43"/>
      <c r="BC594" s="43"/>
      <c r="BD594" s="43"/>
    </row>
    <row r="595" spans="1:56" ht="15.75">
      <c r="A595" s="88">
        <v>6993</v>
      </c>
      <c r="B595" s="1033" t="s">
        <v>29</v>
      </c>
      <c r="C595" s="1033"/>
      <c r="D595" s="1033"/>
      <c r="E595" s="1033"/>
      <c r="F595" s="1033"/>
      <c r="G595" s="1033"/>
      <c r="H595" s="1033"/>
      <c r="I595" s="1033"/>
      <c r="J595" s="1033"/>
      <c r="K595" s="1033"/>
      <c r="L595" s="90"/>
      <c r="M595" s="51" t="s">
        <v>265</v>
      </c>
      <c r="N595" s="113">
        <f t="shared" si="297"/>
        <v>6993</v>
      </c>
      <c r="O595" s="8">
        <v>0</v>
      </c>
      <c r="P595" s="9">
        <v>0</v>
      </c>
      <c r="Q595" s="325"/>
      <c r="R595" s="324"/>
      <c r="S595" s="27">
        <f t="shared" si="298"/>
        <v>0</v>
      </c>
      <c r="T595" s="28">
        <f t="shared" si="299"/>
        <v>0</v>
      </c>
      <c r="U595" s="51"/>
      <c r="V595" s="541">
        <f>+'NF-KSF-TRIAL-BAL-2020'!O595+'RA-TRIAL-BAL-2020'!O595+'DES-TRIAL-BAL-2020'!O595+'DMP-TRIAL-BAL-2020'!O595</f>
        <v>0</v>
      </c>
      <c r="W595" s="529">
        <f>+'NF-KSF-TRIAL-BAL-2020'!P595+'RA-TRIAL-BAL-2020'!P595+'DES-TRIAL-BAL-2020'!P595+'DMP-TRIAL-BAL-2020'!P595</f>
        <v>0</v>
      </c>
      <c r="X595" s="528">
        <f>+'NF-KSF-TRIAL-BAL-2020'!Q595+'RA-TRIAL-BAL-2020'!Q595+'DES-TRIAL-BAL-2020'!Q595+'DMP-TRIAL-BAL-2020'!Q595</f>
        <v>0</v>
      </c>
      <c r="Y595" s="529">
        <f>+'NF-KSF-TRIAL-BAL-2020'!R595+'RA-TRIAL-BAL-2020'!R595+'DES-TRIAL-BAL-2020'!R595+'DMP-TRIAL-BAL-2020'!R595</f>
        <v>0</v>
      </c>
      <c r="Z595" s="528">
        <f>+'NF-KSF-TRIAL-BAL-2020'!S595+'RA-TRIAL-BAL-2020'!S595+'DES-TRIAL-BAL-2020'!S595+'DMP-TRIAL-BAL-2020'!S595</f>
        <v>0</v>
      </c>
      <c r="AA595" s="347">
        <f>+'NF-KSF-TRIAL-BAL-2020'!T595+'RA-TRIAL-BAL-2020'!T595+'DES-TRIAL-BAL-2020'!T595+'DMP-TRIAL-BAL-2020'!T595</f>
        <v>0</v>
      </c>
      <c r="AB595" s="51"/>
      <c r="AC595" s="8">
        <v>0</v>
      </c>
      <c r="AD595" s="9">
        <v>0</v>
      </c>
      <c r="AE595" s="325"/>
      <c r="AF595" s="324"/>
      <c r="AG595" s="27">
        <f t="shared" si="300"/>
        <v>0</v>
      </c>
      <c r="AH595" s="28">
        <f t="shared" si="301"/>
        <v>0</v>
      </c>
      <c r="AI595" s="51"/>
      <c r="AJ595" s="1497">
        <f t="shared" si="302"/>
        <v>6993</v>
      </c>
      <c r="AK595" s="8">
        <v>0</v>
      </c>
      <c r="AL595" s="9">
        <v>0</v>
      </c>
      <c r="AM595" s="326">
        <f t="shared" si="303"/>
        <v>0</v>
      </c>
      <c r="AN595" s="970">
        <f t="shared" si="304"/>
        <v>0</v>
      </c>
      <c r="AO595" s="27">
        <f t="shared" si="289"/>
        <v>0</v>
      </c>
      <c r="AP595" s="28">
        <f t="shared" si="284"/>
        <v>0</v>
      </c>
      <c r="AQ595" s="43"/>
      <c r="AR595" s="358">
        <f t="shared" si="305"/>
        <v>0</v>
      </c>
      <c r="AS595" s="359">
        <f t="shared" si="306"/>
        <v>0</v>
      </c>
      <c r="AT595" s="360">
        <f t="shared" si="307"/>
        <v>0</v>
      </c>
      <c r="AU595" s="43"/>
      <c r="AV595" s="43"/>
      <c r="AW595" s="119"/>
      <c r="AX595" s="119"/>
      <c r="AY595" s="43"/>
      <c r="AZ595" s="43"/>
      <c r="BA595" s="43"/>
      <c r="BB595" s="43"/>
      <c r="BC595" s="43"/>
      <c r="BD595" s="43"/>
    </row>
    <row r="596" spans="1:56" ht="15.75">
      <c r="A596" s="88">
        <v>6994</v>
      </c>
      <c r="B596" s="1033" t="s">
        <v>30</v>
      </c>
      <c r="C596" s="1033"/>
      <c r="D596" s="1033"/>
      <c r="E596" s="1033"/>
      <c r="F596" s="1033"/>
      <c r="G596" s="1033"/>
      <c r="H596" s="1033"/>
      <c r="I596" s="1033"/>
      <c r="J596" s="1033"/>
      <c r="K596" s="1033"/>
      <c r="L596" s="90"/>
      <c r="M596" s="51" t="s">
        <v>265</v>
      </c>
      <c r="N596" s="113">
        <f t="shared" si="297"/>
        <v>6994</v>
      </c>
      <c r="O596" s="8">
        <v>0</v>
      </c>
      <c r="P596" s="9">
        <v>0</v>
      </c>
      <c r="Q596" s="325"/>
      <c r="R596" s="324"/>
      <c r="S596" s="27">
        <f t="shared" si="298"/>
        <v>0</v>
      </c>
      <c r="T596" s="28">
        <f t="shared" si="299"/>
        <v>0</v>
      </c>
      <c r="U596" s="51"/>
      <c r="V596" s="541">
        <f>+'NF-KSF-TRIAL-BAL-2020'!O596+'RA-TRIAL-BAL-2020'!O596+'DES-TRIAL-BAL-2020'!O596+'DMP-TRIAL-BAL-2020'!O596</f>
        <v>0</v>
      </c>
      <c r="W596" s="529">
        <f>+'NF-KSF-TRIAL-BAL-2020'!P596+'RA-TRIAL-BAL-2020'!P596+'DES-TRIAL-BAL-2020'!P596+'DMP-TRIAL-BAL-2020'!P596</f>
        <v>0</v>
      </c>
      <c r="X596" s="528">
        <f>+'NF-KSF-TRIAL-BAL-2020'!Q596+'RA-TRIAL-BAL-2020'!Q596+'DES-TRIAL-BAL-2020'!Q596+'DMP-TRIAL-BAL-2020'!Q596</f>
        <v>0</v>
      </c>
      <c r="Y596" s="529">
        <f>+'NF-KSF-TRIAL-BAL-2020'!R596+'RA-TRIAL-BAL-2020'!R596+'DES-TRIAL-BAL-2020'!R596+'DMP-TRIAL-BAL-2020'!R596</f>
        <v>0</v>
      </c>
      <c r="Z596" s="528">
        <f>+'NF-KSF-TRIAL-BAL-2020'!S596+'RA-TRIAL-BAL-2020'!S596+'DES-TRIAL-BAL-2020'!S596+'DMP-TRIAL-BAL-2020'!S596</f>
        <v>0</v>
      </c>
      <c r="AA596" s="347">
        <f>+'NF-KSF-TRIAL-BAL-2020'!T596+'RA-TRIAL-BAL-2020'!T596+'DES-TRIAL-BAL-2020'!T596+'DMP-TRIAL-BAL-2020'!T596</f>
        <v>0</v>
      </c>
      <c r="AB596" s="51"/>
      <c r="AC596" s="8">
        <v>0</v>
      </c>
      <c r="AD596" s="9">
        <v>0</v>
      </c>
      <c r="AE596" s="325"/>
      <c r="AF596" s="324"/>
      <c r="AG596" s="27">
        <f t="shared" si="300"/>
        <v>0</v>
      </c>
      <c r="AH596" s="28">
        <f t="shared" si="301"/>
        <v>0</v>
      </c>
      <c r="AI596" s="51"/>
      <c r="AJ596" s="1497">
        <f t="shared" si="302"/>
        <v>6994</v>
      </c>
      <c r="AK596" s="8">
        <v>0</v>
      </c>
      <c r="AL596" s="9">
        <v>0</v>
      </c>
      <c r="AM596" s="326">
        <f t="shared" si="303"/>
        <v>0</v>
      </c>
      <c r="AN596" s="970">
        <f t="shared" si="304"/>
        <v>0</v>
      </c>
      <c r="AO596" s="27">
        <f t="shared" si="289"/>
        <v>0</v>
      </c>
      <c r="AP596" s="28">
        <f t="shared" si="284"/>
        <v>0</v>
      </c>
      <c r="AQ596" s="43"/>
      <c r="AR596" s="358">
        <f t="shared" si="305"/>
        <v>0</v>
      </c>
      <c r="AS596" s="359">
        <f t="shared" si="306"/>
        <v>0</v>
      </c>
      <c r="AT596" s="360">
        <f t="shared" si="307"/>
        <v>0</v>
      </c>
      <c r="AU596" s="43"/>
      <c r="AV596" s="43"/>
      <c r="AW596" s="119"/>
      <c r="AX596" s="119"/>
      <c r="AY596" s="43"/>
      <c r="AZ596" s="43"/>
      <c r="BA596" s="43"/>
      <c r="BB596" s="43"/>
      <c r="BC596" s="43"/>
      <c r="BD596" s="43"/>
    </row>
    <row r="597" spans="1:56" ht="15.75">
      <c r="A597" s="88">
        <v>6995</v>
      </c>
      <c r="B597" s="1033" t="s">
        <v>31</v>
      </c>
      <c r="C597" s="1033"/>
      <c r="D597" s="1033"/>
      <c r="E597" s="1033"/>
      <c r="F597" s="1033"/>
      <c r="G597" s="1033"/>
      <c r="H597" s="1033"/>
      <c r="I597" s="1033"/>
      <c r="J597" s="1033"/>
      <c r="K597" s="1033"/>
      <c r="L597" s="90"/>
      <c r="M597" s="51" t="s">
        <v>265</v>
      </c>
      <c r="N597" s="113">
        <f t="shared" si="297"/>
        <v>6995</v>
      </c>
      <c r="O597" s="8">
        <v>0</v>
      </c>
      <c r="P597" s="9">
        <v>0</v>
      </c>
      <c r="Q597" s="325"/>
      <c r="R597" s="324"/>
      <c r="S597" s="27">
        <f t="shared" si="298"/>
        <v>0</v>
      </c>
      <c r="T597" s="28">
        <f t="shared" si="299"/>
        <v>0</v>
      </c>
      <c r="U597" s="51"/>
      <c r="V597" s="541">
        <f>+'NF-KSF-TRIAL-BAL-2020'!O597+'RA-TRIAL-BAL-2020'!O597+'DES-TRIAL-BAL-2020'!O597+'DMP-TRIAL-BAL-2020'!O597</f>
        <v>0</v>
      </c>
      <c r="W597" s="529">
        <f>+'NF-KSF-TRIAL-BAL-2020'!P597+'RA-TRIAL-BAL-2020'!P597+'DES-TRIAL-BAL-2020'!P597+'DMP-TRIAL-BAL-2020'!P597</f>
        <v>0</v>
      </c>
      <c r="X597" s="528">
        <f>+'NF-KSF-TRIAL-BAL-2020'!Q597+'RA-TRIAL-BAL-2020'!Q597+'DES-TRIAL-BAL-2020'!Q597+'DMP-TRIAL-BAL-2020'!Q597</f>
        <v>0</v>
      </c>
      <c r="Y597" s="529">
        <f>+'NF-KSF-TRIAL-BAL-2020'!R597+'RA-TRIAL-BAL-2020'!R597+'DES-TRIAL-BAL-2020'!R597+'DMP-TRIAL-BAL-2020'!R597</f>
        <v>0</v>
      </c>
      <c r="Z597" s="528">
        <f>+'NF-KSF-TRIAL-BAL-2020'!S597+'RA-TRIAL-BAL-2020'!S597+'DES-TRIAL-BAL-2020'!S597+'DMP-TRIAL-BAL-2020'!S597</f>
        <v>0</v>
      </c>
      <c r="AA597" s="347">
        <f>+'NF-KSF-TRIAL-BAL-2020'!T597+'RA-TRIAL-BAL-2020'!T597+'DES-TRIAL-BAL-2020'!T597+'DMP-TRIAL-BAL-2020'!T597</f>
        <v>0</v>
      </c>
      <c r="AB597" s="51"/>
      <c r="AC597" s="8">
        <v>0</v>
      </c>
      <c r="AD597" s="9">
        <v>0</v>
      </c>
      <c r="AE597" s="122"/>
      <c r="AF597" s="121"/>
      <c r="AG597" s="27">
        <f t="shared" si="300"/>
        <v>0</v>
      </c>
      <c r="AH597" s="28">
        <f t="shared" si="301"/>
        <v>0</v>
      </c>
      <c r="AI597" s="51"/>
      <c r="AJ597" s="1497">
        <f t="shared" si="302"/>
        <v>6995</v>
      </c>
      <c r="AK597" s="8">
        <v>0</v>
      </c>
      <c r="AL597" s="9">
        <v>0</v>
      </c>
      <c r="AM597" s="326">
        <f t="shared" si="303"/>
        <v>0</v>
      </c>
      <c r="AN597" s="970">
        <f t="shared" si="304"/>
        <v>0</v>
      </c>
      <c r="AO597" s="27">
        <f t="shared" si="289"/>
        <v>0</v>
      </c>
      <c r="AP597" s="28">
        <f t="shared" si="284"/>
        <v>0</v>
      </c>
      <c r="AQ597" s="43"/>
      <c r="AR597" s="358">
        <f t="shared" si="305"/>
        <v>0</v>
      </c>
      <c r="AS597" s="359">
        <f t="shared" si="306"/>
        <v>0</v>
      </c>
      <c r="AT597" s="360">
        <f t="shared" si="307"/>
        <v>0</v>
      </c>
      <c r="AU597" s="43"/>
      <c r="AV597" s="43"/>
      <c r="AW597" s="119"/>
      <c r="AX597" s="119"/>
      <c r="AY597" s="43"/>
      <c r="AZ597" s="43"/>
      <c r="BA597" s="43"/>
      <c r="BB597" s="43"/>
      <c r="BC597" s="43"/>
      <c r="BD597" s="43"/>
    </row>
    <row r="598" spans="1:56" ht="15.75">
      <c r="A598" s="88">
        <v>6996</v>
      </c>
      <c r="B598" s="1033" t="s">
        <v>32</v>
      </c>
      <c r="C598" s="1033"/>
      <c r="D598" s="1033"/>
      <c r="E598" s="1033"/>
      <c r="F598" s="1033"/>
      <c r="G598" s="1033"/>
      <c r="H598" s="1033"/>
      <c r="I598" s="1033"/>
      <c r="J598" s="1033"/>
      <c r="K598" s="1033"/>
      <c r="L598" s="90"/>
      <c r="M598" s="51" t="s">
        <v>265</v>
      </c>
      <c r="N598" s="113">
        <f t="shared" si="297"/>
        <v>6996</v>
      </c>
      <c r="O598" s="8">
        <v>0</v>
      </c>
      <c r="P598" s="9">
        <v>0</v>
      </c>
      <c r="Q598" s="325"/>
      <c r="R598" s="324"/>
      <c r="S598" s="27">
        <f t="shared" si="298"/>
        <v>0</v>
      </c>
      <c r="T598" s="28">
        <f t="shared" si="299"/>
        <v>0</v>
      </c>
      <c r="U598" s="51"/>
      <c r="V598" s="541">
        <f>+'NF-KSF-TRIAL-BAL-2020'!O598+'RA-TRIAL-BAL-2020'!O598+'DES-TRIAL-BAL-2020'!O598+'DMP-TRIAL-BAL-2020'!O598</f>
        <v>0</v>
      </c>
      <c r="W598" s="529">
        <f>+'NF-KSF-TRIAL-BAL-2020'!P598+'RA-TRIAL-BAL-2020'!P598+'DES-TRIAL-BAL-2020'!P598+'DMP-TRIAL-BAL-2020'!P598</f>
        <v>0</v>
      </c>
      <c r="X598" s="528">
        <f>+'NF-KSF-TRIAL-BAL-2020'!Q598+'RA-TRIAL-BAL-2020'!Q598+'DES-TRIAL-BAL-2020'!Q598+'DMP-TRIAL-BAL-2020'!Q598</f>
        <v>0</v>
      </c>
      <c r="Y598" s="529">
        <f>+'NF-KSF-TRIAL-BAL-2020'!R598+'RA-TRIAL-BAL-2020'!R598+'DES-TRIAL-BAL-2020'!R598+'DMP-TRIAL-BAL-2020'!R598</f>
        <v>0</v>
      </c>
      <c r="Z598" s="528">
        <f>+'NF-KSF-TRIAL-BAL-2020'!S598+'RA-TRIAL-BAL-2020'!S598+'DES-TRIAL-BAL-2020'!S598+'DMP-TRIAL-BAL-2020'!S598</f>
        <v>0</v>
      </c>
      <c r="AA598" s="347">
        <f>+'NF-KSF-TRIAL-BAL-2020'!T598+'RA-TRIAL-BAL-2020'!T598+'DES-TRIAL-BAL-2020'!T598+'DMP-TRIAL-BAL-2020'!T598</f>
        <v>0</v>
      </c>
      <c r="AB598" s="51"/>
      <c r="AC598" s="8">
        <v>0</v>
      </c>
      <c r="AD598" s="9">
        <v>0</v>
      </c>
      <c r="AE598" s="122"/>
      <c r="AF598" s="121"/>
      <c r="AG598" s="27">
        <f t="shared" si="300"/>
        <v>0</v>
      </c>
      <c r="AH598" s="28">
        <f t="shared" si="301"/>
        <v>0</v>
      </c>
      <c r="AI598" s="51"/>
      <c r="AJ598" s="1497">
        <f t="shared" si="302"/>
        <v>6996</v>
      </c>
      <c r="AK598" s="8">
        <v>0</v>
      </c>
      <c r="AL598" s="9">
        <v>0</v>
      </c>
      <c r="AM598" s="326">
        <f t="shared" si="303"/>
        <v>0</v>
      </c>
      <c r="AN598" s="970">
        <f t="shared" si="304"/>
        <v>0</v>
      </c>
      <c r="AO598" s="27">
        <f t="shared" si="289"/>
        <v>0</v>
      </c>
      <c r="AP598" s="28">
        <f t="shared" si="284"/>
        <v>0</v>
      </c>
      <c r="AQ598" s="43"/>
      <c r="AR598" s="358">
        <f t="shared" si="305"/>
        <v>0</v>
      </c>
      <c r="AS598" s="359">
        <f t="shared" si="306"/>
        <v>0</v>
      </c>
      <c r="AT598" s="360">
        <f t="shared" si="307"/>
        <v>0</v>
      </c>
      <c r="AU598" s="43"/>
      <c r="AV598" s="43"/>
      <c r="AW598" s="119"/>
      <c r="AX598" s="119"/>
      <c r="AY598" s="43"/>
      <c r="AZ598" s="43"/>
      <c r="BA598" s="43"/>
      <c r="BB598" s="43"/>
      <c r="BC598" s="43"/>
      <c r="BD598" s="43"/>
    </row>
    <row r="599" spans="1:56" ht="15.75">
      <c r="A599" s="88">
        <v>6997</v>
      </c>
      <c r="B599" s="1033" t="s">
        <v>33</v>
      </c>
      <c r="C599" s="1033"/>
      <c r="D599" s="1033"/>
      <c r="E599" s="1033"/>
      <c r="F599" s="1033"/>
      <c r="G599" s="1033"/>
      <c r="H599" s="1033"/>
      <c r="I599" s="1033"/>
      <c r="J599" s="1033"/>
      <c r="K599" s="1033"/>
      <c r="L599" s="90"/>
      <c r="M599" s="51" t="s">
        <v>265</v>
      </c>
      <c r="N599" s="113">
        <f t="shared" si="297"/>
        <v>6997</v>
      </c>
      <c r="O599" s="8">
        <v>0</v>
      </c>
      <c r="P599" s="9">
        <v>0</v>
      </c>
      <c r="Q599" s="325"/>
      <c r="R599" s="324"/>
      <c r="S599" s="27">
        <f t="shared" si="298"/>
        <v>0</v>
      </c>
      <c r="T599" s="28">
        <f t="shared" si="299"/>
        <v>0</v>
      </c>
      <c r="U599" s="51"/>
      <c r="V599" s="541">
        <f>+'NF-KSF-TRIAL-BAL-2020'!O599+'RA-TRIAL-BAL-2020'!O599+'DES-TRIAL-BAL-2020'!O599+'DMP-TRIAL-BAL-2020'!O599</f>
        <v>0</v>
      </c>
      <c r="W599" s="529">
        <f>+'NF-KSF-TRIAL-BAL-2020'!P599+'RA-TRIAL-BAL-2020'!P599+'DES-TRIAL-BAL-2020'!P599+'DMP-TRIAL-BAL-2020'!P599</f>
        <v>0</v>
      </c>
      <c r="X599" s="528">
        <f>+'NF-KSF-TRIAL-BAL-2020'!Q599+'RA-TRIAL-BAL-2020'!Q599+'DES-TRIAL-BAL-2020'!Q599+'DMP-TRIAL-BAL-2020'!Q599</f>
        <v>0</v>
      </c>
      <c r="Y599" s="529">
        <f>+'NF-KSF-TRIAL-BAL-2020'!R599+'RA-TRIAL-BAL-2020'!R599+'DES-TRIAL-BAL-2020'!R599+'DMP-TRIAL-BAL-2020'!R599</f>
        <v>0</v>
      </c>
      <c r="Z599" s="528">
        <f>+'NF-KSF-TRIAL-BAL-2020'!S599+'RA-TRIAL-BAL-2020'!S599+'DES-TRIAL-BAL-2020'!S599+'DMP-TRIAL-BAL-2020'!S599</f>
        <v>0</v>
      </c>
      <c r="AA599" s="347">
        <f>+'NF-KSF-TRIAL-BAL-2020'!T599+'RA-TRIAL-BAL-2020'!T599+'DES-TRIAL-BAL-2020'!T599+'DMP-TRIAL-BAL-2020'!T599</f>
        <v>0</v>
      </c>
      <c r="AB599" s="51"/>
      <c r="AC599" s="8">
        <v>0</v>
      </c>
      <c r="AD599" s="9">
        <v>0</v>
      </c>
      <c r="AE599" s="122"/>
      <c r="AF599" s="121"/>
      <c r="AG599" s="27">
        <f t="shared" si="300"/>
        <v>0</v>
      </c>
      <c r="AH599" s="28">
        <f t="shared" si="301"/>
        <v>0</v>
      </c>
      <c r="AI599" s="51"/>
      <c r="AJ599" s="1497">
        <f t="shared" si="302"/>
        <v>6997</v>
      </c>
      <c r="AK599" s="8">
        <v>0</v>
      </c>
      <c r="AL599" s="9">
        <v>0</v>
      </c>
      <c r="AM599" s="326">
        <f t="shared" si="303"/>
        <v>0</v>
      </c>
      <c r="AN599" s="970">
        <f t="shared" si="304"/>
        <v>0</v>
      </c>
      <c r="AO599" s="27">
        <f t="shared" si="289"/>
        <v>0</v>
      </c>
      <c r="AP599" s="28">
        <f t="shared" si="284"/>
        <v>0</v>
      </c>
      <c r="AQ599" s="43"/>
      <c r="AR599" s="358">
        <f t="shared" si="305"/>
        <v>0</v>
      </c>
      <c r="AS599" s="359">
        <f t="shared" si="306"/>
        <v>0</v>
      </c>
      <c r="AT599" s="360">
        <f t="shared" si="307"/>
        <v>0</v>
      </c>
      <c r="AU599" s="43"/>
      <c r="AV599" s="43"/>
      <c r="AW599" s="119"/>
      <c r="AX599" s="119"/>
      <c r="AY599" s="43"/>
      <c r="AZ599" s="43"/>
      <c r="BA599" s="43"/>
      <c r="BB599" s="43"/>
      <c r="BC599" s="43"/>
      <c r="BD599" s="43"/>
    </row>
    <row r="600" spans="1:56" ht="15.75">
      <c r="A600" s="88">
        <v>6998</v>
      </c>
      <c r="B600" s="1033" t="s">
        <v>34</v>
      </c>
      <c r="C600" s="1033"/>
      <c r="D600" s="1033"/>
      <c r="E600" s="1033"/>
      <c r="F600" s="1033"/>
      <c r="G600" s="1033"/>
      <c r="H600" s="1033"/>
      <c r="I600" s="1033"/>
      <c r="J600" s="1033"/>
      <c r="K600" s="1033"/>
      <c r="L600" s="90"/>
      <c r="M600" s="51" t="s">
        <v>265</v>
      </c>
      <c r="N600" s="113">
        <f t="shared" si="297"/>
        <v>6998</v>
      </c>
      <c r="O600" s="8">
        <v>0</v>
      </c>
      <c r="P600" s="9">
        <v>0</v>
      </c>
      <c r="Q600" s="325"/>
      <c r="R600" s="324"/>
      <c r="S600" s="27">
        <f t="shared" si="298"/>
        <v>0</v>
      </c>
      <c r="T600" s="28">
        <f t="shared" si="299"/>
        <v>0</v>
      </c>
      <c r="U600" s="51"/>
      <c r="V600" s="541">
        <f>+'NF-KSF-TRIAL-BAL-2020'!O600+'RA-TRIAL-BAL-2020'!O600+'DES-TRIAL-BAL-2020'!O600+'DMP-TRIAL-BAL-2020'!O600</f>
        <v>0</v>
      </c>
      <c r="W600" s="529">
        <f>+'NF-KSF-TRIAL-BAL-2020'!P600+'RA-TRIAL-BAL-2020'!P600+'DES-TRIAL-BAL-2020'!P600+'DMP-TRIAL-BAL-2020'!P600</f>
        <v>0</v>
      </c>
      <c r="X600" s="528">
        <f>+'NF-KSF-TRIAL-BAL-2020'!Q600+'RA-TRIAL-BAL-2020'!Q600+'DES-TRIAL-BAL-2020'!Q600+'DMP-TRIAL-BAL-2020'!Q600</f>
        <v>0</v>
      </c>
      <c r="Y600" s="529">
        <f>+'NF-KSF-TRIAL-BAL-2020'!R600+'RA-TRIAL-BAL-2020'!R600+'DES-TRIAL-BAL-2020'!R600+'DMP-TRIAL-BAL-2020'!R600</f>
        <v>0</v>
      </c>
      <c r="Z600" s="528">
        <f>+'NF-KSF-TRIAL-BAL-2020'!S600+'RA-TRIAL-BAL-2020'!S600+'DES-TRIAL-BAL-2020'!S600+'DMP-TRIAL-BAL-2020'!S600</f>
        <v>0</v>
      </c>
      <c r="AA600" s="347">
        <f>+'NF-KSF-TRIAL-BAL-2020'!T600+'RA-TRIAL-BAL-2020'!T600+'DES-TRIAL-BAL-2020'!T600+'DMP-TRIAL-BAL-2020'!T600</f>
        <v>0</v>
      </c>
      <c r="AB600" s="51"/>
      <c r="AC600" s="8">
        <v>0</v>
      </c>
      <c r="AD600" s="9">
        <v>0</v>
      </c>
      <c r="AE600" s="122"/>
      <c r="AF600" s="121"/>
      <c r="AG600" s="27">
        <f t="shared" si="300"/>
        <v>0</v>
      </c>
      <c r="AH600" s="28">
        <f t="shared" si="301"/>
        <v>0</v>
      </c>
      <c r="AI600" s="51"/>
      <c r="AJ600" s="1497">
        <f t="shared" si="302"/>
        <v>6998</v>
      </c>
      <c r="AK600" s="8">
        <v>0</v>
      </c>
      <c r="AL600" s="9">
        <v>0</v>
      </c>
      <c r="AM600" s="326">
        <f t="shared" si="303"/>
        <v>0</v>
      </c>
      <c r="AN600" s="970">
        <f t="shared" si="304"/>
        <v>0</v>
      </c>
      <c r="AO600" s="27">
        <f t="shared" si="289"/>
        <v>0</v>
      </c>
      <c r="AP600" s="28">
        <f t="shared" si="284"/>
        <v>0</v>
      </c>
      <c r="AQ600" s="43"/>
      <c r="AR600" s="358">
        <f t="shared" si="305"/>
        <v>0</v>
      </c>
      <c r="AS600" s="359">
        <f t="shared" si="306"/>
        <v>0</v>
      </c>
      <c r="AT600" s="360">
        <f t="shared" si="307"/>
        <v>0</v>
      </c>
      <c r="AU600" s="43"/>
      <c r="AV600" s="43"/>
      <c r="AW600" s="119"/>
      <c r="AX600" s="119"/>
      <c r="AY600" s="43"/>
      <c r="AZ600" s="43"/>
      <c r="BA600" s="43"/>
      <c r="BB600" s="43"/>
      <c r="BC600" s="43"/>
      <c r="BD600" s="43"/>
    </row>
    <row r="601" spans="1:56" ht="15.75">
      <c r="A601" s="1030" t="s">
        <v>1160</v>
      </c>
      <c r="B601" s="399"/>
      <c r="C601" s="399"/>
      <c r="D601" s="399"/>
      <c r="E601" s="399"/>
      <c r="F601" s="399"/>
      <c r="G601" s="399"/>
      <c r="H601" s="399"/>
      <c r="I601" s="399"/>
      <c r="J601" s="399"/>
      <c r="K601" s="399"/>
      <c r="L601" s="381"/>
      <c r="M601" s="51" t="s">
        <v>265</v>
      </c>
      <c r="N601" s="383">
        <v>7</v>
      </c>
      <c r="O601" s="384"/>
      <c r="P601" s="385"/>
      <c r="Q601" s="386"/>
      <c r="R601" s="385"/>
      <c r="S601" s="386"/>
      <c r="T601" s="387"/>
      <c r="U601" s="51"/>
      <c r="V601" s="545"/>
      <c r="W601" s="533"/>
      <c r="X601" s="532"/>
      <c r="Y601" s="533"/>
      <c r="Z601" s="532"/>
      <c r="AA601" s="534"/>
      <c r="AB601" s="51"/>
      <c r="AC601" s="384"/>
      <c r="AD601" s="385"/>
      <c r="AE601" s="386"/>
      <c r="AF601" s="385"/>
      <c r="AG601" s="386"/>
      <c r="AH601" s="387"/>
      <c r="AI601" s="51"/>
      <c r="AJ601" s="388">
        <f t="shared" si="280"/>
        <v>7</v>
      </c>
      <c r="AK601" s="384"/>
      <c r="AL601" s="385"/>
      <c r="AM601" s="386"/>
      <c r="AN601" s="385"/>
      <c r="AO601" s="386"/>
      <c r="AP601" s="387"/>
      <c r="AQ601" s="43"/>
      <c r="AR601" s="392"/>
      <c r="AS601" s="393"/>
      <c r="AT601" s="394"/>
      <c r="AU601" s="43"/>
      <c r="AV601" s="43"/>
      <c r="AW601" s="119"/>
      <c r="AX601" s="119"/>
      <c r="AY601" s="43"/>
      <c r="AZ601" s="43"/>
      <c r="BA601" s="43"/>
      <c r="BB601" s="43"/>
      <c r="BC601" s="43"/>
      <c r="BD601" s="43"/>
    </row>
    <row r="602" spans="1:56" ht="15.75">
      <c r="A602" s="85">
        <v>7011</v>
      </c>
      <c r="B602" s="419" t="s">
        <v>667</v>
      </c>
      <c r="C602" s="86"/>
      <c r="D602" s="86"/>
      <c r="E602" s="86"/>
      <c r="F602" s="86"/>
      <c r="G602" s="86"/>
      <c r="H602" s="86"/>
      <c r="I602" s="86"/>
      <c r="J602" s="86"/>
      <c r="K602" s="86"/>
      <c r="L602" s="87"/>
      <c r="M602" s="51" t="s">
        <v>265</v>
      </c>
      <c r="N602" s="112">
        <f t="shared" ref="N602:N670" si="308">+A602</f>
        <v>7011</v>
      </c>
      <c r="O602" s="328">
        <v>0</v>
      </c>
      <c r="P602" s="329">
        <v>0</v>
      </c>
      <c r="Q602" s="325">
        <v>0</v>
      </c>
      <c r="R602" s="324">
        <v>0</v>
      </c>
      <c r="S602" s="326">
        <f t="shared" ref="S602:S639" si="309">+IF(ABS(+O602+Q602)&gt;=ABS(P602+R602),+O602-P602+Q602-R602,0)</f>
        <v>0</v>
      </c>
      <c r="T602" s="327">
        <f>+IF(ABS(+O602+Q602)&lt;=ABS(P602+R602),-O602+P602-Q602+R602,0)</f>
        <v>0</v>
      </c>
      <c r="U602" s="51"/>
      <c r="V602" s="543">
        <f>+'NF-KSF-TRIAL-BAL-2020'!O602+'RA-TRIAL-BAL-2020'!O602+'DES-TRIAL-BAL-2020'!O602+'DMP-TRIAL-BAL-2020'!O602</f>
        <v>0</v>
      </c>
      <c r="W602" s="526">
        <f>+'NF-KSF-TRIAL-BAL-2020'!P602+'RA-TRIAL-BAL-2020'!P602+'DES-TRIAL-BAL-2020'!P602+'DMP-TRIAL-BAL-2020'!P602</f>
        <v>0</v>
      </c>
      <c r="X602" s="525">
        <f>+'NF-KSF-TRIAL-BAL-2020'!Q602+'RA-TRIAL-BAL-2020'!Q602+'DES-TRIAL-BAL-2020'!Q602+'DMP-TRIAL-BAL-2020'!Q602</f>
        <v>0</v>
      </c>
      <c r="Y602" s="526">
        <f>+'NF-KSF-TRIAL-BAL-2020'!R602+'RA-TRIAL-BAL-2020'!R602+'DES-TRIAL-BAL-2020'!R602+'DMP-TRIAL-BAL-2020'!R602</f>
        <v>0</v>
      </c>
      <c r="Z602" s="525">
        <f>+'NF-KSF-TRIAL-BAL-2020'!S602+'RA-TRIAL-BAL-2020'!S602+'DES-TRIAL-BAL-2020'!S602+'DMP-TRIAL-BAL-2020'!S602</f>
        <v>0</v>
      </c>
      <c r="AA602" s="527">
        <f>+'NF-KSF-TRIAL-BAL-2020'!T602+'RA-TRIAL-BAL-2020'!T602+'DES-TRIAL-BAL-2020'!T602+'DMP-TRIAL-BAL-2020'!T602</f>
        <v>0</v>
      </c>
      <c r="AB602" s="51"/>
      <c r="AC602" s="328">
        <v>0</v>
      </c>
      <c r="AD602" s="329">
        <v>0</v>
      </c>
      <c r="AE602" s="325">
        <v>0</v>
      </c>
      <c r="AF602" s="324">
        <v>0</v>
      </c>
      <c r="AG602" s="326">
        <f t="shared" ref="AG602:AG640" si="310">+IF(ABS(+AC602+AE602)&gt;=ABS(AD602+AF602),+AC602-AD602+AE602-AF602,0)</f>
        <v>0</v>
      </c>
      <c r="AH602" s="327">
        <f>+IF(ABS(+AC602+AE602)&lt;=ABS(AD602+AF602),-AC602+AD602-AE602+AF602,0)</f>
        <v>0</v>
      </c>
      <c r="AI602" s="51"/>
      <c r="AJ602" s="1496">
        <f t="shared" si="280"/>
        <v>7011</v>
      </c>
      <c r="AK602" s="328">
        <v>0</v>
      </c>
      <c r="AL602" s="329">
        <v>0</v>
      </c>
      <c r="AM602" s="326">
        <f t="shared" ref="AM602:AN639" si="311">+ROUND(+Q602+X602+AE602,2)</f>
        <v>0</v>
      </c>
      <c r="AN602" s="970">
        <f t="shared" si="311"/>
        <v>0</v>
      </c>
      <c r="AO602" s="27">
        <f>+S602+Z602+AG602</f>
        <v>0</v>
      </c>
      <c r="AP602" s="28">
        <f>+T602+AA602+AH602</f>
        <v>0</v>
      </c>
      <c r="AQ602" s="43"/>
      <c r="AR602" s="358">
        <f t="shared" ref="AR602:AR669" si="312">+ROUND(+SUM(AK602-AL602)-SUM(O602-P602)-SUM(V602-W602)-SUM(AC602-AD602),2)</f>
        <v>0</v>
      </c>
      <c r="AS602" s="359">
        <f t="shared" ref="AS602:AS669" si="313">+ROUND(+SUM(AM602-AN602)-SUM(Q602-R602)-SUM(X602-Y602)-SUM(AE602-AF602),2)</f>
        <v>0</v>
      </c>
      <c r="AT602" s="360">
        <f t="shared" ref="AT602:AT669" si="314">+ROUND(+SUM(AO602-AP602)-SUM(S602-T602)-SUM(Z602-AA602)-SUM(AG602-AH602),2)</f>
        <v>0</v>
      </c>
      <c r="AU602" s="43"/>
      <c r="AV602" s="43"/>
      <c r="AW602" s="119"/>
      <c r="AX602" s="119"/>
      <c r="AY602" s="43"/>
      <c r="AZ602" s="43"/>
      <c r="BA602" s="43"/>
      <c r="BB602" s="43"/>
      <c r="BC602" s="43"/>
      <c r="BD602" s="43"/>
    </row>
    <row r="603" spans="1:56" ht="15.75">
      <c r="A603" s="88">
        <v>7012</v>
      </c>
      <c r="B603" s="1032" t="s">
        <v>668</v>
      </c>
      <c r="C603" s="1033"/>
      <c r="D603" s="1033"/>
      <c r="E603" s="1033"/>
      <c r="F603" s="1033"/>
      <c r="G603" s="1033"/>
      <c r="H603" s="1033"/>
      <c r="I603" s="1033"/>
      <c r="J603" s="1033"/>
      <c r="K603" s="1033"/>
      <c r="L603" s="90"/>
      <c r="M603" s="51" t="s">
        <v>265</v>
      </c>
      <c r="N603" s="113">
        <f t="shared" si="308"/>
        <v>7012</v>
      </c>
      <c r="O603" s="8">
        <v>0</v>
      </c>
      <c r="P603" s="9">
        <v>0</v>
      </c>
      <c r="Q603" s="325"/>
      <c r="R603" s="324"/>
      <c r="S603" s="27">
        <f t="shared" si="309"/>
        <v>0</v>
      </c>
      <c r="T603" s="28">
        <f>+IF(ABS(+O603+Q603)&lt;=ABS(P603+R603),-O603+P603-Q603+R603,0)</f>
        <v>0</v>
      </c>
      <c r="U603" s="51"/>
      <c r="V603" s="541">
        <f>+'NF-KSF-TRIAL-BAL-2020'!O603+'RA-TRIAL-BAL-2020'!O603+'DES-TRIAL-BAL-2020'!O603+'DMP-TRIAL-BAL-2020'!O603</f>
        <v>0</v>
      </c>
      <c r="W603" s="529">
        <f>+'NF-KSF-TRIAL-BAL-2020'!P603+'RA-TRIAL-BAL-2020'!P603+'DES-TRIAL-BAL-2020'!P603+'DMP-TRIAL-BAL-2020'!P603</f>
        <v>0</v>
      </c>
      <c r="X603" s="528">
        <f>+'NF-KSF-TRIAL-BAL-2020'!Q603+'RA-TRIAL-BAL-2020'!Q603+'DES-TRIAL-BAL-2020'!Q603+'DMP-TRIAL-BAL-2020'!Q603</f>
        <v>0</v>
      </c>
      <c r="Y603" s="529">
        <f>+'NF-KSF-TRIAL-BAL-2020'!R603+'RA-TRIAL-BAL-2020'!R603+'DES-TRIAL-BAL-2020'!R603+'DMP-TRIAL-BAL-2020'!R603</f>
        <v>0</v>
      </c>
      <c r="Z603" s="528">
        <f>+'NF-KSF-TRIAL-BAL-2020'!S603+'RA-TRIAL-BAL-2020'!S603+'DES-TRIAL-BAL-2020'!S603+'DMP-TRIAL-BAL-2020'!S603</f>
        <v>0</v>
      </c>
      <c r="AA603" s="347">
        <f>+'NF-KSF-TRIAL-BAL-2020'!T603+'RA-TRIAL-BAL-2020'!T603+'DES-TRIAL-BAL-2020'!T603+'DMP-TRIAL-BAL-2020'!T603</f>
        <v>0</v>
      </c>
      <c r="AB603" s="51"/>
      <c r="AC603" s="8">
        <v>0</v>
      </c>
      <c r="AD603" s="9">
        <v>0</v>
      </c>
      <c r="AE603" s="325"/>
      <c r="AF603" s="324"/>
      <c r="AG603" s="27">
        <f t="shared" si="310"/>
        <v>0</v>
      </c>
      <c r="AH603" s="28">
        <f>+IF(ABS(+AC603+AE603)&lt;=ABS(AD603+AF603),-AC603+AD603-AE603+AF603,0)</f>
        <v>0</v>
      </c>
      <c r="AI603" s="51"/>
      <c r="AJ603" s="1497">
        <f t="shared" si="280"/>
        <v>7012</v>
      </c>
      <c r="AK603" s="8">
        <v>0</v>
      </c>
      <c r="AL603" s="9">
        <v>0</v>
      </c>
      <c r="AM603" s="326">
        <f t="shared" si="311"/>
        <v>0</v>
      </c>
      <c r="AN603" s="970">
        <f t="shared" si="311"/>
        <v>0</v>
      </c>
      <c r="AO603" s="27">
        <f>+S603+Z603+AG603</f>
        <v>0</v>
      </c>
      <c r="AP603" s="28">
        <f>+T603+AA603+AH603</f>
        <v>0</v>
      </c>
      <c r="AQ603" s="43"/>
      <c r="AR603" s="358">
        <f t="shared" si="312"/>
        <v>0</v>
      </c>
      <c r="AS603" s="359">
        <f t="shared" si="313"/>
        <v>0</v>
      </c>
      <c r="AT603" s="360">
        <f t="shared" si="314"/>
        <v>0</v>
      </c>
      <c r="AU603" s="43"/>
      <c r="AV603" s="43"/>
      <c r="AW603" s="119"/>
      <c r="AX603" s="119"/>
      <c r="AY603" s="43"/>
      <c r="AZ603" s="43"/>
      <c r="BA603" s="43"/>
      <c r="BB603" s="43"/>
      <c r="BC603" s="43"/>
      <c r="BD603" s="43"/>
    </row>
    <row r="604" spans="1:56" ht="15.75">
      <c r="A604" s="88">
        <v>7013</v>
      </c>
      <c r="B604" s="1032" t="s">
        <v>669</v>
      </c>
      <c r="C604" s="1033"/>
      <c r="D604" s="1033"/>
      <c r="E604" s="1033"/>
      <c r="F604" s="1033"/>
      <c r="G604" s="1033"/>
      <c r="H604" s="1033"/>
      <c r="I604" s="1033"/>
      <c r="J604" s="1033"/>
      <c r="K604" s="1033"/>
      <c r="L604" s="90"/>
      <c r="M604" s="51" t="s">
        <v>265</v>
      </c>
      <c r="N604" s="113">
        <f t="shared" si="308"/>
        <v>7013</v>
      </c>
      <c r="O604" s="8">
        <v>0</v>
      </c>
      <c r="P604" s="9">
        <v>0</v>
      </c>
      <c r="Q604" s="325"/>
      <c r="R604" s="324"/>
      <c r="S604" s="27">
        <f t="shared" si="309"/>
        <v>0</v>
      </c>
      <c r="T604" s="30">
        <v>0</v>
      </c>
      <c r="U604" s="51"/>
      <c r="V604" s="541">
        <f>+'NF-KSF-TRIAL-BAL-2020'!O604+'RA-TRIAL-BAL-2020'!O604+'DES-TRIAL-BAL-2020'!O604+'DMP-TRIAL-BAL-2020'!O604</f>
        <v>0</v>
      </c>
      <c r="W604" s="529">
        <f>+'NF-KSF-TRIAL-BAL-2020'!P604+'RA-TRIAL-BAL-2020'!P604+'DES-TRIAL-BAL-2020'!P604+'DMP-TRIAL-BAL-2020'!P604</f>
        <v>0</v>
      </c>
      <c r="X604" s="528">
        <f>+'NF-KSF-TRIAL-BAL-2020'!Q604+'RA-TRIAL-BAL-2020'!Q604+'DES-TRIAL-BAL-2020'!Q604+'DMP-TRIAL-BAL-2020'!Q604</f>
        <v>0</v>
      </c>
      <c r="Y604" s="529">
        <f>+'NF-KSF-TRIAL-BAL-2020'!R604+'RA-TRIAL-BAL-2020'!R604+'DES-TRIAL-BAL-2020'!R604+'DMP-TRIAL-BAL-2020'!R604</f>
        <v>0</v>
      </c>
      <c r="Z604" s="528">
        <f>+'NF-KSF-TRIAL-BAL-2020'!S604+'RA-TRIAL-BAL-2020'!S604+'DES-TRIAL-BAL-2020'!S604+'DMP-TRIAL-BAL-2020'!S604</f>
        <v>0</v>
      </c>
      <c r="AA604" s="347">
        <f>+'NF-KSF-TRIAL-BAL-2020'!T604+'RA-TRIAL-BAL-2020'!T604+'DES-TRIAL-BAL-2020'!T604+'DMP-TRIAL-BAL-2020'!T604</f>
        <v>0</v>
      </c>
      <c r="AB604" s="51"/>
      <c r="AC604" s="8">
        <v>0</v>
      </c>
      <c r="AD604" s="9">
        <v>0</v>
      </c>
      <c r="AE604" s="122"/>
      <c r="AF604" s="324"/>
      <c r="AG604" s="27">
        <f t="shared" si="310"/>
        <v>0</v>
      </c>
      <c r="AH604" s="30">
        <v>0</v>
      </c>
      <c r="AI604" s="51"/>
      <c r="AJ604" s="1497">
        <f t="shared" si="280"/>
        <v>7013</v>
      </c>
      <c r="AK604" s="8">
        <v>0</v>
      </c>
      <c r="AL604" s="9">
        <v>0</v>
      </c>
      <c r="AM604" s="326">
        <f t="shared" si="311"/>
        <v>0</v>
      </c>
      <c r="AN604" s="970">
        <f t="shared" si="311"/>
        <v>0</v>
      </c>
      <c r="AO604" s="27">
        <f>+S604+Z604+AG604</f>
        <v>0</v>
      </c>
      <c r="AP604" s="30">
        <v>0</v>
      </c>
      <c r="AQ604" s="43"/>
      <c r="AR604" s="358">
        <f t="shared" si="312"/>
        <v>0</v>
      </c>
      <c r="AS604" s="359">
        <f t="shared" si="313"/>
        <v>0</v>
      </c>
      <c r="AT604" s="360">
        <f t="shared" si="314"/>
        <v>0</v>
      </c>
      <c r="AU604" s="43"/>
      <c r="AV604" s="2120">
        <f>+IF(OR(ROUND(P604,2)+ROUND(R604,2)&gt;+ROUND(O604,2)+ROUND(Q604,2),+ABS(ROUND(P604,2)+ROUND(R604,2))&gt;+ABS(ROUND(O604,2)+ROUND(Q604,2))),+(ROUND(P604,2)+ROUND(R604,2))-(ROUND(O604,2)+ROUND(Q604,2)),0)</f>
        <v>0</v>
      </c>
      <c r="AW604" s="119"/>
      <c r="AX604" s="2120">
        <f>+IF(OR(ROUND(AD604,2)+ROUND(AF604,2)&gt;+ROUND(AC604,2)+ROUND(AE604,2),+ABS(ROUND(AD604,2)+ROUND(AF604,2))&gt;+ABS(ROUND(AC604,2)+ROUND(AE604,2))),+(ROUND(AD604,2)+ROUND(AF604,2))-(ROUND(AC604,2)+ROUND(AE604,2)),0)</f>
        <v>0</v>
      </c>
      <c r="AY604" s="43"/>
      <c r="AZ604" s="43"/>
      <c r="BA604" s="43"/>
      <c r="BB604" s="43"/>
      <c r="BC604" s="43"/>
      <c r="BD604" s="43"/>
    </row>
    <row r="605" spans="1:56" ht="15.75">
      <c r="A605" s="88">
        <v>7014</v>
      </c>
      <c r="B605" s="1032" t="s">
        <v>670</v>
      </c>
      <c r="C605" s="1033"/>
      <c r="D605" s="1033"/>
      <c r="E605" s="1033"/>
      <c r="F605" s="1033"/>
      <c r="G605" s="1033"/>
      <c r="H605" s="1033"/>
      <c r="I605" s="1033"/>
      <c r="J605" s="1033"/>
      <c r="K605" s="1033"/>
      <c r="L605" s="90"/>
      <c r="M605" s="51" t="s">
        <v>265</v>
      </c>
      <c r="N605" s="113">
        <f t="shared" si="308"/>
        <v>7014</v>
      </c>
      <c r="O605" s="8">
        <v>0</v>
      </c>
      <c r="P605" s="9">
        <v>0</v>
      </c>
      <c r="Q605" s="325">
        <v>0</v>
      </c>
      <c r="R605" s="324">
        <v>0</v>
      </c>
      <c r="S605" s="27">
        <f t="shared" si="309"/>
        <v>0</v>
      </c>
      <c r="T605" s="28">
        <f>+IF(ABS(+O605+Q605)&lt;=ABS(P605+R605),-O605+P605-Q605+R605,0)</f>
        <v>0</v>
      </c>
      <c r="U605" s="51"/>
      <c r="V605" s="541">
        <f>+'NF-KSF-TRIAL-BAL-2020'!O605+'RA-TRIAL-BAL-2020'!O605+'DES-TRIAL-BAL-2020'!O605+'DMP-TRIAL-BAL-2020'!O605</f>
        <v>0</v>
      </c>
      <c r="W605" s="529">
        <f>+'NF-KSF-TRIAL-BAL-2020'!P605+'RA-TRIAL-BAL-2020'!P605+'DES-TRIAL-BAL-2020'!P605+'DMP-TRIAL-BAL-2020'!P605</f>
        <v>0</v>
      </c>
      <c r="X605" s="528">
        <f>+'NF-KSF-TRIAL-BAL-2020'!Q605+'RA-TRIAL-BAL-2020'!Q605+'DES-TRIAL-BAL-2020'!Q605+'DMP-TRIAL-BAL-2020'!Q605</f>
        <v>0</v>
      </c>
      <c r="Y605" s="529">
        <f>+'NF-KSF-TRIAL-BAL-2020'!R605+'RA-TRIAL-BAL-2020'!R605+'DES-TRIAL-BAL-2020'!R605+'DMP-TRIAL-BAL-2020'!R605</f>
        <v>0</v>
      </c>
      <c r="Z605" s="528">
        <f>+'NF-KSF-TRIAL-BAL-2020'!S605+'RA-TRIAL-BAL-2020'!S605+'DES-TRIAL-BAL-2020'!S605+'DMP-TRIAL-BAL-2020'!S605</f>
        <v>0</v>
      </c>
      <c r="AA605" s="347">
        <f>+'NF-KSF-TRIAL-BAL-2020'!T605+'RA-TRIAL-BAL-2020'!T605+'DES-TRIAL-BAL-2020'!T605+'DMP-TRIAL-BAL-2020'!T605</f>
        <v>0</v>
      </c>
      <c r="AB605" s="51"/>
      <c r="AC605" s="8">
        <v>0</v>
      </c>
      <c r="AD605" s="9">
        <v>0</v>
      </c>
      <c r="AE605" s="122">
        <v>0</v>
      </c>
      <c r="AF605" s="121">
        <v>0</v>
      </c>
      <c r="AG605" s="27">
        <f t="shared" si="310"/>
        <v>0</v>
      </c>
      <c r="AH605" s="28">
        <f>+IF(ABS(+AC605+AE605)&lt;=ABS(AD605+AF605),-AC605+AD605-AE605+AF605,0)</f>
        <v>0</v>
      </c>
      <c r="AI605" s="51"/>
      <c r="AJ605" s="1497">
        <f t="shared" si="280"/>
        <v>7014</v>
      </c>
      <c r="AK605" s="8">
        <v>0</v>
      </c>
      <c r="AL605" s="9">
        <v>0</v>
      </c>
      <c r="AM605" s="326">
        <f t="shared" si="311"/>
        <v>0</v>
      </c>
      <c r="AN605" s="970">
        <f t="shared" si="311"/>
        <v>0</v>
      </c>
      <c r="AO605" s="27">
        <f>+S605+Z605+AG605</f>
        <v>0</v>
      </c>
      <c r="AP605" s="28">
        <f>+T605+AA605+AH605</f>
        <v>0</v>
      </c>
      <c r="AQ605" s="43"/>
      <c r="AR605" s="358">
        <f t="shared" si="312"/>
        <v>0</v>
      </c>
      <c r="AS605" s="359">
        <f t="shared" si="313"/>
        <v>0</v>
      </c>
      <c r="AT605" s="360">
        <f t="shared" si="314"/>
        <v>0</v>
      </c>
      <c r="AU605" s="43"/>
      <c r="AV605" s="43"/>
      <c r="AW605" s="119"/>
      <c r="AX605" s="119"/>
      <c r="AY605" s="43"/>
      <c r="AZ605" s="43"/>
      <c r="BA605" s="43"/>
      <c r="BB605" s="43"/>
      <c r="BC605" s="43"/>
      <c r="BD605" s="43"/>
    </row>
    <row r="606" spans="1:56" ht="15.75">
      <c r="A606" s="88">
        <v>7041</v>
      </c>
      <c r="B606" s="1032" t="s">
        <v>1936</v>
      </c>
      <c r="C606" s="1033"/>
      <c r="D606" s="1033"/>
      <c r="E606" s="1033"/>
      <c r="F606" s="1033"/>
      <c r="G606" s="1033"/>
      <c r="H606" s="1033"/>
      <c r="I606" s="1033"/>
      <c r="J606" s="1033"/>
      <c r="K606" s="1033"/>
      <c r="L606" s="90"/>
      <c r="M606" s="51" t="s">
        <v>265</v>
      </c>
      <c r="N606" s="113">
        <f t="shared" si="308"/>
        <v>7041</v>
      </c>
      <c r="O606" s="8">
        <v>0</v>
      </c>
      <c r="P606" s="9">
        <v>0</v>
      </c>
      <c r="Q606" s="325">
        <v>0</v>
      </c>
      <c r="R606" s="324">
        <v>0</v>
      </c>
      <c r="S606" s="27">
        <f t="shared" si="309"/>
        <v>0</v>
      </c>
      <c r="T606" s="28">
        <f>+IF(ABS(+O606+Q606)&lt;=ABS(P606+R606),-O606+P606-Q606+R606,0)</f>
        <v>0</v>
      </c>
      <c r="U606" s="51"/>
      <c r="V606" s="541">
        <f>+'NF-KSF-TRIAL-BAL-2020'!O606+'RA-TRIAL-BAL-2020'!O606+'DES-TRIAL-BAL-2020'!O606+'DMP-TRIAL-BAL-2020'!O606</f>
        <v>0</v>
      </c>
      <c r="W606" s="529">
        <f>+'NF-KSF-TRIAL-BAL-2020'!P606+'RA-TRIAL-BAL-2020'!P606+'DES-TRIAL-BAL-2020'!P606+'DMP-TRIAL-BAL-2020'!P606</f>
        <v>0</v>
      </c>
      <c r="X606" s="528">
        <f>+'NF-KSF-TRIAL-BAL-2020'!Q606+'RA-TRIAL-BAL-2020'!Q606+'DES-TRIAL-BAL-2020'!Q606+'DMP-TRIAL-BAL-2020'!Q606</f>
        <v>0</v>
      </c>
      <c r="Y606" s="529">
        <f>+'NF-KSF-TRIAL-BAL-2020'!R606+'RA-TRIAL-BAL-2020'!R606+'DES-TRIAL-BAL-2020'!R606+'DMP-TRIAL-BAL-2020'!R606</f>
        <v>0</v>
      </c>
      <c r="Z606" s="528">
        <f>+'NF-KSF-TRIAL-BAL-2020'!S606+'RA-TRIAL-BAL-2020'!S606+'DES-TRIAL-BAL-2020'!S606+'DMP-TRIAL-BAL-2020'!S606</f>
        <v>0</v>
      </c>
      <c r="AA606" s="347">
        <f>+'NF-KSF-TRIAL-BAL-2020'!T606+'RA-TRIAL-BAL-2020'!T606+'DES-TRIAL-BAL-2020'!T606+'DMP-TRIAL-BAL-2020'!T606</f>
        <v>0</v>
      </c>
      <c r="AB606" s="51"/>
      <c r="AC606" s="8">
        <v>0</v>
      </c>
      <c r="AD606" s="9">
        <v>0</v>
      </c>
      <c r="AE606" s="325">
        <v>0</v>
      </c>
      <c r="AF606" s="324">
        <v>0</v>
      </c>
      <c r="AG606" s="27">
        <f t="shared" si="310"/>
        <v>0</v>
      </c>
      <c r="AH606" s="28">
        <f>+IF(ABS(+AC606+AE606)&lt;=ABS(AD606+AF606),-AC606+AD606-AE606+AF606,0)</f>
        <v>0</v>
      </c>
      <c r="AI606" s="51"/>
      <c r="AJ606" s="1497">
        <f t="shared" si="280"/>
        <v>7041</v>
      </c>
      <c r="AK606" s="8">
        <v>0</v>
      </c>
      <c r="AL606" s="9">
        <v>0</v>
      </c>
      <c r="AM606" s="326">
        <f t="shared" si="311"/>
        <v>0</v>
      </c>
      <c r="AN606" s="970">
        <f t="shared" si="311"/>
        <v>0</v>
      </c>
      <c r="AO606" s="27">
        <f>+S606+Z606+AG606</f>
        <v>0</v>
      </c>
      <c r="AP606" s="28">
        <f>+T606+AA606+AH606</f>
        <v>0</v>
      </c>
      <c r="AQ606" s="43"/>
      <c r="AR606" s="358">
        <f t="shared" si="312"/>
        <v>0</v>
      </c>
      <c r="AS606" s="359">
        <f t="shared" si="313"/>
        <v>0</v>
      </c>
      <c r="AT606" s="360">
        <f t="shared" si="314"/>
        <v>0</v>
      </c>
      <c r="AU606" s="43"/>
      <c r="AV606" s="43"/>
      <c r="AW606" s="119"/>
      <c r="AX606" s="119"/>
      <c r="AY606" s="43"/>
      <c r="AZ606" s="43"/>
      <c r="BA606" s="43"/>
      <c r="BB606" s="43"/>
      <c r="BC606" s="43"/>
      <c r="BD606" s="43"/>
    </row>
    <row r="607" spans="1:56" ht="15.75">
      <c r="A607" s="88">
        <v>7042</v>
      </c>
      <c r="B607" s="1032" t="s">
        <v>1937</v>
      </c>
      <c r="C607" s="1033"/>
      <c r="D607" s="1033"/>
      <c r="E607" s="1033"/>
      <c r="F607" s="1033"/>
      <c r="G607" s="1033"/>
      <c r="H607" s="1033"/>
      <c r="I607" s="1033"/>
      <c r="J607" s="1033"/>
      <c r="K607" s="1033"/>
      <c r="L607" s="90"/>
      <c r="M607" s="51" t="s">
        <v>265</v>
      </c>
      <c r="N607" s="113">
        <f t="shared" si="308"/>
        <v>7042</v>
      </c>
      <c r="O607" s="8">
        <v>0</v>
      </c>
      <c r="P607" s="9">
        <v>0</v>
      </c>
      <c r="Q607" s="325"/>
      <c r="R607" s="324"/>
      <c r="S607" s="27">
        <f t="shared" si="309"/>
        <v>0</v>
      </c>
      <c r="T607" s="28">
        <f>+IF(ABS(+O607+Q607)&lt;=ABS(P607+R607),-O607+P607-Q607+R607,0)</f>
        <v>0</v>
      </c>
      <c r="U607" s="51"/>
      <c r="V607" s="541">
        <f>+'NF-KSF-TRIAL-BAL-2020'!O607+'RA-TRIAL-BAL-2020'!O607+'DES-TRIAL-BAL-2020'!O607+'DMP-TRIAL-BAL-2020'!O607</f>
        <v>0</v>
      </c>
      <c r="W607" s="529">
        <f>+'NF-KSF-TRIAL-BAL-2020'!P607+'RA-TRIAL-BAL-2020'!P607+'DES-TRIAL-BAL-2020'!P607+'DMP-TRIAL-BAL-2020'!P607</f>
        <v>0</v>
      </c>
      <c r="X607" s="528">
        <f>+'NF-KSF-TRIAL-BAL-2020'!Q607+'RA-TRIAL-BAL-2020'!Q607+'DES-TRIAL-BAL-2020'!Q607+'DMP-TRIAL-BAL-2020'!Q607</f>
        <v>0</v>
      </c>
      <c r="Y607" s="529">
        <f>+'NF-KSF-TRIAL-BAL-2020'!R607+'RA-TRIAL-BAL-2020'!R607+'DES-TRIAL-BAL-2020'!R607+'DMP-TRIAL-BAL-2020'!R607</f>
        <v>0</v>
      </c>
      <c r="Z607" s="528">
        <f>+'NF-KSF-TRIAL-BAL-2020'!S607+'RA-TRIAL-BAL-2020'!S607+'DES-TRIAL-BAL-2020'!S607+'DMP-TRIAL-BAL-2020'!S607</f>
        <v>0</v>
      </c>
      <c r="AA607" s="347">
        <f>+'NF-KSF-TRIAL-BAL-2020'!T607+'RA-TRIAL-BAL-2020'!T607+'DES-TRIAL-BAL-2020'!T607+'DMP-TRIAL-BAL-2020'!T607</f>
        <v>0</v>
      </c>
      <c r="AB607" s="51"/>
      <c r="AC607" s="8">
        <v>0</v>
      </c>
      <c r="AD607" s="9">
        <v>0</v>
      </c>
      <c r="AE607" s="325"/>
      <c r="AF607" s="324"/>
      <c r="AG607" s="27">
        <f t="shared" si="310"/>
        <v>0</v>
      </c>
      <c r="AH607" s="28">
        <f>+IF(ABS(+AC607+AE607)&lt;=ABS(AD607+AF607),-AC607+AD607-AE607+AF607,0)</f>
        <v>0</v>
      </c>
      <c r="AI607" s="51"/>
      <c r="AJ607" s="1497">
        <f t="shared" si="280"/>
        <v>7042</v>
      </c>
      <c r="AK607" s="8">
        <v>0</v>
      </c>
      <c r="AL607" s="9">
        <v>0</v>
      </c>
      <c r="AM607" s="326">
        <f t="shared" si="311"/>
        <v>0</v>
      </c>
      <c r="AN607" s="970">
        <f t="shared" si="311"/>
        <v>0</v>
      </c>
      <c r="AO607" s="27">
        <f>+S607+Z607+AG607</f>
        <v>0</v>
      </c>
      <c r="AP607" s="28">
        <f>+T607+AA607+AH607</f>
        <v>0</v>
      </c>
      <c r="AQ607" s="43"/>
      <c r="AR607" s="358">
        <f t="shared" si="312"/>
        <v>0</v>
      </c>
      <c r="AS607" s="359">
        <f t="shared" si="313"/>
        <v>0</v>
      </c>
      <c r="AT607" s="360">
        <f t="shared" si="314"/>
        <v>0</v>
      </c>
      <c r="AU607" s="43"/>
      <c r="AV607" s="43"/>
      <c r="AW607" s="119"/>
      <c r="AX607" s="119"/>
      <c r="AY607" s="43"/>
      <c r="AZ607" s="43"/>
      <c r="BA607" s="43"/>
      <c r="BB607" s="43"/>
      <c r="BC607" s="43"/>
      <c r="BD607" s="43"/>
    </row>
    <row r="608" spans="1:56" ht="15.75">
      <c r="A608" s="88">
        <v>7043</v>
      </c>
      <c r="B608" s="1032" t="s">
        <v>1938</v>
      </c>
      <c r="C608" s="1033"/>
      <c r="D608" s="1033"/>
      <c r="E608" s="1033"/>
      <c r="F608" s="1033"/>
      <c r="G608" s="1033"/>
      <c r="H608" s="1033"/>
      <c r="I608" s="1033"/>
      <c r="J608" s="1033"/>
      <c r="K608" s="1033"/>
      <c r="L608" s="90"/>
      <c r="M608" s="51" t="s">
        <v>265</v>
      </c>
      <c r="N608" s="113">
        <f t="shared" si="308"/>
        <v>7043</v>
      </c>
      <c r="O608" s="8">
        <v>0</v>
      </c>
      <c r="P608" s="9">
        <v>0</v>
      </c>
      <c r="Q608" s="325"/>
      <c r="R608" s="324"/>
      <c r="S608" s="27">
        <f t="shared" si="309"/>
        <v>0</v>
      </c>
      <c r="T608" s="30">
        <v>0</v>
      </c>
      <c r="U608" s="51"/>
      <c r="V608" s="541">
        <f>+'NF-KSF-TRIAL-BAL-2020'!O608+'RA-TRIAL-BAL-2020'!O608+'DES-TRIAL-BAL-2020'!O608+'DMP-TRIAL-BAL-2020'!O608</f>
        <v>0</v>
      </c>
      <c r="W608" s="529">
        <f>+'NF-KSF-TRIAL-BAL-2020'!P608+'RA-TRIAL-BAL-2020'!P608+'DES-TRIAL-BAL-2020'!P608+'DMP-TRIAL-BAL-2020'!P608</f>
        <v>0</v>
      </c>
      <c r="X608" s="528">
        <f>+'NF-KSF-TRIAL-BAL-2020'!Q608+'RA-TRIAL-BAL-2020'!Q608+'DES-TRIAL-BAL-2020'!Q608+'DMP-TRIAL-BAL-2020'!Q608</f>
        <v>0</v>
      </c>
      <c r="Y608" s="529">
        <f>+'NF-KSF-TRIAL-BAL-2020'!R608+'RA-TRIAL-BAL-2020'!R608+'DES-TRIAL-BAL-2020'!R608+'DMP-TRIAL-BAL-2020'!R608</f>
        <v>0</v>
      </c>
      <c r="Z608" s="528">
        <f>+'NF-KSF-TRIAL-BAL-2020'!S608+'RA-TRIAL-BAL-2020'!S608+'DES-TRIAL-BAL-2020'!S608+'DMP-TRIAL-BAL-2020'!S608</f>
        <v>0</v>
      </c>
      <c r="AA608" s="347">
        <f>+'NF-KSF-TRIAL-BAL-2020'!T608+'RA-TRIAL-BAL-2020'!T608+'DES-TRIAL-BAL-2020'!T608+'DMP-TRIAL-BAL-2020'!T608</f>
        <v>0</v>
      </c>
      <c r="AB608" s="51"/>
      <c r="AC608" s="8">
        <v>0</v>
      </c>
      <c r="AD608" s="9">
        <v>0</v>
      </c>
      <c r="AE608" s="122"/>
      <c r="AF608" s="324"/>
      <c r="AG608" s="27">
        <f t="shared" si="310"/>
        <v>0</v>
      </c>
      <c r="AH608" s="30">
        <v>0</v>
      </c>
      <c r="AI608" s="51"/>
      <c r="AJ608" s="1497">
        <f t="shared" si="280"/>
        <v>7043</v>
      </c>
      <c r="AK608" s="8">
        <v>0</v>
      </c>
      <c r="AL608" s="9">
        <v>0</v>
      </c>
      <c r="AM608" s="326">
        <f t="shared" si="311"/>
        <v>0</v>
      </c>
      <c r="AN608" s="970">
        <f t="shared" si="311"/>
        <v>0</v>
      </c>
      <c r="AO608" s="27">
        <f t="shared" ref="AO608:AO671" si="315">+S608+Z608+AG608</f>
        <v>0</v>
      </c>
      <c r="AP608" s="30">
        <v>0</v>
      </c>
      <c r="AQ608" s="43"/>
      <c r="AR608" s="358">
        <f t="shared" si="312"/>
        <v>0</v>
      </c>
      <c r="AS608" s="359">
        <f t="shared" si="313"/>
        <v>0</v>
      </c>
      <c r="AT608" s="360">
        <f t="shared" si="314"/>
        <v>0</v>
      </c>
      <c r="AU608" s="43"/>
      <c r="AV608" s="2120">
        <f>+IF(OR(ROUND(P608,2)+ROUND(R608,2)&gt;+ROUND(O608,2)+ROUND(Q608,2),+ABS(ROUND(P608,2)+ROUND(R608,2))&gt;+ABS(ROUND(O608,2)+ROUND(Q608,2))),+(ROUND(P608,2)+ROUND(R608,2))-(ROUND(O608,2)+ROUND(Q608,2)),0)</f>
        <v>0</v>
      </c>
      <c r="AW608" s="119"/>
      <c r="AX608" s="2120">
        <f>+IF(OR(ROUND(AD608,2)+ROUND(AF608,2)&gt;+ROUND(AC608,2)+ROUND(AE608,2),+ABS(ROUND(AD608,2)+ROUND(AF608,2))&gt;+ABS(ROUND(AC608,2)+ROUND(AE608,2))),+(ROUND(AD608,2)+ROUND(AF608,2))-(ROUND(AC608,2)+ROUND(AE608,2)),0)</f>
        <v>0</v>
      </c>
      <c r="AY608" s="43"/>
      <c r="AZ608" s="43"/>
      <c r="BA608" s="43"/>
      <c r="BB608" s="43"/>
      <c r="BC608" s="43"/>
      <c r="BD608" s="43"/>
    </row>
    <row r="609" spans="1:56" ht="15.75">
      <c r="A609" s="88">
        <v>7044</v>
      </c>
      <c r="B609" s="1032" t="s">
        <v>1939</v>
      </c>
      <c r="C609" s="1033"/>
      <c r="D609" s="1033"/>
      <c r="E609" s="1033"/>
      <c r="F609" s="1033"/>
      <c r="G609" s="1033"/>
      <c r="H609" s="1033"/>
      <c r="I609" s="1033"/>
      <c r="J609" s="1033"/>
      <c r="K609" s="1033"/>
      <c r="L609" s="90"/>
      <c r="M609" s="51" t="s">
        <v>265</v>
      </c>
      <c r="N609" s="113">
        <f t="shared" si="308"/>
        <v>7044</v>
      </c>
      <c r="O609" s="8">
        <v>0</v>
      </c>
      <c r="P609" s="9">
        <v>0</v>
      </c>
      <c r="Q609" s="325"/>
      <c r="R609" s="324"/>
      <c r="S609" s="27">
        <f t="shared" si="309"/>
        <v>0</v>
      </c>
      <c r="T609" s="28">
        <f t="shared" ref="T609:T639" si="316">+IF(ABS(+O609+Q609)&lt;=ABS(P609+R609),-O609+P609-Q609+R609,0)</f>
        <v>0</v>
      </c>
      <c r="U609" s="51"/>
      <c r="V609" s="541">
        <f>+'NF-KSF-TRIAL-BAL-2020'!O609+'RA-TRIAL-BAL-2020'!O609+'DES-TRIAL-BAL-2020'!O609+'DMP-TRIAL-BAL-2020'!O609</f>
        <v>0</v>
      </c>
      <c r="W609" s="529">
        <f>+'NF-KSF-TRIAL-BAL-2020'!P609+'RA-TRIAL-BAL-2020'!P609+'DES-TRIAL-BAL-2020'!P609+'DMP-TRIAL-BAL-2020'!P609</f>
        <v>0</v>
      </c>
      <c r="X609" s="528">
        <f>+'NF-KSF-TRIAL-BAL-2020'!Q609+'RA-TRIAL-BAL-2020'!Q609+'DES-TRIAL-BAL-2020'!Q609+'DMP-TRIAL-BAL-2020'!Q609</f>
        <v>0</v>
      </c>
      <c r="Y609" s="529">
        <f>+'NF-KSF-TRIAL-BAL-2020'!R609+'RA-TRIAL-BAL-2020'!R609+'DES-TRIAL-BAL-2020'!R609+'DMP-TRIAL-BAL-2020'!R609</f>
        <v>0</v>
      </c>
      <c r="Z609" s="528">
        <f>+'NF-KSF-TRIAL-BAL-2020'!S609+'RA-TRIAL-BAL-2020'!S609+'DES-TRIAL-BAL-2020'!S609+'DMP-TRIAL-BAL-2020'!S609</f>
        <v>0</v>
      </c>
      <c r="AA609" s="347">
        <f>+'NF-KSF-TRIAL-BAL-2020'!T609+'RA-TRIAL-BAL-2020'!T609+'DES-TRIAL-BAL-2020'!T609+'DMP-TRIAL-BAL-2020'!T609</f>
        <v>0</v>
      </c>
      <c r="AB609" s="51"/>
      <c r="AC609" s="8">
        <v>0</v>
      </c>
      <c r="AD609" s="9">
        <v>0</v>
      </c>
      <c r="AE609" s="122"/>
      <c r="AF609" s="121"/>
      <c r="AG609" s="27">
        <f t="shared" si="310"/>
        <v>0</v>
      </c>
      <c r="AH609" s="28">
        <f t="shared" ref="AH609:AH640" si="317">+IF(ABS(+AC609+AE609)&lt;=ABS(AD609+AF609),-AC609+AD609-AE609+AF609,0)</f>
        <v>0</v>
      </c>
      <c r="AI609" s="51"/>
      <c r="AJ609" s="1497">
        <f t="shared" si="280"/>
        <v>7044</v>
      </c>
      <c r="AK609" s="8">
        <v>0</v>
      </c>
      <c r="AL609" s="9">
        <v>0</v>
      </c>
      <c r="AM609" s="326">
        <f t="shared" si="311"/>
        <v>0</v>
      </c>
      <c r="AN609" s="970">
        <f t="shared" si="311"/>
        <v>0</v>
      </c>
      <c r="AO609" s="27">
        <f t="shared" si="315"/>
        <v>0</v>
      </c>
      <c r="AP609" s="28">
        <f t="shared" ref="AP609:AP672" si="318">+T609+AA609+AH609</f>
        <v>0</v>
      </c>
      <c r="AQ609" s="43"/>
      <c r="AR609" s="358">
        <f t="shared" si="312"/>
        <v>0</v>
      </c>
      <c r="AS609" s="359">
        <f t="shared" si="313"/>
        <v>0</v>
      </c>
      <c r="AT609" s="360">
        <f t="shared" si="314"/>
        <v>0</v>
      </c>
      <c r="AU609" s="43"/>
      <c r="AV609" s="43"/>
      <c r="AW609" s="119"/>
      <c r="AX609" s="119"/>
      <c r="AY609" s="43"/>
      <c r="AZ609" s="43"/>
      <c r="BA609" s="43"/>
      <c r="BB609" s="43"/>
      <c r="BC609" s="43"/>
      <c r="BD609" s="43"/>
    </row>
    <row r="610" spans="1:56" ht="15.75">
      <c r="A610" s="88">
        <v>7051</v>
      </c>
      <c r="B610" s="1032" t="s">
        <v>671</v>
      </c>
      <c r="C610" s="1033"/>
      <c r="D610" s="1033"/>
      <c r="E610" s="1033"/>
      <c r="F610" s="1033"/>
      <c r="G610" s="1033"/>
      <c r="H610" s="1033"/>
      <c r="I610" s="1033"/>
      <c r="J610" s="1033"/>
      <c r="K610" s="1033"/>
      <c r="L610" s="90"/>
      <c r="M610" s="51" t="s">
        <v>265</v>
      </c>
      <c r="N610" s="113">
        <f t="shared" si="308"/>
        <v>7051</v>
      </c>
      <c r="O610" s="8">
        <v>0</v>
      </c>
      <c r="P610" s="9">
        <v>0</v>
      </c>
      <c r="Q610" s="325">
        <v>0</v>
      </c>
      <c r="R610" s="324">
        <v>0</v>
      </c>
      <c r="S610" s="27">
        <f t="shared" si="309"/>
        <v>0</v>
      </c>
      <c r="T610" s="28">
        <f t="shared" si="316"/>
        <v>0</v>
      </c>
      <c r="U610" s="51"/>
      <c r="V610" s="541">
        <f>+'NF-KSF-TRIAL-BAL-2020'!O610+'RA-TRIAL-BAL-2020'!O610+'DES-TRIAL-BAL-2020'!O610+'DMP-TRIAL-BAL-2020'!O610</f>
        <v>0</v>
      </c>
      <c r="W610" s="529">
        <f>+'NF-KSF-TRIAL-BAL-2020'!P610+'RA-TRIAL-BAL-2020'!P610+'DES-TRIAL-BAL-2020'!P610+'DMP-TRIAL-BAL-2020'!P610</f>
        <v>0</v>
      </c>
      <c r="X610" s="528">
        <f>+'NF-KSF-TRIAL-BAL-2020'!Q610+'RA-TRIAL-BAL-2020'!Q610+'DES-TRIAL-BAL-2020'!Q610+'DMP-TRIAL-BAL-2020'!Q610</f>
        <v>0</v>
      </c>
      <c r="Y610" s="529">
        <f>+'NF-KSF-TRIAL-BAL-2020'!R610+'RA-TRIAL-BAL-2020'!R610+'DES-TRIAL-BAL-2020'!R610+'DMP-TRIAL-BAL-2020'!R610</f>
        <v>0</v>
      </c>
      <c r="Z610" s="528">
        <f>+'NF-KSF-TRIAL-BAL-2020'!S610+'RA-TRIAL-BAL-2020'!S610+'DES-TRIAL-BAL-2020'!S610+'DMP-TRIAL-BAL-2020'!S610</f>
        <v>0</v>
      </c>
      <c r="AA610" s="347">
        <f>+'NF-KSF-TRIAL-BAL-2020'!T610+'RA-TRIAL-BAL-2020'!T610+'DES-TRIAL-BAL-2020'!T610+'DMP-TRIAL-BAL-2020'!T610</f>
        <v>0</v>
      </c>
      <c r="AB610" s="51"/>
      <c r="AC610" s="8">
        <v>0</v>
      </c>
      <c r="AD610" s="9">
        <v>0</v>
      </c>
      <c r="AE610" s="325">
        <v>0</v>
      </c>
      <c r="AF610" s="324">
        <v>0</v>
      </c>
      <c r="AG610" s="27">
        <f t="shared" si="310"/>
        <v>0</v>
      </c>
      <c r="AH610" s="28">
        <f t="shared" si="317"/>
        <v>0</v>
      </c>
      <c r="AI610" s="51"/>
      <c r="AJ610" s="1497">
        <f t="shared" si="280"/>
        <v>7051</v>
      </c>
      <c r="AK610" s="8">
        <v>0</v>
      </c>
      <c r="AL610" s="9">
        <v>0</v>
      </c>
      <c r="AM610" s="326">
        <f t="shared" si="311"/>
        <v>0</v>
      </c>
      <c r="AN610" s="970">
        <f t="shared" si="311"/>
        <v>0</v>
      </c>
      <c r="AO610" s="27">
        <f t="shared" si="315"/>
        <v>0</v>
      </c>
      <c r="AP610" s="28">
        <f t="shared" si="318"/>
        <v>0</v>
      </c>
      <c r="AQ610" s="43"/>
      <c r="AR610" s="358">
        <f t="shared" si="312"/>
        <v>0</v>
      </c>
      <c r="AS610" s="359">
        <f t="shared" si="313"/>
        <v>0</v>
      </c>
      <c r="AT610" s="360">
        <f t="shared" si="314"/>
        <v>0</v>
      </c>
      <c r="AU610" s="43"/>
      <c r="AV610" s="43"/>
      <c r="AW610" s="119"/>
      <c r="AX610" s="119"/>
      <c r="AY610" s="43"/>
      <c r="AZ610" s="43"/>
      <c r="BA610" s="43"/>
      <c r="BB610" s="43"/>
      <c r="BC610" s="43"/>
      <c r="BD610" s="43"/>
    </row>
    <row r="611" spans="1:56" ht="15.75">
      <c r="A611" s="88">
        <v>7052</v>
      </c>
      <c r="B611" s="1032" t="s">
        <v>672</v>
      </c>
      <c r="C611" s="1033"/>
      <c r="D611" s="1033"/>
      <c r="E611" s="1033"/>
      <c r="F611" s="1033"/>
      <c r="G611" s="1033"/>
      <c r="H611" s="1033"/>
      <c r="I611" s="1033"/>
      <c r="J611" s="1033"/>
      <c r="K611" s="1033"/>
      <c r="L611" s="90"/>
      <c r="M611" s="51" t="s">
        <v>265</v>
      </c>
      <c r="N611" s="113">
        <f t="shared" si="308"/>
        <v>7052</v>
      </c>
      <c r="O611" s="8">
        <v>0</v>
      </c>
      <c r="P611" s="9">
        <v>0</v>
      </c>
      <c r="Q611" s="325"/>
      <c r="R611" s="324"/>
      <c r="S611" s="27">
        <f t="shared" si="309"/>
        <v>0</v>
      </c>
      <c r="T611" s="28">
        <f t="shared" si="316"/>
        <v>0</v>
      </c>
      <c r="U611" s="51"/>
      <c r="V611" s="541">
        <f>+'NF-KSF-TRIAL-BAL-2020'!O611+'RA-TRIAL-BAL-2020'!O611+'DES-TRIAL-BAL-2020'!O611+'DMP-TRIAL-BAL-2020'!O611</f>
        <v>0</v>
      </c>
      <c r="W611" s="529">
        <f>+'NF-KSF-TRIAL-BAL-2020'!P611+'RA-TRIAL-BAL-2020'!P611+'DES-TRIAL-BAL-2020'!P611+'DMP-TRIAL-BAL-2020'!P611</f>
        <v>0</v>
      </c>
      <c r="X611" s="528">
        <f>+'NF-KSF-TRIAL-BAL-2020'!Q611+'RA-TRIAL-BAL-2020'!Q611+'DES-TRIAL-BAL-2020'!Q611+'DMP-TRIAL-BAL-2020'!Q611</f>
        <v>0</v>
      </c>
      <c r="Y611" s="529">
        <f>+'NF-KSF-TRIAL-BAL-2020'!R611+'RA-TRIAL-BAL-2020'!R611+'DES-TRIAL-BAL-2020'!R611+'DMP-TRIAL-BAL-2020'!R611</f>
        <v>0</v>
      </c>
      <c r="Z611" s="528">
        <f>+'NF-KSF-TRIAL-BAL-2020'!S611+'RA-TRIAL-BAL-2020'!S611+'DES-TRIAL-BAL-2020'!S611+'DMP-TRIAL-BAL-2020'!S611</f>
        <v>0</v>
      </c>
      <c r="AA611" s="347">
        <f>+'NF-KSF-TRIAL-BAL-2020'!T611+'RA-TRIAL-BAL-2020'!T611+'DES-TRIAL-BAL-2020'!T611+'DMP-TRIAL-BAL-2020'!T611</f>
        <v>0</v>
      </c>
      <c r="AB611" s="51"/>
      <c r="AC611" s="8">
        <v>0</v>
      </c>
      <c r="AD611" s="9">
        <v>0</v>
      </c>
      <c r="AE611" s="325"/>
      <c r="AF611" s="324"/>
      <c r="AG611" s="27">
        <f t="shared" si="310"/>
        <v>0</v>
      </c>
      <c r="AH611" s="28">
        <f t="shared" si="317"/>
        <v>0</v>
      </c>
      <c r="AI611" s="51"/>
      <c r="AJ611" s="1497">
        <f t="shared" si="280"/>
        <v>7052</v>
      </c>
      <c r="AK611" s="8">
        <v>0</v>
      </c>
      <c r="AL611" s="9">
        <v>0</v>
      </c>
      <c r="AM611" s="326">
        <f t="shared" si="311"/>
        <v>0</v>
      </c>
      <c r="AN611" s="970">
        <f t="shared" si="311"/>
        <v>0</v>
      </c>
      <c r="AO611" s="27">
        <f t="shared" si="315"/>
        <v>0</v>
      </c>
      <c r="AP611" s="28">
        <f t="shared" si="318"/>
        <v>0</v>
      </c>
      <c r="AQ611" s="43"/>
      <c r="AR611" s="358">
        <f t="shared" si="312"/>
        <v>0</v>
      </c>
      <c r="AS611" s="359">
        <f t="shared" si="313"/>
        <v>0</v>
      </c>
      <c r="AT611" s="360">
        <f t="shared" si="314"/>
        <v>0</v>
      </c>
      <c r="AU611" s="43"/>
      <c r="AV611" s="43"/>
      <c r="AW611" s="119"/>
      <c r="AX611" s="119"/>
      <c r="AY611" s="43"/>
      <c r="AZ611" s="43"/>
      <c r="BA611" s="43"/>
      <c r="BB611" s="43"/>
      <c r="BC611" s="43"/>
      <c r="BD611" s="43"/>
    </row>
    <row r="612" spans="1:56" ht="15.75">
      <c r="A612" s="88">
        <v>7090</v>
      </c>
      <c r="B612" s="1035" t="s">
        <v>673</v>
      </c>
      <c r="C612" s="1033"/>
      <c r="D612" s="1033"/>
      <c r="E612" s="1033"/>
      <c r="F612" s="1033"/>
      <c r="G612" s="1033"/>
      <c r="H612" s="1033"/>
      <c r="I612" s="1033"/>
      <c r="J612" s="1033"/>
      <c r="K612" s="1033"/>
      <c r="L612" s="90"/>
      <c r="M612" s="51" t="s">
        <v>265</v>
      </c>
      <c r="N612" s="113">
        <f t="shared" si="308"/>
        <v>7090</v>
      </c>
      <c r="O612" s="8">
        <v>0</v>
      </c>
      <c r="P612" s="9">
        <v>0</v>
      </c>
      <c r="Q612" s="325">
        <v>0</v>
      </c>
      <c r="R612" s="324">
        <v>0</v>
      </c>
      <c r="S612" s="27">
        <f t="shared" si="309"/>
        <v>0</v>
      </c>
      <c r="T612" s="28">
        <f t="shared" si="316"/>
        <v>0</v>
      </c>
      <c r="U612" s="51"/>
      <c r="V612" s="541">
        <f>+'NF-KSF-TRIAL-BAL-2020'!O612+'RA-TRIAL-BAL-2020'!O612+'DES-TRIAL-BAL-2020'!O612+'DMP-TRIAL-BAL-2020'!O612</f>
        <v>0</v>
      </c>
      <c r="W612" s="529">
        <f>+'NF-KSF-TRIAL-BAL-2020'!P612+'RA-TRIAL-BAL-2020'!P612+'DES-TRIAL-BAL-2020'!P612+'DMP-TRIAL-BAL-2020'!P612</f>
        <v>0</v>
      </c>
      <c r="X612" s="528">
        <f>+'NF-KSF-TRIAL-BAL-2020'!Q612+'RA-TRIAL-BAL-2020'!Q612+'DES-TRIAL-BAL-2020'!Q612+'DMP-TRIAL-BAL-2020'!Q612</f>
        <v>0</v>
      </c>
      <c r="Y612" s="529">
        <f>+'NF-KSF-TRIAL-BAL-2020'!R612+'RA-TRIAL-BAL-2020'!R612+'DES-TRIAL-BAL-2020'!R612+'DMP-TRIAL-BAL-2020'!R612</f>
        <v>0</v>
      </c>
      <c r="Z612" s="528">
        <f>+'NF-KSF-TRIAL-BAL-2020'!S612+'RA-TRIAL-BAL-2020'!S612+'DES-TRIAL-BAL-2020'!S612+'DMP-TRIAL-BAL-2020'!S612</f>
        <v>0</v>
      </c>
      <c r="AA612" s="347">
        <f>+'NF-KSF-TRIAL-BAL-2020'!T612+'RA-TRIAL-BAL-2020'!T612+'DES-TRIAL-BAL-2020'!T612+'DMP-TRIAL-BAL-2020'!T612</f>
        <v>0</v>
      </c>
      <c r="AB612" s="51"/>
      <c r="AC612" s="8">
        <v>0</v>
      </c>
      <c r="AD612" s="9">
        <v>0</v>
      </c>
      <c r="AE612" s="122">
        <v>0</v>
      </c>
      <c r="AF612" s="121">
        <v>0</v>
      </c>
      <c r="AG612" s="27">
        <f t="shared" si="310"/>
        <v>0</v>
      </c>
      <c r="AH612" s="28">
        <f t="shared" si="317"/>
        <v>0</v>
      </c>
      <c r="AI612" s="51"/>
      <c r="AJ612" s="1497">
        <f t="shared" si="280"/>
        <v>7090</v>
      </c>
      <c r="AK612" s="8">
        <v>0</v>
      </c>
      <c r="AL612" s="9">
        <v>0</v>
      </c>
      <c r="AM612" s="326">
        <f t="shared" si="311"/>
        <v>0</v>
      </c>
      <c r="AN612" s="970">
        <f t="shared" si="311"/>
        <v>0</v>
      </c>
      <c r="AO612" s="27">
        <f t="shared" si="315"/>
        <v>0</v>
      </c>
      <c r="AP612" s="28">
        <f t="shared" si="318"/>
        <v>0</v>
      </c>
      <c r="AQ612" s="43"/>
      <c r="AR612" s="358">
        <f t="shared" si="312"/>
        <v>0</v>
      </c>
      <c r="AS612" s="359">
        <f t="shared" si="313"/>
        <v>0</v>
      </c>
      <c r="AT612" s="360">
        <f t="shared" si="314"/>
        <v>0</v>
      </c>
      <c r="AU612" s="43"/>
      <c r="AV612" s="43"/>
      <c r="AW612" s="119"/>
      <c r="AX612" s="119"/>
      <c r="AY612" s="43"/>
      <c r="AZ612" s="43"/>
      <c r="BA612" s="43"/>
      <c r="BB612" s="43"/>
      <c r="BC612" s="43"/>
      <c r="BD612" s="43"/>
    </row>
    <row r="613" spans="1:56" ht="15.75">
      <c r="A613" s="88">
        <v>7110</v>
      </c>
      <c r="B613" s="1033" t="s">
        <v>674</v>
      </c>
      <c r="C613" s="1033"/>
      <c r="D613" s="1033"/>
      <c r="E613" s="1033"/>
      <c r="F613" s="1033"/>
      <c r="G613" s="1033"/>
      <c r="H613" s="1033"/>
      <c r="I613" s="1033"/>
      <c r="J613" s="1033"/>
      <c r="K613" s="1033"/>
      <c r="L613" s="90"/>
      <c r="M613" s="51" t="s">
        <v>265</v>
      </c>
      <c r="N613" s="113">
        <f t="shared" si="308"/>
        <v>7110</v>
      </c>
      <c r="O613" s="8">
        <v>0</v>
      </c>
      <c r="P613" s="9">
        <v>0</v>
      </c>
      <c r="Q613" s="325">
        <v>0</v>
      </c>
      <c r="R613" s="324">
        <v>0</v>
      </c>
      <c r="S613" s="27">
        <f t="shared" si="309"/>
        <v>0</v>
      </c>
      <c r="T613" s="28">
        <f t="shared" si="316"/>
        <v>0</v>
      </c>
      <c r="U613" s="51"/>
      <c r="V613" s="541">
        <f>+'NF-KSF-TRIAL-BAL-2020'!O613+'RA-TRIAL-BAL-2020'!O613+'DES-TRIAL-BAL-2020'!O613+'DMP-TRIAL-BAL-2020'!O613</f>
        <v>0</v>
      </c>
      <c r="W613" s="529">
        <f>+'NF-KSF-TRIAL-BAL-2020'!P613+'RA-TRIAL-BAL-2020'!P613+'DES-TRIAL-BAL-2020'!P613+'DMP-TRIAL-BAL-2020'!P613</f>
        <v>0</v>
      </c>
      <c r="X613" s="528">
        <f>+'NF-KSF-TRIAL-BAL-2020'!Q613+'RA-TRIAL-BAL-2020'!Q613+'DES-TRIAL-BAL-2020'!Q613+'DMP-TRIAL-BAL-2020'!Q613</f>
        <v>0</v>
      </c>
      <c r="Y613" s="529">
        <f>+'NF-KSF-TRIAL-BAL-2020'!R613+'RA-TRIAL-BAL-2020'!R613+'DES-TRIAL-BAL-2020'!R613+'DMP-TRIAL-BAL-2020'!R613</f>
        <v>0</v>
      </c>
      <c r="Z613" s="528">
        <f>+'NF-KSF-TRIAL-BAL-2020'!S613+'RA-TRIAL-BAL-2020'!S613+'DES-TRIAL-BAL-2020'!S613+'DMP-TRIAL-BAL-2020'!S613</f>
        <v>0</v>
      </c>
      <c r="AA613" s="347">
        <f>+'NF-KSF-TRIAL-BAL-2020'!T613+'RA-TRIAL-BAL-2020'!T613+'DES-TRIAL-BAL-2020'!T613+'DMP-TRIAL-BAL-2020'!T613</f>
        <v>0</v>
      </c>
      <c r="AB613" s="51"/>
      <c r="AC613" s="8">
        <v>0</v>
      </c>
      <c r="AD613" s="9">
        <v>0</v>
      </c>
      <c r="AE613" s="122">
        <v>0</v>
      </c>
      <c r="AF613" s="121">
        <v>0</v>
      </c>
      <c r="AG613" s="27">
        <f t="shared" si="310"/>
        <v>0</v>
      </c>
      <c r="AH613" s="28">
        <f t="shared" si="317"/>
        <v>0</v>
      </c>
      <c r="AI613" s="51"/>
      <c r="AJ613" s="1497">
        <f t="shared" si="280"/>
        <v>7110</v>
      </c>
      <c r="AK613" s="8">
        <v>0</v>
      </c>
      <c r="AL613" s="9">
        <v>0</v>
      </c>
      <c r="AM613" s="326">
        <f t="shared" si="311"/>
        <v>0</v>
      </c>
      <c r="AN613" s="970">
        <f t="shared" si="311"/>
        <v>0</v>
      </c>
      <c r="AO613" s="27">
        <f t="shared" si="315"/>
        <v>0</v>
      </c>
      <c r="AP613" s="28">
        <f t="shared" si="318"/>
        <v>0</v>
      </c>
      <c r="AQ613" s="43"/>
      <c r="AR613" s="358">
        <f t="shared" si="312"/>
        <v>0</v>
      </c>
      <c r="AS613" s="359">
        <f t="shared" si="313"/>
        <v>0</v>
      </c>
      <c r="AT613" s="360">
        <f t="shared" si="314"/>
        <v>0</v>
      </c>
      <c r="AU613" s="43"/>
      <c r="AV613" s="43"/>
      <c r="AW613" s="119"/>
      <c r="AX613" s="119"/>
      <c r="AY613" s="43"/>
      <c r="AZ613" s="43"/>
      <c r="BA613" s="43"/>
      <c r="BB613" s="43"/>
      <c r="BC613" s="43"/>
      <c r="BD613" s="43"/>
    </row>
    <row r="614" spans="1:56" ht="15.75">
      <c r="A614" s="88">
        <v>7111</v>
      </c>
      <c r="B614" s="1033" t="s">
        <v>675</v>
      </c>
      <c r="C614" s="1033"/>
      <c r="D614" s="1033"/>
      <c r="E614" s="1033"/>
      <c r="F614" s="1033"/>
      <c r="G614" s="1033"/>
      <c r="H614" s="1033"/>
      <c r="I614" s="1033"/>
      <c r="J614" s="1033"/>
      <c r="K614" s="1033"/>
      <c r="L614" s="90"/>
      <c r="M614" s="51" t="s">
        <v>265</v>
      </c>
      <c r="N614" s="113">
        <f t="shared" si="308"/>
        <v>7111</v>
      </c>
      <c r="O614" s="8">
        <v>0</v>
      </c>
      <c r="P614" s="9">
        <v>0</v>
      </c>
      <c r="Q614" s="325"/>
      <c r="R614" s="324"/>
      <c r="S614" s="27">
        <f t="shared" si="309"/>
        <v>0</v>
      </c>
      <c r="T614" s="28">
        <f t="shared" si="316"/>
        <v>0</v>
      </c>
      <c r="U614" s="51"/>
      <c r="V614" s="541">
        <f>+'NF-KSF-TRIAL-BAL-2020'!O614+'RA-TRIAL-BAL-2020'!O614+'DES-TRIAL-BAL-2020'!O614+'DMP-TRIAL-BAL-2020'!O614</f>
        <v>0</v>
      </c>
      <c r="W614" s="529">
        <f>+'NF-KSF-TRIAL-BAL-2020'!P614+'RA-TRIAL-BAL-2020'!P614+'DES-TRIAL-BAL-2020'!P614+'DMP-TRIAL-BAL-2020'!P614</f>
        <v>0</v>
      </c>
      <c r="X614" s="528">
        <f>+'NF-KSF-TRIAL-BAL-2020'!Q614+'RA-TRIAL-BAL-2020'!Q614+'DES-TRIAL-BAL-2020'!Q614+'DMP-TRIAL-BAL-2020'!Q614</f>
        <v>0</v>
      </c>
      <c r="Y614" s="529">
        <f>+'NF-KSF-TRIAL-BAL-2020'!R614+'RA-TRIAL-BAL-2020'!R614+'DES-TRIAL-BAL-2020'!R614+'DMP-TRIAL-BAL-2020'!R614</f>
        <v>0</v>
      </c>
      <c r="Z614" s="528">
        <f>+'NF-KSF-TRIAL-BAL-2020'!S614+'RA-TRIAL-BAL-2020'!S614+'DES-TRIAL-BAL-2020'!S614+'DMP-TRIAL-BAL-2020'!S614</f>
        <v>0</v>
      </c>
      <c r="AA614" s="347">
        <f>+'NF-KSF-TRIAL-BAL-2020'!T614+'RA-TRIAL-BAL-2020'!T614+'DES-TRIAL-BAL-2020'!T614+'DMP-TRIAL-BAL-2020'!T614</f>
        <v>0</v>
      </c>
      <c r="AB614" s="51"/>
      <c r="AC614" s="8">
        <v>0</v>
      </c>
      <c r="AD614" s="9">
        <v>0</v>
      </c>
      <c r="AE614" s="325"/>
      <c r="AF614" s="324"/>
      <c r="AG614" s="27">
        <f t="shared" si="310"/>
        <v>0</v>
      </c>
      <c r="AH614" s="28">
        <f t="shared" si="317"/>
        <v>0</v>
      </c>
      <c r="AI614" s="51"/>
      <c r="AJ614" s="1497">
        <f t="shared" si="280"/>
        <v>7111</v>
      </c>
      <c r="AK614" s="8">
        <v>0</v>
      </c>
      <c r="AL614" s="9">
        <v>0</v>
      </c>
      <c r="AM614" s="326">
        <f t="shared" si="311"/>
        <v>0</v>
      </c>
      <c r="AN614" s="970">
        <f t="shared" si="311"/>
        <v>0</v>
      </c>
      <c r="AO614" s="27">
        <f t="shared" si="315"/>
        <v>0</v>
      </c>
      <c r="AP614" s="28">
        <f t="shared" si="318"/>
        <v>0</v>
      </c>
      <c r="AQ614" s="43"/>
      <c r="AR614" s="358">
        <f t="shared" si="312"/>
        <v>0</v>
      </c>
      <c r="AS614" s="359">
        <f t="shared" si="313"/>
        <v>0</v>
      </c>
      <c r="AT614" s="360">
        <f t="shared" si="314"/>
        <v>0</v>
      </c>
      <c r="AU614" s="43"/>
      <c r="AV614" s="43"/>
      <c r="AW614" s="119"/>
      <c r="AX614" s="119"/>
      <c r="AY614" s="43"/>
      <c r="AZ614" s="43"/>
      <c r="BA614" s="43"/>
      <c r="BB614" s="43"/>
      <c r="BC614" s="43"/>
      <c r="BD614" s="43"/>
    </row>
    <row r="615" spans="1:56" ht="15.75">
      <c r="A615" s="88">
        <v>7112</v>
      </c>
      <c r="B615" s="1033" t="s">
        <v>676</v>
      </c>
      <c r="C615" s="1033"/>
      <c r="D615" s="1033"/>
      <c r="E615" s="1033"/>
      <c r="F615" s="1033"/>
      <c r="G615" s="1033"/>
      <c r="H615" s="1033"/>
      <c r="I615" s="1033"/>
      <c r="J615" s="1033"/>
      <c r="K615" s="1033"/>
      <c r="L615" s="90"/>
      <c r="M615" s="51" t="s">
        <v>265</v>
      </c>
      <c r="N615" s="113">
        <f t="shared" si="308"/>
        <v>7112</v>
      </c>
      <c r="O615" s="8">
        <v>0</v>
      </c>
      <c r="P615" s="9">
        <v>0</v>
      </c>
      <c r="Q615" s="325">
        <v>0</v>
      </c>
      <c r="R615" s="324">
        <v>0</v>
      </c>
      <c r="S615" s="27">
        <f t="shared" si="309"/>
        <v>0</v>
      </c>
      <c r="T615" s="28">
        <f t="shared" si="316"/>
        <v>0</v>
      </c>
      <c r="U615" s="51"/>
      <c r="V615" s="541">
        <f>+'NF-KSF-TRIAL-BAL-2020'!O615+'RA-TRIAL-BAL-2020'!O615+'DES-TRIAL-BAL-2020'!O615+'DMP-TRIAL-BAL-2020'!O615</f>
        <v>0</v>
      </c>
      <c r="W615" s="529">
        <f>+'NF-KSF-TRIAL-BAL-2020'!P615+'RA-TRIAL-BAL-2020'!P615+'DES-TRIAL-BAL-2020'!P615+'DMP-TRIAL-BAL-2020'!P615</f>
        <v>0</v>
      </c>
      <c r="X615" s="528">
        <f>+'NF-KSF-TRIAL-BAL-2020'!Q615+'RA-TRIAL-BAL-2020'!Q615+'DES-TRIAL-BAL-2020'!Q615+'DMP-TRIAL-BAL-2020'!Q615</f>
        <v>0</v>
      </c>
      <c r="Y615" s="529">
        <f>+'NF-KSF-TRIAL-BAL-2020'!R615+'RA-TRIAL-BAL-2020'!R615+'DES-TRIAL-BAL-2020'!R615+'DMP-TRIAL-BAL-2020'!R615</f>
        <v>0</v>
      </c>
      <c r="Z615" s="528">
        <f>+'NF-KSF-TRIAL-BAL-2020'!S615+'RA-TRIAL-BAL-2020'!S615+'DES-TRIAL-BAL-2020'!S615+'DMP-TRIAL-BAL-2020'!S615</f>
        <v>0</v>
      </c>
      <c r="AA615" s="347">
        <f>+'NF-KSF-TRIAL-BAL-2020'!T615+'RA-TRIAL-BAL-2020'!T615+'DES-TRIAL-BAL-2020'!T615+'DMP-TRIAL-BAL-2020'!T615</f>
        <v>0</v>
      </c>
      <c r="AB615" s="51"/>
      <c r="AC615" s="8">
        <v>0</v>
      </c>
      <c r="AD615" s="9">
        <v>0</v>
      </c>
      <c r="AE615" s="325">
        <v>0</v>
      </c>
      <c r="AF615" s="324">
        <v>0</v>
      </c>
      <c r="AG615" s="27">
        <f t="shared" si="310"/>
        <v>0</v>
      </c>
      <c r="AH615" s="28">
        <f t="shared" si="317"/>
        <v>0</v>
      </c>
      <c r="AI615" s="51"/>
      <c r="AJ615" s="1497">
        <f t="shared" si="280"/>
        <v>7112</v>
      </c>
      <c r="AK615" s="8">
        <v>0</v>
      </c>
      <c r="AL615" s="9">
        <v>0</v>
      </c>
      <c r="AM615" s="326">
        <f t="shared" si="311"/>
        <v>0</v>
      </c>
      <c r="AN615" s="970">
        <f t="shared" si="311"/>
        <v>0</v>
      </c>
      <c r="AO615" s="27">
        <f t="shared" si="315"/>
        <v>0</v>
      </c>
      <c r="AP615" s="28">
        <f t="shared" si="318"/>
        <v>0</v>
      </c>
      <c r="AQ615" s="43"/>
      <c r="AR615" s="358">
        <f t="shared" si="312"/>
        <v>0</v>
      </c>
      <c r="AS615" s="359">
        <f t="shared" si="313"/>
        <v>0</v>
      </c>
      <c r="AT615" s="360">
        <f t="shared" si="314"/>
        <v>0</v>
      </c>
      <c r="AU615" s="43"/>
      <c r="AV615" s="43"/>
      <c r="AW615" s="119"/>
      <c r="AX615" s="119"/>
      <c r="AY615" s="43"/>
      <c r="AZ615" s="43"/>
      <c r="BA615" s="43"/>
      <c r="BB615" s="43"/>
      <c r="BC615" s="43"/>
      <c r="BD615" s="43"/>
    </row>
    <row r="616" spans="1:56" ht="15.75">
      <c r="A616" s="88">
        <v>7113</v>
      </c>
      <c r="B616" s="1033" t="s">
        <v>677</v>
      </c>
      <c r="C616" s="1033"/>
      <c r="D616" s="1033"/>
      <c r="E616" s="1033"/>
      <c r="F616" s="1033"/>
      <c r="G616" s="1033"/>
      <c r="H616" s="1033"/>
      <c r="I616" s="1033"/>
      <c r="J616" s="1033"/>
      <c r="K616" s="1033"/>
      <c r="L616" s="90"/>
      <c r="M616" s="51" t="s">
        <v>265</v>
      </c>
      <c r="N616" s="113">
        <f t="shared" si="308"/>
        <v>7113</v>
      </c>
      <c r="O616" s="8">
        <v>0</v>
      </c>
      <c r="P616" s="9">
        <v>0</v>
      </c>
      <c r="Q616" s="325">
        <v>0</v>
      </c>
      <c r="R616" s="324">
        <v>0</v>
      </c>
      <c r="S616" s="27">
        <f t="shared" si="309"/>
        <v>0</v>
      </c>
      <c r="T616" s="28">
        <f t="shared" si="316"/>
        <v>0</v>
      </c>
      <c r="U616" s="51"/>
      <c r="V616" s="541">
        <f>+'NF-KSF-TRIAL-BAL-2020'!O616+'RA-TRIAL-BAL-2020'!O616+'DES-TRIAL-BAL-2020'!O616+'DMP-TRIAL-BAL-2020'!O616</f>
        <v>0</v>
      </c>
      <c r="W616" s="529">
        <f>+'NF-KSF-TRIAL-BAL-2020'!P616+'RA-TRIAL-BAL-2020'!P616+'DES-TRIAL-BAL-2020'!P616+'DMP-TRIAL-BAL-2020'!P616</f>
        <v>0</v>
      </c>
      <c r="X616" s="528">
        <f>+'NF-KSF-TRIAL-BAL-2020'!Q616+'RA-TRIAL-BAL-2020'!Q616+'DES-TRIAL-BAL-2020'!Q616+'DMP-TRIAL-BAL-2020'!Q616</f>
        <v>0</v>
      </c>
      <c r="Y616" s="529">
        <f>+'NF-KSF-TRIAL-BAL-2020'!R616+'RA-TRIAL-BAL-2020'!R616+'DES-TRIAL-BAL-2020'!R616+'DMP-TRIAL-BAL-2020'!R616</f>
        <v>0</v>
      </c>
      <c r="Z616" s="528">
        <f>+'NF-KSF-TRIAL-BAL-2020'!S616+'RA-TRIAL-BAL-2020'!S616+'DES-TRIAL-BAL-2020'!S616+'DMP-TRIAL-BAL-2020'!S616</f>
        <v>0</v>
      </c>
      <c r="AA616" s="347">
        <f>+'NF-KSF-TRIAL-BAL-2020'!T616+'RA-TRIAL-BAL-2020'!T616+'DES-TRIAL-BAL-2020'!T616+'DMP-TRIAL-BAL-2020'!T616</f>
        <v>0</v>
      </c>
      <c r="AB616" s="51"/>
      <c r="AC616" s="8">
        <v>0</v>
      </c>
      <c r="AD616" s="9">
        <v>0</v>
      </c>
      <c r="AE616" s="122">
        <v>0</v>
      </c>
      <c r="AF616" s="121">
        <v>0</v>
      </c>
      <c r="AG616" s="27">
        <f t="shared" si="310"/>
        <v>0</v>
      </c>
      <c r="AH616" s="28">
        <f t="shared" si="317"/>
        <v>0</v>
      </c>
      <c r="AI616" s="51"/>
      <c r="AJ616" s="1497">
        <f t="shared" si="280"/>
        <v>7113</v>
      </c>
      <c r="AK616" s="8">
        <v>0</v>
      </c>
      <c r="AL616" s="9">
        <v>0</v>
      </c>
      <c r="AM616" s="326">
        <f t="shared" si="311"/>
        <v>0</v>
      </c>
      <c r="AN616" s="970">
        <f t="shared" si="311"/>
        <v>0</v>
      </c>
      <c r="AO616" s="27">
        <f t="shared" si="315"/>
        <v>0</v>
      </c>
      <c r="AP616" s="28">
        <f t="shared" si="318"/>
        <v>0</v>
      </c>
      <c r="AQ616" s="43"/>
      <c r="AR616" s="358">
        <f t="shared" si="312"/>
        <v>0</v>
      </c>
      <c r="AS616" s="359">
        <f t="shared" si="313"/>
        <v>0</v>
      </c>
      <c r="AT616" s="360">
        <f t="shared" si="314"/>
        <v>0</v>
      </c>
      <c r="AU616" s="43"/>
      <c r="AV616" s="43"/>
      <c r="AW616" s="119"/>
      <c r="AX616" s="119"/>
      <c r="AY616" s="43"/>
      <c r="AZ616" s="43"/>
      <c r="BA616" s="43"/>
      <c r="BB616" s="43"/>
      <c r="BC616" s="43"/>
      <c r="BD616" s="43"/>
    </row>
    <row r="617" spans="1:56" ht="15.75">
      <c r="A617" s="88">
        <v>7114</v>
      </c>
      <c r="B617" s="1033" t="s">
        <v>678</v>
      </c>
      <c r="C617" s="1033"/>
      <c r="D617" s="1033"/>
      <c r="E617" s="1033"/>
      <c r="F617" s="1033"/>
      <c r="G617" s="1033"/>
      <c r="H617" s="1033"/>
      <c r="I617" s="1033"/>
      <c r="J617" s="1033"/>
      <c r="K617" s="1033"/>
      <c r="L617" s="90"/>
      <c r="M617" s="51" t="s">
        <v>265</v>
      </c>
      <c r="N617" s="113">
        <f t="shared" si="308"/>
        <v>7114</v>
      </c>
      <c r="O617" s="8">
        <v>0</v>
      </c>
      <c r="P617" s="9">
        <v>0</v>
      </c>
      <c r="Q617" s="325">
        <v>0</v>
      </c>
      <c r="R617" s="324">
        <v>0</v>
      </c>
      <c r="S617" s="27">
        <f t="shared" si="309"/>
        <v>0</v>
      </c>
      <c r="T617" s="28">
        <f t="shared" si="316"/>
        <v>0</v>
      </c>
      <c r="U617" s="51"/>
      <c r="V617" s="541">
        <f>+'NF-KSF-TRIAL-BAL-2020'!O617+'RA-TRIAL-BAL-2020'!O617+'DES-TRIAL-BAL-2020'!O617+'DMP-TRIAL-BAL-2020'!O617</f>
        <v>0</v>
      </c>
      <c r="W617" s="529">
        <f>+'NF-KSF-TRIAL-BAL-2020'!P617+'RA-TRIAL-BAL-2020'!P617+'DES-TRIAL-BAL-2020'!P617+'DMP-TRIAL-BAL-2020'!P617</f>
        <v>0</v>
      </c>
      <c r="X617" s="528">
        <f>+'NF-KSF-TRIAL-BAL-2020'!Q617+'RA-TRIAL-BAL-2020'!Q617+'DES-TRIAL-BAL-2020'!Q617+'DMP-TRIAL-BAL-2020'!Q617</f>
        <v>0</v>
      </c>
      <c r="Y617" s="529">
        <f>+'NF-KSF-TRIAL-BAL-2020'!R617+'RA-TRIAL-BAL-2020'!R617+'DES-TRIAL-BAL-2020'!R617+'DMP-TRIAL-BAL-2020'!R617</f>
        <v>0</v>
      </c>
      <c r="Z617" s="528">
        <f>+'NF-KSF-TRIAL-BAL-2020'!S617+'RA-TRIAL-BAL-2020'!S617+'DES-TRIAL-BAL-2020'!S617+'DMP-TRIAL-BAL-2020'!S617</f>
        <v>0</v>
      </c>
      <c r="AA617" s="347">
        <f>+'NF-KSF-TRIAL-BAL-2020'!T617+'RA-TRIAL-BAL-2020'!T617+'DES-TRIAL-BAL-2020'!T617+'DMP-TRIAL-BAL-2020'!T617</f>
        <v>0</v>
      </c>
      <c r="AB617" s="51"/>
      <c r="AC617" s="8">
        <v>0</v>
      </c>
      <c r="AD617" s="9">
        <v>0</v>
      </c>
      <c r="AE617" s="122">
        <v>0</v>
      </c>
      <c r="AF617" s="121">
        <v>0</v>
      </c>
      <c r="AG617" s="27">
        <f t="shared" si="310"/>
        <v>0</v>
      </c>
      <c r="AH617" s="28">
        <f t="shared" si="317"/>
        <v>0</v>
      </c>
      <c r="AI617" s="51"/>
      <c r="AJ617" s="1497">
        <f t="shared" si="280"/>
        <v>7114</v>
      </c>
      <c r="AK617" s="8">
        <v>0</v>
      </c>
      <c r="AL617" s="9">
        <v>0</v>
      </c>
      <c r="AM617" s="326">
        <f t="shared" si="311"/>
        <v>0</v>
      </c>
      <c r="AN617" s="970">
        <f t="shared" si="311"/>
        <v>0</v>
      </c>
      <c r="AO617" s="27">
        <f t="shared" si="315"/>
        <v>0</v>
      </c>
      <c r="AP617" s="28">
        <f t="shared" si="318"/>
        <v>0</v>
      </c>
      <c r="AQ617" s="43"/>
      <c r="AR617" s="358">
        <f t="shared" si="312"/>
        <v>0</v>
      </c>
      <c r="AS617" s="359">
        <f t="shared" si="313"/>
        <v>0</v>
      </c>
      <c r="AT617" s="360">
        <f t="shared" si="314"/>
        <v>0</v>
      </c>
      <c r="AU617" s="43"/>
      <c r="AV617" s="43"/>
      <c r="AW617" s="119"/>
      <c r="AX617" s="119"/>
      <c r="AY617" s="43"/>
      <c r="AZ617" s="43"/>
      <c r="BA617" s="43"/>
      <c r="BB617" s="43"/>
      <c r="BC617" s="43"/>
      <c r="BD617" s="43"/>
    </row>
    <row r="618" spans="1:56" ht="15.75">
      <c r="A618" s="88">
        <v>7115</v>
      </c>
      <c r="B618" s="1033" t="s">
        <v>679</v>
      </c>
      <c r="C618" s="1033"/>
      <c r="D618" s="1033"/>
      <c r="E618" s="1033"/>
      <c r="F618" s="1033"/>
      <c r="G618" s="1033"/>
      <c r="H618" s="1033"/>
      <c r="I618" s="1033"/>
      <c r="J618" s="1033"/>
      <c r="K618" s="1033"/>
      <c r="L618" s="90"/>
      <c r="M618" s="51" t="s">
        <v>265</v>
      </c>
      <c r="N618" s="113">
        <f t="shared" si="308"/>
        <v>7115</v>
      </c>
      <c r="O618" s="8">
        <v>0</v>
      </c>
      <c r="P618" s="9">
        <v>0</v>
      </c>
      <c r="Q618" s="325"/>
      <c r="R618" s="324"/>
      <c r="S618" s="27">
        <f t="shared" si="309"/>
        <v>0</v>
      </c>
      <c r="T618" s="28">
        <f t="shared" si="316"/>
        <v>0</v>
      </c>
      <c r="U618" s="51"/>
      <c r="V618" s="541">
        <f>+'NF-KSF-TRIAL-BAL-2020'!O618+'RA-TRIAL-BAL-2020'!O618+'DES-TRIAL-BAL-2020'!O618+'DMP-TRIAL-BAL-2020'!O618</f>
        <v>0</v>
      </c>
      <c r="W618" s="529">
        <f>+'NF-KSF-TRIAL-BAL-2020'!P618+'RA-TRIAL-BAL-2020'!P618+'DES-TRIAL-BAL-2020'!P618+'DMP-TRIAL-BAL-2020'!P618</f>
        <v>0</v>
      </c>
      <c r="X618" s="528">
        <f>+'NF-KSF-TRIAL-BAL-2020'!Q618+'RA-TRIAL-BAL-2020'!Q618+'DES-TRIAL-BAL-2020'!Q618+'DMP-TRIAL-BAL-2020'!Q618</f>
        <v>0</v>
      </c>
      <c r="Y618" s="529">
        <f>+'NF-KSF-TRIAL-BAL-2020'!R618+'RA-TRIAL-BAL-2020'!R618+'DES-TRIAL-BAL-2020'!R618+'DMP-TRIAL-BAL-2020'!R618</f>
        <v>0</v>
      </c>
      <c r="Z618" s="528">
        <f>+'NF-KSF-TRIAL-BAL-2020'!S618+'RA-TRIAL-BAL-2020'!S618+'DES-TRIAL-BAL-2020'!S618+'DMP-TRIAL-BAL-2020'!S618</f>
        <v>0</v>
      </c>
      <c r="AA618" s="347">
        <f>+'NF-KSF-TRIAL-BAL-2020'!T618+'RA-TRIAL-BAL-2020'!T618+'DES-TRIAL-BAL-2020'!T618+'DMP-TRIAL-BAL-2020'!T618</f>
        <v>0</v>
      </c>
      <c r="AB618" s="51"/>
      <c r="AC618" s="8">
        <v>0</v>
      </c>
      <c r="AD618" s="9">
        <v>0</v>
      </c>
      <c r="AE618" s="325"/>
      <c r="AF618" s="324"/>
      <c r="AG618" s="27">
        <f t="shared" si="310"/>
        <v>0</v>
      </c>
      <c r="AH618" s="28">
        <f t="shared" si="317"/>
        <v>0</v>
      </c>
      <c r="AI618" s="51"/>
      <c r="AJ618" s="1497">
        <f t="shared" si="280"/>
        <v>7115</v>
      </c>
      <c r="AK618" s="8">
        <v>0</v>
      </c>
      <c r="AL618" s="9">
        <v>0</v>
      </c>
      <c r="AM618" s="326">
        <f t="shared" si="311"/>
        <v>0</v>
      </c>
      <c r="AN618" s="970">
        <f t="shared" si="311"/>
        <v>0</v>
      </c>
      <c r="AO618" s="27">
        <f t="shared" si="315"/>
        <v>0</v>
      </c>
      <c r="AP618" s="28">
        <f t="shared" si="318"/>
        <v>0</v>
      </c>
      <c r="AQ618" s="43"/>
      <c r="AR618" s="358">
        <f t="shared" si="312"/>
        <v>0</v>
      </c>
      <c r="AS618" s="359">
        <f t="shared" si="313"/>
        <v>0</v>
      </c>
      <c r="AT618" s="360">
        <f t="shared" si="314"/>
        <v>0</v>
      </c>
      <c r="AU618" s="43"/>
      <c r="AV618" s="43"/>
      <c r="AW618" s="119"/>
      <c r="AX618" s="119"/>
      <c r="AY618" s="43"/>
      <c r="AZ618" s="43"/>
      <c r="BA618" s="43"/>
      <c r="BB618" s="43"/>
      <c r="BC618" s="43"/>
      <c r="BD618" s="43"/>
    </row>
    <row r="619" spans="1:56" ht="15.75">
      <c r="A619" s="88">
        <v>7121</v>
      </c>
      <c r="B619" s="1033" t="s">
        <v>680</v>
      </c>
      <c r="C619" s="1033"/>
      <c r="D619" s="1033"/>
      <c r="E619" s="1033"/>
      <c r="F619" s="1033"/>
      <c r="G619" s="1033"/>
      <c r="H619" s="1033"/>
      <c r="I619" s="1033"/>
      <c r="J619" s="1033"/>
      <c r="K619" s="1033"/>
      <c r="L619" s="90"/>
      <c r="M619" s="51" t="s">
        <v>265</v>
      </c>
      <c r="N619" s="113">
        <f t="shared" si="308"/>
        <v>7121</v>
      </c>
      <c r="O619" s="8">
        <v>0</v>
      </c>
      <c r="P619" s="9">
        <v>0</v>
      </c>
      <c r="Q619" s="325">
        <v>0</v>
      </c>
      <c r="R619" s="324">
        <v>0</v>
      </c>
      <c r="S619" s="27">
        <f t="shared" si="309"/>
        <v>0</v>
      </c>
      <c r="T619" s="28">
        <f t="shared" si="316"/>
        <v>0</v>
      </c>
      <c r="U619" s="51"/>
      <c r="V619" s="541">
        <f>+'NF-KSF-TRIAL-BAL-2020'!O619+'RA-TRIAL-BAL-2020'!O619+'DES-TRIAL-BAL-2020'!O619+'DMP-TRIAL-BAL-2020'!O619</f>
        <v>0</v>
      </c>
      <c r="W619" s="529">
        <f>+'NF-KSF-TRIAL-BAL-2020'!P619+'RA-TRIAL-BAL-2020'!P619+'DES-TRIAL-BAL-2020'!P619+'DMP-TRIAL-BAL-2020'!P619</f>
        <v>0</v>
      </c>
      <c r="X619" s="528">
        <f>+'NF-KSF-TRIAL-BAL-2020'!Q619+'RA-TRIAL-BAL-2020'!Q619+'DES-TRIAL-BAL-2020'!Q619+'DMP-TRIAL-BAL-2020'!Q619</f>
        <v>0</v>
      </c>
      <c r="Y619" s="529">
        <f>+'NF-KSF-TRIAL-BAL-2020'!R619+'RA-TRIAL-BAL-2020'!R619+'DES-TRIAL-BAL-2020'!R619+'DMP-TRIAL-BAL-2020'!R619</f>
        <v>0</v>
      </c>
      <c r="Z619" s="528">
        <f>+'NF-KSF-TRIAL-BAL-2020'!S619+'RA-TRIAL-BAL-2020'!S619+'DES-TRIAL-BAL-2020'!S619+'DMP-TRIAL-BAL-2020'!S619</f>
        <v>0</v>
      </c>
      <c r="AA619" s="347">
        <f>+'NF-KSF-TRIAL-BAL-2020'!T619+'RA-TRIAL-BAL-2020'!T619+'DES-TRIAL-BAL-2020'!T619+'DMP-TRIAL-BAL-2020'!T619</f>
        <v>0</v>
      </c>
      <c r="AB619" s="51"/>
      <c r="AC619" s="8">
        <v>0</v>
      </c>
      <c r="AD619" s="9">
        <v>0</v>
      </c>
      <c r="AE619" s="325">
        <v>0</v>
      </c>
      <c r="AF619" s="324">
        <v>0</v>
      </c>
      <c r="AG619" s="27">
        <f t="shared" si="310"/>
        <v>0</v>
      </c>
      <c r="AH619" s="28">
        <f t="shared" si="317"/>
        <v>0</v>
      </c>
      <c r="AI619" s="51"/>
      <c r="AJ619" s="1497">
        <f t="shared" si="280"/>
        <v>7121</v>
      </c>
      <c r="AK619" s="8">
        <v>0</v>
      </c>
      <c r="AL619" s="9">
        <v>0</v>
      </c>
      <c r="AM619" s="326">
        <f t="shared" si="311"/>
        <v>0</v>
      </c>
      <c r="AN619" s="970">
        <f t="shared" si="311"/>
        <v>0</v>
      </c>
      <c r="AO619" s="27">
        <f t="shared" si="315"/>
        <v>0</v>
      </c>
      <c r="AP619" s="28">
        <f t="shared" si="318"/>
        <v>0</v>
      </c>
      <c r="AQ619" s="43"/>
      <c r="AR619" s="358">
        <f t="shared" si="312"/>
        <v>0</v>
      </c>
      <c r="AS619" s="359">
        <f t="shared" si="313"/>
        <v>0</v>
      </c>
      <c r="AT619" s="360">
        <f t="shared" si="314"/>
        <v>0</v>
      </c>
      <c r="AU619" s="43"/>
      <c r="AV619" s="43"/>
      <c r="AW619" s="119"/>
      <c r="AX619" s="119"/>
      <c r="AY619" s="43"/>
      <c r="AZ619" s="43"/>
      <c r="BA619" s="43"/>
      <c r="BB619" s="43"/>
      <c r="BC619" s="43"/>
      <c r="BD619" s="43"/>
    </row>
    <row r="620" spans="1:56" ht="15.75">
      <c r="A620" s="88">
        <v>7122</v>
      </c>
      <c r="B620" s="1033" t="s">
        <v>681</v>
      </c>
      <c r="C620" s="1033"/>
      <c r="D620" s="1033"/>
      <c r="E620" s="1033"/>
      <c r="F620" s="1033"/>
      <c r="G620" s="1033"/>
      <c r="H620" s="1033"/>
      <c r="I620" s="1033"/>
      <c r="J620" s="1033"/>
      <c r="K620" s="1033"/>
      <c r="L620" s="90"/>
      <c r="M620" s="51" t="s">
        <v>265</v>
      </c>
      <c r="N620" s="113">
        <f t="shared" si="308"/>
        <v>7122</v>
      </c>
      <c r="O620" s="8">
        <v>0</v>
      </c>
      <c r="P620" s="9">
        <v>0</v>
      </c>
      <c r="Q620" s="325"/>
      <c r="R620" s="324"/>
      <c r="S620" s="27">
        <f t="shared" si="309"/>
        <v>0</v>
      </c>
      <c r="T620" s="28">
        <f t="shared" si="316"/>
        <v>0</v>
      </c>
      <c r="U620" s="51"/>
      <c r="V620" s="541">
        <f>+'NF-KSF-TRIAL-BAL-2020'!O620+'RA-TRIAL-BAL-2020'!O620+'DES-TRIAL-BAL-2020'!O620+'DMP-TRIAL-BAL-2020'!O620</f>
        <v>0</v>
      </c>
      <c r="W620" s="529">
        <f>+'NF-KSF-TRIAL-BAL-2020'!P620+'RA-TRIAL-BAL-2020'!P620+'DES-TRIAL-BAL-2020'!P620+'DMP-TRIAL-BAL-2020'!P620</f>
        <v>0</v>
      </c>
      <c r="X620" s="528">
        <f>+'NF-KSF-TRIAL-BAL-2020'!Q620+'RA-TRIAL-BAL-2020'!Q620+'DES-TRIAL-BAL-2020'!Q620+'DMP-TRIAL-BAL-2020'!Q620</f>
        <v>0</v>
      </c>
      <c r="Y620" s="529">
        <f>+'NF-KSF-TRIAL-BAL-2020'!R620+'RA-TRIAL-BAL-2020'!R620+'DES-TRIAL-BAL-2020'!R620+'DMP-TRIAL-BAL-2020'!R620</f>
        <v>0</v>
      </c>
      <c r="Z620" s="528">
        <f>+'NF-KSF-TRIAL-BAL-2020'!S620+'RA-TRIAL-BAL-2020'!S620+'DES-TRIAL-BAL-2020'!S620+'DMP-TRIAL-BAL-2020'!S620</f>
        <v>0</v>
      </c>
      <c r="AA620" s="347">
        <f>+'NF-KSF-TRIAL-BAL-2020'!T620+'RA-TRIAL-BAL-2020'!T620+'DES-TRIAL-BAL-2020'!T620+'DMP-TRIAL-BAL-2020'!T620</f>
        <v>0</v>
      </c>
      <c r="AB620" s="51"/>
      <c r="AC620" s="8">
        <v>0</v>
      </c>
      <c r="AD620" s="9">
        <v>0</v>
      </c>
      <c r="AE620" s="122"/>
      <c r="AF620" s="121"/>
      <c r="AG620" s="27">
        <f t="shared" si="310"/>
        <v>0</v>
      </c>
      <c r="AH620" s="28">
        <f t="shared" si="317"/>
        <v>0</v>
      </c>
      <c r="AI620" s="51"/>
      <c r="AJ620" s="1497">
        <f t="shared" si="280"/>
        <v>7122</v>
      </c>
      <c r="AK620" s="8">
        <v>0</v>
      </c>
      <c r="AL620" s="9">
        <v>0</v>
      </c>
      <c r="AM620" s="326">
        <f t="shared" si="311"/>
        <v>0</v>
      </c>
      <c r="AN620" s="970">
        <f t="shared" si="311"/>
        <v>0</v>
      </c>
      <c r="AO620" s="27">
        <f t="shared" si="315"/>
        <v>0</v>
      </c>
      <c r="AP620" s="28">
        <f t="shared" si="318"/>
        <v>0</v>
      </c>
      <c r="AQ620" s="43"/>
      <c r="AR620" s="358">
        <f t="shared" si="312"/>
        <v>0</v>
      </c>
      <c r="AS620" s="359">
        <f t="shared" si="313"/>
        <v>0</v>
      </c>
      <c r="AT620" s="360">
        <f t="shared" si="314"/>
        <v>0</v>
      </c>
      <c r="AU620" s="43"/>
      <c r="AV620" s="43"/>
      <c r="AW620" s="119"/>
      <c r="AX620" s="119"/>
      <c r="AY620" s="43"/>
      <c r="AZ620" s="43"/>
      <c r="BA620" s="43"/>
      <c r="BB620" s="43"/>
      <c r="BC620" s="43"/>
      <c r="BD620" s="43"/>
    </row>
    <row r="621" spans="1:56" ht="15.75">
      <c r="A621" s="88">
        <v>7123</v>
      </c>
      <c r="B621" s="1033" t="s">
        <v>682</v>
      </c>
      <c r="C621" s="1033"/>
      <c r="D621" s="1033"/>
      <c r="E621" s="1033"/>
      <c r="F621" s="1033"/>
      <c r="G621" s="1033"/>
      <c r="H621" s="1033"/>
      <c r="I621" s="1033"/>
      <c r="J621" s="1033"/>
      <c r="K621" s="1033"/>
      <c r="L621" s="90"/>
      <c r="M621" s="51" t="s">
        <v>265</v>
      </c>
      <c r="N621" s="113">
        <f t="shared" si="308"/>
        <v>7123</v>
      </c>
      <c r="O621" s="8">
        <v>0</v>
      </c>
      <c r="P621" s="9">
        <v>0</v>
      </c>
      <c r="Q621" s="325">
        <v>0</v>
      </c>
      <c r="R621" s="324">
        <v>0</v>
      </c>
      <c r="S621" s="27">
        <f t="shared" si="309"/>
        <v>0</v>
      </c>
      <c r="T621" s="28">
        <f t="shared" si="316"/>
        <v>0</v>
      </c>
      <c r="U621" s="51"/>
      <c r="V621" s="541">
        <f>+'NF-KSF-TRIAL-BAL-2020'!O621+'RA-TRIAL-BAL-2020'!O621+'DES-TRIAL-BAL-2020'!O621+'DMP-TRIAL-BAL-2020'!O621</f>
        <v>0</v>
      </c>
      <c r="W621" s="529">
        <f>+'NF-KSF-TRIAL-BAL-2020'!P621+'RA-TRIAL-BAL-2020'!P621+'DES-TRIAL-BAL-2020'!P621+'DMP-TRIAL-BAL-2020'!P621</f>
        <v>0</v>
      </c>
      <c r="X621" s="528">
        <f>+'NF-KSF-TRIAL-BAL-2020'!Q621+'RA-TRIAL-BAL-2020'!Q621+'DES-TRIAL-BAL-2020'!Q621+'DMP-TRIAL-BAL-2020'!Q621</f>
        <v>0</v>
      </c>
      <c r="Y621" s="529">
        <f>+'NF-KSF-TRIAL-BAL-2020'!R621+'RA-TRIAL-BAL-2020'!R621+'DES-TRIAL-BAL-2020'!R621+'DMP-TRIAL-BAL-2020'!R621</f>
        <v>0</v>
      </c>
      <c r="Z621" s="528">
        <f>+'NF-KSF-TRIAL-BAL-2020'!S621+'RA-TRIAL-BAL-2020'!S621+'DES-TRIAL-BAL-2020'!S621+'DMP-TRIAL-BAL-2020'!S621</f>
        <v>0</v>
      </c>
      <c r="AA621" s="347">
        <f>+'NF-KSF-TRIAL-BAL-2020'!T621+'RA-TRIAL-BAL-2020'!T621+'DES-TRIAL-BAL-2020'!T621+'DMP-TRIAL-BAL-2020'!T621</f>
        <v>0</v>
      </c>
      <c r="AB621" s="51"/>
      <c r="AC621" s="8">
        <v>0</v>
      </c>
      <c r="AD621" s="9">
        <v>0</v>
      </c>
      <c r="AE621" s="122">
        <v>0</v>
      </c>
      <c r="AF621" s="121">
        <v>0</v>
      </c>
      <c r="AG621" s="27">
        <f t="shared" si="310"/>
        <v>0</v>
      </c>
      <c r="AH621" s="28">
        <f t="shared" si="317"/>
        <v>0</v>
      </c>
      <c r="AI621" s="51"/>
      <c r="AJ621" s="1497">
        <f t="shared" si="280"/>
        <v>7123</v>
      </c>
      <c r="AK621" s="8">
        <v>0</v>
      </c>
      <c r="AL621" s="9">
        <v>0</v>
      </c>
      <c r="AM621" s="326">
        <f t="shared" si="311"/>
        <v>0</v>
      </c>
      <c r="AN621" s="970">
        <f t="shared" si="311"/>
        <v>0</v>
      </c>
      <c r="AO621" s="27">
        <f t="shared" si="315"/>
        <v>0</v>
      </c>
      <c r="AP621" s="28">
        <f t="shared" si="318"/>
        <v>0</v>
      </c>
      <c r="AQ621" s="43"/>
      <c r="AR621" s="358">
        <f t="shared" si="312"/>
        <v>0</v>
      </c>
      <c r="AS621" s="359">
        <f t="shared" si="313"/>
        <v>0</v>
      </c>
      <c r="AT621" s="360">
        <f t="shared" si="314"/>
        <v>0</v>
      </c>
      <c r="AU621" s="43"/>
      <c r="AV621" s="43"/>
      <c r="AW621" s="119"/>
      <c r="AX621" s="119"/>
      <c r="AY621" s="43"/>
      <c r="AZ621" s="43"/>
      <c r="BA621" s="43"/>
      <c r="BB621" s="43"/>
      <c r="BC621" s="43"/>
      <c r="BD621" s="43"/>
    </row>
    <row r="622" spans="1:56" ht="15.75">
      <c r="A622" s="88">
        <v>7124</v>
      </c>
      <c r="B622" s="1033" t="s">
        <v>683</v>
      </c>
      <c r="C622" s="1033"/>
      <c r="D622" s="1033"/>
      <c r="E622" s="1033"/>
      <c r="F622" s="1033"/>
      <c r="G622" s="1033"/>
      <c r="H622" s="1033"/>
      <c r="I622" s="1033"/>
      <c r="J622" s="1033"/>
      <c r="K622" s="1033"/>
      <c r="L622" s="90"/>
      <c r="M622" s="51" t="s">
        <v>265</v>
      </c>
      <c r="N622" s="113">
        <f t="shared" si="308"/>
        <v>7124</v>
      </c>
      <c r="O622" s="8">
        <v>0</v>
      </c>
      <c r="P622" s="9">
        <v>0</v>
      </c>
      <c r="Q622" s="325"/>
      <c r="R622" s="324"/>
      <c r="S622" s="27">
        <f t="shared" si="309"/>
        <v>0</v>
      </c>
      <c r="T622" s="28">
        <f t="shared" si="316"/>
        <v>0</v>
      </c>
      <c r="U622" s="51"/>
      <c r="V622" s="541">
        <f>+'NF-KSF-TRIAL-BAL-2020'!O622+'RA-TRIAL-BAL-2020'!O622+'DES-TRIAL-BAL-2020'!O622+'DMP-TRIAL-BAL-2020'!O622</f>
        <v>0</v>
      </c>
      <c r="W622" s="529">
        <f>+'NF-KSF-TRIAL-BAL-2020'!P622+'RA-TRIAL-BAL-2020'!P622+'DES-TRIAL-BAL-2020'!P622+'DMP-TRIAL-BAL-2020'!P622</f>
        <v>0</v>
      </c>
      <c r="X622" s="528">
        <f>+'NF-KSF-TRIAL-BAL-2020'!Q622+'RA-TRIAL-BAL-2020'!Q622+'DES-TRIAL-BAL-2020'!Q622+'DMP-TRIAL-BAL-2020'!Q622</f>
        <v>0</v>
      </c>
      <c r="Y622" s="529">
        <f>+'NF-KSF-TRIAL-BAL-2020'!R622+'RA-TRIAL-BAL-2020'!R622+'DES-TRIAL-BAL-2020'!R622+'DMP-TRIAL-BAL-2020'!R622</f>
        <v>0</v>
      </c>
      <c r="Z622" s="528">
        <f>+'NF-KSF-TRIAL-BAL-2020'!S622+'RA-TRIAL-BAL-2020'!S622+'DES-TRIAL-BAL-2020'!S622+'DMP-TRIAL-BAL-2020'!S622</f>
        <v>0</v>
      </c>
      <c r="AA622" s="347">
        <f>+'NF-KSF-TRIAL-BAL-2020'!T622+'RA-TRIAL-BAL-2020'!T622+'DES-TRIAL-BAL-2020'!T622+'DMP-TRIAL-BAL-2020'!T622</f>
        <v>0</v>
      </c>
      <c r="AB622" s="51"/>
      <c r="AC622" s="8">
        <v>0</v>
      </c>
      <c r="AD622" s="9">
        <v>0</v>
      </c>
      <c r="AE622" s="325"/>
      <c r="AF622" s="324"/>
      <c r="AG622" s="27">
        <f t="shared" si="310"/>
        <v>0</v>
      </c>
      <c r="AH622" s="28">
        <f t="shared" si="317"/>
        <v>0</v>
      </c>
      <c r="AI622" s="51"/>
      <c r="AJ622" s="1497">
        <f t="shared" si="280"/>
        <v>7124</v>
      </c>
      <c r="AK622" s="8">
        <v>0</v>
      </c>
      <c r="AL622" s="9">
        <v>0</v>
      </c>
      <c r="AM622" s="326">
        <f t="shared" si="311"/>
        <v>0</v>
      </c>
      <c r="AN622" s="970">
        <f t="shared" si="311"/>
        <v>0</v>
      </c>
      <c r="AO622" s="27">
        <f t="shared" si="315"/>
        <v>0</v>
      </c>
      <c r="AP622" s="28">
        <f t="shared" si="318"/>
        <v>0</v>
      </c>
      <c r="AQ622" s="43"/>
      <c r="AR622" s="358">
        <f t="shared" si="312"/>
        <v>0</v>
      </c>
      <c r="AS622" s="359">
        <f t="shared" si="313"/>
        <v>0</v>
      </c>
      <c r="AT622" s="360">
        <f t="shared" si="314"/>
        <v>0</v>
      </c>
      <c r="AU622" s="43"/>
      <c r="AV622" s="43"/>
      <c r="AW622" s="119"/>
      <c r="AX622" s="119"/>
      <c r="AY622" s="43"/>
      <c r="AZ622" s="43"/>
      <c r="BA622" s="43"/>
      <c r="BB622" s="43"/>
      <c r="BC622" s="43"/>
      <c r="BD622" s="43"/>
    </row>
    <row r="623" spans="1:56" ht="15.75">
      <c r="A623" s="88">
        <v>7131</v>
      </c>
      <c r="B623" s="1033" t="s">
        <v>684</v>
      </c>
      <c r="C623" s="1033"/>
      <c r="D623" s="1033"/>
      <c r="E623" s="1033"/>
      <c r="F623" s="1033"/>
      <c r="G623" s="1033"/>
      <c r="H623" s="1033"/>
      <c r="I623" s="1033"/>
      <c r="J623" s="1033"/>
      <c r="K623" s="1033"/>
      <c r="L623" s="90"/>
      <c r="M623" s="51" t="s">
        <v>265</v>
      </c>
      <c r="N623" s="113">
        <f t="shared" si="308"/>
        <v>7131</v>
      </c>
      <c r="O623" s="8">
        <v>0</v>
      </c>
      <c r="P623" s="9">
        <v>0</v>
      </c>
      <c r="Q623" s="325">
        <v>0</v>
      </c>
      <c r="R623" s="324">
        <v>0</v>
      </c>
      <c r="S623" s="27">
        <f t="shared" si="309"/>
        <v>0</v>
      </c>
      <c r="T623" s="28">
        <f t="shared" si="316"/>
        <v>0</v>
      </c>
      <c r="U623" s="51"/>
      <c r="V623" s="541">
        <f>+'NF-KSF-TRIAL-BAL-2020'!O623+'RA-TRIAL-BAL-2020'!O623+'DES-TRIAL-BAL-2020'!O623+'DMP-TRIAL-BAL-2020'!O623</f>
        <v>0</v>
      </c>
      <c r="W623" s="529">
        <f>+'NF-KSF-TRIAL-BAL-2020'!P623+'RA-TRIAL-BAL-2020'!P623+'DES-TRIAL-BAL-2020'!P623+'DMP-TRIAL-BAL-2020'!P623</f>
        <v>0</v>
      </c>
      <c r="X623" s="528">
        <f>+'NF-KSF-TRIAL-BAL-2020'!Q623+'RA-TRIAL-BAL-2020'!Q623+'DES-TRIAL-BAL-2020'!Q623+'DMP-TRIAL-BAL-2020'!Q623</f>
        <v>0</v>
      </c>
      <c r="Y623" s="529">
        <f>+'NF-KSF-TRIAL-BAL-2020'!R623+'RA-TRIAL-BAL-2020'!R623+'DES-TRIAL-BAL-2020'!R623+'DMP-TRIAL-BAL-2020'!R623</f>
        <v>0</v>
      </c>
      <c r="Z623" s="528">
        <f>+'NF-KSF-TRIAL-BAL-2020'!S623+'RA-TRIAL-BAL-2020'!S623+'DES-TRIAL-BAL-2020'!S623+'DMP-TRIAL-BAL-2020'!S623</f>
        <v>0</v>
      </c>
      <c r="AA623" s="347">
        <f>+'NF-KSF-TRIAL-BAL-2020'!T623+'RA-TRIAL-BAL-2020'!T623+'DES-TRIAL-BAL-2020'!T623+'DMP-TRIAL-BAL-2020'!T623</f>
        <v>0</v>
      </c>
      <c r="AB623" s="51"/>
      <c r="AC623" s="8">
        <v>0</v>
      </c>
      <c r="AD623" s="9">
        <v>0</v>
      </c>
      <c r="AE623" s="325">
        <v>0</v>
      </c>
      <c r="AF623" s="324">
        <v>0</v>
      </c>
      <c r="AG623" s="27">
        <f t="shared" si="310"/>
        <v>0</v>
      </c>
      <c r="AH623" s="28">
        <f t="shared" si="317"/>
        <v>0</v>
      </c>
      <c r="AI623" s="51"/>
      <c r="AJ623" s="1497">
        <f t="shared" si="280"/>
        <v>7131</v>
      </c>
      <c r="AK623" s="8">
        <v>0</v>
      </c>
      <c r="AL623" s="9">
        <v>0</v>
      </c>
      <c r="AM623" s="326">
        <f t="shared" si="311"/>
        <v>0</v>
      </c>
      <c r="AN623" s="970">
        <f t="shared" si="311"/>
        <v>0</v>
      </c>
      <c r="AO623" s="27">
        <f t="shared" si="315"/>
        <v>0</v>
      </c>
      <c r="AP623" s="28">
        <f t="shared" si="318"/>
        <v>0</v>
      </c>
      <c r="AQ623" s="43"/>
      <c r="AR623" s="358">
        <f t="shared" si="312"/>
        <v>0</v>
      </c>
      <c r="AS623" s="359">
        <f t="shared" si="313"/>
        <v>0</v>
      </c>
      <c r="AT623" s="360">
        <f t="shared" si="314"/>
        <v>0</v>
      </c>
      <c r="AU623" s="43"/>
      <c r="AV623" s="43"/>
      <c r="AW623" s="119"/>
      <c r="AX623" s="119"/>
      <c r="AY623" s="43"/>
      <c r="AZ623" s="43"/>
      <c r="BA623" s="43"/>
      <c r="BB623" s="43"/>
      <c r="BC623" s="43"/>
      <c r="BD623" s="43"/>
    </row>
    <row r="624" spans="1:56" ht="15.75">
      <c r="A624" s="88">
        <f>1+A623</f>
        <v>7132</v>
      </c>
      <c r="B624" s="1033" t="s">
        <v>685</v>
      </c>
      <c r="C624" s="1033"/>
      <c r="D624" s="1033"/>
      <c r="E624" s="1033"/>
      <c r="F624" s="1033"/>
      <c r="G624" s="1033"/>
      <c r="H624" s="1033"/>
      <c r="I624" s="1033"/>
      <c r="J624" s="1033"/>
      <c r="K624" s="1033"/>
      <c r="L624" s="90"/>
      <c r="M624" s="51" t="s">
        <v>265</v>
      </c>
      <c r="N624" s="113">
        <f t="shared" si="308"/>
        <v>7132</v>
      </c>
      <c r="O624" s="8">
        <v>0</v>
      </c>
      <c r="P624" s="9">
        <v>0</v>
      </c>
      <c r="Q624" s="325"/>
      <c r="R624" s="324"/>
      <c r="S624" s="27">
        <f t="shared" si="309"/>
        <v>0</v>
      </c>
      <c r="T624" s="28">
        <f t="shared" si="316"/>
        <v>0</v>
      </c>
      <c r="U624" s="51"/>
      <c r="V624" s="541">
        <f>+'NF-KSF-TRIAL-BAL-2020'!O624+'RA-TRIAL-BAL-2020'!O624+'DES-TRIAL-BAL-2020'!O624+'DMP-TRIAL-BAL-2020'!O624</f>
        <v>0</v>
      </c>
      <c r="W624" s="529">
        <f>+'NF-KSF-TRIAL-BAL-2020'!P624+'RA-TRIAL-BAL-2020'!P624+'DES-TRIAL-BAL-2020'!P624+'DMP-TRIAL-BAL-2020'!P624</f>
        <v>0</v>
      </c>
      <c r="X624" s="528">
        <f>+'NF-KSF-TRIAL-BAL-2020'!Q624+'RA-TRIAL-BAL-2020'!Q624+'DES-TRIAL-BAL-2020'!Q624+'DMP-TRIAL-BAL-2020'!Q624</f>
        <v>0</v>
      </c>
      <c r="Y624" s="529">
        <f>+'NF-KSF-TRIAL-BAL-2020'!R624+'RA-TRIAL-BAL-2020'!R624+'DES-TRIAL-BAL-2020'!R624+'DMP-TRIAL-BAL-2020'!R624</f>
        <v>0</v>
      </c>
      <c r="Z624" s="528">
        <f>+'NF-KSF-TRIAL-BAL-2020'!S624+'RA-TRIAL-BAL-2020'!S624+'DES-TRIAL-BAL-2020'!S624+'DMP-TRIAL-BAL-2020'!S624</f>
        <v>0</v>
      </c>
      <c r="AA624" s="347">
        <f>+'NF-KSF-TRIAL-BAL-2020'!T624+'RA-TRIAL-BAL-2020'!T624+'DES-TRIAL-BAL-2020'!T624+'DMP-TRIAL-BAL-2020'!T624</f>
        <v>0</v>
      </c>
      <c r="AB624" s="51"/>
      <c r="AC624" s="8">
        <v>0</v>
      </c>
      <c r="AD624" s="9">
        <v>0</v>
      </c>
      <c r="AE624" s="122"/>
      <c r="AF624" s="121"/>
      <c r="AG624" s="27">
        <f t="shared" si="310"/>
        <v>0</v>
      </c>
      <c r="AH624" s="28">
        <f t="shared" si="317"/>
        <v>0</v>
      </c>
      <c r="AI624" s="51"/>
      <c r="AJ624" s="1497">
        <f t="shared" si="280"/>
        <v>7132</v>
      </c>
      <c r="AK624" s="8">
        <v>0</v>
      </c>
      <c r="AL624" s="9">
        <v>0</v>
      </c>
      <c r="AM624" s="326">
        <f t="shared" si="311"/>
        <v>0</v>
      </c>
      <c r="AN624" s="970">
        <f t="shared" si="311"/>
        <v>0</v>
      </c>
      <c r="AO624" s="27">
        <f t="shared" si="315"/>
        <v>0</v>
      </c>
      <c r="AP624" s="28">
        <f t="shared" si="318"/>
        <v>0</v>
      </c>
      <c r="AQ624" s="43"/>
      <c r="AR624" s="358">
        <f t="shared" si="312"/>
        <v>0</v>
      </c>
      <c r="AS624" s="359">
        <f t="shared" si="313"/>
        <v>0</v>
      </c>
      <c r="AT624" s="360">
        <f t="shared" si="314"/>
        <v>0</v>
      </c>
      <c r="AU624" s="43"/>
      <c r="AV624" s="43"/>
      <c r="AW624" s="119"/>
      <c r="AX624" s="119"/>
      <c r="AY624" s="43"/>
      <c r="AZ624" s="43"/>
      <c r="BA624" s="43"/>
      <c r="BB624" s="43"/>
      <c r="BC624" s="43"/>
      <c r="BD624" s="43"/>
    </row>
    <row r="625" spans="1:56" ht="15.75">
      <c r="A625" s="88">
        <v>7133</v>
      </c>
      <c r="B625" s="1033" t="s">
        <v>686</v>
      </c>
      <c r="C625" s="1033"/>
      <c r="D625" s="1033"/>
      <c r="E625" s="1033"/>
      <c r="F625" s="1033"/>
      <c r="G625" s="1033"/>
      <c r="H625" s="1033"/>
      <c r="I625" s="1033"/>
      <c r="J625" s="1033"/>
      <c r="K625" s="1033"/>
      <c r="L625" s="90"/>
      <c r="M625" s="51" t="s">
        <v>265</v>
      </c>
      <c r="N625" s="113">
        <f t="shared" si="308"/>
        <v>7133</v>
      </c>
      <c r="O625" s="8">
        <v>0</v>
      </c>
      <c r="P625" s="9">
        <v>0</v>
      </c>
      <c r="Q625" s="325"/>
      <c r="R625" s="324"/>
      <c r="S625" s="27">
        <f t="shared" si="309"/>
        <v>0</v>
      </c>
      <c r="T625" s="28">
        <f t="shared" si="316"/>
        <v>0</v>
      </c>
      <c r="U625" s="51"/>
      <c r="V625" s="541">
        <f>+'NF-KSF-TRIAL-BAL-2020'!O625+'RA-TRIAL-BAL-2020'!O625+'DES-TRIAL-BAL-2020'!O625+'DMP-TRIAL-BAL-2020'!O625</f>
        <v>0</v>
      </c>
      <c r="W625" s="529">
        <f>+'NF-KSF-TRIAL-BAL-2020'!P625+'RA-TRIAL-BAL-2020'!P625+'DES-TRIAL-BAL-2020'!P625+'DMP-TRIAL-BAL-2020'!P625</f>
        <v>0</v>
      </c>
      <c r="X625" s="528">
        <f>+'NF-KSF-TRIAL-BAL-2020'!Q625+'RA-TRIAL-BAL-2020'!Q625+'DES-TRIAL-BAL-2020'!Q625+'DMP-TRIAL-BAL-2020'!Q625</f>
        <v>0</v>
      </c>
      <c r="Y625" s="529">
        <f>+'NF-KSF-TRIAL-BAL-2020'!R625+'RA-TRIAL-BAL-2020'!R625+'DES-TRIAL-BAL-2020'!R625+'DMP-TRIAL-BAL-2020'!R625</f>
        <v>0</v>
      </c>
      <c r="Z625" s="528">
        <f>+'NF-KSF-TRIAL-BAL-2020'!S625+'RA-TRIAL-BAL-2020'!S625+'DES-TRIAL-BAL-2020'!S625+'DMP-TRIAL-BAL-2020'!S625</f>
        <v>0</v>
      </c>
      <c r="AA625" s="347">
        <f>+'NF-KSF-TRIAL-BAL-2020'!T625+'RA-TRIAL-BAL-2020'!T625+'DES-TRIAL-BAL-2020'!T625+'DMP-TRIAL-BAL-2020'!T625</f>
        <v>0</v>
      </c>
      <c r="AB625" s="51"/>
      <c r="AC625" s="8">
        <v>0</v>
      </c>
      <c r="AD625" s="9">
        <v>0</v>
      </c>
      <c r="AE625" s="122"/>
      <c r="AF625" s="121"/>
      <c r="AG625" s="27">
        <f t="shared" si="310"/>
        <v>0</v>
      </c>
      <c r="AH625" s="28">
        <f t="shared" si="317"/>
        <v>0</v>
      </c>
      <c r="AI625" s="51"/>
      <c r="AJ625" s="1497">
        <f t="shared" ref="AJ625:AJ704" si="319">+N625</f>
        <v>7133</v>
      </c>
      <c r="AK625" s="8">
        <v>0</v>
      </c>
      <c r="AL625" s="9">
        <v>0</v>
      </c>
      <c r="AM625" s="326">
        <f t="shared" si="311"/>
        <v>0</v>
      </c>
      <c r="AN625" s="970">
        <f t="shared" si="311"/>
        <v>0</v>
      </c>
      <c r="AO625" s="27">
        <f t="shared" si="315"/>
        <v>0</v>
      </c>
      <c r="AP625" s="28">
        <f t="shared" si="318"/>
        <v>0</v>
      </c>
      <c r="AQ625" s="43"/>
      <c r="AR625" s="358">
        <f t="shared" si="312"/>
        <v>0</v>
      </c>
      <c r="AS625" s="359">
        <f t="shared" si="313"/>
        <v>0</v>
      </c>
      <c r="AT625" s="360">
        <f t="shared" si="314"/>
        <v>0</v>
      </c>
      <c r="AU625" s="43"/>
      <c r="AV625" s="43"/>
      <c r="AW625" s="119"/>
      <c r="AX625" s="119"/>
      <c r="AY625" s="43"/>
      <c r="AZ625" s="43"/>
      <c r="BA625" s="43"/>
      <c r="BB625" s="43"/>
      <c r="BC625" s="43"/>
      <c r="BD625" s="43"/>
    </row>
    <row r="626" spans="1:56" ht="15.75">
      <c r="A626" s="88">
        <v>7140</v>
      </c>
      <c r="B626" s="1033" t="s">
        <v>687</v>
      </c>
      <c r="C626" s="1033"/>
      <c r="D626" s="1033"/>
      <c r="E626" s="1033"/>
      <c r="F626" s="1033"/>
      <c r="G626" s="1033"/>
      <c r="H626" s="1033"/>
      <c r="I626" s="1033"/>
      <c r="J626" s="1033"/>
      <c r="K626" s="1033"/>
      <c r="L626" s="90"/>
      <c r="M626" s="51" t="s">
        <v>265</v>
      </c>
      <c r="N626" s="113">
        <f t="shared" si="308"/>
        <v>7140</v>
      </c>
      <c r="O626" s="8">
        <v>0</v>
      </c>
      <c r="P626" s="9">
        <v>0</v>
      </c>
      <c r="Q626" s="325"/>
      <c r="R626" s="324"/>
      <c r="S626" s="27">
        <f t="shared" si="309"/>
        <v>0</v>
      </c>
      <c r="T626" s="28">
        <f t="shared" si="316"/>
        <v>0</v>
      </c>
      <c r="U626" s="51"/>
      <c r="V626" s="541">
        <f>+'NF-KSF-TRIAL-BAL-2020'!O626+'RA-TRIAL-BAL-2020'!O626+'DES-TRIAL-BAL-2020'!O626+'DMP-TRIAL-BAL-2020'!O626</f>
        <v>0</v>
      </c>
      <c r="W626" s="529">
        <f>+'NF-KSF-TRIAL-BAL-2020'!P626+'RA-TRIAL-BAL-2020'!P626+'DES-TRIAL-BAL-2020'!P626+'DMP-TRIAL-BAL-2020'!P626</f>
        <v>0</v>
      </c>
      <c r="X626" s="528">
        <f>+'NF-KSF-TRIAL-BAL-2020'!Q626+'RA-TRIAL-BAL-2020'!Q626+'DES-TRIAL-BAL-2020'!Q626+'DMP-TRIAL-BAL-2020'!Q626</f>
        <v>0</v>
      </c>
      <c r="Y626" s="529">
        <f>+'NF-KSF-TRIAL-BAL-2020'!R626+'RA-TRIAL-BAL-2020'!R626+'DES-TRIAL-BAL-2020'!R626+'DMP-TRIAL-BAL-2020'!R626</f>
        <v>0</v>
      </c>
      <c r="Z626" s="528">
        <f>+'NF-KSF-TRIAL-BAL-2020'!S626+'RA-TRIAL-BAL-2020'!S626+'DES-TRIAL-BAL-2020'!S626+'DMP-TRIAL-BAL-2020'!S626</f>
        <v>0</v>
      </c>
      <c r="AA626" s="347">
        <f>+'NF-KSF-TRIAL-BAL-2020'!T626+'RA-TRIAL-BAL-2020'!T626+'DES-TRIAL-BAL-2020'!T626+'DMP-TRIAL-BAL-2020'!T626</f>
        <v>0</v>
      </c>
      <c r="AB626" s="51"/>
      <c r="AC626" s="8">
        <v>0</v>
      </c>
      <c r="AD626" s="9">
        <v>0</v>
      </c>
      <c r="AE626" s="325"/>
      <c r="AF626" s="324"/>
      <c r="AG626" s="27">
        <f t="shared" si="310"/>
        <v>0</v>
      </c>
      <c r="AH626" s="28">
        <f t="shared" si="317"/>
        <v>0</v>
      </c>
      <c r="AI626" s="51"/>
      <c r="AJ626" s="1497">
        <f t="shared" si="319"/>
        <v>7140</v>
      </c>
      <c r="AK626" s="8">
        <v>0</v>
      </c>
      <c r="AL626" s="9">
        <v>0</v>
      </c>
      <c r="AM626" s="326">
        <f t="shared" si="311"/>
        <v>0</v>
      </c>
      <c r="AN626" s="970">
        <f t="shared" si="311"/>
        <v>0</v>
      </c>
      <c r="AO626" s="27">
        <f t="shared" si="315"/>
        <v>0</v>
      </c>
      <c r="AP626" s="28">
        <f t="shared" si="318"/>
        <v>0</v>
      </c>
      <c r="AQ626" s="43"/>
      <c r="AR626" s="358">
        <f t="shared" si="312"/>
        <v>0</v>
      </c>
      <c r="AS626" s="359">
        <f t="shared" si="313"/>
        <v>0</v>
      </c>
      <c r="AT626" s="360">
        <f t="shared" si="314"/>
        <v>0</v>
      </c>
      <c r="AU626" s="43"/>
      <c r="AV626" s="43"/>
      <c r="AW626" s="119"/>
      <c r="AX626" s="119"/>
      <c r="AY626" s="43"/>
      <c r="AZ626" s="43"/>
      <c r="BA626" s="43"/>
      <c r="BB626" s="43"/>
      <c r="BC626" s="43"/>
      <c r="BD626" s="43"/>
    </row>
    <row r="627" spans="1:56" ht="15.75">
      <c r="A627" s="88">
        <v>7141</v>
      </c>
      <c r="B627" s="1033" t="s">
        <v>688</v>
      </c>
      <c r="C627" s="1033"/>
      <c r="D627" s="1033"/>
      <c r="E627" s="1033"/>
      <c r="F627" s="1033"/>
      <c r="G627" s="1033"/>
      <c r="H627" s="1033"/>
      <c r="I627" s="1033"/>
      <c r="J627" s="1033"/>
      <c r="K627" s="1033"/>
      <c r="L627" s="90"/>
      <c r="M627" s="51" t="s">
        <v>265</v>
      </c>
      <c r="N627" s="113">
        <f t="shared" si="308"/>
        <v>7141</v>
      </c>
      <c r="O627" s="8">
        <v>0</v>
      </c>
      <c r="P627" s="9">
        <v>0</v>
      </c>
      <c r="Q627" s="325"/>
      <c r="R627" s="324"/>
      <c r="S627" s="27">
        <f t="shared" si="309"/>
        <v>0</v>
      </c>
      <c r="T627" s="28">
        <f t="shared" si="316"/>
        <v>0</v>
      </c>
      <c r="U627" s="51"/>
      <c r="V627" s="541">
        <f>+'NF-KSF-TRIAL-BAL-2020'!O627+'RA-TRIAL-BAL-2020'!O627+'DES-TRIAL-BAL-2020'!O627+'DMP-TRIAL-BAL-2020'!O627</f>
        <v>0</v>
      </c>
      <c r="W627" s="529">
        <f>+'NF-KSF-TRIAL-BAL-2020'!P627+'RA-TRIAL-BAL-2020'!P627+'DES-TRIAL-BAL-2020'!P627+'DMP-TRIAL-BAL-2020'!P627</f>
        <v>0</v>
      </c>
      <c r="X627" s="528">
        <f>+'NF-KSF-TRIAL-BAL-2020'!Q627+'RA-TRIAL-BAL-2020'!Q627+'DES-TRIAL-BAL-2020'!Q627+'DMP-TRIAL-BAL-2020'!Q627</f>
        <v>0</v>
      </c>
      <c r="Y627" s="529">
        <f>+'NF-KSF-TRIAL-BAL-2020'!R627+'RA-TRIAL-BAL-2020'!R627+'DES-TRIAL-BAL-2020'!R627+'DMP-TRIAL-BAL-2020'!R627</f>
        <v>0</v>
      </c>
      <c r="Z627" s="528">
        <f>+'NF-KSF-TRIAL-BAL-2020'!S627+'RA-TRIAL-BAL-2020'!S627+'DES-TRIAL-BAL-2020'!S627+'DMP-TRIAL-BAL-2020'!S627</f>
        <v>0</v>
      </c>
      <c r="AA627" s="347">
        <f>+'NF-KSF-TRIAL-BAL-2020'!T627+'RA-TRIAL-BAL-2020'!T627+'DES-TRIAL-BAL-2020'!T627+'DMP-TRIAL-BAL-2020'!T627</f>
        <v>0</v>
      </c>
      <c r="AB627" s="51"/>
      <c r="AC627" s="8">
        <v>0</v>
      </c>
      <c r="AD627" s="9">
        <v>0</v>
      </c>
      <c r="AE627" s="325"/>
      <c r="AF627" s="324"/>
      <c r="AG627" s="27">
        <f t="shared" si="310"/>
        <v>0</v>
      </c>
      <c r="AH627" s="28">
        <f t="shared" si="317"/>
        <v>0</v>
      </c>
      <c r="AI627" s="51"/>
      <c r="AJ627" s="1497">
        <f t="shared" si="319"/>
        <v>7141</v>
      </c>
      <c r="AK627" s="8">
        <v>0</v>
      </c>
      <c r="AL627" s="9">
        <v>0</v>
      </c>
      <c r="AM627" s="326">
        <f t="shared" si="311"/>
        <v>0</v>
      </c>
      <c r="AN627" s="970">
        <f t="shared" si="311"/>
        <v>0</v>
      </c>
      <c r="AO627" s="27">
        <f t="shared" si="315"/>
        <v>0</v>
      </c>
      <c r="AP627" s="28">
        <f t="shared" si="318"/>
        <v>0</v>
      </c>
      <c r="AQ627" s="43"/>
      <c r="AR627" s="358">
        <f t="shared" si="312"/>
        <v>0</v>
      </c>
      <c r="AS627" s="359">
        <f t="shared" si="313"/>
        <v>0</v>
      </c>
      <c r="AT627" s="360">
        <f t="shared" si="314"/>
        <v>0</v>
      </c>
      <c r="AU627" s="43"/>
      <c r="AV627" s="43"/>
      <c r="AW627" s="119"/>
      <c r="AX627" s="119"/>
      <c r="AY627" s="43"/>
      <c r="AZ627" s="43"/>
      <c r="BA627" s="43"/>
      <c r="BB627" s="43"/>
      <c r="BC627" s="43"/>
      <c r="BD627" s="43"/>
    </row>
    <row r="628" spans="1:56" ht="15.75">
      <c r="A628" s="88">
        <v>7142</v>
      </c>
      <c r="B628" s="1033" t="s">
        <v>689</v>
      </c>
      <c r="C628" s="1033"/>
      <c r="D628" s="1033"/>
      <c r="E628" s="1033"/>
      <c r="F628" s="1033"/>
      <c r="G628" s="1033"/>
      <c r="H628" s="1033"/>
      <c r="I628" s="1033"/>
      <c r="J628" s="1033"/>
      <c r="K628" s="1033"/>
      <c r="L628" s="90"/>
      <c r="M628" s="51" t="s">
        <v>265</v>
      </c>
      <c r="N628" s="113">
        <f t="shared" si="308"/>
        <v>7142</v>
      </c>
      <c r="O628" s="8">
        <v>0</v>
      </c>
      <c r="P628" s="9">
        <v>0</v>
      </c>
      <c r="Q628" s="325"/>
      <c r="R628" s="324"/>
      <c r="S628" s="27">
        <f t="shared" si="309"/>
        <v>0</v>
      </c>
      <c r="T628" s="28">
        <f t="shared" si="316"/>
        <v>0</v>
      </c>
      <c r="U628" s="51"/>
      <c r="V628" s="541">
        <f>+'NF-KSF-TRIAL-BAL-2020'!O628+'RA-TRIAL-BAL-2020'!O628+'DES-TRIAL-BAL-2020'!O628+'DMP-TRIAL-BAL-2020'!O628</f>
        <v>0</v>
      </c>
      <c r="W628" s="529">
        <f>+'NF-KSF-TRIAL-BAL-2020'!P628+'RA-TRIAL-BAL-2020'!P628+'DES-TRIAL-BAL-2020'!P628+'DMP-TRIAL-BAL-2020'!P628</f>
        <v>0</v>
      </c>
      <c r="X628" s="528">
        <f>+'NF-KSF-TRIAL-BAL-2020'!Q628+'RA-TRIAL-BAL-2020'!Q628+'DES-TRIAL-BAL-2020'!Q628+'DMP-TRIAL-BAL-2020'!Q628</f>
        <v>0</v>
      </c>
      <c r="Y628" s="529">
        <f>+'NF-KSF-TRIAL-BAL-2020'!R628+'RA-TRIAL-BAL-2020'!R628+'DES-TRIAL-BAL-2020'!R628+'DMP-TRIAL-BAL-2020'!R628</f>
        <v>0</v>
      </c>
      <c r="Z628" s="528">
        <f>+'NF-KSF-TRIAL-BAL-2020'!S628+'RA-TRIAL-BAL-2020'!S628+'DES-TRIAL-BAL-2020'!S628+'DMP-TRIAL-BAL-2020'!S628</f>
        <v>0</v>
      </c>
      <c r="AA628" s="347">
        <f>+'NF-KSF-TRIAL-BAL-2020'!T628+'RA-TRIAL-BAL-2020'!T628+'DES-TRIAL-BAL-2020'!T628+'DMP-TRIAL-BAL-2020'!T628</f>
        <v>0</v>
      </c>
      <c r="AB628" s="51"/>
      <c r="AC628" s="8">
        <v>0</v>
      </c>
      <c r="AD628" s="9">
        <v>0</v>
      </c>
      <c r="AE628" s="122"/>
      <c r="AF628" s="121"/>
      <c r="AG628" s="27">
        <f t="shared" si="310"/>
        <v>0</v>
      </c>
      <c r="AH628" s="28">
        <f t="shared" si="317"/>
        <v>0</v>
      </c>
      <c r="AI628" s="51"/>
      <c r="AJ628" s="1497">
        <f t="shared" si="319"/>
        <v>7142</v>
      </c>
      <c r="AK628" s="8">
        <v>0</v>
      </c>
      <c r="AL628" s="9">
        <v>0</v>
      </c>
      <c r="AM628" s="326">
        <f t="shared" si="311"/>
        <v>0</v>
      </c>
      <c r="AN628" s="970">
        <f t="shared" si="311"/>
        <v>0</v>
      </c>
      <c r="AO628" s="27">
        <f t="shared" si="315"/>
        <v>0</v>
      </c>
      <c r="AP628" s="28">
        <f t="shared" si="318"/>
        <v>0</v>
      </c>
      <c r="AQ628" s="43"/>
      <c r="AR628" s="358">
        <f t="shared" si="312"/>
        <v>0</v>
      </c>
      <c r="AS628" s="359">
        <f t="shared" si="313"/>
        <v>0</v>
      </c>
      <c r="AT628" s="360">
        <f t="shared" si="314"/>
        <v>0</v>
      </c>
      <c r="AU628" s="43"/>
      <c r="AV628" s="43"/>
      <c r="AW628" s="119"/>
      <c r="AX628" s="119"/>
      <c r="AY628" s="43"/>
      <c r="AZ628" s="43"/>
      <c r="BA628" s="43"/>
      <c r="BB628" s="43"/>
      <c r="BC628" s="43"/>
      <c r="BD628" s="43"/>
    </row>
    <row r="629" spans="1:56" ht="15.75">
      <c r="A629" s="88">
        <v>7143</v>
      </c>
      <c r="B629" s="1033" t="s">
        <v>690</v>
      </c>
      <c r="C629" s="1033"/>
      <c r="D629" s="1033"/>
      <c r="E629" s="1033"/>
      <c r="F629" s="1033"/>
      <c r="G629" s="1033"/>
      <c r="H629" s="1033"/>
      <c r="I629" s="1033"/>
      <c r="J629" s="1033"/>
      <c r="K629" s="1033"/>
      <c r="L629" s="90"/>
      <c r="M629" s="51" t="s">
        <v>265</v>
      </c>
      <c r="N629" s="113">
        <f t="shared" si="308"/>
        <v>7143</v>
      </c>
      <c r="O629" s="8">
        <v>0</v>
      </c>
      <c r="P629" s="9">
        <v>0</v>
      </c>
      <c r="Q629" s="325">
        <v>0</v>
      </c>
      <c r="R629" s="324">
        <v>0</v>
      </c>
      <c r="S629" s="27">
        <f t="shared" si="309"/>
        <v>0</v>
      </c>
      <c r="T629" s="28">
        <f t="shared" si="316"/>
        <v>0</v>
      </c>
      <c r="U629" s="51"/>
      <c r="V629" s="541">
        <f>+'NF-KSF-TRIAL-BAL-2020'!O629+'RA-TRIAL-BAL-2020'!O629+'DES-TRIAL-BAL-2020'!O629+'DMP-TRIAL-BAL-2020'!O629</f>
        <v>0</v>
      </c>
      <c r="W629" s="529">
        <f>+'NF-KSF-TRIAL-BAL-2020'!P629+'RA-TRIAL-BAL-2020'!P629+'DES-TRIAL-BAL-2020'!P629+'DMP-TRIAL-BAL-2020'!P629</f>
        <v>0</v>
      </c>
      <c r="X629" s="528">
        <f>+'NF-KSF-TRIAL-BAL-2020'!Q629+'RA-TRIAL-BAL-2020'!Q629+'DES-TRIAL-BAL-2020'!Q629+'DMP-TRIAL-BAL-2020'!Q629</f>
        <v>0</v>
      </c>
      <c r="Y629" s="529">
        <f>+'NF-KSF-TRIAL-BAL-2020'!R629+'RA-TRIAL-BAL-2020'!R629+'DES-TRIAL-BAL-2020'!R629+'DMP-TRIAL-BAL-2020'!R629</f>
        <v>0</v>
      </c>
      <c r="Z629" s="528">
        <f>+'NF-KSF-TRIAL-BAL-2020'!S629+'RA-TRIAL-BAL-2020'!S629+'DES-TRIAL-BAL-2020'!S629+'DMP-TRIAL-BAL-2020'!S629</f>
        <v>0</v>
      </c>
      <c r="AA629" s="347">
        <f>+'NF-KSF-TRIAL-BAL-2020'!T629+'RA-TRIAL-BAL-2020'!T629+'DES-TRIAL-BAL-2020'!T629+'DMP-TRIAL-BAL-2020'!T629</f>
        <v>0</v>
      </c>
      <c r="AB629" s="51"/>
      <c r="AC629" s="8">
        <v>0</v>
      </c>
      <c r="AD629" s="9">
        <v>0</v>
      </c>
      <c r="AE629" s="122">
        <v>0</v>
      </c>
      <c r="AF629" s="121">
        <v>0</v>
      </c>
      <c r="AG629" s="27">
        <f t="shared" si="310"/>
        <v>0</v>
      </c>
      <c r="AH629" s="28">
        <f t="shared" si="317"/>
        <v>0</v>
      </c>
      <c r="AI629" s="51"/>
      <c r="AJ629" s="1497">
        <f t="shared" si="319"/>
        <v>7143</v>
      </c>
      <c r="AK629" s="8">
        <v>0</v>
      </c>
      <c r="AL629" s="9">
        <v>0</v>
      </c>
      <c r="AM629" s="326">
        <f t="shared" si="311"/>
        <v>0</v>
      </c>
      <c r="AN629" s="970">
        <f t="shared" si="311"/>
        <v>0</v>
      </c>
      <c r="AO629" s="27">
        <f t="shared" si="315"/>
        <v>0</v>
      </c>
      <c r="AP629" s="28">
        <f t="shared" si="318"/>
        <v>0</v>
      </c>
      <c r="AQ629" s="43"/>
      <c r="AR629" s="358">
        <f t="shared" si="312"/>
        <v>0</v>
      </c>
      <c r="AS629" s="359">
        <f t="shared" si="313"/>
        <v>0</v>
      </c>
      <c r="AT629" s="360">
        <f t="shared" si="314"/>
        <v>0</v>
      </c>
      <c r="AU629" s="43"/>
      <c r="AV629" s="43"/>
      <c r="AW629" s="119"/>
      <c r="AX629" s="119"/>
      <c r="AY629" s="43"/>
      <c r="AZ629" s="43"/>
      <c r="BA629" s="43"/>
      <c r="BB629" s="43"/>
      <c r="BC629" s="43"/>
      <c r="BD629" s="43"/>
    </row>
    <row r="630" spans="1:56" ht="15.75">
      <c r="A630" s="88">
        <v>7144</v>
      </c>
      <c r="B630" s="1033" t="s">
        <v>615</v>
      </c>
      <c r="C630" s="1033"/>
      <c r="D630" s="1033"/>
      <c r="E630" s="1033"/>
      <c r="F630" s="1033"/>
      <c r="G630" s="1033"/>
      <c r="H630" s="1033"/>
      <c r="I630" s="1033"/>
      <c r="J630" s="1033"/>
      <c r="K630" s="1033"/>
      <c r="L630" s="90"/>
      <c r="M630" s="51" t="s">
        <v>265</v>
      </c>
      <c r="N630" s="113">
        <f t="shared" si="308"/>
        <v>7144</v>
      </c>
      <c r="O630" s="8">
        <v>0</v>
      </c>
      <c r="P630" s="9">
        <v>0</v>
      </c>
      <c r="Q630" s="325">
        <v>0</v>
      </c>
      <c r="R630" s="324">
        <v>0</v>
      </c>
      <c r="S630" s="27">
        <f t="shared" si="309"/>
        <v>0</v>
      </c>
      <c r="T630" s="28">
        <f t="shared" si="316"/>
        <v>0</v>
      </c>
      <c r="U630" s="51"/>
      <c r="V630" s="541">
        <f>+'NF-KSF-TRIAL-BAL-2020'!O630+'RA-TRIAL-BAL-2020'!O630+'DES-TRIAL-BAL-2020'!O630+'DMP-TRIAL-BAL-2020'!O630</f>
        <v>0</v>
      </c>
      <c r="W630" s="529">
        <f>+'NF-KSF-TRIAL-BAL-2020'!P630+'RA-TRIAL-BAL-2020'!P630+'DES-TRIAL-BAL-2020'!P630+'DMP-TRIAL-BAL-2020'!P630</f>
        <v>0</v>
      </c>
      <c r="X630" s="528">
        <f>+'NF-KSF-TRIAL-BAL-2020'!Q630+'RA-TRIAL-BAL-2020'!Q630+'DES-TRIAL-BAL-2020'!Q630+'DMP-TRIAL-BAL-2020'!Q630</f>
        <v>0</v>
      </c>
      <c r="Y630" s="529">
        <f>+'NF-KSF-TRIAL-BAL-2020'!R630+'RA-TRIAL-BAL-2020'!R630+'DES-TRIAL-BAL-2020'!R630+'DMP-TRIAL-BAL-2020'!R630</f>
        <v>0</v>
      </c>
      <c r="Z630" s="528">
        <f>+'NF-KSF-TRIAL-BAL-2020'!S630+'RA-TRIAL-BAL-2020'!S630+'DES-TRIAL-BAL-2020'!S630+'DMP-TRIAL-BAL-2020'!S630</f>
        <v>0</v>
      </c>
      <c r="AA630" s="347">
        <f>+'NF-KSF-TRIAL-BAL-2020'!T630+'RA-TRIAL-BAL-2020'!T630+'DES-TRIAL-BAL-2020'!T630+'DMP-TRIAL-BAL-2020'!T630</f>
        <v>0</v>
      </c>
      <c r="AB630" s="51"/>
      <c r="AC630" s="8">
        <v>0</v>
      </c>
      <c r="AD630" s="9">
        <v>0</v>
      </c>
      <c r="AE630" s="325">
        <v>0</v>
      </c>
      <c r="AF630" s="324">
        <v>0</v>
      </c>
      <c r="AG630" s="27">
        <f t="shared" si="310"/>
        <v>0</v>
      </c>
      <c r="AH630" s="28">
        <f t="shared" si="317"/>
        <v>0</v>
      </c>
      <c r="AI630" s="51"/>
      <c r="AJ630" s="1497">
        <f t="shared" si="319"/>
        <v>7144</v>
      </c>
      <c r="AK630" s="8">
        <v>0</v>
      </c>
      <c r="AL630" s="9">
        <v>0</v>
      </c>
      <c r="AM630" s="326">
        <f t="shared" si="311"/>
        <v>0</v>
      </c>
      <c r="AN630" s="970">
        <f t="shared" si="311"/>
        <v>0</v>
      </c>
      <c r="AO630" s="27">
        <f t="shared" si="315"/>
        <v>0</v>
      </c>
      <c r="AP630" s="28">
        <f t="shared" si="318"/>
        <v>0</v>
      </c>
      <c r="AQ630" s="43"/>
      <c r="AR630" s="358">
        <f t="shared" si="312"/>
        <v>0</v>
      </c>
      <c r="AS630" s="359">
        <f t="shared" si="313"/>
        <v>0</v>
      </c>
      <c r="AT630" s="360">
        <f t="shared" si="314"/>
        <v>0</v>
      </c>
      <c r="AU630" s="43"/>
      <c r="AV630" s="43"/>
      <c r="AW630" s="119"/>
      <c r="AX630" s="119"/>
      <c r="AY630" s="43"/>
      <c r="AZ630" s="43"/>
      <c r="BA630" s="43"/>
      <c r="BB630" s="43"/>
      <c r="BC630" s="43"/>
      <c r="BD630" s="43"/>
    </row>
    <row r="631" spans="1:56" ht="15.75">
      <c r="A631" s="88">
        <v>7145</v>
      </c>
      <c r="B631" s="1033" t="s">
        <v>616</v>
      </c>
      <c r="C631" s="1033"/>
      <c r="D631" s="1033"/>
      <c r="E631" s="1033"/>
      <c r="F631" s="1033"/>
      <c r="G631" s="1033"/>
      <c r="H631" s="1033"/>
      <c r="I631" s="1033"/>
      <c r="J631" s="1033"/>
      <c r="K631" s="1033"/>
      <c r="L631" s="90"/>
      <c r="M631" s="51" t="s">
        <v>265</v>
      </c>
      <c r="N631" s="113">
        <f t="shared" si="308"/>
        <v>7145</v>
      </c>
      <c r="O631" s="8">
        <v>0</v>
      </c>
      <c r="P631" s="9">
        <v>0</v>
      </c>
      <c r="Q631" s="325">
        <v>0</v>
      </c>
      <c r="R631" s="324">
        <v>0</v>
      </c>
      <c r="S631" s="27">
        <f t="shared" si="309"/>
        <v>0</v>
      </c>
      <c r="T631" s="28">
        <f t="shared" si="316"/>
        <v>0</v>
      </c>
      <c r="U631" s="51"/>
      <c r="V631" s="541">
        <f>+'NF-KSF-TRIAL-BAL-2020'!O631+'RA-TRIAL-BAL-2020'!O631+'DES-TRIAL-BAL-2020'!O631+'DMP-TRIAL-BAL-2020'!O631</f>
        <v>0</v>
      </c>
      <c r="W631" s="529">
        <f>+'NF-KSF-TRIAL-BAL-2020'!P631+'RA-TRIAL-BAL-2020'!P631+'DES-TRIAL-BAL-2020'!P631+'DMP-TRIAL-BAL-2020'!P631</f>
        <v>0</v>
      </c>
      <c r="X631" s="528">
        <f>+'NF-KSF-TRIAL-BAL-2020'!Q631+'RA-TRIAL-BAL-2020'!Q631+'DES-TRIAL-BAL-2020'!Q631+'DMP-TRIAL-BAL-2020'!Q631</f>
        <v>0</v>
      </c>
      <c r="Y631" s="529">
        <f>+'NF-KSF-TRIAL-BAL-2020'!R631+'RA-TRIAL-BAL-2020'!R631+'DES-TRIAL-BAL-2020'!R631+'DMP-TRIAL-BAL-2020'!R631</f>
        <v>0</v>
      </c>
      <c r="Z631" s="528">
        <f>+'NF-KSF-TRIAL-BAL-2020'!S631+'RA-TRIAL-BAL-2020'!S631+'DES-TRIAL-BAL-2020'!S631+'DMP-TRIAL-BAL-2020'!S631</f>
        <v>0</v>
      </c>
      <c r="AA631" s="347">
        <f>+'NF-KSF-TRIAL-BAL-2020'!T631+'RA-TRIAL-BAL-2020'!T631+'DES-TRIAL-BAL-2020'!T631+'DMP-TRIAL-BAL-2020'!T631</f>
        <v>0</v>
      </c>
      <c r="AB631" s="51"/>
      <c r="AC631" s="8">
        <v>0</v>
      </c>
      <c r="AD631" s="9">
        <v>0</v>
      </c>
      <c r="AE631" s="325">
        <v>0</v>
      </c>
      <c r="AF631" s="324">
        <v>0</v>
      </c>
      <c r="AG631" s="27">
        <f t="shared" si="310"/>
        <v>0</v>
      </c>
      <c r="AH631" s="28">
        <f t="shared" si="317"/>
        <v>0</v>
      </c>
      <c r="AI631" s="51"/>
      <c r="AJ631" s="1497">
        <f t="shared" si="319"/>
        <v>7145</v>
      </c>
      <c r="AK631" s="8">
        <v>0</v>
      </c>
      <c r="AL631" s="9">
        <v>0</v>
      </c>
      <c r="AM631" s="326">
        <f t="shared" si="311"/>
        <v>0</v>
      </c>
      <c r="AN631" s="970">
        <f t="shared" si="311"/>
        <v>0</v>
      </c>
      <c r="AO631" s="27">
        <f t="shared" si="315"/>
        <v>0</v>
      </c>
      <c r="AP631" s="28">
        <f t="shared" si="318"/>
        <v>0</v>
      </c>
      <c r="AQ631" s="43"/>
      <c r="AR631" s="358">
        <f t="shared" si="312"/>
        <v>0</v>
      </c>
      <c r="AS631" s="359">
        <f t="shared" si="313"/>
        <v>0</v>
      </c>
      <c r="AT631" s="360">
        <f t="shared" si="314"/>
        <v>0</v>
      </c>
      <c r="AU631" s="43"/>
      <c r="AV631" s="43"/>
      <c r="AW631" s="119"/>
      <c r="AX631" s="119"/>
      <c r="AY631" s="43"/>
      <c r="AZ631" s="43"/>
      <c r="BA631" s="43"/>
      <c r="BB631" s="43"/>
      <c r="BC631" s="43"/>
      <c r="BD631" s="43"/>
    </row>
    <row r="632" spans="1:56" ht="15.75">
      <c r="A632" s="88">
        <v>7146</v>
      </c>
      <c r="B632" s="1033" t="s">
        <v>617</v>
      </c>
      <c r="C632" s="1033"/>
      <c r="D632" s="1033"/>
      <c r="E632" s="1033"/>
      <c r="F632" s="1033"/>
      <c r="G632" s="1033"/>
      <c r="H632" s="1033"/>
      <c r="I632" s="1033"/>
      <c r="J632" s="1033"/>
      <c r="K632" s="1033"/>
      <c r="L632" s="90"/>
      <c r="M632" s="51" t="s">
        <v>265</v>
      </c>
      <c r="N632" s="113">
        <f t="shared" si="308"/>
        <v>7146</v>
      </c>
      <c r="O632" s="8">
        <v>0</v>
      </c>
      <c r="P632" s="9">
        <v>0</v>
      </c>
      <c r="Q632" s="325">
        <v>0</v>
      </c>
      <c r="R632" s="324">
        <v>0</v>
      </c>
      <c r="S632" s="27">
        <f t="shared" si="309"/>
        <v>0</v>
      </c>
      <c r="T632" s="28">
        <f t="shared" si="316"/>
        <v>0</v>
      </c>
      <c r="U632" s="51"/>
      <c r="V632" s="541">
        <f>+'NF-KSF-TRIAL-BAL-2020'!O632+'RA-TRIAL-BAL-2020'!O632+'DES-TRIAL-BAL-2020'!O632+'DMP-TRIAL-BAL-2020'!O632</f>
        <v>0</v>
      </c>
      <c r="W632" s="529">
        <f>+'NF-KSF-TRIAL-BAL-2020'!P632+'RA-TRIAL-BAL-2020'!P632+'DES-TRIAL-BAL-2020'!P632+'DMP-TRIAL-BAL-2020'!P632</f>
        <v>0</v>
      </c>
      <c r="X632" s="528">
        <f>+'NF-KSF-TRIAL-BAL-2020'!Q632+'RA-TRIAL-BAL-2020'!Q632+'DES-TRIAL-BAL-2020'!Q632+'DMP-TRIAL-BAL-2020'!Q632</f>
        <v>0</v>
      </c>
      <c r="Y632" s="529">
        <f>+'NF-KSF-TRIAL-BAL-2020'!R632+'RA-TRIAL-BAL-2020'!R632+'DES-TRIAL-BAL-2020'!R632+'DMP-TRIAL-BAL-2020'!R632</f>
        <v>0</v>
      </c>
      <c r="Z632" s="528">
        <f>+'NF-KSF-TRIAL-BAL-2020'!S632+'RA-TRIAL-BAL-2020'!S632+'DES-TRIAL-BAL-2020'!S632+'DMP-TRIAL-BAL-2020'!S632</f>
        <v>0</v>
      </c>
      <c r="AA632" s="347">
        <f>+'NF-KSF-TRIAL-BAL-2020'!T632+'RA-TRIAL-BAL-2020'!T632+'DES-TRIAL-BAL-2020'!T632+'DMP-TRIAL-BAL-2020'!T632</f>
        <v>0</v>
      </c>
      <c r="AB632" s="51"/>
      <c r="AC632" s="8">
        <v>0</v>
      </c>
      <c r="AD632" s="9">
        <v>0</v>
      </c>
      <c r="AE632" s="122">
        <v>0</v>
      </c>
      <c r="AF632" s="121">
        <v>0</v>
      </c>
      <c r="AG632" s="27">
        <f t="shared" si="310"/>
        <v>0</v>
      </c>
      <c r="AH632" s="28">
        <f t="shared" si="317"/>
        <v>0</v>
      </c>
      <c r="AI632" s="51"/>
      <c r="AJ632" s="1497">
        <f t="shared" si="319"/>
        <v>7146</v>
      </c>
      <c r="AK632" s="8">
        <v>0</v>
      </c>
      <c r="AL632" s="9">
        <v>0</v>
      </c>
      <c r="AM632" s="326">
        <f t="shared" si="311"/>
        <v>0</v>
      </c>
      <c r="AN632" s="970">
        <f t="shared" si="311"/>
        <v>0</v>
      </c>
      <c r="AO632" s="27">
        <f t="shared" si="315"/>
        <v>0</v>
      </c>
      <c r="AP632" s="28">
        <f t="shared" si="318"/>
        <v>0</v>
      </c>
      <c r="AQ632" s="43"/>
      <c r="AR632" s="358">
        <f t="shared" si="312"/>
        <v>0</v>
      </c>
      <c r="AS632" s="359">
        <f t="shared" si="313"/>
        <v>0</v>
      </c>
      <c r="AT632" s="360">
        <f t="shared" si="314"/>
        <v>0</v>
      </c>
      <c r="AU632" s="43"/>
      <c r="AV632" s="43"/>
      <c r="AW632" s="119"/>
      <c r="AX632" s="119"/>
      <c r="AY632" s="43"/>
      <c r="AZ632" s="43"/>
      <c r="BA632" s="43"/>
      <c r="BB632" s="43"/>
      <c r="BC632" s="43"/>
      <c r="BD632" s="43"/>
    </row>
    <row r="633" spans="1:56" ht="15.75">
      <c r="A633" s="88">
        <v>7147</v>
      </c>
      <c r="B633" s="1033" t="s">
        <v>618</v>
      </c>
      <c r="C633" s="1033"/>
      <c r="D633" s="1033"/>
      <c r="E633" s="1033"/>
      <c r="F633" s="1033"/>
      <c r="G633" s="1033"/>
      <c r="H633" s="1033"/>
      <c r="I633" s="1033"/>
      <c r="J633" s="1033"/>
      <c r="K633" s="1033"/>
      <c r="L633" s="90"/>
      <c r="M633" s="51" t="s">
        <v>265</v>
      </c>
      <c r="N633" s="113">
        <f t="shared" si="308"/>
        <v>7147</v>
      </c>
      <c r="O633" s="8">
        <v>0</v>
      </c>
      <c r="P633" s="9">
        <v>0</v>
      </c>
      <c r="Q633" s="325"/>
      <c r="R633" s="324"/>
      <c r="S633" s="27">
        <f t="shared" si="309"/>
        <v>0</v>
      </c>
      <c r="T633" s="28">
        <f t="shared" si="316"/>
        <v>0</v>
      </c>
      <c r="U633" s="51"/>
      <c r="V633" s="541">
        <f>+'NF-KSF-TRIAL-BAL-2020'!O633+'RA-TRIAL-BAL-2020'!O633+'DES-TRIAL-BAL-2020'!O633+'DMP-TRIAL-BAL-2020'!O633</f>
        <v>0</v>
      </c>
      <c r="W633" s="529">
        <f>+'NF-KSF-TRIAL-BAL-2020'!P633+'RA-TRIAL-BAL-2020'!P633+'DES-TRIAL-BAL-2020'!P633+'DMP-TRIAL-BAL-2020'!P633</f>
        <v>0</v>
      </c>
      <c r="X633" s="528">
        <f>+'NF-KSF-TRIAL-BAL-2020'!Q633+'RA-TRIAL-BAL-2020'!Q633+'DES-TRIAL-BAL-2020'!Q633+'DMP-TRIAL-BAL-2020'!Q633</f>
        <v>0</v>
      </c>
      <c r="Y633" s="529">
        <f>+'NF-KSF-TRIAL-BAL-2020'!R633+'RA-TRIAL-BAL-2020'!R633+'DES-TRIAL-BAL-2020'!R633+'DMP-TRIAL-BAL-2020'!R633</f>
        <v>0</v>
      </c>
      <c r="Z633" s="528">
        <f>+'NF-KSF-TRIAL-BAL-2020'!S633+'RA-TRIAL-BAL-2020'!S633+'DES-TRIAL-BAL-2020'!S633+'DMP-TRIAL-BAL-2020'!S633</f>
        <v>0</v>
      </c>
      <c r="AA633" s="347">
        <f>+'NF-KSF-TRIAL-BAL-2020'!T633+'RA-TRIAL-BAL-2020'!T633+'DES-TRIAL-BAL-2020'!T633+'DMP-TRIAL-BAL-2020'!T633</f>
        <v>0</v>
      </c>
      <c r="AB633" s="51"/>
      <c r="AC633" s="8">
        <v>0</v>
      </c>
      <c r="AD633" s="9">
        <v>0</v>
      </c>
      <c r="AE633" s="122"/>
      <c r="AF633" s="121"/>
      <c r="AG633" s="27">
        <f t="shared" si="310"/>
        <v>0</v>
      </c>
      <c r="AH633" s="28">
        <f t="shared" si="317"/>
        <v>0</v>
      </c>
      <c r="AI633" s="51"/>
      <c r="AJ633" s="1497">
        <f t="shared" si="319"/>
        <v>7147</v>
      </c>
      <c r="AK633" s="8">
        <v>0</v>
      </c>
      <c r="AL633" s="9">
        <v>0</v>
      </c>
      <c r="AM633" s="326">
        <f t="shared" si="311"/>
        <v>0</v>
      </c>
      <c r="AN633" s="970">
        <f t="shared" si="311"/>
        <v>0</v>
      </c>
      <c r="AO633" s="27">
        <f t="shared" si="315"/>
        <v>0</v>
      </c>
      <c r="AP633" s="28">
        <f t="shared" si="318"/>
        <v>0</v>
      </c>
      <c r="AQ633" s="43"/>
      <c r="AR633" s="358">
        <f t="shared" si="312"/>
        <v>0</v>
      </c>
      <c r="AS633" s="359">
        <f t="shared" si="313"/>
        <v>0</v>
      </c>
      <c r="AT633" s="360">
        <f t="shared" si="314"/>
        <v>0</v>
      </c>
      <c r="AU633" s="43"/>
      <c r="AV633" s="43"/>
      <c r="AW633" s="119"/>
      <c r="AX633" s="119"/>
      <c r="AY633" s="43"/>
      <c r="AZ633" s="43"/>
      <c r="BA633" s="43"/>
      <c r="BB633" s="43"/>
      <c r="BC633" s="43"/>
      <c r="BD633" s="43"/>
    </row>
    <row r="634" spans="1:56" ht="15.75">
      <c r="A634" s="88">
        <v>7149</v>
      </c>
      <c r="B634" s="1033" t="s">
        <v>619</v>
      </c>
      <c r="C634" s="1033"/>
      <c r="D634" s="1033"/>
      <c r="E634" s="1033"/>
      <c r="F634" s="1033"/>
      <c r="G634" s="1033"/>
      <c r="H634" s="1033"/>
      <c r="I634" s="1033"/>
      <c r="J634" s="1033"/>
      <c r="K634" s="1033"/>
      <c r="L634" s="90"/>
      <c r="M634" s="51" t="s">
        <v>265</v>
      </c>
      <c r="N634" s="113">
        <f t="shared" si="308"/>
        <v>7149</v>
      </c>
      <c r="O634" s="8">
        <v>0</v>
      </c>
      <c r="P634" s="9">
        <v>0</v>
      </c>
      <c r="Q634" s="325">
        <v>0</v>
      </c>
      <c r="R634" s="324">
        <v>0</v>
      </c>
      <c r="S634" s="27">
        <f t="shared" si="309"/>
        <v>0</v>
      </c>
      <c r="T634" s="28">
        <f t="shared" si="316"/>
        <v>0</v>
      </c>
      <c r="U634" s="51"/>
      <c r="V634" s="541">
        <f>+'NF-KSF-TRIAL-BAL-2020'!O634+'RA-TRIAL-BAL-2020'!O634+'DES-TRIAL-BAL-2020'!O634+'DMP-TRIAL-BAL-2020'!O634</f>
        <v>0</v>
      </c>
      <c r="W634" s="529">
        <f>+'NF-KSF-TRIAL-BAL-2020'!P634+'RA-TRIAL-BAL-2020'!P634+'DES-TRIAL-BAL-2020'!P634+'DMP-TRIAL-BAL-2020'!P634</f>
        <v>0</v>
      </c>
      <c r="X634" s="528">
        <f>+'NF-KSF-TRIAL-BAL-2020'!Q634+'RA-TRIAL-BAL-2020'!Q634+'DES-TRIAL-BAL-2020'!Q634+'DMP-TRIAL-BAL-2020'!Q634</f>
        <v>0</v>
      </c>
      <c r="Y634" s="529">
        <f>+'NF-KSF-TRIAL-BAL-2020'!R634+'RA-TRIAL-BAL-2020'!R634+'DES-TRIAL-BAL-2020'!R634+'DMP-TRIAL-BAL-2020'!R634</f>
        <v>0</v>
      </c>
      <c r="Z634" s="528">
        <f>+'NF-KSF-TRIAL-BAL-2020'!S634+'RA-TRIAL-BAL-2020'!S634+'DES-TRIAL-BAL-2020'!S634+'DMP-TRIAL-BAL-2020'!S634</f>
        <v>0</v>
      </c>
      <c r="AA634" s="347">
        <f>+'NF-KSF-TRIAL-BAL-2020'!T634+'RA-TRIAL-BAL-2020'!T634+'DES-TRIAL-BAL-2020'!T634+'DMP-TRIAL-BAL-2020'!T634</f>
        <v>0</v>
      </c>
      <c r="AB634" s="51"/>
      <c r="AC634" s="8">
        <v>0</v>
      </c>
      <c r="AD634" s="9">
        <v>0</v>
      </c>
      <c r="AE634" s="325">
        <v>0</v>
      </c>
      <c r="AF634" s="324">
        <v>0</v>
      </c>
      <c r="AG634" s="27">
        <f t="shared" si="310"/>
        <v>0</v>
      </c>
      <c r="AH634" s="28">
        <f t="shared" si="317"/>
        <v>0</v>
      </c>
      <c r="AI634" s="51"/>
      <c r="AJ634" s="1497">
        <f t="shared" si="319"/>
        <v>7149</v>
      </c>
      <c r="AK634" s="8">
        <v>0</v>
      </c>
      <c r="AL634" s="9">
        <v>0</v>
      </c>
      <c r="AM634" s="326">
        <f t="shared" si="311"/>
        <v>0</v>
      </c>
      <c r="AN634" s="970">
        <f t="shared" si="311"/>
        <v>0</v>
      </c>
      <c r="AO634" s="27">
        <f t="shared" si="315"/>
        <v>0</v>
      </c>
      <c r="AP634" s="28">
        <f t="shared" si="318"/>
        <v>0</v>
      </c>
      <c r="AQ634" s="43"/>
      <c r="AR634" s="358">
        <f t="shared" si="312"/>
        <v>0</v>
      </c>
      <c r="AS634" s="359">
        <f t="shared" si="313"/>
        <v>0</v>
      </c>
      <c r="AT634" s="360">
        <f t="shared" si="314"/>
        <v>0</v>
      </c>
      <c r="AU634" s="43"/>
      <c r="AV634" s="43"/>
      <c r="AW634" s="119"/>
      <c r="AX634" s="119"/>
      <c r="AY634" s="43"/>
      <c r="AZ634" s="43"/>
      <c r="BA634" s="43"/>
      <c r="BB634" s="43"/>
      <c r="BC634" s="43"/>
      <c r="BD634" s="43"/>
    </row>
    <row r="635" spans="1:56" ht="15.75">
      <c r="A635" s="88">
        <v>7151</v>
      </c>
      <c r="B635" s="1033" t="s">
        <v>620</v>
      </c>
      <c r="C635" s="1033"/>
      <c r="D635" s="1033"/>
      <c r="E635" s="1033"/>
      <c r="F635" s="1033"/>
      <c r="G635" s="1033"/>
      <c r="H635" s="1033"/>
      <c r="I635" s="1033"/>
      <c r="J635" s="1033"/>
      <c r="K635" s="1033"/>
      <c r="L635" s="90"/>
      <c r="M635" s="51" t="s">
        <v>265</v>
      </c>
      <c r="N635" s="113">
        <f t="shared" si="308"/>
        <v>7151</v>
      </c>
      <c r="O635" s="8">
        <v>0</v>
      </c>
      <c r="P635" s="9">
        <v>0</v>
      </c>
      <c r="Q635" s="325"/>
      <c r="R635" s="324"/>
      <c r="S635" s="27">
        <f t="shared" si="309"/>
        <v>0</v>
      </c>
      <c r="T635" s="28">
        <f t="shared" si="316"/>
        <v>0</v>
      </c>
      <c r="U635" s="51"/>
      <c r="V635" s="541">
        <f>+'NF-KSF-TRIAL-BAL-2020'!O635+'RA-TRIAL-BAL-2020'!O635+'DES-TRIAL-BAL-2020'!O635+'DMP-TRIAL-BAL-2020'!O635</f>
        <v>0</v>
      </c>
      <c r="W635" s="529">
        <f>+'NF-KSF-TRIAL-BAL-2020'!P635+'RA-TRIAL-BAL-2020'!P635+'DES-TRIAL-BAL-2020'!P635+'DMP-TRIAL-BAL-2020'!P635</f>
        <v>0</v>
      </c>
      <c r="X635" s="528">
        <f>+'NF-KSF-TRIAL-BAL-2020'!Q635+'RA-TRIAL-BAL-2020'!Q635+'DES-TRIAL-BAL-2020'!Q635+'DMP-TRIAL-BAL-2020'!Q635</f>
        <v>0</v>
      </c>
      <c r="Y635" s="529">
        <f>+'NF-KSF-TRIAL-BAL-2020'!R635+'RA-TRIAL-BAL-2020'!R635+'DES-TRIAL-BAL-2020'!R635+'DMP-TRIAL-BAL-2020'!R635</f>
        <v>0</v>
      </c>
      <c r="Z635" s="528">
        <f>+'NF-KSF-TRIAL-BAL-2020'!S635+'RA-TRIAL-BAL-2020'!S635+'DES-TRIAL-BAL-2020'!S635+'DMP-TRIAL-BAL-2020'!S635</f>
        <v>0</v>
      </c>
      <c r="AA635" s="347">
        <f>+'NF-KSF-TRIAL-BAL-2020'!T635+'RA-TRIAL-BAL-2020'!T635+'DES-TRIAL-BAL-2020'!T635+'DMP-TRIAL-BAL-2020'!T635</f>
        <v>0</v>
      </c>
      <c r="AB635" s="51"/>
      <c r="AC635" s="8">
        <v>0</v>
      </c>
      <c r="AD635" s="9">
        <v>0</v>
      </c>
      <c r="AE635" s="325"/>
      <c r="AF635" s="324"/>
      <c r="AG635" s="27">
        <f t="shared" si="310"/>
        <v>0</v>
      </c>
      <c r="AH635" s="28">
        <f t="shared" si="317"/>
        <v>0</v>
      </c>
      <c r="AI635" s="51"/>
      <c r="AJ635" s="1497">
        <f t="shared" si="319"/>
        <v>7151</v>
      </c>
      <c r="AK635" s="8">
        <v>0</v>
      </c>
      <c r="AL635" s="9">
        <v>0</v>
      </c>
      <c r="AM635" s="326">
        <f t="shared" si="311"/>
        <v>0</v>
      </c>
      <c r="AN635" s="970">
        <f t="shared" si="311"/>
        <v>0</v>
      </c>
      <c r="AO635" s="27">
        <f t="shared" si="315"/>
        <v>0</v>
      </c>
      <c r="AP635" s="28">
        <f t="shared" si="318"/>
        <v>0</v>
      </c>
      <c r="AQ635" s="43"/>
      <c r="AR635" s="358">
        <f t="shared" si="312"/>
        <v>0</v>
      </c>
      <c r="AS635" s="359">
        <f t="shared" si="313"/>
        <v>0</v>
      </c>
      <c r="AT635" s="360">
        <f t="shared" si="314"/>
        <v>0</v>
      </c>
      <c r="AU635" s="43"/>
      <c r="AV635" s="43"/>
      <c r="AW635" s="119"/>
      <c r="AX635" s="119"/>
      <c r="AY635" s="43"/>
      <c r="AZ635" s="43"/>
      <c r="BA635" s="43"/>
      <c r="BB635" s="43"/>
      <c r="BC635" s="43"/>
      <c r="BD635" s="43"/>
    </row>
    <row r="636" spans="1:56" ht="15.75">
      <c r="A636" s="88">
        <v>7159</v>
      </c>
      <c r="B636" s="1033" t="s">
        <v>621</v>
      </c>
      <c r="C636" s="1033"/>
      <c r="D636" s="1033"/>
      <c r="E636" s="1033"/>
      <c r="F636" s="1033"/>
      <c r="G636" s="1033"/>
      <c r="H636" s="1033"/>
      <c r="I636" s="1033"/>
      <c r="J636" s="1033"/>
      <c r="K636" s="1033"/>
      <c r="L636" s="90"/>
      <c r="M636" s="51" t="s">
        <v>265</v>
      </c>
      <c r="N636" s="113">
        <f t="shared" si="308"/>
        <v>7159</v>
      </c>
      <c r="O636" s="8">
        <v>0</v>
      </c>
      <c r="P636" s="9">
        <v>0</v>
      </c>
      <c r="Q636" s="325"/>
      <c r="R636" s="324"/>
      <c r="S636" s="27">
        <f t="shared" si="309"/>
        <v>0</v>
      </c>
      <c r="T636" s="28">
        <f t="shared" si="316"/>
        <v>0</v>
      </c>
      <c r="U636" s="51"/>
      <c r="V636" s="541">
        <f>+'NF-KSF-TRIAL-BAL-2020'!O636+'RA-TRIAL-BAL-2020'!O636+'DES-TRIAL-BAL-2020'!O636+'DMP-TRIAL-BAL-2020'!O636</f>
        <v>0</v>
      </c>
      <c r="W636" s="529">
        <f>+'NF-KSF-TRIAL-BAL-2020'!P636+'RA-TRIAL-BAL-2020'!P636+'DES-TRIAL-BAL-2020'!P636+'DMP-TRIAL-BAL-2020'!P636</f>
        <v>0</v>
      </c>
      <c r="X636" s="528">
        <f>+'NF-KSF-TRIAL-BAL-2020'!Q636+'RA-TRIAL-BAL-2020'!Q636+'DES-TRIAL-BAL-2020'!Q636+'DMP-TRIAL-BAL-2020'!Q636</f>
        <v>0</v>
      </c>
      <c r="Y636" s="529">
        <f>+'NF-KSF-TRIAL-BAL-2020'!R636+'RA-TRIAL-BAL-2020'!R636+'DES-TRIAL-BAL-2020'!R636+'DMP-TRIAL-BAL-2020'!R636</f>
        <v>0</v>
      </c>
      <c r="Z636" s="528">
        <f>+'NF-KSF-TRIAL-BAL-2020'!S636+'RA-TRIAL-BAL-2020'!S636+'DES-TRIAL-BAL-2020'!S636+'DMP-TRIAL-BAL-2020'!S636</f>
        <v>0</v>
      </c>
      <c r="AA636" s="347">
        <f>+'NF-KSF-TRIAL-BAL-2020'!T636+'RA-TRIAL-BAL-2020'!T636+'DES-TRIAL-BAL-2020'!T636+'DMP-TRIAL-BAL-2020'!T636</f>
        <v>0</v>
      </c>
      <c r="AB636" s="51"/>
      <c r="AC636" s="8">
        <v>0</v>
      </c>
      <c r="AD636" s="9">
        <v>0</v>
      </c>
      <c r="AE636" s="122"/>
      <c r="AF636" s="121"/>
      <c r="AG636" s="27">
        <f t="shared" si="310"/>
        <v>0</v>
      </c>
      <c r="AH636" s="28">
        <f t="shared" si="317"/>
        <v>0</v>
      </c>
      <c r="AI636" s="51"/>
      <c r="AJ636" s="1497">
        <f t="shared" si="319"/>
        <v>7159</v>
      </c>
      <c r="AK636" s="8">
        <v>0</v>
      </c>
      <c r="AL636" s="9">
        <v>0</v>
      </c>
      <c r="AM636" s="326">
        <f t="shared" si="311"/>
        <v>0</v>
      </c>
      <c r="AN636" s="970">
        <f t="shared" si="311"/>
        <v>0</v>
      </c>
      <c r="AO636" s="27">
        <f t="shared" si="315"/>
        <v>0</v>
      </c>
      <c r="AP636" s="28">
        <f t="shared" si="318"/>
        <v>0</v>
      </c>
      <c r="AQ636" s="43"/>
      <c r="AR636" s="358">
        <f t="shared" si="312"/>
        <v>0</v>
      </c>
      <c r="AS636" s="359">
        <f t="shared" si="313"/>
        <v>0</v>
      </c>
      <c r="AT636" s="360">
        <f t="shared" si="314"/>
        <v>0</v>
      </c>
      <c r="AU636" s="43"/>
      <c r="AV636" s="43"/>
      <c r="AW636" s="119"/>
      <c r="AX636" s="119"/>
      <c r="AY636" s="43"/>
      <c r="AZ636" s="43"/>
      <c r="BA636" s="43"/>
      <c r="BB636" s="43"/>
      <c r="BC636" s="43"/>
      <c r="BD636" s="43"/>
    </row>
    <row r="637" spans="1:56" ht="15.75">
      <c r="A637" s="88">
        <v>7161</v>
      </c>
      <c r="B637" s="1033" t="s">
        <v>622</v>
      </c>
      <c r="C637" s="1033"/>
      <c r="D637" s="1033"/>
      <c r="E637" s="1033"/>
      <c r="F637" s="1033"/>
      <c r="G637" s="1033"/>
      <c r="H637" s="1033"/>
      <c r="I637" s="1033"/>
      <c r="J637" s="1033"/>
      <c r="K637" s="1033"/>
      <c r="L637" s="90"/>
      <c r="M637" s="51" t="s">
        <v>265</v>
      </c>
      <c r="N637" s="113">
        <f t="shared" si="308"/>
        <v>7161</v>
      </c>
      <c r="O637" s="8">
        <v>0</v>
      </c>
      <c r="P637" s="9">
        <v>0</v>
      </c>
      <c r="Q637" s="325"/>
      <c r="R637" s="324"/>
      <c r="S637" s="27">
        <f t="shared" si="309"/>
        <v>0</v>
      </c>
      <c r="T637" s="28">
        <f t="shared" si="316"/>
        <v>0</v>
      </c>
      <c r="U637" s="51"/>
      <c r="V637" s="541">
        <f>+'NF-KSF-TRIAL-BAL-2020'!O637+'RA-TRIAL-BAL-2020'!O637+'DES-TRIAL-BAL-2020'!O637+'DMP-TRIAL-BAL-2020'!O637</f>
        <v>0</v>
      </c>
      <c r="W637" s="529">
        <f>+'NF-KSF-TRIAL-BAL-2020'!P637+'RA-TRIAL-BAL-2020'!P637+'DES-TRIAL-BAL-2020'!P637+'DMP-TRIAL-BAL-2020'!P637</f>
        <v>0</v>
      </c>
      <c r="X637" s="528">
        <f>+'NF-KSF-TRIAL-BAL-2020'!Q637+'RA-TRIAL-BAL-2020'!Q637+'DES-TRIAL-BAL-2020'!Q637+'DMP-TRIAL-BAL-2020'!Q637</f>
        <v>0</v>
      </c>
      <c r="Y637" s="529">
        <f>+'NF-KSF-TRIAL-BAL-2020'!R637+'RA-TRIAL-BAL-2020'!R637+'DES-TRIAL-BAL-2020'!R637+'DMP-TRIAL-BAL-2020'!R637</f>
        <v>0</v>
      </c>
      <c r="Z637" s="528">
        <f>+'NF-KSF-TRIAL-BAL-2020'!S637+'RA-TRIAL-BAL-2020'!S637+'DES-TRIAL-BAL-2020'!S637+'DMP-TRIAL-BAL-2020'!S637</f>
        <v>0</v>
      </c>
      <c r="AA637" s="347">
        <f>+'NF-KSF-TRIAL-BAL-2020'!T637+'RA-TRIAL-BAL-2020'!T637+'DES-TRIAL-BAL-2020'!T637+'DMP-TRIAL-BAL-2020'!T637</f>
        <v>0</v>
      </c>
      <c r="AB637" s="51"/>
      <c r="AC637" s="8">
        <v>0</v>
      </c>
      <c r="AD637" s="9">
        <v>0</v>
      </c>
      <c r="AE637" s="122"/>
      <c r="AF637" s="121"/>
      <c r="AG637" s="27">
        <f t="shared" si="310"/>
        <v>0</v>
      </c>
      <c r="AH637" s="28">
        <f t="shared" si="317"/>
        <v>0</v>
      </c>
      <c r="AI637" s="51"/>
      <c r="AJ637" s="1497">
        <f t="shared" si="319"/>
        <v>7161</v>
      </c>
      <c r="AK637" s="8">
        <v>0</v>
      </c>
      <c r="AL637" s="9">
        <v>0</v>
      </c>
      <c r="AM637" s="326">
        <f t="shared" si="311"/>
        <v>0</v>
      </c>
      <c r="AN637" s="970">
        <f t="shared" si="311"/>
        <v>0</v>
      </c>
      <c r="AO637" s="27">
        <f t="shared" si="315"/>
        <v>0</v>
      </c>
      <c r="AP637" s="28">
        <f t="shared" si="318"/>
        <v>0</v>
      </c>
      <c r="AQ637" s="43"/>
      <c r="AR637" s="358">
        <f t="shared" si="312"/>
        <v>0</v>
      </c>
      <c r="AS637" s="359">
        <f t="shared" si="313"/>
        <v>0</v>
      </c>
      <c r="AT637" s="360">
        <f t="shared" si="314"/>
        <v>0</v>
      </c>
      <c r="AU637" s="43"/>
      <c r="AV637" s="43"/>
      <c r="AW637" s="119"/>
      <c r="AX637" s="119"/>
      <c r="AY637" s="43"/>
      <c r="AZ637" s="43"/>
      <c r="BA637" s="43"/>
      <c r="BB637" s="43"/>
      <c r="BC637" s="43"/>
      <c r="BD637" s="43"/>
    </row>
    <row r="638" spans="1:56" ht="15.75">
      <c r="A638" s="88">
        <v>7162</v>
      </c>
      <c r="B638" s="1033" t="s">
        <v>623</v>
      </c>
      <c r="C638" s="1033"/>
      <c r="D638" s="1033"/>
      <c r="E638" s="1033"/>
      <c r="F638" s="1033"/>
      <c r="G638" s="1033"/>
      <c r="H638" s="1033"/>
      <c r="I638" s="1033"/>
      <c r="J638" s="1033"/>
      <c r="K638" s="1033"/>
      <c r="L638" s="90"/>
      <c r="M638" s="51" t="s">
        <v>265</v>
      </c>
      <c r="N638" s="113">
        <f t="shared" si="308"/>
        <v>7162</v>
      </c>
      <c r="O638" s="8">
        <v>0</v>
      </c>
      <c r="P638" s="9">
        <v>0</v>
      </c>
      <c r="Q638" s="325"/>
      <c r="R638" s="324"/>
      <c r="S638" s="27">
        <f t="shared" si="309"/>
        <v>0</v>
      </c>
      <c r="T638" s="28">
        <f t="shared" si="316"/>
        <v>0</v>
      </c>
      <c r="U638" s="51"/>
      <c r="V638" s="541">
        <f>+'NF-KSF-TRIAL-BAL-2020'!O638+'RA-TRIAL-BAL-2020'!O638+'DES-TRIAL-BAL-2020'!O638+'DMP-TRIAL-BAL-2020'!O638</f>
        <v>0</v>
      </c>
      <c r="W638" s="529">
        <f>+'NF-KSF-TRIAL-BAL-2020'!P638+'RA-TRIAL-BAL-2020'!P638+'DES-TRIAL-BAL-2020'!P638+'DMP-TRIAL-BAL-2020'!P638</f>
        <v>0</v>
      </c>
      <c r="X638" s="528">
        <f>+'NF-KSF-TRIAL-BAL-2020'!Q638+'RA-TRIAL-BAL-2020'!Q638+'DES-TRIAL-BAL-2020'!Q638+'DMP-TRIAL-BAL-2020'!Q638</f>
        <v>0</v>
      </c>
      <c r="Y638" s="529">
        <f>+'NF-KSF-TRIAL-BAL-2020'!R638+'RA-TRIAL-BAL-2020'!R638+'DES-TRIAL-BAL-2020'!R638+'DMP-TRIAL-BAL-2020'!R638</f>
        <v>0</v>
      </c>
      <c r="Z638" s="528">
        <f>+'NF-KSF-TRIAL-BAL-2020'!S638+'RA-TRIAL-BAL-2020'!S638+'DES-TRIAL-BAL-2020'!S638+'DMP-TRIAL-BAL-2020'!S638</f>
        <v>0</v>
      </c>
      <c r="AA638" s="347">
        <f>+'NF-KSF-TRIAL-BAL-2020'!T638+'RA-TRIAL-BAL-2020'!T638+'DES-TRIAL-BAL-2020'!T638+'DMP-TRIAL-BAL-2020'!T638</f>
        <v>0</v>
      </c>
      <c r="AB638" s="51"/>
      <c r="AC638" s="8">
        <v>0</v>
      </c>
      <c r="AD638" s="9">
        <v>0</v>
      </c>
      <c r="AE638" s="325"/>
      <c r="AF638" s="324"/>
      <c r="AG638" s="27">
        <f t="shared" si="310"/>
        <v>0</v>
      </c>
      <c r="AH638" s="28">
        <f t="shared" si="317"/>
        <v>0</v>
      </c>
      <c r="AI638" s="51"/>
      <c r="AJ638" s="1497">
        <f t="shared" si="319"/>
        <v>7162</v>
      </c>
      <c r="AK638" s="8">
        <v>0</v>
      </c>
      <c r="AL638" s="9">
        <v>0</v>
      </c>
      <c r="AM638" s="326">
        <f t="shared" si="311"/>
        <v>0</v>
      </c>
      <c r="AN638" s="970">
        <f t="shared" si="311"/>
        <v>0</v>
      </c>
      <c r="AO638" s="27">
        <f t="shared" si="315"/>
        <v>0</v>
      </c>
      <c r="AP638" s="28">
        <f t="shared" si="318"/>
        <v>0</v>
      </c>
      <c r="AQ638" s="43"/>
      <c r="AR638" s="358">
        <f t="shared" si="312"/>
        <v>0</v>
      </c>
      <c r="AS638" s="359">
        <f t="shared" si="313"/>
        <v>0</v>
      </c>
      <c r="AT638" s="360">
        <f t="shared" si="314"/>
        <v>0</v>
      </c>
      <c r="AU638" s="43"/>
      <c r="AV638" s="43"/>
      <c r="AW638" s="119"/>
      <c r="AX638" s="119"/>
      <c r="AY638" s="43"/>
      <c r="AZ638" s="43"/>
      <c r="BA638" s="43"/>
      <c r="BB638" s="43"/>
      <c r="BC638" s="43"/>
      <c r="BD638" s="43"/>
    </row>
    <row r="639" spans="1:56" ht="15.75">
      <c r="A639" s="88">
        <v>7163</v>
      </c>
      <c r="B639" s="1033" t="s">
        <v>624</v>
      </c>
      <c r="C639" s="1033"/>
      <c r="D639" s="1033"/>
      <c r="E639" s="1033"/>
      <c r="F639" s="1033"/>
      <c r="G639" s="1033"/>
      <c r="H639" s="1033"/>
      <c r="I639" s="1033"/>
      <c r="J639" s="1033"/>
      <c r="K639" s="1033"/>
      <c r="L639" s="90"/>
      <c r="M639" s="51" t="s">
        <v>265</v>
      </c>
      <c r="N639" s="113">
        <f t="shared" si="308"/>
        <v>7163</v>
      </c>
      <c r="O639" s="8">
        <v>0</v>
      </c>
      <c r="P639" s="9">
        <v>0</v>
      </c>
      <c r="Q639" s="325"/>
      <c r="R639" s="324"/>
      <c r="S639" s="27">
        <f t="shared" si="309"/>
        <v>0</v>
      </c>
      <c r="T639" s="28">
        <f t="shared" si="316"/>
        <v>0</v>
      </c>
      <c r="U639" s="51"/>
      <c r="V639" s="541">
        <f>+'NF-KSF-TRIAL-BAL-2020'!O639+'RA-TRIAL-BAL-2020'!O639+'DES-TRIAL-BAL-2020'!O639+'DMP-TRIAL-BAL-2020'!O639</f>
        <v>0</v>
      </c>
      <c r="W639" s="529">
        <f>+'NF-KSF-TRIAL-BAL-2020'!P639+'RA-TRIAL-BAL-2020'!P639+'DES-TRIAL-BAL-2020'!P639+'DMP-TRIAL-BAL-2020'!P639</f>
        <v>0</v>
      </c>
      <c r="X639" s="528">
        <f>+'NF-KSF-TRIAL-BAL-2020'!Q639+'RA-TRIAL-BAL-2020'!Q639+'DES-TRIAL-BAL-2020'!Q639+'DMP-TRIAL-BAL-2020'!Q639</f>
        <v>0</v>
      </c>
      <c r="Y639" s="529">
        <f>+'NF-KSF-TRIAL-BAL-2020'!R639+'RA-TRIAL-BAL-2020'!R639+'DES-TRIAL-BAL-2020'!R639+'DMP-TRIAL-BAL-2020'!R639</f>
        <v>0</v>
      </c>
      <c r="Z639" s="528">
        <f>+'NF-KSF-TRIAL-BAL-2020'!S639+'RA-TRIAL-BAL-2020'!S639+'DES-TRIAL-BAL-2020'!S639+'DMP-TRIAL-BAL-2020'!S639</f>
        <v>0</v>
      </c>
      <c r="AA639" s="347">
        <f>+'NF-KSF-TRIAL-BAL-2020'!T639+'RA-TRIAL-BAL-2020'!T639+'DES-TRIAL-BAL-2020'!T639+'DMP-TRIAL-BAL-2020'!T639</f>
        <v>0</v>
      </c>
      <c r="AB639" s="51"/>
      <c r="AC639" s="8">
        <v>0</v>
      </c>
      <c r="AD639" s="9">
        <v>0</v>
      </c>
      <c r="AE639" s="122"/>
      <c r="AF639" s="121"/>
      <c r="AG639" s="27">
        <f t="shared" si="310"/>
        <v>0</v>
      </c>
      <c r="AH639" s="28">
        <f t="shared" si="317"/>
        <v>0</v>
      </c>
      <c r="AI639" s="51"/>
      <c r="AJ639" s="1497">
        <f t="shared" si="319"/>
        <v>7163</v>
      </c>
      <c r="AK639" s="8">
        <v>0</v>
      </c>
      <c r="AL639" s="9">
        <v>0</v>
      </c>
      <c r="AM639" s="326">
        <f t="shared" si="311"/>
        <v>0</v>
      </c>
      <c r="AN639" s="970">
        <f t="shared" si="311"/>
        <v>0</v>
      </c>
      <c r="AO639" s="27">
        <f t="shared" si="315"/>
        <v>0</v>
      </c>
      <c r="AP639" s="28">
        <f t="shared" si="318"/>
        <v>0</v>
      </c>
      <c r="AQ639" s="43"/>
      <c r="AR639" s="358">
        <f t="shared" si="312"/>
        <v>0</v>
      </c>
      <c r="AS639" s="359">
        <f t="shared" si="313"/>
        <v>0</v>
      </c>
      <c r="AT639" s="360">
        <f t="shared" si="314"/>
        <v>0</v>
      </c>
      <c r="AU639" s="43"/>
      <c r="AV639" s="43"/>
      <c r="AW639" s="119"/>
      <c r="AX639" s="119"/>
      <c r="AY639" s="43"/>
      <c r="AZ639" s="43"/>
      <c r="BA639" s="43"/>
      <c r="BB639" s="43"/>
      <c r="BC639" s="43"/>
      <c r="BD639" s="43"/>
    </row>
    <row r="640" spans="1:56" ht="15.75">
      <c r="A640" s="2275">
        <v>7170</v>
      </c>
      <c r="B640" s="2276" t="s">
        <v>625</v>
      </c>
      <c r="C640" s="2287"/>
      <c r="D640" s="2287"/>
      <c r="E640" s="2287"/>
      <c r="F640" s="2287"/>
      <c r="G640" s="2287"/>
      <c r="H640" s="2287"/>
      <c r="I640" s="2287"/>
      <c r="J640" s="2287"/>
      <c r="K640" s="2287"/>
      <c r="L640" s="2277"/>
      <c r="M640" s="51" t="s">
        <v>265</v>
      </c>
      <c r="N640" s="2283">
        <f t="shared" si="308"/>
        <v>7170</v>
      </c>
      <c r="O640" s="2285">
        <v>0</v>
      </c>
      <c r="P640" s="2279">
        <v>0</v>
      </c>
      <c r="Q640" s="2280"/>
      <c r="R640" s="2281"/>
      <c r="S640" s="2280">
        <f>+IF($C$8=9900,+IF(ABS(+O640+Q640)&gt;=ABS(P640+R640),+O640-P640+Q640-R640,0),0)</f>
        <v>0</v>
      </c>
      <c r="T640" s="2286">
        <f>+IF($C$8=9900,+IF(ABS(+O640+Q640)&lt;=ABS(P640+R640),-O640+P640-Q640+R640,0),0)</f>
        <v>0</v>
      </c>
      <c r="U640" s="51"/>
      <c r="V640" s="546">
        <f>+'NF-KSF-TRIAL-BAL-2020'!O640+'RA-TRIAL-BAL-2020'!O640+'DES-TRIAL-BAL-2020'!O640+'DMP-TRIAL-BAL-2020'!O640</f>
        <v>0</v>
      </c>
      <c r="W640" s="536">
        <f>+'NF-KSF-TRIAL-BAL-2020'!P640+'RA-TRIAL-BAL-2020'!P640+'DES-TRIAL-BAL-2020'!P640+'DMP-TRIAL-BAL-2020'!P640</f>
        <v>0</v>
      </c>
      <c r="X640" s="535">
        <f>+'NF-KSF-TRIAL-BAL-2020'!Q640+'RA-TRIAL-BAL-2020'!Q640+'DES-TRIAL-BAL-2020'!Q640+'DMP-TRIAL-BAL-2020'!Q640</f>
        <v>0</v>
      </c>
      <c r="Y640" s="536">
        <f>+'NF-KSF-TRIAL-BAL-2020'!R640+'RA-TRIAL-BAL-2020'!R640+'DES-TRIAL-BAL-2020'!R640+'DMP-TRIAL-BAL-2020'!R640</f>
        <v>0</v>
      </c>
      <c r="Z640" s="535">
        <f>+'NF-KSF-TRIAL-BAL-2020'!S640+'RA-TRIAL-BAL-2020'!S640+'DES-TRIAL-BAL-2020'!S640+'DMP-TRIAL-BAL-2020'!S640</f>
        <v>0</v>
      </c>
      <c r="AA640" s="537">
        <f>+'NF-KSF-TRIAL-BAL-2020'!T640+'RA-TRIAL-BAL-2020'!T640+'DES-TRIAL-BAL-2020'!T640+'DMP-TRIAL-BAL-2020'!T640</f>
        <v>0</v>
      </c>
      <c r="AB640" s="51"/>
      <c r="AC640" s="10">
        <v>0</v>
      </c>
      <c r="AD640" s="11">
        <v>0</v>
      </c>
      <c r="AE640" s="31">
        <v>0</v>
      </c>
      <c r="AF640" s="11">
        <v>0</v>
      </c>
      <c r="AG640" s="829">
        <f t="shared" si="310"/>
        <v>0</v>
      </c>
      <c r="AH640" s="828">
        <f t="shared" si="317"/>
        <v>0</v>
      </c>
      <c r="AI640" s="51"/>
      <c r="AJ640" s="114">
        <f t="shared" si="319"/>
        <v>7170</v>
      </c>
      <c r="AK640" s="10">
        <v>0</v>
      </c>
      <c r="AL640" s="11">
        <v>0</v>
      </c>
      <c r="AM640" s="831">
        <f>+ROUND(+Q640+X640+AE640,2)</f>
        <v>0</v>
      </c>
      <c r="AN640" s="832">
        <f>+ROUND(+R640+Y640+AF640,2)</f>
        <v>0</v>
      </c>
      <c r="AO640" s="829">
        <f t="shared" si="315"/>
        <v>0</v>
      </c>
      <c r="AP640" s="828">
        <f t="shared" si="318"/>
        <v>0</v>
      </c>
      <c r="AQ640" s="43"/>
      <c r="AR640" s="358">
        <f t="shared" si="312"/>
        <v>0</v>
      </c>
      <c r="AS640" s="359">
        <f t="shared" si="313"/>
        <v>0</v>
      </c>
      <c r="AT640" s="360">
        <f t="shared" si="314"/>
        <v>0</v>
      </c>
      <c r="AU640" s="43"/>
      <c r="AV640" s="2125">
        <f>+IF($C$8=9900,0,+IF(OR(O640&lt;&gt;0,P640&lt;&gt;0,Q640&lt;&gt;0,R640&lt;&gt;0,S640&lt;&gt;0,T640&lt;&gt;0),+IF(ABS(O640+Q640)-ABS(P640+R640)&lt;&gt;0,ABS(O640+Q640)-ABS(P640+R640),1),0))</f>
        <v>0</v>
      </c>
      <c r="AW640" s="119"/>
      <c r="AX640" s="2125">
        <f>+IF(OR(AC640&lt;&gt;0,AD640&lt;&gt;0,AE640&lt;&gt;0,AF640&lt;&gt;0,AG640&lt;&gt;0,AH640&lt;&gt;0),+IF(ABS(AC640+AE640)-ABS(AD640+AF640)&lt;&gt;0,ABS(AC640+AE640)-ABS(AD640+AF640),1),0)</f>
        <v>0</v>
      </c>
      <c r="AY640" s="43"/>
      <c r="AZ640" s="43"/>
      <c r="BA640" s="43"/>
      <c r="BB640" s="43"/>
      <c r="BC640" s="43"/>
      <c r="BD640" s="43"/>
    </row>
    <row r="641" spans="1:56" ht="15.75">
      <c r="A641" s="88">
        <v>7171</v>
      </c>
      <c r="B641" s="1033" t="s">
        <v>626</v>
      </c>
      <c r="C641" s="1033"/>
      <c r="D641" s="1033"/>
      <c r="E641" s="1033"/>
      <c r="F641" s="1033"/>
      <c r="G641" s="1033"/>
      <c r="H641" s="1033"/>
      <c r="I641" s="1033"/>
      <c r="J641" s="1033"/>
      <c r="K641" s="1033"/>
      <c r="L641" s="90"/>
      <c r="M641" s="51" t="s">
        <v>265</v>
      </c>
      <c r="N641" s="113">
        <f t="shared" si="308"/>
        <v>7171</v>
      </c>
      <c r="O641" s="8">
        <v>0</v>
      </c>
      <c r="P641" s="9">
        <v>0</v>
      </c>
      <c r="Q641" s="325"/>
      <c r="R641" s="324"/>
      <c r="S641" s="27">
        <f t="shared" ref="S641:S666" si="320">+IF(ABS(+O641+Q641)&gt;=ABS(P641+R641),+O641-P641+Q641-R641,0)</f>
        <v>0</v>
      </c>
      <c r="T641" s="28">
        <f t="shared" ref="T641:T666" si="321">+IF(ABS(+O641+Q641)&lt;=ABS(P641+R641),-O641+P641-Q641+R641,0)</f>
        <v>0</v>
      </c>
      <c r="U641" s="51"/>
      <c r="V641" s="541">
        <f>+'NF-KSF-TRIAL-BAL-2020'!O641+'RA-TRIAL-BAL-2020'!O641+'DES-TRIAL-BAL-2020'!O641+'DMP-TRIAL-BAL-2020'!O641</f>
        <v>0</v>
      </c>
      <c r="W641" s="529">
        <f>+'NF-KSF-TRIAL-BAL-2020'!P641+'RA-TRIAL-BAL-2020'!P641+'DES-TRIAL-BAL-2020'!P641+'DMP-TRIAL-BAL-2020'!P641</f>
        <v>0</v>
      </c>
      <c r="X641" s="528">
        <f>+'NF-KSF-TRIAL-BAL-2020'!Q641+'RA-TRIAL-BAL-2020'!Q641+'DES-TRIAL-BAL-2020'!Q641+'DMP-TRIAL-BAL-2020'!Q641</f>
        <v>0</v>
      </c>
      <c r="Y641" s="529">
        <f>+'NF-KSF-TRIAL-BAL-2020'!R641+'RA-TRIAL-BAL-2020'!R641+'DES-TRIAL-BAL-2020'!R641+'DMP-TRIAL-BAL-2020'!R641</f>
        <v>0</v>
      </c>
      <c r="Z641" s="528">
        <f>+'NF-KSF-TRIAL-BAL-2020'!S641+'RA-TRIAL-BAL-2020'!S641+'DES-TRIAL-BAL-2020'!S641+'DMP-TRIAL-BAL-2020'!S641</f>
        <v>0</v>
      </c>
      <c r="AA641" s="347">
        <f>+'NF-KSF-TRIAL-BAL-2020'!T641+'RA-TRIAL-BAL-2020'!T641+'DES-TRIAL-BAL-2020'!T641+'DMP-TRIAL-BAL-2020'!T641</f>
        <v>0</v>
      </c>
      <c r="AB641" s="51"/>
      <c r="AC641" s="8">
        <v>0</v>
      </c>
      <c r="AD641" s="9">
        <v>0</v>
      </c>
      <c r="AE641" s="122"/>
      <c r="AF641" s="121"/>
      <c r="AG641" s="27">
        <f t="shared" ref="AG641:AG667" si="322">+IF(ABS(+AC641+AE641)&gt;=ABS(AD641+AF641),+AC641-AD641+AE641-AF641,0)</f>
        <v>0</v>
      </c>
      <c r="AH641" s="28">
        <f t="shared" ref="AH641:AH667" si="323">+IF(ABS(+AC641+AE641)&lt;=ABS(AD641+AF641),-AC641+AD641-AE641+AF641,0)</f>
        <v>0</v>
      </c>
      <c r="AI641" s="51"/>
      <c r="AJ641" s="1497">
        <f t="shared" si="319"/>
        <v>7171</v>
      </c>
      <c r="AK641" s="8">
        <v>0</v>
      </c>
      <c r="AL641" s="9">
        <v>0</v>
      </c>
      <c r="AM641" s="326">
        <f t="shared" ref="AM641:AN666" si="324">+ROUND(+Q641+X641+AE641,2)</f>
        <v>0</v>
      </c>
      <c r="AN641" s="970">
        <f t="shared" si="324"/>
        <v>0</v>
      </c>
      <c r="AO641" s="27">
        <f t="shared" si="315"/>
        <v>0</v>
      </c>
      <c r="AP641" s="28">
        <f t="shared" si="318"/>
        <v>0</v>
      </c>
      <c r="AQ641" s="43"/>
      <c r="AR641" s="358">
        <f t="shared" si="312"/>
        <v>0</v>
      </c>
      <c r="AS641" s="359">
        <f t="shared" si="313"/>
        <v>0</v>
      </c>
      <c r="AT641" s="360">
        <f t="shared" si="314"/>
        <v>0</v>
      </c>
      <c r="AU641" s="43"/>
      <c r="AV641" s="43"/>
      <c r="AW641" s="119"/>
      <c r="AX641" s="119"/>
      <c r="AY641" s="43"/>
      <c r="AZ641" s="43"/>
      <c r="BA641" s="43"/>
      <c r="BB641" s="43"/>
      <c r="BC641" s="43"/>
      <c r="BD641" s="43"/>
    </row>
    <row r="642" spans="1:56" ht="15.75">
      <c r="A642" s="88">
        <v>7172</v>
      </c>
      <c r="B642" s="1033" t="s">
        <v>627</v>
      </c>
      <c r="C642" s="1033"/>
      <c r="D642" s="1033"/>
      <c r="E642" s="1033"/>
      <c r="F642" s="1033"/>
      <c r="G642" s="1033"/>
      <c r="H642" s="1033"/>
      <c r="I642" s="1033"/>
      <c r="J642" s="1033"/>
      <c r="K642" s="1033"/>
      <c r="L642" s="90"/>
      <c r="M642" s="51" t="s">
        <v>265</v>
      </c>
      <c r="N642" s="113">
        <f t="shared" si="308"/>
        <v>7172</v>
      </c>
      <c r="O642" s="8">
        <v>0</v>
      </c>
      <c r="P642" s="9">
        <v>0</v>
      </c>
      <c r="Q642" s="325"/>
      <c r="R642" s="324"/>
      <c r="S642" s="27">
        <f t="shared" si="320"/>
        <v>0</v>
      </c>
      <c r="T642" s="28">
        <f t="shared" si="321"/>
        <v>0</v>
      </c>
      <c r="U642" s="51"/>
      <c r="V642" s="541">
        <f>+'NF-KSF-TRIAL-BAL-2020'!O642+'RA-TRIAL-BAL-2020'!O642+'DES-TRIAL-BAL-2020'!O642+'DMP-TRIAL-BAL-2020'!O642</f>
        <v>0</v>
      </c>
      <c r="W642" s="529">
        <f>+'NF-KSF-TRIAL-BAL-2020'!P642+'RA-TRIAL-BAL-2020'!P642+'DES-TRIAL-BAL-2020'!P642+'DMP-TRIAL-BAL-2020'!P642</f>
        <v>0</v>
      </c>
      <c r="X642" s="528">
        <f>+'NF-KSF-TRIAL-BAL-2020'!Q642+'RA-TRIAL-BAL-2020'!Q642+'DES-TRIAL-BAL-2020'!Q642+'DMP-TRIAL-BAL-2020'!Q642</f>
        <v>0</v>
      </c>
      <c r="Y642" s="529">
        <f>+'NF-KSF-TRIAL-BAL-2020'!R642+'RA-TRIAL-BAL-2020'!R642+'DES-TRIAL-BAL-2020'!R642+'DMP-TRIAL-BAL-2020'!R642</f>
        <v>0</v>
      </c>
      <c r="Z642" s="528">
        <f>+'NF-KSF-TRIAL-BAL-2020'!S642+'RA-TRIAL-BAL-2020'!S642+'DES-TRIAL-BAL-2020'!S642+'DMP-TRIAL-BAL-2020'!S642</f>
        <v>0</v>
      </c>
      <c r="AA642" s="347">
        <f>+'NF-KSF-TRIAL-BAL-2020'!T642+'RA-TRIAL-BAL-2020'!T642+'DES-TRIAL-BAL-2020'!T642+'DMP-TRIAL-BAL-2020'!T642</f>
        <v>0</v>
      </c>
      <c r="AB642" s="51"/>
      <c r="AC642" s="8">
        <v>0</v>
      </c>
      <c r="AD642" s="9">
        <v>0</v>
      </c>
      <c r="AE642" s="325"/>
      <c r="AF642" s="324"/>
      <c r="AG642" s="27">
        <f t="shared" si="322"/>
        <v>0</v>
      </c>
      <c r="AH642" s="28">
        <f t="shared" si="323"/>
        <v>0</v>
      </c>
      <c r="AI642" s="51"/>
      <c r="AJ642" s="1497">
        <f t="shared" si="319"/>
        <v>7172</v>
      </c>
      <c r="AK642" s="8">
        <v>0</v>
      </c>
      <c r="AL642" s="9">
        <v>0</v>
      </c>
      <c r="AM642" s="326">
        <f t="shared" si="324"/>
        <v>0</v>
      </c>
      <c r="AN642" s="970">
        <f t="shared" si="324"/>
        <v>0</v>
      </c>
      <c r="AO642" s="27">
        <f t="shared" si="315"/>
        <v>0</v>
      </c>
      <c r="AP642" s="28">
        <f t="shared" si="318"/>
        <v>0</v>
      </c>
      <c r="AQ642" s="43"/>
      <c r="AR642" s="358">
        <f t="shared" si="312"/>
        <v>0</v>
      </c>
      <c r="AS642" s="359">
        <f t="shared" si="313"/>
        <v>0</v>
      </c>
      <c r="AT642" s="360">
        <f t="shared" si="314"/>
        <v>0</v>
      </c>
      <c r="AU642" s="43"/>
      <c r="AV642" s="43"/>
      <c r="AW642" s="119"/>
      <c r="AX642" s="119"/>
      <c r="AY642" s="43"/>
      <c r="AZ642" s="43"/>
      <c r="BA642" s="43"/>
      <c r="BB642" s="43"/>
      <c r="BC642" s="43"/>
      <c r="BD642" s="43"/>
    </row>
    <row r="643" spans="1:56" ht="15.75">
      <c r="A643" s="88">
        <v>7173</v>
      </c>
      <c r="B643" s="1035" t="s">
        <v>1169</v>
      </c>
      <c r="C643" s="1033"/>
      <c r="D643" s="1033"/>
      <c r="E643" s="1033"/>
      <c r="F643" s="1033"/>
      <c r="G643" s="1033"/>
      <c r="H643" s="1033"/>
      <c r="I643" s="1033"/>
      <c r="J643" s="1033"/>
      <c r="K643" s="1033"/>
      <c r="L643" s="90"/>
      <c r="M643" s="51" t="s">
        <v>265</v>
      </c>
      <c r="N643" s="113">
        <f t="shared" si="308"/>
        <v>7173</v>
      </c>
      <c r="O643" s="8">
        <v>0</v>
      </c>
      <c r="P643" s="9">
        <v>0</v>
      </c>
      <c r="Q643" s="325"/>
      <c r="R643" s="324"/>
      <c r="S643" s="27">
        <f t="shared" si="320"/>
        <v>0</v>
      </c>
      <c r="T643" s="28">
        <f t="shared" si="321"/>
        <v>0</v>
      </c>
      <c r="U643" s="51"/>
      <c r="V643" s="541">
        <f>+'NF-KSF-TRIAL-BAL-2020'!O643+'RA-TRIAL-BAL-2020'!O643+'DES-TRIAL-BAL-2020'!O643+'DMP-TRIAL-BAL-2020'!O643</f>
        <v>0</v>
      </c>
      <c r="W643" s="529">
        <f>+'NF-KSF-TRIAL-BAL-2020'!P643+'RA-TRIAL-BAL-2020'!P643+'DES-TRIAL-BAL-2020'!P643+'DMP-TRIAL-BAL-2020'!P643</f>
        <v>0</v>
      </c>
      <c r="X643" s="528">
        <f>+'NF-KSF-TRIAL-BAL-2020'!Q643+'RA-TRIAL-BAL-2020'!Q643+'DES-TRIAL-BAL-2020'!Q643+'DMP-TRIAL-BAL-2020'!Q643</f>
        <v>0</v>
      </c>
      <c r="Y643" s="529">
        <f>+'NF-KSF-TRIAL-BAL-2020'!R643+'RA-TRIAL-BAL-2020'!R643+'DES-TRIAL-BAL-2020'!R643+'DMP-TRIAL-BAL-2020'!R643</f>
        <v>0</v>
      </c>
      <c r="Z643" s="528">
        <f>+'NF-KSF-TRIAL-BAL-2020'!S643+'RA-TRIAL-BAL-2020'!S643+'DES-TRIAL-BAL-2020'!S643+'DMP-TRIAL-BAL-2020'!S643</f>
        <v>0</v>
      </c>
      <c r="AA643" s="347">
        <f>+'NF-KSF-TRIAL-BAL-2020'!T643+'RA-TRIAL-BAL-2020'!T643+'DES-TRIAL-BAL-2020'!T643+'DMP-TRIAL-BAL-2020'!T643</f>
        <v>0</v>
      </c>
      <c r="AB643" s="51"/>
      <c r="AC643" s="8">
        <v>0</v>
      </c>
      <c r="AD643" s="9">
        <v>0</v>
      </c>
      <c r="AE643" s="325"/>
      <c r="AF643" s="324"/>
      <c r="AG643" s="27">
        <f t="shared" si="322"/>
        <v>0</v>
      </c>
      <c r="AH643" s="28">
        <f t="shared" si="323"/>
        <v>0</v>
      </c>
      <c r="AI643" s="51"/>
      <c r="AJ643" s="1497">
        <f t="shared" si="319"/>
        <v>7173</v>
      </c>
      <c r="AK643" s="8">
        <v>0</v>
      </c>
      <c r="AL643" s="9">
        <v>0</v>
      </c>
      <c r="AM643" s="326">
        <f t="shared" si="324"/>
        <v>0</v>
      </c>
      <c r="AN643" s="970">
        <f t="shared" si="324"/>
        <v>0</v>
      </c>
      <c r="AO643" s="27">
        <f t="shared" si="315"/>
        <v>0</v>
      </c>
      <c r="AP643" s="28">
        <f t="shared" si="318"/>
        <v>0</v>
      </c>
      <c r="AQ643" s="43"/>
      <c r="AR643" s="358">
        <f t="shared" si="312"/>
        <v>0</v>
      </c>
      <c r="AS643" s="359">
        <f t="shared" si="313"/>
        <v>0</v>
      </c>
      <c r="AT643" s="360">
        <f t="shared" si="314"/>
        <v>0</v>
      </c>
      <c r="AU643" s="43"/>
      <c r="AV643" s="43"/>
      <c r="AW643" s="119"/>
      <c r="AX643" s="119"/>
      <c r="AY643" s="43"/>
      <c r="AZ643" s="43"/>
      <c r="BA643" s="43"/>
      <c r="BB643" s="43"/>
      <c r="BC643" s="43"/>
      <c r="BD643" s="43"/>
    </row>
    <row r="644" spans="1:56" ht="15.75">
      <c r="A644" s="88">
        <v>7174</v>
      </c>
      <c r="B644" s="1035" t="s">
        <v>1170</v>
      </c>
      <c r="C644" s="1033"/>
      <c r="D644" s="1033"/>
      <c r="E644" s="1033"/>
      <c r="F644" s="1033"/>
      <c r="G644" s="1033"/>
      <c r="H644" s="1033"/>
      <c r="I644" s="1033"/>
      <c r="J644" s="1033"/>
      <c r="K644" s="1033"/>
      <c r="L644" s="90"/>
      <c r="M644" s="51" t="s">
        <v>265</v>
      </c>
      <c r="N644" s="113">
        <f t="shared" si="308"/>
        <v>7174</v>
      </c>
      <c r="O644" s="8">
        <v>0</v>
      </c>
      <c r="P644" s="9">
        <v>0</v>
      </c>
      <c r="Q644" s="325"/>
      <c r="R644" s="324"/>
      <c r="S644" s="27">
        <f t="shared" si="320"/>
        <v>0</v>
      </c>
      <c r="T644" s="28">
        <f t="shared" si="321"/>
        <v>0</v>
      </c>
      <c r="U644" s="51"/>
      <c r="V644" s="541">
        <f>+'NF-KSF-TRIAL-BAL-2020'!O644+'RA-TRIAL-BAL-2020'!O644+'DES-TRIAL-BAL-2020'!O644+'DMP-TRIAL-BAL-2020'!O644</f>
        <v>0</v>
      </c>
      <c r="W644" s="529">
        <f>+'NF-KSF-TRIAL-BAL-2020'!P644+'RA-TRIAL-BAL-2020'!P644+'DES-TRIAL-BAL-2020'!P644+'DMP-TRIAL-BAL-2020'!P644</f>
        <v>0</v>
      </c>
      <c r="X644" s="528">
        <f>+'NF-KSF-TRIAL-BAL-2020'!Q644+'RA-TRIAL-BAL-2020'!Q644+'DES-TRIAL-BAL-2020'!Q644+'DMP-TRIAL-BAL-2020'!Q644</f>
        <v>0</v>
      </c>
      <c r="Y644" s="529">
        <f>+'NF-KSF-TRIAL-BAL-2020'!R644+'RA-TRIAL-BAL-2020'!R644+'DES-TRIAL-BAL-2020'!R644+'DMP-TRIAL-BAL-2020'!R644</f>
        <v>0</v>
      </c>
      <c r="Z644" s="528">
        <f>+'NF-KSF-TRIAL-BAL-2020'!S644+'RA-TRIAL-BAL-2020'!S644+'DES-TRIAL-BAL-2020'!S644+'DMP-TRIAL-BAL-2020'!S644</f>
        <v>0</v>
      </c>
      <c r="AA644" s="347">
        <f>+'NF-KSF-TRIAL-BAL-2020'!T644+'RA-TRIAL-BAL-2020'!T644+'DES-TRIAL-BAL-2020'!T644+'DMP-TRIAL-BAL-2020'!T644</f>
        <v>0</v>
      </c>
      <c r="AB644" s="51"/>
      <c r="AC644" s="8">
        <v>0</v>
      </c>
      <c r="AD644" s="9">
        <v>0</v>
      </c>
      <c r="AE644" s="122"/>
      <c r="AF644" s="121"/>
      <c r="AG644" s="27">
        <f t="shared" si="322"/>
        <v>0</v>
      </c>
      <c r="AH644" s="28">
        <f t="shared" si="323"/>
        <v>0</v>
      </c>
      <c r="AI644" s="51"/>
      <c r="AJ644" s="1497">
        <f t="shared" si="319"/>
        <v>7174</v>
      </c>
      <c r="AK644" s="8">
        <v>0</v>
      </c>
      <c r="AL644" s="9">
        <v>0</v>
      </c>
      <c r="AM644" s="326">
        <f t="shared" si="324"/>
        <v>0</v>
      </c>
      <c r="AN644" s="970">
        <f t="shared" si="324"/>
        <v>0</v>
      </c>
      <c r="AO644" s="27">
        <f t="shared" si="315"/>
        <v>0</v>
      </c>
      <c r="AP644" s="28">
        <f t="shared" si="318"/>
        <v>0</v>
      </c>
      <c r="AQ644" s="43"/>
      <c r="AR644" s="358">
        <f t="shared" si="312"/>
        <v>0</v>
      </c>
      <c r="AS644" s="359">
        <f t="shared" si="313"/>
        <v>0</v>
      </c>
      <c r="AT644" s="360">
        <f t="shared" si="314"/>
        <v>0</v>
      </c>
      <c r="AU644" s="43"/>
      <c r="AV644" s="43"/>
      <c r="AW644" s="119"/>
      <c r="AX644" s="119"/>
      <c r="AY644" s="43"/>
      <c r="AZ644" s="43"/>
      <c r="BA644" s="43"/>
      <c r="BB644" s="43"/>
      <c r="BC644" s="43"/>
      <c r="BD644" s="43"/>
    </row>
    <row r="645" spans="1:56" ht="15.75">
      <c r="A645" s="88">
        <v>7175</v>
      </c>
      <c r="B645" s="1035" t="s">
        <v>628</v>
      </c>
      <c r="C645" s="1033"/>
      <c r="D645" s="1033"/>
      <c r="E645" s="1033"/>
      <c r="F645" s="1033"/>
      <c r="G645" s="1033"/>
      <c r="H645" s="1033"/>
      <c r="I645" s="1033"/>
      <c r="J645" s="1033"/>
      <c r="K645" s="1033"/>
      <c r="L645" s="90"/>
      <c r="M645" s="51" t="s">
        <v>265</v>
      </c>
      <c r="N645" s="113">
        <f t="shared" si="308"/>
        <v>7175</v>
      </c>
      <c r="O645" s="8">
        <v>0</v>
      </c>
      <c r="P645" s="9">
        <v>0</v>
      </c>
      <c r="Q645" s="325"/>
      <c r="R645" s="324"/>
      <c r="S645" s="27">
        <f t="shared" si="320"/>
        <v>0</v>
      </c>
      <c r="T645" s="28">
        <f t="shared" si="321"/>
        <v>0</v>
      </c>
      <c r="U645" s="51"/>
      <c r="V645" s="541">
        <f>+'NF-KSF-TRIAL-BAL-2020'!O645+'RA-TRIAL-BAL-2020'!O645+'DES-TRIAL-BAL-2020'!O645+'DMP-TRIAL-BAL-2020'!O645</f>
        <v>0</v>
      </c>
      <c r="W645" s="529">
        <f>+'NF-KSF-TRIAL-BAL-2020'!P645+'RA-TRIAL-BAL-2020'!P645+'DES-TRIAL-BAL-2020'!P645+'DMP-TRIAL-BAL-2020'!P645</f>
        <v>0</v>
      </c>
      <c r="X645" s="528">
        <f>+'NF-KSF-TRIAL-BAL-2020'!Q645+'RA-TRIAL-BAL-2020'!Q645+'DES-TRIAL-BAL-2020'!Q645+'DMP-TRIAL-BAL-2020'!Q645</f>
        <v>0</v>
      </c>
      <c r="Y645" s="529">
        <f>+'NF-KSF-TRIAL-BAL-2020'!R645+'RA-TRIAL-BAL-2020'!R645+'DES-TRIAL-BAL-2020'!R645+'DMP-TRIAL-BAL-2020'!R645</f>
        <v>0</v>
      </c>
      <c r="Z645" s="528">
        <f>+'NF-KSF-TRIAL-BAL-2020'!S645+'RA-TRIAL-BAL-2020'!S645+'DES-TRIAL-BAL-2020'!S645+'DMP-TRIAL-BAL-2020'!S645</f>
        <v>0</v>
      </c>
      <c r="AA645" s="347">
        <f>+'NF-KSF-TRIAL-BAL-2020'!T645+'RA-TRIAL-BAL-2020'!T645+'DES-TRIAL-BAL-2020'!T645+'DMP-TRIAL-BAL-2020'!T645</f>
        <v>0</v>
      </c>
      <c r="AB645" s="51"/>
      <c r="AC645" s="8">
        <v>0</v>
      </c>
      <c r="AD645" s="9">
        <v>0</v>
      </c>
      <c r="AE645" s="122"/>
      <c r="AF645" s="121"/>
      <c r="AG645" s="27">
        <f t="shared" si="322"/>
        <v>0</v>
      </c>
      <c r="AH645" s="28">
        <f t="shared" si="323"/>
        <v>0</v>
      </c>
      <c r="AI645" s="51"/>
      <c r="AJ645" s="1497">
        <f t="shared" si="319"/>
        <v>7175</v>
      </c>
      <c r="AK645" s="8">
        <v>0</v>
      </c>
      <c r="AL645" s="9">
        <v>0</v>
      </c>
      <c r="AM645" s="326">
        <f t="shared" si="324"/>
        <v>0</v>
      </c>
      <c r="AN645" s="970">
        <f t="shared" si="324"/>
        <v>0</v>
      </c>
      <c r="AO645" s="27">
        <f t="shared" si="315"/>
        <v>0</v>
      </c>
      <c r="AP645" s="28">
        <f t="shared" si="318"/>
        <v>0</v>
      </c>
      <c r="AQ645" s="43"/>
      <c r="AR645" s="358">
        <f t="shared" si="312"/>
        <v>0</v>
      </c>
      <c r="AS645" s="359">
        <f t="shared" si="313"/>
        <v>0</v>
      </c>
      <c r="AT645" s="360">
        <f t="shared" si="314"/>
        <v>0</v>
      </c>
      <c r="AU645" s="43"/>
      <c r="AV645" s="43"/>
      <c r="AW645" s="119"/>
      <c r="AX645" s="119"/>
      <c r="AY645" s="43"/>
      <c r="AZ645" s="43"/>
      <c r="BA645" s="43"/>
      <c r="BB645" s="43"/>
      <c r="BC645" s="43"/>
      <c r="BD645" s="43"/>
    </row>
    <row r="646" spans="1:56" ht="15.75">
      <c r="A646" s="88">
        <v>7176</v>
      </c>
      <c r="B646" s="1035" t="s">
        <v>629</v>
      </c>
      <c r="C646" s="1033"/>
      <c r="D646" s="1033"/>
      <c r="E646" s="1033"/>
      <c r="F646" s="1033"/>
      <c r="G646" s="1033"/>
      <c r="H646" s="1033"/>
      <c r="I646" s="1033"/>
      <c r="J646" s="1033"/>
      <c r="K646" s="1033"/>
      <c r="L646" s="90"/>
      <c r="M646" s="51" t="s">
        <v>265</v>
      </c>
      <c r="N646" s="113">
        <f t="shared" si="308"/>
        <v>7176</v>
      </c>
      <c r="O646" s="8">
        <v>0</v>
      </c>
      <c r="P646" s="9">
        <v>0</v>
      </c>
      <c r="Q646" s="325"/>
      <c r="R646" s="324"/>
      <c r="S646" s="27">
        <f t="shared" si="320"/>
        <v>0</v>
      </c>
      <c r="T646" s="28">
        <f t="shared" si="321"/>
        <v>0</v>
      </c>
      <c r="U646" s="51"/>
      <c r="V646" s="541">
        <f>+'NF-KSF-TRIAL-BAL-2020'!O646+'RA-TRIAL-BAL-2020'!O646+'DES-TRIAL-BAL-2020'!O646+'DMP-TRIAL-BAL-2020'!O646</f>
        <v>0</v>
      </c>
      <c r="W646" s="529">
        <f>+'NF-KSF-TRIAL-BAL-2020'!P646+'RA-TRIAL-BAL-2020'!P646+'DES-TRIAL-BAL-2020'!P646+'DMP-TRIAL-BAL-2020'!P646</f>
        <v>0</v>
      </c>
      <c r="X646" s="528">
        <f>+'NF-KSF-TRIAL-BAL-2020'!Q646+'RA-TRIAL-BAL-2020'!Q646+'DES-TRIAL-BAL-2020'!Q646+'DMP-TRIAL-BAL-2020'!Q646</f>
        <v>0</v>
      </c>
      <c r="Y646" s="529">
        <f>+'NF-KSF-TRIAL-BAL-2020'!R646+'RA-TRIAL-BAL-2020'!R646+'DES-TRIAL-BAL-2020'!R646+'DMP-TRIAL-BAL-2020'!R646</f>
        <v>0</v>
      </c>
      <c r="Z646" s="528">
        <f>+'NF-KSF-TRIAL-BAL-2020'!S646+'RA-TRIAL-BAL-2020'!S646+'DES-TRIAL-BAL-2020'!S646+'DMP-TRIAL-BAL-2020'!S646</f>
        <v>0</v>
      </c>
      <c r="AA646" s="347">
        <f>+'NF-KSF-TRIAL-BAL-2020'!T646+'RA-TRIAL-BAL-2020'!T646+'DES-TRIAL-BAL-2020'!T646+'DMP-TRIAL-BAL-2020'!T646</f>
        <v>0</v>
      </c>
      <c r="AB646" s="51"/>
      <c r="AC646" s="8">
        <v>0</v>
      </c>
      <c r="AD646" s="9">
        <v>0</v>
      </c>
      <c r="AE646" s="325"/>
      <c r="AF646" s="324"/>
      <c r="AG646" s="27">
        <f t="shared" si="322"/>
        <v>0</v>
      </c>
      <c r="AH646" s="28">
        <f t="shared" si="323"/>
        <v>0</v>
      </c>
      <c r="AI646" s="51"/>
      <c r="AJ646" s="1497">
        <f t="shared" si="319"/>
        <v>7176</v>
      </c>
      <c r="AK646" s="8">
        <v>0</v>
      </c>
      <c r="AL646" s="9">
        <v>0</v>
      </c>
      <c r="AM646" s="326">
        <f t="shared" si="324"/>
        <v>0</v>
      </c>
      <c r="AN646" s="970">
        <f t="shared" si="324"/>
        <v>0</v>
      </c>
      <c r="AO646" s="27">
        <f t="shared" si="315"/>
        <v>0</v>
      </c>
      <c r="AP646" s="28">
        <f t="shared" si="318"/>
        <v>0</v>
      </c>
      <c r="AQ646" s="43"/>
      <c r="AR646" s="358">
        <f t="shared" si="312"/>
        <v>0</v>
      </c>
      <c r="AS646" s="359">
        <f t="shared" si="313"/>
        <v>0</v>
      </c>
      <c r="AT646" s="360">
        <f t="shared" si="314"/>
        <v>0</v>
      </c>
      <c r="AU646" s="43"/>
      <c r="AV646" s="43"/>
      <c r="AW646" s="119"/>
      <c r="AX646" s="119"/>
      <c r="AY646" s="43"/>
      <c r="AZ646" s="43"/>
      <c r="BA646" s="43"/>
      <c r="BB646" s="43"/>
      <c r="BC646" s="43"/>
      <c r="BD646" s="43"/>
    </row>
    <row r="647" spans="1:56" ht="15.75">
      <c r="A647" s="88">
        <v>7177</v>
      </c>
      <c r="B647" s="1035" t="s">
        <v>1171</v>
      </c>
      <c r="C647" s="1033"/>
      <c r="D647" s="1033"/>
      <c r="E647" s="1033"/>
      <c r="F647" s="1033"/>
      <c r="G647" s="1033"/>
      <c r="H647" s="1033"/>
      <c r="I647" s="1033"/>
      <c r="J647" s="1033"/>
      <c r="K647" s="1033"/>
      <c r="L647" s="90"/>
      <c r="M647" s="51" t="s">
        <v>265</v>
      </c>
      <c r="N647" s="113">
        <f t="shared" si="308"/>
        <v>7177</v>
      </c>
      <c r="O647" s="8">
        <v>0</v>
      </c>
      <c r="P647" s="9">
        <v>0</v>
      </c>
      <c r="Q647" s="325">
        <v>0</v>
      </c>
      <c r="R647" s="324">
        <v>0</v>
      </c>
      <c r="S647" s="27">
        <f t="shared" si="320"/>
        <v>0</v>
      </c>
      <c r="T647" s="28">
        <f t="shared" si="321"/>
        <v>0</v>
      </c>
      <c r="U647" s="51"/>
      <c r="V647" s="541">
        <f>+'NF-KSF-TRIAL-BAL-2020'!O647+'RA-TRIAL-BAL-2020'!O647+'DES-TRIAL-BAL-2020'!O647+'DMP-TRIAL-BAL-2020'!O647</f>
        <v>0</v>
      </c>
      <c r="W647" s="529">
        <f>+'NF-KSF-TRIAL-BAL-2020'!P647+'RA-TRIAL-BAL-2020'!P647+'DES-TRIAL-BAL-2020'!P647+'DMP-TRIAL-BAL-2020'!P647</f>
        <v>0</v>
      </c>
      <c r="X647" s="528">
        <f>+'NF-KSF-TRIAL-BAL-2020'!Q647+'RA-TRIAL-BAL-2020'!Q647+'DES-TRIAL-BAL-2020'!Q647+'DMP-TRIAL-BAL-2020'!Q647</f>
        <v>0</v>
      </c>
      <c r="Y647" s="529">
        <f>+'NF-KSF-TRIAL-BAL-2020'!R647+'RA-TRIAL-BAL-2020'!R647+'DES-TRIAL-BAL-2020'!R647+'DMP-TRIAL-BAL-2020'!R647</f>
        <v>0</v>
      </c>
      <c r="Z647" s="528">
        <f>+'NF-KSF-TRIAL-BAL-2020'!S647+'RA-TRIAL-BAL-2020'!S647+'DES-TRIAL-BAL-2020'!S647+'DMP-TRIAL-BAL-2020'!S647</f>
        <v>0</v>
      </c>
      <c r="AA647" s="347">
        <f>+'NF-KSF-TRIAL-BAL-2020'!T647+'RA-TRIAL-BAL-2020'!T647+'DES-TRIAL-BAL-2020'!T647+'DMP-TRIAL-BAL-2020'!T647</f>
        <v>0</v>
      </c>
      <c r="AB647" s="51"/>
      <c r="AC647" s="8">
        <v>0</v>
      </c>
      <c r="AD647" s="9">
        <v>0</v>
      </c>
      <c r="AE647" s="325">
        <v>0</v>
      </c>
      <c r="AF647" s="324">
        <v>0</v>
      </c>
      <c r="AG647" s="27">
        <f t="shared" si="322"/>
        <v>0</v>
      </c>
      <c r="AH647" s="28">
        <f t="shared" si="323"/>
        <v>0</v>
      </c>
      <c r="AI647" s="51"/>
      <c r="AJ647" s="1497">
        <f t="shared" si="319"/>
        <v>7177</v>
      </c>
      <c r="AK647" s="8">
        <v>0</v>
      </c>
      <c r="AL647" s="9">
        <v>0</v>
      </c>
      <c r="AM647" s="326">
        <f t="shared" si="324"/>
        <v>0</v>
      </c>
      <c r="AN647" s="970">
        <f t="shared" si="324"/>
        <v>0</v>
      </c>
      <c r="AO647" s="27">
        <f t="shared" si="315"/>
        <v>0</v>
      </c>
      <c r="AP647" s="28">
        <f t="shared" si="318"/>
        <v>0</v>
      </c>
      <c r="AQ647" s="43"/>
      <c r="AR647" s="358">
        <f t="shared" si="312"/>
        <v>0</v>
      </c>
      <c r="AS647" s="359">
        <f t="shared" si="313"/>
        <v>0</v>
      </c>
      <c r="AT647" s="360">
        <f t="shared" si="314"/>
        <v>0</v>
      </c>
      <c r="AU647" s="43"/>
      <c r="AV647" s="43"/>
      <c r="AW647" s="119"/>
      <c r="AX647" s="119"/>
      <c r="AY647" s="43"/>
      <c r="AZ647" s="43"/>
      <c r="BA647" s="43"/>
      <c r="BB647" s="43"/>
      <c r="BC647" s="43"/>
      <c r="BD647" s="43"/>
    </row>
    <row r="648" spans="1:56" ht="15.75">
      <c r="A648" s="88">
        <v>7178</v>
      </c>
      <c r="B648" s="1035" t="s">
        <v>1172</v>
      </c>
      <c r="C648" s="1033"/>
      <c r="D648" s="1033"/>
      <c r="E648" s="1033"/>
      <c r="F648" s="1033"/>
      <c r="G648" s="1033"/>
      <c r="H648" s="1033"/>
      <c r="I648" s="1033"/>
      <c r="J648" s="1033"/>
      <c r="K648" s="1033"/>
      <c r="L648" s="90"/>
      <c r="M648" s="51" t="s">
        <v>265</v>
      </c>
      <c r="N648" s="113">
        <f t="shared" si="308"/>
        <v>7178</v>
      </c>
      <c r="O648" s="8">
        <v>0</v>
      </c>
      <c r="P648" s="9">
        <v>0</v>
      </c>
      <c r="Q648" s="325"/>
      <c r="R648" s="324"/>
      <c r="S648" s="27">
        <f t="shared" si="320"/>
        <v>0</v>
      </c>
      <c r="T648" s="28">
        <f t="shared" si="321"/>
        <v>0</v>
      </c>
      <c r="U648" s="51"/>
      <c r="V648" s="541">
        <f>+'NF-KSF-TRIAL-BAL-2020'!O648+'RA-TRIAL-BAL-2020'!O648+'DES-TRIAL-BAL-2020'!O648+'DMP-TRIAL-BAL-2020'!O648</f>
        <v>0</v>
      </c>
      <c r="W648" s="529">
        <f>+'NF-KSF-TRIAL-BAL-2020'!P648+'RA-TRIAL-BAL-2020'!P648+'DES-TRIAL-BAL-2020'!P648+'DMP-TRIAL-BAL-2020'!P648</f>
        <v>0</v>
      </c>
      <c r="X648" s="528">
        <f>+'NF-KSF-TRIAL-BAL-2020'!Q648+'RA-TRIAL-BAL-2020'!Q648+'DES-TRIAL-BAL-2020'!Q648+'DMP-TRIAL-BAL-2020'!Q648</f>
        <v>0</v>
      </c>
      <c r="Y648" s="529">
        <f>+'NF-KSF-TRIAL-BAL-2020'!R648+'RA-TRIAL-BAL-2020'!R648+'DES-TRIAL-BAL-2020'!R648+'DMP-TRIAL-BAL-2020'!R648</f>
        <v>0</v>
      </c>
      <c r="Z648" s="528">
        <f>+'NF-KSF-TRIAL-BAL-2020'!S648+'RA-TRIAL-BAL-2020'!S648+'DES-TRIAL-BAL-2020'!S648+'DMP-TRIAL-BAL-2020'!S648</f>
        <v>0</v>
      </c>
      <c r="AA648" s="347">
        <f>+'NF-KSF-TRIAL-BAL-2020'!T648+'RA-TRIAL-BAL-2020'!T648+'DES-TRIAL-BAL-2020'!T648+'DMP-TRIAL-BAL-2020'!T648</f>
        <v>0</v>
      </c>
      <c r="AB648" s="51"/>
      <c r="AC648" s="8">
        <v>0</v>
      </c>
      <c r="AD648" s="9">
        <v>0</v>
      </c>
      <c r="AE648" s="122"/>
      <c r="AF648" s="121"/>
      <c r="AG648" s="27">
        <f t="shared" si="322"/>
        <v>0</v>
      </c>
      <c r="AH648" s="28">
        <f t="shared" si="323"/>
        <v>0</v>
      </c>
      <c r="AI648" s="51"/>
      <c r="AJ648" s="1497">
        <f t="shared" si="319"/>
        <v>7178</v>
      </c>
      <c r="AK648" s="8">
        <v>0</v>
      </c>
      <c r="AL648" s="9">
        <v>0</v>
      </c>
      <c r="AM648" s="326">
        <f t="shared" si="324"/>
        <v>0</v>
      </c>
      <c r="AN648" s="970">
        <f t="shared" si="324"/>
        <v>0</v>
      </c>
      <c r="AO648" s="27">
        <f t="shared" si="315"/>
        <v>0</v>
      </c>
      <c r="AP648" s="28">
        <f t="shared" si="318"/>
        <v>0</v>
      </c>
      <c r="AQ648" s="43"/>
      <c r="AR648" s="358">
        <f t="shared" si="312"/>
        <v>0</v>
      </c>
      <c r="AS648" s="359">
        <f t="shared" si="313"/>
        <v>0</v>
      </c>
      <c r="AT648" s="360">
        <f t="shared" si="314"/>
        <v>0</v>
      </c>
      <c r="AU648" s="43"/>
      <c r="AV648" s="43"/>
      <c r="AW648" s="119"/>
      <c r="AX648" s="119"/>
      <c r="AY648" s="43"/>
      <c r="AZ648" s="43"/>
      <c r="BA648" s="43"/>
      <c r="BB648" s="43"/>
      <c r="BC648" s="43"/>
      <c r="BD648" s="43"/>
    </row>
    <row r="649" spans="1:56" ht="15.75">
      <c r="A649" s="88">
        <v>7179</v>
      </c>
      <c r="B649" s="378" t="s">
        <v>630</v>
      </c>
      <c r="C649" s="1033"/>
      <c r="D649" s="1033"/>
      <c r="E649" s="1033"/>
      <c r="F649" s="1033"/>
      <c r="G649" s="1033"/>
      <c r="H649" s="1033"/>
      <c r="I649" s="1033"/>
      <c r="J649" s="1033"/>
      <c r="K649" s="1033"/>
      <c r="L649" s="90"/>
      <c r="M649" s="51" t="s">
        <v>265</v>
      </c>
      <c r="N649" s="113">
        <f t="shared" si="308"/>
        <v>7179</v>
      </c>
      <c r="O649" s="8">
        <v>0</v>
      </c>
      <c r="P649" s="9">
        <v>0</v>
      </c>
      <c r="Q649" s="325"/>
      <c r="R649" s="324"/>
      <c r="S649" s="27">
        <f t="shared" si="320"/>
        <v>0</v>
      </c>
      <c r="T649" s="28">
        <f t="shared" si="321"/>
        <v>0</v>
      </c>
      <c r="U649" s="51"/>
      <c r="V649" s="541">
        <f>+'NF-KSF-TRIAL-BAL-2020'!O649+'RA-TRIAL-BAL-2020'!O649+'DES-TRIAL-BAL-2020'!O649+'DMP-TRIAL-BAL-2020'!O649</f>
        <v>0</v>
      </c>
      <c r="W649" s="529">
        <f>+'NF-KSF-TRIAL-BAL-2020'!P649+'RA-TRIAL-BAL-2020'!P649+'DES-TRIAL-BAL-2020'!P649+'DMP-TRIAL-BAL-2020'!P649</f>
        <v>0</v>
      </c>
      <c r="X649" s="528">
        <f>+'NF-KSF-TRIAL-BAL-2020'!Q649+'RA-TRIAL-BAL-2020'!Q649+'DES-TRIAL-BAL-2020'!Q649+'DMP-TRIAL-BAL-2020'!Q649</f>
        <v>0</v>
      </c>
      <c r="Y649" s="529">
        <f>+'NF-KSF-TRIAL-BAL-2020'!R649+'RA-TRIAL-BAL-2020'!R649+'DES-TRIAL-BAL-2020'!R649+'DMP-TRIAL-BAL-2020'!R649</f>
        <v>0</v>
      </c>
      <c r="Z649" s="528">
        <f>+'NF-KSF-TRIAL-BAL-2020'!S649+'RA-TRIAL-BAL-2020'!S649+'DES-TRIAL-BAL-2020'!S649+'DMP-TRIAL-BAL-2020'!S649</f>
        <v>0</v>
      </c>
      <c r="AA649" s="347">
        <f>+'NF-KSF-TRIAL-BAL-2020'!T649+'RA-TRIAL-BAL-2020'!T649+'DES-TRIAL-BAL-2020'!T649+'DMP-TRIAL-BAL-2020'!T649</f>
        <v>0</v>
      </c>
      <c r="AB649" s="51"/>
      <c r="AC649" s="8">
        <v>0</v>
      </c>
      <c r="AD649" s="9">
        <v>0</v>
      </c>
      <c r="AE649" s="122"/>
      <c r="AF649" s="121"/>
      <c r="AG649" s="27">
        <f t="shared" si="322"/>
        <v>0</v>
      </c>
      <c r="AH649" s="28">
        <f t="shared" si="323"/>
        <v>0</v>
      </c>
      <c r="AI649" s="51"/>
      <c r="AJ649" s="1497">
        <f t="shared" si="319"/>
        <v>7179</v>
      </c>
      <c r="AK649" s="8">
        <v>0</v>
      </c>
      <c r="AL649" s="9">
        <v>0</v>
      </c>
      <c r="AM649" s="326">
        <f t="shared" si="324"/>
        <v>0</v>
      </c>
      <c r="AN649" s="970">
        <f t="shared" si="324"/>
        <v>0</v>
      </c>
      <c r="AO649" s="27">
        <f t="shared" si="315"/>
        <v>0</v>
      </c>
      <c r="AP649" s="28">
        <f t="shared" si="318"/>
        <v>0</v>
      </c>
      <c r="AQ649" s="43"/>
      <c r="AR649" s="358">
        <f t="shared" si="312"/>
        <v>0</v>
      </c>
      <c r="AS649" s="359">
        <f t="shared" si="313"/>
        <v>0</v>
      </c>
      <c r="AT649" s="360">
        <f t="shared" si="314"/>
        <v>0</v>
      </c>
      <c r="AU649" s="43"/>
      <c r="AV649" s="43"/>
      <c r="AW649" s="119"/>
      <c r="AX649" s="119"/>
      <c r="AY649" s="43"/>
      <c r="AZ649" s="43"/>
      <c r="BA649" s="43"/>
      <c r="BB649" s="43"/>
      <c r="BC649" s="43"/>
      <c r="BD649" s="43"/>
    </row>
    <row r="650" spans="1:56" ht="15.75">
      <c r="A650" s="88">
        <v>7180</v>
      </c>
      <c r="B650" s="378" t="s">
        <v>631</v>
      </c>
      <c r="C650" s="1033"/>
      <c r="D650" s="1033"/>
      <c r="E650" s="1033"/>
      <c r="F650" s="1033"/>
      <c r="G650" s="1033"/>
      <c r="H650" s="1033"/>
      <c r="I650" s="1033"/>
      <c r="J650" s="1033"/>
      <c r="K650" s="1033"/>
      <c r="L650" s="90"/>
      <c r="M650" s="51" t="s">
        <v>265</v>
      </c>
      <c r="N650" s="113">
        <f>+A650</f>
        <v>7180</v>
      </c>
      <c r="O650" s="8">
        <v>0</v>
      </c>
      <c r="P650" s="9">
        <v>0</v>
      </c>
      <c r="Q650" s="325"/>
      <c r="R650" s="324"/>
      <c r="S650" s="27">
        <f t="shared" si="320"/>
        <v>0</v>
      </c>
      <c r="T650" s="28">
        <f t="shared" si="321"/>
        <v>0</v>
      </c>
      <c r="U650" s="51"/>
      <c r="V650" s="541">
        <f>+'NF-KSF-TRIAL-BAL-2020'!O650+'RA-TRIAL-BAL-2020'!O650+'DES-TRIAL-BAL-2020'!O650+'DMP-TRIAL-BAL-2020'!O650</f>
        <v>0</v>
      </c>
      <c r="W650" s="529">
        <f>+'NF-KSF-TRIAL-BAL-2020'!P650+'RA-TRIAL-BAL-2020'!P650+'DES-TRIAL-BAL-2020'!P650+'DMP-TRIAL-BAL-2020'!P650</f>
        <v>0</v>
      </c>
      <c r="X650" s="528">
        <f>+'NF-KSF-TRIAL-BAL-2020'!Q650+'RA-TRIAL-BAL-2020'!Q650+'DES-TRIAL-BAL-2020'!Q650+'DMP-TRIAL-BAL-2020'!Q650</f>
        <v>0</v>
      </c>
      <c r="Y650" s="529">
        <f>+'NF-KSF-TRIAL-BAL-2020'!R650+'RA-TRIAL-BAL-2020'!R650+'DES-TRIAL-BAL-2020'!R650+'DMP-TRIAL-BAL-2020'!R650</f>
        <v>0</v>
      </c>
      <c r="Z650" s="528">
        <f>+'NF-KSF-TRIAL-BAL-2020'!S650+'RA-TRIAL-BAL-2020'!S650+'DES-TRIAL-BAL-2020'!S650+'DMP-TRIAL-BAL-2020'!S650</f>
        <v>0</v>
      </c>
      <c r="AA650" s="347">
        <f>+'NF-KSF-TRIAL-BAL-2020'!T650+'RA-TRIAL-BAL-2020'!T650+'DES-TRIAL-BAL-2020'!T650+'DMP-TRIAL-BAL-2020'!T650</f>
        <v>0</v>
      </c>
      <c r="AB650" s="51"/>
      <c r="AC650" s="8">
        <v>0</v>
      </c>
      <c r="AD650" s="9">
        <v>0</v>
      </c>
      <c r="AE650" s="325"/>
      <c r="AF650" s="324"/>
      <c r="AG650" s="27">
        <f t="shared" si="322"/>
        <v>0</v>
      </c>
      <c r="AH650" s="28">
        <f t="shared" si="323"/>
        <v>0</v>
      </c>
      <c r="AI650" s="51"/>
      <c r="AJ650" s="1497">
        <f>+N650</f>
        <v>7180</v>
      </c>
      <c r="AK650" s="8">
        <v>0</v>
      </c>
      <c r="AL650" s="9">
        <v>0</v>
      </c>
      <c r="AM650" s="326">
        <f t="shared" si="324"/>
        <v>0</v>
      </c>
      <c r="AN650" s="970">
        <f t="shared" si="324"/>
        <v>0</v>
      </c>
      <c r="AO650" s="27">
        <f t="shared" si="315"/>
        <v>0</v>
      </c>
      <c r="AP650" s="28">
        <f t="shared" si="318"/>
        <v>0</v>
      </c>
      <c r="AQ650" s="43"/>
      <c r="AR650" s="358">
        <f>+ROUND(+SUM(AK650-AL650)-SUM(O650-P650)-SUM(V650-W650)-SUM(AC650-AD650),2)</f>
        <v>0</v>
      </c>
      <c r="AS650" s="359">
        <f>+ROUND(+SUM(AM650-AN650)-SUM(Q650-R650)-SUM(X650-Y650)-SUM(AE650-AF650),2)</f>
        <v>0</v>
      </c>
      <c r="AT650" s="360">
        <f>+ROUND(+SUM(AO650-AP650)-SUM(S650-T650)-SUM(Z650-AA650)-SUM(AG650-AH650),2)</f>
        <v>0</v>
      </c>
      <c r="AU650" s="43"/>
      <c r="AV650" s="43"/>
      <c r="AW650" s="119"/>
      <c r="AX650" s="119"/>
      <c r="AY650" s="43"/>
      <c r="AZ650" s="43"/>
      <c r="BA650" s="43"/>
      <c r="BB650" s="43"/>
      <c r="BC650" s="43"/>
      <c r="BD650" s="43"/>
    </row>
    <row r="651" spans="1:56" ht="15.75">
      <c r="A651" s="88">
        <v>7181</v>
      </c>
      <c r="B651" s="1033" t="s">
        <v>632</v>
      </c>
      <c r="C651" s="1033"/>
      <c r="D651" s="1033"/>
      <c r="E651" s="1033"/>
      <c r="F651" s="1033"/>
      <c r="G651" s="1033"/>
      <c r="H651" s="1033"/>
      <c r="I651" s="1033"/>
      <c r="J651" s="1033"/>
      <c r="K651" s="1033"/>
      <c r="L651" s="90"/>
      <c r="M651" s="51" t="s">
        <v>265</v>
      </c>
      <c r="N651" s="113">
        <f t="shared" si="308"/>
        <v>7181</v>
      </c>
      <c r="O651" s="8">
        <v>0</v>
      </c>
      <c r="P651" s="9">
        <v>0</v>
      </c>
      <c r="Q651" s="325">
        <v>0</v>
      </c>
      <c r="R651" s="324">
        <v>0</v>
      </c>
      <c r="S651" s="27">
        <f t="shared" si="320"/>
        <v>0</v>
      </c>
      <c r="T651" s="28">
        <f t="shared" si="321"/>
        <v>0</v>
      </c>
      <c r="U651" s="51"/>
      <c r="V651" s="541">
        <f>+'NF-KSF-TRIAL-BAL-2020'!O651+'RA-TRIAL-BAL-2020'!O651+'DES-TRIAL-BAL-2020'!O651+'DMP-TRIAL-BAL-2020'!O651</f>
        <v>0</v>
      </c>
      <c r="W651" s="529">
        <f>+'NF-KSF-TRIAL-BAL-2020'!P651+'RA-TRIAL-BAL-2020'!P651+'DES-TRIAL-BAL-2020'!P651+'DMP-TRIAL-BAL-2020'!P651</f>
        <v>0</v>
      </c>
      <c r="X651" s="528">
        <f>+'NF-KSF-TRIAL-BAL-2020'!Q651+'RA-TRIAL-BAL-2020'!Q651+'DES-TRIAL-BAL-2020'!Q651+'DMP-TRIAL-BAL-2020'!Q651</f>
        <v>0</v>
      </c>
      <c r="Y651" s="529">
        <f>+'NF-KSF-TRIAL-BAL-2020'!R651+'RA-TRIAL-BAL-2020'!R651+'DES-TRIAL-BAL-2020'!R651+'DMP-TRIAL-BAL-2020'!R651</f>
        <v>0</v>
      </c>
      <c r="Z651" s="528">
        <f>+'NF-KSF-TRIAL-BAL-2020'!S651+'RA-TRIAL-BAL-2020'!S651+'DES-TRIAL-BAL-2020'!S651+'DMP-TRIAL-BAL-2020'!S651</f>
        <v>0</v>
      </c>
      <c r="AA651" s="347">
        <f>+'NF-KSF-TRIAL-BAL-2020'!T651+'RA-TRIAL-BAL-2020'!T651+'DES-TRIAL-BAL-2020'!T651+'DMP-TRIAL-BAL-2020'!T651</f>
        <v>0</v>
      </c>
      <c r="AB651" s="51"/>
      <c r="AC651" s="8">
        <v>0</v>
      </c>
      <c r="AD651" s="9">
        <v>0</v>
      </c>
      <c r="AE651" s="122">
        <v>0</v>
      </c>
      <c r="AF651" s="121">
        <v>0</v>
      </c>
      <c r="AG651" s="27">
        <f t="shared" si="322"/>
        <v>0</v>
      </c>
      <c r="AH651" s="28">
        <f t="shared" si="323"/>
        <v>0</v>
      </c>
      <c r="AI651" s="51"/>
      <c r="AJ651" s="1497">
        <f t="shared" si="319"/>
        <v>7181</v>
      </c>
      <c r="AK651" s="8">
        <v>0</v>
      </c>
      <c r="AL651" s="9">
        <v>0</v>
      </c>
      <c r="AM651" s="326">
        <f t="shared" si="324"/>
        <v>0</v>
      </c>
      <c r="AN651" s="970">
        <f t="shared" si="324"/>
        <v>0</v>
      </c>
      <c r="AO651" s="27">
        <f t="shared" si="315"/>
        <v>0</v>
      </c>
      <c r="AP651" s="28">
        <f t="shared" si="318"/>
        <v>0</v>
      </c>
      <c r="AQ651" s="43"/>
      <c r="AR651" s="358">
        <f t="shared" si="312"/>
        <v>0</v>
      </c>
      <c r="AS651" s="359">
        <f t="shared" si="313"/>
        <v>0</v>
      </c>
      <c r="AT651" s="360">
        <f t="shared" si="314"/>
        <v>0</v>
      </c>
      <c r="AU651" s="43"/>
      <c r="AV651" s="43"/>
      <c r="AW651" s="119"/>
      <c r="AX651" s="119"/>
      <c r="AY651" s="43"/>
      <c r="AZ651" s="43"/>
      <c r="BA651" s="43"/>
      <c r="BB651" s="43"/>
      <c r="BC651" s="43"/>
      <c r="BD651" s="43"/>
    </row>
    <row r="652" spans="1:56" ht="15.75">
      <c r="A652" s="88">
        <v>7182</v>
      </c>
      <c r="B652" s="378" t="s">
        <v>633</v>
      </c>
      <c r="C652" s="1033"/>
      <c r="D652" s="1033"/>
      <c r="E652" s="1033"/>
      <c r="F652" s="1033"/>
      <c r="G652" s="1033"/>
      <c r="H652" s="1033"/>
      <c r="I652" s="1033"/>
      <c r="J652" s="1033"/>
      <c r="K652" s="1033"/>
      <c r="L652" s="90"/>
      <c r="M652" s="51" t="s">
        <v>265</v>
      </c>
      <c r="N652" s="113">
        <f t="shared" si="308"/>
        <v>7182</v>
      </c>
      <c r="O652" s="8">
        <v>0</v>
      </c>
      <c r="P652" s="9">
        <v>0</v>
      </c>
      <c r="Q652" s="325"/>
      <c r="R652" s="324"/>
      <c r="S652" s="27">
        <f>+IF(ABS(+O652+Q652)&gt;=ABS(P652+R652),+O652-P652+Q652-R652,0)</f>
        <v>0</v>
      </c>
      <c r="T652" s="28">
        <f>+IF(ABS(+O652+Q652)&lt;=ABS(P652+R652),-O652+P652-Q652+R652,0)</f>
        <v>0</v>
      </c>
      <c r="U652" s="51"/>
      <c r="V652" s="541">
        <f>+'NF-KSF-TRIAL-BAL-2020'!O652+'RA-TRIAL-BAL-2020'!O652+'DES-TRIAL-BAL-2020'!O652+'DMP-TRIAL-BAL-2020'!O652</f>
        <v>0</v>
      </c>
      <c r="W652" s="529">
        <f>+'NF-KSF-TRIAL-BAL-2020'!P652+'RA-TRIAL-BAL-2020'!P652+'DES-TRIAL-BAL-2020'!P652+'DMP-TRIAL-BAL-2020'!P652</f>
        <v>0</v>
      </c>
      <c r="X652" s="528">
        <f>+'NF-KSF-TRIAL-BAL-2020'!Q652+'RA-TRIAL-BAL-2020'!Q652+'DES-TRIAL-BAL-2020'!Q652+'DMP-TRIAL-BAL-2020'!Q652</f>
        <v>0</v>
      </c>
      <c r="Y652" s="529">
        <f>+'NF-KSF-TRIAL-BAL-2020'!R652+'RA-TRIAL-BAL-2020'!R652+'DES-TRIAL-BAL-2020'!R652+'DMP-TRIAL-BAL-2020'!R652</f>
        <v>0</v>
      </c>
      <c r="Z652" s="528">
        <f>+'NF-KSF-TRIAL-BAL-2020'!S652+'RA-TRIAL-BAL-2020'!S652+'DES-TRIAL-BAL-2020'!S652+'DMP-TRIAL-BAL-2020'!S652</f>
        <v>0</v>
      </c>
      <c r="AA652" s="347">
        <f>+'NF-KSF-TRIAL-BAL-2020'!T652+'RA-TRIAL-BAL-2020'!T652+'DES-TRIAL-BAL-2020'!T652+'DMP-TRIAL-BAL-2020'!T652</f>
        <v>0</v>
      </c>
      <c r="AB652" s="51"/>
      <c r="AC652" s="8">
        <v>0</v>
      </c>
      <c r="AD652" s="9">
        <v>0</v>
      </c>
      <c r="AE652" s="122"/>
      <c r="AF652" s="121"/>
      <c r="AG652" s="27">
        <f>+IF(ABS(+AC652+AE652)&gt;=ABS(AD652+AF652),+AC652-AD652+AE652-AF652,0)</f>
        <v>0</v>
      </c>
      <c r="AH652" s="28">
        <f>+IF(ABS(+AC652+AE652)&lt;=ABS(AD652+AF652),-AC652+AD652-AE652+AF652,0)</f>
        <v>0</v>
      </c>
      <c r="AI652" s="51"/>
      <c r="AJ652" s="1497">
        <f t="shared" si="319"/>
        <v>7182</v>
      </c>
      <c r="AK652" s="8">
        <v>0</v>
      </c>
      <c r="AL652" s="9">
        <v>0</v>
      </c>
      <c r="AM652" s="326">
        <f>+ROUND(+Q652+X652+AE652,2)</f>
        <v>0</v>
      </c>
      <c r="AN652" s="970">
        <f>+ROUND(+R652+Y652+AF652,2)</f>
        <v>0</v>
      </c>
      <c r="AO652" s="27">
        <f t="shared" si="315"/>
        <v>0</v>
      </c>
      <c r="AP652" s="28">
        <f t="shared" si="318"/>
        <v>0</v>
      </c>
      <c r="AQ652" s="43"/>
      <c r="AR652" s="358">
        <f t="shared" si="312"/>
        <v>0</v>
      </c>
      <c r="AS652" s="359">
        <f t="shared" si="313"/>
        <v>0</v>
      </c>
      <c r="AT652" s="360">
        <f t="shared" si="314"/>
        <v>0</v>
      </c>
      <c r="AU652" s="43"/>
      <c r="AV652" s="43"/>
      <c r="AW652" s="119"/>
      <c r="AX652" s="119"/>
      <c r="AY652" s="43"/>
      <c r="AZ652" s="43"/>
      <c r="BA652" s="43"/>
      <c r="BB652" s="43"/>
      <c r="BC652" s="43"/>
      <c r="BD652" s="43"/>
    </row>
    <row r="653" spans="1:56" ht="15.75">
      <c r="A653" s="88">
        <v>7189</v>
      </c>
      <c r="B653" s="1033" t="s">
        <v>634</v>
      </c>
      <c r="C653" s="1033"/>
      <c r="D653" s="1033"/>
      <c r="E653" s="1033"/>
      <c r="F653" s="1033"/>
      <c r="G653" s="1033"/>
      <c r="H653" s="1033"/>
      <c r="I653" s="1033"/>
      <c r="J653" s="1033"/>
      <c r="K653" s="1033"/>
      <c r="L653" s="90"/>
      <c r="M653" s="51" t="s">
        <v>265</v>
      </c>
      <c r="N653" s="113">
        <f t="shared" si="308"/>
        <v>7189</v>
      </c>
      <c r="O653" s="8">
        <v>0</v>
      </c>
      <c r="P653" s="9">
        <v>0</v>
      </c>
      <c r="Q653" s="325"/>
      <c r="R653" s="324"/>
      <c r="S653" s="27">
        <f t="shared" si="320"/>
        <v>0</v>
      </c>
      <c r="T653" s="28">
        <f t="shared" si="321"/>
        <v>0</v>
      </c>
      <c r="U653" s="51"/>
      <c r="V653" s="541">
        <f>+'NF-KSF-TRIAL-BAL-2020'!O653+'RA-TRIAL-BAL-2020'!O653+'DES-TRIAL-BAL-2020'!O653+'DMP-TRIAL-BAL-2020'!O653</f>
        <v>0</v>
      </c>
      <c r="W653" s="529">
        <f>+'NF-KSF-TRIAL-BAL-2020'!P653+'RA-TRIAL-BAL-2020'!P653+'DES-TRIAL-BAL-2020'!P653+'DMP-TRIAL-BAL-2020'!P653</f>
        <v>0</v>
      </c>
      <c r="X653" s="528">
        <f>+'NF-KSF-TRIAL-BAL-2020'!Q653+'RA-TRIAL-BAL-2020'!Q653+'DES-TRIAL-BAL-2020'!Q653+'DMP-TRIAL-BAL-2020'!Q653</f>
        <v>0</v>
      </c>
      <c r="Y653" s="529">
        <f>+'NF-KSF-TRIAL-BAL-2020'!R653+'RA-TRIAL-BAL-2020'!R653+'DES-TRIAL-BAL-2020'!R653+'DMP-TRIAL-BAL-2020'!R653</f>
        <v>0</v>
      </c>
      <c r="Z653" s="528">
        <f>+'NF-KSF-TRIAL-BAL-2020'!S653+'RA-TRIAL-BAL-2020'!S653+'DES-TRIAL-BAL-2020'!S653+'DMP-TRIAL-BAL-2020'!S653</f>
        <v>0</v>
      </c>
      <c r="AA653" s="347">
        <f>+'NF-KSF-TRIAL-BAL-2020'!T653+'RA-TRIAL-BAL-2020'!T653+'DES-TRIAL-BAL-2020'!T653+'DMP-TRIAL-BAL-2020'!T653</f>
        <v>0</v>
      </c>
      <c r="AB653" s="51"/>
      <c r="AC653" s="8">
        <v>0</v>
      </c>
      <c r="AD653" s="9">
        <v>0</v>
      </c>
      <c r="AE653" s="325"/>
      <c r="AF653" s="324"/>
      <c r="AG653" s="27">
        <f t="shared" si="322"/>
        <v>0</v>
      </c>
      <c r="AH653" s="28">
        <f t="shared" si="323"/>
        <v>0</v>
      </c>
      <c r="AI653" s="51"/>
      <c r="AJ653" s="1497">
        <f t="shared" si="319"/>
        <v>7189</v>
      </c>
      <c r="AK653" s="8">
        <v>0</v>
      </c>
      <c r="AL653" s="9">
        <v>0</v>
      </c>
      <c r="AM653" s="326">
        <f t="shared" si="324"/>
        <v>0</v>
      </c>
      <c r="AN653" s="970">
        <f t="shared" si="324"/>
        <v>0</v>
      </c>
      <c r="AO653" s="27">
        <f t="shared" si="315"/>
        <v>0</v>
      </c>
      <c r="AP653" s="28">
        <f t="shared" si="318"/>
        <v>0</v>
      </c>
      <c r="AQ653" s="43"/>
      <c r="AR653" s="358">
        <f t="shared" si="312"/>
        <v>0</v>
      </c>
      <c r="AS653" s="359">
        <f t="shared" si="313"/>
        <v>0</v>
      </c>
      <c r="AT653" s="360">
        <f t="shared" si="314"/>
        <v>0</v>
      </c>
      <c r="AU653" s="43"/>
      <c r="AV653" s="43"/>
      <c r="AW653" s="119"/>
      <c r="AX653" s="119"/>
      <c r="AY653" s="43"/>
      <c r="AZ653" s="43"/>
      <c r="BA653" s="43"/>
      <c r="BB653" s="43"/>
      <c r="BC653" s="43"/>
      <c r="BD653" s="43"/>
    </row>
    <row r="654" spans="1:56" ht="15.75">
      <c r="A654" s="88">
        <v>7190</v>
      </c>
      <c r="B654" s="1032" t="s">
        <v>635</v>
      </c>
      <c r="C654" s="1033"/>
      <c r="D654" s="1033"/>
      <c r="E654" s="1033"/>
      <c r="F654" s="1033"/>
      <c r="G654" s="1033"/>
      <c r="H654" s="1033"/>
      <c r="I654" s="1033"/>
      <c r="J654" s="1033"/>
      <c r="K654" s="1033"/>
      <c r="L654" s="90"/>
      <c r="M654" s="51" t="s">
        <v>265</v>
      </c>
      <c r="N654" s="113">
        <f>+A654</f>
        <v>7190</v>
      </c>
      <c r="O654" s="8">
        <v>0</v>
      </c>
      <c r="P654" s="9">
        <v>0</v>
      </c>
      <c r="Q654" s="325">
        <v>0</v>
      </c>
      <c r="R654" s="324">
        <v>0</v>
      </c>
      <c r="S654" s="27">
        <f>+IF(ABS(+O654+Q654)&gt;=ABS(P654+R654),+O654-P654+Q654-R654,0)</f>
        <v>0</v>
      </c>
      <c r="T654" s="28">
        <f>+IF(ABS(+O654+Q654)&lt;=ABS(P654+R654),-O654+P654-Q654+R654,0)</f>
        <v>0</v>
      </c>
      <c r="U654" s="51"/>
      <c r="V654" s="541">
        <f>+'NF-KSF-TRIAL-BAL-2020'!O654+'RA-TRIAL-BAL-2020'!O654+'DES-TRIAL-BAL-2020'!O654+'DMP-TRIAL-BAL-2020'!O654</f>
        <v>0</v>
      </c>
      <c r="W654" s="529">
        <f>+'NF-KSF-TRIAL-BAL-2020'!P654+'RA-TRIAL-BAL-2020'!P654+'DES-TRIAL-BAL-2020'!P654+'DMP-TRIAL-BAL-2020'!P654</f>
        <v>0</v>
      </c>
      <c r="X654" s="528">
        <f>+'NF-KSF-TRIAL-BAL-2020'!Q654+'RA-TRIAL-BAL-2020'!Q654+'DES-TRIAL-BAL-2020'!Q654+'DMP-TRIAL-BAL-2020'!Q654</f>
        <v>0</v>
      </c>
      <c r="Y654" s="529">
        <f>+'NF-KSF-TRIAL-BAL-2020'!R654+'RA-TRIAL-BAL-2020'!R654+'DES-TRIAL-BAL-2020'!R654+'DMP-TRIAL-BAL-2020'!R654</f>
        <v>0</v>
      </c>
      <c r="Z654" s="528">
        <f>+'NF-KSF-TRIAL-BAL-2020'!S654+'RA-TRIAL-BAL-2020'!S654+'DES-TRIAL-BAL-2020'!S654+'DMP-TRIAL-BAL-2020'!S654</f>
        <v>0</v>
      </c>
      <c r="AA654" s="347">
        <f>+'NF-KSF-TRIAL-BAL-2020'!T654+'RA-TRIAL-BAL-2020'!T654+'DES-TRIAL-BAL-2020'!T654+'DMP-TRIAL-BAL-2020'!T654</f>
        <v>0</v>
      </c>
      <c r="AB654" s="51"/>
      <c r="AC654" s="8">
        <v>0</v>
      </c>
      <c r="AD654" s="9">
        <v>0</v>
      </c>
      <c r="AE654" s="325">
        <v>0</v>
      </c>
      <c r="AF654" s="324">
        <v>0</v>
      </c>
      <c r="AG654" s="27">
        <f>+IF(ABS(+AC654+AE654)&gt;=ABS(AD654+AF654),+AC654-AD654+AE654-AF654,0)</f>
        <v>0</v>
      </c>
      <c r="AH654" s="28">
        <f>+IF(ABS(+AC654+AE654)&lt;=ABS(AD654+AF654),-AC654+AD654-AE654+AF654,0)</f>
        <v>0</v>
      </c>
      <c r="AI654" s="51"/>
      <c r="AJ654" s="1497">
        <f>+N654</f>
        <v>7190</v>
      </c>
      <c r="AK654" s="8">
        <v>0</v>
      </c>
      <c r="AL654" s="9">
        <v>0</v>
      </c>
      <c r="AM654" s="326">
        <f>+ROUND(+Q654+X654+AE654,2)</f>
        <v>0</v>
      </c>
      <c r="AN654" s="970">
        <f>+ROUND(+R654+Y654+AF654,2)</f>
        <v>0</v>
      </c>
      <c r="AO654" s="27">
        <f t="shared" si="315"/>
        <v>0</v>
      </c>
      <c r="AP654" s="28">
        <f t="shared" si="318"/>
        <v>0</v>
      </c>
      <c r="AQ654" s="43"/>
      <c r="AR654" s="358">
        <f>+ROUND(+SUM(AK654-AL654)-SUM(O654-P654)-SUM(V654-W654)-SUM(AC654-AD654),2)</f>
        <v>0</v>
      </c>
      <c r="AS654" s="359">
        <f>+ROUND(+SUM(AM654-AN654)-SUM(Q654-R654)-SUM(X654-Y654)-SUM(AE654-AF654),2)</f>
        <v>0</v>
      </c>
      <c r="AT654" s="360">
        <f>+ROUND(+SUM(AO654-AP654)-SUM(S654-T654)-SUM(Z654-AA654)-SUM(AG654-AH654),2)</f>
        <v>0</v>
      </c>
      <c r="AU654" s="43"/>
      <c r="AV654" s="43"/>
      <c r="AW654" s="119"/>
      <c r="AX654" s="119"/>
      <c r="AY654" s="43"/>
      <c r="AZ654" s="43"/>
      <c r="BA654" s="43"/>
      <c r="BB654" s="43"/>
      <c r="BC654" s="43"/>
      <c r="BD654" s="43"/>
    </row>
    <row r="655" spans="1:56" ht="15.75">
      <c r="A655" s="88">
        <v>7191</v>
      </c>
      <c r="B655" s="1032" t="s">
        <v>636</v>
      </c>
      <c r="C655" s="1033"/>
      <c r="D655" s="1033"/>
      <c r="E655" s="1033"/>
      <c r="F655" s="1033"/>
      <c r="G655" s="1033"/>
      <c r="H655" s="1033"/>
      <c r="I655" s="1033"/>
      <c r="J655" s="1033"/>
      <c r="K655" s="1033"/>
      <c r="L655" s="90"/>
      <c r="M655" s="51" t="s">
        <v>265</v>
      </c>
      <c r="N655" s="113">
        <f t="shared" si="308"/>
        <v>7191</v>
      </c>
      <c r="O655" s="8">
        <v>0</v>
      </c>
      <c r="P655" s="9">
        <v>0</v>
      </c>
      <c r="Q655" s="325"/>
      <c r="R655" s="324"/>
      <c r="S655" s="27">
        <f t="shared" si="320"/>
        <v>0</v>
      </c>
      <c r="T655" s="28">
        <f t="shared" si="321"/>
        <v>0</v>
      </c>
      <c r="U655" s="51"/>
      <c r="V655" s="541">
        <f>+'NF-KSF-TRIAL-BAL-2020'!O655+'RA-TRIAL-BAL-2020'!O655+'DES-TRIAL-BAL-2020'!O655+'DMP-TRIAL-BAL-2020'!O655</f>
        <v>0</v>
      </c>
      <c r="W655" s="529">
        <f>+'NF-KSF-TRIAL-BAL-2020'!P655+'RA-TRIAL-BAL-2020'!P655+'DES-TRIAL-BAL-2020'!P655+'DMP-TRIAL-BAL-2020'!P655</f>
        <v>0</v>
      </c>
      <c r="X655" s="528">
        <f>+'NF-KSF-TRIAL-BAL-2020'!Q655+'RA-TRIAL-BAL-2020'!Q655+'DES-TRIAL-BAL-2020'!Q655+'DMP-TRIAL-BAL-2020'!Q655</f>
        <v>0</v>
      </c>
      <c r="Y655" s="529">
        <f>+'NF-KSF-TRIAL-BAL-2020'!R655+'RA-TRIAL-BAL-2020'!R655+'DES-TRIAL-BAL-2020'!R655+'DMP-TRIAL-BAL-2020'!R655</f>
        <v>0</v>
      </c>
      <c r="Z655" s="528">
        <f>+'NF-KSF-TRIAL-BAL-2020'!S655+'RA-TRIAL-BAL-2020'!S655+'DES-TRIAL-BAL-2020'!S655+'DMP-TRIAL-BAL-2020'!S655</f>
        <v>0</v>
      </c>
      <c r="AA655" s="347">
        <f>+'NF-KSF-TRIAL-BAL-2020'!T655+'RA-TRIAL-BAL-2020'!T655+'DES-TRIAL-BAL-2020'!T655+'DMP-TRIAL-BAL-2020'!T655</f>
        <v>0</v>
      </c>
      <c r="AB655" s="51"/>
      <c r="AC655" s="8">
        <v>0</v>
      </c>
      <c r="AD655" s="9">
        <v>0</v>
      </c>
      <c r="AE655" s="122"/>
      <c r="AF655" s="121"/>
      <c r="AG655" s="27">
        <f t="shared" si="322"/>
        <v>0</v>
      </c>
      <c r="AH655" s="28">
        <f t="shared" si="323"/>
        <v>0</v>
      </c>
      <c r="AI655" s="51"/>
      <c r="AJ655" s="1497">
        <f t="shared" si="319"/>
        <v>7191</v>
      </c>
      <c r="AK655" s="8">
        <v>0</v>
      </c>
      <c r="AL655" s="9">
        <v>0</v>
      </c>
      <c r="AM655" s="326">
        <f t="shared" si="324"/>
        <v>0</v>
      </c>
      <c r="AN655" s="970">
        <f t="shared" si="324"/>
        <v>0</v>
      </c>
      <c r="AO655" s="27">
        <f t="shared" si="315"/>
        <v>0</v>
      </c>
      <c r="AP655" s="28">
        <f t="shared" si="318"/>
        <v>0</v>
      </c>
      <c r="AQ655" s="43"/>
      <c r="AR655" s="358">
        <f t="shared" si="312"/>
        <v>0</v>
      </c>
      <c r="AS655" s="359">
        <f t="shared" si="313"/>
        <v>0</v>
      </c>
      <c r="AT655" s="360">
        <f t="shared" si="314"/>
        <v>0</v>
      </c>
      <c r="AU655" s="43"/>
      <c r="AV655" s="43"/>
      <c r="AW655" s="119"/>
      <c r="AX655" s="119"/>
      <c r="AY655" s="43"/>
      <c r="AZ655" s="43"/>
      <c r="BA655" s="43"/>
      <c r="BB655" s="43"/>
      <c r="BC655" s="43"/>
      <c r="BD655" s="43"/>
    </row>
    <row r="656" spans="1:56" ht="15.75">
      <c r="A656" s="88">
        <v>7192</v>
      </c>
      <c r="B656" s="1032" t="s">
        <v>637</v>
      </c>
      <c r="C656" s="1033"/>
      <c r="D656" s="1033"/>
      <c r="E656" s="1033"/>
      <c r="F656" s="1033"/>
      <c r="G656" s="1033"/>
      <c r="H656" s="1033"/>
      <c r="I656" s="1033"/>
      <c r="J656" s="1033"/>
      <c r="K656" s="1033"/>
      <c r="L656" s="90"/>
      <c r="M656" s="51" t="s">
        <v>265</v>
      </c>
      <c r="N656" s="113">
        <f t="shared" si="308"/>
        <v>7192</v>
      </c>
      <c r="O656" s="8">
        <v>0</v>
      </c>
      <c r="P656" s="9">
        <v>0</v>
      </c>
      <c r="Q656" s="325"/>
      <c r="R656" s="324"/>
      <c r="S656" s="27">
        <f t="shared" si="320"/>
        <v>0</v>
      </c>
      <c r="T656" s="28">
        <f t="shared" si="321"/>
        <v>0</v>
      </c>
      <c r="U656" s="51"/>
      <c r="V656" s="541">
        <f>+'NF-KSF-TRIAL-BAL-2020'!O656+'RA-TRIAL-BAL-2020'!O656+'DES-TRIAL-BAL-2020'!O656+'DMP-TRIAL-BAL-2020'!O656</f>
        <v>0</v>
      </c>
      <c r="W656" s="529">
        <f>+'NF-KSF-TRIAL-BAL-2020'!P656+'RA-TRIAL-BAL-2020'!P656+'DES-TRIAL-BAL-2020'!P656+'DMP-TRIAL-BAL-2020'!P656</f>
        <v>0</v>
      </c>
      <c r="X656" s="528">
        <f>+'NF-KSF-TRIAL-BAL-2020'!Q656+'RA-TRIAL-BAL-2020'!Q656+'DES-TRIAL-BAL-2020'!Q656+'DMP-TRIAL-BAL-2020'!Q656</f>
        <v>0</v>
      </c>
      <c r="Y656" s="529">
        <f>+'NF-KSF-TRIAL-BAL-2020'!R656+'RA-TRIAL-BAL-2020'!R656+'DES-TRIAL-BAL-2020'!R656+'DMP-TRIAL-BAL-2020'!R656</f>
        <v>0</v>
      </c>
      <c r="Z656" s="528">
        <f>+'NF-KSF-TRIAL-BAL-2020'!S656+'RA-TRIAL-BAL-2020'!S656+'DES-TRIAL-BAL-2020'!S656+'DMP-TRIAL-BAL-2020'!S656</f>
        <v>0</v>
      </c>
      <c r="AA656" s="347">
        <f>+'NF-KSF-TRIAL-BAL-2020'!T656+'RA-TRIAL-BAL-2020'!T656+'DES-TRIAL-BAL-2020'!T656+'DMP-TRIAL-BAL-2020'!T656</f>
        <v>0</v>
      </c>
      <c r="AB656" s="51"/>
      <c r="AC656" s="8">
        <v>0</v>
      </c>
      <c r="AD656" s="9">
        <v>0</v>
      </c>
      <c r="AE656" s="122"/>
      <c r="AF656" s="121"/>
      <c r="AG656" s="27">
        <f t="shared" si="322"/>
        <v>0</v>
      </c>
      <c r="AH656" s="28">
        <f t="shared" si="323"/>
        <v>0</v>
      </c>
      <c r="AI656" s="51"/>
      <c r="AJ656" s="1497">
        <f t="shared" si="319"/>
        <v>7192</v>
      </c>
      <c r="AK656" s="8">
        <v>0</v>
      </c>
      <c r="AL656" s="9">
        <v>0</v>
      </c>
      <c r="AM656" s="326">
        <f t="shared" si="324"/>
        <v>0</v>
      </c>
      <c r="AN656" s="970">
        <f t="shared" si="324"/>
        <v>0</v>
      </c>
      <c r="AO656" s="27">
        <f t="shared" si="315"/>
        <v>0</v>
      </c>
      <c r="AP656" s="28">
        <f t="shared" si="318"/>
        <v>0</v>
      </c>
      <c r="AQ656" s="43"/>
      <c r="AR656" s="358">
        <f t="shared" si="312"/>
        <v>0</v>
      </c>
      <c r="AS656" s="359">
        <f t="shared" si="313"/>
        <v>0</v>
      </c>
      <c r="AT656" s="360">
        <f t="shared" si="314"/>
        <v>0</v>
      </c>
      <c r="AU656" s="43"/>
      <c r="AV656" s="43"/>
      <c r="AW656" s="119"/>
      <c r="AX656" s="119"/>
      <c r="AY656" s="43"/>
      <c r="AZ656" s="43"/>
      <c r="BA656" s="43"/>
      <c r="BB656" s="43"/>
      <c r="BC656" s="43"/>
      <c r="BD656" s="43"/>
    </row>
    <row r="657" spans="1:56" ht="15.75">
      <c r="A657" s="88">
        <v>7198</v>
      </c>
      <c r="B657" s="1032" t="s">
        <v>638</v>
      </c>
      <c r="C657" s="1033"/>
      <c r="D657" s="1033"/>
      <c r="E657" s="1033"/>
      <c r="F657" s="1033"/>
      <c r="G657" s="1033"/>
      <c r="H657" s="1033"/>
      <c r="I657" s="1033"/>
      <c r="J657" s="1033"/>
      <c r="K657" s="1033"/>
      <c r="L657" s="90"/>
      <c r="M657" s="51" t="s">
        <v>265</v>
      </c>
      <c r="N657" s="113">
        <f>+A657</f>
        <v>7198</v>
      </c>
      <c r="O657" s="8">
        <v>0</v>
      </c>
      <c r="P657" s="9">
        <v>0</v>
      </c>
      <c r="Q657" s="325"/>
      <c r="R657" s="324"/>
      <c r="S657" s="27">
        <f>+IF(ABS(+O657+Q657)&gt;=ABS(P657+R657),+O657-P657+Q657-R657,0)</f>
        <v>0</v>
      </c>
      <c r="T657" s="28">
        <f>+IF(ABS(+O657+Q657)&lt;=ABS(P657+R657),-O657+P657-Q657+R657,0)</f>
        <v>0</v>
      </c>
      <c r="U657" s="51"/>
      <c r="V657" s="541">
        <f>+'NF-KSF-TRIAL-BAL-2020'!O657+'RA-TRIAL-BAL-2020'!O657+'DES-TRIAL-BAL-2020'!O657+'DMP-TRIAL-BAL-2020'!O657</f>
        <v>0</v>
      </c>
      <c r="W657" s="529">
        <f>+'NF-KSF-TRIAL-BAL-2020'!P657+'RA-TRIAL-BAL-2020'!P657+'DES-TRIAL-BAL-2020'!P657+'DMP-TRIAL-BAL-2020'!P657</f>
        <v>0</v>
      </c>
      <c r="X657" s="528">
        <f>+'NF-KSF-TRIAL-BAL-2020'!Q657+'RA-TRIAL-BAL-2020'!Q657+'DES-TRIAL-BAL-2020'!Q657+'DMP-TRIAL-BAL-2020'!Q657</f>
        <v>0</v>
      </c>
      <c r="Y657" s="529">
        <f>+'NF-KSF-TRIAL-BAL-2020'!R657+'RA-TRIAL-BAL-2020'!R657+'DES-TRIAL-BAL-2020'!R657+'DMP-TRIAL-BAL-2020'!R657</f>
        <v>0</v>
      </c>
      <c r="Z657" s="528">
        <f>+'NF-KSF-TRIAL-BAL-2020'!S657+'RA-TRIAL-BAL-2020'!S657+'DES-TRIAL-BAL-2020'!S657+'DMP-TRIAL-BAL-2020'!S657</f>
        <v>0</v>
      </c>
      <c r="AA657" s="347">
        <f>+'NF-KSF-TRIAL-BAL-2020'!T657+'RA-TRIAL-BAL-2020'!T657+'DES-TRIAL-BAL-2020'!T657+'DMP-TRIAL-BAL-2020'!T657</f>
        <v>0</v>
      </c>
      <c r="AB657" s="51"/>
      <c r="AC657" s="8">
        <v>0</v>
      </c>
      <c r="AD657" s="9">
        <v>0</v>
      </c>
      <c r="AE657" s="325"/>
      <c r="AF657" s="324"/>
      <c r="AG657" s="27">
        <f>+IF(ABS(+AC657+AE657)&gt;=ABS(AD657+AF657),+AC657-AD657+AE657-AF657,0)</f>
        <v>0</v>
      </c>
      <c r="AH657" s="28">
        <f>+IF(ABS(+AC657+AE657)&lt;=ABS(AD657+AF657),-AC657+AD657-AE657+AF657,0)</f>
        <v>0</v>
      </c>
      <c r="AI657" s="51"/>
      <c r="AJ657" s="1497">
        <f t="shared" si="319"/>
        <v>7198</v>
      </c>
      <c r="AK657" s="8">
        <v>0</v>
      </c>
      <c r="AL657" s="9">
        <v>0</v>
      </c>
      <c r="AM657" s="326">
        <f t="shared" si="324"/>
        <v>0</v>
      </c>
      <c r="AN657" s="970">
        <f t="shared" si="324"/>
        <v>0</v>
      </c>
      <c r="AO657" s="27">
        <f t="shared" si="315"/>
        <v>0</v>
      </c>
      <c r="AP657" s="28">
        <f t="shared" si="318"/>
        <v>0</v>
      </c>
      <c r="AQ657" s="43"/>
      <c r="AR657" s="358">
        <f t="shared" si="312"/>
        <v>0</v>
      </c>
      <c r="AS657" s="359">
        <f t="shared" si="313"/>
        <v>0</v>
      </c>
      <c r="AT657" s="360">
        <f t="shared" si="314"/>
        <v>0</v>
      </c>
      <c r="AU657" s="43"/>
      <c r="AV657" s="43"/>
      <c r="AW657" s="119"/>
      <c r="AX657" s="119"/>
      <c r="AY657" s="43"/>
      <c r="AZ657" s="43"/>
      <c r="BA657" s="43"/>
      <c r="BB657" s="43"/>
      <c r="BC657" s="43"/>
      <c r="BD657" s="43"/>
    </row>
    <row r="658" spans="1:56" ht="15.75">
      <c r="A658" s="88">
        <v>7199</v>
      </c>
      <c r="B658" s="1032" t="s">
        <v>639</v>
      </c>
      <c r="C658" s="1033"/>
      <c r="D658" s="1033"/>
      <c r="E658" s="1033"/>
      <c r="F658" s="1033"/>
      <c r="G658" s="1033"/>
      <c r="H658" s="1033"/>
      <c r="I658" s="1033"/>
      <c r="J658" s="1033"/>
      <c r="K658" s="1033"/>
      <c r="L658" s="90"/>
      <c r="M658" s="51" t="s">
        <v>265</v>
      </c>
      <c r="N658" s="113">
        <f t="shared" si="308"/>
        <v>7199</v>
      </c>
      <c r="O658" s="8">
        <v>0</v>
      </c>
      <c r="P658" s="9">
        <v>0</v>
      </c>
      <c r="Q658" s="325">
        <v>0</v>
      </c>
      <c r="R658" s="324">
        <v>0</v>
      </c>
      <c r="S658" s="27">
        <f t="shared" si="320"/>
        <v>0</v>
      </c>
      <c r="T658" s="28">
        <f t="shared" si="321"/>
        <v>0</v>
      </c>
      <c r="U658" s="51"/>
      <c r="V658" s="541">
        <f>+'NF-KSF-TRIAL-BAL-2020'!O658+'RA-TRIAL-BAL-2020'!O658+'DES-TRIAL-BAL-2020'!O658+'DMP-TRIAL-BAL-2020'!O658</f>
        <v>0</v>
      </c>
      <c r="W658" s="529">
        <f>+'NF-KSF-TRIAL-BAL-2020'!P658+'RA-TRIAL-BAL-2020'!P658+'DES-TRIAL-BAL-2020'!P658+'DMP-TRIAL-BAL-2020'!P658</f>
        <v>0</v>
      </c>
      <c r="X658" s="528">
        <f>+'NF-KSF-TRIAL-BAL-2020'!Q658+'RA-TRIAL-BAL-2020'!Q658+'DES-TRIAL-BAL-2020'!Q658+'DMP-TRIAL-BAL-2020'!Q658</f>
        <v>0</v>
      </c>
      <c r="Y658" s="529">
        <f>+'NF-KSF-TRIAL-BAL-2020'!R658+'RA-TRIAL-BAL-2020'!R658+'DES-TRIAL-BAL-2020'!R658+'DMP-TRIAL-BAL-2020'!R658</f>
        <v>0</v>
      </c>
      <c r="Z658" s="528">
        <f>+'NF-KSF-TRIAL-BAL-2020'!S658+'RA-TRIAL-BAL-2020'!S658+'DES-TRIAL-BAL-2020'!S658+'DMP-TRIAL-BAL-2020'!S658</f>
        <v>0</v>
      </c>
      <c r="AA658" s="347">
        <f>+'NF-KSF-TRIAL-BAL-2020'!T658+'RA-TRIAL-BAL-2020'!T658+'DES-TRIAL-BAL-2020'!T658+'DMP-TRIAL-BAL-2020'!T658</f>
        <v>0</v>
      </c>
      <c r="AB658" s="51"/>
      <c r="AC658" s="8">
        <v>0</v>
      </c>
      <c r="AD658" s="9">
        <v>0</v>
      </c>
      <c r="AE658" s="325">
        <v>0</v>
      </c>
      <c r="AF658" s="324">
        <v>0</v>
      </c>
      <c r="AG658" s="27">
        <f t="shared" si="322"/>
        <v>0</v>
      </c>
      <c r="AH658" s="28">
        <f t="shared" si="323"/>
        <v>0</v>
      </c>
      <c r="AI658" s="51"/>
      <c r="AJ658" s="1497">
        <f t="shared" si="319"/>
        <v>7199</v>
      </c>
      <c r="AK658" s="8">
        <v>0</v>
      </c>
      <c r="AL658" s="9">
        <v>0</v>
      </c>
      <c r="AM658" s="326">
        <f t="shared" si="324"/>
        <v>0</v>
      </c>
      <c r="AN658" s="970">
        <f t="shared" si="324"/>
        <v>0</v>
      </c>
      <c r="AO658" s="27">
        <f t="shared" si="315"/>
        <v>0</v>
      </c>
      <c r="AP658" s="28">
        <f t="shared" si="318"/>
        <v>0</v>
      </c>
      <c r="AQ658" s="43"/>
      <c r="AR658" s="358">
        <f t="shared" si="312"/>
        <v>0</v>
      </c>
      <c r="AS658" s="359">
        <f t="shared" si="313"/>
        <v>0</v>
      </c>
      <c r="AT658" s="360">
        <f t="shared" si="314"/>
        <v>0</v>
      </c>
      <c r="AU658" s="43"/>
      <c r="AV658" s="43"/>
      <c r="AW658" s="119"/>
      <c r="AX658" s="119"/>
      <c r="AY658" s="43"/>
      <c r="AZ658" s="43"/>
      <c r="BA658" s="43"/>
      <c r="BB658" s="43"/>
      <c r="BC658" s="43"/>
      <c r="BD658" s="43"/>
    </row>
    <row r="659" spans="1:56" ht="15.75">
      <c r="A659" s="88">
        <v>7200</v>
      </c>
      <c r="B659" s="1033" t="s">
        <v>692</v>
      </c>
      <c r="C659" s="1033"/>
      <c r="D659" s="1033"/>
      <c r="E659" s="1033"/>
      <c r="F659" s="1033"/>
      <c r="G659" s="1033"/>
      <c r="H659" s="1033"/>
      <c r="I659" s="1033"/>
      <c r="J659" s="1033"/>
      <c r="K659" s="1033"/>
      <c r="L659" s="90"/>
      <c r="M659" s="51" t="s">
        <v>265</v>
      </c>
      <c r="N659" s="113">
        <f t="shared" si="308"/>
        <v>7200</v>
      </c>
      <c r="O659" s="8">
        <v>0</v>
      </c>
      <c r="P659" s="9">
        <v>0</v>
      </c>
      <c r="Q659" s="325"/>
      <c r="R659" s="324"/>
      <c r="S659" s="27">
        <f t="shared" si="320"/>
        <v>0</v>
      </c>
      <c r="T659" s="28">
        <f t="shared" si="321"/>
        <v>0</v>
      </c>
      <c r="U659" s="51"/>
      <c r="V659" s="541">
        <f>+'NF-KSF-TRIAL-BAL-2020'!O659+'RA-TRIAL-BAL-2020'!O659+'DES-TRIAL-BAL-2020'!O659+'DMP-TRIAL-BAL-2020'!O659</f>
        <v>0</v>
      </c>
      <c r="W659" s="529">
        <f>+'NF-KSF-TRIAL-BAL-2020'!P659+'RA-TRIAL-BAL-2020'!P659+'DES-TRIAL-BAL-2020'!P659+'DMP-TRIAL-BAL-2020'!P659</f>
        <v>0</v>
      </c>
      <c r="X659" s="528">
        <f>+'NF-KSF-TRIAL-BAL-2020'!Q659+'RA-TRIAL-BAL-2020'!Q659+'DES-TRIAL-BAL-2020'!Q659+'DMP-TRIAL-BAL-2020'!Q659</f>
        <v>0</v>
      </c>
      <c r="Y659" s="529">
        <f>+'NF-KSF-TRIAL-BAL-2020'!R659+'RA-TRIAL-BAL-2020'!R659+'DES-TRIAL-BAL-2020'!R659+'DMP-TRIAL-BAL-2020'!R659</f>
        <v>0</v>
      </c>
      <c r="Z659" s="528">
        <f>+'NF-KSF-TRIAL-BAL-2020'!S659+'RA-TRIAL-BAL-2020'!S659+'DES-TRIAL-BAL-2020'!S659+'DMP-TRIAL-BAL-2020'!S659</f>
        <v>0</v>
      </c>
      <c r="AA659" s="347">
        <f>+'NF-KSF-TRIAL-BAL-2020'!T659+'RA-TRIAL-BAL-2020'!T659+'DES-TRIAL-BAL-2020'!T659+'DMP-TRIAL-BAL-2020'!T659</f>
        <v>0</v>
      </c>
      <c r="AB659" s="51"/>
      <c r="AC659" s="8">
        <v>0</v>
      </c>
      <c r="AD659" s="9">
        <v>0</v>
      </c>
      <c r="AE659" s="122"/>
      <c r="AF659" s="121"/>
      <c r="AG659" s="27">
        <f t="shared" si="322"/>
        <v>0</v>
      </c>
      <c r="AH659" s="28">
        <f t="shared" si="323"/>
        <v>0</v>
      </c>
      <c r="AI659" s="51"/>
      <c r="AJ659" s="1497">
        <f t="shared" si="319"/>
        <v>7200</v>
      </c>
      <c r="AK659" s="8">
        <v>0</v>
      </c>
      <c r="AL659" s="9">
        <v>0</v>
      </c>
      <c r="AM659" s="326">
        <f t="shared" si="324"/>
        <v>0</v>
      </c>
      <c r="AN659" s="970">
        <f t="shared" si="324"/>
        <v>0</v>
      </c>
      <c r="AO659" s="27">
        <f t="shared" si="315"/>
        <v>0</v>
      </c>
      <c r="AP659" s="28">
        <f t="shared" si="318"/>
        <v>0</v>
      </c>
      <c r="AQ659" s="43"/>
      <c r="AR659" s="358">
        <f t="shared" si="312"/>
        <v>0</v>
      </c>
      <c r="AS659" s="359">
        <f t="shared" si="313"/>
        <v>0</v>
      </c>
      <c r="AT659" s="360">
        <f t="shared" si="314"/>
        <v>0</v>
      </c>
      <c r="AU659" s="43"/>
      <c r="AV659" s="43"/>
      <c r="AW659" s="119"/>
      <c r="AX659" s="119"/>
      <c r="AY659" s="43"/>
      <c r="AZ659" s="43"/>
      <c r="BA659" s="43"/>
      <c r="BB659" s="43"/>
      <c r="BC659" s="43"/>
      <c r="BD659" s="43"/>
    </row>
    <row r="660" spans="1:56" ht="15.75">
      <c r="A660" s="88">
        <v>7211</v>
      </c>
      <c r="B660" s="1032" t="s">
        <v>640</v>
      </c>
      <c r="C660" s="1033"/>
      <c r="D660" s="1033"/>
      <c r="E660" s="1033"/>
      <c r="F660" s="1033"/>
      <c r="G660" s="1033"/>
      <c r="H660" s="1033"/>
      <c r="I660" s="1033"/>
      <c r="J660" s="1033"/>
      <c r="K660" s="1033"/>
      <c r="L660" s="90"/>
      <c r="M660" s="51" t="s">
        <v>265</v>
      </c>
      <c r="N660" s="113">
        <f t="shared" si="308"/>
        <v>7211</v>
      </c>
      <c r="O660" s="8">
        <v>0</v>
      </c>
      <c r="P660" s="9">
        <v>0</v>
      </c>
      <c r="Q660" s="325"/>
      <c r="R660" s="324"/>
      <c r="S660" s="27">
        <f t="shared" si="320"/>
        <v>0</v>
      </c>
      <c r="T660" s="28">
        <f t="shared" si="321"/>
        <v>0</v>
      </c>
      <c r="U660" s="51"/>
      <c r="V660" s="541">
        <f>+'NF-KSF-TRIAL-BAL-2020'!O660+'RA-TRIAL-BAL-2020'!O660+'DES-TRIAL-BAL-2020'!O660+'DMP-TRIAL-BAL-2020'!O660</f>
        <v>0</v>
      </c>
      <c r="W660" s="529">
        <f>+'NF-KSF-TRIAL-BAL-2020'!P660+'RA-TRIAL-BAL-2020'!P660+'DES-TRIAL-BAL-2020'!P660+'DMP-TRIAL-BAL-2020'!P660</f>
        <v>0</v>
      </c>
      <c r="X660" s="528">
        <f>+'NF-KSF-TRIAL-BAL-2020'!Q660+'RA-TRIAL-BAL-2020'!Q660+'DES-TRIAL-BAL-2020'!Q660+'DMP-TRIAL-BAL-2020'!Q660</f>
        <v>0</v>
      </c>
      <c r="Y660" s="529">
        <f>+'NF-KSF-TRIAL-BAL-2020'!R660+'RA-TRIAL-BAL-2020'!R660+'DES-TRIAL-BAL-2020'!R660+'DMP-TRIAL-BAL-2020'!R660</f>
        <v>0</v>
      </c>
      <c r="Z660" s="528">
        <f>+'NF-KSF-TRIAL-BAL-2020'!S660+'RA-TRIAL-BAL-2020'!S660+'DES-TRIAL-BAL-2020'!S660+'DMP-TRIAL-BAL-2020'!S660</f>
        <v>0</v>
      </c>
      <c r="AA660" s="347">
        <f>+'NF-KSF-TRIAL-BAL-2020'!T660+'RA-TRIAL-BAL-2020'!T660+'DES-TRIAL-BAL-2020'!T660+'DMP-TRIAL-BAL-2020'!T660</f>
        <v>0</v>
      </c>
      <c r="AB660" s="51"/>
      <c r="AC660" s="8">
        <v>0</v>
      </c>
      <c r="AD660" s="9">
        <v>0</v>
      </c>
      <c r="AE660" s="122"/>
      <c r="AF660" s="121"/>
      <c r="AG660" s="27">
        <f t="shared" si="322"/>
        <v>0</v>
      </c>
      <c r="AH660" s="28">
        <f t="shared" si="323"/>
        <v>0</v>
      </c>
      <c r="AI660" s="51"/>
      <c r="AJ660" s="1497">
        <f t="shared" si="319"/>
        <v>7211</v>
      </c>
      <c r="AK660" s="8">
        <v>0</v>
      </c>
      <c r="AL660" s="9">
        <v>0</v>
      </c>
      <c r="AM660" s="326">
        <f t="shared" si="324"/>
        <v>0</v>
      </c>
      <c r="AN660" s="970">
        <f t="shared" si="324"/>
        <v>0</v>
      </c>
      <c r="AO660" s="27">
        <f t="shared" si="315"/>
        <v>0</v>
      </c>
      <c r="AP660" s="28">
        <f t="shared" si="318"/>
        <v>0</v>
      </c>
      <c r="AQ660" s="43"/>
      <c r="AR660" s="358">
        <f t="shared" si="312"/>
        <v>0</v>
      </c>
      <c r="AS660" s="359">
        <f t="shared" si="313"/>
        <v>0</v>
      </c>
      <c r="AT660" s="360">
        <f t="shared" si="314"/>
        <v>0</v>
      </c>
      <c r="AU660" s="43"/>
      <c r="AV660" s="43"/>
      <c r="AW660" s="119"/>
      <c r="AX660" s="119"/>
      <c r="AY660" s="43"/>
      <c r="AZ660" s="43"/>
      <c r="BA660" s="43"/>
      <c r="BB660" s="43"/>
      <c r="BC660" s="43"/>
      <c r="BD660" s="43"/>
    </row>
    <row r="661" spans="1:56" ht="15.75">
      <c r="A661" s="88">
        <v>7212</v>
      </c>
      <c r="B661" s="1032" t="s">
        <v>641</v>
      </c>
      <c r="C661" s="1033"/>
      <c r="D661" s="1033"/>
      <c r="E661" s="1033"/>
      <c r="F661" s="1033"/>
      <c r="G661" s="1033"/>
      <c r="H661" s="1033"/>
      <c r="I661" s="1033"/>
      <c r="J661" s="1033"/>
      <c r="K661" s="1033"/>
      <c r="L661" s="90"/>
      <c r="M661" s="51" t="s">
        <v>265</v>
      </c>
      <c r="N661" s="113">
        <f t="shared" si="308"/>
        <v>7212</v>
      </c>
      <c r="O661" s="8">
        <v>0</v>
      </c>
      <c r="P661" s="9">
        <v>0</v>
      </c>
      <c r="Q661" s="325"/>
      <c r="R661" s="324"/>
      <c r="S661" s="27">
        <f t="shared" si="320"/>
        <v>0</v>
      </c>
      <c r="T661" s="28">
        <f t="shared" si="321"/>
        <v>0</v>
      </c>
      <c r="U661" s="51"/>
      <c r="V661" s="541">
        <f>+'NF-KSF-TRIAL-BAL-2020'!O661+'RA-TRIAL-BAL-2020'!O661+'DES-TRIAL-BAL-2020'!O661+'DMP-TRIAL-BAL-2020'!O661</f>
        <v>0</v>
      </c>
      <c r="W661" s="529">
        <f>+'NF-KSF-TRIAL-BAL-2020'!P661+'RA-TRIAL-BAL-2020'!P661+'DES-TRIAL-BAL-2020'!P661+'DMP-TRIAL-BAL-2020'!P661</f>
        <v>0</v>
      </c>
      <c r="X661" s="528">
        <f>+'NF-KSF-TRIAL-BAL-2020'!Q661+'RA-TRIAL-BAL-2020'!Q661+'DES-TRIAL-BAL-2020'!Q661+'DMP-TRIAL-BAL-2020'!Q661</f>
        <v>0</v>
      </c>
      <c r="Y661" s="529">
        <f>+'NF-KSF-TRIAL-BAL-2020'!R661+'RA-TRIAL-BAL-2020'!R661+'DES-TRIAL-BAL-2020'!R661+'DMP-TRIAL-BAL-2020'!R661</f>
        <v>0</v>
      </c>
      <c r="Z661" s="528">
        <f>+'NF-KSF-TRIAL-BAL-2020'!S661+'RA-TRIAL-BAL-2020'!S661+'DES-TRIAL-BAL-2020'!S661+'DMP-TRIAL-BAL-2020'!S661</f>
        <v>0</v>
      </c>
      <c r="AA661" s="347">
        <f>+'NF-KSF-TRIAL-BAL-2020'!T661+'RA-TRIAL-BAL-2020'!T661+'DES-TRIAL-BAL-2020'!T661+'DMP-TRIAL-BAL-2020'!T661</f>
        <v>0</v>
      </c>
      <c r="AB661" s="51"/>
      <c r="AC661" s="8">
        <v>0</v>
      </c>
      <c r="AD661" s="9">
        <v>0</v>
      </c>
      <c r="AE661" s="325"/>
      <c r="AF661" s="324"/>
      <c r="AG661" s="27">
        <f t="shared" si="322"/>
        <v>0</v>
      </c>
      <c r="AH661" s="28">
        <f t="shared" si="323"/>
        <v>0</v>
      </c>
      <c r="AI661" s="51"/>
      <c r="AJ661" s="1497">
        <f t="shared" si="319"/>
        <v>7212</v>
      </c>
      <c r="AK661" s="8">
        <v>0</v>
      </c>
      <c r="AL661" s="9">
        <v>0</v>
      </c>
      <c r="AM661" s="326">
        <f t="shared" si="324"/>
        <v>0</v>
      </c>
      <c r="AN661" s="970">
        <f t="shared" si="324"/>
        <v>0</v>
      </c>
      <c r="AO661" s="27">
        <f t="shared" si="315"/>
        <v>0</v>
      </c>
      <c r="AP661" s="28">
        <f t="shared" si="318"/>
        <v>0</v>
      </c>
      <c r="AQ661" s="43"/>
      <c r="AR661" s="358">
        <f t="shared" si="312"/>
        <v>0</v>
      </c>
      <c r="AS661" s="359">
        <f t="shared" si="313"/>
        <v>0</v>
      </c>
      <c r="AT661" s="360">
        <f t="shared" si="314"/>
        <v>0</v>
      </c>
      <c r="AU661" s="43"/>
      <c r="AV661" s="43"/>
      <c r="AW661" s="119"/>
      <c r="AX661" s="119"/>
      <c r="AY661" s="43"/>
      <c r="AZ661" s="43"/>
      <c r="BA661" s="43"/>
      <c r="BB661" s="43"/>
      <c r="BC661" s="43"/>
      <c r="BD661" s="43"/>
    </row>
    <row r="662" spans="1:56" ht="15.75">
      <c r="A662" s="88">
        <v>7215</v>
      </c>
      <c r="B662" s="1032" t="s">
        <v>642</v>
      </c>
      <c r="C662" s="1033"/>
      <c r="D662" s="1033"/>
      <c r="E662" s="1033"/>
      <c r="F662" s="1033"/>
      <c r="G662" s="1033"/>
      <c r="H662" s="1033"/>
      <c r="I662" s="1033"/>
      <c r="J662" s="1033"/>
      <c r="K662" s="1033"/>
      <c r="L662" s="90"/>
      <c r="M662" s="51" t="s">
        <v>265</v>
      </c>
      <c r="N662" s="113">
        <f t="shared" si="308"/>
        <v>7215</v>
      </c>
      <c r="O662" s="8">
        <v>0</v>
      </c>
      <c r="P662" s="9">
        <v>0</v>
      </c>
      <c r="Q662" s="325"/>
      <c r="R662" s="324"/>
      <c r="S662" s="27">
        <f t="shared" si="320"/>
        <v>0</v>
      </c>
      <c r="T662" s="28">
        <f t="shared" si="321"/>
        <v>0</v>
      </c>
      <c r="U662" s="51"/>
      <c r="V662" s="541">
        <f>+'NF-KSF-TRIAL-BAL-2020'!O662+'RA-TRIAL-BAL-2020'!O662+'DES-TRIAL-BAL-2020'!O662+'DMP-TRIAL-BAL-2020'!O662</f>
        <v>0</v>
      </c>
      <c r="W662" s="529">
        <f>+'NF-KSF-TRIAL-BAL-2020'!P662+'RA-TRIAL-BAL-2020'!P662+'DES-TRIAL-BAL-2020'!P662+'DMP-TRIAL-BAL-2020'!P662</f>
        <v>0</v>
      </c>
      <c r="X662" s="528">
        <f>+'NF-KSF-TRIAL-BAL-2020'!Q662+'RA-TRIAL-BAL-2020'!Q662+'DES-TRIAL-BAL-2020'!Q662+'DMP-TRIAL-BAL-2020'!Q662</f>
        <v>0</v>
      </c>
      <c r="Y662" s="529">
        <f>+'NF-KSF-TRIAL-BAL-2020'!R662+'RA-TRIAL-BAL-2020'!R662+'DES-TRIAL-BAL-2020'!R662+'DMP-TRIAL-BAL-2020'!R662</f>
        <v>0</v>
      </c>
      <c r="Z662" s="528">
        <f>+'NF-KSF-TRIAL-BAL-2020'!S662+'RA-TRIAL-BAL-2020'!S662+'DES-TRIAL-BAL-2020'!S662+'DMP-TRIAL-BAL-2020'!S662</f>
        <v>0</v>
      </c>
      <c r="AA662" s="347">
        <f>+'NF-KSF-TRIAL-BAL-2020'!T662+'RA-TRIAL-BAL-2020'!T662+'DES-TRIAL-BAL-2020'!T662+'DMP-TRIAL-BAL-2020'!T662</f>
        <v>0</v>
      </c>
      <c r="AB662" s="51"/>
      <c r="AC662" s="8">
        <v>0</v>
      </c>
      <c r="AD662" s="9">
        <v>0</v>
      </c>
      <c r="AE662" s="122"/>
      <c r="AF662" s="121"/>
      <c r="AG662" s="27">
        <f t="shared" si="322"/>
        <v>0</v>
      </c>
      <c r="AH662" s="28">
        <f t="shared" si="323"/>
        <v>0</v>
      </c>
      <c r="AI662" s="51"/>
      <c r="AJ662" s="1497">
        <f t="shared" si="319"/>
        <v>7215</v>
      </c>
      <c r="AK662" s="8">
        <v>0</v>
      </c>
      <c r="AL662" s="9">
        <v>0</v>
      </c>
      <c r="AM662" s="326">
        <f t="shared" si="324"/>
        <v>0</v>
      </c>
      <c r="AN662" s="970">
        <f t="shared" si="324"/>
        <v>0</v>
      </c>
      <c r="AO662" s="27">
        <f t="shared" si="315"/>
        <v>0</v>
      </c>
      <c r="AP662" s="28">
        <f t="shared" si="318"/>
        <v>0</v>
      </c>
      <c r="AQ662" s="43"/>
      <c r="AR662" s="358">
        <f t="shared" si="312"/>
        <v>0</v>
      </c>
      <c r="AS662" s="359">
        <f t="shared" si="313"/>
        <v>0</v>
      </c>
      <c r="AT662" s="360">
        <f t="shared" si="314"/>
        <v>0</v>
      </c>
      <c r="AU662" s="43"/>
      <c r="AV662" s="43"/>
      <c r="AW662" s="119"/>
      <c r="AX662" s="119"/>
      <c r="AY662" s="43"/>
      <c r="AZ662" s="43"/>
      <c r="BA662" s="43"/>
      <c r="BB662" s="43"/>
      <c r="BC662" s="43"/>
      <c r="BD662" s="43"/>
    </row>
    <row r="663" spans="1:56" ht="15.75">
      <c r="A663" s="88">
        <v>7216</v>
      </c>
      <c r="B663" s="1032" t="s">
        <v>643</v>
      </c>
      <c r="C663" s="1033"/>
      <c r="D663" s="1033"/>
      <c r="E663" s="1033"/>
      <c r="F663" s="1033"/>
      <c r="G663" s="1033"/>
      <c r="H663" s="1033"/>
      <c r="I663" s="1033"/>
      <c r="J663" s="1033"/>
      <c r="K663" s="1033"/>
      <c r="L663" s="90"/>
      <c r="M663" s="51" t="s">
        <v>265</v>
      </c>
      <c r="N663" s="113">
        <f t="shared" si="308"/>
        <v>7216</v>
      </c>
      <c r="O663" s="8">
        <v>0</v>
      </c>
      <c r="P663" s="9">
        <v>0</v>
      </c>
      <c r="Q663" s="325"/>
      <c r="R663" s="324"/>
      <c r="S663" s="27">
        <f t="shared" si="320"/>
        <v>0</v>
      </c>
      <c r="T663" s="28">
        <f t="shared" si="321"/>
        <v>0</v>
      </c>
      <c r="U663" s="51"/>
      <c r="V663" s="541">
        <f>+'NF-KSF-TRIAL-BAL-2020'!O663+'RA-TRIAL-BAL-2020'!O663+'DES-TRIAL-BAL-2020'!O663+'DMP-TRIAL-BAL-2020'!O663</f>
        <v>0</v>
      </c>
      <c r="W663" s="529">
        <f>+'NF-KSF-TRIAL-BAL-2020'!P663+'RA-TRIAL-BAL-2020'!P663+'DES-TRIAL-BAL-2020'!P663+'DMP-TRIAL-BAL-2020'!P663</f>
        <v>0</v>
      </c>
      <c r="X663" s="528">
        <f>+'NF-KSF-TRIAL-BAL-2020'!Q663+'RA-TRIAL-BAL-2020'!Q663+'DES-TRIAL-BAL-2020'!Q663+'DMP-TRIAL-BAL-2020'!Q663</f>
        <v>0</v>
      </c>
      <c r="Y663" s="529">
        <f>+'NF-KSF-TRIAL-BAL-2020'!R663+'RA-TRIAL-BAL-2020'!R663+'DES-TRIAL-BAL-2020'!R663+'DMP-TRIAL-BAL-2020'!R663</f>
        <v>0</v>
      </c>
      <c r="Z663" s="528">
        <f>+'NF-KSF-TRIAL-BAL-2020'!S663+'RA-TRIAL-BAL-2020'!S663+'DES-TRIAL-BAL-2020'!S663+'DMP-TRIAL-BAL-2020'!S663</f>
        <v>0</v>
      </c>
      <c r="AA663" s="347">
        <f>+'NF-KSF-TRIAL-BAL-2020'!T663+'RA-TRIAL-BAL-2020'!T663+'DES-TRIAL-BAL-2020'!T663+'DMP-TRIAL-BAL-2020'!T663</f>
        <v>0</v>
      </c>
      <c r="AB663" s="51"/>
      <c r="AC663" s="8">
        <v>0</v>
      </c>
      <c r="AD663" s="9">
        <v>0</v>
      </c>
      <c r="AE663" s="122"/>
      <c r="AF663" s="121"/>
      <c r="AG663" s="27">
        <f t="shared" si="322"/>
        <v>0</v>
      </c>
      <c r="AH663" s="28">
        <f t="shared" si="323"/>
        <v>0</v>
      </c>
      <c r="AI663" s="51"/>
      <c r="AJ663" s="1497">
        <f t="shared" si="319"/>
        <v>7216</v>
      </c>
      <c r="AK663" s="8">
        <v>0</v>
      </c>
      <c r="AL663" s="9">
        <v>0</v>
      </c>
      <c r="AM663" s="326">
        <f t="shared" si="324"/>
        <v>0</v>
      </c>
      <c r="AN663" s="970">
        <f t="shared" si="324"/>
        <v>0</v>
      </c>
      <c r="AO663" s="27">
        <f t="shared" si="315"/>
        <v>0</v>
      </c>
      <c r="AP663" s="28">
        <f t="shared" si="318"/>
        <v>0</v>
      </c>
      <c r="AQ663" s="43"/>
      <c r="AR663" s="358">
        <f t="shared" si="312"/>
        <v>0</v>
      </c>
      <c r="AS663" s="359">
        <f t="shared" si="313"/>
        <v>0</v>
      </c>
      <c r="AT663" s="360">
        <f t="shared" si="314"/>
        <v>0</v>
      </c>
      <c r="AU663" s="43"/>
      <c r="AV663" s="43"/>
      <c r="AW663" s="119"/>
      <c r="AX663" s="119"/>
      <c r="AY663" s="43"/>
      <c r="AZ663" s="43"/>
      <c r="BA663" s="43"/>
      <c r="BB663" s="43"/>
      <c r="BC663" s="43"/>
      <c r="BD663" s="43"/>
    </row>
    <row r="664" spans="1:56" ht="15.75">
      <c r="A664" s="88">
        <v>7217</v>
      </c>
      <c r="B664" s="1032" t="s">
        <v>644</v>
      </c>
      <c r="C664" s="1033"/>
      <c r="D664" s="1033"/>
      <c r="E664" s="1033"/>
      <c r="F664" s="1033"/>
      <c r="G664" s="1033"/>
      <c r="H664" s="1033"/>
      <c r="I664" s="1033"/>
      <c r="J664" s="1033"/>
      <c r="K664" s="1033"/>
      <c r="L664" s="90"/>
      <c r="M664" s="51" t="s">
        <v>265</v>
      </c>
      <c r="N664" s="113">
        <f t="shared" si="308"/>
        <v>7217</v>
      </c>
      <c r="O664" s="8">
        <v>0</v>
      </c>
      <c r="P664" s="9">
        <v>0</v>
      </c>
      <c r="Q664" s="325"/>
      <c r="R664" s="324"/>
      <c r="S664" s="27">
        <f t="shared" si="320"/>
        <v>0</v>
      </c>
      <c r="T664" s="28">
        <f t="shared" si="321"/>
        <v>0</v>
      </c>
      <c r="U664" s="51"/>
      <c r="V664" s="541">
        <f>+'NF-KSF-TRIAL-BAL-2020'!O664+'RA-TRIAL-BAL-2020'!O664+'DES-TRIAL-BAL-2020'!O664+'DMP-TRIAL-BAL-2020'!O664</f>
        <v>0</v>
      </c>
      <c r="W664" s="529">
        <f>+'NF-KSF-TRIAL-BAL-2020'!P664+'RA-TRIAL-BAL-2020'!P664+'DES-TRIAL-BAL-2020'!P664+'DMP-TRIAL-BAL-2020'!P664</f>
        <v>0</v>
      </c>
      <c r="X664" s="528">
        <f>+'NF-KSF-TRIAL-BAL-2020'!Q664+'RA-TRIAL-BAL-2020'!Q664+'DES-TRIAL-BAL-2020'!Q664+'DMP-TRIAL-BAL-2020'!Q664</f>
        <v>0</v>
      </c>
      <c r="Y664" s="529">
        <f>+'NF-KSF-TRIAL-BAL-2020'!R664+'RA-TRIAL-BAL-2020'!R664+'DES-TRIAL-BAL-2020'!R664+'DMP-TRIAL-BAL-2020'!R664</f>
        <v>0</v>
      </c>
      <c r="Z664" s="528">
        <f>+'NF-KSF-TRIAL-BAL-2020'!S664+'RA-TRIAL-BAL-2020'!S664+'DES-TRIAL-BAL-2020'!S664+'DMP-TRIAL-BAL-2020'!S664</f>
        <v>0</v>
      </c>
      <c r="AA664" s="347">
        <f>+'NF-KSF-TRIAL-BAL-2020'!T664+'RA-TRIAL-BAL-2020'!T664+'DES-TRIAL-BAL-2020'!T664+'DMP-TRIAL-BAL-2020'!T664</f>
        <v>0</v>
      </c>
      <c r="AB664" s="51"/>
      <c r="AC664" s="8">
        <v>0</v>
      </c>
      <c r="AD664" s="9">
        <v>0</v>
      </c>
      <c r="AE664" s="122"/>
      <c r="AF664" s="121"/>
      <c r="AG664" s="27">
        <f t="shared" si="322"/>
        <v>0</v>
      </c>
      <c r="AH664" s="28">
        <f t="shared" si="323"/>
        <v>0</v>
      </c>
      <c r="AI664" s="51"/>
      <c r="AJ664" s="1497">
        <f t="shared" si="319"/>
        <v>7217</v>
      </c>
      <c r="AK664" s="8">
        <v>0</v>
      </c>
      <c r="AL664" s="9">
        <v>0</v>
      </c>
      <c r="AM664" s="326">
        <f t="shared" si="324"/>
        <v>0</v>
      </c>
      <c r="AN664" s="970">
        <f t="shared" si="324"/>
        <v>0</v>
      </c>
      <c r="AO664" s="27">
        <f t="shared" si="315"/>
        <v>0</v>
      </c>
      <c r="AP664" s="28">
        <f t="shared" si="318"/>
        <v>0</v>
      </c>
      <c r="AQ664" s="43"/>
      <c r="AR664" s="358">
        <f t="shared" si="312"/>
        <v>0</v>
      </c>
      <c r="AS664" s="359">
        <f t="shared" si="313"/>
        <v>0</v>
      </c>
      <c r="AT664" s="360">
        <f t="shared" si="314"/>
        <v>0</v>
      </c>
      <c r="AU664" s="43"/>
      <c r="AV664" s="43"/>
      <c r="AW664" s="119"/>
      <c r="AX664" s="119"/>
      <c r="AY664" s="43"/>
      <c r="AZ664" s="43"/>
      <c r="BA664" s="43"/>
      <c r="BB664" s="43"/>
      <c r="BC664" s="43"/>
      <c r="BD664" s="43"/>
    </row>
    <row r="665" spans="1:56" ht="15.75">
      <c r="A665" s="88">
        <v>7218</v>
      </c>
      <c r="B665" s="1032" t="s">
        <v>645</v>
      </c>
      <c r="C665" s="1033"/>
      <c r="D665" s="1033"/>
      <c r="E665" s="1033"/>
      <c r="F665" s="1033"/>
      <c r="G665" s="1033"/>
      <c r="H665" s="1033"/>
      <c r="I665" s="1033"/>
      <c r="J665" s="1033"/>
      <c r="K665" s="1033"/>
      <c r="L665" s="90"/>
      <c r="M665" s="51" t="s">
        <v>265</v>
      </c>
      <c r="N665" s="113">
        <f t="shared" si="308"/>
        <v>7218</v>
      </c>
      <c r="O665" s="8">
        <v>0</v>
      </c>
      <c r="P665" s="9">
        <v>0</v>
      </c>
      <c r="Q665" s="325"/>
      <c r="R665" s="324"/>
      <c r="S665" s="27">
        <f t="shared" si="320"/>
        <v>0</v>
      </c>
      <c r="T665" s="28">
        <f t="shared" si="321"/>
        <v>0</v>
      </c>
      <c r="U665" s="51"/>
      <c r="V665" s="541">
        <f>+'NF-KSF-TRIAL-BAL-2020'!O665+'RA-TRIAL-BAL-2020'!O665+'DES-TRIAL-BAL-2020'!O665+'DMP-TRIAL-BAL-2020'!O665</f>
        <v>0</v>
      </c>
      <c r="W665" s="529">
        <f>+'NF-KSF-TRIAL-BAL-2020'!P665+'RA-TRIAL-BAL-2020'!P665+'DES-TRIAL-BAL-2020'!P665+'DMP-TRIAL-BAL-2020'!P665</f>
        <v>0</v>
      </c>
      <c r="X665" s="528">
        <f>+'NF-KSF-TRIAL-BAL-2020'!Q665+'RA-TRIAL-BAL-2020'!Q665+'DES-TRIAL-BAL-2020'!Q665+'DMP-TRIAL-BAL-2020'!Q665</f>
        <v>0</v>
      </c>
      <c r="Y665" s="529">
        <f>+'NF-KSF-TRIAL-BAL-2020'!R665+'RA-TRIAL-BAL-2020'!R665+'DES-TRIAL-BAL-2020'!R665+'DMP-TRIAL-BAL-2020'!R665</f>
        <v>0</v>
      </c>
      <c r="Z665" s="528">
        <f>+'NF-KSF-TRIAL-BAL-2020'!S665+'RA-TRIAL-BAL-2020'!S665+'DES-TRIAL-BAL-2020'!S665+'DMP-TRIAL-BAL-2020'!S665</f>
        <v>0</v>
      </c>
      <c r="AA665" s="347">
        <f>+'NF-KSF-TRIAL-BAL-2020'!T665+'RA-TRIAL-BAL-2020'!T665+'DES-TRIAL-BAL-2020'!T665+'DMP-TRIAL-BAL-2020'!T665</f>
        <v>0</v>
      </c>
      <c r="AB665" s="51"/>
      <c r="AC665" s="8">
        <v>0</v>
      </c>
      <c r="AD665" s="9">
        <v>0</v>
      </c>
      <c r="AE665" s="325"/>
      <c r="AF665" s="324"/>
      <c r="AG665" s="27">
        <f t="shared" si="322"/>
        <v>0</v>
      </c>
      <c r="AH665" s="28">
        <f t="shared" si="323"/>
        <v>0</v>
      </c>
      <c r="AI665" s="51"/>
      <c r="AJ665" s="1497">
        <f t="shared" si="319"/>
        <v>7218</v>
      </c>
      <c r="AK665" s="8">
        <v>0</v>
      </c>
      <c r="AL665" s="9">
        <v>0</v>
      </c>
      <c r="AM665" s="326">
        <f t="shared" si="324"/>
        <v>0</v>
      </c>
      <c r="AN665" s="970">
        <f t="shared" si="324"/>
        <v>0</v>
      </c>
      <c r="AO665" s="27">
        <f t="shared" si="315"/>
        <v>0</v>
      </c>
      <c r="AP665" s="28">
        <f t="shared" si="318"/>
        <v>0</v>
      </c>
      <c r="AQ665" s="43"/>
      <c r="AR665" s="358">
        <f t="shared" si="312"/>
        <v>0</v>
      </c>
      <c r="AS665" s="359">
        <f t="shared" si="313"/>
        <v>0</v>
      </c>
      <c r="AT665" s="360">
        <f t="shared" si="314"/>
        <v>0</v>
      </c>
      <c r="AU665" s="43"/>
      <c r="AV665" s="43"/>
      <c r="AW665" s="119"/>
      <c r="AX665" s="119"/>
      <c r="AY665" s="43"/>
      <c r="AZ665" s="43"/>
      <c r="BA665" s="43"/>
      <c r="BB665" s="43"/>
      <c r="BC665" s="43"/>
      <c r="BD665" s="43"/>
    </row>
    <row r="666" spans="1:56" ht="15.75">
      <c r="A666" s="88">
        <v>7219</v>
      </c>
      <c r="B666" s="1032" t="s">
        <v>646</v>
      </c>
      <c r="C666" s="1033"/>
      <c r="D666" s="1033"/>
      <c r="E666" s="1033"/>
      <c r="F666" s="1033"/>
      <c r="G666" s="1033"/>
      <c r="H666" s="1033"/>
      <c r="I666" s="1033"/>
      <c r="J666" s="1033"/>
      <c r="K666" s="1033"/>
      <c r="L666" s="90"/>
      <c r="M666" s="51" t="s">
        <v>265</v>
      </c>
      <c r="N666" s="113">
        <f t="shared" si="308"/>
        <v>7219</v>
      </c>
      <c r="O666" s="8">
        <v>0</v>
      </c>
      <c r="P666" s="9">
        <v>0</v>
      </c>
      <c r="Q666" s="325"/>
      <c r="R666" s="324"/>
      <c r="S666" s="27">
        <f t="shared" si="320"/>
        <v>0</v>
      </c>
      <c r="T666" s="28">
        <f t="shared" si="321"/>
        <v>0</v>
      </c>
      <c r="U666" s="51"/>
      <c r="V666" s="541">
        <f>+'NF-KSF-TRIAL-BAL-2020'!O666+'RA-TRIAL-BAL-2020'!O666+'DES-TRIAL-BAL-2020'!O666+'DMP-TRIAL-BAL-2020'!O666</f>
        <v>0</v>
      </c>
      <c r="W666" s="529">
        <f>+'NF-KSF-TRIAL-BAL-2020'!P666+'RA-TRIAL-BAL-2020'!P666+'DES-TRIAL-BAL-2020'!P666+'DMP-TRIAL-BAL-2020'!P666</f>
        <v>0</v>
      </c>
      <c r="X666" s="528">
        <f>+'NF-KSF-TRIAL-BAL-2020'!Q666+'RA-TRIAL-BAL-2020'!Q666+'DES-TRIAL-BAL-2020'!Q666+'DMP-TRIAL-BAL-2020'!Q666</f>
        <v>0</v>
      </c>
      <c r="Y666" s="529">
        <f>+'NF-KSF-TRIAL-BAL-2020'!R666+'RA-TRIAL-BAL-2020'!R666+'DES-TRIAL-BAL-2020'!R666+'DMP-TRIAL-BAL-2020'!R666</f>
        <v>0</v>
      </c>
      <c r="Z666" s="528">
        <f>+'NF-KSF-TRIAL-BAL-2020'!S666+'RA-TRIAL-BAL-2020'!S666+'DES-TRIAL-BAL-2020'!S666+'DMP-TRIAL-BAL-2020'!S666</f>
        <v>0</v>
      </c>
      <c r="AA666" s="347">
        <f>+'NF-KSF-TRIAL-BAL-2020'!T666+'RA-TRIAL-BAL-2020'!T666+'DES-TRIAL-BAL-2020'!T666+'DMP-TRIAL-BAL-2020'!T666</f>
        <v>0</v>
      </c>
      <c r="AB666" s="51"/>
      <c r="AC666" s="8">
        <v>0</v>
      </c>
      <c r="AD666" s="9">
        <v>0</v>
      </c>
      <c r="AE666" s="122"/>
      <c r="AF666" s="121"/>
      <c r="AG666" s="27">
        <f t="shared" si="322"/>
        <v>0</v>
      </c>
      <c r="AH666" s="28">
        <f t="shared" si="323"/>
        <v>0</v>
      </c>
      <c r="AI666" s="51"/>
      <c r="AJ666" s="1497">
        <f t="shared" si="319"/>
        <v>7219</v>
      </c>
      <c r="AK666" s="8">
        <v>0</v>
      </c>
      <c r="AL666" s="9">
        <v>0</v>
      </c>
      <c r="AM666" s="326">
        <f t="shared" si="324"/>
        <v>0</v>
      </c>
      <c r="AN666" s="970">
        <f t="shared" si="324"/>
        <v>0</v>
      </c>
      <c r="AO666" s="27">
        <f t="shared" si="315"/>
        <v>0</v>
      </c>
      <c r="AP666" s="28">
        <f t="shared" si="318"/>
        <v>0</v>
      </c>
      <c r="AQ666" s="43"/>
      <c r="AR666" s="358">
        <f t="shared" si="312"/>
        <v>0</v>
      </c>
      <c r="AS666" s="359">
        <f t="shared" si="313"/>
        <v>0</v>
      </c>
      <c r="AT666" s="360">
        <f t="shared" si="314"/>
        <v>0</v>
      </c>
      <c r="AU666" s="43"/>
      <c r="AV666" s="43"/>
      <c r="AW666" s="119"/>
      <c r="AX666" s="119"/>
      <c r="AY666" s="43"/>
      <c r="AZ666" s="43"/>
      <c r="BA666" s="43"/>
      <c r="BB666" s="43"/>
      <c r="BC666" s="43"/>
      <c r="BD666" s="43"/>
    </row>
    <row r="667" spans="1:56" ht="15.75">
      <c r="A667" s="2275">
        <v>7220</v>
      </c>
      <c r="B667" s="2287" t="s">
        <v>647</v>
      </c>
      <c r="C667" s="2287"/>
      <c r="D667" s="2287"/>
      <c r="E667" s="2287"/>
      <c r="F667" s="2287"/>
      <c r="G667" s="2287"/>
      <c r="H667" s="2287"/>
      <c r="I667" s="2287"/>
      <c r="J667" s="2287"/>
      <c r="K667" s="2287"/>
      <c r="L667" s="2277"/>
      <c r="M667" s="51" t="s">
        <v>265</v>
      </c>
      <c r="N667" s="2283">
        <f t="shared" si="308"/>
        <v>7220</v>
      </c>
      <c r="O667" s="2285">
        <v>0</v>
      </c>
      <c r="P667" s="2279">
        <v>0</v>
      </c>
      <c r="Q667" s="2280"/>
      <c r="R667" s="2281"/>
      <c r="S667" s="2280">
        <f>+IF($C$8=9900,+IF(ABS(+O667+Q667)&gt;=ABS(P667+R667),+O667-P667+Q667-R667,0),0)</f>
        <v>0</v>
      </c>
      <c r="T667" s="2286">
        <f>+IF($C$8=9900,+IF(ABS(+O667+Q667)&lt;=ABS(P667+R667),-O667+P667-Q667+R667,0),0)</f>
        <v>0</v>
      </c>
      <c r="U667" s="51"/>
      <c r="V667" s="546">
        <f>+'NF-KSF-TRIAL-BAL-2020'!O667+'RA-TRIAL-BAL-2020'!O667+'DES-TRIAL-BAL-2020'!O667+'DMP-TRIAL-BAL-2020'!O667</f>
        <v>0</v>
      </c>
      <c r="W667" s="536">
        <f>+'NF-KSF-TRIAL-BAL-2020'!P667+'RA-TRIAL-BAL-2020'!P667+'DES-TRIAL-BAL-2020'!P667+'DMP-TRIAL-BAL-2020'!P667</f>
        <v>0</v>
      </c>
      <c r="X667" s="535">
        <f>+'NF-KSF-TRIAL-BAL-2020'!Q667+'RA-TRIAL-BAL-2020'!Q667+'DES-TRIAL-BAL-2020'!Q667+'DMP-TRIAL-BAL-2020'!Q667</f>
        <v>0</v>
      </c>
      <c r="Y667" s="536">
        <f>+'NF-KSF-TRIAL-BAL-2020'!R667+'RA-TRIAL-BAL-2020'!R667+'DES-TRIAL-BAL-2020'!R667+'DMP-TRIAL-BAL-2020'!R667</f>
        <v>0</v>
      </c>
      <c r="Z667" s="535">
        <f>+'NF-KSF-TRIAL-BAL-2020'!S667+'RA-TRIAL-BAL-2020'!S667+'DES-TRIAL-BAL-2020'!S667+'DMP-TRIAL-BAL-2020'!S667</f>
        <v>0</v>
      </c>
      <c r="AA667" s="537">
        <f>+'NF-KSF-TRIAL-BAL-2020'!T667+'RA-TRIAL-BAL-2020'!T667+'DES-TRIAL-BAL-2020'!T667+'DMP-TRIAL-BAL-2020'!T667</f>
        <v>0</v>
      </c>
      <c r="AB667" s="51"/>
      <c r="AC667" s="10">
        <v>0</v>
      </c>
      <c r="AD667" s="11">
        <v>0</v>
      </c>
      <c r="AE667" s="31">
        <v>0</v>
      </c>
      <c r="AF667" s="11">
        <v>0</v>
      </c>
      <c r="AG667" s="829">
        <f t="shared" si="322"/>
        <v>0</v>
      </c>
      <c r="AH667" s="828">
        <f t="shared" si="323"/>
        <v>0</v>
      </c>
      <c r="AI667" s="51"/>
      <c r="AJ667" s="114">
        <f t="shared" si="319"/>
        <v>7220</v>
      </c>
      <c r="AK667" s="10">
        <v>0</v>
      </c>
      <c r="AL667" s="11">
        <v>0</v>
      </c>
      <c r="AM667" s="831">
        <f>+ROUND(+Q667+X667+AE667,2)</f>
        <v>0</v>
      </c>
      <c r="AN667" s="832">
        <f>+ROUND(+R667+Y667+AF667,2)</f>
        <v>0</v>
      </c>
      <c r="AO667" s="829">
        <f t="shared" si="315"/>
        <v>0</v>
      </c>
      <c r="AP667" s="828">
        <f t="shared" si="318"/>
        <v>0</v>
      </c>
      <c r="AQ667" s="43"/>
      <c r="AR667" s="358">
        <f t="shared" si="312"/>
        <v>0</v>
      </c>
      <c r="AS667" s="359">
        <f t="shared" si="313"/>
        <v>0</v>
      </c>
      <c r="AT667" s="360">
        <f t="shared" si="314"/>
        <v>0</v>
      </c>
      <c r="AU667" s="43"/>
      <c r="AV667" s="2125">
        <f>+IF($C$8=9900,0,+IF(OR(O667&lt;&gt;0,P667&lt;&gt;0,Q667&lt;&gt;0,R667&lt;&gt;0,S667&lt;&gt;0,T667&lt;&gt;0),+IF(ABS(O667+Q667)-ABS(P667+R667)&lt;&gt;0,ABS(O667+Q667)-ABS(P667+R667),1),0))</f>
        <v>0</v>
      </c>
      <c r="AW667" s="119"/>
      <c r="AX667" s="2125">
        <f>+IF(OR(AC667&lt;&gt;0,AD667&lt;&gt;0,AE667&lt;&gt;0,AF667&lt;&gt;0,AG667&lt;&gt;0,AH667&lt;&gt;0),+IF(ABS(AC667+AE667)-ABS(AD667+AF667)&lt;&gt;0,ABS(AC667+AE667)-ABS(AD667+AF667),1),0)</f>
        <v>0</v>
      </c>
      <c r="AY667" s="43"/>
      <c r="AZ667" s="43"/>
      <c r="BA667" s="43"/>
      <c r="BB667" s="43"/>
      <c r="BC667" s="43"/>
      <c r="BD667" s="43"/>
    </row>
    <row r="668" spans="1:56" ht="15.75">
      <c r="A668" s="88">
        <v>7221</v>
      </c>
      <c r="B668" s="1033" t="s">
        <v>648</v>
      </c>
      <c r="C668" s="1033"/>
      <c r="D668" s="1033"/>
      <c r="E668" s="1033"/>
      <c r="F668" s="1033"/>
      <c r="G668" s="1033"/>
      <c r="H668" s="1033"/>
      <c r="I668" s="1033"/>
      <c r="J668" s="1033"/>
      <c r="K668" s="1033"/>
      <c r="L668" s="90"/>
      <c r="M668" s="51" t="s">
        <v>265</v>
      </c>
      <c r="N668" s="113">
        <f t="shared" si="308"/>
        <v>7221</v>
      </c>
      <c r="O668" s="8">
        <v>0</v>
      </c>
      <c r="P668" s="9">
        <v>0</v>
      </c>
      <c r="Q668" s="325"/>
      <c r="R668" s="324"/>
      <c r="S668" s="27">
        <f t="shared" ref="S668:S673" si="325">+IF(ABS(+O668+Q668)&gt;=ABS(P668+R668),+O668-P668+Q668-R668,0)</f>
        <v>0</v>
      </c>
      <c r="T668" s="28">
        <f t="shared" ref="T668:T673" si="326">+IF(ABS(+O668+Q668)&lt;=ABS(P668+R668),-O668+P668-Q668+R668,0)</f>
        <v>0</v>
      </c>
      <c r="U668" s="51"/>
      <c r="V668" s="541">
        <f>+'NF-KSF-TRIAL-BAL-2020'!O668+'RA-TRIAL-BAL-2020'!O668+'DES-TRIAL-BAL-2020'!O668+'DMP-TRIAL-BAL-2020'!O668</f>
        <v>0</v>
      </c>
      <c r="W668" s="529">
        <f>+'NF-KSF-TRIAL-BAL-2020'!P668+'RA-TRIAL-BAL-2020'!P668+'DES-TRIAL-BAL-2020'!P668+'DMP-TRIAL-BAL-2020'!P668</f>
        <v>0</v>
      </c>
      <c r="X668" s="528">
        <f>+'NF-KSF-TRIAL-BAL-2020'!Q668+'RA-TRIAL-BAL-2020'!Q668+'DES-TRIAL-BAL-2020'!Q668+'DMP-TRIAL-BAL-2020'!Q668</f>
        <v>0</v>
      </c>
      <c r="Y668" s="529">
        <f>+'NF-KSF-TRIAL-BAL-2020'!R668+'RA-TRIAL-BAL-2020'!R668+'DES-TRIAL-BAL-2020'!R668+'DMP-TRIAL-BAL-2020'!R668</f>
        <v>0</v>
      </c>
      <c r="Z668" s="528">
        <f>+'NF-KSF-TRIAL-BAL-2020'!S668+'RA-TRIAL-BAL-2020'!S668+'DES-TRIAL-BAL-2020'!S668+'DMP-TRIAL-BAL-2020'!S668</f>
        <v>0</v>
      </c>
      <c r="AA668" s="347">
        <f>+'NF-KSF-TRIAL-BAL-2020'!T668+'RA-TRIAL-BAL-2020'!T668+'DES-TRIAL-BAL-2020'!T668+'DMP-TRIAL-BAL-2020'!T668</f>
        <v>0</v>
      </c>
      <c r="AB668" s="51"/>
      <c r="AC668" s="8">
        <v>0</v>
      </c>
      <c r="AD668" s="9">
        <v>0</v>
      </c>
      <c r="AE668" s="122"/>
      <c r="AF668" s="121"/>
      <c r="AG668" s="27">
        <f t="shared" ref="AG668:AG673" si="327">+IF(ABS(+AC668+AE668)&gt;=ABS(AD668+AF668),+AC668-AD668+AE668-AF668,0)</f>
        <v>0</v>
      </c>
      <c r="AH668" s="28">
        <f t="shared" ref="AH668:AH673" si="328">+IF(ABS(+AC668+AE668)&lt;=ABS(AD668+AF668),-AC668+AD668-AE668+AF668,0)</f>
        <v>0</v>
      </c>
      <c r="AI668" s="51"/>
      <c r="AJ668" s="1497">
        <f t="shared" si="319"/>
        <v>7221</v>
      </c>
      <c r="AK668" s="8">
        <v>0</v>
      </c>
      <c r="AL668" s="9">
        <v>0</v>
      </c>
      <c r="AM668" s="326">
        <f t="shared" ref="AM668:AN670" si="329">+ROUND(+Q668+X668+AE668,2)</f>
        <v>0</v>
      </c>
      <c r="AN668" s="970">
        <f t="shared" si="329"/>
        <v>0</v>
      </c>
      <c r="AO668" s="27">
        <f t="shared" si="315"/>
        <v>0</v>
      </c>
      <c r="AP668" s="28">
        <f t="shared" si="318"/>
        <v>0</v>
      </c>
      <c r="AQ668" s="43"/>
      <c r="AR668" s="358">
        <f t="shared" si="312"/>
        <v>0</v>
      </c>
      <c r="AS668" s="359">
        <f t="shared" si="313"/>
        <v>0</v>
      </c>
      <c r="AT668" s="360">
        <f t="shared" si="314"/>
        <v>0</v>
      </c>
      <c r="AU668" s="43"/>
      <c r="AV668" s="43"/>
      <c r="AW668" s="119"/>
      <c r="AX668" s="119"/>
      <c r="AY668" s="43"/>
      <c r="AZ668" s="43"/>
      <c r="BA668" s="43"/>
      <c r="BB668" s="43"/>
      <c r="BC668" s="43"/>
      <c r="BD668" s="43"/>
    </row>
    <row r="669" spans="1:56" ht="15.75">
      <c r="A669" s="88">
        <v>7222</v>
      </c>
      <c r="B669" s="1033" t="s">
        <v>649</v>
      </c>
      <c r="C669" s="1033"/>
      <c r="D669" s="1033"/>
      <c r="E669" s="1033"/>
      <c r="F669" s="1033"/>
      <c r="G669" s="1033"/>
      <c r="H669" s="1033"/>
      <c r="I669" s="1033"/>
      <c r="J669" s="1033"/>
      <c r="K669" s="1033"/>
      <c r="L669" s="90"/>
      <c r="M669" s="51" t="s">
        <v>265</v>
      </c>
      <c r="N669" s="113">
        <f t="shared" si="308"/>
        <v>7222</v>
      </c>
      <c r="O669" s="8">
        <v>0</v>
      </c>
      <c r="P669" s="9">
        <v>0</v>
      </c>
      <c r="Q669" s="325"/>
      <c r="R669" s="324"/>
      <c r="S669" s="27">
        <f t="shared" si="325"/>
        <v>0</v>
      </c>
      <c r="T669" s="28">
        <f t="shared" si="326"/>
        <v>0</v>
      </c>
      <c r="U669" s="51"/>
      <c r="V669" s="541">
        <f>+'NF-KSF-TRIAL-BAL-2020'!O669+'RA-TRIAL-BAL-2020'!O669+'DES-TRIAL-BAL-2020'!O669+'DMP-TRIAL-BAL-2020'!O669</f>
        <v>0</v>
      </c>
      <c r="W669" s="529">
        <f>+'NF-KSF-TRIAL-BAL-2020'!P669+'RA-TRIAL-BAL-2020'!P669+'DES-TRIAL-BAL-2020'!P669+'DMP-TRIAL-BAL-2020'!P669</f>
        <v>0</v>
      </c>
      <c r="X669" s="528">
        <f>+'NF-KSF-TRIAL-BAL-2020'!Q669+'RA-TRIAL-BAL-2020'!Q669+'DES-TRIAL-BAL-2020'!Q669+'DMP-TRIAL-BAL-2020'!Q669</f>
        <v>0</v>
      </c>
      <c r="Y669" s="529">
        <f>+'NF-KSF-TRIAL-BAL-2020'!R669+'RA-TRIAL-BAL-2020'!R669+'DES-TRIAL-BAL-2020'!R669+'DMP-TRIAL-BAL-2020'!R669</f>
        <v>0</v>
      </c>
      <c r="Z669" s="528">
        <f>+'NF-KSF-TRIAL-BAL-2020'!S669+'RA-TRIAL-BAL-2020'!S669+'DES-TRIAL-BAL-2020'!S669+'DMP-TRIAL-BAL-2020'!S669</f>
        <v>0</v>
      </c>
      <c r="AA669" s="347">
        <f>+'NF-KSF-TRIAL-BAL-2020'!T669+'RA-TRIAL-BAL-2020'!T669+'DES-TRIAL-BAL-2020'!T669+'DMP-TRIAL-BAL-2020'!T669</f>
        <v>0</v>
      </c>
      <c r="AB669" s="51"/>
      <c r="AC669" s="8">
        <v>0</v>
      </c>
      <c r="AD669" s="9">
        <v>0</v>
      </c>
      <c r="AE669" s="325"/>
      <c r="AF669" s="324"/>
      <c r="AG669" s="27">
        <f t="shared" si="327"/>
        <v>0</v>
      </c>
      <c r="AH669" s="28">
        <f t="shared" si="328"/>
        <v>0</v>
      </c>
      <c r="AI669" s="51"/>
      <c r="AJ669" s="1497">
        <f t="shared" si="319"/>
        <v>7222</v>
      </c>
      <c r="AK669" s="8">
        <v>0</v>
      </c>
      <c r="AL669" s="9">
        <v>0</v>
      </c>
      <c r="AM669" s="326">
        <f t="shared" si="329"/>
        <v>0</v>
      </c>
      <c r="AN669" s="970">
        <f t="shared" si="329"/>
        <v>0</v>
      </c>
      <c r="AO669" s="27">
        <f t="shared" si="315"/>
        <v>0</v>
      </c>
      <c r="AP669" s="28">
        <f t="shared" si="318"/>
        <v>0</v>
      </c>
      <c r="AQ669" s="43"/>
      <c r="AR669" s="358">
        <f t="shared" si="312"/>
        <v>0</v>
      </c>
      <c r="AS669" s="359">
        <f t="shared" si="313"/>
        <v>0</v>
      </c>
      <c r="AT669" s="360">
        <f t="shared" si="314"/>
        <v>0</v>
      </c>
      <c r="AU669" s="43"/>
      <c r="AV669" s="43"/>
      <c r="AW669" s="119"/>
      <c r="AX669" s="119"/>
      <c r="AY669" s="43"/>
      <c r="AZ669" s="43"/>
      <c r="BA669" s="43"/>
      <c r="BB669" s="43"/>
      <c r="BC669" s="43"/>
      <c r="BD669" s="43"/>
    </row>
    <row r="670" spans="1:56" ht="15.75">
      <c r="A670" s="88">
        <v>7223</v>
      </c>
      <c r="B670" s="1033" t="s">
        <v>650</v>
      </c>
      <c r="C670" s="1033"/>
      <c r="D670" s="1033"/>
      <c r="E670" s="1033"/>
      <c r="F670" s="1033"/>
      <c r="G670" s="1033"/>
      <c r="H670" s="1033"/>
      <c r="I670" s="1033"/>
      <c r="J670" s="1033"/>
      <c r="K670" s="1033"/>
      <c r="L670" s="90"/>
      <c r="M670" s="51" t="s">
        <v>265</v>
      </c>
      <c r="N670" s="113">
        <f t="shared" si="308"/>
        <v>7223</v>
      </c>
      <c r="O670" s="8">
        <v>0</v>
      </c>
      <c r="P670" s="9">
        <v>0</v>
      </c>
      <c r="Q670" s="325"/>
      <c r="R670" s="324"/>
      <c r="S670" s="27">
        <f t="shared" si="325"/>
        <v>0</v>
      </c>
      <c r="T670" s="28">
        <f t="shared" si="326"/>
        <v>0</v>
      </c>
      <c r="U670" s="51"/>
      <c r="V670" s="541">
        <f>+'NF-KSF-TRIAL-BAL-2020'!O670+'RA-TRIAL-BAL-2020'!O670+'DES-TRIAL-BAL-2020'!O670+'DMP-TRIAL-BAL-2020'!O670</f>
        <v>0</v>
      </c>
      <c r="W670" s="529">
        <f>+'NF-KSF-TRIAL-BAL-2020'!P670+'RA-TRIAL-BAL-2020'!P670+'DES-TRIAL-BAL-2020'!P670+'DMP-TRIAL-BAL-2020'!P670</f>
        <v>0</v>
      </c>
      <c r="X670" s="528">
        <f>+'NF-KSF-TRIAL-BAL-2020'!Q670+'RA-TRIAL-BAL-2020'!Q670+'DES-TRIAL-BAL-2020'!Q670+'DMP-TRIAL-BAL-2020'!Q670</f>
        <v>0</v>
      </c>
      <c r="Y670" s="529">
        <f>+'NF-KSF-TRIAL-BAL-2020'!R670+'RA-TRIAL-BAL-2020'!R670+'DES-TRIAL-BAL-2020'!R670+'DMP-TRIAL-BAL-2020'!R670</f>
        <v>0</v>
      </c>
      <c r="Z670" s="528">
        <f>+'NF-KSF-TRIAL-BAL-2020'!S670+'RA-TRIAL-BAL-2020'!S670+'DES-TRIAL-BAL-2020'!S670+'DMP-TRIAL-BAL-2020'!S670</f>
        <v>0</v>
      </c>
      <c r="AA670" s="347">
        <f>+'NF-KSF-TRIAL-BAL-2020'!T670+'RA-TRIAL-BAL-2020'!T670+'DES-TRIAL-BAL-2020'!T670+'DMP-TRIAL-BAL-2020'!T670</f>
        <v>0</v>
      </c>
      <c r="AB670" s="51"/>
      <c r="AC670" s="8">
        <v>0</v>
      </c>
      <c r="AD670" s="9">
        <v>0</v>
      </c>
      <c r="AE670" s="325"/>
      <c r="AF670" s="324"/>
      <c r="AG670" s="27">
        <f t="shared" si="327"/>
        <v>0</v>
      </c>
      <c r="AH670" s="28">
        <f t="shared" si="328"/>
        <v>0</v>
      </c>
      <c r="AI670" s="51"/>
      <c r="AJ670" s="1497">
        <f t="shared" si="319"/>
        <v>7223</v>
      </c>
      <c r="AK670" s="8">
        <v>0</v>
      </c>
      <c r="AL670" s="9">
        <v>0</v>
      </c>
      <c r="AM670" s="326">
        <f t="shared" si="329"/>
        <v>0</v>
      </c>
      <c r="AN670" s="970">
        <f t="shared" si="329"/>
        <v>0</v>
      </c>
      <c r="AO670" s="27">
        <f t="shared" si="315"/>
        <v>0</v>
      </c>
      <c r="AP670" s="28">
        <f t="shared" si="318"/>
        <v>0</v>
      </c>
      <c r="AQ670" s="43"/>
      <c r="AR670" s="358">
        <f t="shared" ref="AR670:AR768" si="330">+ROUND(+SUM(AK670-AL670)-SUM(O670-P670)-SUM(V670-W670)-SUM(AC670-AD670),2)</f>
        <v>0</v>
      </c>
      <c r="AS670" s="359">
        <f t="shared" ref="AS670:AS768" si="331">+ROUND(+SUM(AM670-AN670)-SUM(Q670-R670)-SUM(X670-Y670)-SUM(AE670-AF670),2)</f>
        <v>0</v>
      </c>
      <c r="AT670" s="360">
        <f t="shared" ref="AT670:AT768" si="332">+ROUND(+SUM(AO670-AP670)-SUM(S670-T670)-SUM(Z670-AA670)-SUM(AG670-AH670),2)</f>
        <v>0</v>
      </c>
      <c r="AU670" s="43"/>
      <c r="AV670" s="43"/>
      <c r="AW670" s="119"/>
      <c r="AX670" s="119"/>
      <c r="AY670" s="43"/>
      <c r="AZ670" s="43"/>
      <c r="BA670" s="43"/>
      <c r="BB670" s="43"/>
      <c r="BC670" s="43"/>
      <c r="BD670" s="43"/>
    </row>
    <row r="671" spans="1:56" ht="15.75">
      <c r="A671" s="88">
        <v>7224</v>
      </c>
      <c r="B671" s="1033" t="s">
        <v>651</v>
      </c>
      <c r="C671" s="1033"/>
      <c r="D671" s="1033"/>
      <c r="E671" s="1033"/>
      <c r="F671" s="1033"/>
      <c r="G671" s="1033"/>
      <c r="H671" s="1033"/>
      <c r="I671" s="1033"/>
      <c r="J671" s="1033"/>
      <c r="K671" s="1033"/>
      <c r="L671" s="90"/>
      <c r="M671" s="51" t="s">
        <v>265</v>
      </c>
      <c r="N671" s="113">
        <f t="shared" ref="N671:N769" si="333">+A671</f>
        <v>7224</v>
      </c>
      <c r="O671" s="8">
        <v>0</v>
      </c>
      <c r="P671" s="9">
        <v>0</v>
      </c>
      <c r="Q671" s="325"/>
      <c r="R671" s="324"/>
      <c r="S671" s="27">
        <f t="shared" si="325"/>
        <v>0</v>
      </c>
      <c r="T671" s="28">
        <f t="shared" si="326"/>
        <v>0</v>
      </c>
      <c r="U671" s="51"/>
      <c r="V671" s="541">
        <f>+'NF-KSF-TRIAL-BAL-2020'!O671+'RA-TRIAL-BAL-2020'!O671+'DES-TRIAL-BAL-2020'!O671+'DMP-TRIAL-BAL-2020'!O671</f>
        <v>0</v>
      </c>
      <c r="W671" s="529">
        <f>+'NF-KSF-TRIAL-BAL-2020'!P671+'RA-TRIAL-BAL-2020'!P671+'DES-TRIAL-BAL-2020'!P671+'DMP-TRIAL-BAL-2020'!P671</f>
        <v>0</v>
      </c>
      <c r="X671" s="528">
        <f>+'NF-KSF-TRIAL-BAL-2020'!Q671+'RA-TRIAL-BAL-2020'!Q671+'DES-TRIAL-BAL-2020'!Q671+'DMP-TRIAL-BAL-2020'!Q671</f>
        <v>0</v>
      </c>
      <c r="Y671" s="529">
        <f>+'NF-KSF-TRIAL-BAL-2020'!R671+'RA-TRIAL-BAL-2020'!R671+'DES-TRIAL-BAL-2020'!R671+'DMP-TRIAL-BAL-2020'!R671</f>
        <v>0</v>
      </c>
      <c r="Z671" s="528">
        <f>+'NF-KSF-TRIAL-BAL-2020'!S671+'RA-TRIAL-BAL-2020'!S671+'DES-TRIAL-BAL-2020'!S671+'DMP-TRIAL-BAL-2020'!S671</f>
        <v>0</v>
      </c>
      <c r="AA671" s="347">
        <f>+'NF-KSF-TRIAL-BAL-2020'!T671+'RA-TRIAL-BAL-2020'!T671+'DES-TRIAL-BAL-2020'!T671+'DMP-TRIAL-BAL-2020'!T671</f>
        <v>0</v>
      </c>
      <c r="AB671" s="51"/>
      <c r="AC671" s="8">
        <v>0</v>
      </c>
      <c r="AD671" s="9">
        <v>0</v>
      </c>
      <c r="AE671" s="122"/>
      <c r="AF671" s="121"/>
      <c r="AG671" s="27">
        <f t="shared" si="327"/>
        <v>0</v>
      </c>
      <c r="AH671" s="28">
        <f t="shared" si="328"/>
        <v>0</v>
      </c>
      <c r="AI671" s="51"/>
      <c r="AJ671" s="1497">
        <f t="shared" si="319"/>
        <v>7224</v>
      </c>
      <c r="AK671" s="8">
        <v>0</v>
      </c>
      <c r="AL671" s="9">
        <v>0</v>
      </c>
      <c r="AM671" s="326">
        <f t="shared" ref="AM671:AN673" si="334">+ROUND(+Q671+X671+AE671,2)</f>
        <v>0</v>
      </c>
      <c r="AN671" s="970">
        <f t="shared" si="334"/>
        <v>0</v>
      </c>
      <c r="AO671" s="27">
        <f t="shared" si="315"/>
        <v>0</v>
      </c>
      <c r="AP671" s="28">
        <f t="shared" si="318"/>
        <v>0</v>
      </c>
      <c r="AQ671" s="43"/>
      <c r="AR671" s="358">
        <f t="shared" si="330"/>
        <v>0</v>
      </c>
      <c r="AS671" s="359">
        <f t="shared" si="331"/>
        <v>0</v>
      </c>
      <c r="AT671" s="360">
        <f t="shared" si="332"/>
        <v>0</v>
      </c>
      <c r="AU671" s="43"/>
      <c r="AV671" s="43"/>
      <c r="AW671" s="119"/>
      <c r="AX671" s="119"/>
      <c r="AY671" s="43"/>
      <c r="AZ671" s="43"/>
      <c r="BA671" s="43"/>
      <c r="BB671" s="43"/>
      <c r="BC671" s="43"/>
      <c r="BD671" s="43"/>
    </row>
    <row r="672" spans="1:56" ht="15.75">
      <c r="A672" s="88">
        <v>7226</v>
      </c>
      <c r="B672" s="1033" t="s">
        <v>652</v>
      </c>
      <c r="C672" s="1033"/>
      <c r="D672" s="1033"/>
      <c r="E672" s="1033"/>
      <c r="F672" s="1033"/>
      <c r="G672" s="1033"/>
      <c r="H672" s="1033"/>
      <c r="I672" s="1033"/>
      <c r="J672" s="1033"/>
      <c r="K672" s="1033"/>
      <c r="L672" s="90"/>
      <c r="M672" s="51" t="s">
        <v>265</v>
      </c>
      <c r="N672" s="113">
        <f>+A672</f>
        <v>7226</v>
      </c>
      <c r="O672" s="8">
        <v>0</v>
      </c>
      <c r="P672" s="9">
        <v>0</v>
      </c>
      <c r="Q672" s="325"/>
      <c r="R672" s="324"/>
      <c r="S672" s="27">
        <f t="shared" si="325"/>
        <v>0</v>
      </c>
      <c r="T672" s="28">
        <f t="shared" si="326"/>
        <v>0</v>
      </c>
      <c r="U672" s="51"/>
      <c r="V672" s="541">
        <f>+'NF-KSF-TRIAL-BAL-2020'!O672+'RA-TRIAL-BAL-2020'!O672+'DES-TRIAL-BAL-2020'!O672+'DMP-TRIAL-BAL-2020'!O672</f>
        <v>0</v>
      </c>
      <c r="W672" s="529">
        <f>+'NF-KSF-TRIAL-BAL-2020'!P672+'RA-TRIAL-BAL-2020'!P672+'DES-TRIAL-BAL-2020'!P672+'DMP-TRIAL-BAL-2020'!P672</f>
        <v>0</v>
      </c>
      <c r="X672" s="528">
        <f>+'NF-KSF-TRIAL-BAL-2020'!Q672+'RA-TRIAL-BAL-2020'!Q672+'DES-TRIAL-BAL-2020'!Q672+'DMP-TRIAL-BAL-2020'!Q672</f>
        <v>0</v>
      </c>
      <c r="Y672" s="529">
        <f>+'NF-KSF-TRIAL-BAL-2020'!R672+'RA-TRIAL-BAL-2020'!R672+'DES-TRIAL-BAL-2020'!R672+'DMP-TRIAL-BAL-2020'!R672</f>
        <v>0</v>
      </c>
      <c r="Z672" s="528">
        <f>+'NF-KSF-TRIAL-BAL-2020'!S672+'RA-TRIAL-BAL-2020'!S672+'DES-TRIAL-BAL-2020'!S672+'DMP-TRIAL-BAL-2020'!S672</f>
        <v>0</v>
      </c>
      <c r="AA672" s="347">
        <f>+'NF-KSF-TRIAL-BAL-2020'!T672+'RA-TRIAL-BAL-2020'!T672+'DES-TRIAL-BAL-2020'!T672+'DMP-TRIAL-BAL-2020'!T672</f>
        <v>0</v>
      </c>
      <c r="AB672" s="51"/>
      <c r="AC672" s="8">
        <v>0</v>
      </c>
      <c r="AD672" s="9">
        <v>0</v>
      </c>
      <c r="AE672" s="122"/>
      <c r="AF672" s="121"/>
      <c r="AG672" s="27">
        <f t="shared" si="327"/>
        <v>0</v>
      </c>
      <c r="AH672" s="28">
        <f t="shared" si="328"/>
        <v>0</v>
      </c>
      <c r="AI672" s="51"/>
      <c r="AJ672" s="1497">
        <f>+N672</f>
        <v>7226</v>
      </c>
      <c r="AK672" s="8">
        <v>0</v>
      </c>
      <c r="AL672" s="9">
        <v>0</v>
      </c>
      <c r="AM672" s="326">
        <f t="shared" si="334"/>
        <v>0</v>
      </c>
      <c r="AN672" s="970">
        <f t="shared" si="334"/>
        <v>0</v>
      </c>
      <c r="AO672" s="27">
        <f t="shared" ref="AO672:AO735" si="335">+S672+Z672+AG672</f>
        <v>0</v>
      </c>
      <c r="AP672" s="28">
        <f t="shared" si="318"/>
        <v>0</v>
      </c>
      <c r="AQ672" s="43"/>
      <c r="AR672" s="358">
        <f t="shared" si="330"/>
        <v>0</v>
      </c>
      <c r="AS672" s="359">
        <f t="shared" si="331"/>
        <v>0</v>
      </c>
      <c r="AT672" s="360">
        <f t="shared" si="332"/>
        <v>0</v>
      </c>
      <c r="AU672" s="43"/>
      <c r="AV672" s="43"/>
      <c r="AW672" s="119"/>
      <c r="AX672" s="119"/>
      <c r="AY672" s="43"/>
      <c r="AZ672" s="43"/>
      <c r="BA672" s="43"/>
      <c r="BB672" s="43"/>
      <c r="BC672" s="43"/>
      <c r="BD672" s="43"/>
    </row>
    <row r="673" spans="1:56" ht="15.75">
      <c r="A673" s="88">
        <v>7229</v>
      </c>
      <c r="B673" s="1033" t="s">
        <v>653</v>
      </c>
      <c r="C673" s="1033"/>
      <c r="D673" s="1033"/>
      <c r="E673" s="1033"/>
      <c r="F673" s="1033"/>
      <c r="G673" s="1033"/>
      <c r="H673" s="1033"/>
      <c r="I673" s="1033"/>
      <c r="J673" s="1033"/>
      <c r="K673" s="1033"/>
      <c r="L673" s="90"/>
      <c r="M673" s="51" t="s">
        <v>265</v>
      </c>
      <c r="N673" s="113">
        <f>+A673</f>
        <v>7229</v>
      </c>
      <c r="O673" s="8">
        <v>0</v>
      </c>
      <c r="P673" s="9">
        <v>0</v>
      </c>
      <c r="Q673" s="325"/>
      <c r="R673" s="324"/>
      <c r="S673" s="27">
        <f t="shared" si="325"/>
        <v>0</v>
      </c>
      <c r="T673" s="28">
        <f t="shared" si="326"/>
        <v>0</v>
      </c>
      <c r="U673" s="51"/>
      <c r="V673" s="541">
        <f>+'NF-KSF-TRIAL-BAL-2020'!O673+'RA-TRIAL-BAL-2020'!O673+'DES-TRIAL-BAL-2020'!O673+'DMP-TRIAL-BAL-2020'!O673</f>
        <v>0</v>
      </c>
      <c r="W673" s="529">
        <f>+'NF-KSF-TRIAL-BAL-2020'!P673+'RA-TRIAL-BAL-2020'!P673+'DES-TRIAL-BAL-2020'!P673+'DMP-TRIAL-BAL-2020'!P673</f>
        <v>0</v>
      </c>
      <c r="X673" s="528">
        <f>+'NF-KSF-TRIAL-BAL-2020'!Q673+'RA-TRIAL-BAL-2020'!Q673+'DES-TRIAL-BAL-2020'!Q673+'DMP-TRIAL-BAL-2020'!Q673</f>
        <v>0</v>
      </c>
      <c r="Y673" s="529">
        <f>+'NF-KSF-TRIAL-BAL-2020'!R673+'RA-TRIAL-BAL-2020'!R673+'DES-TRIAL-BAL-2020'!R673+'DMP-TRIAL-BAL-2020'!R673</f>
        <v>0</v>
      </c>
      <c r="Z673" s="528">
        <f>+'NF-KSF-TRIAL-BAL-2020'!S673+'RA-TRIAL-BAL-2020'!S673+'DES-TRIAL-BAL-2020'!S673+'DMP-TRIAL-BAL-2020'!S673</f>
        <v>0</v>
      </c>
      <c r="AA673" s="347">
        <f>+'NF-KSF-TRIAL-BAL-2020'!T673+'RA-TRIAL-BAL-2020'!T673+'DES-TRIAL-BAL-2020'!T673+'DMP-TRIAL-BAL-2020'!T673</f>
        <v>0</v>
      </c>
      <c r="AB673" s="51"/>
      <c r="AC673" s="8">
        <v>0</v>
      </c>
      <c r="AD673" s="9">
        <v>0</v>
      </c>
      <c r="AE673" s="325"/>
      <c r="AF673" s="324"/>
      <c r="AG673" s="27">
        <f t="shared" si="327"/>
        <v>0</v>
      </c>
      <c r="AH673" s="28">
        <f t="shared" si="328"/>
        <v>0</v>
      </c>
      <c r="AI673" s="51"/>
      <c r="AJ673" s="1497">
        <f>+N673</f>
        <v>7229</v>
      </c>
      <c r="AK673" s="8">
        <v>0</v>
      </c>
      <c r="AL673" s="9">
        <v>0</v>
      </c>
      <c r="AM673" s="326">
        <f t="shared" si="334"/>
        <v>0</v>
      </c>
      <c r="AN673" s="970">
        <f t="shared" si="334"/>
        <v>0</v>
      </c>
      <c r="AO673" s="27">
        <f t="shared" si="335"/>
        <v>0</v>
      </c>
      <c r="AP673" s="28">
        <f t="shared" ref="AP673:AP736" si="336">+T673+AA673+AH673</f>
        <v>0</v>
      </c>
      <c r="AQ673" s="43"/>
      <c r="AR673" s="358">
        <f t="shared" si="330"/>
        <v>0</v>
      </c>
      <c r="AS673" s="359">
        <f t="shared" si="331"/>
        <v>0</v>
      </c>
      <c r="AT673" s="360">
        <f t="shared" si="332"/>
        <v>0</v>
      </c>
      <c r="AU673" s="43"/>
      <c r="AV673" s="43"/>
      <c r="AW673" s="119"/>
      <c r="AX673" s="119"/>
      <c r="AY673" s="43"/>
      <c r="AZ673" s="43"/>
      <c r="BA673" s="43"/>
      <c r="BB673" s="43"/>
      <c r="BC673" s="43"/>
      <c r="BD673" s="43"/>
    </row>
    <row r="674" spans="1:56" ht="15.75">
      <c r="A674" s="88">
        <v>7231</v>
      </c>
      <c r="B674" s="1033" t="s">
        <v>654</v>
      </c>
      <c r="C674" s="1033"/>
      <c r="D674" s="1033"/>
      <c r="E674" s="1033"/>
      <c r="F674" s="1033"/>
      <c r="G674" s="1033"/>
      <c r="H674" s="1033"/>
      <c r="I674" s="1033"/>
      <c r="J674" s="1033"/>
      <c r="K674" s="1033"/>
      <c r="L674" s="90"/>
      <c r="M674" s="51" t="s">
        <v>265</v>
      </c>
      <c r="N674" s="113">
        <f t="shared" si="333"/>
        <v>7231</v>
      </c>
      <c r="O674" s="8">
        <v>0</v>
      </c>
      <c r="P674" s="9">
        <v>0</v>
      </c>
      <c r="Q674" s="325"/>
      <c r="R674" s="324"/>
      <c r="S674" s="27">
        <f t="shared" ref="S674:S696" si="337">+IF(ABS(+O674+Q674)&gt;=ABS(P674+R674),+O674-P674+Q674-R674,0)</f>
        <v>0</v>
      </c>
      <c r="T674" s="28">
        <f t="shared" ref="T674:T697" si="338">+IF(ABS(+O674+Q674)&lt;=ABS(P674+R674),-O674+P674-Q674+R674,0)</f>
        <v>0</v>
      </c>
      <c r="U674" s="51"/>
      <c r="V674" s="541">
        <f>+'NF-KSF-TRIAL-BAL-2020'!O674+'RA-TRIAL-BAL-2020'!O674+'DES-TRIAL-BAL-2020'!O674+'DMP-TRIAL-BAL-2020'!O674</f>
        <v>0</v>
      </c>
      <c r="W674" s="529">
        <f>+'NF-KSF-TRIAL-BAL-2020'!P674+'RA-TRIAL-BAL-2020'!P674+'DES-TRIAL-BAL-2020'!P674+'DMP-TRIAL-BAL-2020'!P674</f>
        <v>0</v>
      </c>
      <c r="X674" s="528">
        <f>+'NF-KSF-TRIAL-BAL-2020'!Q674+'RA-TRIAL-BAL-2020'!Q674+'DES-TRIAL-BAL-2020'!Q674+'DMP-TRIAL-BAL-2020'!Q674</f>
        <v>0</v>
      </c>
      <c r="Y674" s="529">
        <f>+'NF-KSF-TRIAL-BAL-2020'!R674+'RA-TRIAL-BAL-2020'!R674+'DES-TRIAL-BAL-2020'!R674+'DMP-TRIAL-BAL-2020'!R674</f>
        <v>0</v>
      </c>
      <c r="Z674" s="528">
        <f>+'NF-KSF-TRIAL-BAL-2020'!S674+'RA-TRIAL-BAL-2020'!S674+'DES-TRIAL-BAL-2020'!S674+'DMP-TRIAL-BAL-2020'!S674</f>
        <v>0</v>
      </c>
      <c r="AA674" s="347">
        <f>+'NF-KSF-TRIAL-BAL-2020'!T674+'RA-TRIAL-BAL-2020'!T674+'DES-TRIAL-BAL-2020'!T674+'DMP-TRIAL-BAL-2020'!T674</f>
        <v>0</v>
      </c>
      <c r="AB674" s="51"/>
      <c r="AC674" s="8">
        <v>0</v>
      </c>
      <c r="AD674" s="9">
        <v>0</v>
      </c>
      <c r="AE674" s="325"/>
      <c r="AF674" s="324"/>
      <c r="AG674" s="27">
        <f t="shared" ref="AG674:AG696" si="339">+IF(ABS(+AC674+AE674)&gt;=ABS(AD674+AF674),+AC674-AD674+AE674-AF674,0)</f>
        <v>0</v>
      </c>
      <c r="AH674" s="28">
        <f t="shared" ref="AH674:AH697" si="340">+IF(ABS(+AC674+AE674)&lt;=ABS(AD674+AF674),-AC674+AD674-AE674+AF674,0)</f>
        <v>0</v>
      </c>
      <c r="AI674" s="51"/>
      <c r="AJ674" s="1497">
        <f t="shared" si="319"/>
        <v>7231</v>
      </c>
      <c r="AK674" s="8">
        <v>0</v>
      </c>
      <c r="AL674" s="9">
        <v>0</v>
      </c>
      <c r="AM674" s="326">
        <f t="shared" ref="AM674:AN769" si="341">+ROUND(+Q674+X674+AE674,2)</f>
        <v>0</v>
      </c>
      <c r="AN674" s="970">
        <f t="shared" si="341"/>
        <v>0</v>
      </c>
      <c r="AO674" s="27">
        <f t="shared" si="335"/>
        <v>0</v>
      </c>
      <c r="AP674" s="28">
        <f t="shared" si="336"/>
        <v>0</v>
      </c>
      <c r="AQ674" s="43"/>
      <c r="AR674" s="358">
        <f t="shared" si="330"/>
        <v>0</v>
      </c>
      <c r="AS674" s="359">
        <f t="shared" si="331"/>
        <v>0</v>
      </c>
      <c r="AT674" s="360">
        <f t="shared" si="332"/>
        <v>0</v>
      </c>
      <c r="AU674" s="43"/>
      <c r="AV674" s="43"/>
      <c r="AW674" s="119"/>
      <c r="AX674" s="119"/>
      <c r="AY674" s="43"/>
      <c r="AZ674" s="43"/>
      <c r="BA674" s="43"/>
      <c r="BB674" s="43"/>
      <c r="BC674" s="43"/>
      <c r="BD674" s="43"/>
    </row>
    <row r="675" spans="1:56" ht="15.75">
      <c r="A675" s="88">
        <v>7232</v>
      </c>
      <c r="B675" s="1033" t="s">
        <v>0</v>
      </c>
      <c r="C675" s="1033"/>
      <c r="D675" s="1033"/>
      <c r="E675" s="1033"/>
      <c r="F675" s="1033"/>
      <c r="G675" s="1033"/>
      <c r="H675" s="1033"/>
      <c r="I675" s="1033"/>
      <c r="J675" s="1033"/>
      <c r="K675" s="1033"/>
      <c r="L675" s="90"/>
      <c r="M675" s="51" t="s">
        <v>265</v>
      </c>
      <c r="N675" s="113">
        <f t="shared" si="333"/>
        <v>7232</v>
      </c>
      <c r="O675" s="8">
        <v>0</v>
      </c>
      <c r="P675" s="9">
        <v>0</v>
      </c>
      <c r="Q675" s="325"/>
      <c r="R675" s="324"/>
      <c r="S675" s="27">
        <f t="shared" si="337"/>
        <v>0</v>
      </c>
      <c r="T675" s="28">
        <f t="shared" si="338"/>
        <v>0</v>
      </c>
      <c r="U675" s="51"/>
      <c r="V675" s="541">
        <f>+'NF-KSF-TRIAL-BAL-2020'!O675+'RA-TRIAL-BAL-2020'!O675+'DES-TRIAL-BAL-2020'!O675+'DMP-TRIAL-BAL-2020'!O675</f>
        <v>0</v>
      </c>
      <c r="W675" s="529">
        <f>+'NF-KSF-TRIAL-BAL-2020'!P675+'RA-TRIAL-BAL-2020'!P675+'DES-TRIAL-BAL-2020'!P675+'DMP-TRIAL-BAL-2020'!P675</f>
        <v>0</v>
      </c>
      <c r="X675" s="528">
        <f>+'NF-KSF-TRIAL-BAL-2020'!Q675+'RA-TRIAL-BAL-2020'!Q675+'DES-TRIAL-BAL-2020'!Q675+'DMP-TRIAL-BAL-2020'!Q675</f>
        <v>0</v>
      </c>
      <c r="Y675" s="529">
        <f>+'NF-KSF-TRIAL-BAL-2020'!R675+'RA-TRIAL-BAL-2020'!R675+'DES-TRIAL-BAL-2020'!R675+'DMP-TRIAL-BAL-2020'!R675</f>
        <v>0</v>
      </c>
      <c r="Z675" s="528">
        <f>+'NF-KSF-TRIAL-BAL-2020'!S675+'RA-TRIAL-BAL-2020'!S675+'DES-TRIAL-BAL-2020'!S675+'DMP-TRIAL-BAL-2020'!S675</f>
        <v>0</v>
      </c>
      <c r="AA675" s="347">
        <f>+'NF-KSF-TRIAL-BAL-2020'!T675+'RA-TRIAL-BAL-2020'!T675+'DES-TRIAL-BAL-2020'!T675+'DMP-TRIAL-BAL-2020'!T675</f>
        <v>0</v>
      </c>
      <c r="AB675" s="51"/>
      <c r="AC675" s="8">
        <v>0</v>
      </c>
      <c r="AD675" s="9">
        <v>0</v>
      </c>
      <c r="AE675" s="122"/>
      <c r="AF675" s="121"/>
      <c r="AG675" s="27">
        <f t="shared" si="339"/>
        <v>0</v>
      </c>
      <c r="AH675" s="28">
        <f t="shared" si="340"/>
        <v>0</v>
      </c>
      <c r="AI675" s="51"/>
      <c r="AJ675" s="1497">
        <f t="shared" si="319"/>
        <v>7232</v>
      </c>
      <c r="AK675" s="8">
        <v>0</v>
      </c>
      <c r="AL675" s="9">
        <v>0</v>
      </c>
      <c r="AM675" s="326">
        <f t="shared" si="341"/>
        <v>0</v>
      </c>
      <c r="AN675" s="970">
        <f t="shared" si="341"/>
        <v>0</v>
      </c>
      <c r="AO675" s="27">
        <f t="shared" si="335"/>
        <v>0</v>
      </c>
      <c r="AP675" s="28">
        <f t="shared" si="336"/>
        <v>0</v>
      </c>
      <c r="AQ675" s="43"/>
      <c r="AR675" s="358">
        <f t="shared" si="330"/>
        <v>0</v>
      </c>
      <c r="AS675" s="359">
        <f t="shared" si="331"/>
        <v>0</v>
      </c>
      <c r="AT675" s="360">
        <f t="shared" si="332"/>
        <v>0</v>
      </c>
      <c r="AU675" s="43"/>
      <c r="AV675" s="43"/>
      <c r="AW675" s="119"/>
      <c r="AX675" s="119"/>
      <c r="AY675" s="43"/>
      <c r="AZ675" s="43"/>
      <c r="BA675" s="43"/>
      <c r="BB675" s="43"/>
      <c r="BC675" s="43"/>
      <c r="BD675" s="43"/>
    </row>
    <row r="676" spans="1:56" ht="15.75">
      <c r="A676" s="88">
        <v>7241</v>
      </c>
      <c r="B676" s="1033" t="s">
        <v>1</v>
      </c>
      <c r="C676" s="1033"/>
      <c r="D676" s="1033"/>
      <c r="E676" s="1033"/>
      <c r="F676" s="1033"/>
      <c r="G676" s="1033"/>
      <c r="H676" s="1033"/>
      <c r="I676" s="1033"/>
      <c r="J676" s="1033"/>
      <c r="K676" s="1033"/>
      <c r="L676" s="90"/>
      <c r="M676" s="51" t="s">
        <v>265</v>
      </c>
      <c r="N676" s="113">
        <f t="shared" si="333"/>
        <v>7241</v>
      </c>
      <c r="O676" s="8">
        <v>0</v>
      </c>
      <c r="P676" s="9">
        <v>0</v>
      </c>
      <c r="Q676" s="325"/>
      <c r="R676" s="324"/>
      <c r="S676" s="27">
        <f t="shared" si="337"/>
        <v>0</v>
      </c>
      <c r="T676" s="28">
        <f t="shared" si="338"/>
        <v>0</v>
      </c>
      <c r="U676" s="51"/>
      <c r="V676" s="541">
        <f>+'NF-KSF-TRIAL-BAL-2020'!O676+'RA-TRIAL-BAL-2020'!O676+'DES-TRIAL-BAL-2020'!O676+'DMP-TRIAL-BAL-2020'!O676</f>
        <v>0</v>
      </c>
      <c r="W676" s="529">
        <f>+'NF-KSF-TRIAL-BAL-2020'!P676+'RA-TRIAL-BAL-2020'!P676+'DES-TRIAL-BAL-2020'!P676+'DMP-TRIAL-BAL-2020'!P676</f>
        <v>0</v>
      </c>
      <c r="X676" s="528">
        <f>+'NF-KSF-TRIAL-BAL-2020'!Q676+'RA-TRIAL-BAL-2020'!Q676+'DES-TRIAL-BAL-2020'!Q676+'DMP-TRIAL-BAL-2020'!Q676</f>
        <v>0</v>
      </c>
      <c r="Y676" s="529">
        <f>+'NF-KSF-TRIAL-BAL-2020'!R676+'RA-TRIAL-BAL-2020'!R676+'DES-TRIAL-BAL-2020'!R676+'DMP-TRIAL-BAL-2020'!R676</f>
        <v>0</v>
      </c>
      <c r="Z676" s="528">
        <f>+'NF-KSF-TRIAL-BAL-2020'!S676+'RA-TRIAL-BAL-2020'!S676+'DES-TRIAL-BAL-2020'!S676+'DMP-TRIAL-BAL-2020'!S676</f>
        <v>0</v>
      </c>
      <c r="AA676" s="347">
        <f>+'NF-KSF-TRIAL-BAL-2020'!T676+'RA-TRIAL-BAL-2020'!T676+'DES-TRIAL-BAL-2020'!T676+'DMP-TRIAL-BAL-2020'!T676</f>
        <v>0</v>
      </c>
      <c r="AB676" s="51"/>
      <c r="AC676" s="8">
        <v>0</v>
      </c>
      <c r="AD676" s="9">
        <v>0</v>
      </c>
      <c r="AE676" s="122"/>
      <c r="AF676" s="121"/>
      <c r="AG676" s="27">
        <f t="shared" si="339"/>
        <v>0</v>
      </c>
      <c r="AH676" s="28">
        <f t="shared" si="340"/>
        <v>0</v>
      </c>
      <c r="AI676" s="51"/>
      <c r="AJ676" s="1497">
        <f t="shared" si="319"/>
        <v>7241</v>
      </c>
      <c r="AK676" s="8">
        <v>0</v>
      </c>
      <c r="AL676" s="9">
        <v>0</v>
      </c>
      <c r="AM676" s="326">
        <f t="shared" si="341"/>
        <v>0</v>
      </c>
      <c r="AN676" s="970">
        <f t="shared" si="341"/>
        <v>0</v>
      </c>
      <c r="AO676" s="27">
        <f t="shared" si="335"/>
        <v>0</v>
      </c>
      <c r="AP676" s="28">
        <f t="shared" si="336"/>
        <v>0</v>
      </c>
      <c r="AQ676" s="43"/>
      <c r="AR676" s="358">
        <f t="shared" si="330"/>
        <v>0</v>
      </c>
      <c r="AS676" s="359">
        <f t="shared" si="331"/>
        <v>0</v>
      </c>
      <c r="AT676" s="360">
        <f t="shared" si="332"/>
        <v>0</v>
      </c>
      <c r="AU676" s="43"/>
      <c r="AV676" s="43"/>
      <c r="AW676" s="119"/>
      <c r="AX676" s="119"/>
      <c r="AY676" s="43"/>
      <c r="AZ676" s="43"/>
      <c r="BA676" s="43"/>
      <c r="BB676" s="43"/>
      <c r="BC676" s="43"/>
      <c r="BD676" s="43"/>
    </row>
    <row r="677" spans="1:56" ht="15.75">
      <c r="A677" s="88">
        <v>7242</v>
      </c>
      <c r="B677" s="1033" t="s">
        <v>2</v>
      </c>
      <c r="C677" s="1033"/>
      <c r="D677" s="1033"/>
      <c r="E677" s="1033"/>
      <c r="F677" s="1033"/>
      <c r="G677" s="1033"/>
      <c r="H677" s="1033"/>
      <c r="I677" s="1033"/>
      <c r="J677" s="1033"/>
      <c r="K677" s="1033"/>
      <c r="L677" s="90"/>
      <c r="M677" s="51" t="s">
        <v>265</v>
      </c>
      <c r="N677" s="113">
        <f t="shared" si="333"/>
        <v>7242</v>
      </c>
      <c r="O677" s="8">
        <v>0</v>
      </c>
      <c r="P677" s="9">
        <v>0</v>
      </c>
      <c r="Q677" s="325"/>
      <c r="R677" s="324"/>
      <c r="S677" s="27">
        <f t="shared" si="337"/>
        <v>0</v>
      </c>
      <c r="T677" s="28">
        <f t="shared" si="338"/>
        <v>0</v>
      </c>
      <c r="U677" s="51"/>
      <c r="V677" s="541">
        <f>+'NF-KSF-TRIAL-BAL-2020'!O677+'RA-TRIAL-BAL-2020'!O677+'DES-TRIAL-BAL-2020'!O677+'DMP-TRIAL-BAL-2020'!O677</f>
        <v>0</v>
      </c>
      <c r="W677" s="529">
        <f>+'NF-KSF-TRIAL-BAL-2020'!P677+'RA-TRIAL-BAL-2020'!P677+'DES-TRIAL-BAL-2020'!P677+'DMP-TRIAL-BAL-2020'!P677</f>
        <v>0</v>
      </c>
      <c r="X677" s="528">
        <f>+'NF-KSF-TRIAL-BAL-2020'!Q677+'RA-TRIAL-BAL-2020'!Q677+'DES-TRIAL-BAL-2020'!Q677+'DMP-TRIAL-BAL-2020'!Q677</f>
        <v>0</v>
      </c>
      <c r="Y677" s="529">
        <f>+'NF-KSF-TRIAL-BAL-2020'!R677+'RA-TRIAL-BAL-2020'!R677+'DES-TRIAL-BAL-2020'!R677+'DMP-TRIAL-BAL-2020'!R677</f>
        <v>0</v>
      </c>
      <c r="Z677" s="528">
        <f>+'NF-KSF-TRIAL-BAL-2020'!S677+'RA-TRIAL-BAL-2020'!S677+'DES-TRIAL-BAL-2020'!S677+'DMP-TRIAL-BAL-2020'!S677</f>
        <v>0</v>
      </c>
      <c r="AA677" s="347">
        <f>+'NF-KSF-TRIAL-BAL-2020'!T677+'RA-TRIAL-BAL-2020'!T677+'DES-TRIAL-BAL-2020'!T677+'DMP-TRIAL-BAL-2020'!T677</f>
        <v>0</v>
      </c>
      <c r="AB677" s="51"/>
      <c r="AC677" s="8">
        <v>0</v>
      </c>
      <c r="AD677" s="9">
        <v>0</v>
      </c>
      <c r="AE677" s="325"/>
      <c r="AF677" s="324"/>
      <c r="AG677" s="27">
        <f t="shared" si="339"/>
        <v>0</v>
      </c>
      <c r="AH677" s="28">
        <f t="shared" si="340"/>
        <v>0</v>
      </c>
      <c r="AI677" s="51"/>
      <c r="AJ677" s="1497">
        <f t="shared" si="319"/>
        <v>7242</v>
      </c>
      <c r="AK677" s="8">
        <v>0</v>
      </c>
      <c r="AL677" s="9">
        <v>0</v>
      </c>
      <c r="AM677" s="326">
        <f t="shared" si="341"/>
        <v>0</v>
      </c>
      <c r="AN677" s="970">
        <f t="shared" si="341"/>
        <v>0</v>
      </c>
      <c r="AO677" s="27">
        <f t="shared" si="335"/>
        <v>0</v>
      </c>
      <c r="AP677" s="28">
        <f t="shared" si="336"/>
        <v>0</v>
      </c>
      <c r="AQ677" s="43"/>
      <c r="AR677" s="358">
        <f t="shared" si="330"/>
        <v>0</v>
      </c>
      <c r="AS677" s="359">
        <f t="shared" si="331"/>
        <v>0</v>
      </c>
      <c r="AT677" s="360">
        <f t="shared" si="332"/>
        <v>0</v>
      </c>
      <c r="AU677" s="43"/>
      <c r="AV677" s="43"/>
      <c r="AW677" s="119"/>
      <c r="AX677" s="119"/>
      <c r="AY677" s="43"/>
      <c r="AZ677" s="43"/>
      <c r="BA677" s="43"/>
      <c r="BB677" s="43"/>
      <c r="BC677" s="43"/>
      <c r="BD677" s="43"/>
    </row>
    <row r="678" spans="1:56" ht="15.75">
      <c r="A678" s="88">
        <v>7250</v>
      </c>
      <c r="B678" s="378" t="s">
        <v>3</v>
      </c>
      <c r="C678" s="1033"/>
      <c r="D678" s="1033"/>
      <c r="E678" s="1033"/>
      <c r="F678" s="1033"/>
      <c r="G678" s="1033"/>
      <c r="H678" s="1033"/>
      <c r="I678" s="1033"/>
      <c r="J678" s="1033"/>
      <c r="K678" s="1033"/>
      <c r="L678" s="90"/>
      <c r="M678" s="51" t="s">
        <v>265</v>
      </c>
      <c r="N678" s="113">
        <f t="shared" si="333"/>
        <v>7250</v>
      </c>
      <c r="O678" s="8">
        <v>0</v>
      </c>
      <c r="P678" s="9">
        <v>0</v>
      </c>
      <c r="Q678" s="325"/>
      <c r="R678" s="324"/>
      <c r="S678" s="27">
        <f t="shared" si="337"/>
        <v>0</v>
      </c>
      <c r="T678" s="28">
        <f t="shared" si="338"/>
        <v>0</v>
      </c>
      <c r="U678" s="51"/>
      <c r="V678" s="541">
        <f>+'NF-KSF-TRIAL-BAL-2020'!O678+'RA-TRIAL-BAL-2020'!O678+'DES-TRIAL-BAL-2020'!O678+'DMP-TRIAL-BAL-2020'!O678</f>
        <v>0</v>
      </c>
      <c r="W678" s="529">
        <f>+'NF-KSF-TRIAL-BAL-2020'!P678+'RA-TRIAL-BAL-2020'!P678+'DES-TRIAL-BAL-2020'!P678+'DMP-TRIAL-BAL-2020'!P678</f>
        <v>0</v>
      </c>
      <c r="X678" s="528">
        <f>+'NF-KSF-TRIAL-BAL-2020'!Q678+'RA-TRIAL-BAL-2020'!Q678+'DES-TRIAL-BAL-2020'!Q678+'DMP-TRIAL-BAL-2020'!Q678</f>
        <v>0</v>
      </c>
      <c r="Y678" s="529">
        <f>+'NF-KSF-TRIAL-BAL-2020'!R678+'RA-TRIAL-BAL-2020'!R678+'DES-TRIAL-BAL-2020'!R678+'DMP-TRIAL-BAL-2020'!R678</f>
        <v>0</v>
      </c>
      <c r="Z678" s="528">
        <f>+'NF-KSF-TRIAL-BAL-2020'!S678+'RA-TRIAL-BAL-2020'!S678+'DES-TRIAL-BAL-2020'!S678+'DMP-TRIAL-BAL-2020'!S678</f>
        <v>0</v>
      </c>
      <c r="AA678" s="347">
        <f>+'NF-KSF-TRIAL-BAL-2020'!T678+'RA-TRIAL-BAL-2020'!T678+'DES-TRIAL-BAL-2020'!T678+'DMP-TRIAL-BAL-2020'!T678</f>
        <v>0</v>
      </c>
      <c r="AB678" s="51"/>
      <c r="AC678" s="8">
        <v>0</v>
      </c>
      <c r="AD678" s="9">
        <v>0</v>
      </c>
      <c r="AE678" s="122"/>
      <c r="AF678" s="121"/>
      <c r="AG678" s="27">
        <f t="shared" si="339"/>
        <v>0</v>
      </c>
      <c r="AH678" s="28">
        <f t="shared" si="340"/>
        <v>0</v>
      </c>
      <c r="AI678" s="51"/>
      <c r="AJ678" s="1497">
        <f>+N678</f>
        <v>7250</v>
      </c>
      <c r="AK678" s="8">
        <v>0</v>
      </c>
      <c r="AL678" s="9">
        <v>0</v>
      </c>
      <c r="AM678" s="326">
        <f t="shared" si="341"/>
        <v>0</v>
      </c>
      <c r="AN678" s="970">
        <f t="shared" si="341"/>
        <v>0</v>
      </c>
      <c r="AO678" s="27">
        <f t="shared" si="335"/>
        <v>0</v>
      </c>
      <c r="AP678" s="28">
        <f t="shared" si="336"/>
        <v>0</v>
      </c>
      <c r="AQ678" s="43"/>
      <c r="AR678" s="358">
        <f t="shared" si="330"/>
        <v>0</v>
      </c>
      <c r="AS678" s="359">
        <f t="shared" si="331"/>
        <v>0</v>
      </c>
      <c r="AT678" s="360">
        <f t="shared" si="332"/>
        <v>0</v>
      </c>
      <c r="AU678" s="43"/>
      <c r="AV678" s="43"/>
      <c r="AW678" s="119"/>
      <c r="AX678" s="119"/>
      <c r="AY678" s="43"/>
      <c r="AZ678" s="43"/>
      <c r="BA678" s="43"/>
      <c r="BB678" s="43"/>
      <c r="BC678" s="43"/>
      <c r="BD678" s="43"/>
    </row>
    <row r="679" spans="1:56" ht="15.75">
      <c r="A679" s="88">
        <v>7251</v>
      </c>
      <c r="B679" s="1033" t="s">
        <v>4</v>
      </c>
      <c r="C679" s="1033"/>
      <c r="D679" s="1033"/>
      <c r="E679" s="1033"/>
      <c r="F679" s="1033"/>
      <c r="G679" s="1033"/>
      <c r="H679" s="1033"/>
      <c r="I679" s="1033"/>
      <c r="J679" s="1033"/>
      <c r="K679" s="1033"/>
      <c r="L679" s="90"/>
      <c r="M679" s="51" t="s">
        <v>265</v>
      </c>
      <c r="N679" s="113">
        <f t="shared" si="333"/>
        <v>7251</v>
      </c>
      <c r="O679" s="8">
        <v>0</v>
      </c>
      <c r="P679" s="9">
        <v>0</v>
      </c>
      <c r="Q679" s="325">
        <v>0</v>
      </c>
      <c r="R679" s="324">
        <v>0</v>
      </c>
      <c r="S679" s="27">
        <f t="shared" si="337"/>
        <v>0</v>
      </c>
      <c r="T679" s="28">
        <f t="shared" si="338"/>
        <v>0</v>
      </c>
      <c r="U679" s="51"/>
      <c r="V679" s="541">
        <f>+'NF-KSF-TRIAL-BAL-2020'!O679+'RA-TRIAL-BAL-2020'!O679+'DES-TRIAL-BAL-2020'!O679+'DMP-TRIAL-BAL-2020'!O679</f>
        <v>0</v>
      </c>
      <c r="W679" s="529">
        <f>+'NF-KSF-TRIAL-BAL-2020'!P679+'RA-TRIAL-BAL-2020'!P679+'DES-TRIAL-BAL-2020'!P679+'DMP-TRIAL-BAL-2020'!P679</f>
        <v>0</v>
      </c>
      <c r="X679" s="528">
        <f>+'NF-KSF-TRIAL-BAL-2020'!Q679+'RA-TRIAL-BAL-2020'!Q679+'DES-TRIAL-BAL-2020'!Q679+'DMP-TRIAL-BAL-2020'!Q679</f>
        <v>0</v>
      </c>
      <c r="Y679" s="529">
        <f>+'NF-KSF-TRIAL-BAL-2020'!R679+'RA-TRIAL-BAL-2020'!R679+'DES-TRIAL-BAL-2020'!R679+'DMP-TRIAL-BAL-2020'!R679</f>
        <v>0</v>
      </c>
      <c r="Z679" s="528">
        <f>+'NF-KSF-TRIAL-BAL-2020'!S679+'RA-TRIAL-BAL-2020'!S679+'DES-TRIAL-BAL-2020'!S679+'DMP-TRIAL-BAL-2020'!S679</f>
        <v>0</v>
      </c>
      <c r="AA679" s="347">
        <f>+'NF-KSF-TRIAL-BAL-2020'!T679+'RA-TRIAL-BAL-2020'!T679+'DES-TRIAL-BAL-2020'!T679+'DMP-TRIAL-BAL-2020'!T679</f>
        <v>0</v>
      </c>
      <c r="AB679" s="51"/>
      <c r="AC679" s="8">
        <v>0</v>
      </c>
      <c r="AD679" s="9">
        <v>0</v>
      </c>
      <c r="AE679" s="122">
        <v>0</v>
      </c>
      <c r="AF679" s="121">
        <v>0</v>
      </c>
      <c r="AG679" s="27">
        <f t="shared" si="339"/>
        <v>0</v>
      </c>
      <c r="AH679" s="28">
        <f t="shared" si="340"/>
        <v>0</v>
      </c>
      <c r="AI679" s="51"/>
      <c r="AJ679" s="1497">
        <f t="shared" si="319"/>
        <v>7251</v>
      </c>
      <c r="AK679" s="8">
        <v>0</v>
      </c>
      <c r="AL679" s="9">
        <v>0</v>
      </c>
      <c r="AM679" s="326">
        <f t="shared" si="341"/>
        <v>0</v>
      </c>
      <c r="AN679" s="970">
        <f t="shared" si="341"/>
        <v>0</v>
      </c>
      <c r="AO679" s="27">
        <f t="shared" si="335"/>
        <v>0</v>
      </c>
      <c r="AP679" s="28">
        <f t="shared" si="336"/>
        <v>0</v>
      </c>
      <c r="AQ679" s="43"/>
      <c r="AR679" s="358">
        <f t="shared" si="330"/>
        <v>0</v>
      </c>
      <c r="AS679" s="359">
        <f t="shared" si="331"/>
        <v>0</v>
      </c>
      <c r="AT679" s="360">
        <f t="shared" si="332"/>
        <v>0</v>
      </c>
      <c r="AU679" s="43"/>
      <c r="AV679" s="43"/>
      <c r="AW679" s="119"/>
      <c r="AX679" s="119"/>
      <c r="AY679" s="43"/>
      <c r="AZ679" s="43"/>
      <c r="BA679" s="43"/>
      <c r="BB679" s="43"/>
      <c r="BC679" s="43"/>
      <c r="BD679" s="43"/>
    </row>
    <row r="680" spans="1:56" ht="15.75">
      <c r="A680" s="88">
        <v>7252</v>
      </c>
      <c r="B680" s="1033" t="s">
        <v>5</v>
      </c>
      <c r="C680" s="1033"/>
      <c r="D680" s="1033"/>
      <c r="E680" s="1033"/>
      <c r="F680" s="1033"/>
      <c r="G680" s="1033"/>
      <c r="H680" s="1033"/>
      <c r="I680" s="1033"/>
      <c r="J680" s="1033"/>
      <c r="K680" s="1033"/>
      <c r="L680" s="90"/>
      <c r="M680" s="51" t="s">
        <v>265</v>
      </c>
      <c r="N680" s="113">
        <f t="shared" si="333"/>
        <v>7252</v>
      </c>
      <c r="O680" s="8">
        <v>0</v>
      </c>
      <c r="P680" s="9">
        <v>0</v>
      </c>
      <c r="Q680" s="325">
        <v>0</v>
      </c>
      <c r="R680" s="324">
        <v>0</v>
      </c>
      <c r="S680" s="27">
        <f t="shared" si="337"/>
        <v>0</v>
      </c>
      <c r="T680" s="28">
        <f t="shared" si="338"/>
        <v>0</v>
      </c>
      <c r="U680" s="51"/>
      <c r="V680" s="541">
        <f>+'NF-KSF-TRIAL-BAL-2020'!O680+'RA-TRIAL-BAL-2020'!O680+'DES-TRIAL-BAL-2020'!O680+'DMP-TRIAL-BAL-2020'!O680</f>
        <v>0</v>
      </c>
      <c r="W680" s="529">
        <f>+'NF-KSF-TRIAL-BAL-2020'!P680+'RA-TRIAL-BAL-2020'!P680+'DES-TRIAL-BAL-2020'!P680+'DMP-TRIAL-BAL-2020'!P680</f>
        <v>0</v>
      </c>
      <c r="X680" s="528">
        <f>+'NF-KSF-TRIAL-BAL-2020'!Q680+'RA-TRIAL-BAL-2020'!Q680+'DES-TRIAL-BAL-2020'!Q680+'DMP-TRIAL-BAL-2020'!Q680</f>
        <v>0</v>
      </c>
      <c r="Y680" s="529">
        <f>+'NF-KSF-TRIAL-BAL-2020'!R680+'RA-TRIAL-BAL-2020'!R680+'DES-TRIAL-BAL-2020'!R680+'DMP-TRIAL-BAL-2020'!R680</f>
        <v>0</v>
      </c>
      <c r="Z680" s="528">
        <f>+'NF-KSF-TRIAL-BAL-2020'!S680+'RA-TRIAL-BAL-2020'!S680+'DES-TRIAL-BAL-2020'!S680+'DMP-TRIAL-BAL-2020'!S680</f>
        <v>0</v>
      </c>
      <c r="AA680" s="347">
        <f>+'NF-KSF-TRIAL-BAL-2020'!T680+'RA-TRIAL-BAL-2020'!T680+'DES-TRIAL-BAL-2020'!T680+'DMP-TRIAL-BAL-2020'!T680</f>
        <v>0</v>
      </c>
      <c r="AB680" s="51"/>
      <c r="AC680" s="8">
        <v>0</v>
      </c>
      <c r="AD680" s="9">
        <v>0</v>
      </c>
      <c r="AE680" s="325">
        <v>0</v>
      </c>
      <c r="AF680" s="324">
        <v>0</v>
      </c>
      <c r="AG680" s="27">
        <f t="shared" si="339"/>
        <v>0</v>
      </c>
      <c r="AH680" s="28">
        <f t="shared" si="340"/>
        <v>0</v>
      </c>
      <c r="AI680" s="51"/>
      <c r="AJ680" s="1497">
        <f t="shared" si="319"/>
        <v>7252</v>
      </c>
      <c r="AK680" s="8">
        <v>0</v>
      </c>
      <c r="AL680" s="9">
        <v>0</v>
      </c>
      <c r="AM680" s="326">
        <f t="shared" si="341"/>
        <v>0</v>
      </c>
      <c r="AN680" s="970">
        <f t="shared" si="341"/>
        <v>0</v>
      </c>
      <c r="AO680" s="27">
        <f t="shared" si="335"/>
        <v>0</v>
      </c>
      <c r="AP680" s="28">
        <f t="shared" si="336"/>
        <v>0</v>
      </c>
      <c r="AQ680" s="43"/>
      <c r="AR680" s="358">
        <f t="shared" si="330"/>
        <v>0</v>
      </c>
      <c r="AS680" s="359">
        <f t="shared" si="331"/>
        <v>0</v>
      </c>
      <c r="AT680" s="360">
        <f t="shared" si="332"/>
        <v>0</v>
      </c>
      <c r="AU680" s="43"/>
      <c r="AV680" s="43"/>
      <c r="AW680" s="119"/>
      <c r="AX680" s="119"/>
      <c r="AY680" s="43"/>
      <c r="AZ680" s="43"/>
      <c r="BA680" s="43"/>
      <c r="BB680" s="43"/>
      <c r="BC680" s="43"/>
      <c r="BD680" s="43"/>
    </row>
    <row r="681" spans="1:56" ht="15.75">
      <c r="A681" s="88">
        <v>7258</v>
      </c>
      <c r="B681" s="1033" t="s">
        <v>6</v>
      </c>
      <c r="C681" s="1033"/>
      <c r="D681" s="1033"/>
      <c r="E681" s="1033"/>
      <c r="F681" s="1033"/>
      <c r="G681" s="1033"/>
      <c r="H681" s="1033"/>
      <c r="I681" s="1033"/>
      <c r="J681" s="1033"/>
      <c r="K681" s="1033"/>
      <c r="L681" s="90"/>
      <c r="M681" s="51" t="s">
        <v>265</v>
      </c>
      <c r="N681" s="113">
        <f t="shared" si="333"/>
        <v>7258</v>
      </c>
      <c r="O681" s="8">
        <v>0</v>
      </c>
      <c r="P681" s="9">
        <v>0</v>
      </c>
      <c r="Q681" s="325"/>
      <c r="R681" s="324"/>
      <c r="S681" s="27">
        <f t="shared" si="337"/>
        <v>0</v>
      </c>
      <c r="T681" s="28">
        <f t="shared" si="338"/>
        <v>0</v>
      </c>
      <c r="U681" s="51"/>
      <c r="V681" s="541">
        <f>+'NF-KSF-TRIAL-BAL-2020'!O681+'RA-TRIAL-BAL-2020'!O681+'DES-TRIAL-BAL-2020'!O681+'DMP-TRIAL-BAL-2020'!O681</f>
        <v>0</v>
      </c>
      <c r="W681" s="529">
        <f>+'NF-KSF-TRIAL-BAL-2020'!P681+'RA-TRIAL-BAL-2020'!P681+'DES-TRIAL-BAL-2020'!P681+'DMP-TRIAL-BAL-2020'!P681</f>
        <v>0</v>
      </c>
      <c r="X681" s="528">
        <f>+'NF-KSF-TRIAL-BAL-2020'!Q681+'RA-TRIAL-BAL-2020'!Q681+'DES-TRIAL-BAL-2020'!Q681+'DMP-TRIAL-BAL-2020'!Q681</f>
        <v>0</v>
      </c>
      <c r="Y681" s="529">
        <f>+'NF-KSF-TRIAL-BAL-2020'!R681+'RA-TRIAL-BAL-2020'!R681+'DES-TRIAL-BAL-2020'!R681+'DMP-TRIAL-BAL-2020'!R681</f>
        <v>0</v>
      </c>
      <c r="Z681" s="528">
        <f>+'NF-KSF-TRIAL-BAL-2020'!S681+'RA-TRIAL-BAL-2020'!S681+'DES-TRIAL-BAL-2020'!S681+'DMP-TRIAL-BAL-2020'!S681</f>
        <v>0</v>
      </c>
      <c r="AA681" s="347">
        <f>+'NF-KSF-TRIAL-BAL-2020'!T681+'RA-TRIAL-BAL-2020'!T681+'DES-TRIAL-BAL-2020'!T681+'DMP-TRIAL-BAL-2020'!T681</f>
        <v>0</v>
      </c>
      <c r="AB681" s="51"/>
      <c r="AC681" s="8">
        <v>0</v>
      </c>
      <c r="AD681" s="9">
        <v>0</v>
      </c>
      <c r="AE681" s="325"/>
      <c r="AF681" s="324"/>
      <c r="AG681" s="27">
        <f t="shared" si="339"/>
        <v>0</v>
      </c>
      <c r="AH681" s="28">
        <f t="shared" si="340"/>
        <v>0</v>
      </c>
      <c r="AI681" s="51"/>
      <c r="AJ681" s="1497">
        <f t="shared" si="319"/>
        <v>7258</v>
      </c>
      <c r="AK681" s="8">
        <v>0</v>
      </c>
      <c r="AL681" s="9">
        <v>0</v>
      </c>
      <c r="AM681" s="326">
        <f t="shared" si="341"/>
        <v>0</v>
      </c>
      <c r="AN681" s="970">
        <f t="shared" si="341"/>
        <v>0</v>
      </c>
      <c r="AO681" s="27">
        <f t="shared" si="335"/>
        <v>0</v>
      </c>
      <c r="AP681" s="28">
        <f t="shared" si="336"/>
        <v>0</v>
      </c>
      <c r="AQ681" s="43"/>
      <c r="AR681" s="358">
        <f t="shared" si="330"/>
        <v>0</v>
      </c>
      <c r="AS681" s="359">
        <f t="shared" si="331"/>
        <v>0</v>
      </c>
      <c r="AT681" s="360">
        <f t="shared" si="332"/>
        <v>0</v>
      </c>
      <c r="AU681" s="43"/>
      <c r="AV681" s="43"/>
      <c r="AW681" s="119"/>
      <c r="AX681" s="119"/>
      <c r="AY681" s="43"/>
      <c r="AZ681" s="43"/>
      <c r="BA681" s="43"/>
      <c r="BB681" s="43"/>
      <c r="BC681" s="43"/>
      <c r="BD681" s="43"/>
    </row>
    <row r="682" spans="1:56" ht="15.75">
      <c r="A682" s="88">
        <v>7270</v>
      </c>
      <c r="B682" s="378" t="s">
        <v>7</v>
      </c>
      <c r="C682" s="1033"/>
      <c r="D682" s="1033"/>
      <c r="E682" s="1033"/>
      <c r="F682" s="1033"/>
      <c r="G682" s="1033"/>
      <c r="H682" s="1033"/>
      <c r="I682" s="1033"/>
      <c r="J682" s="1033"/>
      <c r="K682" s="1033"/>
      <c r="L682" s="90"/>
      <c r="M682" s="51" t="s">
        <v>265</v>
      </c>
      <c r="N682" s="113">
        <f>+A682</f>
        <v>7270</v>
      </c>
      <c r="O682" s="8">
        <v>0</v>
      </c>
      <c r="P682" s="9">
        <v>0</v>
      </c>
      <c r="Q682" s="325"/>
      <c r="R682" s="324"/>
      <c r="S682" s="27">
        <f>+IF(ABS(+O682+Q682)&gt;=ABS(P682+R682),+O682-P682+Q682-R682,0)</f>
        <v>0</v>
      </c>
      <c r="T682" s="28">
        <f>+IF(ABS(+O682+Q682)&lt;=ABS(P682+R682),-O682+P682-Q682+R682,0)</f>
        <v>0</v>
      </c>
      <c r="U682" s="51"/>
      <c r="V682" s="541">
        <f>+'NF-KSF-TRIAL-BAL-2020'!O682+'RA-TRIAL-BAL-2020'!O682+'DES-TRIAL-BAL-2020'!O682+'DMP-TRIAL-BAL-2020'!O682</f>
        <v>0</v>
      </c>
      <c r="W682" s="529">
        <f>+'NF-KSF-TRIAL-BAL-2020'!P682+'RA-TRIAL-BAL-2020'!P682+'DES-TRIAL-BAL-2020'!P682+'DMP-TRIAL-BAL-2020'!P682</f>
        <v>0</v>
      </c>
      <c r="X682" s="528">
        <f>+'NF-KSF-TRIAL-BAL-2020'!Q682+'RA-TRIAL-BAL-2020'!Q682+'DES-TRIAL-BAL-2020'!Q682+'DMP-TRIAL-BAL-2020'!Q682</f>
        <v>0</v>
      </c>
      <c r="Y682" s="529">
        <f>+'NF-KSF-TRIAL-BAL-2020'!R682+'RA-TRIAL-BAL-2020'!R682+'DES-TRIAL-BAL-2020'!R682+'DMP-TRIAL-BAL-2020'!R682</f>
        <v>0</v>
      </c>
      <c r="Z682" s="528">
        <f>+'NF-KSF-TRIAL-BAL-2020'!S682+'RA-TRIAL-BAL-2020'!S682+'DES-TRIAL-BAL-2020'!S682+'DMP-TRIAL-BAL-2020'!S682</f>
        <v>0</v>
      </c>
      <c r="AA682" s="347">
        <f>+'NF-KSF-TRIAL-BAL-2020'!T682+'RA-TRIAL-BAL-2020'!T682+'DES-TRIAL-BAL-2020'!T682+'DMP-TRIAL-BAL-2020'!T682</f>
        <v>0</v>
      </c>
      <c r="AB682" s="51"/>
      <c r="AC682" s="8">
        <v>0</v>
      </c>
      <c r="AD682" s="9">
        <v>0</v>
      </c>
      <c r="AE682" s="122"/>
      <c r="AF682" s="121"/>
      <c r="AG682" s="27">
        <f>+IF(ABS(+AC682+AE682)&gt;=ABS(AD682+AF682),+AC682-AD682+AE682-AF682,0)</f>
        <v>0</v>
      </c>
      <c r="AH682" s="28">
        <f>+IF(ABS(+AC682+AE682)&lt;=ABS(AD682+AF682),-AC682+AD682-AE682+AF682,0)</f>
        <v>0</v>
      </c>
      <c r="AI682" s="51"/>
      <c r="AJ682" s="1497">
        <f t="shared" si="319"/>
        <v>7270</v>
      </c>
      <c r="AK682" s="8">
        <v>0</v>
      </c>
      <c r="AL682" s="9">
        <v>0</v>
      </c>
      <c r="AM682" s="326">
        <f>+ROUND(+Q682+X682+AE682,2)</f>
        <v>0</v>
      </c>
      <c r="AN682" s="970">
        <f>+ROUND(+R682+Y682+AF682,2)</f>
        <v>0</v>
      </c>
      <c r="AO682" s="27">
        <f t="shared" si="335"/>
        <v>0</v>
      </c>
      <c r="AP682" s="28">
        <f t="shared" si="336"/>
        <v>0</v>
      </c>
      <c r="AQ682" s="43"/>
      <c r="AR682" s="358">
        <f>+ROUND(+SUM(AK682-AL682)-SUM(O682-P682)-SUM(V682-W682)-SUM(AC682-AD682),2)</f>
        <v>0</v>
      </c>
      <c r="AS682" s="359">
        <f>+ROUND(+SUM(AM682-AN682)-SUM(Q682-R682)-SUM(X682-Y682)-SUM(AE682-AF682),2)</f>
        <v>0</v>
      </c>
      <c r="AT682" s="360">
        <f>+ROUND(+SUM(AO682-AP682)-SUM(S682-T682)-SUM(Z682-AA682)-SUM(AG682-AH682),2)</f>
        <v>0</v>
      </c>
      <c r="AU682" s="43"/>
      <c r="AV682" s="43"/>
      <c r="AW682" s="119"/>
      <c r="AX682" s="119"/>
      <c r="AY682" s="43"/>
      <c r="AZ682" s="43"/>
      <c r="BA682" s="43"/>
      <c r="BB682" s="43"/>
      <c r="BC682" s="43"/>
      <c r="BD682" s="43"/>
    </row>
    <row r="683" spans="1:56" ht="15.75">
      <c r="A683" s="88">
        <v>7271</v>
      </c>
      <c r="B683" s="1033" t="s">
        <v>8</v>
      </c>
      <c r="C683" s="1033"/>
      <c r="D683" s="1033"/>
      <c r="E683" s="1033"/>
      <c r="F683" s="1033"/>
      <c r="G683" s="1033"/>
      <c r="H683" s="1033"/>
      <c r="I683" s="1033"/>
      <c r="J683" s="1033"/>
      <c r="K683" s="1033"/>
      <c r="L683" s="90"/>
      <c r="M683" s="51" t="s">
        <v>265</v>
      </c>
      <c r="N683" s="113">
        <f t="shared" si="333"/>
        <v>7271</v>
      </c>
      <c r="O683" s="8">
        <v>0</v>
      </c>
      <c r="P683" s="9">
        <v>0</v>
      </c>
      <c r="Q683" s="325"/>
      <c r="R683" s="324"/>
      <c r="S683" s="27">
        <f t="shared" si="337"/>
        <v>0</v>
      </c>
      <c r="T683" s="28">
        <f t="shared" si="338"/>
        <v>0</v>
      </c>
      <c r="U683" s="51"/>
      <c r="V683" s="541">
        <f>+'NF-KSF-TRIAL-BAL-2020'!O683+'RA-TRIAL-BAL-2020'!O683+'DES-TRIAL-BAL-2020'!O683+'DMP-TRIAL-BAL-2020'!O683</f>
        <v>0</v>
      </c>
      <c r="W683" s="529">
        <f>+'NF-KSF-TRIAL-BAL-2020'!P683+'RA-TRIAL-BAL-2020'!P683+'DES-TRIAL-BAL-2020'!P683+'DMP-TRIAL-BAL-2020'!P683</f>
        <v>0</v>
      </c>
      <c r="X683" s="528">
        <f>+'NF-KSF-TRIAL-BAL-2020'!Q683+'RA-TRIAL-BAL-2020'!Q683+'DES-TRIAL-BAL-2020'!Q683+'DMP-TRIAL-BAL-2020'!Q683</f>
        <v>0</v>
      </c>
      <c r="Y683" s="529">
        <f>+'NF-KSF-TRIAL-BAL-2020'!R683+'RA-TRIAL-BAL-2020'!R683+'DES-TRIAL-BAL-2020'!R683+'DMP-TRIAL-BAL-2020'!R683</f>
        <v>0</v>
      </c>
      <c r="Z683" s="528">
        <f>+'NF-KSF-TRIAL-BAL-2020'!S683+'RA-TRIAL-BAL-2020'!S683+'DES-TRIAL-BAL-2020'!S683+'DMP-TRIAL-BAL-2020'!S683</f>
        <v>0</v>
      </c>
      <c r="AA683" s="347">
        <f>+'NF-KSF-TRIAL-BAL-2020'!T683+'RA-TRIAL-BAL-2020'!T683+'DES-TRIAL-BAL-2020'!T683+'DMP-TRIAL-BAL-2020'!T683</f>
        <v>0</v>
      </c>
      <c r="AB683" s="51"/>
      <c r="AC683" s="8">
        <v>0</v>
      </c>
      <c r="AD683" s="9">
        <v>0</v>
      </c>
      <c r="AE683" s="122"/>
      <c r="AF683" s="121"/>
      <c r="AG683" s="27">
        <f t="shared" si="339"/>
        <v>0</v>
      </c>
      <c r="AH683" s="28">
        <f t="shared" si="340"/>
        <v>0</v>
      </c>
      <c r="AI683" s="51"/>
      <c r="AJ683" s="1497">
        <f t="shared" si="319"/>
        <v>7271</v>
      </c>
      <c r="AK683" s="8">
        <v>0</v>
      </c>
      <c r="AL683" s="9">
        <v>0</v>
      </c>
      <c r="AM683" s="326">
        <f t="shared" si="341"/>
        <v>0</v>
      </c>
      <c r="AN683" s="970">
        <f t="shared" si="341"/>
        <v>0</v>
      </c>
      <c r="AO683" s="27">
        <f t="shared" si="335"/>
        <v>0</v>
      </c>
      <c r="AP683" s="28">
        <f t="shared" si="336"/>
        <v>0</v>
      </c>
      <c r="AQ683" s="43"/>
      <c r="AR683" s="358">
        <f t="shared" si="330"/>
        <v>0</v>
      </c>
      <c r="AS683" s="359">
        <f t="shared" si="331"/>
        <v>0</v>
      </c>
      <c r="AT683" s="360">
        <f t="shared" si="332"/>
        <v>0</v>
      </c>
      <c r="AU683" s="43"/>
      <c r="AV683" s="43"/>
      <c r="AW683" s="119"/>
      <c r="AX683" s="119"/>
      <c r="AY683" s="43"/>
      <c r="AZ683" s="43"/>
      <c r="BA683" s="43"/>
      <c r="BB683" s="43"/>
      <c r="BC683" s="43"/>
      <c r="BD683" s="43"/>
    </row>
    <row r="684" spans="1:56" ht="15.75">
      <c r="A684" s="88">
        <v>7274</v>
      </c>
      <c r="B684" s="378" t="s">
        <v>725</v>
      </c>
      <c r="C684" s="1033"/>
      <c r="D684" s="1033"/>
      <c r="E684" s="1033"/>
      <c r="F684" s="1033"/>
      <c r="G684" s="1033"/>
      <c r="H684" s="1033"/>
      <c r="I684" s="1033"/>
      <c r="J684" s="1033"/>
      <c r="K684" s="1033"/>
      <c r="L684" s="90"/>
      <c r="M684" s="51" t="s">
        <v>265</v>
      </c>
      <c r="N684" s="113">
        <f t="shared" si="333"/>
        <v>7274</v>
      </c>
      <c r="O684" s="8">
        <v>0</v>
      </c>
      <c r="P684" s="9">
        <v>0</v>
      </c>
      <c r="Q684" s="325"/>
      <c r="R684" s="324"/>
      <c r="S684" s="27">
        <f t="shared" si="337"/>
        <v>0</v>
      </c>
      <c r="T684" s="28">
        <f t="shared" si="338"/>
        <v>0</v>
      </c>
      <c r="U684" s="51"/>
      <c r="V684" s="541">
        <f>+'NF-KSF-TRIAL-BAL-2020'!O684+'RA-TRIAL-BAL-2020'!O684+'DES-TRIAL-BAL-2020'!O684+'DMP-TRIAL-BAL-2020'!O684</f>
        <v>0</v>
      </c>
      <c r="W684" s="529">
        <f>+'NF-KSF-TRIAL-BAL-2020'!P684+'RA-TRIAL-BAL-2020'!P684+'DES-TRIAL-BAL-2020'!P684+'DMP-TRIAL-BAL-2020'!P684</f>
        <v>0</v>
      </c>
      <c r="X684" s="528">
        <f>+'NF-KSF-TRIAL-BAL-2020'!Q684+'RA-TRIAL-BAL-2020'!Q684+'DES-TRIAL-BAL-2020'!Q684+'DMP-TRIAL-BAL-2020'!Q684</f>
        <v>0</v>
      </c>
      <c r="Y684" s="529">
        <f>+'NF-KSF-TRIAL-BAL-2020'!R684+'RA-TRIAL-BAL-2020'!R684+'DES-TRIAL-BAL-2020'!R684+'DMP-TRIAL-BAL-2020'!R684</f>
        <v>0</v>
      </c>
      <c r="Z684" s="528">
        <f>+'NF-KSF-TRIAL-BAL-2020'!S684+'RA-TRIAL-BAL-2020'!S684+'DES-TRIAL-BAL-2020'!S684+'DMP-TRIAL-BAL-2020'!S684</f>
        <v>0</v>
      </c>
      <c r="AA684" s="347">
        <f>+'NF-KSF-TRIAL-BAL-2020'!T684+'RA-TRIAL-BAL-2020'!T684+'DES-TRIAL-BAL-2020'!T684+'DMP-TRIAL-BAL-2020'!T684</f>
        <v>0</v>
      </c>
      <c r="AB684" s="51"/>
      <c r="AC684" s="8">
        <v>0</v>
      </c>
      <c r="AD684" s="9">
        <v>0</v>
      </c>
      <c r="AE684" s="325"/>
      <c r="AF684" s="324"/>
      <c r="AG684" s="27">
        <f t="shared" si="339"/>
        <v>0</v>
      </c>
      <c r="AH684" s="28">
        <f t="shared" si="340"/>
        <v>0</v>
      </c>
      <c r="AI684" s="51"/>
      <c r="AJ684" s="1497">
        <f>+N684</f>
        <v>7274</v>
      </c>
      <c r="AK684" s="8">
        <v>0</v>
      </c>
      <c r="AL684" s="9">
        <v>0</v>
      </c>
      <c r="AM684" s="326">
        <f t="shared" si="341"/>
        <v>0</v>
      </c>
      <c r="AN684" s="970">
        <f t="shared" si="341"/>
        <v>0</v>
      </c>
      <c r="AO684" s="27">
        <f t="shared" si="335"/>
        <v>0</v>
      </c>
      <c r="AP684" s="28">
        <f t="shared" si="336"/>
        <v>0</v>
      </c>
      <c r="AQ684" s="43"/>
      <c r="AR684" s="358">
        <f t="shared" si="330"/>
        <v>0</v>
      </c>
      <c r="AS684" s="359">
        <f t="shared" si="331"/>
        <v>0</v>
      </c>
      <c r="AT684" s="360">
        <f t="shared" si="332"/>
        <v>0</v>
      </c>
      <c r="AU684" s="43"/>
      <c r="AV684" s="43"/>
      <c r="AW684" s="119"/>
      <c r="AX684" s="119"/>
      <c r="AY684" s="43"/>
      <c r="AZ684" s="43"/>
      <c r="BA684" s="43"/>
      <c r="BB684" s="43"/>
      <c r="BC684" s="43"/>
      <c r="BD684" s="43"/>
    </row>
    <row r="685" spans="1:56" ht="15.75">
      <c r="A685" s="88">
        <v>7275</v>
      </c>
      <c r="B685" s="378" t="s">
        <v>726</v>
      </c>
      <c r="C685" s="1033"/>
      <c r="D685" s="1033"/>
      <c r="E685" s="1033"/>
      <c r="F685" s="1033"/>
      <c r="G685" s="1033"/>
      <c r="H685" s="1033"/>
      <c r="I685" s="1033"/>
      <c r="J685" s="1033"/>
      <c r="K685" s="1033"/>
      <c r="L685" s="90"/>
      <c r="M685" s="51" t="s">
        <v>265</v>
      </c>
      <c r="N685" s="113">
        <f>+A685</f>
        <v>7275</v>
      </c>
      <c r="O685" s="8">
        <v>0</v>
      </c>
      <c r="P685" s="9">
        <v>0</v>
      </c>
      <c r="Q685" s="325"/>
      <c r="R685" s="324"/>
      <c r="S685" s="27">
        <f>+IF(ABS(+O685+Q685)&gt;=ABS(P685+R685),+O685-P685+Q685-R685,0)</f>
        <v>0</v>
      </c>
      <c r="T685" s="28">
        <f>+IF(ABS(+O685+Q685)&lt;=ABS(P685+R685),-O685+P685-Q685+R685,0)</f>
        <v>0</v>
      </c>
      <c r="U685" s="51"/>
      <c r="V685" s="541">
        <f>+'NF-KSF-TRIAL-BAL-2020'!O685+'RA-TRIAL-BAL-2020'!O685+'DES-TRIAL-BAL-2020'!O685+'DMP-TRIAL-BAL-2020'!O685</f>
        <v>0</v>
      </c>
      <c r="W685" s="529">
        <f>+'NF-KSF-TRIAL-BAL-2020'!P685+'RA-TRIAL-BAL-2020'!P685+'DES-TRIAL-BAL-2020'!P685+'DMP-TRIAL-BAL-2020'!P685</f>
        <v>0</v>
      </c>
      <c r="X685" s="528">
        <f>+'NF-KSF-TRIAL-BAL-2020'!Q685+'RA-TRIAL-BAL-2020'!Q685+'DES-TRIAL-BAL-2020'!Q685+'DMP-TRIAL-BAL-2020'!Q685</f>
        <v>0</v>
      </c>
      <c r="Y685" s="529">
        <f>+'NF-KSF-TRIAL-BAL-2020'!R685+'RA-TRIAL-BAL-2020'!R685+'DES-TRIAL-BAL-2020'!R685+'DMP-TRIAL-BAL-2020'!R685</f>
        <v>0</v>
      </c>
      <c r="Z685" s="528">
        <f>+'NF-KSF-TRIAL-BAL-2020'!S685+'RA-TRIAL-BAL-2020'!S685+'DES-TRIAL-BAL-2020'!S685+'DMP-TRIAL-BAL-2020'!S685</f>
        <v>0</v>
      </c>
      <c r="AA685" s="347">
        <f>+'NF-KSF-TRIAL-BAL-2020'!T685+'RA-TRIAL-BAL-2020'!T685+'DES-TRIAL-BAL-2020'!T685+'DMP-TRIAL-BAL-2020'!T685</f>
        <v>0</v>
      </c>
      <c r="AB685" s="51"/>
      <c r="AC685" s="8">
        <v>0</v>
      </c>
      <c r="AD685" s="9">
        <v>0</v>
      </c>
      <c r="AE685" s="325"/>
      <c r="AF685" s="324"/>
      <c r="AG685" s="27">
        <f>+IF(ABS(+AC685+AE685)&gt;=ABS(AD685+AF685),+AC685-AD685+AE685-AF685,0)</f>
        <v>0</v>
      </c>
      <c r="AH685" s="28">
        <f>+IF(ABS(+AC685+AE685)&lt;=ABS(AD685+AF685),-AC685+AD685-AE685+AF685,0)</f>
        <v>0</v>
      </c>
      <c r="AI685" s="51"/>
      <c r="AJ685" s="1497">
        <f>+N685</f>
        <v>7275</v>
      </c>
      <c r="AK685" s="8">
        <v>0</v>
      </c>
      <c r="AL685" s="9">
        <v>0</v>
      </c>
      <c r="AM685" s="326">
        <f>+ROUND(+Q685+X685+AE685,2)</f>
        <v>0</v>
      </c>
      <c r="AN685" s="970">
        <f>+ROUND(+R685+Y685+AF685,2)</f>
        <v>0</v>
      </c>
      <c r="AO685" s="27">
        <f t="shared" si="335"/>
        <v>0</v>
      </c>
      <c r="AP685" s="28">
        <f t="shared" si="336"/>
        <v>0</v>
      </c>
      <c r="AQ685" s="43"/>
      <c r="AR685" s="358">
        <f>+ROUND(+SUM(AK685-AL685)-SUM(O685-P685)-SUM(V685-W685)-SUM(AC685-AD685),2)</f>
        <v>0</v>
      </c>
      <c r="AS685" s="359">
        <f>+ROUND(+SUM(AM685-AN685)-SUM(Q685-R685)-SUM(X685-Y685)-SUM(AE685-AF685),2)</f>
        <v>0</v>
      </c>
      <c r="AT685" s="360">
        <f>+ROUND(+SUM(AO685-AP685)-SUM(S685-T685)-SUM(Z685-AA685)-SUM(AG685-AH685),2)</f>
        <v>0</v>
      </c>
      <c r="AU685" s="43"/>
      <c r="AV685" s="43"/>
      <c r="AW685" s="119"/>
      <c r="AX685" s="119"/>
      <c r="AY685" s="43"/>
      <c r="AZ685" s="43"/>
      <c r="BA685" s="43"/>
      <c r="BB685" s="43"/>
      <c r="BC685" s="43"/>
      <c r="BD685" s="43"/>
    </row>
    <row r="686" spans="1:56" ht="15.75">
      <c r="A686" s="88">
        <v>7277</v>
      </c>
      <c r="B686" s="1033" t="s">
        <v>727</v>
      </c>
      <c r="C686" s="1033"/>
      <c r="D686" s="1033"/>
      <c r="E686" s="1033"/>
      <c r="F686" s="1033"/>
      <c r="G686" s="1033"/>
      <c r="H686" s="1033"/>
      <c r="I686" s="1033"/>
      <c r="J686" s="1033"/>
      <c r="K686" s="1033"/>
      <c r="L686" s="90"/>
      <c r="M686" s="51" t="s">
        <v>265</v>
      </c>
      <c r="N686" s="113">
        <f t="shared" si="333"/>
        <v>7277</v>
      </c>
      <c r="O686" s="8">
        <v>0</v>
      </c>
      <c r="P686" s="9">
        <v>0</v>
      </c>
      <c r="Q686" s="325"/>
      <c r="R686" s="324"/>
      <c r="S686" s="27">
        <f t="shared" si="337"/>
        <v>0</v>
      </c>
      <c r="T686" s="28">
        <f t="shared" si="338"/>
        <v>0</v>
      </c>
      <c r="U686" s="51"/>
      <c r="V686" s="541">
        <f>+'NF-KSF-TRIAL-BAL-2020'!O686+'RA-TRIAL-BAL-2020'!O686+'DES-TRIAL-BAL-2020'!O686+'DMP-TRIAL-BAL-2020'!O686</f>
        <v>0</v>
      </c>
      <c r="W686" s="529">
        <f>+'NF-KSF-TRIAL-BAL-2020'!P686+'RA-TRIAL-BAL-2020'!P686+'DES-TRIAL-BAL-2020'!P686+'DMP-TRIAL-BAL-2020'!P686</f>
        <v>0</v>
      </c>
      <c r="X686" s="528">
        <f>+'NF-KSF-TRIAL-BAL-2020'!Q686+'RA-TRIAL-BAL-2020'!Q686+'DES-TRIAL-BAL-2020'!Q686+'DMP-TRIAL-BAL-2020'!Q686</f>
        <v>0</v>
      </c>
      <c r="Y686" s="529">
        <f>+'NF-KSF-TRIAL-BAL-2020'!R686+'RA-TRIAL-BAL-2020'!R686+'DES-TRIAL-BAL-2020'!R686+'DMP-TRIAL-BAL-2020'!R686</f>
        <v>0</v>
      </c>
      <c r="Z686" s="528">
        <f>+'NF-KSF-TRIAL-BAL-2020'!S686+'RA-TRIAL-BAL-2020'!S686+'DES-TRIAL-BAL-2020'!S686+'DMP-TRIAL-BAL-2020'!S686</f>
        <v>0</v>
      </c>
      <c r="AA686" s="347">
        <f>+'NF-KSF-TRIAL-BAL-2020'!T686+'RA-TRIAL-BAL-2020'!T686+'DES-TRIAL-BAL-2020'!T686+'DMP-TRIAL-BAL-2020'!T686</f>
        <v>0</v>
      </c>
      <c r="AB686" s="51"/>
      <c r="AC686" s="8">
        <v>0</v>
      </c>
      <c r="AD686" s="9">
        <v>0</v>
      </c>
      <c r="AE686" s="122"/>
      <c r="AF686" s="121"/>
      <c r="AG686" s="27">
        <f t="shared" si="339"/>
        <v>0</v>
      </c>
      <c r="AH686" s="28">
        <f t="shared" si="340"/>
        <v>0</v>
      </c>
      <c r="AI686" s="51"/>
      <c r="AJ686" s="1497">
        <f t="shared" si="319"/>
        <v>7277</v>
      </c>
      <c r="AK686" s="8">
        <v>0</v>
      </c>
      <c r="AL686" s="9">
        <v>0</v>
      </c>
      <c r="AM686" s="326">
        <f t="shared" si="341"/>
        <v>0</v>
      </c>
      <c r="AN686" s="970">
        <f t="shared" si="341"/>
        <v>0</v>
      </c>
      <c r="AO686" s="27">
        <f t="shared" si="335"/>
        <v>0</v>
      </c>
      <c r="AP686" s="28">
        <f t="shared" si="336"/>
        <v>0</v>
      </c>
      <c r="AQ686" s="43"/>
      <c r="AR686" s="358">
        <f t="shared" si="330"/>
        <v>0</v>
      </c>
      <c r="AS686" s="359">
        <f t="shared" si="331"/>
        <v>0</v>
      </c>
      <c r="AT686" s="360">
        <f t="shared" si="332"/>
        <v>0</v>
      </c>
      <c r="AU686" s="43"/>
      <c r="AV686" s="43"/>
      <c r="AW686" s="119"/>
      <c r="AX686" s="119"/>
      <c r="AY686" s="43"/>
      <c r="AZ686" s="43"/>
      <c r="BA686" s="43"/>
      <c r="BB686" s="43"/>
      <c r="BC686" s="43"/>
      <c r="BD686" s="43"/>
    </row>
    <row r="687" spans="1:56" ht="15.75">
      <c r="A687" s="88">
        <v>7278</v>
      </c>
      <c r="B687" s="1033" t="s">
        <v>728</v>
      </c>
      <c r="C687" s="1033"/>
      <c r="D687" s="1033"/>
      <c r="E687" s="1033"/>
      <c r="F687" s="1033"/>
      <c r="G687" s="1033"/>
      <c r="H687" s="1033"/>
      <c r="I687" s="1033"/>
      <c r="J687" s="1033"/>
      <c r="K687" s="1033"/>
      <c r="L687" s="90"/>
      <c r="M687" s="51" t="s">
        <v>265</v>
      </c>
      <c r="N687" s="113">
        <f t="shared" si="333"/>
        <v>7278</v>
      </c>
      <c r="O687" s="8">
        <v>0</v>
      </c>
      <c r="P687" s="9">
        <v>0</v>
      </c>
      <c r="Q687" s="325"/>
      <c r="R687" s="324"/>
      <c r="S687" s="27">
        <f t="shared" si="337"/>
        <v>0</v>
      </c>
      <c r="T687" s="28">
        <f t="shared" si="338"/>
        <v>0</v>
      </c>
      <c r="U687" s="51"/>
      <c r="V687" s="541">
        <f>+'NF-KSF-TRIAL-BAL-2020'!O687+'RA-TRIAL-BAL-2020'!O687+'DES-TRIAL-BAL-2020'!O687+'DMP-TRIAL-BAL-2020'!O687</f>
        <v>0</v>
      </c>
      <c r="W687" s="529">
        <f>+'NF-KSF-TRIAL-BAL-2020'!P687+'RA-TRIAL-BAL-2020'!P687+'DES-TRIAL-BAL-2020'!P687+'DMP-TRIAL-BAL-2020'!P687</f>
        <v>0</v>
      </c>
      <c r="X687" s="528">
        <f>+'NF-KSF-TRIAL-BAL-2020'!Q687+'RA-TRIAL-BAL-2020'!Q687+'DES-TRIAL-BAL-2020'!Q687+'DMP-TRIAL-BAL-2020'!Q687</f>
        <v>0</v>
      </c>
      <c r="Y687" s="529">
        <f>+'NF-KSF-TRIAL-BAL-2020'!R687+'RA-TRIAL-BAL-2020'!R687+'DES-TRIAL-BAL-2020'!R687+'DMP-TRIAL-BAL-2020'!R687</f>
        <v>0</v>
      </c>
      <c r="Z687" s="528">
        <f>+'NF-KSF-TRIAL-BAL-2020'!S687+'RA-TRIAL-BAL-2020'!S687+'DES-TRIAL-BAL-2020'!S687+'DMP-TRIAL-BAL-2020'!S687</f>
        <v>0</v>
      </c>
      <c r="AA687" s="347">
        <f>+'NF-KSF-TRIAL-BAL-2020'!T687+'RA-TRIAL-BAL-2020'!T687+'DES-TRIAL-BAL-2020'!T687+'DMP-TRIAL-BAL-2020'!T687</f>
        <v>0</v>
      </c>
      <c r="AB687" s="51"/>
      <c r="AC687" s="8">
        <v>0</v>
      </c>
      <c r="AD687" s="9">
        <v>0</v>
      </c>
      <c r="AE687" s="122"/>
      <c r="AF687" s="121"/>
      <c r="AG687" s="27">
        <f t="shared" si="339"/>
        <v>0</v>
      </c>
      <c r="AH687" s="28">
        <f t="shared" si="340"/>
        <v>0</v>
      </c>
      <c r="AI687" s="51"/>
      <c r="AJ687" s="1497">
        <f t="shared" si="319"/>
        <v>7278</v>
      </c>
      <c r="AK687" s="8">
        <v>0</v>
      </c>
      <c r="AL687" s="9">
        <v>0</v>
      </c>
      <c r="AM687" s="326">
        <f t="shared" si="341"/>
        <v>0</v>
      </c>
      <c r="AN687" s="970">
        <f t="shared" si="341"/>
        <v>0</v>
      </c>
      <c r="AO687" s="27">
        <f t="shared" si="335"/>
        <v>0</v>
      </c>
      <c r="AP687" s="28">
        <f t="shared" si="336"/>
        <v>0</v>
      </c>
      <c r="AQ687" s="43"/>
      <c r="AR687" s="358">
        <f t="shared" si="330"/>
        <v>0</v>
      </c>
      <c r="AS687" s="359">
        <f t="shared" si="331"/>
        <v>0</v>
      </c>
      <c r="AT687" s="360">
        <f t="shared" si="332"/>
        <v>0</v>
      </c>
      <c r="AU687" s="43"/>
      <c r="AV687" s="43"/>
      <c r="AW687" s="119"/>
      <c r="AX687" s="119"/>
      <c r="AY687" s="43"/>
      <c r="AZ687" s="43"/>
      <c r="BA687" s="43"/>
      <c r="BB687" s="43"/>
      <c r="BC687" s="43"/>
      <c r="BD687" s="43"/>
    </row>
    <row r="688" spans="1:56" ht="15.75">
      <c r="A688" s="88">
        <v>7282</v>
      </c>
      <c r="B688" s="1033" t="s">
        <v>729</v>
      </c>
      <c r="C688" s="1033"/>
      <c r="D688" s="1033"/>
      <c r="E688" s="1033"/>
      <c r="F688" s="1033"/>
      <c r="G688" s="1033"/>
      <c r="H688" s="1033"/>
      <c r="I688" s="1033"/>
      <c r="J688" s="1033"/>
      <c r="K688" s="1033"/>
      <c r="L688" s="90"/>
      <c r="M688" s="51" t="s">
        <v>265</v>
      </c>
      <c r="N688" s="113">
        <f t="shared" si="333"/>
        <v>7282</v>
      </c>
      <c r="O688" s="8">
        <v>0</v>
      </c>
      <c r="P688" s="9">
        <v>0</v>
      </c>
      <c r="Q688" s="325"/>
      <c r="R688" s="324"/>
      <c r="S688" s="27">
        <f t="shared" si="337"/>
        <v>0</v>
      </c>
      <c r="T688" s="28">
        <f t="shared" si="338"/>
        <v>0</v>
      </c>
      <c r="U688" s="51"/>
      <c r="V688" s="541">
        <f>+'NF-KSF-TRIAL-BAL-2020'!O688+'RA-TRIAL-BAL-2020'!O688+'DES-TRIAL-BAL-2020'!O688+'DMP-TRIAL-BAL-2020'!O688</f>
        <v>0</v>
      </c>
      <c r="W688" s="529">
        <f>+'NF-KSF-TRIAL-BAL-2020'!P688+'RA-TRIAL-BAL-2020'!P688+'DES-TRIAL-BAL-2020'!P688+'DMP-TRIAL-BAL-2020'!P688</f>
        <v>0</v>
      </c>
      <c r="X688" s="528">
        <f>+'NF-KSF-TRIAL-BAL-2020'!Q688+'RA-TRIAL-BAL-2020'!Q688+'DES-TRIAL-BAL-2020'!Q688+'DMP-TRIAL-BAL-2020'!Q688</f>
        <v>0</v>
      </c>
      <c r="Y688" s="529">
        <f>+'NF-KSF-TRIAL-BAL-2020'!R688+'RA-TRIAL-BAL-2020'!R688+'DES-TRIAL-BAL-2020'!R688+'DMP-TRIAL-BAL-2020'!R688</f>
        <v>0</v>
      </c>
      <c r="Z688" s="528">
        <f>+'NF-KSF-TRIAL-BAL-2020'!S688+'RA-TRIAL-BAL-2020'!S688+'DES-TRIAL-BAL-2020'!S688+'DMP-TRIAL-BAL-2020'!S688</f>
        <v>0</v>
      </c>
      <c r="AA688" s="347">
        <f>+'NF-KSF-TRIAL-BAL-2020'!T688+'RA-TRIAL-BAL-2020'!T688+'DES-TRIAL-BAL-2020'!T688+'DMP-TRIAL-BAL-2020'!T688</f>
        <v>0</v>
      </c>
      <c r="AB688" s="51"/>
      <c r="AC688" s="8">
        <v>0</v>
      </c>
      <c r="AD688" s="9">
        <v>0</v>
      </c>
      <c r="AE688" s="325"/>
      <c r="AF688" s="324"/>
      <c r="AG688" s="27">
        <f t="shared" si="339"/>
        <v>0</v>
      </c>
      <c r="AH688" s="28">
        <f t="shared" si="340"/>
        <v>0</v>
      </c>
      <c r="AI688" s="51"/>
      <c r="AJ688" s="1497">
        <f t="shared" si="319"/>
        <v>7282</v>
      </c>
      <c r="AK688" s="8">
        <v>0</v>
      </c>
      <c r="AL688" s="9">
        <v>0</v>
      </c>
      <c r="AM688" s="326">
        <f t="shared" si="341"/>
        <v>0</v>
      </c>
      <c r="AN688" s="970">
        <f t="shared" si="341"/>
        <v>0</v>
      </c>
      <c r="AO688" s="27">
        <f t="shared" si="335"/>
        <v>0</v>
      </c>
      <c r="AP688" s="28">
        <f t="shared" si="336"/>
        <v>0</v>
      </c>
      <c r="AQ688" s="43"/>
      <c r="AR688" s="358">
        <f t="shared" si="330"/>
        <v>0</v>
      </c>
      <c r="AS688" s="359">
        <f t="shared" si="331"/>
        <v>0</v>
      </c>
      <c r="AT688" s="360">
        <f t="shared" si="332"/>
        <v>0</v>
      </c>
      <c r="AU688" s="43"/>
      <c r="AV688" s="43"/>
      <c r="AW688" s="119"/>
      <c r="AX688" s="119"/>
      <c r="AY688" s="43"/>
      <c r="AZ688" s="43"/>
      <c r="BA688" s="43"/>
      <c r="BB688" s="43"/>
      <c r="BC688" s="43"/>
      <c r="BD688" s="43"/>
    </row>
    <row r="689" spans="1:56" ht="15.75">
      <c r="A689" s="88">
        <v>7289</v>
      </c>
      <c r="B689" s="1033" t="s">
        <v>730</v>
      </c>
      <c r="C689" s="1033"/>
      <c r="D689" s="1033"/>
      <c r="E689" s="1033"/>
      <c r="F689" s="1033"/>
      <c r="G689" s="1033"/>
      <c r="H689" s="1033"/>
      <c r="I689" s="1033"/>
      <c r="J689" s="1033"/>
      <c r="K689" s="1033"/>
      <c r="L689" s="90"/>
      <c r="M689" s="51" t="s">
        <v>265</v>
      </c>
      <c r="N689" s="113">
        <f t="shared" si="333"/>
        <v>7289</v>
      </c>
      <c r="O689" s="8">
        <v>0</v>
      </c>
      <c r="P689" s="9">
        <v>0</v>
      </c>
      <c r="Q689" s="325"/>
      <c r="R689" s="324"/>
      <c r="S689" s="27">
        <f t="shared" si="337"/>
        <v>0</v>
      </c>
      <c r="T689" s="28">
        <f t="shared" si="338"/>
        <v>0</v>
      </c>
      <c r="U689" s="51"/>
      <c r="V689" s="541">
        <f>+'NF-KSF-TRIAL-BAL-2020'!O689+'RA-TRIAL-BAL-2020'!O689+'DES-TRIAL-BAL-2020'!O689+'DMP-TRIAL-BAL-2020'!O689</f>
        <v>0</v>
      </c>
      <c r="W689" s="529">
        <f>+'NF-KSF-TRIAL-BAL-2020'!P689+'RA-TRIAL-BAL-2020'!P689+'DES-TRIAL-BAL-2020'!P689+'DMP-TRIAL-BAL-2020'!P689</f>
        <v>0</v>
      </c>
      <c r="X689" s="528">
        <f>+'NF-KSF-TRIAL-BAL-2020'!Q689+'RA-TRIAL-BAL-2020'!Q689+'DES-TRIAL-BAL-2020'!Q689+'DMP-TRIAL-BAL-2020'!Q689</f>
        <v>0</v>
      </c>
      <c r="Y689" s="529">
        <f>+'NF-KSF-TRIAL-BAL-2020'!R689+'RA-TRIAL-BAL-2020'!R689+'DES-TRIAL-BAL-2020'!R689+'DMP-TRIAL-BAL-2020'!R689</f>
        <v>0</v>
      </c>
      <c r="Z689" s="528">
        <f>+'NF-KSF-TRIAL-BAL-2020'!S689+'RA-TRIAL-BAL-2020'!S689+'DES-TRIAL-BAL-2020'!S689+'DMP-TRIAL-BAL-2020'!S689</f>
        <v>0</v>
      </c>
      <c r="AA689" s="347">
        <f>+'NF-KSF-TRIAL-BAL-2020'!T689+'RA-TRIAL-BAL-2020'!T689+'DES-TRIAL-BAL-2020'!T689+'DMP-TRIAL-BAL-2020'!T689</f>
        <v>0</v>
      </c>
      <c r="AB689" s="51"/>
      <c r="AC689" s="8">
        <v>0</v>
      </c>
      <c r="AD689" s="9">
        <v>0</v>
      </c>
      <c r="AE689" s="122"/>
      <c r="AF689" s="121"/>
      <c r="AG689" s="27">
        <f t="shared" si="339"/>
        <v>0</v>
      </c>
      <c r="AH689" s="28">
        <f t="shared" si="340"/>
        <v>0</v>
      </c>
      <c r="AI689" s="51"/>
      <c r="AJ689" s="1497">
        <f t="shared" si="319"/>
        <v>7289</v>
      </c>
      <c r="AK689" s="8">
        <v>0</v>
      </c>
      <c r="AL689" s="9">
        <v>0</v>
      </c>
      <c r="AM689" s="326">
        <f t="shared" si="341"/>
        <v>0</v>
      </c>
      <c r="AN689" s="970">
        <f t="shared" si="341"/>
        <v>0</v>
      </c>
      <c r="AO689" s="27">
        <f t="shared" si="335"/>
        <v>0</v>
      </c>
      <c r="AP689" s="28">
        <f t="shared" si="336"/>
        <v>0</v>
      </c>
      <c r="AQ689" s="43"/>
      <c r="AR689" s="358">
        <f t="shared" si="330"/>
        <v>0</v>
      </c>
      <c r="AS689" s="359">
        <f t="shared" si="331"/>
        <v>0</v>
      </c>
      <c r="AT689" s="360">
        <f t="shared" si="332"/>
        <v>0</v>
      </c>
      <c r="AU689" s="43"/>
      <c r="AV689" s="43"/>
      <c r="AW689" s="119"/>
      <c r="AX689" s="119"/>
      <c r="AY689" s="43"/>
      <c r="AZ689" s="43"/>
      <c r="BA689" s="43"/>
      <c r="BB689" s="43"/>
      <c r="BC689" s="43"/>
      <c r="BD689" s="43"/>
    </row>
    <row r="690" spans="1:56" ht="15.75">
      <c r="A690" s="88">
        <v>7291</v>
      </c>
      <c r="B690" s="1033" t="s">
        <v>731</v>
      </c>
      <c r="C690" s="1033"/>
      <c r="D690" s="1033"/>
      <c r="E690" s="1033"/>
      <c r="F690" s="1033"/>
      <c r="G690" s="1033"/>
      <c r="H690" s="1033"/>
      <c r="I690" s="1033"/>
      <c r="J690" s="1033"/>
      <c r="K690" s="1033"/>
      <c r="L690" s="90"/>
      <c r="M690" s="51" t="s">
        <v>265</v>
      </c>
      <c r="N690" s="113">
        <f t="shared" si="333"/>
        <v>7291</v>
      </c>
      <c r="O690" s="8">
        <v>0</v>
      </c>
      <c r="P690" s="9">
        <v>0</v>
      </c>
      <c r="Q690" s="325"/>
      <c r="R690" s="324"/>
      <c r="S690" s="27">
        <f t="shared" si="337"/>
        <v>0</v>
      </c>
      <c r="T690" s="28">
        <f t="shared" si="338"/>
        <v>0</v>
      </c>
      <c r="U690" s="51"/>
      <c r="V690" s="541">
        <f>+'NF-KSF-TRIAL-BAL-2020'!O690+'RA-TRIAL-BAL-2020'!O690+'DES-TRIAL-BAL-2020'!O690+'DMP-TRIAL-BAL-2020'!O690</f>
        <v>0</v>
      </c>
      <c r="W690" s="529">
        <f>+'NF-KSF-TRIAL-BAL-2020'!P690+'RA-TRIAL-BAL-2020'!P690+'DES-TRIAL-BAL-2020'!P690+'DMP-TRIAL-BAL-2020'!P690</f>
        <v>0</v>
      </c>
      <c r="X690" s="528">
        <f>+'NF-KSF-TRIAL-BAL-2020'!Q690+'RA-TRIAL-BAL-2020'!Q690+'DES-TRIAL-BAL-2020'!Q690+'DMP-TRIAL-BAL-2020'!Q690</f>
        <v>0</v>
      </c>
      <c r="Y690" s="529">
        <f>+'NF-KSF-TRIAL-BAL-2020'!R690+'RA-TRIAL-BAL-2020'!R690+'DES-TRIAL-BAL-2020'!R690+'DMP-TRIAL-BAL-2020'!R690</f>
        <v>0</v>
      </c>
      <c r="Z690" s="528">
        <f>+'NF-KSF-TRIAL-BAL-2020'!S690+'RA-TRIAL-BAL-2020'!S690+'DES-TRIAL-BAL-2020'!S690+'DMP-TRIAL-BAL-2020'!S690</f>
        <v>0</v>
      </c>
      <c r="AA690" s="347">
        <f>+'NF-KSF-TRIAL-BAL-2020'!T690+'RA-TRIAL-BAL-2020'!T690+'DES-TRIAL-BAL-2020'!T690+'DMP-TRIAL-BAL-2020'!T690</f>
        <v>0</v>
      </c>
      <c r="AB690" s="51"/>
      <c r="AC690" s="8">
        <v>0</v>
      </c>
      <c r="AD690" s="9">
        <v>0</v>
      </c>
      <c r="AE690" s="122"/>
      <c r="AF690" s="121"/>
      <c r="AG690" s="27">
        <f t="shared" si="339"/>
        <v>0</v>
      </c>
      <c r="AH690" s="28">
        <f t="shared" si="340"/>
        <v>0</v>
      </c>
      <c r="AI690" s="51"/>
      <c r="AJ690" s="1497">
        <f t="shared" si="319"/>
        <v>7291</v>
      </c>
      <c r="AK690" s="8">
        <v>0</v>
      </c>
      <c r="AL690" s="9">
        <v>0</v>
      </c>
      <c r="AM690" s="326">
        <f t="shared" si="341"/>
        <v>0</v>
      </c>
      <c r="AN690" s="970">
        <f t="shared" si="341"/>
        <v>0</v>
      </c>
      <c r="AO690" s="27">
        <f t="shared" si="335"/>
        <v>0</v>
      </c>
      <c r="AP690" s="28">
        <f t="shared" si="336"/>
        <v>0</v>
      </c>
      <c r="AQ690" s="43"/>
      <c r="AR690" s="358">
        <f t="shared" si="330"/>
        <v>0</v>
      </c>
      <c r="AS690" s="359">
        <f t="shared" si="331"/>
        <v>0</v>
      </c>
      <c r="AT690" s="360">
        <f t="shared" si="332"/>
        <v>0</v>
      </c>
      <c r="AU690" s="43"/>
      <c r="AV690" s="43"/>
      <c r="AW690" s="119"/>
      <c r="AX690" s="119"/>
      <c r="AY690" s="43"/>
      <c r="AZ690" s="43"/>
      <c r="BA690" s="43"/>
      <c r="BB690" s="43"/>
      <c r="BC690" s="43"/>
      <c r="BD690" s="43"/>
    </row>
    <row r="691" spans="1:56" ht="15.75">
      <c r="A691" s="88">
        <v>7292</v>
      </c>
      <c r="B691" s="1033" t="s">
        <v>732</v>
      </c>
      <c r="C691" s="1033"/>
      <c r="D691" s="1033"/>
      <c r="E691" s="1033"/>
      <c r="F691" s="1033"/>
      <c r="G691" s="1033"/>
      <c r="H691" s="1033"/>
      <c r="I691" s="1033"/>
      <c r="J691" s="1033"/>
      <c r="K691" s="1033"/>
      <c r="L691" s="90"/>
      <c r="M691" s="51" t="s">
        <v>265</v>
      </c>
      <c r="N691" s="113">
        <f t="shared" si="333"/>
        <v>7292</v>
      </c>
      <c r="O691" s="8">
        <v>0</v>
      </c>
      <c r="P691" s="9">
        <v>0</v>
      </c>
      <c r="Q691" s="325"/>
      <c r="R691" s="324"/>
      <c r="S691" s="27">
        <f t="shared" si="337"/>
        <v>0</v>
      </c>
      <c r="T691" s="28">
        <f t="shared" si="338"/>
        <v>0</v>
      </c>
      <c r="U691" s="51"/>
      <c r="V691" s="541">
        <f>+'NF-KSF-TRIAL-BAL-2020'!O691+'RA-TRIAL-BAL-2020'!O691+'DES-TRIAL-BAL-2020'!O691+'DMP-TRIAL-BAL-2020'!O691</f>
        <v>0</v>
      </c>
      <c r="W691" s="529">
        <f>+'NF-KSF-TRIAL-BAL-2020'!P691+'RA-TRIAL-BAL-2020'!P691+'DES-TRIAL-BAL-2020'!P691+'DMP-TRIAL-BAL-2020'!P691</f>
        <v>0</v>
      </c>
      <c r="X691" s="528">
        <f>+'NF-KSF-TRIAL-BAL-2020'!Q691+'RA-TRIAL-BAL-2020'!Q691+'DES-TRIAL-BAL-2020'!Q691+'DMP-TRIAL-BAL-2020'!Q691</f>
        <v>0</v>
      </c>
      <c r="Y691" s="529">
        <f>+'NF-KSF-TRIAL-BAL-2020'!R691+'RA-TRIAL-BAL-2020'!R691+'DES-TRIAL-BAL-2020'!R691+'DMP-TRIAL-BAL-2020'!R691</f>
        <v>0</v>
      </c>
      <c r="Z691" s="528">
        <f>+'NF-KSF-TRIAL-BAL-2020'!S691+'RA-TRIAL-BAL-2020'!S691+'DES-TRIAL-BAL-2020'!S691+'DMP-TRIAL-BAL-2020'!S691</f>
        <v>0</v>
      </c>
      <c r="AA691" s="347">
        <f>+'NF-KSF-TRIAL-BAL-2020'!T691+'RA-TRIAL-BAL-2020'!T691+'DES-TRIAL-BAL-2020'!T691+'DMP-TRIAL-BAL-2020'!T691</f>
        <v>0</v>
      </c>
      <c r="AB691" s="51"/>
      <c r="AC691" s="8">
        <v>0</v>
      </c>
      <c r="AD691" s="9">
        <v>0</v>
      </c>
      <c r="AE691" s="122"/>
      <c r="AF691" s="121"/>
      <c r="AG691" s="27">
        <f t="shared" si="339"/>
        <v>0</v>
      </c>
      <c r="AH691" s="28">
        <f t="shared" si="340"/>
        <v>0</v>
      </c>
      <c r="AI691" s="51"/>
      <c r="AJ691" s="1497">
        <f t="shared" si="319"/>
        <v>7292</v>
      </c>
      <c r="AK691" s="8">
        <v>0</v>
      </c>
      <c r="AL691" s="9">
        <v>0</v>
      </c>
      <c r="AM691" s="326">
        <f t="shared" si="341"/>
        <v>0</v>
      </c>
      <c r="AN691" s="970">
        <f t="shared" si="341"/>
        <v>0</v>
      </c>
      <c r="AO691" s="27">
        <f t="shared" si="335"/>
        <v>0</v>
      </c>
      <c r="AP691" s="28">
        <f t="shared" si="336"/>
        <v>0</v>
      </c>
      <c r="AQ691" s="43"/>
      <c r="AR691" s="358">
        <f t="shared" si="330"/>
        <v>0</v>
      </c>
      <c r="AS691" s="359">
        <f t="shared" si="331"/>
        <v>0</v>
      </c>
      <c r="AT691" s="360">
        <f t="shared" si="332"/>
        <v>0</v>
      </c>
      <c r="AU691" s="43"/>
      <c r="AV691" s="43"/>
      <c r="AW691" s="119"/>
      <c r="AX691" s="119"/>
      <c r="AY691" s="43"/>
      <c r="AZ691" s="43"/>
      <c r="BA691" s="43"/>
      <c r="BB691" s="43"/>
      <c r="BC691" s="43"/>
      <c r="BD691" s="43"/>
    </row>
    <row r="692" spans="1:56" ht="15.75">
      <c r="A692" s="88">
        <v>7298</v>
      </c>
      <c r="B692" s="1033" t="s">
        <v>733</v>
      </c>
      <c r="C692" s="1033"/>
      <c r="D692" s="1033"/>
      <c r="E692" s="1033"/>
      <c r="F692" s="1033"/>
      <c r="G692" s="1033"/>
      <c r="H692" s="1033"/>
      <c r="I692" s="1033"/>
      <c r="J692" s="1033"/>
      <c r="K692" s="1033"/>
      <c r="L692" s="90"/>
      <c r="M692" s="51" t="s">
        <v>265</v>
      </c>
      <c r="N692" s="113">
        <f t="shared" si="333"/>
        <v>7298</v>
      </c>
      <c r="O692" s="8">
        <v>0</v>
      </c>
      <c r="P692" s="9">
        <v>0</v>
      </c>
      <c r="Q692" s="325"/>
      <c r="R692" s="324"/>
      <c r="S692" s="27">
        <f t="shared" si="337"/>
        <v>0</v>
      </c>
      <c r="T692" s="28">
        <f t="shared" si="338"/>
        <v>0</v>
      </c>
      <c r="U692" s="51"/>
      <c r="V692" s="541">
        <f>+'NF-KSF-TRIAL-BAL-2020'!O692+'RA-TRIAL-BAL-2020'!O692+'DES-TRIAL-BAL-2020'!O692+'DMP-TRIAL-BAL-2020'!O692</f>
        <v>0</v>
      </c>
      <c r="W692" s="529">
        <f>+'NF-KSF-TRIAL-BAL-2020'!P692+'RA-TRIAL-BAL-2020'!P692+'DES-TRIAL-BAL-2020'!P692+'DMP-TRIAL-BAL-2020'!P692</f>
        <v>0</v>
      </c>
      <c r="X692" s="528">
        <f>+'NF-KSF-TRIAL-BAL-2020'!Q692+'RA-TRIAL-BAL-2020'!Q692+'DES-TRIAL-BAL-2020'!Q692+'DMP-TRIAL-BAL-2020'!Q692</f>
        <v>0</v>
      </c>
      <c r="Y692" s="529">
        <f>+'NF-KSF-TRIAL-BAL-2020'!R692+'RA-TRIAL-BAL-2020'!R692+'DES-TRIAL-BAL-2020'!R692+'DMP-TRIAL-BAL-2020'!R692</f>
        <v>0</v>
      </c>
      <c r="Z692" s="528">
        <f>+'NF-KSF-TRIAL-BAL-2020'!S692+'RA-TRIAL-BAL-2020'!S692+'DES-TRIAL-BAL-2020'!S692+'DMP-TRIAL-BAL-2020'!S692</f>
        <v>0</v>
      </c>
      <c r="AA692" s="347">
        <f>+'NF-KSF-TRIAL-BAL-2020'!T692+'RA-TRIAL-BAL-2020'!T692+'DES-TRIAL-BAL-2020'!T692+'DMP-TRIAL-BAL-2020'!T692</f>
        <v>0</v>
      </c>
      <c r="AB692" s="51"/>
      <c r="AC692" s="8">
        <v>0</v>
      </c>
      <c r="AD692" s="9">
        <v>0</v>
      </c>
      <c r="AE692" s="325"/>
      <c r="AF692" s="324"/>
      <c r="AG692" s="27">
        <f t="shared" si="339"/>
        <v>0</v>
      </c>
      <c r="AH692" s="28">
        <f t="shared" si="340"/>
        <v>0</v>
      </c>
      <c r="AI692" s="51"/>
      <c r="AJ692" s="1497">
        <f t="shared" si="319"/>
        <v>7298</v>
      </c>
      <c r="AK692" s="8">
        <v>0</v>
      </c>
      <c r="AL692" s="9">
        <v>0</v>
      </c>
      <c r="AM692" s="326">
        <f t="shared" si="341"/>
        <v>0</v>
      </c>
      <c r="AN692" s="970">
        <f t="shared" si="341"/>
        <v>0</v>
      </c>
      <c r="AO692" s="27">
        <f t="shared" si="335"/>
        <v>0</v>
      </c>
      <c r="AP692" s="28">
        <f t="shared" si="336"/>
        <v>0</v>
      </c>
      <c r="AQ692" s="43"/>
      <c r="AR692" s="358">
        <f t="shared" si="330"/>
        <v>0</v>
      </c>
      <c r="AS692" s="359">
        <f t="shared" si="331"/>
        <v>0</v>
      </c>
      <c r="AT692" s="360">
        <f t="shared" si="332"/>
        <v>0</v>
      </c>
      <c r="AU692" s="43"/>
      <c r="AV692" s="43"/>
      <c r="AW692" s="119"/>
      <c r="AX692" s="119"/>
      <c r="AY692" s="43"/>
      <c r="AZ692" s="43"/>
      <c r="BA692" s="43"/>
      <c r="BB692" s="43"/>
      <c r="BC692" s="43"/>
      <c r="BD692" s="43"/>
    </row>
    <row r="693" spans="1:56" ht="15.75">
      <c r="A693" s="88">
        <v>7311</v>
      </c>
      <c r="B693" s="1035" t="s">
        <v>1173</v>
      </c>
      <c r="C693" s="1033"/>
      <c r="D693" s="1033"/>
      <c r="E693" s="1033"/>
      <c r="F693" s="1033"/>
      <c r="G693" s="1033"/>
      <c r="H693" s="1033"/>
      <c r="I693" s="1033"/>
      <c r="J693" s="1033"/>
      <c r="K693" s="1033"/>
      <c r="L693" s="90"/>
      <c r="M693" s="51" t="s">
        <v>265</v>
      </c>
      <c r="N693" s="113">
        <f t="shared" si="333"/>
        <v>7311</v>
      </c>
      <c r="O693" s="8">
        <v>0</v>
      </c>
      <c r="P693" s="9">
        <v>0</v>
      </c>
      <c r="Q693" s="325">
        <v>0</v>
      </c>
      <c r="R693" s="324">
        <v>0</v>
      </c>
      <c r="S693" s="27">
        <f t="shared" si="337"/>
        <v>0</v>
      </c>
      <c r="T693" s="28">
        <f t="shared" si="338"/>
        <v>0</v>
      </c>
      <c r="U693" s="51"/>
      <c r="V693" s="541">
        <f>+'NF-KSF-TRIAL-BAL-2020'!O693+'RA-TRIAL-BAL-2020'!O693+'DES-TRIAL-BAL-2020'!O693+'DMP-TRIAL-BAL-2020'!O693</f>
        <v>0</v>
      </c>
      <c r="W693" s="529">
        <f>+'NF-KSF-TRIAL-BAL-2020'!P693+'RA-TRIAL-BAL-2020'!P693+'DES-TRIAL-BAL-2020'!P693+'DMP-TRIAL-BAL-2020'!P693</f>
        <v>0</v>
      </c>
      <c r="X693" s="528">
        <f>+'NF-KSF-TRIAL-BAL-2020'!Q693+'RA-TRIAL-BAL-2020'!Q693+'DES-TRIAL-BAL-2020'!Q693+'DMP-TRIAL-BAL-2020'!Q693</f>
        <v>0</v>
      </c>
      <c r="Y693" s="529">
        <f>+'NF-KSF-TRIAL-BAL-2020'!R693+'RA-TRIAL-BAL-2020'!R693+'DES-TRIAL-BAL-2020'!R693+'DMP-TRIAL-BAL-2020'!R693</f>
        <v>0</v>
      </c>
      <c r="Z693" s="528">
        <f>+'NF-KSF-TRIAL-BAL-2020'!S693+'RA-TRIAL-BAL-2020'!S693+'DES-TRIAL-BAL-2020'!S693+'DMP-TRIAL-BAL-2020'!S693</f>
        <v>0</v>
      </c>
      <c r="AA693" s="347">
        <f>+'NF-KSF-TRIAL-BAL-2020'!T693+'RA-TRIAL-BAL-2020'!T693+'DES-TRIAL-BAL-2020'!T693+'DMP-TRIAL-BAL-2020'!T693</f>
        <v>0</v>
      </c>
      <c r="AB693" s="51"/>
      <c r="AC693" s="8">
        <v>0</v>
      </c>
      <c r="AD693" s="9">
        <v>0</v>
      </c>
      <c r="AE693" s="122">
        <v>0</v>
      </c>
      <c r="AF693" s="121">
        <v>0</v>
      </c>
      <c r="AG693" s="27">
        <f t="shared" si="339"/>
        <v>0</v>
      </c>
      <c r="AH693" s="28">
        <f t="shared" si="340"/>
        <v>0</v>
      </c>
      <c r="AI693" s="51"/>
      <c r="AJ693" s="1497">
        <f t="shared" si="319"/>
        <v>7311</v>
      </c>
      <c r="AK693" s="8">
        <v>0</v>
      </c>
      <c r="AL693" s="9">
        <v>0</v>
      </c>
      <c r="AM693" s="326">
        <f t="shared" si="341"/>
        <v>0</v>
      </c>
      <c r="AN693" s="970">
        <f t="shared" si="341"/>
        <v>0</v>
      </c>
      <c r="AO693" s="27">
        <f t="shared" si="335"/>
        <v>0</v>
      </c>
      <c r="AP693" s="28">
        <f t="shared" si="336"/>
        <v>0</v>
      </c>
      <c r="AQ693" s="43"/>
      <c r="AR693" s="358">
        <f t="shared" si="330"/>
        <v>0</v>
      </c>
      <c r="AS693" s="359">
        <f t="shared" si="331"/>
        <v>0</v>
      </c>
      <c r="AT693" s="360">
        <f t="shared" si="332"/>
        <v>0</v>
      </c>
      <c r="AU693" s="43"/>
      <c r="AV693" s="43"/>
      <c r="AW693" s="119"/>
      <c r="AX693" s="119"/>
      <c r="AY693" s="43"/>
      <c r="AZ693" s="43"/>
      <c r="BA693" s="43"/>
      <c r="BB693" s="43"/>
      <c r="BC693" s="43"/>
      <c r="BD693" s="43"/>
    </row>
    <row r="694" spans="1:56" ht="15.75">
      <c r="A694" s="88">
        <v>7313</v>
      </c>
      <c r="B694" s="1035" t="s">
        <v>1174</v>
      </c>
      <c r="C694" s="1033"/>
      <c r="D694" s="1033"/>
      <c r="E694" s="1033"/>
      <c r="F694" s="1033"/>
      <c r="G694" s="1033"/>
      <c r="H694" s="1033"/>
      <c r="I694" s="1033"/>
      <c r="J694" s="1033"/>
      <c r="K694" s="1033"/>
      <c r="L694" s="90"/>
      <c r="M694" s="51" t="s">
        <v>265</v>
      </c>
      <c r="N694" s="113">
        <f>+A694</f>
        <v>7313</v>
      </c>
      <c r="O694" s="8">
        <v>0</v>
      </c>
      <c r="P694" s="9">
        <v>0</v>
      </c>
      <c r="Q694" s="325"/>
      <c r="R694" s="324"/>
      <c r="S694" s="27">
        <f>+IF(ABS(+O694+Q694)&gt;=ABS(P694+R694),+O694-P694+Q694-R694,0)</f>
        <v>0</v>
      </c>
      <c r="T694" s="28">
        <f>+IF(ABS(+O694+Q694)&lt;=ABS(P694+R694),-O694+P694-Q694+R694,0)</f>
        <v>0</v>
      </c>
      <c r="U694" s="51"/>
      <c r="V694" s="541">
        <f>+'NF-KSF-TRIAL-BAL-2020'!O694+'RA-TRIAL-BAL-2020'!O694+'DES-TRIAL-BAL-2020'!O694+'DMP-TRIAL-BAL-2020'!O694</f>
        <v>0</v>
      </c>
      <c r="W694" s="529">
        <f>+'NF-KSF-TRIAL-BAL-2020'!P694+'RA-TRIAL-BAL-2020'!P694+'DES-TRIAL-BAL-2020'!P694+'DMP-TRIAL-BAL-2020'!P694</f>
        <v>0</v>
      </c>
      <c r="X694" s="528">
        <f>+'NF-KSF-TRIAL-BAL-2020'!Q694+'RA-TRIAL-BAL-2020'!Q694+'DES-TRIAL-BAL-2020'!Q694+'DMP-TRIAL-BAL-2020'!Q694</f>
        <v>0</v>
      </c>
      <c r="Y694" s="529">
        <f>+'NF-KSF-TRIAL-BAL-2020'!R694+'RA-TRIAL-BAL-2020'!R694+'DES-TRIAL-BAL-2020'!R694+'DMP-TRIAL-BAL-2020'!R694</f>
        <v>0</v>
      </c>
      <c r="Z694" s="528">
        <f>+'NF-KSF-TRIAL-BAL-2020'!S694+'RA-TRIAL-BAL-2020'!S694+'DES-TRIAL-BAL-2020'!S694+'DMP-TRIAL-BAL-2020'!S694</f>
        <v>0</v>
      </c>
      <c r="AA694" s="347">
        <f>+'NF-KSF-TRIAL-BAL-2020'!T694+'RA-TRIAL-BAL-2020'!T694+'DES-TRIAL-BAL-2020'!T694+'DMP-TRIAL-BAL-2020'!T694</f>
        <v>0</v>
      </c>
      <c r="AB694" s="51"/>
      <c r="AC694" s="8">
        <v>0</v>
      </c>
      <c r="AD694" s="9">
        <v>0</v>
      </c>
      <c r="AE694" s="122"/>
      <c r="AF694" s="121"/>
      <c r="AG694" s="27">
        <f>+IF(ABS(+AC694+AE694)&gt;=ABS(AD694+AF694),+AC694-AD694+AE694-AF694,0)</f>
        <v>0</v>
      </c>
      <c r="AH694" s="28">
        <f>+IF(ABS(+AC694+AE694)&lt;=ABS(AD694+AF694),-AC694+AD694-AE694+AF694,0)</f>
        <v>0</v>
      </c>
      <c r="AI694" s="51"/>
      <c r="AJ694" s="1497">
        <f>+N694</f>
        <v>7313</v>
      </c>
      <c r="AK694" s="8">
        <v>0</v>
      </c>
      <c r="AL694" s="9">
        <v>0</v>
      </c>
      <c r="AM694" s="326">
        <f>+ROUND(+Q694+X694+AE694,2)</f>
        <v>0</v>
      </c>
      <c r="AN694" s="970">
        <f>+ROUND(+R694+Y694+AF694,2)</f>
        <v>0</v>
      </c>
      <c r="AO694" s="27">
        <f t="shared" si="335"/>
        <v>0</v>
      </c>
      <c r="AP694" s="28">
        <f t="shared" si="336"/>
        <v>0</v>
      </c>
      <c r="AQ694" s="43"/>
      <c r="AR694" s="358">
        <f>+ROUND(+SUM(AK694-AL694)-SUM(O694-P694)-SUM(V694-W694)-SUM(AC694-AD694),2)</f>
        <v>0</v>
      </c>
      <c r="AS694" s="359">
        <f>+ROUND(+SUM(AM694-AN694)-SUM(Q694-R694)-SUM(X694-Y694)-SUM(AE694-AF694),2)</f>
        <v>0</v>
      </c>
      <c r="AT694" s="360">
        <f>+ROUND(+SUM(AO694-AP694)-SUM(S694-T694)-SUM(Z694-AA694)-SUM(AG694-AH694),2)</f>
        <v>0</v>
      </c>
      <c r="AU694" s="43"/>
      <c r="AV694" s="43"/>
      <c r="AW694" s="119"/>
      <c r="AX694" s="119"/>
      <c r="AY694" s="43"/>
      <c r="AZ694" s="43"/>
      <c r="BA694" s="43"/>
      <c r="BB694" s="43"/>
      <c r="BC694" s="43"/>
      <c r="BD694" s="43"/>
    </row>
    <row r="695" spans="1:56" ht="15.75">
      <c r="A695" s="88">
        <v>7319</v>
      </c>
      <c r="B695" s="1035" t="s">
        <v>1175</v>
      </c>
      <c r="C695" s="1033"/>
      <c r="D695" s="1033"/>
      <c r="E695" s="1033"/>
      <c r="F695" s="1033"/>
      <c r="G695" s="1033"/>
      <c r="H695" s="1033"/>
      <c r="I695" s="1033"/>
      <c r="J695" s="1033"/>
      <c r="K695" s="1033"/>
      <c r="L695" s="90"/>
      <c r="M695" s="51" t="s">
        <v>265</v>
      </c>
      <c r="N695" s="113">
        <f t="shared" si="333"/>
        <v>7319</v>
      </c>
      <c r="O695" s="8">
        <v>0</v>
      </c>
      <c r="P695" s="9">
        <v>0</v>
      </c>
      <c r="Q695" s="325">
        <v>0</v>
      </c>
      <c r="R695" s="324">
        <v>0</v>
      </c>
      <c r="S695" s="27">
        <f t="shared" si="337"/>
        <v>0</v>
      </c>
      <c r="T695" s="28">
        <f t="shared" si="338"/>
        <v>0</v>
      </c>
      <c r="U695" s="51"/>
      <c r="V695" s="541">
        <f>+'NF-KSF-TRIAL-BAL-2020'!O695+'RA-TRIAL-BAL-2020'!O695+'DES-TRIAL-BAL-2020'!O695+'DMP-TRIAL-BAL-2020'!O695</f>
        <v>0</v>
      </c>
      <c r="W695" s="529">
        <f>+'NF-KSF-TRIAL-BAL-2020'!P695+'RA-TRIAL-BAL-2020'!P695+'DES-TRIAL-BAL-2020'!P695+'DMP-TRIAL-BAL-2020'!P695</f>
        <v>0</v>
      </c>
      <c r="X695" s="528">
        <f>+'NF-KSF-TRIAL-BAL-2020'!Q695+'RA-TRIAL-BAL-2020'!Q695+'DES-TRIAL-BAL-2020'!Q695+'DMP-TRIAL-BAL-2020'!Q695</f>
        <v>0</v>
      </c>
      <c r="Y695" s="529">
        <f>+'NF-KSF-TRIAL-BAL-2020'!R695+'RA-TRIAL-BAL-2020'!R695+'DES-TRIAL-BAL-2020'!R695+'DMP-TRIAL-BAL-2020'!R695</f>
        <v>0</v>
      </c>
      <c r="Z695" s="528">
        <f>+'NF-KSF-TRIAL-BAL-2020'!S695+'RA-TRIAL-BAL-2020'!S695+'DES-TRIAL-BAL-2020'!S695+'DMP-TRIAL-BAL-2020'!S695</f>
        <v>0</v>
      </c>
      <c r="AA695" s="347">
        <f>+'NF-KSF-TRIAL-BAL-2020'!T695+'RA-TRIAL-BAL-2020'!T695+'DES-TRIAL-BAL-2020'!T695+'DMP-TRIAL-BAL-2020'!T695</f>
        <v>0</v>
      </c>
      <c r="AB695" s="51"/>
      <c r="AC695" s="8">
        <v>0</v>
      </c>
      <c r="AD695" s="9">
        <v>0</v>
      </c>
      <c r="AE695" s="325">
        <v>0</v>
      </c>
      <c r="AF695" s="324">
        <v>0</v>
      </c>
      <c r="AG695" s="27">
        <f t="shared" si="339"/>
        <v>0</v>
      </c>
      <c r="AH695" s="28">
        <f t="shared" si="340"/>
        <v>0</v>
      </c>
      <c r="AI695" s="51"/>
      <c r="AJ695" s="1497">
        <f t="shared" si="319"/>
        <v>7319</v>
      </c>
      <c r="AK695" s="8">
        <v>0</v>
      </c>
      <c r="AL695" s="9">
        <v>0</v>
      </c>
      <c r="AM695" s="326">
        <f t="shared" si="341"/>
        <v>0</v>
      </c>
      <c r="AN695" s="970">
        <f t="shared" si="341"/>
        <v>0</v>
      </c>
      <c r="AO695" s="27">
        <f t="shared" si="335"/>
        <v>0</v>
      </c>
      <c r="AP695" s="28">
        <f t="shared" si="336"/>
        <v>0</v>
      </c>
      <c r="AQ695" s="43"/>
      <c r="AR695" s="358">
        <f t="shared" si="330"/>
        <v>0</v>
      </c>
      <c r="AS695" s="359">
        <f t="shared" si="331"/>
        <v>0</v>
      </c>
      <c r="AT695" s="360">
        <f t="shared" si="332"/>
        <v>0</v>
      </c>
      <c r="AU695" s="43"/>
      <c r="AV695" s="43"/>
      <c r="AW695" s="119"/>
      <c r="AX695" s="119"/>
      <c r="AY695" s="43"/>
      <c r="AZ695" s="43"/>
      <c r="BA695" s="43"/>
      <c r="BB695" s="43"/>
      <c r="BC695" s="43"/>
      <c r="BD695" s="43"/>
    </row>
    <row r="696" spans="1:56" ht="15.75">
      <c r="A696" s="88">
        <v>7381</v>
      </c>
      <c r="B696" s="1033" t="s">
        <v>734</v>
      </c>
      <c r="C696" s="1033"/>
      <c r="D696" s="1033"/>
      <c r="E696" s="1033"/>
      <c r="F696" s="1033"/>
      <c r="G696" s="1033"/>
      <c r="H696" s="1033"/>
      <c r="I696" s="1033"/>
      <c r="J696" s="1033"/>
      <c r="K696" s="1033"/>
      <c r="L696" s="90"/>
      <c r="M696" s="51" t="s">
        <v>265</v>
      </c>
      <c r="N696" s="113">
        <f t="shared" si="333"/>
        <v>7381</v>
      </c>
      <c r="O696" s="8">
        <v>0</v>
      </c>
      <c r="P696" s="9">
        <v>0</v>
      </c>
      <c r="Q696" s="325"/>
      <c r="R696" s="324"/>
      <c r="S696" s="27">
        <f t="shared" si="337"/>
        <v>0</v>
      </c>
      <c r="T696" s="28">
        <f t="shared" si="338"/>
        <v>0</v>
      </c>
      <c r="U696" s="51"/>
      <c r="V696" s="541">
        <f>+'NF-KSF-TRIAL-BAL-2020'!O696+'RA-TRIAL-BAL-2020'!O696+'DES-TRIAL-BAL-2020'!O696+'DMP-TRIAL-BAL-2020'!O696</f>
        <v>0</v>
      </c>
      <c r="W696" s="529">
        <f>+'NF-KSF-TRIAL-BAL-2020'!P696+'RA-TRIAL-BAL-2020'!P696+'DES-TRIAL-BAL-2020'!P696+'DMP-TRIAL-BAL-2020'!P696</f>
        <v>0</v>
      </c>
      <c r="X696" s="528">
        <f>+'NF-KSF-TRIAL-BAL-2020'!Q696+'RA-TRIAL-BAL-2020'!Q696+'DES-TRIAL-BAL-2020'!Q696+'DMP-TRIAL-BAL-2020'!Q696</f>
        <v>0</v>
      </c>
      <c r="Y696" s="529">
        <f>+'NF-KSF-TRIAL-BAL-2020'!R696+'RA-TRIAL-BAL-2020'!R696+'DES-TRIAL-BAL-2020'!R696+'DMP-TRIAL-BAL-2020'!R696</f>
        <v>0</v>
      </c>
      <c r="Z696" s="528">
        <f>+'NF-KSF-TRIAL-BAL-2020'!S696+'RA-TRIAL-BAL-2020'!S696+'DES-TRIAL-BAL-2020'!S696+'DMP-TRIAL-BAL-2020'!S696</f>
        <v>0</v>
      </c>
      <c r="AA696" s="347">
        <f>+'NF-KSF-TRIAL-BAL-2020'!T696+'RA-TRIAL-BAL-2020'!T696+'DES-TRIAL-BAL-2020'!T696+'DMP-TRIAL-BAL-2020'!T696</f>
        <v>0</v>
      </c>
      <c r="AB696" s="51"/>
      <c r="AC696" s="8">
        <v>0</v>
      </c>
      <c r="AD696" s="9">
        <v>0</v>
      </c>
      <c r="AE696" s="325"/>
      <c r="AF696" s="324"/>
      <c r="AG696" s="27">
        <f t="shared" si="339"/>
        <v>0</v>
      </c>
      <c r="AH696" s="28">
        <f t="shared" si="340"/>
        <v>0</v>
      </c>
      <c r="AI696" s="51"/>
      <c r="AJ696" s="1497">
        <f t="shared" si="319"/>
        <v>7381</v>
      </c>
      <c r="AK696" s="8">
        <v>0</v>
      </c>
      <c r="AL696" s="9">
        <v>0</v>
      </c>
      <c r="AM696" s="326">
        <f t="shared" si="341"/>
        <v>0</v>
      </c>
      <c r="AN696" s="970">
        <f t="shared" si="341"/>
        <v>0</v>
      </c>
      <c r="AO696" s="27">
        <f t="shared" si="335"/>
        <v>0</v>
      </c>
      <c r="AP696" s="28">
        <f t="shared" si="336"/>
        <v>0</v>
      </c>
      <c r="AQ696" s="43"/>
      <c r="AR696" s="358">
        <f t="shared" si="330"/>
        <v>0</v>
      </c>
      <c r="AS696" s="359">
        <f t="shared" si="331"/>
        <v>0</v>
      </c>
      <c r="AT696" s="360">
        <f t="shared" si="332"/>
        <v>0</v>
      </c>
      <c r="AU696" s="43"/>
      <c r="AV696" s="43"/>
      <c r="AW696" s="119"/>
      <c r="AX696" s="119"/>
      <c r="AY696" s="43"/>
      <c r="AZ696" s="43"/>
      <c r="BA696" s="43"/>
      <c r="BB696" s="43"/>
      <c r="BC696" s="43"/>
      <c r="BD696" s="43"/>
    </row>
    <row r="697" spans="1:56" ht="15.75">
      <c r="A697" s="88">
        <v>7382</v>
      </c>
      <c r="B697" s="1033" t="s">
        <v>735</v>
      </c>
      <c r="C697" s="1033"/>
      <c r="D697" s="1033"/>
      <c r="E697" s="1033"/>
      <c r="F697" s="1033"/>
      <c r="G697" s="1033"/>
      <c r="H697" s="1033"/>
      <c r="I697" s="1033"/>
      <c r="J697" s="1033"/>
      <c r="K697" s="1033"/>
      <c r="L697" s="90"/>
      <c r="M697" s="51" t="s">
        <v>265</v>
      </c>
      <c r="N697" s="113">
        <f t="shared" si="333"/>
        <v>7382</v>
      </c>
      <c r="O697" s="8">
        <v>0</v>
      </c>
      <c r="P697" s="9">
        <v>0</v>
      </c>
      <c r="Q697" s="325"/>
      <c r="R697" s="324"/>
      <c r="S697" s="27">
        <f t="shared" ref="S697:S703" si="342">+IF(ABS(+O697+Q697)&gt;=ABS(P697+R697),+O697-P697+Q697-R697,0)</f>
        <v>0</v>
      </c>
      <c r="T697" s="28">
        <f t="shared" si="338"/>
        <v>0</v>
      </c>
      <c r="U697" s="51"/>
      <c r="V697" s="541">
        <f>+'NF-KSF-TRIAL-BAL-2020'!O697+'RA-TRIAL-BAL-2020'!O697+'DES-TRIAL-BAL-2020'!O697+'DMP-TRIAL-BAL-2020'!O697</f>
        <v>0</v>
      </c>
      <c r="W697" s="529">
        <f>+'NF-KSF-TRIAL-BAL-2020'!P697+'RA-TRIAL-BAL-2020'!P697+'DES-TRIAL-BAL-2020'!P697+'DMP-TRIAL-BAL-2020'!P697</f>
        <v>0</v>
      </c>
      <c r="X697" s="528">
        <f>+'NF-KSF-TRIAL-BAL-2020'!Q697+'RA-TRIAL-BAL-2020'!Q697+'DES-TRIAL-BAL-2020'!Q697+'DMP-TRIAL-BAL-2020'!Q697</f>
        <v>0</v>
      </c>
      <c r="Y697" s="529">
        <f>+'NF-KSF-TRIAL-BAL-2020'!R697+'RA-TRIAL-BAL-2020'!R697+'DES-TRIAL-BAL-2020'!R697+'DMP-TRIAL-BAL-2020'!R697</f>
        <v>0</v>
      </c>
      <c r="Z697" s="528">
        <f>+'NF-KSF-TRIAL-BAL-2020'!S697+'RA-TRIAL-BAL-2020'!S697+'DES-TRIAL-BAL-2020'!S697+'DMP-TRIAL-BAL-2020'!S697</f>
        <v>0</v>
      </c>
      <c r="AA697" s="347">
        <f>+'NF-KSF-TRIAL-BAL-2020'!T697+'RA-TRIAL-BAL-2020'!T697+'DES-TRIAL-BAL-2020'!T697+'DMP-TRIAL-BAL-2020'!T697</f>
        <v>0</v>
      </c>
      <c r="AB697" s="51"/>
      <c r="AC697" s="8">
        <v>0</v>
      </c>
      <c r="AD697" s="9">
        <v>0</v>
      </c>
      <c r="AE697" s="122"/>
      <c r="AF697" s="121"/>
      <c r="AG697" s="27">
        <f t="shared" ref="AG697:AG703" si="343">+IF(ABS(+AC697+AE697)&gt;=ABS(AD697+AF697),+AC697-AD697+AE697-AF697,0)</f>
        <v>0</v>
      </c>
      <c r="AH697" s="28">
        <f t="shared" si="340"/>
        <v>0</v>
      </c>
      <c r="AI697" s="51"/>
      <c r="AJ697" s="1497">
        <f t="shared" si="319"/>
        <v>7382</v>
      </c>
      <c r="AK697" s="8">
        <v>0</v>
      </c>
      <c r="AL697" s="9">
        <v>0</v>
      </c>
      <c r="AM697" s="326">
        <f t="shared" si="341"/>
        <v>0</v>
      </c>
      <c r="AN697" s="970">
        <f t="shared" si="341"/>
        <v>0</v>
      </c>
      <c r="AO697" s="27">
        <f t="shared" si="335"/>
        <v>0</v>
      </c>
      <c r="AP697" s="28">
        <f t="shared" si="336"/>
        <v>0</v>
      </c>
      <c r="AQ697" s="43"/>
      <c r="AR697" s="358">
        <f t="shared" si="330"/>
        <v>0</v>
      </c>
      <c r="AS697" s="359">
        <f t="shared" si="331"/>
        <v>0</v>
      </c>
      <c r="AT697" s="360">
        <f t="shared" si="332"/>
        <v>0</v>
      </c>
      <c r="AU697" s="43"/>
      <c r="AV697" s="43"/>
      <c r="AW697" s="119"/>
      <c r="AX697" s="119"/>
      <c r="AY697" s="43"/>
      <c r="AZ697" s="43"/>
      <c r="BA697" s="43"/>
      <c r="BB697" s="43"/>
      <c r="BC697" s="43"/>
      <c r="BD697" s="43"/>
    </row>
    <row r="698" spans="1:56" ht="15.75">
      <c r="A698" s="88">
        <v>7383</v>
      </c>
      <c r="B698" s="1033" t="s">
        <v>736</v>
      </c>
      <c r="C698" s="1033"/>
      <c r="D698" s="1033"/>
      <c r="E698" s="1033"/>
      <c r="F698" s="1033"/>
      <c r="G698" s="1033"/>
      <c r="H698" s="1033"/>
      <c r="I698" s="1033"/>
      <c r="J698" s="1033"/>
      <c r="K698" s="1033"/>
      <c r="L698" s="90"/>
      <c r="M698" s="51" t="s">
        <v>265</v>
      </c>
      <c r="N698" s="113">
        <f t="shared" si="333"/>
        <v>7383</v>
      </c>
      <c r="O698" s="8">
        <v>0</v>
      </c>
      <c r="P698" s="9">
        <v>0</v>
      </c>
      <c r="Q698" s="325"/>
      <c r="R698" s="324"/>
      <c r="S698" s="27">
        <f t="shared" si="342"/>
        <v>0</v>
      </c>
      <c r="T698" s="28">
        <f t="shared" ref="T698:T703" si="344">+IF(ABS(+O698+Q698)&lt;=ABS(P698+R698),-O698+P698-Q698+R698,0)</f>
        <v>0</v>
      </c>
      <c r="U698" s="51"/>
      <c r="V698" s="541">
        <f>+'NF-KSF-TRIAL-BAL-2020'!O698+'RA-TRIAL-BAL-2020'!O698+'DES-TRIAL-BAL-2020'!O698+'DMP-TRIAL-BAL-2020'!O698</f>
        <v>0</v>
      </c>
      <c r="W698" s="529">
        <f>+'NF-KSF-TRIAL-BAL-2020'!P698+'RA-TRIAL-BAL-2020'!P698+'DES-TRIAL-BAL-2020'!P698+'DMP-TRIAL-BAL-2020'!P698</f>
        <v>0</v>
      </c>
      <c r="X698" s="528">
        <f>+'NF-KSF-TRIAL-BAL-2020'!Q698+'RA-TRIAL-BAL-2020'!Q698+'DES-TRIAL-BAL-2020'!Q698+'DMP-TRIAL-BAL-2020'!Q698</f>
        <v>0</v>
      </c>
      <c r="Y698" s="529">
        <f>+'NF-KSF-TRIAL-BAL-2020'!R698+'RA-TRIAL-BAL-2020'!R698+'DES-TRIAL-BAL-2020'!R698+'DMP-TRIAL-BAL-2020'!R698</f>
        <v>0</v>
      </c>
      <c r="Z698" s="528">
        <f>+'NF-KSF-TRIAL-BAL-2020'!S698+'RA-TRIAL-BAL-2020'!S698+'DES-TRIAL-BAL-2020'!S698+'DMP-TRIAL-BAL-2020'!S698</f>
        <v>0</v>
      </c>
      <c r="AA698" s="347">
        <f>+'NF-KSF-TRIAL-BAL-2020'!T698+'RA-TRIAL-BAL-2020'!T698+'DES-TRIAL-BAL-2020'!T698+'DMP-TRIAL-BAL-2020'!T698</f>
        <v>0</v>
      </c>
      <c r="AB698" s="51"/>
      <c r="AC698" s="8">
        <v>0</v>
      </c>
      <c r="AD698" s="9">
        <v>0</v>
      </c>
      <c r="AE698" s="122"/>
      <c r="AF698" s="121"/>
      <c r="AG698" s="27">
        <f t="shared" si="343"/>
        <v>0</v>
      </c>
      <c r="AH698" s="28">
        <f t="shared" ref="AH698:AH703" si="345">+IF(ABS(+AC698+AE698)&lt;=ABS(AD698+AF698),-AC698+AD698-AE698+AF698,0)</f>
        <v>0</v>
      </c>
      <c r="AI698" s="51"/>
      <c r="AJ698" s="1497">
        <f t="shared" si="319"/>
        <v>7383</v>
      </c>
      <c r="AK698" s="8">
        <v>0</v>
      </c>
      <c r="AL698" s="9">
        <v>0</v>
      </c>
      <c r="AM698" s="326">
        <f t="shared" si="341"/>
        <v>0</v>
      </c>
      <c r="AN698" s="970">
        <f t="shared" si="341"/>
        <v>0</v>
      </c>
      <c r="AO698" s="27">
        <f t="shared" si="335"/>
        <v>0</v>
      </c>
      <c r="AP698" s="28">
        <f t="shared" si="336"/>
        <v>0</v>
      </c>
      <c r="AQ698" s="43"/>
      <c r="AR698" s="358">
        <f t="shared" si="330"/>
        <v>0</v>
      </c>
      <c r="AS698" s="359">
        <f t="shared" si="331"/>
        <v>0</v>
      </c>
      <c r="AT698" s="360">
        <f t="shared" si="332"/>
        <v>0</v>
      </c>
      <c r="AU698" s="43"/>
      <c r="AV698" s="43"/>
      <c r="AW698" s="119"/>
      <c r="AX698" s="119"/>
      <c r="AY698" s="43"/>
      <c r="AZ698" s="43"/>
      <c r="BA698" s="43"/>
      <c r="BB698" s="43"/>
      <c r="BC698" s="43"/>
      <c r="BD698" s="43"/>
    </row>
    <row r="699" spans="1:56" ht="15.75">
      <c r="A699" s="88">
        <v>7384</v>
      </c>
      <c r="B699" s="1033" t="s">
        <v>737</v>
      </c>
      <c r="C699" s="1033"/>
      <c r="D699" s="1033"/>
      <c r="E699" s="1033"/>
      <c r="F699" s="1033"/>
      <c r="G699" s="1033"/>
      <c r="H699" s="1033"/>
      <c r="I699" s="1033"/>
      <c r="J699" s="1033"/>
      <c r="K699" s="1033"/>
      <c r="L699" s="90"/>
      <c r="M699" s="51" t="s">
        <v>265</v>
      </c>
      <c r="N699" s="113">
        <f>+A699</f>
        <v>7384</v>
      </c>
      <c r="O699" s="8">
        <v>0</v>
      </c>
      <c r="P699" s="9">
        <v>0</v>
      </c>
      <c r="Q699" s="325"/>
      <c r="R699" s="324"/>
      <c r="S699" s="27">
        <f t="shared" si="342"/>
        <v>0</v>
      </c>
      <c r="T699" s="28">
        <f t="shared" si="344"/>
        <v>0</v>
      </c>
      <c r="U699" s="51"/>
      <c r="V699" s="541">
        <f>+'NF-KSF-TRIAL-BAL-2020'!O699+'RA-TRIAL-BAL-2020'!O699+'DES-TRIAL-BAL-2020'!O699+'DMP-TRIAL-BAL-2020'!O699</f>
        <v>0</v>
      </c>
      <c r="W699" s="529">
        <f>+'NF-KSF-TRIAL-BAL-2020'!P699+'RA-TRIAL-BAL-2020'!P699+'DES-TRIAL-BAL-2020'!P699+'DMP-TRIAL-BAL-2020'!P699</f>
        <v>0</v>
      </c>
      <c r="X699" s="528">
        <f>+'NF-KSF-TRIAL-BAL-2020'!Q699+'RA-TRIAL-BAL-2020'!Q699+'DES-TRIAL-BAL-2020'!Q699+'DMP-TRIAL-BAL-2020'!Q699</f>
        <v>0</v>
      </c>
      <c r="Y699" s="529">
        <f>+'NF-KSF-TRIAL-BAL-2020'!R699+'RA-TRIAL-BAL-2020'!R699+'DES-TRIAL-BAL-2020'!R699+'DMP-TRIAL-BAL-2020'!R699</f>
        <v>0</v>
      </c>
      <c r="Z699" s="528">
        <f>+'NF-KSF-TRIAL-BAL-2020'!S699+'RA-TRIAL-BAL-2020'!S699+'DES-TRIAL-BAL-2020'!S699+'DMP-TRIAL-BAL-2020'!S699</f>
        <v>0</v>
      </c>
      <c r="AA699" s="347">
        <f>+'NF-KSF-TRIAL-BAL-2020'!T699+'RA-TRIAL-BAL-2020'!T699+'DES-TRIAL-BAL-2020'!T699+'DMP-TRIAL-BAL-2020'!T699</f>
        <v>0</v>
      </c>
      <c r="AB699" s="51"/>
      <c r="AC699" s="8">
        <v>0</v>
      </c>
      <c r="AD699" s="9">
        <v>0</v>
      </c>
      <c r="AE699" s="325"/>
      <c r="AF699" s="324"/>
      <c r="AG699" s="27">
        <f t="shared" si="343"/>
        <v>0</v>
      </c>
      <c r="AH699" s="28">
        <f t="shared" si="345"/>
        <v>0</v>
      </c>
      <c r="AI699" s="51"/>
      <c r="AJ699" s="1497">
        <f>+N699</f>
        <v>7384</v>
      </c>
      <c r="AK699" s="8">
        <v>0</v>
      </c>
      <c r="AL699" s="9">
        <v>0</v>
      </c>
      <c r="AM699" s="326">
        <f t="shared" ref="AM699:AN703" si="346">+ROUND(+Q699+X699+AE699,2)</f>
        <v>0</v>
      </c>
      <c r="AN699" s="970">
        <f t="shared" si="346"/>
        <v>0</v>
      </c>
      <c r="AO699" s="27">
        <f t="shared" si="335"/>
        <v>0</v>
      </c>
      <c r="AP699" s="28">
        <f t="shared" si="336"/>
        <v>0</v>
      </c>
      <c r="AQ699" s="43"/>
      <c r="AR699" s="358">
        <f>+ROUND(+SUM(AK699-AL699)-SUM(O699-P699)-SUM(V699-W699)-SUM(AC699-AD699),2)</f>
        <v>0</v>
      </c>
      <c r="AS699" s="359">
        <f>+ROUND(+SUM(AM699-AN699)-SUM(Q699-R699)-SUM(X699-Y699)-SUM(AE699-AF699),2)</f>
        <v>0</v>
      </c>
      <c r="AT699" s="360">
        <f>+ROUND(+SUM(AO699-AP699)-SUM(S699-T699)-SUM(Z699-AA699)-SUM(AG699-AH699),2)</f>
        <v>0</v>
      </c>
      <c r="AU699" s="43"/>
      <c r="AV699" s="43"/>
      <c r="AW699" s="119"/>
      <c r="AX699" s="119"/>
      <c r="AY699" s="43"/>
      <c r="AZ699" s="43"/>
      <c r="BA699" s="43"/>
      <c r="BB699" s="43"/>
      <c r="BC699" s="43"/>
      <c r="BD699" s="43"/>
    </row>
    <row r="700" spans="1:56" ht="15.75">
      <c r="A700" s="88">
        <v>7385</v>
      </c>
      <c r="B700" s="1033" t="s">
        <v>738</v>
      </c>
      <c r="C700" s="1033"/>
      <c r="D700" s="1033"/>
      <c r="E700" s="1033"/>
      <c r="F700" s="1033"/>
      <c r="G700" s="1033"/>
      <c r="H700" s="1033"/>
      <c r="I700" s="1033"/>
      <c r="J700" s="1033"/>
      <c r="K700" s="1033"/>
      <c r="L700" s="90"/>
      <c r="M700" s="51" t="s">
        <v>265</v>
      </c>
      <c r="N700" s="113">
        <f>+A700</f>
        <v>7385</v>
      </c>
      <c r="O700" s="8">
        <v>0</v>
      </c>
      <c r="P700" s="9">
        <v>0</v>
      </c>
      <c r="Q700" s="325"/>
      <c r="R700" s="324"/>
      <c r="S700" s="27">
        <f t="shared" si="342"/>
        <v>0</v>
      </c>
      <c r="T700" s="28">
        <f t="shared" si="344"/>
        <v>0</v>
      </c>
      <c r="U700" s="51"/>
      <c r="V700" s="541">
        <f>+'NF-KSF-TRIAL-BAL-2020'!O700+'RA-TRIAL-BAL-2020'!O700+'DES-TRIAL-BAL-2020'!O700+'DMP-TRIAL-BAL-2020'!O700</f>
        <v>0</v>
      </c>
      <c r="W700" s="529">
        <f>+'NF-KSF-TRIAL-BAL-2020'!P700+'RA-TRIAL-BAL-2020'!P700+'DES-TRIAL-BAL-2020'!P700+'DMP-TRIAL-BAL-2020'!P700</f>
        <v>0</v>
      </c>
      <c r="X700" s="528">
        <f>+'NF-KSF-TRIAL-BAL-2020'!Q700+'RA-TRIAL-BAL-2020'!Q700+'DES-TRIAL-BAL-2020'!Q700+'DMP-TRIAL-BAL-2020'!Q700</f>
        <v>0</v>
      </c>
      <c r="Y700" s="529">
        <f>+'NF-KSF-TRIAL-BAL-2020'!R700+'RA-TRIAL-BAL-2020'!R700+'DES-TRIAL-BAL-2020'!R700+'DMP-TRIAL-BAL-2020'!R700</f>
        <v>0</v>
      </c>
      <c r="Z700" s="528">
        <f>+'NF-KSF-TRIAL-BAL-2020'!S700+'RA-TRIAL-BAL-2020'!S700+'DES-TRIAL-BAL-2020'!S700+'DMP-TRIAL-BAL-2020'!S700</f>
        <v>0</v>
      </c>
      <c r="AA700" s="347">
        <f>+'NF-KSF-TRIAL-BAL-2020'!T700+'RA-TRIAL-BAL-2020'!T700+'DES-TRIAL-BAL-2020'!T700+'DMP-TRIAL-BAL-2020'!T700</f>
        <v>0</v>
      </c>
      <c r="AB700" s="51"/>
      <c r="AC700" s="8">
        <v>0</v>
      </c>
      <c r="AD700" s="9">
        <v>0</v>
      </c>
      <c r="AE700" s="325"/>
      <c r="AF700" s="324"/>
      <c r="AG700" s="27">
        <f t="shared" si="343"/>
        <v>0</v>
      </c>
      <c r="AH700" s="28">
        <f t="shared" si="345"/>
        <v>0</v>
      </c>
      <c r="AI700" s="51"/>
      <c r="AJ700" s="1497">
        <f>+N700</f>
        <v>7385</v>
      </c>
      <c r="AK700" s="8">
        <v>0</v>
      </c>
      <c r="AL700" s="9">
        <v>0</v>
      </c>
      <c r="AM700" s="326">
        <f t="shared" si="346"/>
        <v>0</v>
      </c>
      <c r="AN700" s="970">
        <f t="shared" si="346"/>
        <v>0</v>
      </c>
      <c r="AO700" s="27">
        <f t="shared" si="335"/>
        <v>0</v>
      </c>
      <c r="AP700" s="28">
        <f t="shared" si="336"/>
        <v>0</v>
      </c>
      <c r="AQ700" s="43"/>
      <c r="AR700" s="358">
        <f>+ROUND(+SUM(AK700-AL700)-SUM(O700-P700)-SUM(V700-W700)-SUM(AC700-AD700),2)</f>
        <v>0</v>
      </c>
      <c r="AS700" s="359">
        <f>+ROUND(+SUM(AM700-AN700)-SUM(Q700-R700)-SUM(X700-Y700)-SUM(AE700-AF700),2)</f>
        <v>0</v>
      </c>
      <c r="AT700" s="360">
        <f>+ROUND(+SUM(AO700-AP700)-SUM(S700-T700)-SUM(Z700-AA700)-SUM(AG700-AH700),2)</f>
        <v>0</v>
      </c>
      <c r="AU700" s="43"/>
      <c r="AV700" s="43"/>
      <c r="AW700" s="119"/>
      <c r="AX700" s="119"/>
      <c r="AY700" s="43"/>
      <c r="AZ700" s="43"/>
      <c r="BA700" s="43"/>
      <c r="BB700" s="43"/>
      <c r="BC700" s="43"/>
      <c r="BD700" s="43"/>
    </row>
    <row r="701" spans="1:56" ht="15.75">
      <c r="A701" s="88">
        <v>7386</v>
      </c>
      <c r="B701" s="1033" t="s">
        <v>739</v>
      </c>
      <c r="C701" s="1033"/>
      <c r="D701" s="1033"/>
      <c r="E701" s="1033"/>
      <c r="F701" s="1033"/>
      <c r="G701" s="1033"/>
      <c r="H701" s="1033"/>
      <c r="I701" s="1033"/>
      <c r="J701" s="1033"/>
      <c r="K701" s="1033"/>
      <c r="L701" s="90"/>
      <c r="M701" s="51" t="s">
        <v>265</v>
      </c>
      <c r="N701" s="113">
        <f>+A701</f>
        <v>7386</v>
      </c>
      <c r="O701" s="8">
        <v>0</v>
      </c>
      <c r="P701" s="9">
        <v>0</v>
      </c>
      <c r="Q701" s="325"/>
      <c r="R701" s="324"/>
      <c r="S701" s="27">
        <f t="shared" si="342"/>
        <v>0</v>
      </c>
      <c r="T701" s="28">
        <f t="shared" si="344"/>
        <v>0</v>
      </c>
      <c r="U701" s="51"/>
      <c r="V701" s="541">
        <f>+'NF-KSF-TRIAL-BAL-2020'!O701+'RA-TRIAL-BAL-2020'!O701+'DES-TRIAL-BAL-2020'!O701+'DMP-TRIAL-BAL-2020'!O701</f>
        <v>0</v>
      </c>
      <c r="W701" s="529">
        <f>+'NF-KSF-TRIAL-BAL-2020'!P701+'RA-TRIAL-BAL-2020'!P701+'DES-TRIAL-BAL-2020'!P701+'DMP-TRIAL-BAL-2020'!P701</f>
        <v>0</v>
      </c>
      <c r="X701" s="528">
        <f>+'NF-KSF-TRIAL-BAL-2020'!Q701+'RA-TRIAL-BAL-2020'!Q701+'DES-TRIAL-BAL-2020'!Q701+'DMP-TRIAL-BAL-2020'!Q701</f>
        <v>0</v>
      </c>
      <c r="Y701" s="529">
        <f>+'NF-KSF-TRIAL-BAL-2020'!R701+'RA-TRIAL-BAL-2020'!R701+'DES-TRIAL-BAL-2020'!R701+'DMP-TRIAL-BAL-2020'!R701</f>
        <v>0</v>
      </c>
      <c r="Z701" s="528">
        <f>+'NF-KSF-TRIAL-BAL-2020'!S701+'RA-TRIAL-BAL-2020'!S701+'DES-TRIAL-BAL-2020'!S701+'DMP-TRIAL-BAL-2020'!S701</f>
        <v>0</v>
      </c>
      <c r="AA701" s="347">
        <f>+'NF-KSF-TRIAL-BAL-2020'!T701+'RA-TRIAL-BAL-2020'!T701+'DES-TRIAL-BAL-2020'!T701+'DMP-TRIAL-BAL-2020'!T701</f>
        <v>0</v>
      </c>
      <c r="AB701" s="51"/>
      <c r="AC701" s="8">
        <v>0</v>
      </c>
      <c r="AD701" s="9">
        <v>0</v>
      </c>
      <c r="AE701" s="122"/>
      <c r="AF701" s="121"/>
      <c r="AG701" s="27">
        <f t="shared" si="343"/>
        <v>0</v>
      </c>
      <c r="AH701" s="28">
        <f t="shared" si="345"/>
        <v>0</v>
      </c>
      <c r="AI701" s="51"/>
      <c r="AJ701" s="1497">
        <f>+N701</f>
        <v>7386</v>
      </c>
      <c r="AK701" s="8">
        <v>0</v>
      </c>
      <c r="AL701" s="9">
        <v>0</v>
      </c>
      <c r="AM701" s="326">
        <f t="shared" si="346"/>
        <v>0</v>
      </c>
      <c r="AN701" s="970">
        <f t="shared" si="346"/>
        <v>0</v>
      </c>
      <c r="AO701" s="27">
        <f t="shared" si="335"/>
        <v>0</v>
      </c>
      <c r="AP701" s="28">
        <f t="shared" si="336"/>
        <v>0</v>
      </c>
      <c r="AQ701" s="43"/>
      <c r="AR701" s="358">
        <f>+ROUND(+SUM(AK701-AL701)-SUM(O701-P701)-SUM(V701-W701)-SUM(AC701-AD701),2)</f>
        <v>0</v>
      </c>
      <c r="AS701" s="359">
        <f>+ROUND(+SUM(AM701-AN701)-SUM(Q701-R701)-SUM(X701-Y701)-SUM(AE701-AF701),2)</f>
        <v>0</v>
      </c>
      <c r="AT701" s="360">
        <f>+ROUND(+SUM(AO701-AP701)-SUM(S701-T701)-SUM(Z701-AA701)-SUM(AG701-AH701),2)</f>
        <v>0</v>
      </c>
      <c r="AU701" s="43"/>
      <c r="AV701" s="43"/>
      <c r="AW701" s="119"/>
      <c r="AX701" s="119"/>
      <c r="AY701" s="43"/>
      <c r="AZ701" s="43"/>
      <c r="BA701" s="43"/>
      <c r="BB701" s="43"/>
      <c r="BC701" s="43"/>
      <c r="BD701" s="43"/>
    </row>
    <row r="702" spans="1:56" ht="15.75">
      <c r="A702" s="88">
        <v>7387</v>
      </c>
      <c r="B702" s="1033" t="s">
        <v>740</v>
      </c>
      <c r="C702" s="1033"/>
      <c r="D702" s="1033"/>
      <c r="E702" s="1033"/>
      <c r="F702" s="1033"/>
      <c r="G702" s="1033"/>
      <c r="H702" s="1033"/>
      <c r="I702" s="1033"/>
      <c r="J702" s="1033"/>
      <c r="K702" s="1033"/>
      <c r="L702" s="90"/>
      <c r="M702" s="51" t="s">
        <v>265</v>
      </c>
      <c r="N702" s="113">
        <f>+A702</f>
        <v>7387</v>
      </c>
      <c r="O702" s="8">
        <v>0</v>
      </c>
      <c r="P702" s="9">
        <v>0</v>
      </c>
      <c r="Q702" s="325"/>
      <c r="R702" s="324"/>
      <c r="S702" s="27">
        <f t="shared" si="342"/>
        <v>0</v>
      </c>
      <c r="T702" s="28">
        <f t="shared" si="344"/>
        <v>0</v>
      </c>
      <c r="U702" s="51"/>
      <c r="V702" s="541">
        <f>+'NF-KSF-TRIAL-BAL-2020'!O702+'RA-TRIAL-BAL-2020'!O702+'DES-TRIAL-BAL-2020'!O702+'DMP-TRIAL-BAL-2020'!O702</f>
        <v>0</v>
      </c>
      <c r="W702" s="529">
        <f>+'NF-KSF-TRIAL-BAL-2020'!P702+'RA-TRIAL-BAL-2020'!P702+'DES-TRIAL-BAL-2020'!P702+'DMP-TRIAL-BAL-2020'!P702</f>
        <v>0</v>
      </c>
      <c r="X702" s="528">
        <f>+'NF-KSF-TRIAL-BAL-2020'!Q702+'RA-TRIAL-BAL-2020'!Q702+'DES-TRIAL-BAL-2020'!Q702+'DMP-TRIAL-BAL-2020'!Q702</f>
        <v>0</v>
      </c>
      <c r="Y702" s="529">
        <f>+'NF-KSF-TRIAL-BAL-2020'!R702+'RA-TRIAL-BAL-2020'!R702+'DES-TRIAL-BAL-2020'!R702+'DMP-TRIAL-BAL-2020'!R702</f>
        <v>0</v>
      </c>
      <c r="Z702" s="528">
        <f>+'NF-KSF-TRIAL-BAL-2020'!S702+'RA-TRIAL-BAL-2020'!S702+'DES-TRIAL-BAL-2020'!S702+'DMP-TRIAL-BAL-2020'!S702</f>
        <v>0</v>
      </c>
      <c r="AA702" s="347">
        <f>+'NF-KSF-TRIAL-BAL-2020'!T702+'RA-TRIAL-BAL-2020'!T702+'DES-TRIAL-BAL-2020'!T702+'DMP-TRIAL-BAL-2020'!T702</f>
        <v>0</v>
      </c>
      <c r="AB702" s="51"/>
      <c r="AC702" s="8">
        <v>0</v>
      </c>
      <c r="AD702" s="9">
        <v>0</v>
      </c>
      <c r="AE702" s="122"/>
      <c r="AF702" s="121"/>
      <c r="AG702" s="27">
        <f t="shared" si="343"/>
        <v>0</v>
      </c>
      <c r="AH702" s="28">
        <f t="shared" si="345"/>
        <v>0</v>
      </c>
      <c r="AI702" s="51"/>
      <c r="AJ702" s="1497">
        <f>+N702</f>
        <v>7387</v>
      </c>
      <c r="AK702" s="8">
        <v>0</v>
      </c>
      <c r="AL702" s="9">
        <v>0</v>
      </c>
      <c r="AM702" s="326">
        <f t="shared" si="346"/>
        <v>0</v>
      </c>
      <c r="AN702" s="970">
        <f t="shared" si="346"/>
        <v>0</v>
      </c>
      <c r="AO702" s="27">
        <f t="shared" si="335"/>
        <v>0</v>
      </c>
      <c r="AP702" s="28">
        <f t="shared" si="336"/>
        <v>0</v>
      </c>
      <c r="AQ702" s="43"/>
      <c r="AR702" s="358">
        <f>+ROUND(+SUM(AK702-AL702)-SUM(O702-P702)-SUM(V702-W702)-SUM(AC702-AD702),2)</f>
        <v>0</v>
      </c>
      <c r="AS702" s="359">
        <f>+ROUND(+SUM(AM702-AN702)-SUM(Q702-R702)-SUM(X702-Y702)-SUM(AE702-AF702),2)</f>
        <v>0</v>
      </c>
      <c r="AT702" s="360">
        <f>+ROUND(+SUM(AO702-AP702)-SUM(S702-T702)-SUM(Z702-AA702)-SUM(AG702-AH702),2)</f>
        <v>0</v>
      </c>
      <c r="AU702" s="43"/>
      <c r="AV702" s="43"/>
      <c r="AW702" s="119"/>
      <c r="AX702" s="119"/>
      <c r="AY702" s="43"/>
      <c r="AZ702" s="43"/>
      <c r="BA702" s="43"/>
      <c r="BB702" s="43"/>
      <c r="BC702" s="43"/>
      <c r="BD702" s="43"/>
    </row>
    <row r="703" spans="1:56" ht="15.75">
      <c r="A703" s="88">
        <v>7388</v>
      </c>
      <c r="B703" s="1033" t="s">
        <v>741</v>
      </c>
      <c r="C703" s="1033"/>
      <c r="D703" s="1033"/>
      <c r="E703" s="1033"/>
      <c r="F703" s="1033"/>
      <c r="G703" s="1033"/>
      <c r="H703" s="1033"/>
      <c r="I703" s="1033"/>
      <c r="J703" s="1033"/>
      <c r="K703" s="1033"/>
      <c r="L703" s="90"/>
      <c r="M703" s="51" t="s">
        <v>265</v>
      </c>
      <c r="N703" s="113">
        <f>+A703</f>
        <v>7388</v>
      </c>
      <c r="O703" s="8">
        <v>0</v>
      </c>
      <c r="P703" s="9">
        <v>0</v>
      </c>
      <c r="Q703" s="325"/>
      <c r="R703" s="324"/>
      <c r="S703" s="27">
        <f t="shared" si="342"/>
        <v>0</v>
      </c>
      <c r="T703" s="28">
        <f t="shared" si="344"/>
        <v>0</v>
      </c>
      <c r="U703" s="51"/>
      <c r="V703" s="541">
        <f>+'NF-KSF-TRIAL-BAL-2020'!O703+'RA-TRIAL-BAL-2020'!O703+'DES-TRIAL-BAL-2020'!O703+'DMP-TRIAL-BAL-2020'!O703</f>
        <v>0</v>
      </c>
      <c r="W703" s="529">
        <f>+'NF-KSF-TRIAL-BAL-2020'!P703+'RA-TRIAL-BAL-2020'!P703+'DES-TRIAL-BAL-2020'!P703+'DMP-TRIAL-BAL-2020'!P703</f>
        <v>0</v>
      </c>
      <c r="X703" s="528">
        <f>+'NF-KSF-TRIAL-BAL-2020'!Q703+'RA-TRIAL-BAL-2020'!Q703+'DES-TRIAL-BAL-2020'!Q703+'DMP-TRIAL-BAL-2020'!Q703</f>
        <v>0</v>
      </c>
      <c r="Y703" s="529">
        <f>+'NF-KSF-TRIAL-BAL-2020'!R703+'RA-TRIAL-BAL-2020'!R703+'DES-TRIAL-BAL-2020'!R703+'DMP-TRIAL-BAL-2020'!R703</f>
        <v>0</v>
      </c>
      <c r="Z703" s="528">
        <f>+'NF-KSF-TRIAL-BAL-2020'!S703+'RA-TRIAL-BAL-2020'!S703+'DES-TRIAL-BAL-2020'!S703+'DMP-TRIAL-BAL-2020'!S703</f>
        <v>0</v>
      </c>
      <c r="AA703" s="347">
        <f>+'NF-KSF-TRIAL-BAL-2020'!T703+'RA-TRIAL-BAL-2020'!T703+'DES-TRIAL-BAL-2020'!T703+'DMP-TRIAL-BAL-2020'!T703</f>
        <v>0</v>
      </c>
      <c r="AB703" s="51"/>
      <c r="AC703" s="8">
        <v>0</v>
      </c>
      <c r="AD703" s="9">
        <v>0</v>
      </c>
      <c r="AE703" s="325"/>
      <c r="AF703" s="324"/>
      <c r="AG703" s="27">
        <f t="shared" si="343"/>
        <v>0</v>
      </c>
      <c r="AH703" s="28">
        <f t="shared" si="345"/>
        <v>0</v>
      </c>
      <c r="AI703" s="51"/>
      <c r="AJ703" s="1497">
        <f>+N703</f>
        <v>7388</v>
      </c>
      <c r="AK703" s="8">
        <v>0</v>
      </c>
      <c r="AL703" s="9">
        <v>0</v>
      </c>
      <c r="AM703" s="326">
        <f t="shared" si="346"/>
        <v>0</v>
      </c>
      <c r="AN703" s="970">
        <f t="shared" si="346"/>
        <v>0</v>
      </c>
      <c r="AO703" s="27">
        <f t="shared" si="335"/>
        <v>0</v>
      </c>
      <c r="AP703" s="28">
        <f t="shared" si="336"/>
        <v>0</v>
      </c>
      <c r="AQ703" s="43"/>
      <c r="AR703" s="358">
        <f>+ROUND(+SUM(AK703-AL703)-SUM(O703-P703)-SUM(V703-W703)-SUM(AC703-AD703),2)</f>
        <v>0</v>
      </c>
      <c r="AS703" s="359">
        <f>+ROUND(+SUM(AM703-AN703)-SUM(Q703-R703)-SUM(X703-Y703)-SUM(AE703-AF703),2)</f>
        <v>0</v>
      </c>
      <c r="AT703" s="360">
        <f>+ROUND(+SUM(AO703-AP703)-SUM(S703-T703)-SUM(Z703-AA703)-SUM(AG703-AH703),2)</f>
        <v>0</v>
      </c>
      <c r="AU703" s="43"/>
      <c r="AV703" s="43"/>
      <c r="AW703" s="119"/>
      <c r="AX703" s="119"/>
      <c r="AY703" s="43"/>
      <c r="AZ703" s="43"/>
      <c r="BA703" s="43"/>
      <c r="BB703" s="43"/>
      <c r="BC703" s="43"/>
      <c r="BD703" s="43"/>
    </row>
    <row r="704" spans="1:56" ht="15.75">
      <c r="A704" s="88">
        <v>7391</v>
      </c>
      <c r="B704" s="1035" t="s">
        <v>1176</v>
      </c>
      <c r="C704" s="1033"/>
      <c r="D704" s="1033"/>
      <c r="E704" s="1033"/>
      <c r="F704" s="1033"/>
      <c r="G704" s="1033"/>
      <c r="H704" s="1033"/>
      <c r="I704" s="1033"/>
      <c r="J704" s="1033"/>
      <c r="K704" s="1033"/>
      <c r="L704" s="90"/>
      <c r="M704" s="51" t="s">
        <v>265</v>
      </c>
      <c r="N704" s="113">
        <f t="shared" si="333"/>
        <v>7391</v>
      </c>
      <c r="O704" s="8">
        <v>0</v>
      </c>
      <c r="P704" s="9">
        <v>0</v>
      </c>
      <c r="Q704" s="325">
        <v>0</v>
      </c>
      <c r="R704" s="324">
        <v>0</v>
      </c>
      <c r="S704" s="27">
        <f>+IF(ABS(+O704+Q704)&gt;=ABS(P704+R704),+O704-P704+Q704-R704,0)</f>
        <v>0</v>
      </c>
      <c r="T704" s="28">
        <f>+IF(ABS(+O704+Q704)&lt;=ABS(P704+R704),-O704+P704-Q704+R704,0)</f>
        <v>0</v>
      </c>
      <c r="U704" s="51"/>
      <c r="V704" s="541">
        <f>+'NF-KSF-TRIAL-BAL-2020'!O704+'RA-TRIAL-BAL-2020'!O704+'DES-TRIAL-BAL-2020'!O704+'DMP-TRIAL-BAL-2020'!O704</f>
        <v>0</v>
      </c>
      <c r="W704" s="529">
        <f>+'NF-KSF-TRIAL-BAL-2020'!P704+'RA-TRIAL-BAL-2020'!P704+'DES-TRIAL-BAL-2020'!P704+'DMP-TRIAL-BAL-2020'!P704</f>
        <v>0</v>
      </c>
      <c r="X704" s="528">
        <f>+'NF-KSF-TRIAL-BAL-2020'!Q704+'RA-TRIAL-BAL-2020'!Q704+'DES-TRIAL-BAL-2020'!Q704+'DMP-TRIAL-BAL-2020'!Q704</f>
        <v>0</v>
      </c>
      <c r="Y704" s="529">
        <f>+'NF-KSF-TRIAL-BAL-2020'!R704+'RA-TRIAL-BAL-2020'!R704+'DES-TRIAL-BAL-2020'!R704+'DMP-TRIAL-BAL-2020'!R704</f>
        <v>0</v>
      </c>
      <c r="Z704" s="528">
        <f>+'NF-KSF-TRIAL-BAL-2020'!S704+'RA-TRIAL-BAL-2020'!S704+'DES-TRIAL-BAL-2020'!S704+'DMP-TRIAL-BAL-2020'!S704</f>
        <v>0</v>
      </c>
      <c r="AA704" s="347">
        <f>+'NF-KSF-TRIAL-BAL-2020'!T704+'RA-TRIAL-BAL-2020'!T704+'DES-TRIAL-BAL-2020'!T704+'DMP-TRIAL-BAL-2020'!T704</f>
        <v>0</v>
      </c>
      <c r="AB704" s="51"/>
      <c r="AC704" s="8">
        <v>0</v>
      </c>
      <c r="AD704" s="9">
        <v>0</v>
      </c>
      <c r="AE704" s="122">
        <v>0</v>
      </c>
      <c r="AF704" s="121">
        <v>0</v>
      </c>
      <c r="AG704" s="27">
        <f>+IF(ABS(+AC704+AE704)&gt;=ABS(AD704+AF704),+AC704-AD704+AE704-AF704,0)</f>
        <v>0</v>
      </c>
      <c r="AH704" s="28">
        <f>+IF(ABS(+AC704+AE704)&lt;=ABS(AD704+AF704),-AC704+AD704-AE704+AF704,0)</f>
        <v>0</v>
      </c>
      <c r="AI704" s="51"/>
      <c r="AJ704" s="1497">
        <f t="shared" si="319"/>
        <v>7391</v>
      </c>
      <c r="AK704" s="8">
        <v>0</v>
      </c>
      <c r="AL704" s="9">
        <v>0</v>
      </c>
      <c r="AM704" s="326">
        <f t="shared" si="341"/>
        <v>0</v>
      </c>
      <c r="AN704" s="970">
        <f t="shared" si="341"/>
        <v>0</v>
      </c>
      <c r="AO704" s="27">
        <f t="shared" si="335"/>
        <v>0</v>
      </c>
      <c r="AP704" s="28">
        <f t="shared" si="336"/>
        <v>0</v>
      </c>
      <c r="AQ704" s="43"/>
      <c r="AR704" s="358">
        <f t="shared" si="330"/>
        <v>0</v>
      </c>
      <c r="AS704" s="359">
        <f t="shared" si="331"/>
        <v>0</v>
      </c>
      <c r="AT704" s="360">
        <f t="shared" si="332"/>
        <v>0</v>
      </c>
      <c r="AU704" s="43"/>
      <c r="AV704" s="43"/>
      <c r="AW704" s="119"/>
      <c r="AX704" s="119"/>
      <c r="AY704" s="43"/>
      <c r="AZ704" s="43"/>
      <c r="BA704" s="43"/>
      <c r="BB704" s="43"/>
      <c r="BC704" s="43"/>
      <c r="BD704" s="43"/>
    </row>
    <row r="705" spans="1:56" ht="15.75">
      <c r="A705" s="88">
        <v>7392</v>
      </c>
      <c r="B705" s="1035" t="s">
        <v>1177</v>
      </c>
      <c r="C705" s="1033"/>
      <c r="D705" s="1033"/>
      <c r="E705" s="1033"/>
      <c r="F705" s="1033"/>
      <c r="G705" s="1033"/>
      <c r="H705" s="1033"/>
      <c r="I705" s="1033"/>
      <c r="J705" s="1033"/>
      <c r="K705" s="1033"/>
      <c r="L705" s="90"/>
      <c r="M705" s="51" t="s">
        <v>265</v>
      </c>
      <c r="N705" s="113">
        <f t="shared" si="333"/>
        <v>7392</v>
      </c>
      <c r="O705" s="8">
        <v>0</v>
      </c>
      <c r="P705" s="9">
        <v>0</v>
      </c>
      <c r="Q705" s="325">
        <v>0</v>
      </c>
      <c r="R705" s="324">
        <v>0</v>
      </c>
      <c r="S705" s="27">
        <f t="shared" ref="S705:S715" si="347">+IF(ABS(+O705+Q705)&gt;=ABS(P705+R705),+O705-P705+Q705-R705,0)</f>
        <v>0</v>
      </c>
      <c r="T705" s="28">
        <f t="shared" ref="T705:T715" si="348">+IF(ABS(+O705+Q705)&lt;=ABS(P705+R705),-O705+P705-Q705+R705,0)</f>
        <v>0</v>
      </c>
      <c r="U705" s="51"/>
      <c r="V705" s="541">
        <f>+'NF-KSF-TRIAL-BAL-2020'!O705+'RA-TRIAL-BAL-2020'!O705+'DES-TRIAL-BAL-2020'!O705+'DMP-TRIAL-BAL-2020'!O705</f>
        <v>0</v>
      </c>
      <c r="W705" s="529">
        <f>+'NF-KSF-TRIAL-BAL-2020'!P705+'RA-TRIAL-BAL-2020'!P705+'DES-TRIAL-BAL-2020'!P705+'DMP-TRIAL-BAL-2020'!P705</f>
        <v>0</v>
      </c>
      <c r="X705" s="528">
        <f>+'NF-KSF-TRIAL-BAL-2020'!Q705+'RA-TRIAL-BAL-2020'!Q705+'DES-TRIAL-BAL-2020'!Q705+'DMP-TRIAL-BAL-2020'!Q705</f>
        <v>0</v>
      </c>
      <c r="Y705" s="529">
        <f>+'NF-KSF-TRIAL-BAL-2020'!R705+'RA-TRIAL-BAL-2020'!R705+'DES-TRIAL-BAL-2020'!R705+'DMP-TRIAL-BAL-2020'!R705</f>
        <v>0</v>
      </c>
      <c r="Z705" s="528">
        <f>+'NF-KSF-TRIAL-BAL-2020'!S705+'RA-TRIAL-BAL-2020'!S705+'DES-TRIAL-BAL-2020'!S705+'DMP-TRIAL-BAL-2020'!S705</f>
        <v>0</v>
      </c>
      <c r="AA705" s="347">
        <f>+'NF-KSF-TRIAL-BAL-2020'!T705+'RA-TRIAL-BAL-2020'!T705+'DES-TRIAL-BAL-2020'!T705+'DMP-TRIAL-BAL-2020'!T705</f>
        <v>0</v>
      </c>
      <c r="AB705" s="51"/>
      <c r="AC705" s="8">
        <v>0</v>
      </c>
      <c r="AD705" s="9">
        <v>0</v>
      </c>
      <c r="AE705" s="122">
        <v>0</v>
      </c>
      <c r="AF705" s="121">
        <v>0</v>
      </c>
      <c r="AG705" s="27">
        <f t="shared" ref="AG705:AG715" si="349">+IF(ABS(+AC705+AE705)&gt;=ABS(AD705+AF705),+AC705-AD705+AE705-AF705,0)</f>
        <v>0</v>
      </c>
      <c r="AH705" s="28">
        <f t="shared" ref="AH705:AH715" si="350">+IF(ABS(+AC705+AE705)&lt;=ABS(AD705+AF705),-AC705+AD705-AE705+AF705,0)</f>
        <v>0</v>
      </c>
      <c r="AI705" s="51"/>
      <c r="AJ705" s="1497">
        <f t="shared" ref="AJ705:AJ819" si="351">+N705</f>
        <v>7392</v>
      </c>
      <c r="AK705" s="8">
        <v>0</v>
      </c>
      <c r="AL705" s="9">
        <v>0</v>
      </c>
      <c r="AM705" s="326">
        <f t="shared" si="341"/>
        <v>0</v>
      </c>
      <c r="AN705" s="970">
        <f t="shared" si="341"/>
        <v>0</v>
      </c>
      <c r="AO705" s="27">
        <f t="shared" si="335"/>
        <v>0</v>
      </c>
      <c r="AP705" s="28">
        <f t="shared" si="336"/>
        <v>0</v>
      </c>
      <c r="AQ705" s="43"/>
      <c r="AR705" s="358">
        <f t="shared" si="330"/>
        <v>0</v>
      </c>
      <c r="AS705" s="359">
        <f t="shared" si="331"/>
        <v>0</v>
      </c>
      <c r="AT705" s="360">
        <f t="shared" si="332"/>
        <v>0</v>
      </c>
      <c r="AU705" s="43"/>
      <c r="AV705" s="43"/>
      <c r="AW705" s="119"/>
      <c r="AX705" s="119"/>
      <c r="AY705" s="43"/>
      <c r="AZ705" s="43"/>
      <c r="BA705" s="43"/>
      <c r="BB705" s="43"/>
      <c r="BC705" s="43"/>
      <c r="BD705" s="43"/>
    </row>
    <row r="706" spans="1:56" ht="15.75">
      <c r="A706" s="88">
        <v>7400</v>
      </c>
      <c r="B706" s="1033" t="s">
        <v>742</v>
      </c>
      <c r="C706" s="1033"/>
      <c r="D706" s="1033"/>
      <c r="E706" s="1033"/>
      <c r="F706" s="1033"/>
      <c r="G706" s="1033"/>
      <c r="H706" s="1033"/>
      <c r="I706" s="1033"/>
      <c r="J706" s="1033"/>
      <c r="K706" s="1033"/>
      <c r="L706" s="90"/>
      <c r="M706" s="51" t="s">
        <v>265</v>
      </c>
      <c r="N706" s="113">
        <f t="shared" ref="N706:N715" si="352">+A706</f>
        <v>7400</v>
      </c>
      <c r="O706" s="8">
        <v>0</v>
      </c>
      <c r="P706" s="9">
        <v>0</v>
      </c>
      <c r="Q706" s="325"/>
      <c r="R706" s="324"/>
      <c r="S706" s="27">
        <f t="shared" si="347"/>
        <v>0</v>
      </c>
      <c r="T706" s="28">
        <f t="shared" si="348"/>
        <v>0</v>
      </c>
      <c r="U706" s="51"/>
      <c r="V706" s="541">
        <f>+'NF-KSF-TRIAL-BAL-2020'!O706+'RA-TRIAL-BAL-2020'!O706+'DES-TRIAL-BAL-2020'!O706+'DMP-TRIAL-BAL-2020'!O706</f>
        <v>0</v>
      </c>
      <c r="W706" s="529">
        <f>+'NF-KSF-TRIAL-BAL-2020'!P706+'RA-TRIAL-BAL-2020'!P706+'DES-TRIAL-BAL-2020'!P706+'DMP-TRIAL-BAL-2020'!P706</f>
        <v>0</v>
      </c>
      <c r="X706" s="528">
        <f>+'NF-KSF-TRIAL-BAL-2020'!Q706+'RA-TRIAL-BAL-2020'!Q706+'DES-TRIAL-BAL-2020'!Q706+'DMP-TRIAL-BAL-2020'!Q706</f>
        <v>0</v>
      </c>
      <c r="Y706" s="529">
        <f>+'NF-KSF-TRIAL-BAL-2020'!R706+'RA-TRIAL-BAL-2020'!R706+'DES-TRIAL-BAL-2020'!R706+'DMP-TRIAL-BAL-2020'!R706</f>
        <v>0</v>
      </c>
      <c r="Z706" s="528">
        <f>+'NF-KSF-TRIAL-BAL-2020'!S706+'RA-TRIAL-BAL-2020'!S706+'DES-TRIAL-BAL-2020'!S706+'DMP-TRIAL-BAL-2020'!S706</f>
        <v>0</v>
      </c>
      <c r="AA706" s="347">
        <f>+'NF-KSF-TRIAL-BAL-2020'!T706+'RA-TRIAL-BAL-2020'!T706+'DES-TRIAL-BAL-2020'!T706+'DMP-TRIAL-BAL-2020'!T706</f>
        <v>0</v>
      </c>
      <c r="AB706" s="51"/>
      <c r="AC706" s="8">
        <v>0</v>
      </c>
      <c r="AD706" s="9">
        <v>0</v>
      </c>
      <c r="AE706" s="325"/>
      <c r="AF706" s="324"/>
      <c r="AG706" s="27">
        <f t="shared" si="349"/>
        <v>0</v>
      </c>
      <c r="AH706" s="28">
        <f t="shared" si="350"/>
        <v>0</v>
      </c>
      <c r="AI706" s="51"/>
      <c r="AJ706" s="1497">
        <f t="shared" si="351"/>
        <v>7400</v>
      </c>
      <c r="AK706" s="8">
        <v>0</v>
      </c>
      <c r="AL706" s="9">
        <v>0</v>
      </c>
      <c r="AM706" s="326">
        <f>+ROUND(+Q706+X706+AE706,2)</f>
        <v>0</v>
      </c>
      <c r="AN706" s="970">
        <f t="shared" si="341"/>
        <v>0</v>
      </c>
      <c r="AO706" s="27">
        <f t="shared" si="335"/>
        <v>0</v>
      </c>
      <c r="AP706" s="28">
        <f t="shared" si="336"/>
        <v>0</v>
      </c>
      <c r="AQ706" s="43"/>
      <c r="AR706" s="358">
        <f t="shared" ref="AR706:AR715" si="353">+ROUND(+SUM(AK706-AL706)-SUM(O706-P706)-SUM(V706-W706)-SUM(AC706-AD706),2)</f>
        <v>0</v>
      </c>
      <c r="AS706" s="359">
        <f t="shared" ref="AS706:AS715" si="354">+ROUND(+SUM(AM706-AN706)-SUM(Q706-R706)-SUM(X706-Y706)-SUM(AE706-AF706),2)</f>
        <v>0</v>
      </c>
      <c r="AT706" s="360">
        <f t="shared" ref="AT706:AT715" si="355">+ROUND(+SUM(AO706-AP706)-SUM(S706-T706)-SUM(Z706-AA706)-SUM(AG706-AH706),2)</f>
        <v>0</v>
      </c>
      <c r="AU706" s="43"/>
      <c r="AV706" s="43"/>
      <c r="AW706" s="119"/>
      <c r="AX706" s="119"/>
      <c r="AY706" s="43"/>
      <c r="AZ706" s="43"/>
      <c r="BA706" s="43"/>
      <c r="BB706" s="43"/>
      <c r="BC706" s="43"/>
      <c r="BD706" s="43"/>
    </row>
    <row r="707" spans="1:56" ht="15.75">
      <c r="A707" s="88">
        <v>7401</v>
      </c>
      <c r="B707" s="1033" t="s">
        <v>743</v>
      </c>
      <c r="C707" s="1033"/>
      <c r="D707" s="1033"/>
      <c r="E707" s="1033"/>
      <c r="F707" s="1033"/>
      <c r="G707" s="1033"/>
      <c r="H707" s="1033"/>
      <c r="I707" s="1033"/>
      <c r="J707" s="1033"/>
      <c r="K707" s="1033"/>
      <c r="L707" s="90"/>
      <c r="M707" s="51" t="s">
        <v>265</v>
      </c>
      <c r="N707" s="113">
        <f t="shared" si="352"/>
        <v>7401</v>
      </c>
      <c r="O707" s="8">
        <v>0</v>
      </c>
      <c r="P707" s="9">
        <v>0</v>
      </c>
      <c r="Q707" s="325"/>
      <c r="R707" s="324"/>
      <c r="S707" s="27">
        <f t="shared" si="347"/>
        <v>0</v>
      </c>
      <c r="T707" s="28">
        <f t="shared" si="348"/>
        <v>0</v>
      </c>
      <c r="U707" s="51"/>
      <c r="V707" s="541">
        <f>+'NF-KSF-TRIAL-BAL-2020'!O707+'RA-TRIAL-BAL-2020'!O707+'DES-TRIAL-BAL-2020'!O707+'DMP-TRIAL-BAL-2020'!O707</f>
        <v>0</v>
      </c>
      <c r="W707" s="529">
        <f>+'NF-KSF-TRIAL-BAL-2020'!P707+'RA-TRIAL-BAL-2020'!P707+'DES-TRIAL-BAL-2020'!P707+'DMP-TRIAL-BAL-2020'!P707</f>
        <v>0</v>
      </c>
      <c r="X707" s="528">
        <f>+'NF-KSF-TRIAL-BAL-2020'!Q707+'RA-TRIAL-BAL-2020'!Q707+'DES-TRIAL-BAL-2020'!Q707+'DMP-TRIAL-BAL-2020'!Q707</f>
        <v>0</v>
      </c>
      <c r="Y707" s="529">
        <f>+'NF-KSF-TRIAL-BAL-2020'!R707+'RA-TRIAL-BAL-2020'!R707+'DES-TRIAL-BAL-2020'!R707+'DMP-TRIAL-BAL-2020'!R707</f>
        <v>0</v>
      </c>
      <c r="Z707" s="528">
        <f>+'NF-KSF-TRIAL-BAL-2020'!S707+'RA-TRIAL-BAL-2020'!S707+'DES-TRIAL-BAL-2020'!S707+'DMP-TRIAL-BAL-2020'!S707</f>
        <v>0</v>
      </c>
      <c r="AA707" s="347">
        <f>+'NF-KSF-TRIAL-BAL-2020'!T707+'RA-TRIAL-BAL-2020'!T707+'DES-TRIAL-BAL-2020'!T707+'DMP-TRIAL-BAL-2020'!T707</f>
        <v>0</v>
      </c>
      <c r="AB707" s="51"/>
      <c r="AC707" s="8">
        <v>0</v>
      </c>
      <c r="AD707" s="9">
        <v>0</v>
      </c>
      <c r="AE707" s="325"/>
      <c r="AF707" s="324"/>
      <c r="AG707" s="27">
        <f t="shared" si="349"/>
        <v>0</v>
      </c>
      <c r="AH707" s="28">
        <f t="shared" si="350"/>
        <v>0</v>
      </c>
      <c r="AI707" s="51"/>
      <c r="AJ707" s="1497">
        <f t="shared" si="351"/>
        <v>7401</v>
      </c>
      <c r="AK707" s="8">
        <v>0</v>
      </c>
      <c r="AL707" s="9">
        <v>0</v>
      </c>
      <c r="AM707" s="326">
        <f t="shared" si="341"/>
        <v>0</v>
      </c>
      <c r="AN707" s="970">
        <f t="shared" si="341"/>
        <v>0</v>
      </c>
      <c r="AO707" s="27">
        <f t="shared" si="335"/>
        <v>0</v>
      </c>
      <c r="AP707" s="28">
        <f t="shared" si="336"/>
        <v>0</v>
      </c>
      <c r="AQ707" s="43"/>
      <c r="AR707" s="358">
        <f t="shared" si="353"/>
        <v>0</v>
      </c>
      <c r="AS707" s="359">
        <f t="shared" si="354"/>
        <v>0</v>
      </c>
      <c r="AT707" s="360">
        <f t="shared" si="355"/>
        <v>0</v>
      </c>
      <c r="AU707" s="43"/>
      <c r="AV707" s="43"/>
      <c r="AW707" s="119"/>
      <c r="AX707" s="119"/>
      <c r="AY707" s="43"/>
      <c r="AZ707" s="43"/>
      <c r="BA707" s="43"/>
      <c r="BB707" s="43"/>
      <c r="BC707" s="43"/>
      <c r="BD707" s="43"/>
    </row>
    <row r="708" spans="1:56" ht="15.75">
      <c r="A708" s="88">
        <v>7402</v>
      </c>
      <c r="B708" s="1033" t="s">
        <v>744</v>
      </c>
      <c r="C708" s="1033"/>
      <c r="D708" s="1033"/>
      <c r="E708" s="1033"/>
      <c r="F708" s="1033"/>
      <c r="G708" s="1033"/>
      <c r="H708" s="1033"/>
      <c r="I708" s="1033"/>
      <c r="J708" s="1033"/>
      <c r="K708" s="1033"/>
      <c r="L708" s="90"/>
      <c r="M708" s="51" t="s">
        <v>265</v>
      </c>
      <c r="N708" s="113">
        <f t="shared" si="352"/>
        <v>7402</v>
      </c>
      <c r="O708" s="8">
        <v>0</v>
      </c>
      <c r="P708" s="9">
        <v>0</v>
      </c>
      <c r="Q708" s="325"/>
      <c r="R708" s="324"/>
      <c r="S708" s="27">
        <f t="shared" si="347"/>
        <v>0</v>
      </c>
      <c r="T708" s="28">
        <f t="shared" si="348"/>
        <v>0</v>
      </c>
      <c r="U708" s="51"/>
      <c r="V708" s="541">
        <f>+'NF-KSF-TRIAL-BAL-2020'!O708+'RA-TRIAL-BAL-2020'!O708+'DES-TRIAL-BAL-2020'!O708+'DMP-TRIAL-BAL-2020'!O708</f>
        <v>0</v>
      </c>
      <c r="W708" s="529">
        <f>+'NF-KSF-TRIAL-BAL-2020'!P708+'RA-TRIAL-BAL-2020'!P708+'DES-TRIAL-BAL-2020'!P708+'DMP-TRIAL-BAL-2020'!P708</f>
        <v>0</v>
      </c>
      <c r="X708" s="528">
        <f>+'NF-KSF-TRIAL-BAL-2020'!Q708+'RA-TRIAL-BAL-2020'!Q708+'DES-TRIAL-BAL-2020'!Q708+'DMP-TRIAL-BAL-2020'!Q708</f>
        <v>0</v>
      </c>
      <c r="Y708" s="529">
        <f>+'NF-KSF-TRIAL-BAL-2020'!R708+'RA-TRIAL-BAL-2020'!R708+'DES-TRIAL-BAL-2020'!R708+'DMP-TRIAL-BAL-2020'!R708</f>
        <v>0</v>
      </c>
      <c r="Z708" s="528">
        <f>+'NF-KSF-TRIAL-BAL-2020'!S708+'RA-TRIAL-BAL-2020'!S708+'DES-TRIAL-BAL-2020'!S708+'DMP-TRIAL-BAL-2020'!S708</f>
        <v>0</v>
      </c>
      <c r="AA708" s="347">
        <f>+'NF-KSF-TRIAL-BAL-2020'!T708+'RA-TRIAL-BAL-2020'!T708+'DES-TRIAL-BAL-2020'!T708+'DMP-TRIAL-BAL-2020'!T708</f>
        <v>0</v>
      </c>
      <c r="AB708" s="51"/>
      <c r="AC708" s="8">
        <v>0</v>
      </c>
      <c r="AD708" s="9">
        <v>0</v>
      </c>
      <c r="AE708" s="122"/>
      <c r="AF708" s="121"/>
      <c r="AG708" s="27">
        <f t="shared" si="349"/>
        <v>0</v>
      </c>
      <c r="AH708" s="28">
        <f t="shared" si="350"/>
        <v>0</v>
      </c>
      <c r="AI708" s="51"/>
      <c r="AJ708" s="1497">
        <f t="shared" si="351"/>
        <v>7402</v>
      </c>
      <c r="AK708" s="8">
        <v>0</v>
      </c>
      <c r="AL708" s="9">
        <v>0</v>
      </c>
      <c r="AM708" s="326">
        <f t="shared" si="341"/>
        <v>0</v>
      </c>
      <c r="AN708" s="970">
        <f t="shared" si="341"/>
        <v>0</v>
      </c>
      <c r="AO708" s="27">
        <f t="shared" si="335"/>
        <v>0</v>
      </c>
      <c r="AP708" s="28">
        <f t="shared" si="336"/>
        <v>0</v>
      </c>
      <c r="AQ708" s="43"/>
      <c r="AR708" s="358">
        <f t="shared" si="353"/>
        <v>0</v>
      </c>
      <c r="AS708" s="359">
        <f t="shared" si="354"/>
        <v>0</v>
      </c>
      <c r="AT708" s="360">
        <f t="shared" si="355"/>
        <v>0</v>
      </c>
      <c r="AU708" s="43"/>
      <c r="AV708" s="43"/>
      <c r="AW708" s="119"/>
      <c r="AX708" s="119"/>
      <c r="AY708" s="43"/>
      <c r="AZ708" s="43"/>
      <c r="BA708" s="43"/>
      <c r="BB708" s="43"/>
      <c r="BC708" s="43"/>
      <c r="BD708" s="43"/>
    </row>
    <row r="709" spans="1:56" ht="15.75">
      <c r="A709" s="88">
        <v>7403</v>
      </c>
      <c r="B709" s="1033" t="s">
        <v>745</v>
      </c>
      <c r="C709" s="1033"/>
      <c r="D709" s="1033"/>
      <c r="E709" s="1033"/>
      <c r="F709" s="1033"/>
      <c r="G709" s="1033"/>
      <c r="H709" s="1033"/>
      <c r="I709" s="1033"/>
      <c r="J709" s="1033"/>
      <c r="K709" s="1033"/>
      <c r="L709" s="90"/>
      <c r="M709" s="51" t="s">
        <v>265</v>
      </c>
      <c r="N709" s="113">
        <f t="shared" si="352"/>
        <v>7403</v>
      </c>
      <c r="O709" s="8">
        <v>0</v>
      </c>
      <c r="P709" s="9">
        <v>0</v>
      </c>
      <c r="Q709" s="325"/>
      <c r="R709" s="324"/>
      <c r="S709" s="27">
        <f t="shared" si="347"/>
        <v>0</v>
      </c>
      <c r="T709" s="28">
        <f t="shared" si="348"/>
        <v>0</v>
      </c>
      <c r="U709" s="51"/>
      <c r="V709" s="541">
        <f>+'NF-KSF-TRIAL-BAL-2020'!O709+'RA-TRIAL-BAL-2020'!O709+'DES-TRIAL-BAL-2020'!O709+'DMP-TRIAL-BAL-2020'!O709</f>
        <v>0</v>
      </c>
      <c r="W709" s="529">
        <f>+'NF-KSF-TRIAL-BAL-2020'!P709+'RA-TRIAL-BAL-2020'!P709+'DES-TRIAL-BAL-2020'!P709+'DMP-TRIAL-BAL-2020'!P709</f>
        <v>0</v>
      </c>
      <c r="X709" s="528">
        <f>+'NF-KSF-TRIAL-BAL-2020'!Q709+'RA-TRIAL-BAL-2020'!Q709+'DES-TRIAL-BAL-2020'!Q709+'DMP-TRIAL-BAL-2020'!Q709</f>
        <v>0</v>
      </c>
      <c r="Y709" s="529">
        <f>+'NF-KSF-TRIAL-BAL-2020'!R709+'RA-TRIAL-BAL-2020'!R709+'DES-TRIAL-BAL-2020'!R709+'DMP-TRIAL-BAL-2020'!R709</f>
        <v>0</v>
      </c>
      <c r="Z709" s="528">
        <f>+'NF-KSF-TRIAL-BAL-2020'!S709+'RA-TRIAL-BAL-2020'!S709+'DES-TRIAL-BAL-2020'!S709+'DMP-TRIAL-BAL-2020'!S709</f>
        <v>0</v>
      </c>
      <c r="AA709" s="347">
        <f>+'NF-KSF-TRIAL-BAL-2020'!T709+'RA-TRIAL-BAL-2020'!T709+'DES-TRIAL-BAL-2020'!T709+'DMP-TRIAL-BAL-2020'!T709</f>
        <v>0</v>
      </c>
      <c r="AB709" s="51"/>
      <c r="AC709" s="8">
        <v>0</v>
      </c>
      <c r="AD709" s="9">
        <v>0</v>
      </c>
      <c r="AE709" s="122"/>
      <c r="AF709" s="121"/>
      <c r="AG709" s="27">
        <f t="shared" si="349"/>
        <v>0</v>
      </c>
      <c r="AH709" s="28">
        <f t="shared" si="350"/>
        <v>0</v>
      </c>
      <c r="AI709" s="51"/>
      <c r="AJ709" s="1497">
        <f t="shared" si="351"/>
        <v>7403</v>
      </c>
      <c r="AK709" s="8">
        <v>0</v>
      </c>
      <c r="AL709" s="9">
        <v>0</v>
      </c>
      <c r="AM709" s="326">
        <f t="shared" si="341"/>
        <v>0</v>
      </c>
      <c r="AN709" s="970">
        <f t="shared" si="341"/>
        <v>0</v>
      </c>
      <c r="AO709" s="27">
        <f t="shared" si="335"/>
        <v>0</v>
      </c>
      <c r="AP709" s="28">
        <f t="shared" si="336"/>
        <v>0</v>
      </c>
      <c r="AQ709" s="43"/>
      <c r="AR709" s="358">
        <f t="shared" si="353"/>
        <v>0</v>
      </c>
      <c r="AS709" s="359">
        <f t="shared" si="354"/>
        <v>0</v>
      </c>
      <c r="AT709" s="360">
        <f t="shared" si="355"/>
        <v>0</v>
      </c>
      <c r="AU709" s="43"/>
      <c r="AV709" s="43"/>
      <c r="AW709" s="119"/>
      <c r="AX709" s="119"/>
      <c r="AY709" s="43"/>
      <c r="AZ709" s="43"/>
      <c r="BA709" s="43"/>
      <c r="BB709" s="43"/>
      <c r="BC709" s="43"/>
      <c r="BD709" s="43"/>
    </row>
    <row r="710" spans="1:56" ht="15.75">
      <c r="A710" s="88">
        <v>7404</v>
      </c>
      <c r="B710" s="1033" t="s">
        <v>746</v>
      </c>
      <c r="C710" s="1033"/>
      <c r="D710" s="1033"/>
      <c r="E710" s="1033"/>
      <c r="F710" s="1033"/>
      <c r="G710" s="1033"/>
      <c r="H710" s="1033"/>
      <c r="I710" s="1033"/>
      <c r="J710" s="1033"/>
      <c r="K710" s="1033"/>
      <c r="L710" s="90"/>
      <c r="M710" s="51" t="s">
        <v>265</v>
      </c>
      <c r="N710" s="113">
        <f t="shared" si="352"/>
        <v>7404</v>
      </c>
      <c r="O710" s="8">
        <v>0</v>
      </c>
      <c r="P710" s="9">
        <v>0</v>
      </c>
      <c r="Q710" s="325"/>
      <c r="R710" s="324"/>
      <c r="S710" s="27">
        <f t="shared" si="347"/>
        <v>0</v>
      </c>
      <c r="T710" s="28">
        <f t="shared" si="348"/>
        <v>0</v>
      </c>
      <c r="U710" s="51"/>
      <c r="V710" s="541">
        <f>+'NF-KSF-TRIAL-BAL-2020'!O710+'RA-TRIAL-BAL-2020'!O710+'DES-TRIAL-BAL-2020'!O710+'DMP-TRIAL-BAL-2020'!O710</f>
        <v>0</v>
      </c>
      <c r="W710" s="529">
        <f>+'NF-KSF-TRIAL-BAL-2020'!P710+'RA-TRIAL-BAL-2020'!P710+'DES-TRIAL-BAL-2020'!P710+'DMP-TRIAL-BAL-2020'!P710</f>
        <v>0</v>
      </c>
      <c r="X710" s="528">
        <f>+'NF-KSF-TRIAL-BAL-2020'!Q710+'RA-TRIAL-BAL-2020'!Q710+'DES-TRIAL-BAL-2020'!Q710+'DMP-TRIAL-BAL-2020'!Q710</f>
        <v>0</v>
      </c>
      <c r="Y710" s="529">
        <f>+'NF-KSF-TRIAL-BAL-2020'!R710+'RA-TRIAL-BAL-2020'!R710+'DES-TRIAL-BAL-2020'!R710+'DMP-TRIAL-BAL-2020'!R710</f>
        <v>0</v>
      </c>
      <c r="Z710" s="528">
        <f>+'NF-KSF-TRIAL-BAL-2020'!S710+'RA-TRIAL-BAL-2020'!S710+'DES-TRIAL-BAL-2020'!S710+'DMP-TRIAL-BAL-2020'!S710</f>
        <v>0</v>
      </c>
      <c r="AA710" s="347">
        <f>+'NF-KSF-TRIAL-BAL-2020'!T710+'RA-TRIAL-BAL-2020'!T710+'DES-TRIAL-BAL-2020'!T710+'DMP-TRIAL-BAL-2020'!T710</f>
        <v>0</v>
      </c>
      <c r="AB710" s="51"/>
      <c r="AC710" s="8">
        <v>0</v>
      </c>
      <c r="AD710" s="9">
        <v>0</v>
      </c>
      <c r="AE710" s="325"/>
      <c r="AF710" s="324"/>
      <c r="AG710" s="27">
        <f t="shared" si="349"/>
        <v>0</v>
      </c>
      <c r="AH710" s="28">
        <f t="shared" si="350"/>
        <v>0</v>
      </c>
      <c r="AI710" s="51"/>
      <c r="AJ710" s="1497">
        <f t="shared" si="351"/>
        <v>7404</v>
      </c>
      <c r="AK710" s="8">
        <v>0</v>
      </c>
      <c r="AL710" s="9">
        <v>0</v>
      </c>
      <c r="AM710" s="326">
        <f t="shared" si="341"/>
        <v>0</v>
      </c>
      <c r="AN710" s="970">
        <f t="shared" si="341"/>
        <v>0</v>
      </c>
      <c r="AO710" s="27">
        <f t="shared" si="335"/>
        <v>0</v>
      </c>
      <c r="AP710" s="28">
        <f t="shared" si="336"/>
        <v>0</v>
      </c>
      <c r="AQ710" s="43"/>
      <c r="AR710" s="358">
        <f t="shared" si="353"/>
        <v>0</v>
      </c>
      <c r="AS710" s="359">
        <f t="shared" si="354"/>
        <v>0</v>
      </c>
      <c r="AT710" s="360">
        <f t="shared" si="355"/>
        <v>0</v>
      </c>
      <c r="AU710" s="43"/>
      <c r="AV710" s="43"/>
      <c r="AW710" s="119"/>
      <c r="AX710" s="119"/>
      <c r="AY710" s="43"/>
      <c r="AZ710" s="43"/>
      <c r="BA710" s="43"/>
      <c r="BB710" s="43"/>
      <c r="BC710" s="43"/>
      <c r="BD710" s="43"/>
    </row>
    <row r="711" spans="1:56" ht="15.75">
      <c r="A711" s="88">
        <v>7405</v>
      </c>
      <c r="B711" s="1033" t="s">
        <v>747</v>
      </c>
      <c r="C711" s="1033"/>
      <c r="D711" s="1033"/>
      <c r="E711" s="1033"/>
      <c r="F711" s="1033"/>
      <c r="G711" s="1033"/>
      <c r="H711" s="1033"/>
      <c r="I711" s="1033"/>
      <c r="J711" s="1033"/>
      <c r="K711" s="1033"/>
      <c r="L711" s="90"/>
      <c r="M711" s="51" t="s">
        <v>265</v>
      </c>
      <c r="N711" s="113">
        <f t="shared" si="352"/>
        <v>7405</v>
      </c>
      <c r="O711" s="8">
        <v>0</v>
      </c>
      <c r="P711" s="9">
        <v>0</v>
      </c>
      <c r="Q711" s="325"/>
      <c r="R711" s="324"/>
      <c r="S711" s="27">
        <f t="shared" si="347"/>
        <v>0</v>
      </c>
      <c r="T711" s="28">
        <f t="shared" si="348"/>
        <v>0</v>
      </c>
      <c r="U711" s="51"/>
      <c r="V711" s="541">
        <f>+'NF-KSF-TRIAL-BAL-2020'!O711+'RA-TRIAL-BAL-2020'!O711+'DES-TRIAL-BAL-2020'!O711+'DMP-TRIAL-BAL-2020'!O711</f>
        <v>0</v>
      </c>
      <c r="W711" s="529">
        <f>+'NF-KSF-TRIAL-BAL-2020'!P711+'RA-TRIAL-BAL-2020'!P711+'DES-TRIAL-BAL-2020'!P711+'DMP-TRIAL-BAL-2020'!P711</f>
        <v>0</v>
      </c>
      <c r="X711" s="528">
        <f>+'NF-KSF-TRIAL-BAL-2020'!Q711+'RA-TRIAL-BAL-2020'!Q711+'DES-TRIAL-BAL-2020'!Q711+'DMP-TRIAL-BAL-2020'!Q711</f>
        <v>0</v>
      </c>
      <c r="Y711" s="529">
        <f>+'NF-KSF-TRIAL-BAL-2020'!R711+'RA-TRIAL-BAL-2020'!R711+'DES-TRIAL-BAL-2020'!R711+'DMP-TRIAL-BAL-2020'!R711</f>
        <v>0</v>
      </c>
      <c r="Z711" s="528">
        <f>+'NF-KSF-TRIAL-BAL-2020'!S711+'RA-TRIAL-BAL-2020'!S711+'DES-TRIAL-BAL-2020'!S711+'DMP-TRIAL-BAL-2020'!S711</f>
        <v>0</v>
      </c>
      <c r="AA711" s="347">
        <f>+'NF-KSF-TRIAL-BAL-2020'!T711+'RA-TRIAL-BAL-2020'!T711+'DES-TRIAL-BAL-2020'!T711+'DMP-TRIAL-BAL-2020'!T711</f>
        <v>0</v>
      </c>
      <c r="AB711" s="51"/>
      <c r="AC711" s="8">
        <v>0</v>
      </c>
      <c r="AD711" s="9">
        <v>0</v>
      </c>
      <c r="AE711" s="325"/>
      <c r="AF711" s="324"/>
      <c r="AG711" s="27">
        <f t="shared" si="349"/>
        <v>0</v>
      </c>
      <c r="AH711" s="28">
        <f t="shared" si="350"/>
        <v>0</v>
      </c>
      <c r="AI711" s="51"/>
      <c r="AJ711" s="1497">
        <f>+N711</f>
        <v>7405</v>
      </c>
      <c r="AK711" s="8">
        <v>0</v>
      </c>
      <c r="AL711" s="9">
        <v>0</v>
      </c>
      <c r="AM711" s="326">
        <f t="shared" si="341"/>
        <v>0</v>
      </c>
      <c r="AN711" s="970">
        <f t="shared" si="341"/>
        <v>0</v>
      </c>
      <c r="AO711" s="27">
        <f t="shared" si="335"/>
        <v>0</v>
      </c>
      <c r="AP711" s="28">
        <f t="shared" si="336"/>
        <v>0</v>
      </c>
      <c r="AQ711" s="43"/>
      <c r="AR711" s="358">
        <f t="shared" si="353"/>
        <v>0</v>
      </c>
      <c r="AS711" s="359">
        <f t="shared" si="354"/>
        <v>0</v>
      </c>
      <c r="AT711" s="360">
        <f t="shared" si="355"/>
        <v>0</v>
      </c>
      <c r="AU711" s="43"/>
      <c r="AV711" s="43"/>
      <c r="AW711" s="119"/>
      <c r="AX711" s="119"/>
      <c r="AY711" s="43"/>
      <c r="AZ711" s="43"/>
      <c r="BA711" s="43"/>
      <c r="BB711" s="43"/>
      <c r="BC711" s="43"/>
      <c r="BD711" s="43"/>
    </row>
    <row r="712" spans="1:56" ht="15.75">
      <c r="A712" s="88">
        <v>7406</v>
      </c>
      <c r="B712" s="1033" t="s">
        <v>748</v>
      </c>
      <c r="C712" s="1033"/>
      <c r="D712" s="1033"/>
      <c r="E712" s="1033"/>
      <c r="F712" s="1033"/>
      <c r="G712" s="1033"/>
      <c r="H712" s="1033"/>
      <c r="I712" s="1033"/>
      <c r="J712" s="1033"/>
      <c r="K712" s="1033"/>
      <c r="L712" s="90"/>
      <c r="M712" s="51" t="s">
        <v>265</v>
      </c>
      <c r="N712" s="113">
        <f t="shared" si="352"/>
        <v>7406</v>
      </c>
      <c r="O712" s="8">
        <v>0</v>
      </c>
      <c r="P712" s="9">
        <v>0</v>
      </c>
      <c r="Q712" s="325"/>
      <c r="R712" s="324"/>
      <c r="S712" s="27">
        <f t="shared" si="347"/>
        <v>0</v>
      </c>
      <c r="T712" s="28">
        <f t="shared" si="348"/>
        <v>0</v>
      </c>
      <c r="U712" s="51"/>
      <c r="V712" s="541">
        <f>+'NF-KSF-TRIAL-BAL-2020'!O712+'RA-TRIAL-BAL-2020'!O712+'DES-TRIAL-BAL-2020'!O712+'DMP-TRIAL-BAL-2020'!O712</f>
        <v>0</v>
      </c>
      <c r="W712" s="529">
        <f>+'NF-KSF-TRIAL-BAL-2020'!P712+'RA-TRIAL-BAL-2020'!P712+'DES-TRIAL-BAL-2020'!P712+'DMP-TRIAL-BAL-2020'!P712</f>
        <v>0</v>
      </c>
      <c r="X712" s="528">
        <f>+'NF-KSF-TRIAL-BAL-2020'!Q712+'RA-TRIAL-BAL-2020'!Q712+'DES-TRIAL-BAL-2020'!Q712+'DMP-TRIAL-BAL-2020'!Q712</f>
        <v>0</v>
      </c>
      <c r="Y712" s="529">
        <f>+'NF-KSF-TRIAL-BAL-2020'!R712+'RA-TRIAL-BAL-2020'!R712+'DES-TRIAL-BAL-2020'!R712+'DMP-TRIAL-BAL-2020'!R712</f>
        <v>0</v>
      </c>
      <c r="Z712" s="528">
        <f>+'NF-KSF-TRIAL-BAL-2020'!S712+'RA-TRIAL-BAL-2020'!S712+'DES-TRIAL-BAL-2020'!S712+'DMP-TRIAL-BAL-2020'!S712</f>
        <v>0</v>
      </c>
      <c r="AA712" s="347">
        <f>+'NF-KSF-TRIAL-BAL-2020'!T712+'RA-TRIAL-BAL-2020'!T712+'DES-TRIAL-BAL-2020'!T712+'DMP-TRIAL-BAL-2020'!T712</f>
        <v>0</v>
      </c>
      <c r="AB712" s="51"/>
      <c r="AC712" s="8">
        <v>0</v>
      </c>
      <c r="AD712" s="9">
        <v>0</v>
      </c>
      <c r="AE712" s="122"/>
      <c r="AF712" s="121"/>
      <c r="AG712" s="27">
        <f t="shared" si="349"/>
        <v>0</v>
      </c>
      <c r="AH712" s="28">
        <f t="shared" si="350"/>
        <v>0</v>
      </c>
      <c r="AI712" s="51"/>
      <c r="AJ712" s="1497">
        <f>+N712</f>
        <v>7406</v>
      </c>
      <c r="AK712" s="8">
        <v>0</v>
      </c>
      <c r="AL712" s="9">
        <v>0</v>
      </c>
      <c r="AM712" s="326">
        <f t="shared" si="341"/>
        <v>0</v>
      </c>
      <c r="AN712" s="970">
        <f t="shared" si="341"/>
        <v>0</v>
      </c>
      <c r="AO712" s="27">
        <f t="shared" si="335"/>
        <v>0</v>
      </c>
      <c r="AP712" s="28">
        <f t="shared" si="336"/>
        <v>0</v>
      </c>
      <c r="AQ712" s="43"/>
      <c r="AR712" s="358">
        <f t="shared" si="353"/>
        <v>0</v>
      </c>
      <c r="AS712" s="359">
        <f t="shared" si="354"/>
        <v>0</v>
      </c>
      <c r="AT712" s="360">
        <f t="shared" si="355"/>
        <v>0</v>
      </c>
      <c r="AU712" s="43"/>
      <c r="AV712" s="43"/>
      <c r="AW712" s="119"/>
      <c r="AX712" s="119"/>
      <c r="AY712" s="43"/>
      <c r="AZ712" s="43"/>
      <c r="BA712" s="43"/>
      <c r="BB712" s="43"/>
      <c r="BC712" s="43"/>
      <c r="BD712" s="43"/>
    </row>
    <row r="713" spans="1:56" ht="15.75">
      <c r="A713" s="88">
        <v>7407</v>
      </c>
      <c r="B713" s="1033" t="s">
        <v>749</v>
      </c>
      <c r="C713" s="1033"/>
      <c r="D713" s="1033"/>
      <c r="E713" s="1033"/>
      <c r="F713" s="1033"/>
      <c r="G713" s="1033"/>
      <c r="H713" s="1033"/>
      <c r="I713" s="1033"/>
      <c r="J713" s="1033"/>
      <c r="K713" s="1033"/>
      <c r="L713" s="90"/>
      <c r="M713" s="51" t="s">
        <v>265</v>
      </c>
      <c r="N713" s="113">
        <f t="shared" si="352"/>
        <v>7407</v>
      </c>
      <c r="O713" s="8">
        <v>0</v>
      </c>
      <c r="P713" s="9">
        <v>0</v>
      </c>
      <c r="Q713" s="325"/>
      <c r="R713" s="324"/>
      <c r="S713" s="27">
        <f t="shared" si="347"/>
        <v>0</v>
      </c>
      <c r="T713" s="28">
        <f t="shared" si="348"/>
        <v>0</v>
      </c>
      <c r="U713" s="51"/>
      <c r="V713" s="541">
        <f>+'NF-KSF-TRIAL-BAL-2020'!O713+'RA-TRIAL-BAL-2020'!O713+'DES-TRIAL-BAL-2020'!O713+'DMP-TRIAL-BAL-2020'!O713</f>
        <v>0</v>
      </c>
      <c r="W713" s="529">
        <f>+'NF-KSF-TRIAL-BAL-2020'!P713+'RA-TRIAL-BAL-2020'!P713+'DES-TRIAL-BAL-2020'!P713+'DMP-TRIAL-BAL-2020'!P713</f>
        <v>0</v>
      </c>
      <c r="X713" s="528">
        <f>+'NF-KSF-TRIAL-BAL-2020'!Q713+'RA-TRIAL-BAL-2020'!Q713+'DES-TRIAL-BAL-2020'!Q713+'DMP-TRIAL-BAL-2020'!Q713</f>
        <v>0</v>
      </c>
      <c r="Y713" s="529">
        <f>+'NF-KSF-TRIAL-BAL-2020'!R713+'RA-TRIAL-BAL-2020'!R713+'DES-TRIAL-BAL-2020'!R713+'DMP-TRIAL-BAL-2020'!R713</f>
        <v>0</v>
      </c>
      <c r="Z713" s="528">
        <f>+'NF-KSF-TRIAL-BAL-2020'!S713+'RA-TRIAL-BAL-2020'!S713+'DES-TRIAL-BAL-2020'!S713+'DMP-TRIAL-BAL-2020'!S713</f>
        <v>0</v>
      </c>
      <c r="AA713" s="347">
        <f>+'NF-KSF-TRIAL-BAL-2020'!T713+'RA-TRIAL-BAL-2020'!T713+'DES-TRIAL-BAL-2020'!T713+'DMP-TRIAL-BAL-2020'!T713</f>
        <v>0</v>
      </c>
      <c r="AB713" s="51"/>
      <c r="AC713" s="8">
        <v>0</v>
      </c>
      <c r="AD713" s="9">
        <v>0</v>
      </c>
      <c r="AE713" s="122"/>
      <c r="AF713" s="121"/>
      <c r="AG713" s="27">
        <f t="shared" si="349"/>
        <v>0</v>
      </c>
      <c r="AH713" s="28">
        <f t="shared" si="350"/>
        <v>0</v>
      </c>
      <c r="AI713" s="51"/>
      <c r="AJ713" s="1497">
        <f>+N713</f>
        <v>7407</v>
      </c>
      <c r="AK713" s="8">
        <v>0</v>
      </c>
      <c r="AL713" s="9">
        <v>0</v>
      </c>
      <c r="AM713" s="326">
        <f t="shared" si="341"/>
        <v>0</v>
      </c>
      <c r="AN713" s="970">
        <f t="shared" si="341"/>
        <v>0</v>
      </c>
      <c r="AO713" s="27">
        <f t="shared" si="335"/>
        <v>0</v>
      </c>
      <c r="AP713" s="28">
        <f t="shared" si="336"/>
        <v>0</v>
      </c>
      <c r="AQ713" s="43"/>
      <c r="AR713" s="358">
        <f t="shared" si="353"/>
        <v>0</v>
      </c>
      <c r="AS713" s="359">
        <f t="shared" si="354"/>
        <v>0</v>
      </c>
      <c r="AT713" s="360">
        <f t="shared" si="355"/>
        <v>0</v>
      </c>
      <c r="AU713" s="43"/>
      <c r="AV713" s="43"/>
      <c r="AW713" s="119"/>
      <c r="AX713" s="119"/>
      <c r="AY713" s="43"/>
      <c r="AZ713" s="43"/>
      <c r="BA713" s="43"/>
      <c r="BB713" s="43"/>
      <c r="BC713" s="43"/>
      <c r="BD713" s="43"/>
    </row>
    <row r="714" spans="1:56" ht="15.75">
      <c r="A714" s="88">
        <v>7408</v>
      </c>
      <c r="B714" s="1033" t="s">
        <v>750</v>
      </c>
      <c r="C714" s="1033"/>
      <c r="D714" s="1033"/>
      <c r="E714" s="1033"/>
      <c r="F714" s="1033"/>
      <c r="G714" s="1033"/>
      <c r="H714" s="1033"/>
      <c r="I714" s="1033"/>
      <c r="J714" s="1033"/>
      <c r="K714" s="1033"/>
      <c r="L714" s="90"/>
      <c r="M714" s="51" t="s">
        <v>265</v>
      </c>
      <c r="N714" s="113">
        <f t="shared" si="352"/>
        <v>7408</v>
      </c>
      <c r="O714" s="8">
        <v>0</v>
      </c>
      <c r="P714" s="9">
        <v>0</v>
      </c>
      <c r="Q714" s="325"/>
      <c r="R714" s="324"/>
      <c r="S714" s="27">
        <f t="shared" si="347"/>
        <v>0</v>
      </c>
      <c r="T714" s="28">
        <f t="shared" si="348"/>
        <v>0</v>
      </c>
      <c r="U714" s="51"/>
      <c r="V714" s="541">
        <f>+'NF-KSF-TRIAL-BAL-2020'!O714+'RA-TRIAL-BAL-2020'!O714+'DES-TRIAL-BAL-2020'!O714+'DMP-TRIAL-BAL-2020'!O714</f>
        <v>0</v>
      </c>
      <c r="W714" s="529">
        <f>+'NF-KSF-TRIAL-BAL-2020'!P714+'RA-TRIAL-BAL-2020'!P714+'DES-TRIAL-BAL-2020'!P714+'DMP-TRIAL-BAL-2020'!P714</f>
        <v>0</v>
      </c>
      <c r="X714" s="528">
        <f>+'NF-KSF-TRIAL-BAL-2020'!Q714+'RA-TRIAL-BAL-2020'!Q714+'DES-TRIAL-BAL-2020'!Q714+'DMP-TRIAL-BAL-2020'!Q714</f>
        <v>0</v>
      </c>
      <c r="Y714" s="529">
        <f>+'NF-KSF-TRIAL-BAL-2020'!R714+'RA-TRIAL-BAL-2020'!R714+'DES-TRIAL-BAL-2020'!R714+'DMP-TRIAL-BAL-2020'!R714</f>
        <v>0</v>
      </c>
      <c r="Z714" s="528">
        <f>+'NF-KSF-TRIAL-BAL-2020'!S714+'RA-TRIAL-BAL-2020'!S714+'DES-TRIAL-BAL-2020'!S714+'DMP-TRIAL-BAL-2020'!S714</f>
        <v>0</v>
      </c>
      <c r="AA714" s="347">
        <f>+'NF-KSF-TRIAL-BAL-2020'!T714+'RA-TRIAL-BAL-2020'!T714+'DES-TRIAL-BAL-2020'!T714+'DMP-TRIAL-BAL-2020'!T714</f>
        <v>0</v>
      </c>
      <c r="AB714" s="51"/>
      <c r="AC714" s="8">
        <v>0</v>
      </c>
      <c r="AD714" s="9">
        <v>0</v>
      </c>
      <c r="AE714" s="325"/>
      <c r="AF714" s="324"/>
      <c r="AG714" s="27">
        <f t="shared" si="349"/>
        <v>0</v>
      </c>
      <c r="AH714" s="28">
        <f t="shared" si="350"/>
        <v>0</v>
      </c>
      <c r="AI714" s="51"/>
      <c r="AJ714" s="1497">
        <f>+N714</f>
        <v>7408</v>
      </c>
      <c r="AK714" s="8">
        <v>0</v>
      </c>
      <c r="AL714" s="9">
        <v>0</v>
      </c>
      <c r="AM714" s="326">
        <f t="shared" si="341"/>
        <v>0</v>
      </c>
      <c r="AN714" s="970">
        <f t="shared" si="341"/>
        <v>0</v>
      </c>
      <c r="AO714" s="27">
        <f t="shared" si="335"/>
        <v>0</v>
      </c>
      <c r="AP714" s="28">
        <f t="shared" si="336"/>
        <v>0</v>
      </c>
      <c r="AQ714" s="43"/>
      <c r="AR714" s="358">
        <f t="shared" si="353"/>
        <v>0</v>
      </c>
      <c r="AS714" s="359">
        <f t="shared" si="354"/>
        <v>0</v>
      </c>
      <c r="AT714" s="360">
        <f t="shared" si="355"/>
        <v>0</v>
      </c>
      <c r="AU714" s="43"/>
      <c r="AV714" s="43"/>
      <c r="AW714" s="119"/>
      <c r="AX714" s="119"/>
      <c r="AY714" s="43"/>
      <c r="AZ714" s="43"/>
      <c r="BA714" s="43"/>
      <c r="BB714" s="43"/>
      <c r="BC714" s="43"/>
      <c r="BD714" s="43"/>
    </row>
    <row r="715" spans="1:56" ht="15.75">
      <c r="A715" s="88">
        <v>7409</v>
      </c>
      <c r="B715" s="1033" t="s">
        <v>751</v>
      </c>
      <c r="C715" s="1033"/>
      <c r="D715" s="1033"/>
      <c r="E715" s="1033"/>
      <c r="F715" s="1033"/>
      <c r="G715" s="1033"/>
      <c r="H715" s="1033"/>
      <c r="I715" s="1033"/>
      <c r="J715" s="1033"/>
      <c r="K715" s="1033"/>
      <c r="L715" s="90"/>
      <c r="M715" s="51" t="s">
        <v>265</v>
      </c>
      <c r="N715" s="113">
        <f t="shared" si="352"/>
        <v>7409</v>
      </c>
      <c r="O715" s="8">
        <v>0</v>
      </c>
      <c r="P715" s="9">
        <v>0</v>
      </c>
      <c r="Q715" s="325"/>
      <c r="R715" s="324"/>
      <c r="S715" s="27">
        <f t="shared" si="347"/>
        <v>0</v>
      </c>
      <c r="T715" s="28">
        <f t="shared" si="348"/>
        <v>0</v>
      </c>
      <c r="U715" s="51"/>
      <c r="V715" s="541">
        <f>+'NF-KSF-TRIAL-BAL-2020'!O715+'RA-TRIAL-BAL-2020'!O715+'DES-TRIAL-BAL-2020'!O715+'DMP-TRIAL-BAL-2020'!O715</f>
        <v>0</v>
      </c>
      <c r="W715" s="529">
        <f>+'NF-KSF-TRIAL-BAL-2020'!P715+'RA-TRIAL-BAL-2020'!P715+'DES-TRIAL-BAL-2020'!P715+'DMP-TRIAL-BAL-2020'!P715</f>
        <v>0</v>
      </c>
      <c r="X715" s="528">
        <f>+'NF-KSF-TRIAL-BAL-2020'!Q715+'RA-TRIAL-BAL-2020'!Q715+'DES-TRIAL-BAL-2020'!Q715+'DMP-TRIAL-BAL-2020'!Q715</f>
        <v>0</v>
      </c>
      <c r="Y715" s="529">
        <f>+'NF-KSF-TRIAL-BAL-2020'!R715+'RA-TRIAL-BAL-2020'!R715+'DES-TRIAL-BAL-2020'!R715+'DMP-TRIAL-BAL-2020'!R715</f>
        <v>0</v>
      </c>
      <c r="Z715" s="528">
        <f>+'NF-KSF-TRIAL-BAL-2020'!S715+'RA-TRIAL-BAL-2020'!S715+'DES-TRIAL-BAL-2020'!S715+'DMP-TRIAL-BAL-2020'!S715</f>
        <v>0</v>
      </c>
      <c r="AA715" s="347">
        <f>+'NF-KSF-TRIAL-BAL-2020'!T715+'RA-TRIAL-BAL-2020'!T715+'DES-TRIAL-BAL-2020'!T715+'DMP-TRIAL-BAL-2020'!T715</f>
        <v>0</v>
      </c>
      <c r="AB715" s="51"/>
      <c r="AC715" s="8">
        <v>0</v>
      </c>
      <c r="AD715" s="9">
        <v>0</v>
      </c>
      <c r="AE715" s="122"/>
      <c r="AF715" s="121"/>
      <c r="AG715" s="27">
        <f t="shared" si="349"/>
        <v>0</v>
      </c>
      <c r="AH715" s="28">
        <f t="shared" si="350"/>
        <v>0</v>
      </c>
      <c r="AI715" s="51"/>
      <c r="AJ715" s="1497">
        <f>+N715</f>
        <v>7409</v>
      </c>
      <c r="AK715" s="8">
        <v>0</v>
      </c>
      <c r="AL715" s="9">
        <v>0</v>
      </c>
      <c r="AM715" s="326">
        <f t="shared" si="341"/>
        <v>0</v>
      </c>
      <c r="AN715" s="970">
        <f t="shared" si="341"/>
        <v>0</v>
      </c>
      <c r="AO715" s="27">
        <f t="shared" si="335"/>
        <v>0</v>
      </c>
      <c r="AP715" s="28">
        <f t="shared" si="336"/>
        <v>0</v>
      </c>
      <c r="AQ715" s="43"/>
      <c r="AR715" s="358">
        <f t="shared" si="353"/>
        <v>0</v>
      </c>
      <c r="AS715" s="359">
        <f t="shared" si="354"/>
        <v>0</v>
      </c>
      <c r="AT715" s="360">
        <f t="shared" si="355"/>
        <v>0</v>
      </c>
      <c r="AU715" s="43"/>
      <c r="AV715" s="43"/>
      <c r="AW715" s="119"/>
      <c r="AX715" s="119"/>
      <c r="AY715" s="43"/>
      <c r="AZ715" s="43"/>
      <c r="BA715" s="43"/>
      <c r="BB715" s="43"/>
      <c r="BC715" s="43"/>
      <c r="BD715" s="43"/>
    </row>
    <row r="716" spans="1:56" ht="15.75">
      <c r="A716" s="88">
        <v>7411</v>
      </c>
      <c r="B716" s="1032" t="s">
        <v>752</v>
      </c>
      <c r="C716" s="1033"/>
      <c r="D716" s="1033"/>
      <c r="E716" s="1033"/>
      <c r="F716" s="1033"/>
      <c r="G716" s="1033"/>
      <c r="H716" s="1033"/>
      <c r="I716" s="1033"/>
      <c r="J716" s="1033"/>
      <c r="K716" s="1033"/>
      <c r="L716" s="90"/>
      <c r="M716" s="51" t="s">
        <v>265</v>
      </c>
      <c r="N716" s="113">
        <f t="shared" si="333"/>
        <v>7411</v>
      </c>
      <c r="O716" s="8">
        <v>0</v>
      </c>
      <c r="P716" s="9">
        <v>0</v>
      </c>
      <c r="Q716" s="325">
        <v>0</v>
      </c>
      <c r="R716" s="324">
        <v>0</v>
      </c>
      <c r="S716" s="27">
        <f t="shared" ref="S716:S752" si="356">+IF(ABS(+O716+Q716)&gt;=ABS(P716+R716),+O716-P716+Q716-R716,0)</f>
        <v>0</v>
      </c>
      <c r="T716" s="28">
        <f t="shared" ref="T716:T752" si="357">+IF(ABS(+O716+Q716)&lt;=ABS(P716+R716),-O716+P716-Q716+R716,0)</f>
        <v>0</v>
      </c>
      <c r="U716" s="51"/>
      <c r="V716" s="541">
        <f>+'NF-KSF-TRIAL-BAL-2020'!O716+'RA-TRIAL-BAL-2020'!O716+'DES-TRIAL-BAL-2020'!O716+'DMP-TRIAL-BAL-2020'!O716</f>
        <v>0</v>
      </c>
      <c r="W716" s="529">
        <f>+'NF-KSF-TRIAL-BAL-2020'!P716+'RA-TRIAL-BAL-2020'!P716+'DES-TRIAL-BAL-2020'!P716+'DMP-TRIAL-BAL-2020'!P716</f>
        <v>0</v>
      </c>
      <c r="X716" s="528">
        <f>+'NF-KSF-TRIAL-BAL-2020'!Q716+'RA-TRIAL-BAL-2020'!Q716+'DES-TRIAL-BAL-2020'!Q716+'DMP-TRIAL-BAL-2020'!Q716</f>
        <v>0</v>
      </c>
      <c r="Y716" s="529">
        <f>+'NF-KSF-TRIAL-BAL-2020'!R716+'RA-TRIAL-BAL-2020'!R716+'DES-TRIAL-BAL-2020'!R716+'DMP-TRIAL-BAL-2020'!R716</f>
        <v>0</v>
      </c>
      <c r="Z716" s="528">
        <f>+'NF-KSF-TRIAL-BAL-2020'!S716+'RA-TRIAL-BAL-2020'!S716+'DES-TRIAL-BAL-2020'!S716+'DMP-TRIAL-BAL-2020'!S716</f>
        <v>0</v>
      </c>
      <c r="AA716" s="347">
        <f>+'NF-KSF-TRIAL-BAL-2020'!T716+'RA-TRIAL-BAL-2020'!T716+'DES-TRIAL-BAL-2020'!T716+'DMP-TRIAL-BAL-2020'!T716</f>
        <v>0</v>
      </c>
      <c r="AB716" s="51"/>
      <c r="AC716" s="8">
        <v>0</v>
      </c>
      <c r="AD716" s="9">
        <v>0</v>
      </c>
      <c r="AE716" s="122">
        <v>0</v>
      </c>
      <c r="AF716" s="121">
        <v>0</v>
      </c>
      <c r="AG716" s="27">
        <f t="shared" ref="AG716:AG752" si="358">+IF(ABS(+AC716+AE716)&gt;=ABS(AD716+AF716),+AC716-AD716+AE716-AF716,0)</f>
        <v>0</v>
      </c>
      <c r="AH716" s="28">
        <f t="shared" ref="AH716:AH752" si="359">+IF(ABS(+AC716+AE716)&lt;=ABS(AD716+AF716),-AC716+AD716-AE716+AF716,0)</f>
        <v>0</v>
      </c>
      <c r="AI716" s="51"/>
      <c r="AJ716" s="1497">
        <f t="shared" si="351"/>
        <v>7411</v>
      </c>
      <c r="AK716" s="8">
        <v>0</v>
      </c>
      <c r="AL716" s="9">
        <v>0</v>
      </c>
      <c r="AM716" s="326">
        <f t="shared" si="341"/>
        <v>0</v>
      </c>
      <c r="AN716" s="970">
        <f t="shared" si="341"/>
        <v>0</v>
      </c>
      <c r="AO716" s="27">
        <f t="shared" si="335"/>
        <v>0</v>
      </c>
      <c r="AP716" s="28">
        <f t="shared" si="336"/>
        <v>0</v>
      </c>
      <c r="AQ716" s="43"/>
      <c r="AR716" s="358">
        <f t="shared" si="330"/>
        <v>0</v>
      </c>
      <c r="AS716" s="359">
        <f t="shared" si="331"/>
        <v>0</v>
      </c>
      <c r="AT716" s="360">
        <f t="shared" si="332"/>
        <v>0</v>
      </c>
      <c r="AU716" s="43"/>
      <c r="AV716" s="43"/>
      <c r="AW716" s="119"/>
      <c r="AX716" s="119"/>
      <c r="AY716" s="43"/>
      <c r="AZ716" s="43"/>
      <c r="BA716" s="43"/>
      <c r="BB716" s="43"/>
      <c r="BC716" s="43"/>
      <c r="BD716" s="43"/>
    </row>
    <row r="717" spans="1:56" ht="15.75">
      <c r="A717" s="88">
        <v>7412</v>
      </c>
      <c r="B717" s="1032" t="s">
        <v>753</v>
      </c>
      <c r="C717" s="1033"/>
      <c r="D717" s="1033"/>
      <c r="E717" s="1033"/>
      <c r="F717" s="1033"/>
      <c r="G717" s="1033"/>
      <c r="H717" s="1033"/>
      <c r="I717" s="1033"/>
      <c r="J717" s="1033"/>
      <c r="K717" s="1033"/>
      <c r="L717" s="90"/>
      <c r="M717" s="51" t="s">
        <v>265</v>
      </c>
      <c r="N717" s="113">
        <f t="shared" si="333"/>
        <v>7412</v>
      </c>
      <c r="O717" s="8">
        <v>0</v>
      </c>
      <c r="P717" s="9">
        <v>0</v>
      </c>
      <c r="Q717" s="325">
        <v>0</v>
      </c>
      <c r="R717" s="324">
        <v>0</v>
      </c>
      <c r="S717" s="27">
        <f t="shared" si="356"/>
        <v>0</v>
      </c>
      <c r="T717" s="28">
        <f t="shared" si="357"/>
        <v>0</v>
      </c>
      <c r="U717" s="51"/>
      <c r="V717" s="541">
        <f>+'NF-KSF-TRIAL-BAL-2020'!O717+'RA-TRIAL-BAL-2020'!O717+'DES-TRIAL-BAL-2020'!O717+'DMP-TRIAL-BAL-2020'!O717</f>
        <v>0</v>
      </c>
      <c r="W717" s="529">
        <f>+'NF-KSF-TRIAL-BAL-2020'!P717+'RA-TRIAL-BAL-2020'!P717+'DES-TRIAL-BAL-2020'!P717+'DMP-TRIAL-BAL-2020'!P717</f>
        <v>0</v>
      </c>
      <c r="X717" s="528">
        <f>+'NF-KSF-TRIAL-BAL-2020'!Q717+'RA-TRIAL-BAL-2020'!Q717+'DES-TRIAL-BAL-2020'!Q717+'DMP-TRIAL-BAL-2020'!Q717</f>
        <v>0</v>
      </c>
      <c r="Y717" s="529">
        <f>+'NF-KSF-TRIAL-BAL-2020'!R717+'RA-TRIAL-BAL-2020'!R717+'DES-TRIAL-BAL-2020'!R717+'DMP-TRIAL-BAL-2020'!R717</f>
        <v>0</v>
      </c>
      <c r="Z717" s="528">
        <f>+'NF-KSF-TRIAL-BAL-2020'!S717+'RA-TRIAL-BAL-2020'!S717+'DES-TRIAL-BAL-2020'!S717+'DMP-TRIAL-BAL-2020'!S717</f>
        <v>0</v>
      </c>
      <c r="AA717" s="347">
        <f>+'NF-KSF-TRIAL-BAL-2020'!T717+'RA-TRIAL-BAL-2020'!T717+'DES-TRIAL-BAL-2020'!T717+'DMP-TRIAL-BAL-2020'!T717</f>
        <v>0</v>
      </c>
      <c r="AB717" s="51"/>
      <c r="AC717" s="8">
        <v>0</v>
      </c>
      <c r="AD717" s="9">
        <v>0</v>
      </c>
      <c r="AE717" s="122">
        <v>0</v>
      </c>
      <c r="AF717" s="121">
        <v>0</v>
      </c>
      <c r="AG717" s="27">
        <f t="shared" si="358"/>
        <v>0</v>
      </c>
      <c r="AH717" s="28">
        <f t="shared" si="359"/>
        <v>0</v>
      </c>
      <c r="AI717" s="51"/>
      <c r="AJ717" s="1497">
        <f t="shared" si="351"/>
        <v>7412</v>
      </c>
      <c r="AK717" s="8">
        <v>0</v>
      </c>
      <c r="AL717" s="9">
        <v>0</v>
      </c>
      <c r="AM717" s="326">
        <f t="shared" si="341"/>
        <v>0</v>
      </c>
      <c r="AN717" s="970">
        <f t="shared" si="341"/>
        <v>0</v>
      </c>
      <c r="AO717" s="27">
        <f t="shared" si="335"/>
        <v>0</v>
      </c>
      <c r="AP717" s="28">
        <f t="shared" si="336"/>
        <v>0</v>
      </c>
      <c r="AQ717" s="43"/>
      <c r="AR717" s="358">
        <f t="shared" si="330"/>
        <v>0</v>
      </c>
      <c r="AS717" s="359">
        <f t="shared" si="331"/>
        <v>0</v>
      </c>
      <c r="AT717" s="360">
        <f t="shared" si="332"/>
        <v>0</v>
      </c>
      <c r="AU717" s="43"/>
      <c r="AV717" s="43"/>
      <c r="AW717" s="119"/>
      <c r="AX717" s="119"/>
      <c r="AY717" s="43"/>
      <c r="AZ717" s="43"/>
      <c r="BA717" s="43"/>
      <c r="BB717" s="43"/>
      <c r="BC717" s="43"/>
      <c r="BD717" s="43"/>
    </row>
    <row r="718" spans="1:56" ht="15.75">
      <c r="A718" s="88">
        <v>7413</v>
      </c>
      <c r="B718" s="1032" t="s">
        <v>754</v>
      </c>
      <c r="C718" s="1033"/>
      <c r="D718" s="1033"/>
      <c r="E718" s="1033"/>
      <c r="F718" s="1033"/>
      <c r="G718" s="1033"/>
      <c r="H718" s="1033"/>
      <c r="I718" s="1033"/>
      <c r="J718" s="1033"/>
      <c r="K718" s="1033"/>
      <c r="L718" s="90"/>
      <c r="M718" s="51" t="s">
        <v>265</v>
      </c>
      <c r="N718" s="113">
        <f t="shared" si="333"/>
        <v>7413</v>
      </c>
      <c r="O718" s="8">
        <v>0</v>
      </c>
      <c r="P718" s="9">
        <v>0</v>
      </c>
      <c r="Q718" s="325">
        <v>0</v>
      </c>
      <c r="R718" s="324">
        <v>0</v>
      </c>
      <c r="S718" s="27">
        <f t="shared" si="356"/>
        <v>0</v>
      </c>
      <c r="T718" s="28">
        <f t="shared" si="357"/>
        <v>0</v>
      </c>
      <c r="U718" s="51"/>
      <c r="V718" s="541">
        <f>+'NF-KSF-TRIAL-BAL-2020'!O718+'RA-TRIAL-BAL-2020'!O718+'DES-TRIAL-BAL-2020'!O718+'DMP-TRIAL-BAL-2020'!O718</f>
        <v>0</v>
      </c>
      <c r="W718" s="529">
        <f>+'NF-KSF-TRIAL-BAL-2020'!P718+'RA-TRIAL-BAL-2020'!P718+'DES-TRIAL-BAL-2020'!P718+'DMP-TRIAL-BAL-2020'!P718</f>
        <v>0</v>
      </c>
      <c r="X718" s="528">
        <f>+'NF-KSF-TRIAL-BAL-2020'!Q718+'RA-TRIAL-BAL-2020'!Q718+'DES-TRIAL-BAL-2020'!Q718+'DMP-TRIAL-BAL-2020'!Q718</f>
        <v>0</v>
      </c>
      <c r="Y718" s="529">
        <f>+'NF-KSF-TRIAL-BAL-2020'!R718+'RA-TRIAL-BAL-2020'!R718+'DES-TRIAL-BAL-2020'!R718+'DMP-TRIAL-BAL-2020'!R718</f>
        <v>0</v>
      </c>
      <c r="Z718" s="528">
        <f>+'NF-KSF-TRIAL-BAL-2020'!S718+'RA-TRIAL-BAL-2020'!S718+'DES-TRIAL-BAL-2020'!S718+'DMP-TRIAL-BAL-2020'!S718</f>
        <v>0</v>
      </c>
      <c r="AA718" s="347">
        <f>+'NF-KSF-TRIAL-BAL-2020'!T718+'RA-TRIAL-BAL-2020'!T718+'DES-TRIAL-BAL-2020'!T718+'DMP-TRIAL-BAL-2020'!T718</f>
        <v>0</v>
      </c>
      <c r="AB718" s="51"/>
      <c r="AC718" s="8">
        <v>0</v>
      </c>
      <c r="AD718" s="9">
        <v>0</v>
      </c>
      <c r="AE718" s="325">
        <v>0</v>
      </c>
      <c r="AF718" s="324">
        <v>0</v>
      </c>
      <c r="AG718" s="27">
        <f t="shared" si="358"/>
        <v>0</v>
      </c>
      <c r="AH718" s="28">
        <f t="shared" si="359"/>
        <v>0</v>
      </c>
      <c r="AI718" s="51"/>
      <c r="AJ718" s="1497">
        <f t="shared" si="351"/>
        <v>7413</v>
      </c>
      <c r="AK718" s="8">
        <v>0</v>
      </c>
      <c r="AL718" s="9">
        <v>0</v>
      </c>
      <c r="AM718" s="326">
        <f t="shared" si="341"/>
        <v>0</v>
      </c>
      <c r="AN718" s="970">
        <f t="shared" si="341"/>
        <v>0</v>
      </c>
      <c r="AO718" s="27">
        <f t="shared" si="335"/>
        <v>0</v>
      </c>
      <c r="AP718" s="28">
        <f t="shared" si="336"/>
        <v>0</v>
      </c>
      <c r="AQ718" s="43"/>
      <c r="AR718" s="358">
        <f t="shared" si="330"/>
        <v>0</v>
      </c>
      <c r="AS718" s="359">
        <f t="shared" si="331"/>
        <v>0</v>
      </c>
      <c r="AT718" s="360">
        <f t="shared" si="332"/>
        <v>0</v>
      </c>
      <c r="AU718" s="43"/>
      <c r="AV718" s="43"/>
      <c r="AW718" s="119"/>
      <c r="AX718" s="119"/>
      <c r="AY718" s="43"/>
      <c r="AZ718" s="43"/>
      <c r="BA718" s="43"/>
      <c r="BB718" s="43"/>
      <c r="BC718" s="43"/>
      <c r="BD718" s="43"/>
    </row>
    <row r="719" spans="1:56" ht="15.75">
      <c r="A719" s="88">
        <v>7414</v>
      </c>
      <c r="B719" s="1032" t="s">
        <v>755</v>
      </c>
      <c r="C719" s="1033"/>
      <c r="D719" s="1033"/>
      <c r="E719" s="1033"/>
      <c r="F719" s="1033"/>
      <c r="G719" s="1033"/>
      <c r="H719" s="1033"/>
      <c r="I719" s="1033"/>
      <c r="J719" s="1033"/>
      <c r="K719" s="1033"/>
      <c r="L719" s="90"/>
      <c r="M719" s="51" t="s">
        <v>265</v>
      </c>
      <c r="N719" s="113">
        <f t="shared" si="333"/>
        <v>7414</v>
      </c>
      <c r="O719" s="8">
        <v>0</v>
      </c>
      <c r="P719" s="9">
        <v>0</v>
      </c>
      <c r="Q719" s="325">
        <v>0</v>
      </c>
      <c r="R719" s="324">
        <v>0</v>
      </c>
      <c r="S719" s="27">
        <f t="shared" si="356"/>
        <v>0</v>
      </c>
      <c r="T719" s="28">
        <f t="shared" si="357"/>
        <v>0</v>
      </c>
      <c r="U719" s="51"/>
      <c r="V719" s="541">
        <f>+'NF-KSF-TRIAL-BAL-2020'!O719+'RA-TRIAL-BAL-2020'!O719+'DES-TRIAL-BAL-2020'!O719+'DMP-TRIAL-BAL-2020'!O719</f>
        <v>0</v>
      </c>
      <c r="W719" s="529">
        <f>+'NF-KSF-TRIAL-BAL-2020'!P719+'RA-TRIAL-BAL-2020'!P719+'DES-TRIAL-BAL-2020'!P719+'DMP-TRIAL-BAL-2020'!P719</f>
        <v>0</v>
      </c>
      <c r="X719" s="528">
        <f>+'NF-KSF-TRIAL-BAL-2020'!Q719+'RA-TRIAL-BAL-2020'!Q719+'DES-TRIAL-BAL-2020'!Q719+'DMP-TRIAL-BAL-2020'!Q719</f>
        <v>0</v>
      </c>
      <c r="Y719" s="529">
        <f>+'NF-KSF-TRIAL-BAL-2020'!R719+'RA-TRIAL-BAL-2020'!R719+'DES-TRIAL-BAL-2020'!R719+'DMP-TRIAL-BAL-2020'!R719</f>
        <v>0</v>
      </c>
      <c r="Z719" s="528">
        <f>+'NF-KSF-TRIAL-BAL-2020'!S719+'RA-TRIAL-BAL-2020'!S719+'DES-TRIAL-BAL-2020'!S719+'DMP-TRIAL-BAL-2020'!S719</f>
        <v>0</v>
      </c>
      <c r="AA719" s="347">
        <f>+'NF-KSF-TRIAL-BAL-2020'!T719+'RA-TRIAL-BAL-2020'!T719+'DES-TRIAL-BAL-2020'!T719+'DMP-TRIAL-BAL-2020'!T719</f>
        <v>0</v>
      </c>
      <c r="AB719" s="51"/>
      <c r="AC719" s="8">
        <v>0</v>
      </c>
      <c r="AD719" s="9">
        <v>0</v>
      </c>
      <c r="AE719" s="122">
        <v>0</v>
      </c>
      <c r="AF719" s="121">
        <v>0</v>
      </c>
      <c r="AG719" s="27">
        <f t="shared" si="358"/>
        <v>0</v>
      </c>
      <c r="AH719" s="28">
        <f t="shared" si="359"/>
        <v>0</v>
      </c>
      <c r="AI719" s="51"/>
      <c r="AJ719" s="1497">
        <f t="shared" si="351"/>
        <v>7414</v>
      </c>
      <c r="AK719" s="8">
        <v>0</v>
      </c>
      <c r="AL719" s="9">
        <v>0</v>
      </c>
      <c r="AM719" s="326">
        <f t="shared" si="341"/>
        <v>0</v>
      </c>
      <c r="AN719" s="970">
        <f t="shared" si="341"/>
        <v>0</v>
      </c>
      <c r="AO719" s="27">
        <f t="shared" si="335"/>
        <v>0</v>
      </c>
      <c r="AP719" s="28">
        <f t="shared" si="336"/>
        <v>0</v>
      </c>
      <c r="AQ719" s="43"/>
      <c r="AR719" s="358">
        <f t="shared" si="330"/>
        <v>0</v>
      </c>
      <c r="AS719" s="359">
        <f t="shared" si="331"/>
        <v>0</v>
      </c>
      <c r="AT719" s="360">
        <f t="shared" si="332"/>
        <v>0</v>
      </c>
      <c r="AU719" s="43"/>
      <c r="AV719" s="43"/>
      <c r="AW719" s="119"/>
      <c r="AX719" s="119"/>
      <c r="AY719" s="43"/>
      <c r="AZ719" s="43"/>
      <c r="BA719" s="43"/>
      <c r="BB719" s="43"/>
      <c r="BC719" s="43"/>
      <c r="BD719" s="43"/>
    </row>
    <row r="720" spans="1:56" ht="15.75">
      <c r="A720" s="88">
        <v>7419</v>
      </c>
      <c r="B720" s="1032" t="s">
        <v>756</v>
      </c>
      <c r="C720" s="1033"/>
      <c r="D720" s="1033"/>
      <c r="E720" s="1033"/>
      <c r="F720" s="1033"/>
      <c r="G720" s="1033"/>
      <c r="H720" s="1033"/>
      <c r="I720" s="1033"/>
      <c r="J720" s="1033"/>
      <c r="K720" s="1033"/>
      <c r="L720" s="90"/>
      <c r="M720" s="51" t="s">
        <v>265</v>
      </c>
      <c r="N720" s="113">
        <f t="shared" si="333"/>
        <v>7419</v>
      </c>
      <c r="O720" s="8">
        <v>0</v>
      </c>
      <c r="P720" s="9">
        <v>0</v>
      </c>
      <c r="Q720" s="325"/>
      <c r="R720" s="324"/>
      <c r="S720" s="27">
        <f t="shared" si="356"/>
        <v>0</v>
      </c>
      <c r="T720" s="28">
        <f t="shared" si="357"/>
        <v>0</v>
      </c>
      <c r="U720" s="51"/>
      <c r="V720" s="541">
        <f>+'NF-KSF-TRIAL-BAL-2020'!O720+'RA-TRIAL-BAL-2020'!O720+'DES-TRIAL-BAL-2020'!O720+'DMP-TRIAL-BAL-2020'!O720</f>
        <v>0</v>
      </c>
      <c r="W720" s="529">
        <f>+'NF-KSF-TRIAL-BAL-2020'!P720+'RA-TRIAL-BAL-2020'!P720+'DES-TRIAL-BAL-2020'!P720+'DMP-TRIAL-BAL-2020'!P720</f>
        <v>0</v>
      </c>
      <c r="X720" s="528">
        <f>+'NF-KSF-TRIAL-BAL-2020'!Q720+'RA-TRIAL-BAL-2020'!Q720+'DES-TRIAL-BAL-2020'!Q720+'DMP-TRIAL-BAL-2020'!Q720</f>
        <v>0</v>
      </c>
      <c r="Y720" s="529">
        <f>+'NF-KSF-TRIAL-BAL-2020'!R720+'RA-TRIAL-BAL-2020'!R720+'DES-TRIAL-BAL-2020'!R720+'DMP-TRIAL-BAL-2020'!R720</f>
        <v>0</v>
      </c>
      <c r="Z720" s="528">
        <f>+'NF-KSF-TRIAL-BAL-2020'!S720+'RA-TRIAL-BAL-2020'!S720+'DES-TRIAL-BAL-2020'!S720+'DMP-TRIAL-BAL-2020'!S720</f>
        <v>0</v>
      </c>
      <c r="AA720" s="347">
        <f>+'NF-KSF-TRIAL-BAL-2020'!T720+'RA-TRIAL-BAL-2020'!T720+'DES-TRIAL-BAL-2020'!T720+'DMP-TRIAL-BAL-2020'!T720</f>
        <v>0</v>
      </c>
      <c r="AB720" s="51"/>
      <c r="AC720" s="8">
        <v>0</v>
      </c>
      <c r="AD720" s="9">
        <v>0</v>
      </c>
      <c r="AE720" s="122"/>
      <c r="AF720" s="121"/>
      <c r="AG720" s="27">
        <f t="shared" si="358"/>
        <v>0</v>
      </c>
      <c r="AH720" s="28">
        <f t="shared" si="359"/>
        <v>0</v>
      </c>
      <c r="AI720" s="51"/>
      <c r="AJ720" s="1497">
        <f t="shared" si="351"/>
        <v>7419</v>
      </c>
      <c r="AK720" s="8">
        <v>0</v>
      </c>
      <c r="AL720" s="9">
        <v>0</v>
      </c>
      <c r="AM720" s="326">
        <f t="shared" si="341"/>
        <v>0</v>
      </c>
      <c r="AN720" s="970">
        <f t="shared" si="341"/>
        <v>0</v>
      </c>
      <c r="AO720" s="27">
        <f t="shared" si="335"/>
        <v>0</v>
      </c>
      <c r="AP720" s="28">
        <f t="shared" si="336"/>
        <v>0</v>
      </c>
      <c r="AQ720" s="43"/>
      <c r="AR720" s="358">
        <f t="shared" si="330"/>
        <v>0</v>
      </c>
      <c r="AS720" s="359">
        <f t="shared" si="331"/>
        <v>0</v>
      </c>
      <c r="AT720" s="360">
        <f t="shared" si="332"/>
        <v>0</v>
      </c>
      <c r="AU720" s="43"/>
      <c r="AV720" s="43"/>
      <c r="AW720" s="119"/>
      <c r="AX720" s="119"/>
      <c r="AY720" s="43"/>
      <c r="AZ720" s="43"/>
      <c r="BA720" s="43"/>
      <c r="BB720" s="43"/>
      <c r="BC720" s="43"/>
      <c r="BD720" s="43"/>
    </row>
    <row r="721" spans="1:56" ht="15.75">
      <c r="A721" s="88">
        <v>7450</v>
      </c>
      <c r="B721" s="2181" t="s">
        <v>2088</v>
      </c>
      <c r="C721" s="1033"/>
      <c r="D721" s="1033"/>
      <c r="E721" s="1033"/>
      <c r="F721" s="1033"/>
      <c r="G721" s="1033"/>
      <c r="H721" s="1033"/>
      <c r="I721" s="1033"/>
      <c r="J721" s="1033"/>
      <c r="K721" s="1033"/>
      <c r="L721" s="90"/>
      <c r="M721" s="51" t="s">
        <v>265</v>
      </c>
      <c r="N721" s="113">
        <f t="shared" si="333"/>
        <v>7450</v>
      </c>
      <c r="O721" s="8">
        <v>0</v>
      </c>
      <c r="P721" s="9">
        <v>0</v>
      </c>
      <c r="Q721" s="325"/>
      <c r="R721" s="324"/>
      <c r="S721" s="27">
        <f t="shared" si="356"/>
        <v>0</v>
      </c>
      <c r="T721" s="28">
        <f t="shared" si="357"/>
        <v>0</v>
      </c>
      <c r="U721" s="51"/>
      <c r="V721" s="541">
        <f>+'NF-KSF-TRIAL-BAL-2020'!O721+'RA-TRIAL-BAL-2020'!O721+'DES-TRIAL-BAL-2020'!O721+'DMP-TRIAL-BAL-2020'!O721</f>
        <v>0</v>
      </c>
      <c r="W721" s="529">
        <f>+'NF-KSF-TRIAL-BAL-2020'!P721+'RA-TRIAL-BAL-2020'!P721+'DES-TRIAL-BAL-2020'!P721+'DMP-TRIAL-BAL-2020'!P721</f>
        <v>0</v>
      </c>
      <c r="X721" s="528">
        <f>+'NF-KSF-TRIAL-BAL-2020'!Q721+'RA-TRIAL-BAL-2020'!Q721+'DES-TRIAL-BAL-2020'!Q721+'DMP-TRIAL-BAL-2020'!Q721</f>
        <v>0</v>
      </c>
      <c r="Y721" s="529">
        <f>+'NF-KSF-TRIAL-BAL-2020'!R721+'RA-TRIAL-BAL-2020'!R721+'DES-TRIAL-BAL-2020'!R721+'DMP-TRIAL-BAL-2020'!R721</f>
        <v>0</v>
      </c>
      <c r="Z721" s="528">
        <f>+'NF-KSF-TRIAL-BAL-2020'!S721+'RA-TRIAL-BAL-2020'!S721+'DES-TRIAL-BAL-2020'!S721+'DMP-TRIAL-BAL-2020'!S721</f>
        <v>0</v>
      </c>
      <c r="AA721" s="347">
        <f>+'NF-KSF-TRIAL-BAL-2020'!T721+'RA-TRIAL-BAL-2020'!T721+'DES-TRIAL-BAL-2020'!T721+'DMP-TRIAL-BAL-2020'!T721</f>
        <v>0</v>
      </c>
      <c r="AB721" s="51"/>
      <c r="AC721" s="8">
        <v>0</v>
      </c>
      <c r="AD721" s="9">
        <v>0</v>
      </c>
      <c r="AE721" s="325"/>
      <c r="AF721" s="324"/>
      <c r="AG721" s="27">
        <f t="shared" si="358"/>
        <v>0</v>
      </c>
      <c r="AH721" s="28">
        <f t="shared" si="359"/>
        <v>0</v>
      </c>
      <c r="AI721" s="51"/>
      <c r="AJ721" s="1497">
        <f t="shared" si="351"/>
        <v>7450</v>
      </c>
      <c r="AK721" s="8">
        <v>0</v>
      </c>
      <c r="AL721" s="9">
        <v>0</v>
      </c>
      <c r="AM721" s="326">
        <f t="shared" si="341"/>
        <v>0</v>
      </c>
      <c r="AN721" s="970">
        <f t="shared" si="341"/>
        <v>0</v>
      </c>
      <c r="AO721" s="27">
        <f t="shared" si="335"/>
        <v>0</v>
      </c>
      <c r="AP721" s="28">
        <f t="shared" si="336"/>
        <v>0</v>
      </c>
      <c r="AQ721" s="43"/>
      <c r="AR721" s="358">
        <f t="shared" si="330"/>
        <v>0</v>
      </c>
      <c r="AS721" s="359">
        <f t="shared" si="331"/>
        <v>0</v>
      </c>
      <c r="AT721" s="360">
        <f t="shared" si="332"/>
        <v>0</v>
      </c>
      <c r="AU721" s="43"/>
      <c r="AV721" s="43"/>
      <c r="AW721" s="119"/>
      <c r="AX721" s="119"/>
      <c r="AY721" s="43"/>
      <c r="AZ721" s="43"/>
      <c r="BA721" s="43"/>
      <c r="BB721" s="43"/>
      <c r="BC721" s="43"/>
      <c r="BD721" s="43"/>
    </row>
    <row r="722" spans="1:56" ht="15.75">
      <c r="A722" s="88">
        <v>7471</v>
      </c>
      <c r="B722" s="1033" t="s">
        <v>757</v>
      </c>
      <c r="C722" s="1033"/>
      <c r="D722" s="1033"/>
      <c r="E722" s="1033"/>
      <c r="F722" s="1033"/>
      <c r="G722" s="1033"/>
      <c r="H722" s="1033"/>
      <c r="I722" s="1033"/>
      <c r="J722" s="1033"/>
      <c r="K722" s="1033"/>
      <c r="L722" s="90"/>
      <c r="M722" s="51" t="s">
        <v>265</v>
      </c>
      <c r="N722" s="113">
        <f t="shared" si="333"/>
        <v>7471</v>
      </c>
      <c r="O722" s="8">
        <v>0</v>
      </c>
      <c r="P722" s="9">
        <v>0</v>
      </c>
      <c r="Q722" s="325"/>
      <c r="R722" s="324"/>
      <c r="S722" s="27">
        <f t="shared" si="356"/>
        <v>0</v>
      </c>
      <c r="T722" s="28">
        <f t="shared" si="357"/>
        <v>0</v>
      </c>
      <c r="U722" s="51"/>
      <c r="V722" s="541">
        <f>+'NF-KSF-TRIAL-BAL-2020'!O722+'RA-TRIAL-BAL-2020'!O722+'DES-TRIAL-BAL-2020'!O722+'DMP-TRIAL-BAL-2020'!O722</f>
        <v>0</v>
      </c>
      <c r="W722" s="529">
        <f>+'NF-KSF-TRIAL-BAL-2020'!P722+'RA-TRIAL-BAL-2020'!P722+'DES-TRIAL-BAL-2020'!P722+'DMP-TRIAL-BAL-2020'!P722</f>
        <v>0</v>
      </c>
      <c r="X722" s="528">
        <f>+'NF-KSF-TRIAL-BAL-2020'!Q722+'RA-TRIAL-BAL-2020'!Q722+'DES-TRIAL-BAL-2020'!Q722+'DMP-TRIAL-BAL-2020'!Q722</f>
        <v>0</v>
      </c>
      <c r="Y722" s="529">
        <f>+'NF-KSF-TRIAL-BAL-2020'!R722+'RA-TRIAL-BAL-2020'!R722+'DES-TRIAL-BAL-2020'!R722+'DMP-TRIAL-BAL-2020'!R722</f>
        <v>0</v>
      </c>
      <c r="Z722" s="528">
        <f>+'NF-KSF-TRIAL-BAL-2020'!S722+'RA-TRIAL-BAL-2020'!S722+'DES-TRIAL-BAL-2020'!S722+'DMP-TRIAL-BAL-2020'!S722</f>
        <v>0</v>
      </c>
      <c r="AA722" s="347">
        <f>+'NF-KSF-TRIAL-BAL-2020'!T722+'RA-TRIAL-BAL-2020'!T722+'DES-TRIAL-BAL-2020'!T722+'DMP-TRIAL-BAL-2020'!T722</f>
        <v>0</v>
      </c>
      <c r="AB722" s="51"/>
      <c r="AC722" s="8">
        <v>0</v>
      </c>
      <c r="AD722" s="9">
        <v>0</v>
      </c>
      <c r="AE722" s="325"/>
      <c r="AF722" s="324"/>
      <c r="AG722" s="27">
        <f t="shared" si="358"/>
        <v>0</v>
      </c>
      <c r="AH722" s="28">
        <f t="shared" si="359"/>
        <v>0</v>
      </c>
      <c r="AI722" s="51"/>
      <c r="AJ722" s="1497">
        <f t="shared" si="351"/>
        <v>7471</v>
      </c>
      <c r="AK722" s="8">
        <v>0</v>
      </c>
      <c r="AL722" s="9">
        <v>0</v>
      </c>
      <c r="AM722" s="326">
        <f t="shared" si="341"/>
        <v>0</v>
      </c>
      <c r="AN722" s="970">
        <f t="shared" si="341"/>
        <v>0</v>
      </c>
      <c r="AO722" s="27">
        <f t="shared" si="335"/>
        <v>0</v>
      </c>
      <c r="AP722" s="28">
        <f t="shared" si="336"/>
        <v>0</v>
      </c>
      <c r="AQ722" s="43"/>
      <c r="AR722" s="358">
        <f t="shared" si="330"/>
        <v>0</v>
      </c>
      <c r="AS722" s="359">
        <f t="shared" si="331"/>
        <v>0</v>
      </c>
      <c r="AT722" s="360">
        <f t="shared" si="332"/>
        <v>0</v>
      </c>
      <c r="AU722" s="43"/>
      <c r="AV722" s="43"/>
      <c r="AW722" s="119"/>
      <c r="AX722" s="119"/>
      <c r="AY722" s="43"/>
      <c r="AZ722" s="43"/>
      <c r="BA722" s="43"/>
      <c r="BB722" s="43"/>
      <c r="BC722" s="43"/>
      <c r="BD722" s="43"/>
    </row>
    <row r="723" spans="1:56" ht="15.75">
      <c r="A723" s="88">
        <v>7472</v>
      </c>
      <c r="B723" s="1033" t="s">
        <v>758</v>
      </c>
      <c r="C723" s="1033"/>
      <c r="D723" s="1033"/>
      <c r="E723" s="1033"/>
      <c r="F723" s="1033"/>
      <c r="G723" s="1033"/>
      <c r="H723" s="1033"/>
      <c r="I723" s="1033"/>
      <c r="J723" s="1033"/>
      <c r="K723" s="1033"/>
      <c r="L723" s="90"/>
      <c r="M723" s="51" t="s">
        <v>265</v>
      </c>
      <c r="N723" s="113">
        <f t="shared" si="333"/>
        <v>7472</v>
      </c>
      <c r="O723" s="8">
        <v>0</v>
      </c>
      <c r="P723" s="9">
        <v>0</v>
      </c>
      <c r="Q723" s="325"/>
      <c r="R723" s="324"/>
      <c r="S723" s="27">
        <f t="shared" si="356"/>
        <v>0</v>
      </c>
      <c r="T723" s="28">
        <f t="shared" si="357"/>
        <v>0</v>
      </c>
      <c r="U723" s="51"/>
      <c r="V723" s="541">
        <f>+'NF-KSF-TRIAL-BAL-2020'!O723+'RA-TRIAL-BAL-2020'!O723+'DES-TRIAL-BAL-2020'!O723+'DMP-TRIAL-BAL-2020'!O723</f>
        <v>0</v>
      </c>
      <c r="W723" s="529">
        <f>+'NF-KSF-TRIAL-BAL-2020'!P723+'RA-TRIAL-BAL-2020'!P723+'DES-TRIAL-BAL-2020'!P723+'DMP-TRIAL-BAL-2020'!P723</f>
        <v>0</v>
      </c>
      <c r="X723" s="528">
        <f>+'NF-KSF-TRIAL-BAL-2020'!Q723+'RA-TRIAL-BAL-2020'!Q723+'DES-TRIAL-BAL-2020'!Q723+'DMP-TRIAL-BAL-2020'!Q723</f>
        <v>0</v>
      </c>
      <c r="Y723" s="529">
        <f>+'NF-KSF-TRIAL-BAL-2020'!R723+'RA-TRIAL-BAL-2020'!R723+'DES-TRIAL-BAL-2020'!R723+'DMP-TRIAL-BAL-2020'!R723</f>
        <v>0</v>
      </c>
      <c r="Z723" s="528">
        <f>+'NF-KSF-TRIAL-BAL-2020'!S723+'RA-TRIAL-BAL-2020'!S723+'DES-TRIAL-BAL-2020'!S723+'DMP-TRIAL-BAL-2020'!S723</f>
        <v>0</v>
      </c>
      <c r="AA723" s="347">
        <f>+'NF-KSF-TRIAL-BAL-2020'!T723+'RA-TRIAL-BAL-2020'!T723+'DES-TRIAL-BAL-2020'!T723+'DMP-TRIAL-BAL-2020'!T723</f>
        <v>0</v>
      </c>
      <c r="AB723" s="51"/>
      <c r="AC723" s="8">
        <v>0</v>
      </c>
      <c r="AD723" s="9">
        <v>0</v>
      </c>
      <c r="AE723" s="122"/>
      <c r="AF723" s="121"/>
      <c r="AG723" s="27">
        <f t="shared" si="358"/>
        <v>0</v>
      </c>
      <c r="AH723" s="28">
        <f t="shared" si="359"/>
        <v>0</v>
      </c>
      <c r="AI723" s="51"/>
      <c r="AJ723" s="1497">
        <f t="shared" si="351"/>
        <v>7472</v>
      </c>
      <c r="AK723" s="8">
        <v>0</v>
      </c>
      <c r="AL723" s="9">
        <v>0</v>
      </c>
      <c r="AM723" s="326">
        <f t="shared" si="341"/>
        <v>0</v>
      </c>
      <c r="AN723" s="970">
        <f t="shared" si="341"/>
        <v>0</v>
      </c>
      <c r="AO723" s="27">
        <f t="shared" si="335"/>
        <v>0</v>
      </c>
      <c r="AP723" s="28">
        <f t="shared" si="336"/>
        <v>0</v>
      </c>
      <c r="AQ723" s="43"/>
      <c r="AR723" s="358">
        <f t="shared" si="330"/>
        <v>0</v>
      </c>
      <c r="AS723" s="359">
        <f t="shared" si="331"/>
        <v>0</v>
      </c>
      <c r="AT723" s="360">
        <f t="shared" si="332"/>
        <v>0</v>
      </c>
      <c r="AU723" s="43"/>
      <c r="AV723" s="43"/>
      <c r="AW723" s="119"/>
      <c r="AX723" s="119"/>
      <c r="AY723" s="43"/>
      <c r="AZ723" s="43"/>
      <c r="BA723" s="43"/>
      <c r="BB723" s="43"/>
      <c r="BC723" s="43"/>
      <c r="BD723" s="43"/>
    </row>
    <row r="724" spans="1:56" ht="15.75">
      <c r="A724" s="88">
        <v>7473</v>
      </c>
      <c r="B724" s="1033" t="s">
        <v>759</v>
      </c>
      <c r="C724" s="1033"/>
      <c r="D724" s="1033"/>
      <c r="E724" s="1033"/>
      <c r="F724" s="1033"/>
      <c r="G724" s="1033"/>
      <c r="H724" s="1033"/>
      <c r="I724" s="1033"/>
      <c r="J724" s="1033"/>
      <c r="K724" s="1033"/>
      <c r="L724" s="90"/>
      <c r="M724" s="51" t="s">
        <v>265</v>
      </c>
      <c r="N724" s="113">
        <f t="shared" si="333"/>
        <v>7473</v>
      </c>
      <c r="O724" s="8">
        <v>0</v>
      </c>
      <c r="P724" s="9">
        <v>0</v>
      </c>
      <c r="Q724" s="325"/>
      <c r="R724" s="324"/>
      <c r="S724" s="27">
        <f t="shared" si="356"/>
        <v>0</v>
      </c>
      <c r="T724" s="28">
        <f t="shared" si="357"/>
        <v>0</v>
      </c>
      <c r="U724" s="51"/>
      <c r="V724" s="541">
        <f>+'NF-KSF-TRIAL-BAL-2020'!O724+'RA-TRIAL-BAL-2020'!O724+'DES-TRIAL-BAL-2020'!O724+'DMP-TRIAL-BAL-2020'!O724</f>
        <v>0</v>
      </c>
      <c r="W724" s="529">
        <f>+'NF-KSF-TRIAL-BAL-2020'!P724+'RA-TRIAL-BAL-2020'!P724+'DES-TRIAL-BAL-2020'!P724+'DMP-TRIAL-BAL-2020'!P724</f>
        <v>0</v>
      </c>
      <c r="X724" s="528">
        <f>+'NF-KSF-TRIAL-BAL-2020'!Q724+'RA-TRIAL-BAL-2020'!Q724+'DES-TRIAL-BAL-2020'!Q724+'DMP-TRIAL-BAL-2020'!Q724</f>
        <v>0</v>
      </c>
      <c r="Y724" s="529">
        <f>+'NF-KSF-TRIAL-BAL-2020'!R724+'RA-TRIAL-BAL-2020'!R724+'DES-TRIAL-BAL-2020'!R724+'DMP-TRIAL-BAL-2020'!R724</f>
        <v>0</v>
      </c>
      <c r="Z724" s="528">
        <f>+'NF-KSF-TRIAL-BAL-2020'!S724+'RA-TRIAL-BAL-2020'!S724+'DES-TRIAL-BAL-2020'!S724+'DMP-TRIAL-BAL-2020'!S724</f>
        <v>0</v>
      </c>
      <c r="AA724" s="347">
        <f>+'NF-KSF-TRIAL-BAL-2020'!T724+'RA-TRIAL-BAL-2020'!T724+'DES-TRIAL-BAL-2020'!T724+'DMP-TRIAL-BAL-2020'!T724</f>
        <v>0</v>
      </c>
      <c r="AB724" s="51"/>
      <c r="AC724" s="8">
        <v>0</v>
      </c>
      <c r="AD724" s="9">
        <v>0</v>
      </c>
      <c r="AE724" s="122"/>
      <c r="AF724" s="121"/>
      <c r="AG724" s="27">
        <f t="shared" si="358"/>
        <v>0</v>
      </c>
      <c r="AH724" s="28">
        <f t="shared" si="359"/>
        <v>0</v>
      </c>
      <c r="AI724" s="51"/>
      <c r="AJ724" s="1497">
        <f t="shared" si="351"/>
        <v>7473</v>
      </c>
      <c r="AK724" s="8">
        <v>0</v>
      </c>
      <c r="AL724" s="9">
        <v>0</v>
      </c>
      <c r="AM724" s="326">
        <f t="shared" si="341"/>
        <v>0</v>
      </c>
      <c r="AN724" s="970">
        <f t="shared" si="341"/>
        <v>0</v>
      </c>
      <c r="AO724" s="27">
        <f t="shared" si="335"/>
        <v>0</v>
      </c>
      <c r="AP724" s="28">
        <f t="shared" si="336"/>
        <v>0</v>
      </c>
      <c r="AQ724" s="43"/>
      <c r="AR724" s="358">
        <f t="shared" si="330"/>
        <v>0</v>
      </c>
      <c r="AS724" s="359">
        <f t="shared" si="331"/>
        <v>0</v>
      </c>
      <c r="AT724" s="360">
        <f t="shared" si="332"/>
        <v>0</v>
      </c>
      <c r="AU724" s="43"/>
      <c r="AV724" s="43"/>
      <c r="AW724" s="119"/>
      <c r="AX724" s="119"/>
      <c r="AY724" s="43"/>
      <c r="AZ724" s="43"/>
      <c r="BA724" s="43"/>
      <c r="BB724" s="43"/>
      <c r="BC724" s="43"/>
      <c r="BD724" s="43"/>
    </row>
    <row r="725" spans="1:56" ht="15.75">
      <c r="A725" s="88">
        <v>7474</v>
      </c>
      <c r="B725" s="1033" t="s">
        <v>760</v>
      </c>
      <c r="C725" s="1033"/>
      <c r="D725" s="1033"/>
      <c r="E725" s="1033"/>
      <c r="F725" s="1033"/>
      <c r="G725" s="1033"/>
      <c r="H725" s="1033"/>
      <c r="I725" s="1033"/>
      <c r="J725" s="1033"/>
      <c r="K725" s="1033"/>
      <c r="L725" s="90"/>
      <c r="M725" s="51" t="s">
        <v>265</v>
      </c>
      <c r="N725" s="113">
        <f t="shared" si="333"/>
        <v>7474</v>
      </c>
      <c r="O725" s="8">
        <v>0</v>
      </c>
      <c r="P725" s="9">
        <v>0</v>
      </c>
      <c r="Q725" s="325"/>
      <c r="R725" s="324"/>
      <c r="S725" s="27">
        <f t="shared" si="356"/>
        <v>0</v>
      </c>
      <c r="T725" s="28">
        <f t="shared" si="357"/>
        <v>0</v>
      </c>
      <c r="U725" s="51"/>
      <c r="V725" s="541">
        <f>+'NF-KSF-TRIAL-BAL-2020'!O725+'RA-TRIAL-BAL-2020'!O725+'DES-TRIAL-BAL-2020'!O725+'DMP-TRIAL-BAL-2020'!O725</f>
        <v>0</v>
      </c>
      <c r="W725" s="529">
        <f>+'NF-KSF-TRIAL-BAL-2020'!P725+'RA-TRIAL-BAL-2020'!P725+'DES-TRIAL-BAL-2020'!P725+'DMP-TRIAL-BAL-2020'!P725</f>
        <v>0</v>
      </c>
      <c r="X725" s="528">
        <f>+'NF-KSF-TRIAL-BAL-2020'!Q725+'RA-TRIAL-BAL-2020'!Q725+'DES-TRIAL-BAL-2020'!Q725+'DMP-TRIAL-BAL-2020'!Q725</f>
        <v>0</v>
      </c>
      <c r="Y725" s="529">
        <f>+'NF-KSF-TRIAL-BAL-2020'!R725+'RA-TRIAL-BAL-2020'!R725+'DES-TRIAL-BAL-2020'!R725+'DMP-TRIAL-BAL-2020'!R725</f>
        <v>0</v>
      </c>
      <c r="Z725" s="528">
        <f>+'NF-KSF-TRIAL-BAL-2020'!S725+'RA-TRIAL-BAL-2020'!S725+'DES-TRIAL-BAL-2020'!S725+'DMP-TRIAL-BAL-2020'!S725</f>
        <v>0</v>
      </c>
      <c r="AA725" s="347">
        <f>+'NF-KSF-TRIAL-BAL-2020'!T725+'RA-TRIAL-BAL-2020'!T725+'DES-TRIAL-BAL-2020'!T725+'DMP-TRIAL-BAL-2020'!T725</f>
        <v>0</v>
      </c>
      <c r="AB725" s="51"/>
      <c r="AC725" s="8">
        <v>0</v>
      </c>
      <c r="AD725" s="9">
        <v>0</v>
      </c>
      <c r="AE725" s="325"/>
      <c r="AF725" s="324"/>
      <c r="AG725" s="27">
        <f t="shared" si="358"/>
        <v>0</v>
      </c>
      <c r="AH725" s="28">
        <f t="shared" si="359"/>
        <v>0</v>
      </c>
      <c r="AI725" s="51"/>
      <c r="AJ725" s="1497">
        <f t="shared" si="351"/>
        <v>7474</v>
      </c>
      <c r="AK725" s="8">
        <v>0</v>
      </c>
      <c r="AL725" s="9">
        <v>0</v>
      </c>
      <c r="AM725" s="326">
        <f t="shared" si="341"/>
        <v>0</v>
      </c>
      <c r="AN725" s="970">
        <f t="shared" si="341"/>
        <v>0</v>
      </c>
      <c r="AO725" s="27">
        <f t="shared" si="335"/>
        <v>0</v>
      </c>
      <c r="AP725" s="28">
        <f t="shared" si="336"/>
        <v>0</v>
      </c>
      <c r="AQ725" s="43"/>
      <c r="AR725" s="358">
        <f t="shared" si="330"/>
        <v>0</v>
      </c>
      <c r="AS725" s="359">
        <f t="shared" si="331"/>
        <v>0</v>
      </c>
      <c r="AT725" s="360">
        <f t="shared" si="332"/>
        <v>0</v>
      </c>
      <c r="AU725" s="43"/>
      <c r="AV725" s="43"/>
      <c r="AW725" s="119"/>
      <c r="AX725" s="119"/>
      <c r="AY725" s="43"/>
      <c r="AZ725" s="43"/>
      <c r="BA725" s="43"/>
      <c r="BB725" s="43"/>
      <c r="BC725" s="43"/>
      <c r="BD725" s="43"/>
    </row>
    <row r="726" spans="1:56" ht="15.75">
      <c r="A726" s="88">
        <v>7481</v>
      </c>
      <c r="B726" s="1033" t="s">
        <v>761</v>
      </c>
      <c r="C726" s="1033"/>
      <c r="D726" s="1033"/>
      <c r="E726" s="1033"/>
      <c r="F726" s="1033"/>
      <c r="G726" s="1033"/>
      <c r="H726" s="1033"/>
      <c r="I726" s="1033"/>
      <c r="J726" s="1033"/>
      <c r="K726" s="1033"/>
      <c r="L726" s="90"/>
      <c r="M726" s="51" t="s">
        <v>265</v>
      </c>
      <c r="N726" s="113">
        <f t="shared" si="333"/>
        <v>7481</v>
      </c>
      <c r="O726" s="8">
        <v>0</v>
      </c>
      <c r="P726" s="9">
        <v>0</v>
      </c>
      <c r="Q726" s="325"/>
      <c r="R726" s="324"/>
      <c r="S726" s="27">
        <f t="shared" si="356"/>
        <v>0</v>
      </c>
      <c r="T726" s="28">
        <f t="shared" si="357"/>
        <v>0</v>
      </c>
      <c r="U726" s="51"/>
      <c r="V726" s="541">
        <f>+'NF-KSF-TRIAL-BAL-2020'!O726+'RA-TRIAL-BAL-2020'!O726+'DES-TRIAL-BAL-2020'!O726+'DMP-TRIAL-BAL-2020'!O726</f>
        <v>0</v>
      </c>
      <c r="W726" s="529">
        <f>+'NF-KSF-TRIAL-BAL-2020'!P726+'RA-TRIAL-BAL-2020'!P726+'DES-TRIAL-BAL-2020'!P726+'DMP-TRIAL-BAL-2020'!P726</f>
        <v>0</v>
      </c>
      <c r="X726" s="528">
        <f>+'NF-KSF-TRIAL-BAL-2020'!Q726+'RA-TRIAL-BAL-2020'!Q726+'DES-TRIAL-BAL-2020'!Q726+'DMP-TRIAL-BAL-2020'!Q726</f>
        <v>0</v>
      </c>
      <c r="Y726" s="529">
        <f>+'NF-KSF-TRIAL-BAL-2020'!R726+'RA-TRIAL-BAL-2020'!R726+'DES-TRIAL-BAL-2020'!R726+'DMP-TRIAL-BAL-2020'!R726</f>
        <v>0</v>
      </c>
      <c r="Z726" s="528">
        <f>+'NF-KSF-TRIAL-BAL-2020'!S726+'RA-TRIAL-BAL-2020'!S726+'DES-TRIAL-BAL-2020'!S726+'DMP-TRIAL-BAL-2020'!S726</f>
        <v>0</v>
      </c>
      <c r="AA726" s="347">
        <f>+'NF-KSF-TRIAL-BAL-2020'!T726+'RA-TRIAL-BAL-2020'!T726+'DES-TRIAL-BAL-2020'!T726+'DMP-TRIAL-BAL-2020'!T726</f>
        <v>0</v>
      </c>
      <c r="AB726" s="51"/>
      <c r="AC726" s="8">
        <v>0</v>
      </c>
      <c r="AD726" s="9">
        <v>0</v>
      </c>
      <c r="AE726" s="325"/>
      <c r="AF726" s="324"/>
      <c r="AG726" s="27">
        <f t="shared" si="358"/>
        <v>0</v>
      </c>
      <c r="AH726" s="28">
        <f t="shared" si="359"/>
        <v>0</v>
      </c>
      <c r="AI726" s="51"/>
      <c r="AJ726" s="1497">
        <f t="shared" si="351"/>
        <v>7481</v>
      </c>
      <c r="AK726" s="8">
        <v>0</v>
      </c>
      <c r="AL726" s="9">
        <v>0</v>
      </c>
      <c r="AM726" s="326">
        <f t="shared" si="341"/>
        <v>0</v>
      </c>
      <c r="AN726" s="970">
        <f t="shared" si="341"/>
        <v>0</v>
      </c>
      <c r="AO726" s="27">
        <f t="shared" si="335"/>
        <v>0</v>
      </c>
      <c r="AP726" s="28">
        <f t="shared" si="336"/>
        <v>0</v>
      </c>
      <c r="AQ726" s="43"/>
      <c r="AR726" s="358">
        <f t="shared" si="330"/>
        <v>0</v>
      </c>
      <c r="AS726" s="359">
        <f t="shared" si="331"/>
        <v>0</v>
      </c>
      <c r="AT726" s="360">
        <f t="shared" si="332"/>
        <v>0</v>
      </c>
      <c r="AU726" s="43"/>
      <c r="AV726" s="43"/>
      <c r="AW726" s="119"/>
      <c r="AX726" s="119"/>
      <c r="AY726" s="43"/>
      <c r="AZ726" s="43"/>
      <c r="BA726" s="43"/>
      <c r="BB726" s="43"/>
      <c r="BC726" s="43"/>
      <c r="BD726" s="43"/>
    </row>
    <row r="727" spans="1:56" ht="15.75">
      <c r="A727" s="88">
        <v>7482</v>
      </c>
      <c r="B727" s="1033" t="s">
        <v>762</v>
      </c>
      <c r="C727" s="1033"/>
      <c r="D727" s="1033"/>
      <c r="E727" s="1033"/>
      <c r="F727" s="1033"/>
      <c r="G727" s="1033"/>
      <c r="H727" s="1033"/>
      <c r="I727" s="1033"/>
      <c r="J727" s="1033"/>
      <c r="K727" s="1033"/>
      <c r="L727" s="90"/>
      <c r="M727" s="51" t="s">
        <v>265</v>
      </c>
      <c r="N727" s="113">
        <f t="shared" si="333"/>
        <v>7482</v>
      </c>
      <c r="O727" s="8">
        <v>0</v>
      </c>
      <c r="P727" s="9">
        <v>0</v>
      </c>
      <c r="Q727" s="325"/>
      <c r="R727" s="324"/>
      <c r="S727" s="27">
        <f t="shared" si="356"/>
        <v>0</v>
      </c>
      <c r="T727" s="28">
        <f t="shared" si="357"/>
        <v>0</v>
      </c>
      <c r="U727" s="51"/>
      <c r="V727" s="541">
        <f>+'NF-KSF-TRIAL-BAL-2020'!O727+'RA-TRIAL-BAL-2020'!O727+'DES-TRIAL-BAL-2020'!O727+'DMP-TRIAL-BAL-2020'!O727</f>
        <v>0</v>
      </c>
      <c r="W727" s="529">
        <f>+'NF-KSF-TRIAL-BAL-2020'!P727+'RA-TRIAL-BAL-2020'!P727+'DES-TRIAL-BAL-2020'!P727+'DMP-TRIAL-BAL-2020'!P727</f>
        <v>0</v>
      </c>
      <c r="X727" s="528">
        <f>+'NF-KSF-TRIAL-BAL-2020'!Q727+'RA-TRIAL-BAL-2020'!Q727+'DES-TRIAL-BAL-2020'!Q727+'DMP-TRIAL-BAL-2020'!Q727</f>
        <v>0</v>
      </c>
      <c r="Y727" s="529">
        <f>+'NF-KSF-TRIAL-BAL-2020'!R727+'RA-TRIAL-BAL-2020'!R727+'DES-TRIAL-BAL-2020'!R727+'DMP-TRIAL-BAL-2020'!R727</f>
        <v>0</v>
      </c>
      <c r="Z727" s="528">
        <f>+'NF-KSF-TRIAL-BAL-2020'!S727+'RA-TRIAL-BAL-2020'!S727+'DES-TRIAL-BAL-2020'!S727+'DMP-TRIAL-BAL-2020'!S727</f>
        <v>0</v>
      </c>
      <c r="AA727" s="347">
        <f>+'NF-KSF-TRIAL-BAL-2020'!T727+'RA-TRIAL-BAL-2020'!T727+'DES-TRIAL-BAL-2020'!T727+'DMP-TRIAL-BAL-2020'!T727</f>
        <v>0</v>
      </c>
      <c r="AB727" s="51"/>
      <c r="AC727" s="8">
        <v>0</v>
      </c>
      <c r="AD727" s="9">
        <v>0</v>
      </c>
      <c r="AE727" s="122"/>
      <c r="AF727" s="121"/>
      <c r="AG727" s="27">
        <f t="shared" si="358"/>
        <v>0</v>
      </c>
      <c r="AH727" s="28">
        <f t="shared" si="359"/>
        <v>0</v>
      </c>
      <c r="AI727" s="51"/>
      <c r="AJ727" s="1497">
        <f t="shared" si="351"/>
        <v>7482</v>
      </c>
      <c r="AK727" s="8">
        <v>0</v>
      </c>
      <c r="AL727" s="9">
        <v>0</v>
      </c>
      <c r="AM727" s="326">
        <f t="shared" si="341"/>
        <v>0</v>
      </c>
      <c r="AN727" s="970">
        <f t="shared" si="341"/>
        <v>0</v>
      </c>
      <c r="AO727" s="27">
        <f t="shared" si="335"/>
        <v>0</v>
      </c>
      <c r="AP727" s="28">
        <f t="shared" si="336"/>
        <v>0</v>
      </c>
      <c r="AQ727" s="43"/>
      <c r="AR727" s="358">
        <f t="shared" si="330"/>
        <v>0</v>
      </c>
      <c r="AS727" s="359">
        <f t="shared" si="331"/>
        <v>0</v>
      </c>
      <c r="AT727" s="360">
        <f t="shared" si="332"/>
        <v>0</v>
      </c>
      <c r="AU727" s="43"/>
      <c r="AV727" s="43"/>
      <c r="AW727" s="119"/>
      <c r="AX727" s="119"/>
      <c r="AY727" s="43"/>
      <c r="AZ727" s="43"/>
      <c r="BA727" s="43"/>
      <c r="BB727" s="43"/>
      <c r="BC727" s="43"/>
      <c r="BD727" s="43"/>
    </row>
    <row r="728" spans="1:56" ht="15.75">
      <c r="A728" s="88">
        <v>7483</v>
      </c>
      <c r="B728" s="1033" t="s">
        <v>763</v>
      </c>
      <c r="C728" s="1033"/>
      <c r="D728" s="1033"/>
      <c r="E728" s="1033"/>
      <c r="F728" s="1033"/>
      <c r="G728" s="1033"/>
      <c r="H728" s="1033"/>
      <c r="I728" s="1033"/>
      <c r="J728" s="1033"/>
      <c r="K728" s="1033"/>
      <c r="L728" s="90"/>
      <c r="M728" s="51" t="s">
        <v>265</v>
      </c>
      <c r="N728" s="113">
        <f t="shared" si="333"/>
        <v>7483</v>
      </c>
      <c r="O728" s="8">
        <v>0</v>
      </c>
      <c r="P728" s="9">
        <v>0</v>
      </c>
      <c r="Q728" s="325"/>
      <c r="R728" s="324"/>
      <c r="S728" s="27">
        <f t="shared" si="356"/>
        <v>0</v>
      </c>
      <c r="T728" s="28">
        <f t="shared" si="357"/>
        <v>0</v>
      </c>
      <c r="U728" s="51"/>
      <c r="V728" s="541">
        <f>+'NF-KSF-TRIAL-BAL-2020'!O728+'RA-TRIAL-BAL-2020'!O728+'DES-TRIAL-BAL-2020'!O728+'DMP-TRIAL-BAL-2020'!O728</f>
        <v>0</v>
      </c>
      <c r="W728" s="529">
        <f>+'NF-KSF-TRIAL-BAL-2020'!P728+'RA-TRIAL-BAL-2020'!P728+'DES-TRIAL-BAL-2020'!P728+'DMP-TRIAL-BAL-2020'!P728</f>
        <v>0</v>
      </c>
      <c r="X728" s="528">
        <f>+'NF-KSF-TRIAL-BAL-2020'!Q728+'RA-TRIAL-BAL-2020'!Q728+'DES-TRIAL-BAL-2020'!Q728+'DMP-TRIAL-BAL-2020'!Q728</f>
        <v>0</v>
      </c>
      <c r="Y728" s="529">
        <f>+'NF-KSF-TRIAL-BAL-2020'!R728+'RA-TRIAL-BAL-2020'!R728+'DES-TRIAL-BAL-2020'!R728+'DMP-TRIAL-BAL-2020'!R728</f>
        <v>0</v>
      </c>
      <c r="Z728" s="528">
        <f>+'NF-KSF-TRIAL-BAL-2020'!S728+'RA-TRIAL-BAL-2020'!S728+'DES-TRIAL-BAL-2020'!S728+'DMP-TRIAL-BAL-2020'!S728</f>
        <v>0</v>
      </c>
      <c r="AA728" s="347">
        <f>+'NF-KSF-TRIAL-BAL-2020'!T728+'RA-TRIAL-BAL-2020'!T728+'DES-TRIAL-BAL-2020'!T728+'DMP-TRIAL-BAL-2020'!T728</f>
        <v>0</v>
      </c>
      <c r="AB728" s="51"/>
      <c r="AC728" s="8">
        <v>0</v>
      </c>
      <c r="AD728" s="9">
        <v>0</v>
      </c>
      <c r="AE728" s="122"/>
      <c r="AF728" s="121"/>
      <c r="AG728" s="27">
        <f t="shared" si="358"/>
        <v>0</v>
      </c>
      <c r="AH728" s="28">
        <f t="shared" si="359"/>
        <v>0</v>
      </c>
      <c r="AI728" s="51"/>
      <c r="AJ728" s="1497">
        <f t="shared" si="351"/>
        <v>7483</v>
      </c>
      <c r="AK728" s="8">
        <v>0</v>
      </c>
      <c r="AL728" s="9">
        <v>0</v>
      </c>
      <c r="AM728" s="326">
        <f t="shared" si="341"/>
        <v>0</v>
      </c>
      <c r="AN728" s="970">
        <f t="shared" si="341"/>
        <v>0</v>
      </c>
      <c r="AO728" s="27">
        <f t="shared" si="335"/>
        <v>0</v>
      </c>
      <c r="AP728" s="28">
        <f t="shared" si="336"/>
        <v>0</v>
      </c>
      <c r="AQ728" s="43"/>
      <c r="AR728" s="358">
        <f t="shared" si="330"/>
        <v>0</v>
      </c>
      <c r="AS728" s="359">
        <f t="shared" si="331"/>
        <v>0</v>
      </c>
      <c r="AT728" s="360">
        <f t="shared" si="332"/>
        <v>0</v>
      </c>
      <c r="AU728" s="43"/>
      <c r="AV728" s="43"/>
      <c r="AW728" s="119"/>
      <c r="AX728" s="119"/>
      <c r="AY728" s="43"/>
      <c r="AZ728" s="43"/>
      <c r="BA728" s="43"/>
      <c r="BB728" s="43"/>
      <c r="BC728" s="43"/>
      <c r="BD728" s="43"/>
    </row>
    <row r="729" spans="1:56" ht="15.75">
      <c r="A729" s="88">
        <v>7484</v>
      </c>
      <c r="B729" s="1033" t="s">
        <v>764</v>
      </c>
      <c r="C729" s="1033"/>
      <c r="D729" s="1033"/>
      <c r="E729" s="1033"/>
      <c r="F729" s="1033"/>
      <c r="G729" s="1033"/>
      <c r="H729" s="1033"/>
      <c r="I729" s="1033"/>
      <c r="J729" s="1033"/>
      <c r="K729" s="1033"/>
      <c r="L729" s="90"/>
      <c r="M729" s="51" t="s">
        <v>265</v>
      </c>
      <c r="N729" s="113">
        <f t="shared" si="333"/>
        <v>7484</v>
      </c>
      <c r="O729" s="8">
        <v>0</v>
      </c>
      <c r="P729" s="9">
        <v>0</v>
      </c>
      <c r="Q729" s="325"/>
      <c r="R729" s="324"/>
      <c r="S729" s="27">
        <f t="shared" si="356"/>
        <v>0</v>
      </c>
      <c r="T729" s="28">
        <f t="shared" si="357"/>
        <v>0</v>
      </c>
      <c r="U729" s="51"/>
      <c r="V729" s="541">
        <f>+'NF-KSF-TRIAL-BAL-2020'!O729+'RA-TRIAL-BAL-2020'!O729+'DES-TRIAL-BAL-2020'!O729+'DMP-TRIAL-BAL-2020'!O729</f>
        <v>0</v>
      </c>
      <c r="W729" s="529">
        <f>+'NF-KSF-TRIAL-BAL-2020'!P729+'RA-TRIAL-BAL-2020'!P729+'DES-TRIAL-BAL-2020'!P729+'DMP-TRIAL-BAL-2020'!P729</f>
        <v>0</v>
      </c>
      <c r="X729" s="528">
        <f>+'NF-KSF-TRIAL-BAL-2020'!Q729+'RA-TRIAL-BAL-2020'!Q729+'DES-TRIAL-BAL-2020'!Q729+'DMP-TRIAL-BAL-2020'!Q729</f>
        <v>0</v>
      </c>
      <c r="Y729" s="529">
        <f>+'NF-KSF-TRIAL-BAL-2020'!R729+'RA-TRIAL-BAL-2020'!R729+'DES-TRIAL-BAL-2020'!R729+'DMP-TRIAL-BAL-2020'!R729</f>
        <v>0</v>
      </c>
      <c r="Z729" s="528">
        <f>+'NF-KSF-TRIAL-BAL-2020'!S729+'RA-TRIAL-BAL-2020'!S729+'DES-TRIAL-BAL-2020'!S729+'DMP-TRIAL-BAL-2020'!S729</f>
        <v>0</v>
      </c>
      <c r="AA729" s="347">
        <f>+'NF-KSF-TRIAL-BAL-2020'!T729+'RA-TRIAL-BAL-2020'!T729+'DES-TRIAL-BAL-2020'!T729+'DMP-TRIAL-BAL-2020'!T729</f>
        <v>0</v>
      </c>
      <c r="AB729" s="51"/>
      <c r="AC729" s="8">
        <v>0</v>
      </c>
      <c r="AD729" s="9">
        <v>0</v>
      </c>
      <c r="AE729" s="325"/>
      <c r="AF729" s="324"/>
      <c r="AG729" s="27">
        <f t="shared" si="358"/>
        <v>0</v>
      </c>
      <c r="AH729" s="28">
        <f t="shared" si="359"/>
        <v>0</v>
      </c>
      <c r="AI729" s="51"/>
      <c r="AJ729" s="1497">
        <f t="shared" si="351"/>
        <v>7484</v>
      </c>
      <c r="AK729" s="8">
        <v>0</v>
      </c>
      <c r="AL729" s="9">
        <v>0</v>
      </c>
      <c r="AM729" s="326">
        <f t="shared" si="341"/>
        <v>0</v>
      </c>
      <c r="AN729" s="970">
        <f t="shared" si="341"/>
        <v>0</v>
      </c>
      <c r="AO729" s="27">
        <f t="shared" si="335"/>
        <v>0</v>
      </c>
      <c r="AP729" s="28">
        <f t="shared" si="336"/>
        <v>0</v>
      </c>
      <c r="AQ729" s="43"/>
      <c r="AR729" s="358">
        <f t="shared" si="330"/>
        <v>0</v>
      </c>
      <c r="AS729" s="359">
        <f t="shared" si="331"/>
        <v>0</v>
      </c>
      <c r="AT729" s="360">
        <f t="shared" si="332"/>
        <v>0</v>
      </c>
      <c r="AU729" s="43"/>
      <c r="AV729" s="43"/>
      <c r="AW729" s="119"/>
      <c r="AX729" s="119"/>
      <c r="AY729" s="43"/>
      <c r="AZ729" s="43"/>
      <c r="BA729" s="43"/>
      <c r="BB729" s="43"/>
      <c r="BC729" s="43"/>
      <c r="BD729" s="43"/>
    </row>
    <row r="730" spans="1:56" ht="15.75">
      <c r="A730" s="88">
        <v>7485</v>
      </c>
      <c r="B730" s="1032" t="s">
        <v>765</v>
      </c>
      <c r="C730" s="1033"/>
      <c r="D730" s="1033"/>
      <c r="E730" s="1033"/>
      <c r="F730" s="1033"/>
      <c r="G730" s="1033"/>
      <c r="H730" s="1033"/>
      <c r="I730" s="1033"/>
      <c r="J730" s="1033"/>
      <c r="K730" s="1033"/>
      <c r="L730" s="90"/>
      <c r="M730" s="51" t="s">
        <v>265</v>
      </c>
      <c r="N730" s="113">
        <f t="shared" si="333"/>
        <v>7485</v>
      </c>
      <c r="O730" s="8">
        <v>0</v>
      </c>
      <c r="P730" s="9">
        <v>0</v>
      </c>
      <c r="Q730" s="325"/>
      <c r="R730" s="324"/>
      <c r="S730" s="27">
        <f t="shared" si="356"/>
        <v>0</v>
      </c>
      <c r="T730" s="28">
        <f t="shared" si="357"/>
        <v>0</v>
      </c>
      <c r="U730" s="51"/>
      <c r="V730" s="541">
        <f>+'NF-KSF-TRIAL-BAL-2020'!O730+'RA-TRIAL-BAL-2020'!O730+'DES-TRIAL-BAL-2020'!O730+'DMP-TRIAL-BAL-2020'!O730</f>
        <v>0</v>
      </c>
      <c r="W730" s="529">
        <f>+'NF-KSF-TRIAL-BAL-2020'!P730+'RA-TRIAL-BAL-2020'!P730+'DES-TRIAL-BAL-2020'!P730+'DMP-TRIAL-BAL-2020'!P730</f>
        <v>0</v>
      </c>
      <c r="X730" s="528">
        <f>+'NF-KSF-TRIAL-BAL-2020'!Q730+'RA-TRIAL-BAL-2020'!Q730+'DES-TRIAL-BAL-2020'!Q730+'DMP-TRIAL-BAL-2020'!Q730</f>
        <v>0</v>
      </c>
      <c r="Y730" s="529">
        <f>+'NF-KSF-TRIAL-BAL-2020'!R730+'RA-TRIAL-BAL-2020'!R730+'DES-TRIAL-BAL-2020'!R730+'DMP-TRIAL-BAL-2020'!R730</f>
        <v>0</v>
      </c>
      <c r="Z730" s="528">
        <f>+'NF-KSF-TRIAL-BAL-2020'!S730+'RA-TRIAL-BAL-2020'!S730+'DES-TRIAL-BAL-2020'!S730+'DMP-TRIAL-BAL-2020'!S730</f>
        <v>0</v>
      </c>
      <c r="AA730" s="347">
        <f>+'NF-KSF-TRIAL-BAL-2020'!T730+'RA-TRIAL-BAL-2020'!T730+'DES-TRIAL-BAL-2020'!T730+'DMP-TRIAL-BAL-2020'!T730</f>
        <v>0</v>
      </c>
      <c r="AB730" s="51"/>
      <c r="AC730" s="8">
        <v>0</v>
      </c>
      <c r="AD730" s="9">
        <v>0</v>
      </c>
      <c r="AE730" s="122"/>
      <c r="AF730" s="121"/>
      <c r="AG730" s="27">
        <f t="shared" si="358"/>
        <v>0</v>
      </c>
      <c r="AH730" s="28">
        <f t="shared" si="359"/>
        <v>0</v>
      </c>
      <c r="AI730" s="51"/>
      <c r="AJ730" s="1497">
        <f t="shared" si="351"/>
        <v>7485</v>
      </c>
      <c r="AK730" s="8">
        <v>0</v>
      </c>
      <c r="AL730" s="9">
        <v>0</v>
      </c>
      <c r="AM730" s="326">
        <f t="shared" si="341"/>
        <v>0</v>
      </c>
      <c r="AN730" s="970">
        <f t="shared" si="341"/>
        <v>0</v>
      </c>
      <c r="AO730" s="27">
        <f t="shared" si="335"/>
        <v>0</v>
      </c>
      <c r="AP730" s="28">
        <f t="shared" si="336"/>
        <v>0</v>
      </c>
      <c r="AQ730" s="43"/>
      <c r="AR730" s="358">
        <f t="shared" si="330"/>
        <v>0</v>
      </c>
      <c r="AS730" s="359">
        <f t="shared" si="331"/>
        <v>0</v>
      </c>
      <c r="AT730" s="360">
        <f t="shared" si="332"/>
        <v>0</v>
      </c>
      <c r="AU730" s="43"/>
      <c r="AV730" s="43"/>
      <c r="AW730" s="119"/>
      <c r="AX730" s="119"/>
      <c r="AY730" s="43"/>
      <c r="AZ730" s="43"/>
      <c r="BA730" s="43"/>
      <c r="BB730" s="43"/>
      <c r="BC730" s="43"/>
      <c r="BD730" s="43"/>
    </row>
    <row r="731" spans="1:56" ht="15.75">
      <c r="A731" s="88">
        <v>7486</v>
      </c>
      <c r="B731" s="1032" t="s">
        <v>766</v>
      </c>
      <c r="C731" s="1033"/>
      <c r="D731" s="1033"/>
      <c r="E731" s="1033"/>
      <c r="F731" s="1033"/>
      <c r="G731" s="1033"/>
      <c r="H731" s="1033"/>
      <c r="I731" s="1033"/>
      <c r="J731" s="1033"/>
      <c r="K731" s="1033"/>
      <c r="L731" s="90"/>
      <c r="M731" s="51" t="s">
        <v>265</v>
      </c>
      <c r="N731" s="113">
        <f t="shared" si="333"/>
        <v>7486</v>
      </c>
      <c r="O731" s="8">
        <v>0</v>
      </c>
      <c r="P731" s="9">
        <v>0</v>
      </c>
      <c r="Q731" s="325"/>
      <c r="R731" s="324"/>
      <c r="S731" s="27">
        <f t="shared" si="356"/>
        <v>0</v>
      </c>
      <c r="T731" s="28">
        <f t="shared" si="357"/>
        <v>0</v>
      </c>
      <c r="U731" s="51"/>
      <c r="V731" s="541">
        <f>+'NF-KSF-TRIAL-BAL-2020'!O731+'RA-TRIAL-BAL-2020'!O731+'DES-TRIAL-BAL-2020'!O731+'DMP-TRIAL-BAL-2020'!O731</f>
        <v>0</v>
      </c>
      <c r="W731" s="529">
        <f>+'NF-KSF-TRIAL-BAL-2020'!P731+'RA-TRIAL-BAL-2020'!P731+'DES-TRIAL-BAL-2020'!P731+'DMP-TRIAL-BAL-2020'!P731</f>
        <v>0</v>
      </c>
      <c r="X731" s="528">
        <f>+'NF-KSF-TRIAL-BAL-2020'!Q731+'RA-TRIAL-BAL-2020'!Q731+'DES-TRIAL-BAL-2020'!Q731+'DMP-TRIAL-BAL-2020'!Q731</f>
        <v>0</v>
      </c>
      <c r="Y731" s="529">
        <f>+'NF-KSF-TRIAL-BAL-2020'!R731+'RA-TRIAL-BAL-2020'!R731+'DES-TRIAL-BAL-2020'!R731+'DMP-TRIAL-BAL-2020'!R731</f>
        <v>0</v>
      </c>
      <c r="Z731" s="528">
        <f>+'NF-KSF-TRIAL-BAL-2020'!S731+'RA-TRIAL-BAL-2020'!S731+'DES-TRIAL-BAL-2020'!S731+'DMP-TRIAL-BAL-2020'!S731</f>
        <v>0</v>
      </c>
      <c r="AA731" s="347">
        <f>+'NF-KSF-TRIAL-BAL-2020'!T731+'RA-TRIAL-BAL-2020'!T731+'DES-TRIAL-BAL-2020'!T731+'DMP-TRIAL-BAL-2020'!T731</f>
        <v>0</v>
      </c>
      <c r="AB731" s="51"/>
      <c r="AC731" s="8">
        <v>0</v>
      </c>
      <c r="AD731" s="9">
        <v>0</v>
      </c>
      <c r="AE731" s="122"/>
      <c r="AF731" s="121"/>
      <c r="AG731" s="27">
        <f t="shared" si="358"/>
        <v>0</v>
      </c>
      <c r="AH731" s="28">
        <f t="shared" si="359"/>
        <v>0</v>
      </c>
      <c r="AI731" s="51"/>
      <c r="AJ731" s="1497">
        <f t="shared" si="351"/>
        <v>7486</v>
      </c>
      <c r="AK731" s="8">
        <v>0</v>
      </c>
      <c r="AL731" s="9">
        <v>0</v>
      </c>
      <c r="AM731" s="326">
        <f t="shared" si="341"/>
        <v>0</v>
      </c>
      <c r="AN731" s="970">
        <f t="shared" si="341"/>
        <v>0</v>
      </c>
      <c r="AO731" s="27">
        <f t="shared" si="335"/>
        <v>0</v>
      </c>
      <c r="AP731" s="28">
        <f t="shared" si="336"/>
        <v>0</v>
      </c>
      <c r="AQ731" s="43"/>
      <c r="AR731" s="358">
        <f t="shared" si="330"/>
        <v>0</v>
      </c>
      <c r="AS731" s="359">
        <f t="shared" si="331"/>
        <v>0</v>
      </c>
      <c r="AT731" s="360">
        <f t="shared" si="332"/>
        <v>0</v>
      </c>
      <c r="AU731" s="43"/>
      <c r="AV731" s="43"/>
      <c r="AW731" s="119"/>
      <c r="AX731" s="119"/>
      <c r="AY731" s="43"/>
      <c r="AZ731" s="43"/>
      <c r="BA731" s="43"/>
      <c r="BB731" s="43"/>
      <c r="BC731" s="43"/>
      <c r="BD731" s="43"/>
    </row>
    <row r="732" spans="1:56" ht="15.75">
      <c r="A732" s="88">
        <v>7487</v>
      </c>
      <c r="B732" s="1032" t="s">
        <v>767</v>
      </c>
      <c r="C732" s="1033"/>
      <c r="D732" s="1033"/>
      <c r="E732" s="1033"/>
      <c r="F732" s="1033"/>
      <c r="G732" s="1033"/>
      <c r="H732" s="1033"/>
      <c r="I732" s="1033"/>
      <c r="J732" s="1033"/>
      <c r="K732" s="1033"/>
      <c r="L732" s="90"/>
      <c r="M732" s="51" t="s">
        <v>265</v>
      </c>
      <c r="N732" s="113">
        <f t="shared" si="333"/>
        <v>7487</v>
      </c>
      <c r="O732" s="8">
        <v>0</v>
      </c>
      <c r="P732" s="9">
        <v>0</v>
      </c>
      <c r="Q732" s="325"/>
      <c r="R732" s="324"/>
      <c r="S732" s="27">
        <f t="shared" si="356"/>
        <v>0</v>
      </c>
      <c r="T732" s="28">
        <f t="shared" si="357"/>
        <v>0</v>
      </c>
      <c r="U732" s="51"/>
      <c r="V732" s="541">
        <f>+'NF-KSF-TRIAL-BAL-2020'!O732+'RA-TRIAL-BAL-2020'!O732+'DES-TRIAL-BAL-2020'!O732+'DMP-TRIAL-BAL-2020'!O732</f>
        <v>0</v>
      </c>
      <c r="W732" s="529">
        <f>+'NF-KSF-TRIAL-BAL-2020'!P732+'RA-TRIAL-BAL-2020'!P732+'DES-TRIAL-BAL-2020'!P732+'DMP-TRIAL-BAL-2020'!P732</f>
        <v>0</v>
      </c>
      <c r="X732" s="528">
        <f>+'NF-KSF-TRIAL-BAL-2020'!Q732+'RA-TRIAL-BAL-2020'!Q732+'DES-TRIAL-BAL-2020'!Q732+'DMP-TRIAL-BAL-2020'!Q732</f>
        <v>0</v>
      </c>
      <c r="Y732" s="529">
        <f>+'NF-KSF-TRIAL-BAL-2020'!R732+'RA-TRIAL-BAL-2020'!R732+'DES-TRIAL-BAL-2020'!R732+'DMP-TRIAL-BAL-2020'!R732</f>
        <v>0</v>
      </c>
      <c r="Z732" s="528">
        <f>+'NF-KSF-TRIAL-BAL-2020'!S732+'RA-TRIAL-BAL-2020'!S732+'DES-TRIAL-BAL-2020'!S732+'DMP-TRIAL-BAL-2020'!S732</f>
        <v>0</v>
      </c>
      <c r="AA732" s="347">
        <f>+'NF-KSF-TRIAL-BAL-2020'!T732+'RA-TRIAL-BAL-2020'!T732+'DES-TRIAL-BAL-2020'!T732+'DMP-TRIAL-BAL-2020'!T732</f>
        <v>0</v>
      </c>
      <c r="AB732" s="51"/>
      <c r="AC732" s="8">
        <v>0</v>
      </c>
      <c r="AD732" s="9">
        <v>0</v>
      </c>
      <c r="AE732" s="325"/>
      <c r="AF732" s="324"/>
      <c r="AG732" s="27">
        <f t="shared" si="358"/>
        <v>0</v>
      </c>
      <c r="AH732" s="28">
        <f t="shared" si="359"/>
        <v>0</v>
      </c>
      <c r="AI732" s="51"/>
      <c r="AJ732" s="1497">
        <f t="shared" si="351"/>
        <v>7487</v>
      </c>
      <c r="AK732" s="8">
        <v>0</v>
      </c>
      <c r="AL732" s="9">
        <v>0</v>
      </c>
      <c r="AM732" s="326">
        <f t="shared" si="341"/>
        <v>0</v>
      </c>
      <c r="AN732" s="970">
        <f t="shared" si="341"/>
        <v>0</v>
      </c>
      <c r="AO732" s="27">
        <f t="shared" si="335"/>
        <v>0</v>
      </c>
      <c r="AP732" s="28">
        <f t="shared" si="336"/>
        <v>0</v>
      </c>
      <c r="AQ732" s="43"/>
      <c r="AR732" s="358">
        <f t="shared" si="330"/>
        <v>0</v>
      </c>
      <c r="AS732" s="359">
        <f t="shared" si="331"/>
        <v>0</v>
      </c>
      <c r="AT732" s="360">
        <f t="shared" si="332"/>
        <v>0</v>
      </c>
      <c r="AU732" s="43"/>
      <c r="AV732" s="43"/>
      <c r="AW732" s="119"/>
      <c r="AX732" s="119"/>
      <c r="AY732" s="43"/>
      <c r="AZ732" s="43"/>
      <c r="BA732" s="43"/>
      <c r="BB732" s="43"/>
      <c r="BC732" s="43"/>
      <c r="BD732" s="43"/>
    </row>
    <row r="733" spans="1:56" ht="15.75">
      <c r="A733" s="88">
        <v>7488</v>
      </c>
      <c r="B733" s="1032" t="s">
        <v>768</v>
      </c>
      <c r="C733" s="1033"/>
      <c r="D733" s="1033"/>
      <c r="E733" s="1033"/>
      <c r="F733" s="1033"/>
      <c r="G733" s="1033"/>
      <c r="H733" s="1033"/>
      <c r="I733" s="1033"/>
      <c r="J733" s="1033"/>
      <c r="K733" s="1033"/>
      <c r="L733" s="90"/>
      <c r="M733" s="51" t="s">
        <v>265</v>
      </c>
      <c r="N733" s="113">
        <f t="shared" si="333"/>
        <v>7488</v>
      </c>
      <c r="O733" s="8">
        <v>0</v>
      </c>
      <c r="P733" s="9">
        <v>0</v>
      </c>
      <c r="Q733" s="325"/>
      <c r="R733" s="324"/>
      <c r="S733" s="27">
        <f t="shared" si="356"/>
        <v>0</v>
      </c>
      <c r="T733" s="28">
        <f t="shared" si="357"/>
        <v>0</v>
      </c>
      <c r="U733" s="51"/>
      <c r="V733" s="541">
        <f>+'NF-KSF-TRIAL-BAL-2020'!O733+'RA-TRIAL-BAL-2020'!O733+'DES-TRIAL-BAL-2020'!O733+'DMP-TRIAL-BAL-2020'!O733</f>
        <v>0</v>
      </c>
      <c r="W733" s="529">
        <f>+'NF-KSF-TRIAL-BAL-2020'!P733+'RA-TRIAL-BAL-2020'!P733+'DES-TRIAL-BAL-2020'!P733+'DMP-TRIAL-BAL-2020'!P733</f>
        <v>0</v>
      </c>
      <c r="X733" s="528">
        <f>+'NF-KSF-TRIAL-BAL-2020'!Q733+'RA-TRIAL-BAL-2020'!Q733+'DES-TRIAL-BAL-2020'!Q733+'DMP-TRIAL-BAL-2020'!Q733</f>
        <v>0</v>
      </c>
      <c r="Y733" s="529">
        <f>+'NF-KSF-TRIAL-BAL-2020'!R733+'RA-TRIAL-BAL-2020'!R733+'DES-TRIAL-BAL-2020'!R733+'DMP-TRIAL-BAL-2020'!R733</f>
        <v>0</v>
      </c>
      <c r="Z733" s="528">
        <f>+'NF-KSF-TRIAL-BAL-2020'!S733+'RA-TRIAL-BAL-2020'!S733+'DES-TRIAL-BAL-2020'!S733+'DMP-TRIAL-BAL-2020'!S733</f>
        <v>0</v>
      </c>
      <c r="AA733" s="347">
        <f>+'NF-KSF-TRIAL-BAL-2020'!T733+'RA-TRIAL-BAL-2020'!T733+'DES-TRIAL-BAL-2020'!T733+'DMP-TRIAL-BAL-2020'!T733</f>
        <v>0</v>
      </c>
      <c r="AB733" s="51"/>
      <c r="AC733" s="8">
        <v>0</v>
      </c>
      <c r="AD733" s="9">
        <v>0</v>
      </c>
      <c r="AE733" s="325"/>
      <c r="AF733" s="324"/>
      <c r="AG733" s="27">
        <f t="shared" si="358"/>
        <v>0</v>
      </c>
      <c r="AH733" s="28">
        <f t="shared" si="359"/>
        <v>0</v>
      </c>
      <c r="AI733" s="51"/>
      <c r="AJ733" s="1497">
        <f t="shared" si="351"/>
        <v>7488</v>
      </c>
      <c r="AK733" s="8">
        <v>0</v>
      </c>
      <c r="AL733" s="9">
        <v>0</v>
      </c>
      <c r="AM733" s="326">
        <f t="shared" si="341"/>
        <v>0</v>
      </c>
      <c r="AN733" s="970">
        <f t="shared" si="341"/>
        <v>0</v>
      </c>
      <c r="AO733" s="27">
        <f t="shared" si="335"/>
        <v>0</v>
      </c>
      <c r="AP733" s="28">
        <f t="shared" si="336"/>
        <v>0</v>
      </c>
      <c r="AQ733" s="43"/>
      <c r="AR733" s="358">
        <f t="shared" si="330"/>
        <v>0</v>
      </c>
      <c r="AS733" s="359">
        <f t="shared" si="331"/>
        <v>0</v>
      </c>
      <c r="AT733" s="360">
        <f t="shared" si="332"/>
        <v>0</v>
      </c>
      <c r="AU733" s="43"/>
      <c r="AV733" s="43"/>
      <c r="AW733" s="119"/>
      <c r="AX733" s="119"/>
      <c r="AY733" s="43"/>
      <c r="AZ733" s="43"/>
      <c r="BA733" s="43"/>
      <c r="BB733" s="43"/>
      <c r="BC733" s="43"/>
      <c r="BD733" s="43"/>
    </row>
    <row r="734" spans="1:56" ht="15.75">
      <c r="A734" s="88">
        <v>7491</v>
      </c>
      <c r="B734" s="1033" t="s">
        <v>769</v>
      </c>
      <c r="C734" s="1033"/>
      <c r="D734" s="1033"/>
      <c r="E734" s="1033"/>
      <c r="F734" s="1033"/>
      <c r="G734" s="1033"/>
      <c r="H734" s="1033"/>
      <c r="I734" s="1033"/>
      <c r="J734" s="1033"/>
      <c r="K734" s="1033"/>
      <c r="L734" s="90"/>
      <c r="M734" s="51" t="s">
        <v>265</v>
      </c>
      <c r="N734" s="113">
        <f t="shared" si="333"/>
        <v>7491</v>
      </c>
      <c r="O734" s="8">
        <v>0</v>
      </c>
      <c r="P734" s="9">
        <v>0</v>
      </c>
      <c r="Q734" s="325"/>
      <c r="R734" s="324"/>
      <c r="S734" s="27">
        <f t="shared" si="356"/>
        <v>0</v>
      </c>
      <c r="T734" s="28">
        <f t="shared" si="357"/>
        <v>0</v>
      </c>
      <c r="U734" s="51"/>
      <c r="V734" s="541">
        <f>+'NF-KSF-TRIAL-BAL-2020'!O734+'RA-TRIAL-BAL-2020'!O734+'DES-TRIAL-BAL-2020'!O734+'DMP-TRIAL-BAL-2020'!O734</f>
        <v>0</v>
      </c>
      <c r="W734" s="529">
        <f>+'NF-KSF-TRIAL-BAL-2020'!P734+'RA-TRIAL-BAL-2020'!P734+'DES-TRIAL-BAL-2020'!P734+'DMP-TRIAL-BAL-2020'!P734</f>
        <v>0</v>
      </c>
      <c r="X734" s="528">
        <f>+'NF-KSF-TRIAL-BAL-2020'!Q734+'RA-TRIAL-BAL-2020'!Q734+'DES-TRIAL-BAL-2020'!Q734+'DMP-TRIAL-BAL-2020'!Q734</f>
        <v>0</v>
      </c>
      <c r="Y734" s="529">
        <f>+'NF-KSF-TRIAL-BAL-2020'!R734+'RA-TRIAL-BAL-2020'!R734+'DES-TRIAL-BAL-2020'!R734+'DMP-TRIAL-BAL-2020'!R734</f>
        <v>0</v>
      </c>
      <c r="Z734" s="528">
        <f>+'NF-KSF-TRIAL-BAL-2020'!S734+'RA-TRIAL-BAL-2020'!S734+'DES-TRIAL-BAL-2020'!S734+'DMP-TRIAL-BAL-2020'!S734</f>
        <v>0</v>
      </c>
      <c r="AA734" s="347">
        <f>+'NF-KSF-TRIAL-BAL-2020'!T734+'RA-TRIAL-BAL-2020'!T734+'DES-TRIAL-BAL-2020'!T734+'DMP-TRIAL-BAL-2020'!T734</f>
        <v>0</v>
      </c>
      <c r="AB734" s="51"/>
      <c r="AC734" s="8">
        <v>0</v>
      </c>
      <c r="AD734" s="9">
        <v>0</v>
      </c>
      <c r="AE734" s="122"/>
      <c r="AF734" s="121"/>
      <c r="AG734" s="27">
        <f t="shared" si="358"/>
        <v>0</v>
      </c>
      <c r="AH734" s="28">
        <f t="shared" si="359"/>
        <v>0</v>
      </c>
      <c r="AI734" s="51"/>
      <c r="AJ734" s="1497">
        <f t="shared" si="351"/>
        <v>7491</v>
      </c>
      <c r="AK734" s="8">
        <v>0</v>
      </c>
      <c r="AL734" s="9">
        <v>0</v>
      </c>
      <c r="AM734" s="326">
        <f t="shared" si="341"/>
        <v>0</v>
      </c>
      <c r="AN734" s="970">
        <f t="shared" si="341"/>
        <v>0</v>
      </c>
      <c r="AO734" s="27">
        <f t="shared" si="335"/>
        <v>0</v>
      </c>
      <c r="AP734" s="28">
        <f t="shared" si="336"/>
        <v>0</v>
      </c>
      <c r="AQ734" s="43"/>
      <c r="AR734" s="358">
        <f t="shared" si="330"/>
        <v>0</v>
      </c>
      <c r="AS734" s="359">
        <f t="shared" si="331"/>
        <v>0</v>
      </c>
      <c r="AT734" s="360">
        <f t="shared" si="332"/>
        <v>0</v>
      </c>
      <c r="AU734" s="43"/>
      <c r="AV734" s="43"/>
      <c r="AW734" s="119"/>
      <c r="AX734" s="119"/>
      <c r="AY734" s="43"/>
      <c r="AZ734" s="43"/>
      <c r="BA734" s="43"/>
      <c r="BB734" s="43"/>
      <c r="BC734" s="43"/>
      <c r="BD734" s="43"/>
    </row>
    <row r="735" spans="1:56" ht="15.75">
      <c r="A735" s="88">
        <v>7492</v>
      </c>
      <c r="B735" s="1033" t="s">
        <v>770</v>
      </c>
      <c r="C735" s="1033"/>
      <c r="D735" s="1033"/>
      <c r="E735" s="1033"/>
      <c r="F735" s="1033"/>
      <c r="G735" s="1033"/>
      <c r="H735" s="1033"/>
      <c r="I735" s="1033"/>
      <c r="J735" s="1033"/>
      <c r="K735" s="1033"/>
      <c r="L735" s="90"/>
      <c r="M735" s="51" t="s">
        <v>265</v>
      </c>
      <c r="N735" s="113">
        <f t="shared" si="333"/>
        <v>7492</v>
      </c>
      <c r="O735" s="8">
        <v>0</v>
      </c>
      <c r="P735" s="9">
        <v>0</v>
      </c>
      <c r="Q735" s="325"/>
      <c r="R735" s="324"/>
      <c r="S735" s="27">
        <f t="shared" si="356"/>
        <v>0</v>
      </c>
      <c r="T735" s="28">
        <f t="shared" si="357"/>
        <v>0</v>
      </c>
      <c r="U735" s="51"/>
      <c r="V735" s="541">
        <f>+'NF-KSF-TRIAL-BAL-2020'!O735+'RA-TRIAL-BAL-2020'!O735+'DES-TRIAL-BAL-2020'!O735+'DMP-TRIAL-BAL-2020'!O735</f>
        <v>0</v>
      </c>
      <c r="W735" s="529">
        <f>+'NF-KSF-TRIAL-BAL-2020'!P735+'RA-TRIAL-BAL-2020'!P735+'DES-TRIAL-BAL-2020'!P735+'DMP-TRIAL-BAL-2020'!P735</f>
        <v>0</v>
      </c>
      <c r="X735" s="528">
        <f>+'NF-KSF-TRIAL-BAL-2020'!Q735+'RA-TRIAL-BAL-2020'!Q735+'DES-TRIAL-BAL-2020'!Q735+'DMP-TRIAL-BAL-2020'!Q735</f>
        <v>0</v>
      </c>
      <c r="Y735" s="529">
        <f>+'NF-KSF-TRIAL-BAL-2020'!R735+'RA-TRIAL-BAL-2020'!R735+'DES-TRIAL-BAL-2020'!R735+'DMP-TRIAL-BAL-2020'!R735</f>
        <v>0</v>
      </c>
      <c r="Z735" s="528">
        <f>+'NF-KSF-TRIAL-BAL-2020'!S735+'RA-TRIAL-BAL-2020'!S735+'DES-TRIAL-BAL-2020'!S735+'DMP-TRIAL-BAL-2020'!S735</f>
        <v>0</v>
      </c>
      <c r="AA735" s="347">
        <f>+'NF-KSF-TRIAL-BAL-2020'!T735+'RA-TRIAL-BAL-2020'!T735+'DES-TRIAL-BAL-2020'!T735+'DMP-TRIAL-BAL-2020'!T735</f>
        <v>0</v>
      </c>
      <c r="AB735" s="51"/>
      <c r="AC735" s="8">
        <v>0</v>
      </c>
      <c r="AD735" s="9">
        <v>0</v>
      </c>
      <c r="AE735" s="122"/>
      <c r="AF735" s="121"/>
      <c r="AG735" s="27">
        <f t="shared" si="358"/>
        <v>0</v>
      </c>
      <c r="AH735" s="28">
        <f t="shared" si="359"/>
        <v>0</v>
      </c>
      <c r="AI735" s="51"/>
      <c r="AJ735" s="1497">
        <f t="shared" si="351"/>
        <v>7492</v>
      </c>
      <c r="AK735" s="8">
        <v>0</v>
      </c>
      <c r="AL735" s="9">
        <v>0</v>
      </c>
      <c r="AM735" s="326">
        <f t="shared" si="341"/>
        <v>0</v>
      </c>
      <c r="AN735" s="970">
        <f t="shared" si="341"/>
        <v>0</v>
      </c>
      <c r="AO735" s="27">
        <f t="shared" si="335"/>
        <v>0</v>
      </c>
      <c r="AP735" s="28">
        <f t="shared" si="336"/>
        <v>0</v>
      </c>
      <c r="AQ735" s="43"/>
      <c r="AR735" s="358">
        <f t="shared" si="330"/>
        <v>0</v>
      </c>
      <c r="AS735" s="359">
        <f t="shared" si="331"/>
        <v>0</v>
      </c>
      <c r="AT735" s="360">
        <f t="shared" si="332"/>
        <v>0</v>
      </c>
      <c r="AU735" s="43"/>
      <c r="AV735" s="43"/>
      <c r="AW735" s="119"/>
      <c r="AX735" s="119"/>
      <c r="AY735" s="43"/>
      <c r="AZ735" s="43"/>
      <c r="BA735" s="43"/>
      <c r="BB735" s="43"/>
      <c r="BC735" s="43"/>
      <c r="BD735" s="43"/>
    </row>
    <row r="736" spans="1:56" ht="15.75">
      <c r="A736" s="88">
        <v>7493</v>
      </c>
      <c r="B736" s="1033" t="s">
        <v>771</v>
      </c>
      <c r="C736" s="1033"/>
      <c r="D736" s="1033"/>
      <c r="E736" s="1033"/>
      <c r="F736" s="1033"/>
      <c r="G736" s="1033"/>
      <c r="H736" s="1033"/>
      <c r="I736" s="1033"/>
      <c r="J736" s="1033"/>
      <c r="K736" s="1033"/>
      <c r="L736" s="90"/>
      <c r="M736" s="51" t="s">
        <v>265</v>
      </c>
      <c r="N736" s="113">
        <f t="shared" si="333"/>
        <v>7493</v>
      </c>
      <c r="O736" s="8">
        <v>0</v>
      </c>
      <c r="P736" s="9">
        <v>0</v>
      </c>
      <c r="Q736" s="325"/>
      <c r="R736" s="324"/>
      <c r="S736" s="27">
        <f t="shared" si="356"/>
        <v>0</v>
      </c>
      <c r="T736" s="28">
        <f t="shared" si="357"/>
        <v>0</v>
      </c>
      <c r="U736" s="51"/>
      <c r="V736" s="541">
        <f>+'NF-KSF-TRIAL-BAL-2020'!O736+'RA-TRIAL-BAL-2020'!O736+'DES-TRIAL-BAL-2020'!O736+'DMP-TRIAL-BAL-2020'!O736</f>
        <v>0</v>
      </c>
      <c r="W736" s="529">
        <f>+'NF-KSF-TRIAL-BAL-2020'!P736+'RA-TRIAL-BAL-2020'!P736+'DES-TRIAL-BAL-2020'!P736+'DMP-TRIAL-BAL-2020'!P736</f>
        <v>0</v>
      </c>
      <c r="X736" s="528">
        <f>+'NF-KSF-TRIAL-BAL-2020'!Q736+'RA-TRIAL-BAL-2020'!Q736+'DES-TRIAL-BAL-2020'!Q736+'DMP-TRIAL-BAL-2020'!Q736</f>
        <v>0</v>
      </c>
      <c r="Y736" s="529">
        <f>+'NF-KSF-TRIAL-BAL-2020'!R736+'RA-TRIAL-BAL-2020'!R736+'DES-TRIAL-BAL-2020'!R736+'DMP-TRIAL-BAL-2020'!R736</f>
        <v>0</v>
      </c>
      <c r="Z736" s="528">
        <f>+'NF-KSF-TRIAL-BAL-2020'!S736+'RA-TRIAL-BAL-2020'!S736+'DES-TRIAL-BAL-2020'!S736+'DMP-TRIAL-BAL-2020'!S736</f>
        <v>0</v>
      </c>
      <c r="AA736" s="347">
        <f>+'NF-KSF-TRIAL-BAL-2020'!T736+'RA-TRIAL-BAL-2020'!T736+'DES-TRIAL-BAL-2020'!T736+'DMP-TRIAL-BAL-2020'!T736</f>
        <v>0</v>
      </c>
      <c r="AB736" s="51"/>
      <c r="AC736" s="8">
        <v>0</v>
      </c>
      <c r="AD736" s="9">
        <v>0</v>
      </c>
      <c r="AE736" s="325"/>
      <c r="AF736" s="324"/>
      <c r="AG736" s="27">
        <f t="shared" si="358"/>
        <v>0</v>
      </c>
      <c r="AH736" s="28">
        <f t="shared" si="359"/>
        <v>0</v>
      </c>
      <c r="AI736" s="51"/>
      <c r="AJ736" s="1497">
        <f t="shared" si="351"/>
        <v>7493</v>
      </c>
      <c r="AK736" s="8">
        <v>0</v>
      </c>
      <c r="AL736" s="9">
        <v>0</v>
      </c>
      <c r="AM736" s="326">
        <f t="shared" si="341"/>
        <v>0</v>
      </c>
      <c r="AN736" s="970">
        <f t="shared" si="341"/>
        <v>0</v>
      </c>
      <c r="AO736" s="27">
        <f t="shared" ref="AO736:AO799" si="360">+S736+Z736+AG736</f>
        <v>0</v>
      </c>
      <c r="AP736" s="28">
        <f t="shared" si="336"/>
        <v>0</v>
      </c>
      <c r="AQ736" s="43"/>
      <c r="AR736" s="358">
        <f t="shared" si="330"/>
        <v>0</v>
      </c>
      <c r="AS736" s="359">
        <f t="shared" si="331"/>
        <v>0</v>
      </c>
      <c r="AT736" s="360">
        <f t="shared" si="332"/>
        <v>0</v>
      </c>
      <c r="AU736" s="43"/>
      <c r="AV736" s="43"/>
      <c r="AW736" s="119"/>
      <c r="AX736" s="119"/>
      <c r="AY736" s="43"/>
      <c r="AZ736" s="43"/>
      <c r="BA736" s="43"/>
      <c r="BB736" s="43"/>
      <c r="BC736" s="43"/>
      <c r="BD736" s="43"/>
    </row>
    <row r="737" spans="1:56" ht="15.75">
      <c r="A737" s="88">
        <v>7494</v>
      </c>
      <c r="B737" s="1033" t="s">
        <v>772</v>
      </c>
      <c r="C737" s="1033"/>
      <c r="D737" s="1033"/>
      <c r="E737" s="1033"/>
      <c r="F737" s="1033"/>
      <c r="G737" s="1033"/>
      <c r="H737" s="1033"/>
      <c r="I737" s="1033"/>
      <c r="J737" s="1033"/>
      <c r="K737" s="1033"/>
      <c r="L737" s="90"/>
      <c r="M737" s="51" t="s">
        <v>265</v>
      </c>
      <c r="N737" s="113">
        <f t="shared" si="333"/>
        <v>7494</v>
      </c>
      <c r="O737" s="8">
        <v>0</v>
      </c>
      <c r="P737" s="9">
        <v>0</v>
      </c>
      <c r="Q737" s="325"/>
      <c r="R737" s="324"/>
      <c r="S737" s="27">
        <f t="shared" si="356"/>
        <v>0</v>
      </c>
      <c r="T737" s="28">
        <f t="shared" si="357"/>
        <v>0</v>
      </c>
      <c r="U737" s="51"/>
      <c r="V737" s="541">
        <f>+'NF-KSF-TRIAL-BAL-2020'!O737+'RA-TRIAL-BAL-2020'!O737+'DES-TRIAL-BAL-2020'!O737+'DMP-TRIAL-BAL-2020'!O737</f>
        <v>0</v>
      </c>
      <c r="W737" s="529">
        <f>+'NF-KSF-TRIAL-BAL-2020'!P737+'RA-TRIAL-BAL-2020'!P737+'DES-TRIAL-BAL-2020'!P737+'DMP-TRIAL-BAL-2020'!P737</f>
        <v>0</v>
      </c>
      <c r="X737" s="528">
        <f>+'NF-KSF-TRIAL-BAL-2020'!Q737+'RA-TRIAL-BAL-2020'!Q737+'DES-TRIAL-BAL-2020'!Q737+'DMP-TRIAL-BAL-2020'!Q737</f>
        <v>0</v>
      </c>
      <c r="Y737" s="529">
        <f>+'NF-KSF-TRIAL-BAL-2020'!R737+'RA-TRIAL-BAL-2020'!R737+'DES-TRIAL-BAL-2020'!R737+'DMP-TRIAL-BAL-2020'!R737</f>
        <v>0</v>
      </c>
      <c r="Z737" s="528">
        <f>+'NF-KSF-TRIAL-BAL-2020'!S737+'RA-TRIAL-BAL-2020'!S737+'DES-TRIAL-BAL-2020'!S737+'DMP-TRIAL-BAL-2020'!S737</f>
        <v>0</v>
      </c>
      <c r="AA737" s="347">
        <f>+'NF-KSF-TRIAL-BAL-2020'!T737+'RA-TRIAL-BAL-2020'!T737+'DES-TRIAL-BAL-2020'!T737+'DMP-TRIAL-BAL-2020'!T737</f>
        <v>0</v>
      </c>
      <c r="AB737" s="51"/>
      <c r="AC737" s="8">
        <v>0</v>
      </c>
      <c r="AD737" s="9">
        <v>0</v>
      </c>
      <c r="AE737" s="325"/>
      <c r="AF737" s="324"/>
      <c r="AG737" s="27">
        <f t="shared" si="358"/>
        <v>0</v>
      </c>
      <c r="AH737" s="28">
        <f t="shared" si="359"/>
        <v>0</v>
      </c>
      <c r="AI737" s="51"/>
      <c r="AJ737" s="1497">
        <f t="shared" si="351"/>
        <v>7494</v>
      </c>
      <c r="AK737" s="8">
        <v>0</v>
      </c>
      <c r="AL737" s="9">
        <v>0</v>
      </c>
      <c r="AM737" s="326">
        <f t="shared" si="341"/>
        <v>0</v>
      </c>
      <c r="AN737" s="970">
        <f t="shared" si="341"/>
        <v>0</v>
      </c>
      <c r="AO737" s="27">
        <f t="shared" si="360"/>
        <v>0</v>
      </c>
      <c r="AP737" s="28">
        <f t="shared" ref="AP737:AP800" si="361">+T737+AA737+AH737</f>
        <v>0</v>
      </c>
      <c r="AQ737" s="43"/>
      <c r="AR737" s="358">
        <f t="shared" si="330"/>
        <v>0</v>
      </c>
      <c r="AS737" s="359">
        <f t="shared" si="331"/>
        <v>0</v>
      </c>
      <c r="AT737" s="360">
        <f t="shared" si="332"/>
        <v>0</v>
      </c>
      <c r="AU737" s="43"/>
      <c r="AV737" s="43"/>
      <c r="AW737" s="119"/>
      <c r="AX737" s="119"/>
      <c r="AY737" s="43"/>
      <c r="AZ737" s="43"/>
      <c r="BA737" s="43"/>
      <c r="BB737" s="43"/>
      <c r="BC737" s="43"/>
      <c r="BD737" s="43"/>
    </row>
    <row r="738" spans="1:56" ht="15.75">
      <c r="A738" s="88">
        <v>7499</v>
      </c>
      <c r="B738" s="1033" t="s">
        <v>47</v>
      </c>
      <c r="C738" s="1033"/>
      <c r="D738" s="1033"/>
      <c r="E738" s="1033"/>
      <c r="F738" s="1033"/>
      <c r="G738" s="1033"/>
      <c r="H738" s="1033"/>
      <c r="I738" s="1033"/>
      <c r="J738" s="1033"/>
      <c r="K738" s="1033"/>
      <c r="L738" s="90"/>
      <c r="M738" s="51" t="s">
        <v>265</v>
      </c>
      <c r="N738" s="113">
        <f>+A738</f>
        <v>7499</v>
      </c>
      <c r="O738" s="8">
        <v>0</v>
      </c>
      <c r="P738" s="9">
        <v>0</v>
      </c>
      <c r="Q738" s="325"/>
      <c r="R738" s="324"/>
      <c r="S738" s="27">
        <f>+IF(ABS(+O738+Q738)&gt;=ABS(P738+R738),+O738-P738+Q738-R738,0)</f>
        <v>0</v>
      </c>
      <c r="T738" s="28">
        <f>+IF(ABS(+O738+Q738)&lt;=ABS(P738+R738),-O738+P738-Q738+R738,0)</f>
        <v>0</v>
      </c>
      <c r="U738" s="51"/>
      <c r="V738" s="541">
        <f>+'NF-KSF-TRIAL-BAL-2020'!O738+'RA-TRIAL-BAL-2020'!O738+'DES-TRIAL-BAL-2020'!O738+'DMP-TRIAL-BAL-2020'!O738</f>
        <v>0</v>
      </c>
      <c r="W738" s="529">
        <f>+'NF-KSF-TRIAL-BAL-2020'!P738+'RA-TRIAL-BAL-2020'!P738+'DES-TRIAL-BAL-2020'!P738+'DMP-TRIAL-BAL-2020'!P738</f>
        <v>0</v>
      </c>
      <c r="X738" s="528">
        <f>+'NF-KSF-TRIAL-BAL-2020'!Q738+'RA-TRIAL-BAL-2020'!Q738+'DES-TRIAL-BAL-2020'!Q738+'DMP-TRIAL-BAL-2020'!Q738</f>
        <v>0</v>
      </c>
      <c r="Y738" s="529">
        <f>+'NF-KSF-TRIAL-BAL-2020'!R738+'RA-TRIAL-BAL-2020'!R738+'DES-TRIAL-BAL-2020'!R738+'DMP-TRIAL-BAL-2020'!R738</f>
        <v>0</v>
      </c>
      <c r="Z738" s="528">
        <f>+'NF-KSF-TRIAL-BAL-2020'!S738+'RA-TRIAL-BAL-2020'!S738+'DES-TRIAL-BAL-2020'!S738+'DMP-TRIAL-BAL-2020'!S738</f>
        <v>0</v>
      </c>
      <c r="AA738" s="347">
        <f>+'NF-KSF-TRIAL-BAL-2020'!T738+'RA-TRIAL-BAL-2020'!T738+'DES-TRIAL-BAL-2020'!T738+'DMP-TRIAL-BAL-2020'!T738</f>
        <v>0</v>
      </c>
      <c r="AB738" s="51"/>
      <c r="AC738" s="8">
        <v>0</v>
      </c>
      <c r="AD738" s="9">
        <v>0</v>
      </c>
      <c r="AE738" s="122"/>
      <c r="AF738" s="121"/>
      <c r="AG738" s="27">
        <f>+IF(ABS(+AC738+AE738)&gt;=ABS(AD738+AF738),+AC738-AD738+AE738-AF738,0)</f>
        <v>0</v>
      </c>
      <c r="AH738" s="28">
        <f>+IF(ABS(+AC738+AE738)&lt;=ABS(AD738+AF738),-AC738+AD738-AE738+AF738,0)</f>
        <v>0</v>
      </c>
      <c r="AI738" s="51"/>
      <c r="AJ738" s="1497">
        <f>+N738</f>
        <v>7499</v>
      </c>
      <c r="AK738" s="8">
        <v>0</v>
      </c>
      <c r="AL738" s="9">
        <v>0</v>
      </c>
      <c r="AM738" s="326">
        <f>+ROUND(+Q738+X738+AE738,2)</f>
        <v>0</v>
      </c>
      <c r="AN738" s="970">
        <f>+ROUND(+R738+Y738+AF738,2)</f>
        <v>0</v>
      </c>
      <c r="AO738" s="27">
        <f t="shared" si="360"/>
        <v>0</v>
      </c>
      <c r="AP738" s="28">
        <f t="shared" si="361"/>
        <v>0</v>
      </c>
      <c r="AQ738" s="43"/>
      <c r="AR738" s="358">
        <f>+ROUND(+SUM(AK738-AL738)-SUM(O738-P738)-SUM(V738-W738)-SUM(AC738-AD738),2)</f>
        <v>0</v>
      </c>
      <c r="AS738" s="359">
        <f>+ROUND(+SUM(AM738-AN738)-SUM(Q738-R738)-SUM(X738-Y738)-SUM(AE738-AF738),2)</f>
        <v>0</v>
      </c>
      <c r="AT738" s="360">
        <f>+ROUND(+SUM(AO738-AP738)-SUM(S738-T738)-SUM(Z738-AA738)-SUM(AG738-AH738),2)</f>
        <v>0</v>
      </c>
      <c r="AU738" s="43"/>
      <c r="AV738" s="43"/>
      <c r="AW738" s="119"/>
      <c r="AX738" s="119"/>
      <c r="AY738" s="43"/>
      <c r="AZ738" s="43"/>
      <c r="BA738" s="43"/>
      <c r="BB738" s="43"/>
      <c r="BC738" s="43"/>
      <c r="BD738" s="43"/>
    </row>
    <row r="739" spans="1:56" ht="15.75">
      <c r="A739" s="88">
        <v>7500</v>
      </c>
      <c r="B739" s="378" t="s">
        <v>48</v>
      </c>
      <c r="C739" s="1033"/>
      <c r="D739" s="1033"/>
      <c r="E739" s="1033"/>
      <c r="F739" s="1033"/>
      <c r="G739" s="1033"/>
      <c r="H739" s="1033"/>
      <c r="I739" s="1033"/>
      <c r="J739" s="1033"/>
      <c r="K739" s="1033"/>
      <c r="L739" s="90"/>
      <c r="M739" s="51" t="s">
        <v>265</v>
      </c>
      <c r="N739" s="113">
        <f t="shared" si="333"/>
        <v>7500</v>
      </c>
      <c r="O739" s="8">
        <v>0</v>
      </c>
      <c r="P739" s="9">
        <v>0</v>
      </c>
      <c r="Q739" s="325">
        <v>0</v>
      </c>
      <c r="R739" s="324">
        <v>0</v>
      </c>
      <c r="S739" s="27">
        <f t="shared" si="356"/>
        <v>0</v>
      </c>
      <c r="T739" s="28">
        <f t="shared" si="357"/>
        <v>0</v>
      </c>
      <c r="U739" s="51"/>
      <c r="V739" s="541">
        <f>+'NF-KSF-TRIAL-BAL-2020'!O739+'RA-TRIAL-BAL-2020'!O739+'DES-TRIAL-BAL-2020'!O739+'DMP-TRIAL-BAL-2020'!O739</f>
        <v>0</v>
      </c>
      <c r="W739" s="529">
        <f>+'NF-KSF-TRIAL-BAL-2020'!P739+'RA-TRIAL-BAL-2020'!P739+'DES-TRIAL-BAL-2020'!P739+'DMP-TRIAL-BAL-2020'!P739</f>
        <v>0</v>
      </c>
      <c r="X739" s="528">
        <f>+'NF-KSF-TRIAL-BAL-2020'!Q739+'RA-TRIAL-BAL-2020'!Q739+'DES-TRIAL-BAL-2020'!Q739+'DMP-TRIAL-BAL-2020'!Q739</f>
        <v>0</v>
      </c>
      <c r="Y739" s="529">
        <f>+'NF-KSF-TRIAL-BAL-2020'!R739+'RA-TRIAL-BAL-2020'!R739+'DES-TRIAL-BAL-2020'!R739+'DMP-TRIAL-BAL-2020'!R739</f>
        <v>0</v>
      </c>
      <c r="Z739" s="528">
        <f>+'NF-KSF-TRIAL-BAL-2020'!S739+'RA-TRIAL-BAL-2020'!S739+'DES-TRIAL-BAL-2020'!S739+'DMP-TRIAL-BAL-2020'!S739</f>
        <v>0</v>
      </c>
      <c r="AA739" s="347">
        <f>+'NF-KSF-TRIAL-BAL-2020'!T739+'RA-TRIAL-BAL-2020'!T739+'DES-TRIAL-BAL-2020'!T739+'DMP-TRIAL-BAL-2020'!T739</f>
        <v>0</v>
      </c>
      <c r="AB739" s="51"/>
      <c r="AC739" s="8">
        <v>0</v>
      </c>
      <c r="AD739" s="9">
        <v>0</v>
      </c>
      <c r="AE739" s="122">
        <v>0</v>
      </c>
      <c r="AF739" s="121">
        <v>0</v>
      </c>
      <c r="AG739" s="27">
        <f t="shared" si="358"/>
        <v>0</v>
      </c>
      <c r="AH739" s="28">
        <f t="shared" si="359"/>
        <v>0</v>
      </c>
      <c r="AI739" s="51"/>
      <c r="AJ739" s="1497">
        <f t="shared" si="351"/>
        <v>7500</v>
      </c>
      <c r="AK739" s="8">
        <v>0</v>
      </c>
      <c r="AL739" s="9">
        <v>0</v>
      </c>
      <c r="AM739" s="326">
        <f t="shared" si="341"/>
        <v>0</v>
      </c>
      <c r="AN739" s="970">
        <f t="shared" si="341"/>
        <v>0</v>
      </c>
      <c r="AO739" s="27">
        <f t="shared" si="360"/>
        <v>0</v>
      </c>
      <c r="AP739" s="28">
        <f t="shared" si="361"/>
        <v>0</v>
      </c>
      <c r="AQ739" s="43"/>
      <c r="AR739" s="358">
        <f t="shared" si="330"/>
        <v>0</v>
      </c>
      <c r="AS739" s="359">
        <f t="shared" si="331"/>
        <v>0</v>
      </c>
      <c r="AT739" s="360">
        <f t="shared" si="332"/>
        <v>0</v>
      </c>
      <c r="AU739" s="43"/>
      <c r="AV739" s="43"/>
      <c r="AW739" s="119"/>
      <c r="AX739" s="119"/>
      <c r="AY739" s="43"/>
      <c r="AZ739" s="43"/>
      <c r="BA739" s="43"/>
      <c r="BB739" s="43"/>
      <c r="BC739" s="43"/>
      <c r="BD739" s="43"/>
    </row>
    <row r="740" spans="1:56" ht="15.75">
      <c r="A740" s="88">
        <v>7501</v>
      </c>
      <c r="B740" s="378" t="s">
        <v>49</v>
      </c>
      <c r="C740" s="1033"/>
      <c r="D740" s="1033"/>
      <c r="E740" s="1033"/>
      <c r="F740" s="1033"/>
      <c r="G740" s="1033"/>
      <c r="H740" s="1033"/>
      <c r="I740" s="1033"/>
      <c r="J740" s="1033"/>
      <c r="K740" s="1033"/>
      <c r="L740" s="90"/>
      <c r="M740" s="51" t="s">
        <v>265</v>
      </c>
      <c r="N740" s="113">
        <f t="shared" si="333"/>
        <v>7501</v>
      </c>
      <c r="O740" s="8">
        <v>0</v>
      </c>
      <c r="P740" s="9">
        <v>0</v>
      </c>
      <c r="Q740" s="325">
        <v>0</v>
      </c>
      <c r="R740" s="324">
        <v>825597.18</v>
      </c>
      <c r="S740" s="27">
        <f t="shared" si="356"/>
        <v>0</v>
      </c>
      <c r="T740" s="28">
        <f t="shared" si="357"/>
        <v>825597.18</v>
      </c>
      <c r="U740" s="51"/>
      <c r="V740" s="541">
        <f>+'NF-KSF-TRIAL-BAL-2020'!O740+'RA-TRIAL-BAL-2020'!O740+'DES-TRIAL-BAL-2020'!O740+'DMP-TRIAL-BAL-2020'!O740</f>
        <v>0</v>
      </c>
      <c r="W740" s="529">
        <f>+'NF-KSF-TRIAL-BAL-2020'!P740+'RA-TRIAL-BAL-2020'!P740+'DES-TRIAL-BAL-2020'!P740+'DMP-TRIAL-BAL-2020'!P740</f>
        <v>0</v>
      </c>
      <c r="X740" s="528">
        <f>+'NF-KSF-TRIAL-BAL-2020'!Q740+'RA-TRIAL-BAL-2020'!Q740+'DES-TRIAL-BAL-2020'!Q740+'DMP-TRIAL-BAL-2020'!Q740</f>
        <v>0</v>
      </c>
      <c r="Y740" s="529">
        <f>+'NF-KSF-TRIAL-BAL-2020'!R740+'RA-TRIAL-BAL-2020'!R740+'DES-TRIAL-BAL-2020'!R740+'DMP-TRIAL-BAL-2020'!R740</f>
        <v>0</v>
      </c>
      <c r="Z740" s="528">
        <f>+'NF-KSF-TRIAL-BAL-2020'!S740+'RA-TRIAL-BAL-2020'!S740+'DES-TRIAL-BAL-2020'!S740+'DMP-TRIAL-BAL-2020'!S740</f>
        <v>0</v>
      </c>
      <c r="AA740" s="347">
        <f>+'NF-KSF-TRIAL-BAL-2020'!T740+'RA-TRIAL-BAL-2020'!T740+'DES-TRIAL-BAL-2020'!T740+'DMP-TRIAL-BAL-2020'!T740</f>
        <v>0</v>
      </c>
      <c r="AB740" s="51"/>
      <c r="AC740" s="8">
        <v>0</v>
      </c>
      <c r="AD740" s="9">
        <v>0</v>
      </c>
      <c r="AE740" s="325">
        <v>0</v>
      </c>
      <c r="AF740" s="121">
        <v>0</v>
      </c>
      <c r="AG740" s="27">
        <f t="shared" si="358"/>
        <v>0</v>
      </c>
      <c r="AH740" s="28">
        <f t="shared" si="359"/>
        <v>0</v>
      </c>
      <c r="AI740" s="51"/>
      <c r="AJ740" s="1497">
        <f t="shared" si="351"/>
        <v>7501</v>
      </c>
      <c r="AK740" s="8">
        <v>0</v>
      </c>
      <c r="AL740" s="9">
        <v>0</v>
      </c>
      <c r="AM740" s="326">
        <f t="shared" si="341"/>
        <v>0</v>
      </c>
      <c r="AN740" s="970">
        <f t="shared" si="341"/>
        <v>825597.18</v>
      </c>
      <c r="AO740" s="27">
        <f t="shared" si="360"/>
        <v>0</v>
      </c>
      <c r="AP740" s="28">
        <f t="shared" si="361"/>
        <v>825597.18</v>
      </c>
      <c r="AQ740" s="43"/>
      <c r="AR740" s="358">
        <f t="shared" si="330"/>
        <v>0</v>
      </c>
      <c r="AS740" s="359">
        <f t="shared" si="331"/>
        <v>0</v>
      </c>
      <c r="AT740" s="360">
        <f t="shared" si="332"/>
        <v>0</v>
      </c>
      <c r="AU740" s="43"/>
      <c r="AV740" s="43"/>
      <c r="AW740" s="119"/>
      <c r="AX740" s="119"/>
      <c r="AY740" s="43"/>
      <c r="AZ740" s="43"/>
      <c r="BA740" s="43"/>
      <c r="BB740" s="43"/>
      <c r="BC740" s="43"/>
      <c r="BD740" s="43"/>
    </row>
    <row r="741" spans="1:56" ht="15.75">
      <c r="A741" s="88">
        <v>7502</v>
      </c>
      <c r="B741" s="378" t="s">
        <v>50</v>
      </c>
      <c r="C741" s="1033"/>
      <c r="D741" s="1033"/>
      <c r="E741" s="1033"/>
      <c r="F741" s="1033"/>
      <c r="G741" s="1033"/>
      <c r="H741" s="1033"/>
      <c r="I741" s="1033"/>
      <c r="J741" s="1033"/>
      <c r="K741" s="1033"/>
      <c r="L741" s="90"/>
      <c r="M741" s="51" t="s">
        <v>265</v>
      </c>
      <c r="N741" s="113">
        <f t="shared" si="333"/>
        <v>7502</v>
      </c>
      <c r="O741" s="8">
        <v>0</v>
      </c>
      <c r="P741" s="9">
        <v>0</v>
      </c>
      <c r="Q741" s="325"/>
      <c r="R741" s="324"/>
      <c r="S741" s="27">
        <f t="shared" si="356"/>
        <v>0</v>
      </c>
      <c r="T741" s="28">
        <f t="shared" si="357"/>
        <v>0</v>
      </c>
      <c r="U741" s="51"/>
      <c r="V741" s="541">
        <f>+'NF-KSF-TRIAL-BAL-2020'!O741+'RA-TRIAL-BAL-2020'!O741+'DES-TRIAL-BAL-2020'!O741+'DMP-TRIAL-BAL-2020'!O741</f>
        <v>0</v>
      </c>
      <c r="W741" s="529">
        <f>+'NF-KSF-TRIAL-BAL-2020'!P741+'RA-TRIAL-BAL-2020'!P741+'DES-TRIAL-BAL-2020'!P741+'DMP-TRIAL-BAL-2020'!P741</f>
        <v>0</v>
      </c>
      <c r="X741" s="528">
        <f>+'NF-KSF-TRIAL-BAL-2020'!Q741+'RA-TRIAL-BAL-2020'!Q741+'DES-TRIAL-BAL-2020'!Q741+'DMP-TRIAL-BAL-2020'!Q741</f>
        <v>0</v>
      </c>
      <c r="Y741" s="529">
        <f>+'NF-KSF-TRIAL-BAL-2020'!R741+'RA-TRIAL-BAL-2020'!R741+'DES-TRIAL-BAL-2020'!R741+'DMP-TRIAL-BAL-2020'!R741</f>
        <v>0</v>
      </c>
      <c r="Z741" s="528">
        <f>+'NF-KSF-TRIAL-BAL-2020'!S741+'RA-TRIAL-BAL-2020'!S741+'DES-TRIAL-BAL-2020'!S741+'DMP-TRIAL-BAL-2020'!S741</f>
        <v>0</v>
      </c>
      <c r="AA741" s="347">
        <f>+'NF-KSF-TRIAL-BAL-2020'!T741+'RA-TRIAL-BAL-2020'!T741+'DES-TRIAL-BAL-2020'!T741+'DMP-TRIAL-BAL-2020'!T741</f>
        <v>0</v>
      </c>
      <c r="AB741" s="51"/>
      <c r="AC741" s="8">
        <v>0</v>
      </c>
      <c r="AD741" s="9">
        <v>0</v>
      </c>
      <c r="AE741" s="122"/>
      <c r="AF741" s="324"/>
      <c r="AG741" s="27">
        <f t="shared" si="358"/>
        <v>0</v>
      </c>
      <c r="AH741" s="28">
        <f t="shared" si="359"/>
        <v>0</v>
      </c>
      <c r="AI741" s="51"/>
      <c r="AJ741" s="1497">
        <f t="shared" si="351"/>
        <v>7502</v>
      </c>
      <c r="AK741" s="8">
        <v>0</v>
      </c>
      <c r="AL741" s="9">
        <v>0</v>
      </c>
      <c r="AM741" s="326">
        <f t="shared" si="341"/>
        <v>0</v>
      </c>
      <c r="AN741" s="970">
        <f t="shared" si="341"/>
        <v>0</v>
      </c>
      <c r="AO741" s="27">
        <f t="shared" si="360"/>
        <v>0</v>
      </c>
      <c r="AP741" s="28">
        <f t="shared" si="361"/>
        <v>0</v>
      </c>
      <c r="AQ741" s="43"/>
      <c r="AR741" s="358">
        <f t="shared" si="330"/>
        <v>0</v>
      </c>
      <c r="AS741" s="359">
        <f t="shared" si="331"/>
        <v>0</v>
      </c>
      <c r="AT741" s="360">
        <f t="shared" si="332"/>
        <v>0</v>
      </c>
      <c r="AU741" s="43"/>
      <c r="AV741" s="43"/>
      <c r="AW741" s="119"/>
      <c r="AX741" s="119"/>
      <c r="AY741" s="43"/>
      <c r="AZ741" s="43"/>
      <c r="BA741" s="43"/>
      <c r="BB741" s="43"/>
      <c r="BC741" s="43"/>
      <c r="BD741" s="43"/>
    </row>
    <row r="742" spans="1:56" ht="15.75">
      <c r="A742" s="88">
        <v>7511</v>
      </c>
      <c r="B742" s="1033" t="s">
        <v>302</v>
      </c>
      <c r="C742" s="1033"/>
      <c r="D742" s="1033"/>
      <c r="E742" s="1033"/>
      <c r="F742" s="1033"/>
      <c r="G742" s="1033"/>
      <c r="H742" s="1033"/>
      <c r="I742" s="1033"/>
      <c r="J742" s="1033"/>
      <c r="K742" s="1033"/>
      <c r="L742" s="90"/>
      <c r="M742" s="51" t="s">
        <v>265</v>
      </c>
      <c r="N742" s="113">
        <f t="shared" si="333"/>
        <v>7511</v>
      </c>
      <c r="O742" s="8">
        <v>0</v>
      </c>
      <c r="P742" s="9">
        <v>0</v>
      </c>
      <c r="Q742" s="325">
        <v>0</v>
      </c>
      <c r="R742" s="324">
        <v>0</v>
      </c>
      <c r="S742" s="27">
        <f t="shared" si="356"/>
        <v>0</v>
      </c>
      <c r="T742" s="28">
        <f t="shared" si="357"/>
        <v>0</v>
      </c>
      <c r="U742" s="51"/>
      <c r="V742" s="541">
        <f>+'NF-KSF-TRIAL-BAL-2020'!O742+'RA-TRIAL-BAL-2020'!O742+'DES-TRIAL-BAL-2020'!O742+'DMP-TRIAL-BAL-2020'!O742</f>
        <v>0</v>
      </c>
      <c r="W742" s="529">
        <f>+'NF-KSF-TRIAL-BAL-2020'!P742+'RA-TRIAL-BAL-2020'!P742+'DES-TRIAL-BAL-2020'!P742+'DMP-TRIAL-BAL-2020'!P742</f>
        <v>0</v>
      </c>
      <c r="X742" s="528">
        <f>+'NF-KSF-TRIAL-BAL-2020'!Q742+'RA-TRIAL-BAL-2020'!Q742+'DES-TRIAL-BAL-2020'!Q742+'DMP-TRIAL-BAL-2020'!Q742</f>
        <v>0</v>
      </c>
      <c r="Y742" s="529">
        <f>+'NF-KSF-TRIAL-BAL-2020'!R742+'RA-TRIAL-BAL-2020'!R742+'DES-TRIAL-BAL-2020'!R742+'DMP-TRIAL-BAL-2020'!R742</f>
        <v>0</v>
      </c>
      <c r="Z742" s="528">
        <f>+'NF-KSF-TRIAL-BAL-2020'!S742+'RA-TRIAL-BAL-2020'!S742+'DES-TRIAL-BAL-2020'!S742+'DMP-TRIAL-BAL-2020'!S742</f>
        <v>0</v>
      </c>
      <c r="AA742" s="347">
        <f>+'NF-KSF-TRIAL-BAL-2020'!T742+'RA-TRIAL-BAL-2020'!T742+'DES-TRIAL-BAL-2020'!T742+'DMP-TRIAL-BAL-2020'!T742</f>
        <v>0</v>
      </c>
      <c r="AB742" s="51"/>
      <c r="AC742" s="8">
        <v>0</v>
      </c>
      <c r="AD742" s="9">
        <v>0</v>
      </c>
      <c r="AE742" s="122">
        <v>0</v>
      </c>
      <c r="AF742" s="121">
        <v>0</v>
      </c>
      <c r="AG742" s="27">
        <f t="shared" si="358"/>
        <v>0</v>
      </c>
      <c r="AH742" s="28">
        <f t="shared" si="359"/>
        <v>0</v>
      </c>
      <c r="AI742" s="51"/>
      <c r="AJ742" s="1497">
        <f t="shared" si="351"/>
        <v>7511</v>
      </c>
      <c r="AK742" s="8">
        <v>0</v>
      </c>
      <c r="AL742" s="9">
        <v>0</v>
      </c>
      <c r="AM742" s="326">
        <f t="shared" si="341"/>
        <v>0</v>
      </c>
      <c r="AN742" s="970">
        <f t="shared" si="341"/>
        <v>0</v>
      </c>
      <c r="AO742" s="27">
        <f t="shared" si="360"/>
        <v>0</v>
      </c>
      <c r="AP742" s="28">
        <f t="shared" si="361"/>
        <v>0</v>
      </c>
      <c r="AQ742" s="43"/>
      <c r="AR742" s="358">
        <f t="shared" si="330"/>
        <v>0</v>
      </c>
      <c r="AS742" s="359">
        <f t="shared" si="331"/>
        <v>0</v>
      </c>
      <c r="AT742" s="360">
        <f t="shared" si="332"/>
        <v>0</v>
      </c>
      <c r="AU742" s="43"/>
      <c r="AV742" s="43"/>
      <c r="AW742" s="119"/>
      <c r="AX742" s="119"/>
      <c r="AY742" s="43"/>
      <c r="AZ742" s="43"/>
      <c r="BA742" s="43"/>
      <c r="BB742" s="43"/>
      <c r="BC742" s="43"/>
      <c r="BD742" s="43"/>
    </row>
    <row r="743" spans="1:56" ht="15.75">
      <c r="A743" s="88">
        <v>7519</v>
      </c>
      <c r="B743" s="1033" t="s">
        <v>51</v>
      </c>
      <c r="C743" s="1033"/>
      <c r="D743" s="1033"/>
      <c r="E743" s="1033"/>
      <c r="F743" s="1033"/>
      <c r="G743" s="1033"/>
      <c r="H743" s="1033"/>
      <c r="I743" s="1033"/>
      <c r="J743" s="1033"/>
      <c r="K743" s="1033"/>
      <c r="L743" s="90"/>
      <c r="M743" s="51" t="s">
        <v>265</v>
      </c>
      <c r="N743" s="113">
        <f t="shared" si="333"/>
        <v>7519</v>
      </c>
      <c r="O743" s="8">
        <v>0</v>
      </c>
      <c r="P743" s="9">
        <v>0</v>
      </c>
      <c r="Q743" s="325"/>
      <c r="R743" s="324"/>
      <c r="S743" s="27">
        <f t="shared" si="356"/>
        <v>0</v>
      </c>
      <c r="T743" s="28">
        <f t="shared" si="357"/>
        <v>0</v>
      </c>
      <c r="U743" s="51"/>
      <c r="V743" s="541">
        <f>+'NF-KSF-TRIAL-BAL-2020'!O743+'RA-TRIAL-BAL-2020'!O743+'DES-TRIAL-BAL-2020'!O743+'DMP-TRIAL-BAL-2020'!O743</f>
        <v>0</v>
      </c>
      <c r="W743" s="529">
        <f>+'NF-KSF-TRIAL-BAL-2020'!P743+'RA-TRIAL-BAL-2020'!P743+'DES-TRIAL-BAL-2020'!P743+'DMP-TRIAL-BAL-2020'!P743</f>
        <v>0</v>
      </c>
      <c r="X743" s="528">
        <f>+'NF-KSF-TRIAL-BAL-2020'!Q743+'RA-TRIAL-BAL-2020'!Q743+'DES-TRIAL-BAL-2020'!Q743+'DMP-TRIAL-BAL-2020'!Q743</f>
        <v>0</v>
      </c>
      <c r="Y743" s="529">
        <f>+'NF-KSF-TRIAL-BAL-2020'!R743+'RA-TRIAL-BAL-2020'!R743+'DES-TRIAL-BAL-2020'!R743+'DMP-TRIAL-BAL-2020'!R743</f>
        <v>0</v>
      </c>
      <c r="Z743" s="528">
        <f>+'NF-KSF-TRIAL-BAL-2020'!S743+'RA-TRIAL-BAL-2020'!S743+'DES-TRIAL-BAL-2020'!S743+'DMP-TRIAL-BAL-2020'!S743</f>
        <v>0</v>
      </c>
      <c r="AA743" s="347">
        <f>+'NF-KSF-TRIAL-BAL-2020'!T743+'RA-TRIAL-BAL-2020'!T743+'DES-TRIAL-BAL-2020'!T743+'DMP-TRIAL-BAL-2020'!T743</f>
        <v>0</v>
      </c>
      <c r="AB743" s="51"/>
      <c r="AC743" s="8">
        <v>0</v>
      </c>
      <c r="AD743" s="9">
        <v>0</v>
      </c>
      <c r="AE743" s="122"/>
      <c r="AF743" s="121"/>
      <c r="AG743" s="27">
        <f t="shared" si="358"/>
        <v>0</v>
      </c>
      <c r="AH743" s="28">
        <f t="shared" si="359"/>
        <v>0</v>
      </c>
      <c r="AI743" s="51"/>
      <c r="AJ743" s="1497">
        <f t="shared" si="351"/>
        <v>7519</v>
      </c>
      <c r="AK743" s="8">
        <v>0</v>
      </c>
      <c r="AL743" s="9">
        <v>0</v>
      </c>
      <c r="AM743" s="326">
        <f t="shared" si="341"/>
        <v>0</v>
      </c>
      <c r="AN743" s="970">
        <f t="shared" si="341"/>
        <v>0</v>
      </c>
      <c r="AO743" s="27">
        <f t="shared" si="360"/>
        <v>0</v>
      </c>
      <c r="AP743" s="28">
        <f t="shared" si="361"/>
        <v>0</v>
      </c>
      <c r="AQ743" s="43"/>
      <c r="AR743" s="358">
        <f t="shared" si="330"/>
        <v>0</v>
      </c>
      <c r="AS743" s="359">
        <f t="shared" si="331"/>
        <v>0</v>
      </c>
      <c r="AT743" s="360">
        <f t="shared" si="332"/>
        <v>0</v>
      </c>
      <c r="AU743" s="43"/>
      <c r="AV743" s="43"/>
      <c r="AW743" s="119"/>
      <c r="AX743" s="119"/>
      <c r="AY743" s="43"/>
      <c r="AZ743" s="43"/>
      <c r="BA743" s="43"/>
      <c r="BB743" s="43"/>
      <c r="BC743" s="43"/>
      <c r="BD743" s="43"/>
    </row>
    <row r="744" spans="1:56" ht="15.75">
      <c r="A744" s="88">
        <v>7522</v>
      </c>
      <c r="B744" s="1033" t="s">
        <v>52</v>
      </c>
      <c r="C744" s="1033"/>
      <c r="D744" s="1033"/>
      <c r="E744" s="1033"/>
      <c r="F744" s="1033"/>
      <c r="G744" s="1033"/>
      <c r="H744" s="1033"/>
      <c r="I744" s="1033"/>
      <c r="J744" s="1033"/>
      <c r="K744" s="1033"/>
      <c r="L744" s="90"/>
      <c r="M744" s="51" t="s">
        <v>265</v>
      </c>
      <c r="N744" s="113">
        <f t="shared" si="333"/>
        <v>7522</v>
      </c>
      <c r="O744" s="8">
        <v>0</v>
      </c>
      <c r="P744" s="9">
        <v>0</v>
      </c>
      <c r="Q744" s="325">
        <v>0</v>
      </c>
      <c r="R744" s="324">
        <v>235887</v>
      </c>
      <c r="S744" s="27">
        <f t="shared" si="356"/>
        <v>0</v>
      </c>
      <c r="T744" s="28">
        <f t="shared" si="357"/>
        <v>235887</v>
      </c>
      <c r="U744" s="51"/>
      <c r="V744" s="541">
        <f>+'NF-KSF-TRIAL-BAL-2020'!O744+'RA-TRIAL-BAL-2020'!O744+'DES-TRIAL-BAL-2020'!O744+'DMP-TRIAL-BAL-2020'!O744</f>
        <v>0</v>
      </c>
      <c r="W744" s="529">
        <f>+'NF-KSF-TRIAL-BAL-2020'!P744+'RA-TRIAL-BAL-2020'!P744+'DES-TRIAL-BAL-2020'!P744+'DMP-TRIAL-BAL-2020'!P744</f>
        <v>0</v>
      </c>
      <c r="X744" s="528">
        <f>+'NF-KSF-TRIAL-BAL-2020'!Q744+'RA-TRIAL-BAL-2020'!Q744+'DES-TRIAL-BAL-2020'!Q744+'DMP-TRIAL-BAL-2020'!Q744</f>
        <v>0</v>
      </c>
      <c r="Y744" s="529">
        <f>+'NF-KSF-TRIAL-BAL-2020'!R744+'RA-TRIAL-BAL-2020'!R744+'DES-TRIAL-BAL-2020'!R744+'DMP-TRIAL-BAL-2020'!R744</f>
        <v>0</v>
      </c>
      <c r="Z744" s="528">
        <f>+'NF-KSF-TRIAL-BAL-2020'!S744+'RA-TRIAL-BAL-2020'!S744+'DES-TRIAL-BAL-2020'!S744+'DMP-TRIAL-BAL-2020'!S744</f>
        <v>0</v>
      </c>
      <c r="AA744" s="347">
        <f>+'NF-KSF-TRIAL-BAL-2020'!T744+'RA-TRIAL-BAL-2020'!T744+'DES-TRIAL-BAL-2020'!T744+'DMP-TRIAL-BAL-2020'!T744</f>
        <v>0</v>
      </c>
      <c r="AB744" s="51"/>
      <c r="AC744" s="8">
        <v>0</v>
      </c>
      <c r="AD744" s="9">
        <v>0</v>
      </c>
      <c r="AE744" s="325">
        <v>0</v>
      </c>
      <c r="AF744" s="324">
        <v>0</v>
      </c>
      <c r="AG744" s="27">
        <f t="shared" si="358"/>
        <v>0</v>
      </c>
      <c r="AH744" s="28">
        <f t="shared" si="359"/>
        <v>0</v>
      </c>
      <c r="AI744" s="51"/>
      <c r="AJ744" s="1497">
        <f t="shared" si="351"/>
        <v>7522</v>
      </c>
      <c r="AK744" s="8">
        <v>0</v>
      </c>
      <c r="AL744" s="9">
        <v>0</v>
      </c>
      <c r="AM744" s="326">
        <f t="shared" si="341"/>
        <v>0</v>
      </c>
      <c r="AN744" s="970">
        <f t="shared" si="341"/>
        <v>235887</v>
      </c>
      <c r="AO744" s="27">
        <f t="shared" si="360"/>
        <v>0</v>
      </c>
      <c r="AP744" s="28">
        <f t="shared" si="361"/>
        <v>235887</v>
      </c>
      <c r="AQ744" s="43"/>
      <c r="AR744" s="358">
        <f t="shared" si="330"/>
        <v>0</v>
      </c>
      <c r="AS744" s="359">
        <f t="shared" si="331"/>
        <v>0</v>
      </c>
      <c r="AT744" s="360">
        <f t="shared" si="332"/>
        <v>0</v>
      </c>
      <c r="AU744" s="43"/>
      <c r="AV744" s="43"/>
      <c r="AW744" s="119"/>
      <c r="AX744" s="119"/>
      <c r="AY744" s="43"/>
      <c r="AZ744" s="43"/>
      <c r="BA744" s="43"/>
      <c r="BB744" s="43"/>
      <c r="BC744" s="43"/>
      <c r="BD744" s="43"/>
    </row>
    <row r="745" spans="1:56" ht="15.75">
      <c r="A745" s="88">
        <v>7524</v>
      </c>
      <c r="B745" s="1033" t="s">
        <v>53</v>
      </c>
      <c r="C745" s="1033"/>
      <c r="D745" s="1033"/>
      <c r="E745" s="1033"/>
      <c r="F745" s="1033"/>
      <c r="G745" s="1033"/>
      <c r="H745" s="1033"/>
      <c r="I745" s="1033"/>
      <c r="J745" s="1033"/>
      <c r="K745" s="1033"/>
      <c r="L745" s="90"/>
      <c r="M745" s="51" t="s">
        <v>265</v>
      </c>
      <c r="N745" s="113">
        <f t="shared" si="333"/>
        <v>7524</v>
      </c>
      <c r="O745" s="8">
        <v>0</v>
      </c>
      <c r="P745" s="9">
        <v>0</v>
      </c>
      <c r="Q745" s="325"/>
      <c r="R745" s="324"/>
      <c r="S745" s="27">
        <f t="shared" si="356"/>
        <v>0</v>
      </c>
      <c r="T745" s="28">
        <f t="shared" si="357"/>
        <v>0</v>
      </c>
      <c r="U745" s="51"/>
      <c r="V745" s="541">
        <f>+'NF-KSF-TRIAL-BAL-2020'!O745+'RA-TRIAL-BAL-2020'!O745+'DES-TRIAL-BAL-2020'!O745+'DMP-TRIAL-BAL-2020'!O745</f>
        <v>0</v>
      </c>
      <c r="W745" s="529">
        <f>+'NF-KSF-TRIAL-BAL-2020'!P745+'RA-TRIAL-BAL-2020'!P745+'DES-TRIAL-BAL-2020'!P745+'DMP-TRIAL-BAL-2020'!P745</f>
        <v>0</v>
      </c>
      <c r="X745" s="528">
        <f>+'NF-KSF-TRIAL-BAL-2020'!Q745+'RA-TRIAL-BAL-2020'!Q745+'DES-TRIAL-BAL-2020'!Q745+'DMP-TRIAL-BAL-2020'!Q745</f>
        <v>0</v>
      </c>
      <c r="Y745" s="529">
        <f>+'NF-KSF-TRIAL-BAL-2020'!R745+'RA-TRIAL-BAL-2020'!R745+'DES-TRIAL-BAL-2020'!R745+'DMP-TRIAL-BAL-2020'!R745</f>
        <v>0</v>
      </c>
      <c r="Z745" s="528">
        <f>+'NF-KSF-TRIAL-BAL-2020'!S745+'RA-TRIAL-BAL-2020'!S745+'DES-TRIAL-BAL-2020'!S745+'DMP-TRIAL-BAL-2020'!S745</f>
        <v>0</v>
      </c>
      <c r="AA745" s="347">
        <f>+'NF-KSF-TRIAL-BAL-2020'!T745+'RA-TRIAL-BAL-2020'!T745+'DES-TRIAL-BAL-2020'!T745+'DMP-TRIAL-BAL-2020'!T745</f>
        <v>0</v>
      </c>
      <c r="AB745" s="51"/>
      <c r="AC745" s="8">
        <v>0</v>
      </c>
      <c r="AD745" s="9">
        <v>0</v>
      </c>
      <c r="AE745" s="122"/>
      <c r="AF745" s="121"/>
      <c r="AG745" s="27">
        <f t="shared" si="358"/>
        <v>0</v>
      </c>
      <c r="AH745" s="28">
        <f t="shared" si="359"/>
        <v>0</v>
      </c>
      <c r="AI745" s="51"/>
      <c r="AJ745" s="1497">
        <f t="shared" si="351"/>
        <v>7524</v>
      </c>
      <c r="AK745" s="8">
        <v>0</v>
      </c>
      <c r="AL745" s="9">
        <v>0</v>
      </c>
      <c r="AM745" s="326">
        <f t="shared" si="341"/>
        <v>0</v>
      </c>
      <c r="AN745" s="970">
        <f t="shared" si="341"/>
        <v>0</v>
      </c>
      <c r="AO745" s="27">
        <f t="shared" si="360"/>
        <v>0</v>
      </c>
      <c r="AP745" s="28">
        <f t="shared" si="361"/>
        <v>0</v>
      </c>
      <c r="AQ745" s="43"/>
      <c r="AR745" s="358">
        <f t="shared" si="330"/>
        <v>0</v>
      </c>
      <c r="AS745" s="359">
        <f t="shared" si="331"/>
        <v>0</v>
      </c>
      <c r="AT745" s="360">
        <f t="shared" si="332"/>
        <v>0</v>
      </c>
      <c r="AU745" s="43"/>
      <c r="AV745" s="43"/>
      <c r="AW745" s="119"/>
      <c r="AX745" s="119"/>
      <c r="AY745" s="43"/>
      <c r="AZ745" s="43"/>
      <c r="BA745" s="43"/>
      <c r="BB745" s="43"/>
      <c r="BC745" s="43"/>
      <c r="BD745" s="43"/>
    </row>
    <row r="746" spans="1:56" ht="15.75">
      <c r="A746" s="88">
        <v>7525</v>
      </c>
      <c r="B746" s="1033" t="s">
        <v>54</v>
      </c>
      <c r="C746" s="1033"/>
      <c r="D746" s="1033"/>
      <c r="E746" s="1033"/>
      <c r="F746" s="1033"/>
      <c r="G746" s="1033"/>
      <c r="H746" s="1033"/>
      <c r="I746" s="1033"/>
      <c r="J746" s="1033"/>
      <c r="K746" s="1033"/>
      <c r="L746" s="90"/>
      <c r="M746" s="51" t="s">
        <v>265</v>
      </c>
      <c r="N746" s="113">
        <f>+A746</f>
        <v>7525</v>
      </c>
      <c r="O746" s="8">
        <v>0</v>
      </c>
      <c r="P746" s="9">
        <v>0</v>
      </c>
      <c r="Q746" s="325"/>
      <c r="R746" s="324"/>
      <c r="S746" s="27">
        <f>+IF(ABS(+O746+Q746)&gt;=ABS(P746+R746),+O746-P746+Q746-R746,0)</f>
        <v>0</v>
      </c>
      <c r="T746" s="28">
        <f>+IF(ABS(+O746+Q746)&lt;=ABS(P746+R746),-O746+P746-Q746+R746,0)</f>
        <v>0</v>
      </c>
      <c r="U746" s="51"/>
      <c r="V746" s="541">
        <f>+'NF-KSF-TRIAL-BAL-2020'!O746+'RA-TRIAL-BAL-2020'!O746+'DES-TRIAL-BAL-2020'!O746+'DMP-TRIAL-BAL-2020'!O746</f>
        <v>0</v>
      </c>
      <c r="W746" s="529">
        <f>+'NF-KSF-TRIAL-BAL-2020'!P746+'RA-TRIAL-BAL-2020'!P746+'DES-TRIAL-BAL-2020'!P746+'DMP-TRIAL-BAL-2020'!P746</f>
        <v>0</v>
      </c>
      <c r="X746" s="528">
        <f>+'NF-KSF-TRIAL-BAL-2020'!Q746+'RA-TRIAL-BAL-2020'!Q746+'DES-TRIAL-BAL-2020'!Q746+'DMP-TRIAL-BAL-2020'!Q746</f>
        <v>0</v>
      </c>
      <c r="Y746" s="529">
        <f>+'NF-KSF-TRIAL-BAL-2020'!R746+'RA-TRIAL-BAL-2020'!R746+'DES-TRIAL-BAL-2020'!R746+'DMP-TRIAL-BAL-2020'!R746</f>
        <v>0</v>
      </c>
      <c r="Z746" s="528">
        <f>+'NF-KSF-TRIAL-BAL-2020'!S746+'RA-TRIAL-BAL-2020'!S746+'DES-TRIAL-BAL-2020'!S746+'DMP-TRIAL-BAL-2020'!S746</f>
        <v>0</v>
      </c>
      <c r="AA746" s="347">
        <f>+'NF-KSF-TRIAL-BAL-2020'!T746+'RA-TRIAL-BAL-2020'!T746+'DES-TRIAL-BAL-2020'!T746+'DMP-TRIAL-BAL-2020'!T746</f>
        <v>0</v>
      </c>
      <c r="AB746" s="51"/>
      <c r="AC746" s="8">
        <v>0</v>
      </c>
      <c r="AD746" s="9">
        <v>0</v>
      </c>
      <c r="AE746" s="122"/>
      <c r="AF746" s="121"/>
      <c r="AG746" s="27">
        <f>+IF(ABS(+AC746+AE746)&gt;=ABS(AD746+AF746),+AC746-AD746+AE746-AF746,0)</f>
        <v>0</v>
      </c>
      <c r="AH746" s="28">
        <f>+IF(ABS(+AC746+AE746)&lt;=ABS(AD746+AF746),-AC746+AD746-AE746+AF746,0)</f>
        <v>0</v>
      </c>
      <c r="AI746" s="51"/>
      <c r="AJ746" s="1497">
        <f>+N746</f>
        <v>7525</v>
      </c>
      <c r="AK746" s="8">
        <v>0</v>
      </c>
      <c r="AL746" s="9">
        <v>0</v>
      </c>
      <c r="AM746" s="326">
        <f>+ROUND(+Q746+X746+AE746,2)</f>
        <v>0</v>
      </c>
      <c r="AN746" s="970">
        <f>+ROUND(+R746+Y746+AF746,2)</f>
        <v>0</v>
      </c>
      <c r="AO746" s="27">
        <f t="shared" si="360"/>
        <v>0</v>
      </c>
      <c r="AP746" s="28">
        <f t="shared" si="361"/>
        <v>0</v>
      </c>
      <c r="AQ746" s="43"/>
      <c r="AR746" s="358">
        <f>+ROUND(+SUM(AK746-AL746)-SUM(O746-P746)-SUM(V746-W746)-SUM(AC746-AD746),2)</f>
        <v>0</v>
      </c>
      <c r="AS746" s="359">
        <f>+ROUND(+SUM(AM746-AN746)-SUM(Q746-R746)-SUM(X746-Y746)-SUM(AE746-AF746),2)</f>
        <v>0</v>
      </c>
      <c r="AT746" s="360">
        <f>+ROUND(+SUM(AO746-AP746)-SUM(S746-T746)-SUM(Z746-AA746)-SUM(AG746-AH746),2)</f>
        <v>0</v>
      </c>
      <c r="AU746" s="43"/>
      <c r="AV746" s="43"/>
      <c r="AW746" s="119"/>
      <c r="AX746" s="119"/>
      <c r="AY746" s="43"/>
      <c r="AZ746" s="43"/>
      <c r="BA746" s="43"/>
      <c r="BB746" s="43"/>
      <c r="BC746" s="43"/>
      <c r="BD746" s="43"/>
    </row>
    <row r="747" spans="1:56" ht="15.75">
      <c r="A747" s="88">
        <v>7532</v>
      </c>
      <c r="B747" s="1033" t="s">
        <v>55</v>
      </c>
      <c r="C747" s="1033"/>
      <c r="D747" s="1033"/>
      <c r="E747" s="1033"/>
      <c r="F747" s="1033"/>
      <c r="G747" s="1033"/>
      <c r="H747" s="1033"/>
      <c r="I747" s="1033"/>
      <c r="J747" s="1033"/>
      <c r="K747" s="1033"/>
      <c r="L747" s="90"/>
      <c r="M747" s="51" t="s">
        <v>265</v>
      </c>
      <c r="N747" s="113">
        <f>+A747</f>
        <v>7532</v>
      </c>
      <c r="O747" s="8">
        <v>0</v>
      </c>
      <c r="P747" s="9">
        <v>0</v>
      </c>
      <c r="Q747" s="325"/>
      <c r="R747" s="324"/>
      <c r="S747" s="27">
        <f>+IF(ABS(+O747+Q747)&gt;=ABS(P747+R747),+O747-P747+Q747-R747,0)</f>
        <v>0</v>
      </c>
      <c r="T747" s="28">
        <f>+IF(ABS(+O747+Q747)&lt;=ABS(P747+R747),-O747+P747-Q747+R747,0)</f>
        <v>0</v>
      </c>
      <c r="U747" s="51"/>
      <c r="V747" s="541">
        <f>+'NF-KSF-TRIAL-BAL-2020'!O747+'RA-TRIAL-BAL-2020'!O747+'DES-TRIAL-BAL-2020'!O747+'DMP-TRIAL-BAL-2020'!O747</f>
        <v>0</v>
      </c>
      <c r="W747" s="529">
        <f>+'NF-KSF-TRIAL-BAL-2020'!P747+'RA-TRIAL-BAL-2020'!P747+'DES-TRIAL-BAL-2020'!P747+'DMP-TRIAL-BAL-2020'!P747</f>
        <v>0</v>
      </c>
      <c r="X747" s="528">
        <f>+'NF-KSF-TRIAL-BAL-2020'!Q747+'RA-TRIAL-BAL-2020'!Q747+'DES-TRIAL-BAL-2020'!Q747+'DMP-TRIAL-BAL-2020'!Q747</f>
        <v>0</v>
      </c>
      <c r="Y747" s="529">
        <f>+'NF-KSF-TRIAL-BAL-2020'!R747+'RA-TRIAL-BAL-2020'!R747+'DES-TRIAL-BAL-2020'!R747+'DMP-TRIAL-BAL-2020'!R747</f>
        <v>0</v>
      </c>
      <c r="Z747" s="528">
        <f>+'NF-KSF-TRIAL-BAL-2020'!S747+'RA-TRIAL-BAL-2020'!S747+'DES-TRIAL-BAL-2020'!S747+'DMP-TRIAL-BAL-2020'!S747</f>
        <v>0</v>
      </c>
      <c r="AA747" s="347">
        <f>+'NF-KSF-TRIAL-BAL-2020'!T747+'RA-TRIAL-BAL-2020'!T747+'DES-TRIAL-BAL-2020'!T747+'DMP-TRIAL-BAL-2020'!T747</f>
        <v>0</v>
      </c>
      <c r="AB747" s="51"/>
      <c r="AC747" s="8">
        <v>0</v>
      </c>
      <c r="AD747" s="9">
        <v>0</v>
      </c>
      <c r="AE747" s="325"/>
      <c r="AF747" s="324"/>
      <c r="AG747" s="27">
        <f>+IF(ABS(+AC747+AE747)&gt;=ABS(AD747+AF747),+AC747-AD747+AE747-AF747,0)</f>
        <v>0</v>
      </c>
      <c r="AH747" s="28">
        <f>+IF(ABS(+AC747+AE747)&lt;=ABS(AD747+AF747),-AC747+AD747-AE747+AF747,0)</f>
        <v>0</v>
      </c>
      <c r="AI747" s="51"/>
      <c r="AJ747" s="1497">
        <f>+N747</f>
        <v>7532</v>
      </c>
      <c r="AK747" s="8">
        <v>0</v>
      </c>
      <c r="AL747" s="9">
        <v>0</v>
      </c>
      <c r="AM747" s="326">
        <f t="shared" ref="AM747:AN749" si="362">+ROUND(+Q747+X747+AE747,2)</f>
        <v>0</v>
      </c>
      <c r="AN747" s="970">
        <f t="shared" si="362"/>
        <v>0</v>
      </c>
      <c r="AO747" s="27">
        <f t="shared" si="360"/>
        <v>0</v>
      </c>
      <c r="AP747" s="28">
        <f t="shared" si="361"/>
        <v>0</v>
      </c>
      <c r="AQ747" s="43"/>
      <c r="AR747" s="358">
        <f>+ROUND(+SUM(AK747-AL747)-SUM(O747-P747)-SUM(V747-W747)-SUM(AC747-AD747),2)</f>
        <v>0</v>
      </c>
      <c r="AS747" s="359">
        <f>+ROUND(+SUM(AM747-AN747)-SUM(Q747-R747)-SUM(X747-Y747)-SUM(AE747-AF747),2)</f>
        <v>0</v>
      </c>
      <c r="AT747" s="360">
        <f>+ROUND(+SUM(AO747-AP747)-SUM(S747-T747)-SUM(Z747-AA747)-SUM(AG747-AH747),2)</f>
        <v>0</v>
      </c>
      <c r="AU747" s="43"/>
      <c r="AV747" s="43"/>
      <c r="AW747" s="119"/>
      <c r="AX747" s="119"/>
      <c r="AY747" s="43"/>
      <c r="AZ747" s="43"/>
      <c r="BA747" s="43"/>
      <c r="BB747" s="43"/>
      <c r="BC747" s="43"/>
      <c r="BD747" s="43"/>
    </row>
    <row r="748" spans="1:56" ht="15.75">
      <c r="A748" s="88">
        <v>7534</v>
      </c>
      <c r="B748" s="1033" t="s">
        <v>56</v>
      </c>
      <c r="C748" s="1033"/>
      <c r="D748" s="1033"/>
      <c r="E748" s="1033"/>
      <c r="F748" s="1033"/>
      <c r="G748" s="1033"/>
      <c r="H748" s="1033"/>
      <c r="I748" s="1033"/>
      <c r="J748" s="1033"/>
      <c r="K748" s="1033"/>
      <c r="L748" s="90"/>
      <c r="M748" s="51" t="s">
        <v>265</v>
      </c>
      <c r="N748" s="113">
        <f>+A748</f>
        <v>7534</v>
      </c>
      <c r="O748" s="8">
        <v>0</v>
      </c>
      <c r="P748" s="9">
        <v>0</v>
      </c>
      <c r="Q748" s="325">
        <v>0</v>
      </c>
      <c r="R748" s="324">
        <v>0</v>
      </c>
      <c r="S748" s="27">
        <f>+IF(ABS(+O748+Q748)&gt;=ABS(P748+R748),+O748-P748+Q748-R748,0)</f>
        <v>0</v>
      </c>
      <c r="T748" s="28">
        <f>+IF(ABS(+O748+Q748)&lt;=ABS(P748+R748),-O748+P748-Q748+R748,0)</f>
        <v>0</v>
      </c>
      <c r="U748" s="51"/>
      <c r="V748" s="541">
        <f>+'NF-KSF-TRIAL-BAL-2020'!O748+'RA-TRIAL-BAL-2020'!O748+'DES-TRIAL-BAL-2020'!O748+'DMP-TRIAL-BAL-2020'!O748</f>
        <v>0</v>
      </c>
      <c r="W748" s="529">
        <f>+'NF-KSF-TRIAL-BAL-2020'!P748+'RA-TRIAL-BAL-2020'!P748+'DES-TRIAL-BAL-2020'!P748+'DMP-TRIAL-BAL-2020'!P748</f>
        <v>0</v>
      </c>
      <c r="X748" s="528">
        <f>+'NF-KSF-TRIAL-BAL-2020'!Q748+'RA-TRIAL-BAL-2020'!Q748+'DES-TRIAL-BAL-2020'!Q748+'DMP-TRIAL-BAL-2020'!Q748</f>
        <v>0</v>
      </c>
      <c r="Y748" s="529">
        <f>+'NF-KSF-TRIAL-BAL-2020'!R748+'RA-TRIAL-BAL-2020'!R748+'DES-TRIAL-BAL-2020'!R748+'DMP-TRIAL-BAL-2020'!R748</f>
        <v>0</v>
      </c>
      <c r="Z748" s="528">
        <f>+'NF-KSF-TRIAL-BAL-2020'!S748+'RA-TRIAL-BAL-2020'!S748+'DES-TRIAL-BAL-2020'!S748+'DMP-TRIAL-BAL-2020'!S748</f>
        <v>0</v>
      </c>
      <c r="AA748" s="347">
        <f>+'NF-KSF-TRIAL-BAL-2020'!T748+'RA-TRIAL-BAL-2020'!T748+'DES-TRIAL-BAL-2020'!T748+'DMP-TRIAL-BAL-2020'!T748</f>
        <v>0</v>
      </c>
      <c r="AB748" s="51"/>
      <c r="AC748" s="8">
        <v>0</v>
      </c>
      <c r="AD748" s="9">
        <v>0</v>
      </c>
      <c r="AE748" s="325">
        <v>0</v>
      </c>
      <c r="AF748" s="324">
        <v>0</v>
      </c>
      <c r="AG748" s="27">
        <f>+IF(ABS(+AC748+AE748)&gt;=ABS(AD748+AF748),+AC748-AD748+AE748-AF748,0)</f>
        <v>0</v>
      </c>
      <c r="AH748" s="28">
        <f>+IF(ABS(+AC748+AE748)&lt;=ABS(AD748+AF748),-AC748+AD748-AE748+AF748,0)</f>
        <v>0</v>
      </c>
      <c r="AI748" s="51"/>
      <c r="AJ748" s="1497">
        <f>+N748</f>
        <v>7534</v>
      </c>
      <c r="AK748" s="8">
        <v>0</v>
      </c>
      <c r="AL748" s="9">
        <v>0</v>
      </c>
      <c r="AM748" s="326">
        <f t="shared" si="362"/>
        <v>0</v>
      </c>
      <c r="AN748" s="970">
        <f t="shared" si="362"/>
        <v>0</v>
      </c>
      <c r="AO748" s="27">
        <f t="shared" si="360"/>
        <v>0</v>
      </c>
      <c r="AP748" s="28">
        <f t="shared" si="361"/>
        <v>0</v>
      </c>
      <c r="AQ748" s="43"/>
      <c r="AR748" s="358">
        <f>+ROUND(+SUM(AK748-AL748)-SUM(O748-P748)-SUM(V748-W748)-SUM(AC748-AD748),2)</f>
        <v>0</v>
      </c>
      <c r="AS748" s="359">
        <f>+ROUND(+SUM(AM748-AN748)-SUM(Q748-R748)-SUM(X748-Y748)-SUM(AE748-AF748),2)</f>
        <v>0</v>
      </c>
      <c r="AT748" s="360">
        <f>+ROUND(+SUM(AO748-AP748)-SUM(S748-T748)-SUM(Z748-AA748)-SUM(AG748-AH748),2)</f>
        <v>0</v>
      </c>
      <c r="AU748" s="43"/>
      <c r="AV748" s="43"/>
      <c r="AW748" s="119"/>
      <c r="AX748" s="119"/>
      <c r="AY748" s="43"/>
      <c r="AZ748" s="43"/>
      <c r="BA748" s="43"/>
      <c r="BB748" s="43"/>
      <c r="BC748" s="43"/>
      <c r="BD748" s="43"/>
    </row>
    <row r="749" spans="1:56" ht="15.75">
      <c r="A749" s="88">
        <v>7535</v>
      </c>
      <c r="B749" s="1033" t="s">
        <v>57</v>
      </c>
      <c r="C749" s="1033"/>
      <c r="D749" s="1033"/>
      <c r="E749" s="1033"/>
      <c r="F749" s="1033"/>
      <c r="G749" s="1033"/>
      <c r="H749" s="1033"/>
      <c r="I749" s="1033"/>
      <c r="J749" s="1033"/>
      <c r="K749" s="1033"/>
      <c r="L749" s="90"/>
      <c r="M749" s="51" t="s">
        <v>265</v>
      </c>
      <c r="N749" s="113">
        <f>+A749</f>
        <v>7535</v>
      </c>
      <c r="O749" s="8">
        <v>0</v>
      </c>
      <c r="P749" s="9">
        <v>0</v>
      </c>
      <c r="Q749" s="325"/>
      <c r="R749" s="324"/>
      <c r="S749" s="27">
        <f>+IF(ABS(+O749+Q749)&gt;=ABS(P749+R749),+O749-P749+Q749-R749,0)</f>
        <v>0</v>
      </c>
      <c r="T749" s="28">
        <f>+IF(ABS(+O749+Q749)&lt;=ABS(P749+R749),-O749+P749-Q749+R749,0)</f>
        <v>0</v>
      </c>
      <c r="U749" s="51"/>
      <c r="V749" s="541">
        <f>+'NF-KSF-TRIAL-BAL-2020'!O749+'RA-TRIAL-BAL-2020'!O749+'DES-TRIAL-BAL-2020'!O749+'DMP-TRIAL-BAL-2020'!O749</f>
        <v>0</v>
      </c>
      <c r="W749" s="529">
        <f>+'NF-KSF-TRIAL-BAL-2020'!P749+'RA-TRIAL-BAL-2020'!P749+'DES-TRIAL-BAL-2020'!P749+'DMP-TRIAL-BAL-2020'!P749</f>
        <v>0</v>
      </c>
      <c r="X749" s="528">
        <f>+'NF-KSF-TRIAL-BAL-2020'!Q749+'RA-TRIAL-BAL-2020'!Q749+'DES-TRIAL-BAL-2020'!Q749+'DMP-TRIAL-BAL-2020'!Q749</f>
        <v>0</v>
      </c>
      <c r="Y749" s="529">
        <f>+'NF-KSF-TRIAL-BAL-2020'!R749+'RA-TRIAL-BAL-2020'!R749+'DES-TRIAL-BAL-2020'!R749+'DMP-TRIAL-BAL-2020'!R749</f>
        <v>0</v>
      </c>
      <c r="Z749" s="528">
        <f>+'NF-KSF-TRIAL-BAL-2020'!S749+'RA-TRIAL-BAL-2020'!S749+'DES-TRIAL-BAL-2020'!S749+'DMP-TRIAL-BAL-2020'!S749</f>
        <v>0</v>
      </c>
      <c r="AA749" s="347">
        <f>+'NF-KSF-TRIAL-BAL-2020'!T749+'RA-TRIAL-BAL-2020'!T749+'DES-TRIAL-BAL-2020'!T749+'DMP-TRIAL-BAL-2020'!T749</f>
        <v>0</v>
      </c>
      <c r="AB749" s="51"/>
      <c r="AC749" s="8">
        <v>0</v>
      </c>
      <c r="AD749" s="9">
        <v>0</v>
      </c>
      <c r="AE749" s="122"/>
      <c r="AF749" s="121"/>
      <c r="AG749" s="27">
        <f>+IF(ABS(+AC749+AE749)&gt;=ABS(AD749+AF749),+AC749-AD749+AE749-AF749,0)</f>
        <v>0</v>
      </c>
      <c r="AH749" s="28">
        <f>+IF(ABS(+AC749+AE749)&lt;=ABS(AD749+AF749),-AC749+AD749-AE749+AF749,0)</f>
        <v>0</v>
      </c>
      <c r="AI749" s="51"/>
      <c r="AJ749" s="1497">
        <f>+N749</f>
        <v>7535</v>
      </c>
      <c r="AK749" s="8">
        <v>0</v>
      </c>
      <c r="AL749" s="9">
        <v>0</v>
      </c>
      <c r="AM749" s="326">
        <f t="shared" si="362"/>
        <v>0</v>
      </c>
      <c r="AN749" s="970">
        <f t="shared" si="362"/>
        <v>0</v>
      </c>
      <c r="AO749" s="27">
        <f t="shared" si="360"/>
        <v>0</v>
      </c>
      <c r="AP749" s="28">
        <f t="shared" si="361"/>
        <v>0</v>
      </c>
      <c r="AQ749" s="43"/>
      <c r="AR749" s="358">
        <f>+ROUND(+SUM(AK749-AL749)-SUM(O749-P749)-SUM(V749-W749)-SUM(AC749-AD749),2)</f>
        <v>0</v>
      </c>
      <c r="AS749" s="359">
        <f>+ROUND(+SUM(AM749-AN749)-SUM(Q749-R749)-SUM(X749-Y749)-SUM(AE749-AF749),2)</f>
        <v>0</v>
      </c>
      <c r="AT749" s="360">
        <f>+ROUND(+SUM(AO749-AP749)-SUM(S749-T749)-SUM(Z749-AA749)-SUM(AG749-AH749),2)</f>
        <v>0</v>
      </c>
      <c r="AU749" s="43"/>
      <c r="AV749" s="43"/>
      <c r="AW749" s="119"/>
      <c r="AX749" s="119"/>
      <c r="AY749" s="43"/>
      <c r="AZ749" s="43"/>
      <c r="BA749" s="43"/>
      <c r="BB749" s="43"/>
      <c r="BC749" s="43"/>
      <c r="BD749" s="43"/>
    </row>
    <row r="750" spans="1:56" ht="15.75">
      <c r="A750" s="88">
        <v>7582</v>
      </c>
      <c r="B750" s="1033" t="s">
        <v>58</v>
      </c>
      <c r="C750" s="1033"/>
      <c r="D750" s="1033"/>
      <c r="E750" s="1033"/>
      <c r="F750" s="1033"/>
      <c r="G750" s="1033"/>
      <c r="H750" s="1033"/>
      <c r="I750" s="1033"/>
      <c r="J750" s="1033"/>
      <c r="K750" s="1033"/>
      <c r="L750" s="90"/>
      <c r="M750" s="51" t="s">
        <v>265</v>
      </c>
      <c r="N750" s="113">
        <f t="shared" si="333"/>
        <v>7582</v>
      </c>
      <c r="O750" s="8">
        <v>0</v>
      </c>
      <c r="P750" s="9">
        <v>0</v>
      </c>
      <c r="Q750" s="325"/>
      <c r="R750" s="324"/>
      <c r="S750" s="27">
        <f t="shared" si="356"/>
        <v>0</v>
      </c>
      <c r="T750" s="28">
        <f t="shared" si="357"/>
        <v>0</v>
      </c>
      <c r="U750" s="51"/>
      <c r="V750" s="541">
        <f>+'NF-KSF-TRIAL-BAL-2020'!O750+'RA-TRIAL-BAL-2020'!O750+'DES-TRIAL-BAL-2020'!O750+'DMP-TRIAL-BAL-2020'!O750</f>
        <v>0</v>
      </c>
      <c r="W750" s="529">
        <f>+'NF-KSF-TRIAL-BAL-2020'!P750+'RA-TRIAL-BAL-2020'!P750+'DES-TRIAL-BAL-2020'!P750+'DMP-TRIAL-BAL-2020'!P750</f>
        <v>0</v>
      </c>
      <c r="X750" s="528">
        <f>+'NF-KSF-TRIAL-BAL-2020'!Q750+'RA-TRIAL-BAL-2020'!Q750+'DES-TRIAL-BAL-2020'!Q750+'DMP-TRIAL-BAL-2020'!Q750</f>
        <v>0</v>
      </c>
      <c r="Y750" s="529">
        <f>+'NF-KSF-TRIAL-BAL-2020'!R750+'RA-TRIAL-BAL-2020'!R750+'DES-TRIAL-BAL-2020'!R750+'DMP-TRIAL-BAL-2020'!R750</f>
        <v>0</v>
      </c>
      <c r="Z750" s="528">
        <f>+'NF-KSF-TRIAL-BAL-2020'!S750+'RA-TRIAL-BAL-2020'!S750+'DES-TRIAL-BAL-2020'!S750+'DMP-TRIAL-BAL-2020'!S750</f>
        <v>0</v>
      </c>
      <c r="AA750" s="347">
        <f>+'NF-KSF-TRIAL-BAL-2020'!T750+'RA-TRIAL-BAL-2020'!T750+'DES-TRIAL-BAL-2020'!T750+'DMP-TRIAL-BAL-2020'!T750</f>
        <v>0</v>
      </c>
      <c r="AB750" s="51"/>
      <c r="AC750" s="8">
        <v>0</v>
      </c>
      <c r="AD750" s="9">
        <v>0</v>
      </c>
      <c r="AE750" s="122"/>
      <c r="AF750" s="121"/>
      <c r="AG750" s="27">
        <f t="shared" si="358"/>
        <v>0</v>
      </c>
      <c r="AH750" s="28">
        <f t="shared" si="359"/>
        <v>0</v>
      </c>
      <c r="AI750" s="51"/>
      <c r="AJ750" s="1497">
        <f t="shared" si="351"/>
        <v>7582</v>
      </c>
      <c r="AK750" s="8">
        <v>0</v>
      </c>
      <c r="AL750" s="9">
        <v>0</v>
      </c>
      <c r="AM750" s="326">
        <f t="shared" si="341"/>
        <v>0</v>
      </c>
      <c r="AN750" s="970">
        <f t="shared" si="341"/>
        <v>0</v>
      </c>
      <c r="AO750" s="27">
        <f t="shared" si="360"/>
        <v>0</v>
      </c>
      <c r="AP750" s="28">
        <f t="shared" si="361"/>
        <v>0</v>
      </c>
      <c r="AQ750" s="43"/>
      <c r="AR750" s="358">
        <f t="shared" si="330"/>
        <v>0</v>
      </c>
      <c r="AS750" s="359">
        <f t="shared" si="331"/>
        <v>0</v>
      </c>
      <c r="AT750" s="360">
        <f t="shared" si="332"/>
        <v>0</v>
      </c>
      <c r="AU750" s="43"/>
      <c r="AV750" s="43"/>
      <c r="AW750" s="119"/>
      <c r="AX750" s="119"/>
      <c r="AY750" s="43"/>
      <c r="AZ750" s="43"/>
      <c r="BA750" s="43"/>
      <c r="BB750" s="43"/>
      <c r="BC750" s="43"/>
      <c r="BD750" s="43"/>
    </row>
    <row r="751" spans="1:56" ht="15.75">
      <c r="A751" s="88">
        <v>7584</v>
      </c>
      <c r="B751" s="1033" t="s">
        <v>59</v>
      </c>
      <c r="C751" s="1033"/>
      <c r="D751" s="1033"/>
      <c r="E751" s="1033"/>
      <c r="F751" s="1033"/>
      <c r="G751" s="1033"/>
      <c r="H751" s="1033"/>
      <c r="I751" s="1033"/>
      <c r="J751" s="1033"/>
      <c r="K751" s="1033"/>
      <c r="L751" s="90"/>
      <c r="M751" s="51" t="s">
        <v>265</v>
      </c>
      <c r="N751" s="113">
        <f t="shared" si="333"/>
        <v>7584</v>
      </c>
      <c r="O751" s="8">
        <v>0</v>
      </c>
      <c r="P751" s="9">
        <v>0</v>
      </c>
      <c r="Q751" s="325"/>
      <c r="R751" s="324"/>
      <c r="S751" s="27">
        <f t="shared" si="356"/>
        <v>0</v>
      </c>
      <c r="T751" s="28">
        <f t="shared" si="357"/>
        <v>0</v>
      </c>
      <c r="U751" s="51"/>
      <c r="V751" s="541">
        <f>+'NF-KSF-TRIAL-BAL-2020'!O751+'RA-TRIAL-BAL-2020'!O751+'DES-TRIAL-BAL-2020'!O751+'DMP-TRIAL-BAL-2020'!O751</f>
        <v>0</v>
      </c>
      <c r="W751" s="529">
        <f>+'NF-KSF-TRIAL-BAL-2020'!P751+'RA-TRIAL-BAL-2020'!P751+'DES-TRIAL-BAL-2020'!P751+'DMP-TRIAL-BAL-2020'!P751</f>
        <v>0</v>
      </c>
      <c r="X751" s="528">
        <f>+'NF-KSF-TRIAL-BAL-2020'!Q751+'RA-TRIAL-BAL-2020'!Q751+'DES-TRIAL-BAL-2020'!Q751+'DMP-TRIAL-BAL-2020'!Q751</f>
        <v>0</v>
      </c>
      <c r="Y751" s="529">
        <f>+'NF-KSF-TRIAL-BAL-2020'!R751+'RA-TRIAL-BAL-2020'!R751+'DES-TRIAL-BAL-2020'!R751+'DMP-TRIAL-BAL-2020'!R751</f>
        <v>0</v>
      </c>
      <c r="Z751" s="528">
        <f>+'NF-KSF-TRIAL-BAL-2020'!S751+'RA-TRIAL-BAL-2020'!S751+'DES-TRIAL-BAL-2020'!S751+'DMP-TRIAL-BAL-2020'!S751</f>
        <v>0</v>
      </c>
      <c r="AA751" s="347">
        <f>+'NF-KSF-TRIAL-BAL-2020'!T751+'RA-TRIAL-BAL-2020'!T751+'DES-TRIAL-BAL-2020'!T751+'DMP-TRIAL-BAL-2020'!T751</f>
        <v>0</v>
      </c>
      <c r="AB751" s="51"/>
      <c r="AC751" s="8">
        <v>0</v>
      </c>
      <c r="AD751" s="9">
        <v>0</v>
      </c>
      <c r="AE751" s="325"/>
      <c r="AF751" s="324"/>
      <c r="AG751" s="27">
        <f t="shared" si="358"/>
        <v>0</v>
      </c>
      <c r="AH751" s="28">
        <f t="shared" si="359"/>
        <v>0</v>
      </c>
      <c r="AI751" s="51"/>
      <c r="AJ751" s="1497">
        <f t="shared" si="351"/>
        <v>7584</v>
      </c>
      <c r="AK751" s="8">
        <v>0</v>
      </c>
      <c r="AL751" s="9">
        <v>0</v>
      </c>
      <c r="AM751" s="326">
        <f t="shared" si="341"/>
        <v>0</v>
      </c>
      <c r="AN751" s="970">
        <f t="shared" si="341"/>
        <v>0</v>
      </c>
      <c r="AO751" s="27">
        <f t="shared" si="360"/>
        <v>0</v>
      </c>
      <c r="AP751" s="28">
        <f t="shared" si="361"/>
        <v>0</v>
      </c>
      <c r="AQ751" s="43"/>
      <c r="AR751" s="358">
        <f t="shared" si="330"/>
        <v>0</v>
      </c>
      <c r="AS751" s="359">
        <f t="shared" si="331"/>
        <v>0</v>
      </c>
      <c r="AT751" s="360">
        <f t="shared" si="332"/>
        <v>0</v>
      </c>
      <c r="AU751" s="43"/>
      <c r="AV751" s="43"/>
      <c r="AW751" s="119"/>
      <c r="AX751" s="119"/>
      <c r="AY751" s="43"/>
      <c r="AZ751" s="43"/>
      <c r="BA751" s="43"/>
      <c r="BB751" s="43"/>
      <c r="BC751" s="43"/>
      <c r="BD751" s="43"/>
    </row>
    <row r="752" spans="1:56" ht="15.75">
      <c r="A752" s="88">
        <v>7585</v>
      </c>
      <c r="B752" s="1033" t="s">
        <v>60</v>
      </c>
      <c r="C752" s="1033"/>
      <c r="D752" s="1033"/>
      <c r="E752" s="1033"/>
      <c r="F752" s="1033"/>
      <c r="G752" s="1033"/>
      <c r="H752" s="1033"/>
      <c r="I752" s="1033"/>
      <c r="J752" s="1033"/>
      <c r="K752" s="1033"/>
      <c r="L752" s="90"/>
      <c r="M752" s="51" t="s">
        <v>265</v>
      </c>
      <c r="N752" s="113">
        <f t="shared" si="333"/>
        <v>7585</v>
      </c>
      <c r="O752" s="8">
        <v>0</v>
      </c>
      <c r="P752" s="9">
        <v>0</v>
      </c>
      <c r="Q752" s="325"/>
      <c r="R752" s="324"/>
      <c r="S752" s="27">
        <f t="shared" si="356"/>
        <v>0</v>
      </c>
      <c r="T752" s="28">
        <f t="shared" si="357"/>
        <v>0</v>
      </c>
      <c r="U752" s="51"/>
      <c r="V752" s="541">
        <f>+'NF-KSF-TRIAL-BAL-2020'!O752+'RA-TRIAL-BAL-2020'!O752+'DES-TRIAL-BAL-2020'!O752+'DMP-TRIAL-BAL-2020'!O752</f>
        <v>0</v>
      </c>
      <c r="W752" s="529">
        <f>+'NF-KSF-TRIAL-BAL-2020'!P752+'RA-TRIAL-BAL-2020'!P752+'DES-TRIAL-BAL-2020'!P752+'DMP-TRIAL-BAL-2020'!P752</f>
        <v>0</v>
      </c>
      <c r="X752" s="528">
        <f>+'NF-KSF-TRIAL-BAL-2020'!Q752+'RA-TRIAL-BAL-2020'!Q752+'DES-TRIAL-BAL-2020'!Q752+'DMP-TRIAL-BAL-2020'!Q752</f>
        <v>0</v>
      </c>
      <c r="Y752" s="529">
        <f>+'NF-KSF-TRIAL-BAL-2020'!R752+'RA-TRIAL-BAL-2020'!R752+'DES-TRIAL-BAL-2020'!R752+'DMP-TRIAL-BAL-2020'!R752</f>
        <v>0</v>
      </c>
      <c r="Z752" s="528">
        <f>+'NF-KSF-TRIAL-BAL-2020'!S752+'RA-TRIAL-BAL-2020'!S752+'DES-TRIAL-BAL-2020'!S752+'DMP-TRIAL-BAL-2020'!S752</f>
        <v>0</v>
      </c>
      <c r="AA752" s="347">
        <f>+'NF-KSF-TRIAL-BAL-2020'!T752+'RA-TRIAL-BAL-2020'!T752+'DES-TRIAL-BAL-2020'!T752+'DMP-TRIAL-BAL-2020'!T752</f>
        <v>0</v>
      </c>
      <c r="AB752" s="51"/>
      <c r="AC752" s="8">
        <v>0</v>
      </c>
      <c r="AD752" s="9">
        <v>0</v>
      </c>
      <c r="AE752" s="325"/>
      <c r="AF752" s="324"/>
      <c r="AG752" s="27">
        <f t="shared" si="358"/>
        <v>0</v>
      </c>
      <c r="AH752" s="28">
        <f t="shared" si="359"/>
        <v>0</v>
      </c>
      <c r="AI752" s="51"/>
      <c r="AJ752" s="1497">
        <f t="shared" si="351"/>
        <v>7585</v>
      </c>
      <c r="AK752" s="8">
        <v>0</v>
      </c>
      <c r="AL752" s="9">
        <v>0</v>
      </c>
      <c r="AM752" s="326">
        <f t="shared" si="341"/>
        <v>0</v>
      </c>
      <c r="AN752" s="970">
        <f t="shared" si="341"/>
        <v>0</v>
      </c>
      <c r="AO752" s="27">
        <f t="shared" si="360"/>
        <v>0</v>
      </c>
      <c r="AP752" s="28">
        <f t="shared" si="361"/>
        <v>0</v>
      </c>
      <c r="AQ752" s="43"/>
      <c r="AR752" s="358">
        <f t="shared" si="330"/>
        <v>0</v>
      </c>
      <c r="AS752" s="359">
        <f t="shared" si="331"/>
        <v>0</v>
      </c>
      <c r="AT752" s="360">
        <f t="shared" si="332"/>
        <v>0</v>
      </c>
      <c r="AU752" s="43"/>
      <c r="AV752" s="43"/>
      <c r="AW752" s="119"/>
      <c r="AX752" s="119"/>
      <c r="AY752" s="43"/>
      <c r="AZ752" s="43"/>
      <c r="BA752" s="43"/>
      <c r="BB752" s="43"/>
      <c r="BC752" s="43"/>
      <c r="BD752" s="43"/>
    </row>
    <row r="753" spans="1:56" ht="15.75">
      <c r="A753" s="88">
        <v>7591</v>
      </c>
      <c r="B753" s="1042" t="s">
        <v>61</v>
      </c>
      <c r="C753" s="1051"/>
      <c r="D753" s="1051"/>
      <c r="E753" s="1051"/>
      <c r="F753" s="1051"/>
      <c r="G753" s="1051"/>
      <c r="H753" s="1051"/>
      <c r="I753" s="1051"/>
      <c r="J753" s="1051"/>
      <c r="K753" s="1051"/>
      <c r="L753" s="90"/>
      <c r="M753" s="51" t="s">
        <v>265</v>
      </c>
      <c r="N753" s="113">
        <f t="shared" ref="N753:N761" si="363">+A753</f>
        <v>7591</v>
      </c>
      <c r="O753" s="8">
        <v>0</v>
      </c>
      <c r="P753" s="9">
        <v>0</v>
      </c>
      <c r="Q753" s="325"/>
      <c r="R753" s="324"/>
      <c r="S753" s="27">
        <f t="shared" ref="S753:S761" si="364">+IF(ABS(+O753+Q753)&gt;=ABS(P753+R753),+O753-P753+Q753-R753,0)</f>
        <v>0</v>
      </c>
      <c r="T753" s="28">
        <f t="shared" ref="T753:T761" si="365">+IF(ABS(+O753+Q753)&lt;=ABS(P753+R753),-O753+P753-Q753+R753,0)</f>
        <v>0</v>
      </c>
      <c r="U753" s="51"/>
      <c r="V753" s="541">
        <f>+'NF-KSF-TRIAL-BAL-2020'!O753+'RA-TRIAL-BAL-2020'!O753+'DES-TRIAL-BAL-2020'!O753+'DMP-TRIAL-BAL-2020'!O753</f>
        <v>0</v>
      </c>
      <c r="W753" s="529">
        <f>+'NF-KSF-TRIAL-BAL-2020'!P753+'RA-TRIAL-BAL-2020'!P753+'DES-TRIAL-BAL-2020'!P753+'DMP-TRIAL-BAL-2020'!P753</f>
        <v>0</v>
      </c>
      <c r="X753" s="528">
        <f>+'NF-KSF-TRIAL-BAL-2020'!Q753+'RA-TRIAL-BAL-2020'!Q753+'DES-TRIAL-BAL-2020'!Q753+'DMP-TRIAL-BAL-2020'!Q753</f>
        <v>0</v>
      </c>
      <c r="Y753" s="529">
        <f>+'NF-KSF-TRIAL-BAL-2020'!R753+'RA-TRIAL-BAL-2020'!R753+'DES-TRIAL-BAL-2020'!R753+'DMP-TRIAL-BAL-2020'!R753</f>
        <v>0</v>
      </c>
      <c r="Z753" s="528">
        <f>+'NF-KSF-TRIAL-BAL-2020'!S753+'RA-TRIAL-BAL-2020'!S753+'DES-TRIAL-BAL-2020'!S753+'DMP-TRIAL-BAL-2020'!S753</f>
        <v>0</v>
      </c>
      <c r="AA753" s="347">
        <f>+'NF-KSF-TRIAL-BAL-2020'!T753+'RA-TRIAL-BAL-2020'!T753+'DES-TRIAL-BAL-2020'!T753+'DMP-TRIAL-BAL-2020'!T753</f>
        <v>0</v>
      </c>
      <c r="AB753" s="51"/>
      <c r="AC753" s="8">
        <v>0</v>
      </c>
      <c r="AD753" s="9">
        <v>0</v>
      </c>
      <c r="AE753" s="122"/>
      <c r="AF753" s="121"/>
      <c r="AG753" s="27">
        <f t="shared" ref="AG753:AG761" si="366">+IF(ABS(+AC753+AE753)&gt;=ABS(AD753+AF753),+AC753-AD753+AE753-AF753,0)</f>
        <v>0</v>
      </c>
      <c r="AH753" s="28">
        <f t="shared" ref="AH753:AH761" si="367">+IF(ABS(+AC753+AE753)&lt;=ABS(AD753+AF753),-AC753+AD753-AE753+AF753,0)</f>
        <v>0</v>
      </c>
      <c r="AI753" s="51"/>
      <c r="AJ753" s="1497">
        <f t="shared" ref="AJ753:AJ761" si="368">+N753</f>
        <v>7591</v>
      </c>
      <c r="AK753" s="8">
        <v>0</v>
      </c>
      <c r="AL753" s="9">
        <v>0</v>
      </c>
      <c r="AM753" s="326">
        <f t="shared" si="341"/>
        <v>0</v>
      </c>
      <c r="AN753" s="970">
        <f t="shared" si="341"/>
        <v>0</v>
      </c>
      <c r="AO753" s="27">
        <f t="shared" si="360"/>
        <v>0</v>
      </c>
      <c r="AP753" s="28">
        <f t="shared" si="361"/>
        <v>0</v>
      </c>
      <c r="AQ753" s="43"/>
      <c r="AR753" s="358">
        <f t="shared" ref="AR753:AR761" si="369">+ROUND(+SUM(AK753-AL753)-SUM(O753-P753)-SUM(V753-W753)-SUM(AC753-AD753),2)</f>
        <v>0</v>
      </c>
      <c r="AS753" s="359">
        <f t="shared" ref="AS753:AS761" si="370">+ROUND(+SUM(AM753-AN753)-SUM(Q753-R753)-SUM(X753-Y753)-SUM(AE753-AF753),2)</f>
        <v>0</v>
      </c>
      <c r="AT753" s="360">
        <f t="shared" ref="AT753:AT761" si="371">+ROUND(+SUM(AO753-AP753)-SUM(S753-T753)-SUM(Z753-AA753)-SUM(AG753-AH753),2)</f>
        <v>0</v>
      </c>
      <c r="AU753" s="43"/>
      <c r="AV753" s="43"/>
      <c r="AW753" s="119"/>
      <c r="AX753" s="119"/>
      <c r="AY753" s="43"/>
      <c r="AZ753" s="43"/>
      <c r="BA753" s="43"/>
      <c r="BB753" s="43"/>
      <c r="BC753" s="43"/>
      <c r="BD753" s="43"/>
    </row>
    <row r="754" spans="1:56" ht="15.75">
      <c r="A754" s="88">
        <v>7595</v>
      </c>
      <c r="B754" s="1042" t="s">
        <v>62</v>
      </c>
      <c r="C754" s="1051"/>
      <c r="D754" s="1051"/>
      <c r="E754" s="1051"/>
      <c r="F754" s="1051"/>
      <c r="G754" s="1051"/>
      <c r="H754" s="1051"/>
      <c r="I754" s="1051"/>
      <c r="J754" s="1051"/>
      <c r="K754" s="1051"/>
      <c r="L754" s="90"/>
      <c r="M754" s="51" t="s">
        <v>265</v>
      </c>
      <c r="N754" s="113">
        <f t="shared" si="363"/>
        <v>7595</v>
      </c>
      <c r="O754" s="8">
        <v>0</v>
      </c>
      <c r="P754" s="9">
        <v>0</v>
      </c>
      <c r="Q754" s="325"/>
      <c r="R754" s="324"/>
      <c r="S754" s="27">
        <f t="shared" si="364"/>
        <v>0</v>
      </c>
      <c r="T754" s="28">
        <f t="shared" si="365"/>
        <v>0</v>
      </c>
      <c r="U754" s="51"/>
      <c r="V754" s="541">
        <f>+'NF-KSF-TRIAL-BAL-2020'!O754+'RA-TRIAL-BAL-2020'!O754+'DES-TRIAL-BAL-2020'!O754+'DMP-TRIAL-BAL-2020'!O754</f>
        <v>0</v>
      </c>
      <c r="W754" s="529">
        <f>+'NF-KSF-TRIAL-BAL-2020'!P754+'RA-TRIAL-BAL-2020'!P754+'DES-TRIAL-BAL-2020'!P754+'DMP-TRIAL-BAL-2020'!P754</f>
        <v>0</v>
      </c>
      <c r="X754" s="528">
        <f>+'NF-KSF-TRIAL-BAL-2020'!Q754+'RA-TRIAL-BAL-2020'!Q754+'DES-TRIAL-BAL-2020'!Q754+'DMP-TRIAL-BAL-2020'!Q754</f>
        <v>0</v>
      </c>
      <c r="Y754" s="529">
        <f>+'NF-KSF-TRIAL-BAL-2020'!R754+'RA-TRIAL-BAL-2020'!R754+'DES-TRIAL-BAL-2020'!R754+'DMP-TRIAL-BAL-2020'!R754</f>
        <v>0</v>
      </c>
      <c r="Z754" s="528">
        <f>+'NF-KSF-TRIAL-BAL-2020'!S754+'RA-TRIAL-BAL-2020'!S754+'DES-TRIAL-BAL-2020'!S754+'DMP-TRIAL-BAL-2020'!S754</f>
        <v>0</v>
      </c>
      <c r="AA754" s="347">
        <f>+'NF-KSF-TRIAL-BAL-2020'!T754+'RA-TRIAL-BAL-2020'!T754+'DES-TRIAL-BAL-2020'!T754+'DMP-TRIAL-BAL-2020'!T754</f>
        <v>0</v>
      </c>
      <c r="AB754" s="51"/>
      <c r="AC754" s="8">
        <v>0</v>
      </c>
      <c r="AD754" s="9">
        <v>0</v>
      </c>
      <c r="AE754" s="122"/>
      <c r="AF754" s="121"/>
      <c r="AG754" s="27">
        <f t="shared" si="366"/>
        <v>0</v>
      </c>
      <c r="AH754" s="28">
        <f t="shared" si="367"/>
        <v>0</v>
      </c>
      <c r="AI754" s="51"/>
      <c r="AJ754" s="1497">
        <f t="shared" si="368"/>
        <v>7595</v>
      </c>
      <c r="AK754" s="8">
        <v>0</v>
      </c>
      <c r="AL754" s="9">
        <v>0</v>
      </c>
      <c r="AM754" s="326">
        <f t="shared" ref="AM754:AN761" si="372">+ROUND(+Q754+X754+AE754,2)</f>
        <v>0</v>
      </c>
      <c r="AN754" s="970">
        <f t="shared" si="372"/>
        <v>0</v>
      </c>
      <c r="AO754" s="27">
        <f t="shared" si="360"/>
        <v>0</v>
      </c>
      <c r="AP754" s="28">
        <f t="shared" si="361"/>
        <v>0</v>
      </c>
      <c r="AQ754" s="43"/>
      <c r="AR754" s="358">
        <f t="shared" si="369"/>
        <v>0</v>
      </c>
      <c r="AS754" s="359">
        <f t="shared" si="370"/>
        <v>0</v>
      </c>
      <c r="AT754" s="360">
        <f t="shared" si="371"/>
        <v>0</v>
      </c>
      <c r="AU754" s="43"/>
      <c r="AV754" s="43"/>
      <c r="AW754" s="119"/>
      <c r="AX754" s="119"/>
      <c r="AY754" s="43"/>
      <c r="AZ754" s="43"/>
      <c r="BA754" s="43"/>
      <c r="BB754" s="43"/>
      <c r="BC754" s="43"/>
      <c r="BD754" s="43"/>
    </row>
    <row r="755" spans="1:56" ht="15.75">
      <c r="A755" s="88">
        <v>7596</v>
      </c>
      <c r="B755" s="1042" t="s">
        <v>63</v>
      </c>
      <c r="C755" s="1051"/>
      <c r="D755" s="1051"/>
      <c r="E755" s="1051"/>
      <c r="F755" s="1051"/>
      <c r="G755" s="1051"/>
      <c r="H755" s="1051"/>
      <c r="I755" s="1051"/>
      <c r="J755" s="1051"/>
      <c r="K755" s="1051"/>
      <c r="L755" s="90"/>
      <c r="M755" s="51" t="s">
        <v>265</v>
      </c>
      <c r="N755" s="113">
        <f t="shared" si="363"/>
        <v>7596</v>
      </c>
      <c r="O755" s="8">
        <v>0</v>
      </c>
      <c r="P755" s="9">
        <v>0</v>
      </c>
      <c r="Q755" s="325"/>
      <c r="R755" s="324"/>
      <c r="S755" s="27">
        <f t="shared" si="364"/>
        <v>0</v>
      </c>
      <c r="T755" s="28">
        <f t="shared" si="365"/>
        <v>0</v>
      </c>
      <c r="U755" s="51"/>
      <c r="V755" s="541">
        <f>+'NF-KSF-TRIAL-BAL-2020'!O755+'RA-TRIAL-BAL-2020'!O755+'DES-TRIAL-BAL-2020'!O755+'DMP-TRIAL-BAL-2020'!O755</f>
        <v>0</v>
      </c>
      <c r="W755" s="529">
        <f>+'NF-KSF-TRIAL-BAL-2020'!P755+'RA-TRIAL-BAL-2020'!P755+'DES-TRIAL-BAL-2020'!P755+'DMP-TRIAL-BAL-2020'!P755</f>
        <v>0</v>
      </c>
      <c r="X755" s="528">
        <f>+'NF-KSF-TRIAL-BAL-2020'!Q755+'RA-TRIAL-BAL-2020'!Q755+'DES-TRIAL-BAL-2020'!Q755+'DMP-TRIAL-BAL-2020'!Q755</f>
        <v>0</v>
      </c>
      <c r="Y755" s="529">
        <f>+'NF-KSF-TRIAL-BAL-2020'!R755+'RA-TRIAL-BAL-2020'!R755+'DES-TRIAL-BAL-2020'!R755+'DMP-TRIAL-BAL-2020'!R755</f>
        <v>0</v>
      </c>
      <c r="Z755" s="528">
        <f>+'NF-KSF-TRIAL-BAL-2020'!S755+'RA-TRIAL-BAL-2020'!S755+'DES-TRIAL-BAL-2020'!S755+'DMP-TRIAL-BAL-2020'!S755</f>
        <v>0</v>
      </c>
      <c r="AA755" s="347">
        <f>+'NF-KSF-TRIAL-BAL-2020'!T755+'RA-TRIAL-BAL-2020'!T755+'DES-TRIAL-BAL-2020'!T755+'DMP-TRIAL-BAL-2020'!T755</f>
        <v>0</v>
      </c>
      <c r="AB755" s="51"/>
      <c r="AC755" s="8">
        <v>0</v>
      </c>
      <c r="AD755" s="9">
        <v>0</v>
      </c>
      <c r="AE755" s="325"/>
      <c r="AF755" s="324"/>
      <c r="AG755" s="27">
        <f t="shared" si="366"/>
        <v>0</v>
      </c>
      <c r="AH755" s="28">
        <f t="shared" si="367"/>
        <v>0</v>
      </c>
      <c r="AI755" s="51"/>
      <c r="AJ755" s="1497">
        <f t="shared" si="368"/>
        <v>7596</v>
      </c>
      <c r="AK755" s="8">
        <v>0</v>
      </c>
      <c r="AL755" s="9">
        <v>0</v>
      </c>
      <c r="AM755" s="326">
        <f t="shared" si="372"/>
        <v>0</v>
      </c>
      <c r="AN755" s="970">
        <f t="shared" si="372"/>
        <v>0</v>
      </c>
      <c r="AO755" s="27">
        <f t="shared" si="360"/>
        <v>0</v>
      </c>
      <c r="AP755" s="28">
        <f t="shared" si="361"/>
        <v>0</v>
      </c>
      <c r="AQ755" s="43"/>
      <c r="AR755" s="358">
        <f t="shared" si="369"/>
        <v>0</v>
      </c>
      <c r="AS755" s="359">
        <f t="shared" si="370"/>
        <v>0</v>
      </c>
      <c r="AT755" s="360">
        <f t="shared" si="371"/>
        <v>0</v>
      </c>
      <c r="AU755" s="43"/>
      <c r="AV755" s="43"/>
      <c r="AW755" s="119"/>
      <c r="AX755" s="119"/>
      <c r="AY755" s="43"/>
      <c r="AZ755" s="43"/>
      <c r="BA755" s="43"/>
      <c r="BB755" s="43"/>
      <c r="BC755" s="43"/>
      <c r="BD755" s="43"/>
    </row>
    <row r="756" spans="1:56" ht="15.75" customHeight="1">
      <c r="A756" s="88">
        <v>7597</v>
      </c>
      <c r="B756" s="1042" t="s">
        <v>64</v>
      </c>
      <c r="C756" s="1042"/>
      <c r="D756" s="1042"/>
      <c r="E756" s="1042"/>
      <c r="F756" s="1042"/>
      <c r="G756" s="1042"/>
      <c r="H756" s="1042"/>
      <c r="I756" s="1042"/>
      <c r="J756" s="1042"/>
      <c r="K756" s="1042"/>
      <c r="L756" s="90"/>
      <c r="M756" s="51" t="s">
        <v>265</v>
      </c>
      <c r="N756" s="113">
        <f t="shared" si="363"/>
        <v>7597</v>
      </c>
      <c r="O756" s="8">
        <v>0</v>
      </c>
      <c r="P756" s="9">
        <v>0</v>
      </c>
      <c r="Q756" s="325"/>
      <c r="R756" s="324"/>
      <c r="S756" s="27">
        <f t="shared" si="364"/>
        <v>0</v>
      </c>
      <c r="T756" s="28">
        <f t="shared" si="365"/>
        <v>0</v>
      </c>
      <c r="U756" s="51"/>
      <c r="V756" s="541">
        <f>+'NF-KSF-TRIAL-BAL-2020'!O756+'RA-TRIAL-BAL-2020'!O756+'DES-TRIAL-BAL-2020'!O756+'DMP-TRIAL-BAL-2020'!O756</f>
        <v>0</v>
      </c>
      <c r="W756" s="529">
        <f>+'NF-KSF-TRIAL-BAL-2020'!P756+'RA-TRIAL-BAL-2020'!P756+'DES-TRIAL-BAL-2020'!P756+'DMP-TRIAL-BAL-2020'!P756</f>
        <v>0</v>
      </c>
      <c r="X756" s="528">
        <f>+'NF-KSF-TRIAL-BAL-2020'!Q756+'RA-TRIAL-BAL-2020'!Q756+'DES-TRIAL-BAL-2020'!Q756+'DMP-TRIAL-BAL-2020'!Q756</f>
        <v>0</v>
      </c>
      <c r="Y756" s="529">
        <f>+'NF-KSF-TRIAL-BAL-2020'!R756+'RA-TRIAL-BAL-2020'!R756+'DES-TRIAL-BAL-2020'!R756+'DMP-TRIAL-BAL-2020'!R756</f>
        <v>0</v>
      </c>
      <c r="Z756" s="528">
        <f>+'NF-KSF-TRIAL-BAL-2020'!S756+'RA-TRIAL-BAL-2020'!S756+'DES-TRIAL-BAL-2020'!S756+'DMP-TRIAL-BAL-2020'!S756</f>
        <v>0</v>
      </c>
      <c r="AA756" s="347">
        <f>+'NF-KSF-TRIAL-BAL-2020'!T756+'RA-TRIAL-BAL-2020'!T756+'DES-TRIAL-BAL-2020'!T756+'DMP-TRIAL-BAL-2020'!T756</f>
        <v>0</v>
      </c>
      <c r="AB756" s="51"/>
      <c r="AC756" s="8">
        <v>0</v>
      </c>
      <c r="AD756" s="9">
        <v>0</v>
      </c>
      <c r="AE756" s="122"/>
      <c r="AF756" s="121"/>
      <c r="AG756" s="27">
        <f t="shared" si="366"/>
        <v>0</v>
      </c>
      <c r="AH756" s="28">
        <f t="shared" si="367"/>
        <v>0</v>
      </c>
      <c r="AI756" s="51"/>
      <c r="AJ756" s="1497">
        <f t="shared" si="368"/>
        <v>7597</v>
      </c>
      <c r="AK756" s="8">
        <v>0</v>
      </c>
      <c r="AL756" s="9">
        <v>0</v>
      </c>
      <c r="AM756" s="326">
        <f t="shared" si="372"/>
        <v>0</v>
      </c>
      <c r="AN756" s="970">
        <f t="shared" si="372"/>
        <v>0</v>
      </c>
      <c r="AO756" s="27">
        <f t="shared" si="360"/>
        <v>0</v>
      </c>
      <c r="AP756" s="28">
        <f t="shared" si="361"/>
        <v>0</v>
      </c>
      <c r="AQ756" s="43"/>
      <c r="AR756" s="358">
        <f t="shared" si="369"/>
        <v>0</v>
      </c>
      <c r="AS756" s="359">
        <f t="shared" si="370"/>
        <v>0</v>
      </c>
      <c r="AT756" s="360">
        <f t="shared" si="371"/>
        <v>0</v>
      </c>
      <c r="AU756" s="43"/>
      <c r="AV756" s="43"/>
      <c r="AW756" s="119"/>
      <c r="AX756" s="119"/>
      <c r="AY756" s="43"/>
      <c r="AZ756" s="43"/>
      <c r="BA756" s="43"/>
      <c r="BB756" s="43"/>
      <c r="BC756" s="43"/>
      <c r="BD756" s="43"/>
    </row>
    <row r="757" spans="1:56" ht="15.75">
      <c r="A757" s="88">
        <v>7598</v>
      </c>
      <c r="B757" s="1042" t="s">
        <v>65</v>
      </c>
      <c r="C757" s="1051"/>
      <c r="D757" s="1051"/>
      <c r="E757" s="1051"/>
      <c r="F757" s="1051"/>
      <c r="G757" s="1051"/>
      <c r="H757" s="1051"/>
      <c r="I757" s="1051"/>
      <c r="J757" s="1051"/>
      <c r="K757" s="1051"/>
      <c r="L757" s="90"/>
      <c r="M757" s="51" t="s">
        <v>265</v>
      </c>
      <c r="N757" s="113">
        <f t="shared" si="363"/>
        <v>7598</v>
      </c>
      <c r="O757" s="8">
        <v>0</v>
      </c>
      <c r="P757" s="9">
        <v>0</v>
      </c>
      <c r="Q757" s="325"/>
      <c r="R757" s="324"/>
      <c r="S757" s="27">
        <f t="shared" si="364"/>
        <v>0</v>
      </c>
      <c r="T757" s="28">
        <f t="shared" si="365"/>
        <v>0</v>
      </c>
      <c r="U757" s="51"/>
      <c r="V757" s="541">
        <f>+'NF-KSF-TRIAL-BAL-2020'!O757+'RA-TRIAL-BAL-2020'!O757+'DES-TRIAL-BAL-2020'!O757+'DMP-TRIAL-BAL-2020'!O757</f>
        <v>0</v>
      </c>
      <c r="W757" s="529">
        <f>+'NF-KSF-TRIAL-BAL-2020'!P757+'RA-TRIAL-BAL-2020'!P757+'DES-TRIAL-BAL-2020'!P757+'DMP-TRIAL-BAL-2020'!P757</f>
        <v>0</v>
      </c>
      <c r="X757" s="528">
        <f>+'NF-KSF-TRIAL-BAL-2020'!Q757+'RA-TRIAL-BAL-2020'!Q757+'DES-TRIAL-BAL-2020'!Q757+'DMP-TRIAL-BAL-2020'!Q757</f>
        <v>0</v>
      </c>
      <c r="Y757" s="529">
        <f>+'NF-KSF-TRIAL-BAL-2020'!R757+'RA-TRIAL-BAL-2020'!R757+'DES-TRIAL-BAL-2020'!R757+'DMP-TRIAL-BAL-2020'!R757</f>
        <v>0</v>
      </c>
      <c r="Z757" s="528">
        <f>+'NF-KSF-TRIAL-BAL-2020'!S757+'RA-TRIAL-BAL-2020'!S757+'DES-TRIAL-BAL-2020'!S757+'DMP-TRIAL-BAL-2020'!S757</f>
        <v>0</v>
      </c>
      <c r="AA757" s="347">
        <f>+'NF-KSF-TRIAL-BAL-2020'!T757+'RA-TRIAL-BAL-2020'!T757+'DES-TRIAL-BAL-2020'!T757+'DMP-TRIAL-BAL-2020'!T757</f>
        <v>0</v>
      </c>
      <c r="AB757" s="51"/>
      <c r="AC757" s="8">
        <v>0</v>
      </c>
      <c r="AD757" s="9">
        <v>0</v>
      </c>
      <c r="AE757" s="122"/>
      <c r="AF757" s="121"/>
      <c r="AG757" s="27">
        <f t="shared" si="366"/>
        <v>0</v>
      </c>
      <c r="AH757" s="28">
        <f t="shared" si="367"/>
        <v>0</v>
      </c>
      <c r="AI757" s="51"/>
      <c r="AJ757" s="1497">
        <f t="shared" si="368"/>
        <v>7598</v>
      </c>
      <c r="AK757" s="8">
        <v>0</v>
      </c>
      <c r="AL757" s="9">
        <v>0</v>
      </c>
      <c r="AM757" s="326">
        <f t="shared" si="372"/>
        <v>0</v>
      </c>
      <c r="AN757" s="970">
        <f t="shared" si="372"/>
        <v>0</v>
      </c>
      <c r="AO757" s="27">
        <f t="shared" si="360"/>
        <v>0</v>
      </c>
      <c r="AP757" s="28">
        <f t="shared" si="361"/>
        <v>0</v>
      </c>
      <c r="AQ757" s="43"/>
      <c r="AR757" s="358">
        <f t="shared" si="369"/>
        <v>0</v>
      </c>
      <c r="AS757" s="359">
        <f t="shared" si="370"/>
        <v>0</v>
      </c>
      <c r="AT757" s="360">
        <f t="shared" si="371"/>
        <v>0</v>
      </c>
      <c r="AU757" s="43"/>
      <c r="AV757" s="43"/>
      <c r="AW757" s="119"/>
      <c r="AX757" s="119"/>
      <c r="AY757" s="43"/>
      <c r="AZ757" s="43"/>
      <c r="BA757" s="43"/>
      <c r="BB757" s="43"/>
      <c r="BC757" s="43"/>
      <c r="BD757" s="43"/>
    </row>
    <row r="758" spans="1:56" ht="15.75">
      <c r="A758" s="88">
        <v>7599</v>
      </c>
      <c r="B758" s="1042" t="s">
        <v>66</v>
      </c>
      <c r="C758" s="1051"/>
      <c r="D758" s="1051"/>
      <c r="E758" s="1051"/>
      <c r="F758" s="1051"/>
      <c r="G758" s="1051"/>
      <c r="H758" s="1051"/>
      <c r="I758" s="1051"/>
      <c r="J758" s="1051"/>
      <c r="K758" s="1051"/>
      <c r="L758" s="90"/>
      <c r="M758" s="51" t="s">
        <v>265</v>
      </c>
      <c r="N758" s="113">
        <f t="shared" si="363"/>
        <v>7599</v>
      </c>
      <c r="O758" s="8">
        <v>0</v>
      </c>
      <c r="P758" s="9">
        <v>0</v>
      </c>
      <c r="Q758" s="325"/>
      <c r="R758" s="324"/>
      <c r="S758" s="27">
        <f t="shared" si="364"/>
        <v>0</v>
      </c>
      <c r="T758" s="28">
        <f t="shared" si="365"/>
        <v>0</v>
      </c>
      <c r="U758" s="51"/>
      <c r="V758" s="541">
        <f>+'NF-KSF-TRIAL-BAL-2020'!O758+'RA-TRIAL-BAL-2020'!O758+'DES-TRIAL-BAL-2020'!O758+'DMP-TRIAL-BAL-2020'!O758</f>
        <v>0</v>
      </c>
      <c r="W758" s="529">
        <f>+'NF-KSF-TRIAL-BAL-2020'!P758+'RA-TRIAL-BAL-2020'!P758+'DES-TRIAL-BAL-2020'!P758+'DMP-TRIAL-BAL-2020'!P758</f>
        <v>0</v>
      </c>
      <c r="X758" s="528">
        <f>+'NF-KSF-TRIAL-BAL-2020'!Q758+'RA-TRIAL-BAL-2020'!Q758+'DES-TRIAL-BAL-2020'!Q758+'DMP-TRIAL-BAL-2020'!Q758</f>
        <v>0</v>
      </c>
      <c r="Y758" s="529">
        <f>+'NF-KSF-TRIAL-BAL-2020'!R758+'RA-TRIAL-BAL-2020'!R758+'DES-TRIAL-BAL-2020'!R758+'DMP-TRIAL-BAL-2020'!R758</f>
        <v>0</v>
      </c>
      <c r="Z758" s="528">
        <f>+'NF-KSF-TRIAL-BAL-2020'!S758+'RA-TRIAL-BAL-2020'!S758+'DES-TRIAL-BAL-2020'!S758+'DMP-TRIAL-BAL-2020'!S758</f>
        <v>0</v>
      </c>
      <c r="AA758" s="347">
        <f>+'NF-KSF-TRIAL-BAL-2020'!T758+'RA-TRIAL-BAL-2020'!T758+'DES-TRIAL-BAL-2020'!T758+'DMP-TRIAL-BAL-2020'!T758</f>
        <v>0</v>
      </c>
      <c r="AB758" s="51"/>
      <c r="AC758" s="8">
        <v>0</v>
      </c>
      <c r="AD758" s="9">
        <v>0</v>
      </c>
      <c r="AE758" s="325"/>
      <c r="AF758" s="324"/>
      <c r="AG758" s="27">
        <f t="shared" si="366"/>
        <v>0</v>
      </c>
      <c r="AH758" s="28">
        <f t="shared" si="367"/>
        <v>0</v>
      </c>
      <c r="AI758" s="51"/>
      <c r="AJ758" s="1497">
        <f t="shared" si="368"/>
        <v>7599</v>
      </c>
      <c r="AK758" s="8">
        <v>0</v>
      </c>
      <c r="AL758" s="9">
        <v>0</v>
      </c>
      <c r="AM758" s="326">
        <f t="shared" si="372"/>
        <v>0</v>
      </c>
      <c r="AN758" s="970">
        <f t="shared" si="372"/>
        <v>0</v>
      </c>
      <c r="AO758" s="27">
        <f t="shared" si="360"/>
        <v>0</v>
      </c>
      <c r="AP758" s="28">
        <f t="shared" si="361"/>
        <v>0</v>
      </c>
      <c r="AQ758" s="43"/>
      <c r="AR758" s="358">
        <f t="shared" si="369"/>
        <v>0</v>
      </c>
      <c r="AS758" s="359">
        <f t="shared" si="370"/>
        <v>0</v>
      </c>
      <c r="AT758" s="360">
        <f t="shared" si="371"/>
        <v>0</v>
      </c>
      <c r="AU758" s="43"/>
      <c r="AV758" s="43"/>
      <c r="AW758" s="119"/>
      <c r="AX758" s="119"/>
      <c r="AY758" s="43"/>
      <c r="AZ758" s="43"/>
      <c r="BA758" s="43"/>
      <c r="BB758" s="43"/>
      <c r="BC758" s="43"/>
      <c r="BD758" s="43"/>
    </row>
    <row r="759" spans="1:56" ht="15.75">
      <c r="A759" s="88">
        <v>7600</v>
      </c>
      <c r="B759" s="1045" t="s">
        <v>2192</v>
      </c>
      <c r="C759" s="1035"/>
      <c r="D759" s="1035"/>
      <c r="E759" s="1035"/>
      <c r="F759" s="1035"/>
      <c r="G759" s="1035"/>
      <c r="H759" s="1035"/>
      <c r="I759" s="1035"/>
      <c r="J759" s="1035"/>
      <c r="K759" s="1035"/>
      <c r="L759" s="90"/>
      <c r="M759" s="51" t="s">
        <v>265</v>
      </c>
      <c r="N759" s="113">
        <f t="shared" si="363"/>
        <v>7600</v>
      </c>
      <c r="O759" s="8">
        <v>0</v>
      </c>
      <c r="P759" s="9">
        <v>0</v>
      </c>
      <c r="Q759" s="325"/>
      <c r="R759" s="324"/>
      <c r="S759" s="27">
        <f t="shared" si="364"/>
        <v>0</v>
      </c>
      <c r="T759" s="28">
        <f t="shared" si="365"/>
        <v>0</v>
      </c>
      <c r="U759" s="51"/>
      <c r="V759" s="541">
        <f>+'NF-KSF-TRIAL-BAL-2020'!O759+'RA-TRIAL-BAL-2020'!O759+'DES-TRIAL-BAL-2020'!O759+'DMP-TRIAL-BAL-2020'!O759</f>
        <v>0</v>
      </c>
      <c r="W759" s="529">
        <f>+'NF-KSF-TRIAL-BAL-2020'!P759+'RA-TRIAL-BAL-2020'!P759+'DES-TRIAL-BAL-2020'!P759+'DMP-TRIAL-BAL-2020'!P759</f>
        <v>0</v>
      </c>
      <c r="X759" s="528">
        <f>+'NF-KSF-TRIAL-BAL-2020'!Q759+'RA-TRIAL-BAL-2020'!Q759+'DES-TRIAL-BAL-2020'!Q759+'DMP-TRIAL-BAL-2020'!Q759</f>
        <v>0</v>
      </c>
      <c r="Y759" s="529">
        <f>+'NF-KSF-TRIAL-BAL-2020'!R759+'RA-TRIAL-BAL-2020'!R759+'DES-TRIAL-BAL-2020'!R759+'DMP-TRIAL-BAL-2020'!R759</f>
        <v>0</v>
      </c>
      <c r="Z759" s="528">
        <f>+'NF-KSF-TRIAL-BAL-2020'!S759+'RA-TRIAL-BAL-2020'!S759+'DES-TRIAL-BAL-2020'!S759+'DMP-TRIAL-BAL-2020'!S759</f>
        <v>0</v>
      </c>
      <c r="AA759" s="347">
        <f>+'NF-KSF-TRIAL-BAL-2020'!T759+'RA-TRIAL-BAL-2020'!T759+'DES-TRIAL-BAL-2020'!T759+'DMP-TRIAL-BAL-2020'!T759</f>
        <v>0</v>
      </c>
      <c r="AB759" s="51"/>
      <c r="AC759" s="8">
        <v>0</v>
      </c>
      <c r="AD759" s="9">
        <v>0</v>
      </c>
      <c r="AE759" s="325"/>
      <c r="AF759" s="121"/>
      <c r="AG759" s="27">
        <f t="shared" si="366"/>
        <v>0</v>
      </c>
      <c r="AH759" s="28">
        <f t="shared" si="367"/>
        <v>0</v>
      </c>
      <c r="AI759" s="51"/>
      <c r="AJ759" s="1497">
        <f t="shared" si="368"/>
        <v>7600</v>
      </c>
      <c r="AK759" s="8">
        <v>0</v>
      </c>
      <c r="AL759" s="9">
        <v>0</v>
      </c>
      <c r="AM759" s="326">
        <f t="shared" si="372"/>
        <v>0</v>
      </c>
      <c r="AN759" s="970">
        <f t="shared" si="372"/>
        <v>0</v>
      </c>
      <c r="AO759" s="27">
        <f t="shared" si="360"/>
        <v>0</v>
      </c>
      <c r="AP759" s="28">
        <f t="shared" si="361"/>
        <v>0</v>
      </c>
      <c r="AQ759" s="43"/>
      <c r="AR759" s="358">
        <f t="shared" si="369"/>
        <v>0</v>
      </c>
      <c r="AS759" s="359">
        <f t="shared" si="370"/>
        <v>0</v>
      </c>
      <c r="AT759" s="360">
        <f t="shared" si="371"/>
        <v>0</v>
      </c>
      <c r="AU759" s="43"/>
      <c r="AV759" s="43"/>
      <c r="AW759" s="119"/>
      <c r="AX759" s="119"/>
      <c r="AY759" s="43"/>
      <c r="AZ759" s="43"/>
      <c r="BA759" s="43"/>
      <c r="BB759" s="43"/>
      <c r="BC759" s="43"/>
      <c r="BD759" s="43"/>
    </row>
    <row r="760" spans="1:56" ht="15.75">
      <c r="A760" s="88">
        <v>7601</v>
      </c>
      <c r="B760" s="2417" t="s">
        <v>2193</v>
      </c>
      <c r="C760" s="2418"/>
      <c r="D760" s="2418"/>
      <c r="E760" s="2418"/>
      <c r="F760" s="2418"/>
      <c r="G760" s="2418"/>
      <c r="H760" s="2418"/>
      <c r="I760" s="2418"/>
      <c r="J760" s="2418"/>
      <c r="K760" s="1035"/>
      <c r="L760" s="90"/>
      <c r="M760" s="51" t="s">
        <v>265</v>
      </c>
      <c r="N760" s="113">
        <f t="shared" si="363"/>
        <v>7601</v>
      </c>
      <c r="O760" s="8">
        <v>0</v>
      </c>
      <c r="P760" s="9">
        <v>0</v>
      </c>
      <c r="Q760" s="325">
        <v>0</v>
      </c>
      <c r="R760" s="324">
        <v>7591.2</v>
      </c>
      <c r="S760" s="27">
        <f t="shared" si="364"/>
        <v>0</v>
      </c>
      <c r="T760" s="28">
        <f t="shared" si="365"/>
        <v>7591.2</v>
      </c>
      <c r="U760" s="51"/>
      <c r="V760" s="541">
        <f>+'NF-KSF-TRIAL-BAL-2020'!O760+'RA-TRIAL-BAL-2020'!O760+'DES-TRIAL-BAL-2020'!O760+'DMP-TRIAL-BAL-2020'!O760</f>
        <v>0</v>
      </c>
      <c r="W760" s="529">
        <f>+'NF-KSF-TRIAL-BAL-2020'!P760+'RA-TRIAL-BAL-2020'!P760+'DES-TRIAL-BAL-2020'!P760+'DMP-TRIAL-BAL-2020'!P760</f>
        <v>0</v>
      </c>
      <c r="X760" s="528">
        <f>+'NF-KSF-TRIAL-BAL-2020'!Q760+'RA-TRIAL-BAL-2020'!Q760+'DES-TRIAL-BAL-2020'!Q760+'DMP-TRIAL-BAL-2020'!Q760</f>
        <v>0</v>
      </c>
      <c r="Y760" s="529">
        <f>+'NF-KSF-TRIAL-BAL-2020'!R760+'RA-TRIAL-BAL-2020'!R760+'DES-TRIAL-BAL-2020'!R760+'DMP-TRIAL-BAL-2020'!R760</f>
        <v>0</v>
      </c>
      <c r="Z760" s="528">
        <f>+'NF-KSF-TRIAL-BAL-2020'!S760+'RA-TRIAL-BAL-2020'!S760+'DES-TRIAL-BAL-2020'!S760+'DMP-TRIAL-BAL-2020'!S760</f>
        <v>0</v>
      </c>
      <c r="AA760" s="347">
        <f>+'NF-KSF-TRIAL-BAL-2020'!T760+'RA-TRIAL-BAL-2020'!T760+'DES-TRIAL-BAL-2020'!T760+'DMP-TRIAL-BAL-2020'!T760</f>
        <v>0</v>
      </c>
      <c r="AB760" s="51"/>
      <c r="AC760" s="8">
        <v>0</v>
      </c>
      <c r="AD760" s="9">
        <v>0</v>
      </c>
      <c r="AE760" s="29">
        <v>0</v>
      </c>
      <c r="AF760" s="9">
        <v>0</v>
      </c>
      <c r="AG760" s="27">
        <f t="shared" si="366"/>
        <v>0</v>
      </c>
      <c r="AH760" s="28">
        <f t="shared" si="367"/>
        <v>0</v>
      </c>
      <c r="AI760" s="51"/>
      <c r="AJ760" s="1497">
        <f t="shared" si="368"/>
        <v>7601</v>
      </c>
      <c r="AK760" s="8">
        <v>0</v>
      </c>
      <c r="AL760" s="9">
        <v>0</v>
      </c>
      <c r="AM760" s="326">
        <f t="shared" si="372"/>
        <v>0</v>
      </c>
      <c r="AN760" s="970">
        <f t="shared" si="372"/>
        <v>7591.2</v>
      </c>
      <c r="AO760" s="27">
        <f t="shared" si="360"/>
        <v>0</v>
      </c>
      <c r="AP760" s="28">
        <f t="shared" si="361"/>
        <v>7591.2</v>
      </c>
      <c r="AQ760" s="43"/>
      <c r="AR760" s="358">
        <f t="shared" si="369"/>
        <v>0</v>
      </c>
      <c r="AS760" s="359">
        <f t="shared" si="370"/>
        <v>0</v>
      </c>
      <c r="AT760" s="360">
        <f t="shared" si="371"/>
        <v>0</v>
      </c>
      <c r="AU760" s="43"/>
      <c r="AV760" s="43"/>
      <c r="AW760" s="119"/>
      <c r="AX760" s="2125">
        <f>+IF(OR(AC760&lt;&gt;0,AD760&lt;&gt;0,AE760&lt;&gt;0,AF760&lt;&gt;0,AG760&lt;&gt;0,AH760&lt;&gt;0),+IF(ABS(AC760+AE760)-ABS(AD760+AF760)&lt;&gt;0,ABS(AC760+AE760)-ABS(AD760+AF760),1),0)</f>
        <v>0</v>
      </c>
      <c r="AY760" s="43"/>
      <c r="AZ760" s="43"/>
      <c r="BA760" s="43"/>
      <c r="BB760" s="43"/>
      <c r="BC760" s="43"/>
      <c r="BD760" s="43"/>
    </row>
    <row r="761" spans="1:56" ht="15.75">
      <c r="A761" s="88">
        <v>7602</v>
      </c>
      <c r="B761" s="1045" t="s">
        <v>2194</v>
      </c>
      <c r="C761" s="1035"/>
      <c r="D761" s="1035"/>
      <c r="E761" s="1035"/>
      <c r="F761" s="1035"/>
      <c r="G761" s="1035"/>
      <c r="H761" s="1035"/>
      <c r="I761" s="1035"/>
      <c r="J761" s="1035"/>
      <c r="K761" s="1035"/>
      <c r="L761" s="90"/>
      <c r="M761" s="51" t="s">
        <v>265</v>
      </c>
      <c r="N761" s="113">
        <f t="shared" si="363"/>
        <v>7602</v>
      </c>
      <c r="O761" s="8">
        <v>0</v>
      </c>
      <c r="P761" s="9">
        <v>0</v>
      </c>
      <c r="Q761" s="325"/>
      <c r="R761" s="324"/>
      <c r="S761" s="27">
        <f t="shared" si="364"/>
        <v>0</v>
      </c>
      <c r="T761" s="28">
        <f t="shared" si="365"/>
        <v>0</v>
      </c>
      <c r="U761" s="51"/>
      <c r="V761" s="541">
        <f>+'NF-KSF-TRIAL-BAL-2020'!O761+'RA-TRIAL-BAL-2020'!O761+'DES-TRIAL-BAL-2020'!O761+'DMP-TRIAL-BAL-2020'!O761</f>
        <v>0</v>
      </c>
      <c r="W761" s="529">
        <f>+'NF-KSF-TRIAL-BAL-2020'!P761+'RA-TRIAL-BAL-2020'!P761+'DES-TRIAL-BAL-2020'!P761+'DMP-TRIAL-BAL-2020'!P761</f>
        <v>0</v>
      </c>
      <c r="X761" s="528">
        <f>+'NF-KSF-TRIAL-BAL-2020'!Q761+'RA-TRIAL-BAL-2020'!Q761+'DES-TRIAL-BAL-2020'!Q761+'DMP-TRIAL-BAL-2020'!Q761</f>
        <v>0</v>
      </c>
      <c r="Y761" s="529">
        <f>+'NF-KSF-TRIAL-BAL-2020'!R761+'RA-TRIAL-BAL-2020'!R761+'DES-TRIAL-BAL-2020'!R761+'DMP-TRIAL-BAL-2020'!R761</f>
        <v>0</v>
      </c>
      <c r="Z761" s="528">
        <f>+'NF-KSF-TRIAL-BAL-2020'!S761+'RA-TRIAL-BAL-2020'!S761+'DES-TRIAL-BAL-2020'!S761+'DMP-TRIAL-BAL-2020'!S761</f>
        <v>0</v>
      </c>
      <c r="AA761" s="347">
        <f>+'NF-KSF-TRIAL-BAL-2020'!T761+'RA-TRIAL-BAL-2020'!T761+'DES-TRIAL-BAL-2020'!T761+'DMP-TRIAL-BAL-2020'!T761</f>
        <v>0</v>
      </c>
      <c r="AB761" s="51"/>
      <c r="AC761" s="8">
        <v>0</v>
      </c>
      <c r="AD761" s="9">
        <v>0</v>
      </c>
      <c r="AE761" s="122"/>
      <c r="AF761" s="121"/>
      <c r="AG761" s="27">
        <f t="shared" si="366"/>
        <v>0</v>
      </c>
      <c r="AH761" s="28">
        <f t="shared" si="367"/>
        <v>0</v>
      </c>
      <c r="AI761" s="51"/>
      <c r="AJ761" s="1497">
        <f t="shared" si="368"/>
        <v>7602</v>
      </c>
      <c r="AK761" s="8">
        <v>0</v>
      </c>
      <c r="AL761" s="9">
        <v>0</v>
      </c>
      <c r="AM761" s="326">
        <f t="shared" si="372"/>
        <v>0</v>
      </c>
      <c r="AN761" s="970">
        <f t="shared" si="372"/>
        <v>0</v>
      </c>
      <c r="AO761" s="27">
        <f t="shared" si="360"/>
        <v>0</v>
      </c>
      <c r="AP761" s="28">
        <f t="shared" si="361"/>
        <v>0</v>
      </c>
      <c r="AQ761" s="43"/>
      <c r="AR761" s="358">
        <f t="shared" si="369"/>
        <v>0</v>
      </c>
      <c r="AS761" s="359">
        <f t="shared" si="370"/>
        <v>0</v>
      </c>
      <c r="AT761" s="360">
        <f t="shared" si="371"/>
        <v>0</v>
      </c>
      <c r="AU761" s="43"/>
      <c r="AV761" s="43"/>
      <c r="AW761" s="119"/>
      <c r="AX761" s="119"/>
      <c r="AY761" s="43"/>
      <c r="AZ761" s="43"/>
      <c r="BA761" s="43"/>
      <c r="BB761" s="43"/>
      <c r="BC761" s="43"/>
      <c r="BD761" s="43"/>
    </row>
    <row r="762" spans="1:56" ht="15.75">
      <c r="A762" s="88">
        <v>7603</v>
      </c>
      <c r="B762" s="2417" t="s">
        <v>2195</v>
      </c>
      <c r="C762" s="2419"/>
      <c r="D762" s="2419"/>
      <c r="E762" s="2419"/>
      <c r="F762" s="2419"/>
      <c r="G762" s="2419"/>
      <c r="H762" s="2419"/>
      <c r="I762" s="2419"/>
      <c r="J762" s="2419"/>
      <c r="K762" s="2419"/>
      <c r="L762" s="90"/>
      <c r="M762" s="51" t="s">
        <v>265</v>
      </c>
      <c r="N762" s="113">
        <f>+A762</f>
        <v>7603</v>
      </c>
      <c r="O762" s="8">
        <v>0</v>
      </c>
      <c r="P762" s="9">
        <v>0</v>
      </c>
      <c r="Q762" s="29">
        <v>0</v>
      </c>
      <c r="R762" s="9">
        <v>0</v>
      </c>
      <c r="S762" s="27">
        <f t="shared" ref="S762:S767" si="373">+IF(ABS(+O762+Q762)&gt;=ABS(P762+R762),+O762-P762+Q762-R762,0)</f>
        <v>0</v>
      </c>
      <c r="T762" s="28">
        <f t="shared" ref="T762:T769" si="374">+IF(ABS(+O762+Q762)&lt;=ABS(P762+R762),-O762+P762-Q762+R762,0)</f>
        <v>0</v>
      </c>
      <c r="U762" s="51"/>
      <c r="V762" s="541">
        <f>+'NF-KSF-TRIAL-BAL-2020'!O762+'RA-TRIAL-BAL-2020'!O762+'DES-TRIAL-BAL-2020'!O762+'DMP-TRIAL-BAL-2020'!O762</f>
        <v>0</v>
      </c>
      <c r="W762" s="529">
        <f>+'NF-KSF-TRIAL-BAL-2020'!P762+'RA-TRIAL-BAL-2020'!P762+'DES-TRIAL-BAL-2020'!P762+'DMP-TRIAL-BAL-2020'!P762</f>
        <v>0</v>
      </c>
      <c r="X762" s="528">
        <f>+'NF-KSF-TRIAL-BAL-2020'!Q762+'RA-TRIAL-BAL-2020'!Q762+'DES-TRIAL-BAL-2020'!Q762+'DMP-TRIAL-BAL-2020'!Q762</f>
        <v>0</v>
      </c>
      <c r="Y762" s="529">
        <f>+'NF-KSF-TRIAL-BAL-2020'!R762+'RA-TRIAL-BAL-2020'!R762+'DES-TRIAL-BAL-2020'!R762+'DMP-TRIAL-BAL-2020'!R762</f>
        <v>0</v>
      </c>
      <c r="Z762" s="528">
        <f>+'NF-KSF-TRIAL-BAL-2020'!S762+'RA-TRIAL-BAL-2020'!S762+'DES-TRIAL-BAL-2020'!S762+'DMP-TRIAL-BAL-2020'!S762</f>
        <v>0</v>
      </c>
      <c r="AA762" s="347">
        <f>+'NF-KSF-TRIAL-BAL-2020'!T762+'RA-TRIAL-BAL-2020'!T762+'DES-TRIAL-BAL-2020'!T762+'DMP-TRIAL-BAL-2020'!T762</f>
        <v>0</v>
      </c>
      <c r="AB762" s="51"/>
      <c r="AC762" s="8">
        <v>0</v>
      </c>
      <c r="AD762" s="9">
        <v>0</v>
      </c>
      <c r="AE762" s="325"/>
      <c r="AF762" s="324"/>
      <c r="AG762" s="27">
        <f t="shared" ref="AG762:AG767" si="375">+IF(ABS(+AC762+AE762)&gt;=ABS(AD762+AF762),+AC762-AD762+AE762-AF762,0)</f>
        <v>0</v>
      </c>
      <c r="AH762" s="28">
        <f t="shared" ref="AH762:AH769" si="376">+IF(ABS(+AC762+AE762)&lt;=ABS(AD762+AF762),-AC762+AD762-AE762+AF762,0)</f>
        <v>0</v>
      </c>
      <c r="AI762" s="51"/>
      <c r="AJ762" s="1497">
        <f>+N762</f>
        <v>7603</v>
      </c>
      <c r="AK762" s="8">
        <v>0</v>
      </c>
      <c r="AL762" s="9">
        <v>0</v>
      </c>
      <c r="AM762" s="326">
        <f>+ROUND(+Q762+X762+AE762,2)</f>
        <v>0</v>
      </c>
      <c r="AN762" s="970">
        <f>+ROUND(+R762+Y762+AF762,2)</f>
        <v>0</v>
      </c>
      <c r="AO762" s="27">
        <f t="shared" si="360"/>
        <v>0</v>
      </c>
      <c r="AP762" s="28">
        <f t="shared" si="361"/>
        <v>0</v>
      </c>
      <c r="AQ762" s="43"/>
      <c r="AR762" s="358">
        <f>+ROUND(+SUM(AK762-AL762)-SUM(O762-P762)-SUM(V762-W762)-SUM(AC762-AD762),2)</f>
        <v>0</v>
      </c>
      <c r="AS762" s="359">
        <f>+ROUND(+SUM(AM762-AN762)-SUM(Q762-R762)-SUM(X762-Y762)-SUM(AE762-AF762),2)</f>
        <v>0</v>
      </c>
      <c r="AT762" s="360">
        <f>+ROUND(+SUM(AO762-AP762)-SUM(S762-T762)-SUM(Z762-AA762)-SUM(AG762-AH762),2)</f>
        <v>0</v>
      </c>
      <c r="AU762" s="43"/>
      <c r="AV762" s="2125">
        <f>+IF(OR(O762&lt;&gt;0,P762&lt;&gt;0,Q762&lt;&gt;0,R762&lt;&gt;0,S762&lt;&gt;0,T762&lt;&gt;0),+IF(ABS(O762+Q762)-ABS(P762+R762)&lt;&gt;0,ABS(O762+Q762)-ABS(P762+R762),1),0)</f>
        <v>0</v>
      </c>
      <c r="AW762" s="119"/>
      <c r="AX762" s="119"/>
      <c r="AY762" s="43"/>
      <c r="AZ762" s="43"/>
      <c r="BA762" s="43"/>
      <c r="BB762" s="43"/>
      <c r="BC762" s="43"/>
      <c r="BD762" s="43"/>
    </row>
    <row r="763" spans="1:56" ht="15.75">
      <c r="A763" s="88">
        <v>7609</v>
      </c>
      <c r="B763" s="1042" t="s">
        <v>67</v>
      </c>
      <c r="C763" s="1051"/>
      <c r="D763" s="1051"/>
      <c r="E763" s="1051"/>
      <c r="F763" s="1051"/>
      <c r="G763" s="1051"/>
      <c r="H763" s="1051"/>
      <c r="I763" s="1051"/>
      <c r="J763" s="1051"/>
      <c r="K763" s="1051"/>
      <c r="L763" s="90"/>
      <c r="M763" s="51" t="s">
        <v>265</v>
      </c>
      <c r="N763" s="113">
        <f>+A763</f>
        <v>7609</v>
      </c>
      <c r="O763" s="8">
        <v>0</v>
      </c>
      <c r="P763" s="9">
        <v>0</v>
      </c>
      <c r="Q763" s="29">
        <v>0</v>
      </c>
      <c r="R763" s="9">
        <v>0</v>
      </c>
      <c r="S763" s="27">
        <f t="shared" si="373"/>
        <v>0</v>
      </c>
      <c r="T763" s="28">
        <f t="shared" si="374"/>
        <v>0</v>
      </c>
      <c r="U763" s="51"/>
      <c r="V763" s="541">
        <f>+'NF-KSF-TRIAL-BAL-2020'!O763+'RA-TRIAL-BAL-2020'!O763+'DES-TRIAL-BAL-2020'!O763+'DMP-TRIAL-BAL-2020'!O763</f>
        <v>0</v>
      </c>
      <c r="W763" s="529">
        <f>+'NF-KSF-TRIAL-BAL-2020'!P763+'RA-TRIAL-BAL-2020'!P763+'DES-TRIAL-BAL-2020'!P763+'DMP-TRIAL-BAL-2020'!P763</f>
        <v>0</v>
      </c>
      <c r="X763" s="528">
        <f>+'NF-KSF-TRIAL-BAL-2020'!Q763+'RA-TRIAL-BAL-2020'!Q763+'DES-TRIAL-BAL-2020'!Q763+'DMP-TRIAL-BAL-2020'!Q763</f>
        <v>0</v>
      </c>
      <c r="Y763" s="529">
        <f>+'NF-KSF-TRIAL-BAL-2020'!R763+'RA-TRIAL-BAL-2020'!R763+'DES-TRIAL-BAL-2020'!R763+'DMP-TRIAL-BAL-2020'!R763</f>
        <v>0</v>
      </c>
      <c r="Z763" s="528">
        <f>+'NF-KSF-TRIAL-BAL-2020'!S763+'RA-TRIAL-BAL-2020'!S763+'DES-TRIAL-BAL-2020'!S763+'DMP-TRIAL-BAL-2020'!S763</f>
        <v>0</v>
      </c>
      <c r="AA763" s="347">
        <f>+'NF-KSF-TRIAL-BAL-2020'!T763+'RA-TRIAL-BAL-2020'!T763+'DES-TRIAL-BAL-2020'!T763+'DMP-TRIAL-BAL-2020'!T763</f>
        <v>0</v>
      </c>
      <c r="AB763" s="51"/>
      <c r="AC763" s="8">
        <v>0</v>
      </c>
      <c r="AD763" s="9">
        <v>0</v>
      </c>
      <c r="AE763" s="325">
        <v>0</v>
      </c>
      <c r="AF763" s="324">
        <v>0</v>
      </c>
      <c r="AG763" s="27">
        <f t="shared" si="375"/>
        <v>0</v>
      </c>
      <c r="AH763" s="28">
        <f t="shared" si="376"/>
        <v>0</v>
      </c>
      <c r="AI763" s="51"/>
      <c r="AJ763" s="1497">
        <f>+N763</f>
        <v>7609</v>
      </c>
      <c r="AK763" s="8">
        <v>0</v>
      </c>
      <c r="AL763" s="9">
        <v>0</v>
      </c>
      <c r="AM763" s="326">
        <f>+ROUND(+Q763+X763+AE763,2)</f>
        <v>0</v>
      </c>
      <c r="AN763" s="970">
        <f>+ROUND(+R763+Y763+AF763,2)</f>
        <v>0</v>
      </c>
      <c r="AO763" s="27">
        <f t="shared" si="360"/>
        <v>0</v>
      </c>
      <c r="AP763" s="28">
        <f t="shared" si="361"/>
        <v>0</v>
      </c>
      <c r="AQ763" s="43"/>
      <c r="AR763" s="358">
        <f>+ROUND(+SUM(AK763-AL763)-SUM(O763-P763)-SUM(V763-W763)-SUM(AC763-AD763),2)</f>
        <v>0</v>
      </c>
      <c r="AS763" s="359">
        <f>+ROUND(+SUM(AM763-AN763)-SUM(Q763-R763)-SUM(X763-Y763)-SUM(AE763-AF763),2)</f>
        <v>0</v>
      </c>
      <c r="AT763" s="360">
        <f>+ROUND(+SUM(AO763-AP763)-SUM(S763-T763)-SUM(Z763-AA763)-SUM(AG763-AH763),2)</f>
        <v>0</v>
      </c>
      <c r="AU763" s="43"/>
      <c r="AV763" s="2125">
        <f>+IF(OR(O763&lt;&gt;0,P763&lt;&gt;0,Q763&lt;&gt;0,R763&lt;&gt;0,S763&lt;&gt;0,T763&lt;&gt;0),+IF(ABS(O763+Q763)-ABS(P763+R763)&lt;&gt;0,ABS(O763+Q763)-ABS(P763+R763),1),0)</f>
        <v>0</v>
      </c>
      <c r="AW763" s="119"/>
      <c r="AX763" s="119"/>
      <c r="AY763" s="43"/>
      <c r="AZ763" s="43"/>
      <c r="BA763" s="43"/>
      <c r="BB763" s="43"/>
      <c r="BC763" s="43"/>
      <c r="BD763" s="43"/>
    </row>
    <row r="764" spans="1:56" ht="15.75">
      <c r="A764" s="88">
        <v>7612</v>
      </c>
      <c r="B764" s="1033" t="s">
        <v>68</v>
      </c>
      <c r="C764" s="1033"/>
      <c r="D764" s="1033"/>
      <c r="E764" s="1033"/>
      <c r="F764" s="1033"/>
      <c r="G764" s="1033"/>
      <c r="H764" s="1033"/>
      <c r="I764" s="1033"/>
      <c r="J764" s="1033"/>
      <c r="K764" s="1033"/>
      <c r="L764" s="90"/>
      <c r="M764" s="51" t="s">
        <v>265</v>
      </c>
      <c r="N764" s="113">
        <f t="shared" si="333"/>
        <v>7612</v>
      </c>
      <c r="O764" s="8">
        <v>0</v>
      </c>
      <c r="P764" s="9">
        <v>0</v>
      </c>
      <c r="Q764" s="325">
        <v>0</v>
      </c>
      <c r="R764" s="324">
        <v>0</v>
      </c>
      <c r="S764" s="27">
        <f t="shared" si="373"/>
        <v>0</v>
      </c>
      <c r="T764" s="28">
        <f t="shared" si="374"/>
        <v>0</v>
      </c>
      <c r="U764" s="51"/>
      <c r="V764" s="541">
        <f>+'NF-KSF-TRIAL-BAL-2020'!O764+'RA-TRIAL-BAL-2020'!O764+'DES-TRIAL-BAL-2020'!O764+'DMP-TRIAL-BAL-2020'!O764</f>
        <v>0</v>
      </c>
      <c r="W764" s="529">
        <f>+'NF-KSF-TRIAL-BAL-2020'!P764+'RA-TRIAL-BAL-2020'!P764+'DES-TRIAL-BAL-2020'!P764+'DMP-TRIAL-BAL-2020'!P764</f>
        <v>0</v>
      </c>
      <c r="X764" s="528">
        <f>+'NF-KSF-TRIAL-BAL-2020'!Q764+'RA-TRIAL-BAL-2020'!Q764+'DES-TRIAL-BAL-2020'!Q764+'DMP-TRIAL-BAL-2020'!Q764</f>
        <v>0</v>
      </c>
      <c r="Y764" s="529">
        <f>+'NF-KSF-TRIAL-BAL-2020'!R764+'RA-TRIAL-BAL-2020'!R764+'DES-TRIAL-BAL-2020'!R764+'DMP-TRIAL-BAL-2020'!R764</f>
        <v>0</v>
      </c>
      <c r="Z764" s="528">
        <f>+'NF-KSF-TRIAL-BAL-2020'!S764+'RA-TRIAL-BAL-2020'!S764+'DES-TRIAL-BAL-2020'!S764+'DMP-TRIAL-BAL-2020'!S764</f>
        <v>0</v>
      </c>
      <c r="AA764" s="347">
        <f>+'NF-KSF-TRIAL-BAL-2020'!T764+'RA-TRIAL-BAL-2020'!T764+'DES-TRIAL-BAL-2020'!T764+'DMP-TRIAL-BAL-2020'!T764</f>
        <v>0</v>
      </c>
      <c r="AB764" s="51"/>
      <c r="AC764" s="8">
        <v>0</v>
      </c>
      <c r="AD764" s="9">
        <v>0</v>
      </c>
      <c r="AE764" s="122">
        <v>0</v>
      </c>
      <c r="AF764" s="121">
        <v>0</v>
      </c>
      <c r="AG764" s="27">
        <f t="shared" si="375"/>
        <v>0</v>
      </c>
      <c r="AH764" s="28">
        <f t="shared" si="376"/>
        <v>0</v>
      </c>
      <c r="AI764" s="51"/>
      <c r="AJ764" s="1497">
        <f t="shared" si="351"/>
        <v>7612</v>
      </c>
      <c r="AK764" s="8">
        <v>0</v>
      </c>
      <c r="AL764" s="9">
        <v>0</v>
      </c>
      <c r="AM764" s="326">
        <f t="shared" si="341"/>
        <v>0</v>
      </c>
      <c r="AN764" s="970">
        <f t="shared" si="341"/>
        <v>0</v>
      </c>
      <c r="AO764" s="27">
        <f t="shared" si="360"/>
        <v>0</v>
      </c>
      <c r="AP764" s="28">
        <f t="shared" si="361"/>
        <v>0</v>
      </c>
      <c r="AQ764" s="43"/>
      <c r="AR764" s="358">
        <f t="shared" si="330"/>
        <v>0</v>
      </c>
      <c r="AS764" s="359">
        <f t="shared" si="331"/>
        <v>0</v>
      </c>
      <c r="AT764" s="360">
        <f t="shared" si="332"/>
        <v>0</v>
      </c>
      <c r="AU764" s="43"/>
      <c r="AV764" s="43"/>
      <c r="AW764" s="119"/>
      <c r="AX764" s="119"/>
      <c r="AY764" s="43"/>
      <c r="AZ764" s="43"/>
      <c r="BA764" s="43"/>
      <c r="BB764" s="43"/>
      <c r="BC764" s="43"/>
      <c r="BD764" s="43"/>
    </row>
    <row r="765" spans="1:56" ht="15.75">
      <c r="A765" s="88">
        <v>7613</v>
      </c>
      <c r="B765" s="1042" t="s">
        <v>69</v>
      </c>
      <c r="C765" s="1051"/>
      <c r="D765" s="1051"/>
      <c r="E765" s="1051"/>
      <c r="F765" s="1051"/>
      <c r="G765" s="1051"/>
      <c r="H765" s="1051"/>
      <c r="I765" s="1051"/>
      <c r="J765" s="1051"/>
      <c r="K765" s="1051"/>
      <c r="L765" s="90"/>
      <c r="M765" s="51" t="s">
        <v>265</v>
      </c>
      <c r="N765" s="113">
        <f t="shared" si="333"/>
        <v>7613</v>
      </c>
      <c r="O765" s="8">
        <v>0</v>
      </c>
      <c r="P765" s="9">
        <v>0</v>
      </c>
      <c r="Q765" s="325">
        <v>0</v>
      </c>
      <c r="R765" s="324">
        <v>0</v>
      </c>
      <c r="S765" s="27">
        <f t="shared" si="373"/>
        <v>0</v>
      </c>
      <c r="T765" s="28">
        <f t="shared" si="374"/>
        <v>0</v>
      </c>
      <c r="U765" s="51"/>
      <c r="V765" s="541">
        <f>+'NF-KSF-TRIAL-BAL-2020'!O765+'RA-TRIAL-BAL-2020'!O765+'DES-TRIAL-BAL-2020'!O765+'DMP-TRIAL-BAL-2020'!O765</f>
        <v>0</v>
      </c>
      <c r="W765" s="529">
        <f>+'NF-KSF-TRIAL-BAL-2020'!P765+'RA-TRIAL-BAL-2020'!P765+'DES-TRIAL-BAL-2020'!P765+'DMP-TRIAL-BAL-2020'!P765</f>
        <v>0</v>
      </c>
      <c r="X765" s="528">
        <f>+'NF-KSF-TRIAL-BAL-2020'!Q765+'RA-TRIAL-BAL-2020'!Q765+'DES-TRIAL-BAL-2020'!Q765+'DMP-TRIAL-BAL-2020'!Q765</f>
        <v>0</v>
      </c>
      <c r="Y765" s="529">
        <f>+'NF-KSF-TRIAL-BAL-2020'!R765+'RA-TRIAL-BAL-2020'!R765+'DES-TRIAL-BAL-2020'!R765+'DMP-TRIAL-BAL-2020'!R765</f>
        <v>0</v>
      </c>
      <c r="Z765" s="528">
        <f>+'NF-KSF-TRIAL-BAL-2020'!S765+'RA-TRIAL-BAL-2020'!S765+'DES-TRIAL-BAL-2020'!S765+'DMP-TRIAL-BAL-2020'!S765</f>
        <v>0</v>
      </c>
      <c r="AA765" s="347">
        <f>+'NF-KSF-TRIAL-BAL-2020'!T765+'RA-TRIAL-BAL-2020'!T765+'DES-TRIAL-BAL-2020'!T765+'DMP-TRIAL-BAL-2020'!T765</f>
        <v>0</v>
      </c>
      <c r="AB765" s="51"/>
      <c r="AC765" s="8">
        <v>0</v>
      </c>
      <c r="AD765" s="9">
        <v>0</v>
      </c>
      <c r="AE765" s="122">
        <v>0</v>
      </c>
      <c r="AF765" s="121">
        <v>0</v>
      </c>
      <c r="AG765" s="27">
        <f t="shared" si="375"/>
        <v>0</v>
      </c>
      <c r="AH765" s="28">
        <f t="shared" si="376"/>
        <v>0</v>
      </c>
      <c r="AI765" s="51"/>
      <c r="AJ765" s="1497">
        <f t="shared" si="351"/>
        <v>7613</v>
      </c>
      <c r="AK765" s="8">
        <v>0</v>
      </c>
      <c r="AL765" s="9">
        <v>0</v>
      </c>
      <c r="AM765" s="326">
        <f t="shared" si="341"/>
        <v>0</v>
      </c>
      <c r="AN765" s="970">
        <f t="shared" si="341"/>
        <v>0</v>
      </c>
      <c r="AO765" s="27">
        <f t="shared" si="360"/>
        <v>0</v>
      </c>
      <c r="AP765" s="28">
        <f t="shared" si="361"/>
        <v>0</v>
      </c>
      <c r="AQ765" s="43"/>
      <c r="AR765" s="358">
        <f t="shared" si="330"/>
        <v>0</v>
      </c>
      <c r="AS765" s="359">
        <f t="shared" si="331"/>
        <v>0</v>
      </c>
      <c r="AT765" s="360">
        <f t="shared" si="332"/>
        <v>0</v>
      </c>
      <c r="AU765" s="43"/>
      <c r="AV765" s="43"/>
      <c r="AW765" s="119"/>
      <c r="AX765" s="119"/>
      <c r="AY765" s="43"/>
      <c r="AZ765" s="43"/>
      <c r="BA765" s="43"/>
      <c r="BB765" s="43"/>
      <c r="BC765" s="43"/>
      <c r="BD765" s="43"/>
    </row>
    <row r="766" spans="1:56" ht="15.75">
      <c r="A766" s="88">
        <v>7614</v>
      </c>
      <c r="B766" s="1042" t="s">
        <v>70</v>
      </c>
      <c r="C766" s="1051"/>
      <c r="D766" s="1051"/>
      <c r="E766" s="1051"/>
      <c r="F766" s="1051"/>
      <c r="G766" s="1051"/>
      <c r="H766" s="1051"/>
      <c r="I766" s="1051"/>
      <c r="J766" s="1051"/>
      <c r="K766" s="1051"/>
      <c r="L766" s="90"/>
      <c r="M766" s="51" t="s">
        <v>265</v>
      </c>
      <c r="N766" s="113">
        <f t="shared" si="333"/>
        <v>7614</v>
      </c>
      <c r="O766" s="8">
        <v>0</v>
      </c>
      <c r="P766" s="9">
        <v>0</v>
      </c>
      <c r="Q766" s="325"/>
      <c r="R766" s="324"/>
      <c r="S766" s="27">
        <f t="shared" si="373"/>
        <v>0</v>
      </c>
      <c r="T766" s="28">
        <f t="shared" si="374"/>
        <v>0</v>
      </c>
      <c r="U766" s="51"/>
      <c r="V766" s="541">
        <f>+'NF-KSF-TRIAL-BAL-2020'!O766+'RA-TRIAL-BAL-2020'!O766+'DES-TRIAL-BAL-2020'!O766+'DMP-TRIAL-BAL-2020'!O766</f>
        <v>0</v>
      </c>
      <c r="W766" s="529">
        <f>+'NF-KSF-TRIAL-BAL-2020'!P766+'RA-TRIAL-BAL-2020'!P766+'DES-TRIAL-BAL-2020'!P766+'DMP-TRIAL-BAL-2020'!P766</f>
        <v>0</v>
      </c>
      <c r="X766" s="528">
        <f>+'NF-KSF-TRIAL-BAL-2020'!Q766+'RA-TRIAL-BAL-2020'!Q766+'DES-TRIAL-BAL-2020'!Q766+'DMP-TRIAL-BAL-2020'!Q766</f>
        <v>0</v>
      </c>
      <c r="Y766" s="529">
        <f>+'NF-KSF-TRIAL-BAL-2020'!R766+'RA-TRIAL-BAL-2020'!R766+'DES-TRIAL-BAL-2020'!R766+'DMP-TRIAL-BAL-2020'!R766</f>
        <v>0</v>
      </c>
      <c r="Z766" s="528">
        <f>+'NF-KSF-TRIAL-BAL-2020'!S766+'RA-TRIAL-BAL-2020'!S766+'DES-TRIAL-BAL-2020'!S766+'DMP-TRIAL-BAL-2020'!S766</f>
        <v>0</v>
      </c>
      <c r="AA766" s="347">
        <f>+'NF-KSF-TRIAL-BAL-2020'!T766+'RA-TRIAL-BAL-2020'!T766+'DES-TRIAL-BAL-2020'!T766+'DMP-TRIAL-BAL-2020'!T766</f>
        <v>0</v>
      </c>
      <c r="AB766" s="51"/>
      <c r="AC766" s="8">
        <v>0</v>
      </c>
      <c r="AD766" s="9">
        <v>0</v>
      </c>
      <c r="AE766" s="325"/>
      <c r="AF766" s="324"/>
      <c r="AG766" s="27">
        <f t="shared" si="375"/>
        <v>0</v>
      </c>
      <c r="AH766" s="28">
        <f t="shared" si="376"/>
        <v>0</v>
      </c>
      <c r="AI766" s="51"/>
      <c r="AJ766" s="1497">
        <f t="shared" si="351"/>
        <v>7614</v>
      </c>
      <c r="AK766" s="8">
        <v>0</v>
      </c>
      <c r="AL766" s="9">
        <v>0</v>
      </c>
      <c r="AM766" s="326">
        <f t="shared" si="341"/>
        <v>0</v>
      </c>
      <c r="AN766" s="970">
        <f t="shared" si="341"/>
        <v>0</v>
      </c>
      <c r="AO766" s="27">
        <f t="shared" si="360"/>
        <v>0</v>
      </c>
      <c r="AP766" s="28">
        <f t="shared" si="361"/>
        <v>0</v>
      </c>
      <c r="AQ766" s="43"/>
      <c r="AR766" s="358">
        <f t="shared" si="330"/>
        <v>0</v>
      </c>
      <c r="AS766" s="359">
        <f t="shared" si="331"/>
        <v>0</v>
      </c>
      <c r="AT766" s="360">
        <f t="shared" si="332"/>
        <v>0</v>
      </c>
      <c r="AU766" s="43"/>
      <c r="AV766" s="43"/>
      <c r="AW766" s="119"/>
      <c r="AX766" s="119"/>
      <c r="AY766" s="43"/>
      <c r="AZ766" s="43"/>
      <c r="BA766" s="43"/>
      <c r="BB766" s="43"/>
      <c r="BC766" s="43"/>
      <c r="BD766" s="43"/>
    </row>
    <row r="767" spans="1:56" ht="15.75">
      <c r="A767" s="88">
        <v>7615</v>
      </c>
      <c r="B767" s="1042" t="s">
        <v>71</v>
      </c>
      <c r="C767" s="1051"/>
      <c r="D767" s="1051"/>
      <c r="E767" s="1051"/>
      <c r="F767" s="1051"/>
      <c r="G767" s="1051"/>
      <c r="H767" s="1051"/>
      <c r="I767" s="1051"/>
      <c r="J767" s="1051"/>
      <c r="K767" s="1051"/>
      <c r="L767" s="90"/>
      <c r="M767" s="51" t="s">
        <v>265</v>
      </c>
      <c r="N767" s="113">
        <f t="shared" si="333"/>
        <v>7615</v>
      </c>
      <c r="O767" s="8">
        <v>0</v>
      </c>
      <c r="P767" s="9">
        <v>0</v>
      </c>
      <c r="Q767" s="325"/>
      <c r="R767" s="324"/>
      <c r="S767" s="27">
        <f t="shared" si="373"/>
        <v>0</v>
      </c>
      <c r="T767" s="28">
        <f t="shared" si="374"/>
        <v>0</v>
      </c>
      <c r="U767" s="51"/>
      <c r="V767" s="541">
        <f>+'NF-KSF-TRIAL-BAL-2020'!O767+'RA-TRIAL-BAL-2020'!O767+'DES-TRIAL-BAL-2020'!O767+'DMP-TRIAL-BAL-2020'!O767</f>
        <v>0</v>
      </c>
      <c r="W767" s="529">
        <f>+'NF-KSF-TRIAL-BAL-2020'!P767+'RA-TRIAL-BAL-2020'!P767+'DES-TRIAL-BAL-2020'!P767+'DMP-TRIAL-BAL-2020'!P767</f>
        <v>0</v>
      </c>
      <c r="X767" s="528">
        <f>+'NF-KSF-TRIAL-BAL-2020'!Q767+'RA-TRIAL-BAL-2020'!Q767+'DES-TRIAL-BAL-2020'!Q767+'DMP-TRIAL-BAL-2020'!Q767</f>
        <v>0</v>
      </c>
      <c r="Y767" s="529">
        <f>+'NF-KSF-TRIAL-BAL-2020'!R767+'RA-TRIAL-BAL-2020'!R767+'DES-TRIAL-BAL-2020'!R767+'DMP-TRIAL-BAL-2020'!R767</f>
        <v>0</v>
      </c>
      <c r="Z767" s="528">
        <f>+'NF-KSF-TRIAL-BAL-2020'!S767+'RA-TRIAL-BAL-2020'!S767+'DES-TRIAL-BAL-2020'!S767+'DMP-TRIAL-BAL-2020'!S767</f>
        <v>0</v>
      </c>
      <c r="AA767" s="347">
        <f>+'NF-KSF-TRIAL-BAL-2020'!T767+'RA-TRIAL-BAL-2020'!T767+'DES-TRIAL-BAL-2020'!T767+'DMP-TRIAL-BAL-2020'!T767</f>
        <v>0</v>
      </c>
      <c r="AB767" s="51"/>
      <c r="AC767" s="8">
        <v>0</v>
      </c>
      <c r="AD767" s="9">
        <v>0</v>
      </c>
      <c r="AE767" s="122"/>
      <c r="AF767" s="121"/>
      <c r="AG767" s="27">
        <f t="shared" si="375"/>
        <v>0</v>
      </c>
      <c r="AH767" s="28">
        <f t="shared" si="376"/>
        <v>0</v>
      </c>
      <c r="AI767" s="51"/>
      <c r="AJ767" s="1497">
        <f t="shared" si="351"/>
        <v>7615</v>
      </c>
      <c r="AK767" s="8">
        <v>0</v>
      </c>
      <c r="AL767" s="9">
        <v>0</v>
      </c>
      <c r="AM767" s="326">
        <f t="shared" si="341"/>
        <v>0</v>
      </c>
      <c r="AN767" s="970">
        <f t="shared" si="341"/>
        <v>0</v>
      </c>
      <c r="AO767" s="27">
        <f t="shared" si="360"/>
        <v>0</v>
      </c>
      <c r="AP767" s="28">
        <f t="shared" si="361"/>
        <v>0</v>
      </c>
      <c r="AQ767" s="43"/>
      <c r="AR767" s="358">
        <f t="shared" si="330"/>
        <v>0</v>
      </c>
      <c r="AS767" s="359">
        <f t="shared" si="331"/>
        <v>0</v>
      </c>
      <c r="AT767" s="360">
        <f t="shared" si="332"/>
        <v>0</v>
      </c>
      <c r="AU767" s="43"/>
      <c r="AV767" s="43"/>
      <c r="AW767" s="119"/>
      <c r="AX767" s="119"/>
      <c r="AY767" s="43"/>
      <c r="AZ767" s="43"/>
      <c r="BA767" s="43"/>
      <c r="BB767" s="43"/>
      <c r="BC767" s="43"/>
      <c r="BD767" s="43"/>
    </row>
    <row r="768" spans="1:56" ht="15.75">
      <c r="A768" s="88">
        <v>7617</v>
      </c>
      <c r="B768" s="1033" t="s">
        <v>72</v>
      </c>
      <c r="C768" s="1033"/>
      <c r="D768" s="1033"/>
      <c r="E768" s="1033"/>
      <c r="F768" s="1033"/>
      <c r="G768" s="1033"/>
      <c r="H768" s="1033"/>
      <c r="I768" s="1033"/>
      <c r="J768" s="1033"/>
      <c r="K768" s="1033"/>
      <c r="L768" s="90"/>
      <c r="M768" s="51" t="s">
        <v>265</v>
      </c>
      <c r="N768" s="113">
        <f t="shared" si="333"/>
        <v>7617</v>
      </c>
      <c r="O768" s="8">
        <v>0</v>
      </c>
      <c r="P768" s="9">
        <v>0</v>
      </c>
      <c r="Q768" s="325">
        <v>0</v>
      </c>
      <c r="R768" s="324">
        <v>0</v>
      </c>
      <c r="S768" s="27">
        <f t="shared" ref="S768:S791" si="377">+IF(ABS(+O768+Q768)&gt;=ABS(P768+R768),+O768-P768+Q768-R768,0)</f>
        <v>0</v>
      </c>
      <c r="T768" s="28">
        <f t="shared" si="374"/>
        <v>0</v>
      </c>
      <c r="U768" s="51"/>
      <c r="V768" s="541">
        <f>+'NF-KSF-TRIAL-BAL-2020'!O768+'RA-TRIAL-BAL-2020'!O768+'DES-TRIAL-BAL-2020'!O768+'DMP-TRIAL-BAL-2020'!O768</f>
        <v>0</v>
      </c>
      <c r="W768" s="529">
        <f>+'NF-KSF-TRIAL-BAL-2020'!P768+'RA-TRIAL-BAL-2020'!P768+'DES-TRIAL-BAL-2020'!P768+'DMP-TRIAL-BAL-2020'!P768</f>
        <v>0</v>
      </c>
      <c r="X768" s="528">
        <f>+'NF-KSF-TRIAL-BAL-2020'!Q768+'RA-TRIAL-BAL-2020'!Q768+'DES-TRIAL-BAL-2020'!Q768+'DMP-TRIAL-BAL-2020'!Q768</f>
        <v>0</v>
      </c>
      <c r="Y768" s="529">
        <f>+'NF-KSF-TRIAL-BAL-2020'!R768+'RA-TRIAL-BAL-2020'!R768+'DES-TRIAL-BAL-2020'!R768+'DMP-TRIAL-BAL-2020'!R768</f>
        <v>0</v>
      </c>
      <c r="Z768" s="528">
        <f>+'NF-KSF-TRIAL-BAL-2020'!S768+'RA-TRIAL-BAL-2020'!S768+'DES-TRIAL-BAL-2020'!S768+'DMP-TRIAL-BAL-2020'!S768</f>
        <v>0</v>
      </c>
      <c r="AA768" s="347">
        <f>+'NF-KSF-TRIAL-BAL-2020'!T768+'RA-TRIAL-BAL-2020'!T768+'DES-TRIAL-BAL-2020'!T768+'DMP-TRIAL-BAL-2020'!T768</f>
        <v>0</v>
      </c>
      <c r="AB768" s="51"/>
      <c r="AC768" s="8">
        <v>0</v>
      </c>
      <c r="AD768" s="9">
        <v>0</v>
      </c>
      <c r="AE768" s="122">
        <v>0</v>
      </c>
      <c r="AF768" s="121">
        <v>0</v>
      </c>
      <c r="AG768" s="27">
        <f t="shared" ref="AG768:AG791" si="378">+IF(ABS(+AC768+AE768)&gt;=ABS(AD768+AF768),+AC768-AD768+AE768-AF768,0)</f>
        <v>0</v>
      </c>
      <c r="AH768" s="28">
        <f t="shared" si="376"/>
        <v>0</v>
      </c>
      <c r="AI768" s="51"/>
      <c r="AJ768" s="1497">
        <f t="shared" si="351"/>
        <v>7617</v>
      </c>
      <c r="AK768" s="8">
        <v>0</v>
      </c>
      <c r="AL768" s="9">
        <v>0</v>
      </c>
      <c r="AM768" s="326">
        <f t="shared" si="341"/>
        <v>0</v>
      </c>
      <c r="AN768" s="970">
        <f t="shared" si="341"/>
        <v>0</v>
      </c>
      <c r="AO768" s="27">
        <f t="shared" si="360"/>
        <v>0</v>
      </c>
      <c r="AP768" s="28">
        <f t="shared" si="361"/>
        <v>0</v>
      </c>
      <c r="AQ768" s="43"/>
      <c r="AR768" s="358">
        <f t="shared" si="330"/>
        <v>0</v>
      </c>
      <c r="AS768" s="359">
        <f t="shared" si="331"/>
        <v>0</v>
      </c>
      <c r="AT768" s="360">
        <f t="shared" si="332"/>
        <v>0</v>
      </c>
      <c r="AU768" s="43"/>
      <c r="AV768" s="43"/>
      <c r="AW768" s="119"/>
      <c r="AX768" s="119"/>
      <c r="AY768" s="43"/>
      <c r="AZ768" s="43"/>
      <c r="BA768" s="43"/>
      <c r="BB768" s="43"/>
      <c r="BC768" s="43"/>
      <c r="BD768" s="43"/>
    </row>
    <row r="769" spans="1:56" ht="15.75">
      <c r="A769" s="88">
        <v>7618</v>
      </c>
      <c r="B769" s="1033" t="s">
        <v>73</v>
      </c>
      <c r="C769" s="1033"/>
      <c r="D769" s="1033"/>
      <c r="E769" s="1033"/>
      <c r="F769" s="1033"/>
      <c r="G769" s="1033"/>
      <c r="H769" s="1033"/>
      <c r="I769" s="1033"/>
      <c r="J769" s="1033"/>
      <c r="K769" s="1033"/>
      <c r="L769" s="90"/>
      <c r="M769" s="51" t="s">
        <v>265</v>
      </c>
      <c r="N769" s="113">
        <f t="shared" si="333"/>
        <v>7618</v>
      </c>
      <c r="O769" s="8">
        <v>0</v>
      </c>
      <c r="P769" s="9">
        <v>0</v>
      </c>
      <c r="Q769" s="325"/>
      <c r="R769" s="324"/>
      <c r="S769" s="27">
        <f t="shared" si="377"/>
        <v>0</v>
      </c>
      <c r="T769" s="28">
        <f t="shared" si="374"/>
        <v>0</v>
      </c>
      <c r="U769" s="51"/>
      <c r="V769" s="541">
        <f>+'NF-KSF-TRIAL-BAL-2020'!O769+'RA-TRIAL-BAL-2020'!O769+'DES-TRIAL-BAL-2020'!O769+'DMP-TRIAL-BAL-2020'!O769</f>
        <v>0</v>
      </c>
      <c r="W769" s="529">
        <f>+'NF-KSF-TRIAL-BAL-2020'!P769+'RA-TRIAL-BAL-2020'!P769+'DES-TRIAL-BAL-2020'!P769+'DMP-TRIAL-BAL-2020'!P769</f>
        <v>0</v>
      </c>
      <c r="X769" s="528">
        <f>+'NF-KSF-TRIAL-BAL-2020'!Q769+'RA-TRIAL-BAL-2020'!Q769+'DES-TRIAL-BAL-2020'!Q769+'DMP-TRIAL-BAL-2020'!Q769</f>
        <v>0</v>
      </c>
      <c r="Y769" s="529">
        <f>+'NF-KSF-TRIAL-BAL-2020'!R769+'RA-TRIAL-BAL-2020'!R769+'DES-TRIAL-BAL-2020'!R769+'DMP-TRIAL-BAL-2020'!R769</f>
        <v>0</v>
      </c>
      <c r="Z769" s="528">
        <f>+'NF-KSF-TRIAL-BAL-2020'!S769+'RA-TRIAL-BAL-2020'!S769+'DES-TRIAL-BAL-2020'!S769+'DMP-TRIAL-BAL-2020'!S769</f>
        <v>0</v>
      </c>
      <c r="AA769" s="347">
        <f>+'NF-KSF-TRIAL-BAL-2020'!T769+'RA-TRIAL-BAL-2020'!T769+'DES-TRIAL-BAL-2020'!T769+'DMP-TRIAL-BAL-2020'!T769</f>
        <v>0</v>
      </c>
      <c r="AB769" s="51"/>
      <c r="AC769" s="8">
        <v>0</v>
      </c>
      <c r="AD769" s="9">
        <v>0</v>
      </c>
      <c r="AE769" s="122"/>
      <c r="AF769" s="121"/>
      <c r="AG769" s="27">
        <f t="shared" si="378"/>
        <v>0</v>
      </c>
      <c r="AH769" s="28">
        <f t="shared" si="376"/>
        <v>0</v>
      </c>
      <c r="AI769" s="51"/>
      <c r="AJ769" s="1497">
        <f t="shared" si="351"/>
        <v>7618</v>
      </c>
      <c r="AK769" s="8">
        <v>0</v>
      </c>
      <c r="AL769" s="9">
        <v>0</v>
      </c>
      <c r="AM769" s="326">
        <f t="shared" si="341"/>
        <v>0</v>
      </c>
      <c r="AN769" s="970">
        <f t="shared" si="341"/>
        <v>0</v>
      </c>
      <c r="AO769" s="27">
        <f t="shared" si="360"/>
        <v>0</v>
      </c>
      <c r="AP769" s="28">
        <f t="shared" si="361"/>
        <v>0</v>
      </c>
      <c r="AQ769" s="43"/>
      <c r="AR769" s="358">
        <f t="shared" ref="AR769:AR821" si="379">+ROUND(+SUM(AK769-AL769)-SUM(O769-P769)-SUM(V769-W769)-SUM(AC769-AD769),2)</f>
        <v>0</v>
      </c>
      <c r="AS769" s="359">
        <f t="shared" ref="AS769:AS821" si="380">+ROUND(+SUM(AM769-AN769)-SUM(Q769-R769)-SUM(X769-Y769)-SUM(AE769-AF769),2)</f>
        <v>0</v>
      </c>
      <c r="AT769" s="360">
        <f t="shared" ref="AT769:AT821" si="381">+ROUND(+SUM(AO769-AP769)-SUM(S769-T769)-SUM(Z769-AA769)-SUM(AG769-AH769),2)</f>
        <v>0</v>
      </c>
      <c r="AU769" s="43"/>
      <c r="AV769" s="43"/>
      <c r="AW769" s="119"/>
      <c r="AX769" s="119"/>
      <c r="AY769" s="43"/>
      <c r="AZ769" s="43"/>
      <c r="BA769" s="43"/>
      <c r="BB769" s="43"/>
      <c r="BC769" s="43"/>
      <c r="BD769" s="43"/>
    </row>
    <row r="770" spans="1:56" ht="15.75">
      <c r="A770" s="88">
        <v>7642</v>
      </c>
      <c r="B770" s="1033" t="s">
        <v>74</v>
      </c>
      <c r="C770" s="1033"/>
      <c r="D770" s="1033"/>
      <c r="E770" s="1033"/>
      <c r="F770" s="1033"/>
      <c r="G770" s="1033"/>
      <c r="H770" s="1033"/>
      <c r="I770" s="1033"/>
      <c r="J770" s="1033"/>
      <c r="K770" s="1033"/>
      <c r="L770" s="90"/>
      <c r="M770" s="51" t="s">
        <v>265</v>
      </c>
      <c r="N770" s="113">
        <f t="shared" ref="N770:N821" si="382">+A770</f>
        <v>7642</v>
      </c>
      <c r="O770" s="8">
        <v>0</v>
      </c>
      <c r="P770" s="9">
        <v>0</v>
      </c>
      <c r="Q770" s="325"/>
      <c r="R770" s="324"/>
      <c r="S770" s="27">
        <f t="shared" si="377"/>
        <v>0</v>
      </c>
      <c r="T770" s="28">
        <f t="shared" ref="T770:T791" si="383">+IF(ABS(+O770+Q770)&lt;=ABS(P770+R770),-O770+P770-Q770+R770,0)</f>
        <v>0</v>
      </c>
      <c r="U770" s="51"/>
      <c r="V770" s="541">
        <f>+'NF-KSF-TRIAL-BAL-2020'!O770+'RA-TRIAL-BAL-2020'!O770+'DES-TRIAL-BAL-2020'!O770+'DMP-TRIAL-BAL-2020'!O770</f>
        <v>0</v>
      </c>
      <c r="W770" s="529">
        <f>+'NF-KSF-TRIAL-BAL-2020'!P770+'RA-TRIAL-BAL-2020'!P770+'DES-TRIAL-BAL-2020'!P770+'DMP-TRIAL-BAL-2020'!P770</f>
        <v>0</v>
      </c>
      <c r="X770" s="528">
        <f>+'NF-KSF-TRIAL-BAL-2020'!Q770+'RA-TRIAL-BAL-2020'!Q770+'DES-TRIAL-BAL-2020'!Q770+'DMP-TRIAL-BAL-2020'!Q770</f>
        <v>0</v>
      </c>
      <c r="Y770" s="529">
        <f>+'NF-KSF-TRIAL-BAL-2020'!R770+'RA-TRIAL-BAL-2020'!R770+'DES-TRIAL-BAL-2020'!R770+'DMP-TRIAL-BAL-2020'!R770</f>
        <v>0</v>
      </c>
      <c r="Z770" s="528">
        <f>+'NF-KSF-TRIAL-BAL-2020'!S770+'RA-TRIAL-BAL-2020'!S770+'DES-TRIAL-BAL-2020'!S770+'DMP-TRIAL-BAL-2020'!S770</f>
        <v>0</v>
      </c>
      <c r="AA770" s="347">
        <f>+'NF-KSF-TRIAL-BAL-2020'!T770+'RA-TRIAL-BAL-2020'!T770+'DES-TRIAL-BAL-2020'!T770+'DMP-TRIAL-BAL-2020'!T770</f>
        <v>0</v>
      </c>
      <c r="AB770" s="51"/>
      <c r="AC770" s="8">
        <v>0</v>
      </c>
      <c r="AD770" s="9">
        <v>0</v>
      </c>
      <c r="AE770" s="325"/>
      <c r="AF770" s="324"/>
      <c r="AG770" s="27">
        <f t="shared" si="378"/>
        <v>0</v>
      </c>
      <c r="AH770" s="28">
        <f t="shared" ref="AH770:AH791" si="384">+IF(ABS(+AC770+AE770)&lt;=ABS(AD770+AF770),-AC770+AD770-AE770+AF770,0)</f>
        <v>0</v>
      </c>
      <c r="AI770" s="51"/>
      <c r="AJ770" s="1497">
        <f t="shared" si="351"/>
        <v>7642</v>
      </c>
      <c r="AK770" s="8">
        <v>0</v>
      </c>
      <c r="AL770" s="9">
        <v>0</v>
      </c>
      <c r="AM770" s="326">
        <f t="shared" ref="AM770:AN821" si="385">+ROUND(+Q770+X770+AE770,2)</f>
        <v>0</v>
      </c>
      <c r="AN770" s="970">
        <f t="shared" si="385"/>
        <v>0</v>
      </c>
      <c r="AO770" s="27">
        <f t="shared" si="360"/>
        <v>0</v>
      </c>
      <c r="AP770" s="28">
        <f t="shared" si="361"/>
        <v>0</v>
      </c>
      <c r="AQ770" s="43"/>
      <c r="AR770" s="358">
        <f t="shared" si="379"/>
        <v>0</v>
      </c>
      <c r="AS770" s="359">
        <f t="shared" si="380"/>
        <v>0</v>
      </c>
      <c r="AT770" s="360">
        <f t="shared" si="381"/>
        <v>0</v>
      </c>
      <c r="AU770" s="43"/>
      <c r="AV770" s="43"/>
      <c r="AW770" s="119"/>
      <c r="AX770" s="119"/>
      <c r="AY770" s="43"/>
      <c r="AZ770" s="43"/>
      <c r="BA770" s="43"/>
      <c r="BB770" s="43"/>
      <c r="BC770" s="43"/>
      <c r="BD770" s="43"/>
    </row>
    <row r="771" spans="1:56" ht="15.75">
      <c r="A771" s="88">
        <v>7643</v>
      </c>
      <c r="B771" s="1033" t="s">
        <v>75</v>
      </c>
      <c r="C771" s="1033"/>
      <c r="D771" s="1033"/>
      <c r="E771" s="1033"/>
      <c r="F771" s="1033"/>
      <c r="G771" s="1033"/>
      <c r="H771" s="1033"/>
      <c r="I771" s="1033"/>
      <c r="J771" s="1033"/>
      <c r="K771" s="1033"/>
      <c r="L771" s="90"/>
      <c r="M771" s="51" t="s">
        <v>265</v>
      </c>
      <c r="N771" s="113">
        <f t="shared" si="382"/>
        <v>7643</v>
      </c>
      <c r="O771" s="8">
        <v>0</v>
      </c>
      <c r="P771" s="9">
        <v>0</v>
      </c>
      <c r="Q771" s="325">
        <v>0</v>
      </c>
      <c r="R771" s="324">
        <v>0</v>
      </c>
      <c r="S771" s="27">
        <f t="shared" si="377"/>
        <v>0</v>
      </c>
      <c r="T771" s="28">
        <f t="shared" si="383"/>
        <v>0</v>
      </c>
      <c r="U771" s="51"/>
      <c r="V771" s="541">
        <f>+'NF-KSF-TRIAL-BAL-2020'!O771+'RA-TRIAL-BAL-2020'!O771+'DES-TRIAL-BAL-2020'!O771+'DMP-TRIAL-BAL-2020'!O771</f>
        <v>0</v>
      </c>
      <c r="W771" s="529">
        <f>+'NF-KSF-TRIAL-BAL-2020'!P771+'RA-TRIAL-BAL-2020'!P771+'DES-TRIAL-BAL-2020'!P771+'DMP-TRIAL-BAL-2020'!P771</f>
        <v>0</v>
      </c>
      <c r="X771" s="528">
        <f>+'NF-KSF-TRIAL-BAL-2020'!Q771+'RA-TRIAL-BAL-2020'!Q771+'DES-TRIAL-BAL-2020'!Q771+'DMP-TRIAL-BAL-2020'!Q771</f>
        <v>0</v>
      </c>
      <c r="Y771" s="529">
        <f>+'NF-KSF-TRIAL-BAL-2020'!R771+'RA-TRIAL-BAL-2020'!R771+'DES-TRIAL-BAL-2020'!R771+'DMP-TRIAL-BAL-2020'!R771</f>
        <v>0</v>
      </c>
      <c r="Z771" s="528">
        <f>+'NF-KSF-TRIAL-BAL-2020'!S771+'RA-TRIAL-BAL-2020'!S771+'DES-TRIAL-BAL-2020'!S771+'DMP-TRIAL-BAL-2020'!S771</f>
        <v>0</v>
      </c>
      <c r="AA771" s="347">
        <f>+'NF-KSF-TRIAL-BAL-2020'!T771+'RA-TRIAL-BAL-2020'!T771+'DES-TRIAL-BAL-2020'!T771+'DMP-TRIAL-BAL-2020'!T771</f>
        <v>0</v>
      </c>
      <c r="AB771" s="51"/>
      <c r="AC771" s="8">
        <v>0</v>
      </c>
      <c r="AD771" s="9">
        <v>0</v>
      </c>
      <c r="AE771" s="122">
        <v>0</v>
      </c>
      <c r="AF771" s="121">
        <v>0</v>
      </c>
      <c r="AG771" s="27">
        <f t="shared" si="378"/>
        <v>0</v>
      </c>
      <c r="AH771" s="28">
        <f t="shared" si="384"/>
        <v>0</v>
      </c>
      <c r="AI771" s="51"/>
      <c r="AJ771" s="1497">
        <f t="shared" si="351"/>
        <v>7643</v>
      </c>
      <c r="AK771" s="8">
        <v>0</v>
      </c>
      <c r="AL771" s="9">
        <v>0</v>
      </c>
      <c r="AM771" s="326">
        <f t="shared" si="385"/>
        <v>0</v>
      </c>
      <c r="AN771" s="970">
        <f t="shared" si="385"/>
        <v>0</v>
      </c>
      <c r="AO771" s="27">
        <f t="shared" si="360"/>
        <v>0</v>
      </c>
      <c r="AP771" s="28">
        <f t="shared" si="361"/>
        <v>0</v>
      </c>
      <c r="AQ771" s="43"/>
      <c r="AR771" s="358">
        <f t="shared" si="379"/>
        <v>0</v>
      </c>
      <c r="AS771" s="359">
        <f t="shared" si="380"/>
        <v>0</v>
      </c>
      <c r="AT771" s="360">
        <f t="shared" si="381"/>
        <v>0</v>
      </c>
      <c r="AU771" s="43"/>
      <c r="AV771" s="43"/>
      <c r="AW771" s="119"/>
      <c r="AX771" s="119"/>
      <c r="AY771" s="43"/>
      <c r="AZ771" s="43"/>
      <c r="BA771" s="43"/>
      <c r="BB771" s="43"/>
      <c r="BC771" s="43"/>
      <c r="BD771" s="43"/>
    </row>
    <row r="772" spans="1:56" ht="15.75">
      <c r="A772" s="88">
        <v>7644</v>
      </c>
      <c r="B772" s="1033" t="s">
        <v>76</v>
      </c>
      <c r="C772" s="1033"/>
      <c r="D772" s="1033"/>
      <c r="E772" s="1033"/>
      <c r="F772" s="1033"/>
      <c r="G772" s="1033"/>
      <c r="H772" s="1033"/>
      <c r="I772" s="1033"/>
      <c r="J772" s="1033"/>
      <c r="K772" s="1033"/>
      <c r="L772" s="90"/>
      <c r="M772" s="51" t="s">
        <v>265</v>
      </c>
      <c r="N772" s="113">
        <f t="shared" si="382"/>
        <v>7644</v>
      </c>
      <c r="O772" s="8">
        <v>0</v>
      </c>
      <c r="P772" s="9">
        <v>0</v>
      </c>
      <c r="Q772" s="325"/>
      <c r="R772" s="324"/>
      <c r="S772" s="27">
        <f t="shared" si="377"/>
        <v>0</v>
      </c>
      <c r="T772" s="28">
        <f t="shared" si="383"/>
        <v>0</v>
      </c>
      <c r="U772" s="51"/>
      <c r="V772" s="541">
        <f>+'NF-KSF-TRIAL-BAL-2020'!O772+'RA-TRIAL-BAL-2020'!O772+'DES-TRIAL-BAL-2020'!O772+'DMP-TRIAL-BAL-2020'!O772</f>
        <v>0</v>
      </c>
      <c r="W772" s="529">
        <f>+'NF-KSF-TRIAL-BAL-2020'!P772+'RA-TRIAL-BAL-2020'!P772+'DES-TRIAL-BAL-2020'!P772+'DMP-TRIAL-BAL-2020'!P772</f>
        <v>0</v>
      </c>
      <c r="X772" s="528">
        <f>+'NF-KSF-TRIAL-BAL-2020'!Q772+'RA-TRIAL-BAL-2020'!Q772+'DES-TRIAL-BAL-2020'!Q772+'DMP-TRIAL-BAL-2020'!Q772</f>
        <v>0</v>
      </c>
      <c r="Y772" s="529">
        <f>+'NF-KSF-TRIAL-BAL-2020'!R772+'RA-TRIAL-BAL-2020'!R772+'DES-TRIAL-BAL-2020'!R772+'DMP-TRIAL-BAL-2020'!R772</f>
        <v>0</v>
      </c>
      <c r="Z772" s="528">
        <f>+'NF-KSF-TRIAL-BAL-2020'!S772+'RA-TRIAL-BAL-2020'!S772+'DES-TRIAL-BAL-2020'!S772+'DMP-TRIAL-BAL-2020'!S772</f>
        <v>0</v>
      </c>
      <c r="AA772" s="347">
        <f>+'NF-KSF-TRIAL-BAL-2020'!T772+'RA-TRIAL-BAL-2020'!T772+'DES-TRIAL-BAL-2020'!T772+'DMP-TRIAL-BAL-2020'!T772</f>
        <v>0</v>
      </c>
      <c r="AB772" s="51"/>
      <c r="AC772" s="8">
        <v>0</v>
      </c>
      <c r="AD772" s="9">
        <v>0</v>
      </c>
      <c r="AE772" s="122"/>
      <c r="AF772" s="121"/>
      <c r="AG772" s="27">
        <f t="shared" si="378"/>
        <v>0</v>
      </c>
      <c r="AH772" s="28">
        <f t="shared" si="384"/>
        <v>0</v>
      </c>
      <c r="AI772" s="51"/>
      <c r="AJ772" s="1497">
        <f t="shared" si="351"/>
        <v>7644</v>
      </c>
      <c r="AK772" s="8">
        <v>0</v>
      </c>
      <c r="AL772" s="9">
        <v>0</v>
      </c>
      <c r="AM772" s="326">
        <f t="shared" si="385"/>
        <v>0</v>
      </c>
      <c r="AN772" s="970">
        <f t="shared" si="385"/>
        <v>0</v>
      </c>
      <c r="AO772" s="27">
        <f t="shared" si="360"/>
        <v>0</v>
      </c>
      <c r="AP772" s="28">
        <f t="shared" si="361"/>
        <v>0</v>
      </c>
      <c r="AQ772" s="43"/>
      <c r="AR772" s="358">
        <f t="shared" si="379"/>
        <v>0</v>
      </c>
      <c r="AS772" s="359">
        <f t="shared" si="380"/>
        <v>0</v>
      </c>
      <c r="AT772" s="360">
        <f t="shared" si="381"/>
        <v>0</v>
      </c>
      <c r="AU772" s="43"/>
      <c r="AV772" s="43"/>
      <c r="AW772" s="119"/>
      <c r="AX772" s="119"/>
      <c r="AY772" s="43"/>
      <c r="AZ772" s="43"/>
      <c r="BA772" s="43"/>
      <c r="BB772" s="43"/>
      <c r="BC772" s="43"/>
      <c r="BD772" s="43"/>
    </row>
    <row r="773" spans="1:56" ht="15.75">
      <c r="A773" s="88">
        <v>7645</v>
      </c>
      <c r="B773" s="1033" t="s">
        <v>77</v>
      </c>
      <c r="C773" s="1033"/>
      <c r="D773" s="1033"/>
      <c r="E773" s="1033"/>
      <c r="F773" s="1033"/>
      <c r="G773" s="1033"/>
      <c r="H773" s="1033"/>
      <c r="I773" s="1033"/>
      <c r="J773" s="1033"/>
      <c r="K773" s="1033"/>
      <c r="L773" s="90"/>
      <c r="M773" s="51" t="s">
        <v>265</v>
      </c>
      <c r="N773" s="113">
        <f t="shared" si="382"/>
        <v>7645</v>
      </c>
      <c r="O773" s="8">
        <v>0</v>
      </c>
      <c r="P773" s="9">
        <v>0</v>
      </c>
      <c r="Q773" s="325"/>
      <c r="R773" s="324"/>
      <c r="S773" s="27">
        <f t="shared" si="377"/>
        <v>0</v>
      </c>
      <c r="T773" s="28">
        <f t="shared" si="383"/>
        <v>0</v>
      </c>
      <c r="U773" s="51"/>
      <c r="V773" s="541">
        <f>+'NF-KSF-TRIAL-BAL-2020'!O773+'RA-TRIAL-BAL-2020'!O773+'DES-TRIAL-BAL-2020'!O773+'DMP-TRIAL-BAL-2020'!O773</f>
        <v>0</v>
      </c>
      <c r="W773" s="529">
        <f>+'NF-KSF-TRIAL-BAL-2020'!P773+'RA-TRIAL-BAL-2020'!P773+'DES-TRIAL-BAL-2020'!P773+'DMP-TRIAL-BAL-2020'!P773</f>
        <v>0</v>
      </c>
      <c r="X773" s="528">
        <f>+'NF-KSF-TRIAL-BAL-2020'!Q773+'RA-TRIAL-BAL-2020'!Q773+'DES-TRIAL-BAL-2020'!Q773+'DMP-TRIAL-BAL-2020'!Q773</f>
        <v>0</v>
      </c>
      <c r="Y773" s="529">
        <f>+'NF-KSF-TRIAL-BAL-2020'!R773+'RA-TRIAL-BAL-2020'!R773+'DES-TRIAL-BAL-2020'!R773+'DMP-TRIAL-BAL-2020'!R773</f>
        <v>0</v>
      </c>
      <c r="Z773" s="528">
        <f>+'NF-KSF-TRIAL-BAL-2020'!S773+'RA-TRIAL-BAL-2020'!S773+'DES-TRIAL-BAL-2020'!S773+'DMP-TRIAL-BAL-2020'!S773</f>
        <v>0</v>
      </c>
      <c r="AA773" s="347">
        <f>+'NF-KSF-TRIAL-BAL-2020'!T773+'RA-TRIAL-BAL-2020'!T773+'DES-TRIAL-BAL-2020'!T773+'DMP-TRIAL-BAL-2020'!T773</f>
        <v>0</v>
      </c>
      <c r="AB773" s="51"/>
      <c r="AC773" s="8">
        <v>0</v>
      </c>
      <c r="AD773" s="9">
        <v>0</v>
      </c>
      <c r="AE773" s="325"/>
      <c r="AF773" s="324"/>
      <c r="AG773" s="27">
        <f t="shared" si="378"/>
        <v>0</v>
      </c>
      <c r="AH773" s="28">
        <f t="shared" si="384"/>
        <v>0</v>
      </c>
      <c r="AI773" s="51"/>
      <c r="AJ773" s="1497">
        <f t="shared" si="351"/>
        <v>7645</v>
      </c>
      <c r="AK773" s="8">
        <v>0</v>
      </c>
      <c r="AL773" s="9">
        <v>0</v>
      </c>
      <c r="AM773" s="326">
        <f t="shared" si="385"/>
        <v>0</v>
      </c>
      <c r="AN773" s="970">
        <f t="shared" si="385"/>
        <v>0</v>
      </c>
      <c r="AO773" s="27">
        <f t="shared" si="360"/>
        <v>0</v>
      </c>
      <c r="AP773" s="28">
        <f t="shared" si="361"/>
        <v>0</v>
      </c>
      <c r="AQ773" s="43"/>
      <c r="AR773" s="358">
        <f t="shared" si="379"/>
        <v>0</v>
      </c>
      <c r="AS773" s="359">
        <f t="shared" si="380"/>
        <v>0</v>
      </c>
      <c r="AT773" s="360">
        <f t="shared" si="381"/>
        <v>0</v>
      </c>
      <c r="AU773" s="43"/>
      <c r="AV773" s="43"/>
      <c r="AW773" s="119"/>
      <c r="AX773" s="119"/>
      <c r="AY773" s="43"/>
      <c r="AZ773" s="43"/>
      <c r="BA773" s="43"/>
      <c r="BB773" s="43"/>
      <c r="BC773" s="43"/>
      <c r="BD773" s="43"/>
    </row>
    <row r="774" spans="1:56" ht="15.75">
      <c r="A774" s="88">
        <v>7647</v>
      </c>
      <c r="B774" s="1033" t="s">
        <v>78</v>
      </c>
      <c r="C774" s="1033"/>
      <c r="D774" s="1033"/>
      <c r="E774" s="1033"/>
      <c r="F774" s="1033"/>
      <c r="G774" s="1033"/>
      <c r="H774" s="1033"/>
      <c r="I774" s="1033"/>
      <c r="J774" s="1033"/>
      <c r="K774" s="1033"/>
      <c r="L774" s="90"/>
      <c r="M774" s="51" t="s">
        <v>265</v>
      </c>
      <c r="N774" s="113">
        <f t="shared" si="382"/>
        <v>7647</v>
      </c>
      <c r="O774" s="8">
        <v>0</v>
      </c>
      <c r="P774" s="9">
        <v>0</v>
      </c>
      <c r="Q774" s="325"/>
      <c r="R774" s="324"/>
      <c r="S774" s="27">
        <f t="shared" si="377"/>
        <v>0</v>
      </c>
      <c r="T774" s="28">
        <f t="shared" si="383"/>
        <v>0</v>
      </c>
      <c r="U774" s="51"/>
      <c r="V774" s="541">
        <f>+'NF-KSF-TRIAL-BAL-2020'!O774+'RA-TRIAL-BAL-2020'!O774+'DES-TRIAL-BAL-2020'!O774+'DMP-TRIAL-BAL-2020'!O774</f>
        <v>0</v>
      </c>
      <c r="W774" s="529">
        <f>+'NF-KSF-TRIAL-BAL-2020'!P774+'RA-TRIAL-BAL-2020'!P774+'DES-TRIAL-BAL-2020'!P774+'DMP-TRIAL-BAL-2020'!P774</f>
        <v>0</v>
      </c>
      <c r="X774" s="528">
        <f>+'NF-KSF-TRIAL-BAL-2020'!Q774+'RA-TRIAL-BAL-2020'!Q774+'DES-TRIAL-BAL-2020'!Q774+'DMP-TRIAL-BAL-2020'!Q774</f>
        <v>0</v>
      </c>
      <c r="Y774" s="529">
        <f>+'NF-KSF-TRIAL-BAL-2020'!R774+'RA-TRIAL-BAL-2020'!R774+'DES-TRIAL-BAL-2020'!R774+'DMP-TRIAL-BAL-2020'!R774</f>
        <v>0</v>
      </c>
      <c r="Z774" s="528">
        <f>+'NF-KSF-TRIAL-BAL-2020'!S774+'RA-TRIAL-BAL-2020'!S774+'DES-TRIAL-BAL-2020'!S774+'DMP-TRIAL-BAL-2020'!S774</f>
        <v>0</v>
      </c>
      <c r="AA774" s="347">
        <f>+'NF-KSF-TRIAL-BAL-2020'!T774+'RA-TRIAL-BAL-2020'!T774+'DES-TRIAL-BAL-2020'!T774+'DMP-TRIAL-BAL-2020'!T774</f>
        <v>0</v>
      </c>
      <c r="AB774" s="51"/>
      <c r="AC774" s="8">
        <v>0</v>
      </c>
      <c r="AD774" s="9">
        <v>0</v>
      </c>
      <c r="AE774" s="325"/>
      <c r="AF774" s="324"/>
      <c r="AG774" s="27">
        <f t="shared" si="378"/>
        <v>0</v>
      </c>
      <c r="AH774" s="28">
        <f t="shared" si="384"/>
        <v>0</v>
      </c>
      <c r="AI774" s="51"/>
      <c r="AJ774" s="1497">
        <f t="shared" si="351"/>
        <v>7647</v>
      </c>
      <c r="AK774" s="8">
        <v>0</v>
      </c>
      <c r="AL774" s="9">
        <v>0</v>
      </c>
      <c r="AM774" s="326">
        <f t="shared" si="385"/>
        <v>0</v>
      </c>
      <c r="AN774" s="970">
        <f t="shared" si="385"/>
        <v>0</v>
      </c>
      <c r="AO774" s="27">
        <f t="shared" si="360"/>
        <v>0</v>
      </c>
      <c r="AP774" s="28">
        <f t="shared" si="361"/>
        <v>0</v>
      </c>
      <c r="AQ774" s="43"/>
      <c r="AR774" s="358">
        <f t="shared" si="379"/>
        <v>0</v>
      </c>
      <c r="AS774" s="359">
        <f t="shared" si="380"/>
        <v>0</v>
      </c>
      <c r="AT774" s="360">
        <f t="shared" si="381"/>
        <v>0</v>
      </c>
      <c r="AU774" s="43"/>
      <c r="AV774" s="43"/>
      <c r="AW774" s="119"/>
      <c r="AX774" s="119"/>
      <c r="AY774" s="43"/>
      <c r="AZ774" s="43"/>
      <c r="BA774" s="43"/>
      <c r="BB774" s="43"/>
      <c r="BC774" s="43"/>
      <c r="BD774" s="43"/>
    </row>
    <row r="775" spans="1:56" ht="15.75">
      <c r="A775" s="88">
        <v>7648</v>
      </c>
      <c r="B775" s="1033" t="s">
        <v>79</v>
      </c>
      <c r="C775" s="1033"/>
      <c r="D775" s="1033"/>
      <c r="E775" s="1033"/>
      <c r="F775" s="1033"/>
      <c r="G775" s="1033"/>
      <c r="H775" s="1033"/>
      <c r="I775" s="1033"/>
      <c r="J775" s="1033"/>
      <c r="K775" s="1033"/>
      <c r="L775" s="90"/>
      <c r="M775" s="51" t="s">
        <v>265</v>
      </c>
      <c r="N775" s="113">
        <f t="shared" si="382"/>
        <v>7648</v>
      </c>
      <c r="O775" s="8">
        <v>0</v>
      </c>
      <c r="P775" s="9">
        <v>0</v>
      </c>
      <c r="Q775" s="325"/>
      <c r="R775" s="324"/>
      <c r="S775" s="27">
        <f t="shared" si="377"/>
        <v>0</v>
      </c>
      <c r="T775" s="28">
        <f t="shared" si="383"/>
        <v>0</v>
      </c>
      <c r="U775" s="51"/>
      <c r="V775" s="541">
        <f>+'NF-KSF-TRIAL-BAL-2020'!O775+'RA-TRIAL-BAL-2020'!O775+'DES-TRIAL-BAL-2020'!O775+'DMP-TRIAL-BAL-2020'!O775</f>
        <v>0</v>
      </c>
      <c r="W775" s="529">
        <f>+'NF-KSF-TRIAL-BAL-2020'!P775+'RA-TRIAL-BAL-2020'!P775+'DES-TRIAL-BAL-2020'!P775+'DMP-TRIAL-BAL-2020'!P775</f>
        <v>0</v>
      </c>
      <c r="X775" s="528">
        <f>+'NF-KSF-TRIAL-BAL-2020'!Q775+'RA-TRIAL-BAL-2020'!Q775+'DES-TRIAL-BAL-2020'!Q775+'DMP-TRIAL-BAL-2020'!Q775</f>
        <v>0</v>
      </c>
      <c r="Y775" s="529">
        <f>+'NF-KSF-TRIAL-BAL-2020'!R775+'RA-TRIAL-BAL-2020'!R775+'DES-TRIAL-BAL-2020'!R775+'DMP-TRIAL-BAL-2020'!R775</f>
        <v>0</v>
      </c>
      <c r="Z775" s="528">
        <f>+'NF-KSF-TRIAL-BAL-2020'!S775+'RA-TRIAL-BAL-2020'!S775+'DES-TRIAL-BAL-2020'!S775+'DMP-TRIAL-BAL-2020'!S775</f>
        <v>0</v>
      </c>
      <c r="AA775" s="347">
        <f>+'NF-KSF-TRIAL-BAL-2020'!T775+'RA-TRIAL-BAL-2020'!T775+'DES-TRIAL-BAL-2020'!T775+'DMP-TRIAL-BAL-2020'!T775</f>
        <v>0</v>
      </c>
      <c r="AB775" s="51"/>
      <c r="AC775" s="8">
        <v>0</v>
      </c>
      <c r="AD775" s="9">
        <v>0</v>
      </c>
      <c r="AE775" s="122"/>
      <c r="AF775" s="121"/>
      <c r="AG775" s="27">
        <f t="shared" si="378"/>
        <v>0</v>
      </c>
      <c r="AH775" s="28">
        <f t="shared" si="384"/>
        <v>0</v>
      </c>
      <c r="AI775" s="51"/>
      <c r="AJ775" s="1497">
        <f t="shared" si="351"/>
        <v>7648</v>
      </c>
      <c r="AK775" s="8">
        <v>0</v>
      </c>
      <c r="AL775" s="9">
        <v>0</v>
      </c>
      <c r="AM775" s="326">
        <f t="shared" si="385"/>
        <v>0</v>
      </c>
      <c r="AN775" s="970">
        <f t="shared" si="385"/>
        <v>0</v>
      </c>
      <c r="AO775" s="27">
        <f t="shared" si="360"/>
        <v>0</v>
      </c>
      <c r="AP775" s="28">
        <f t="shared" si="361"/>
        <v>0</v>
      </c>
      <c r="AQ775" s="43"/>
      <c r="AR775" s="358">
        <f t="shared" si="379"/>
        <v>0</v>
      </c>
      <c r="AS775" s="359">
        <f t="shared" si="380"/>
        <v>0</v>
      </c>
      <c r="AT775" s="360">
        <f t="shared" si="381"/>
        <v>0</v>
      </c>
      <c r="AU775" s="43"/>
      <c r="AV775" s="43"/>
      <c r="AW775" s="119"/>
      <c r="AX775" s="119"/>
      <c r="AY775" s="43"/>
      <c r="AZ775" s="43"/>
      <c r="BA775" s="43"/>
      <c r="BB775" s="43"/>
      <c r="BC775" s="43"/>
      <c r="BD775" s="43"/>
    </row>
    <row r="776" spans="1:56" ht="15.75">
      <c r="A776" s="88">
        <v>7652</v>
      </c>
      <c r="B776" s="1033" t="s">
        <v>80</v>
      </c>
      <c r="C776" s="1033"/>
      <c r="D776" s="1033"/>
      <c r="E776" s="1033"/>
      <c r="F776" s="1033"/>
      <c r="G776" s="1033"/>
      <c r="H776" s="1033"/>
      <c r="I776" s="1033"/>
      <c r="J776" s="1033"/>
      <c r="K776" s="1033"/>
      <c r="L776" s="90"/>
      <c r="M776" s="51" t="s">
        <v>265</v>
      </c>
      <c r="N776" s="113">
        <f t="shared" si="382"/>
        <v>7652</v>
      </c>
      <c r="O776" s="8">
        <v>0</v>
      </c>
      <c r="P776" s="9">
        <v>0</v>
      </c>
      <c r="Q776" s="325"/>
      <c r="R776" s="324"/>
      <c r="S776" s="27">
        <f t="shared" si="377"/>
        <v>0</v>
      </c>
      <c r="T776" s="28">
        <f t="shared" si="383"/>
        <v>0</v>
      </c>
      <c r="U776" s="51"/>
      <c r="V776" s="541">
        <f>+'NF-KSF-TRIAL-BAL-2020'!O776+'RA-TRIAL-BAL-2020'!O776+'DES-TRIAL-BAL-2020'!O776+'DMP-TRIAL-BAL-2020'!O776</f>
        <v>0</v>
      </c>
      <c r="W776" s="529">
        <f>+'NF-KSF-TRIAL-BAL-2020'!P776+'RA-TRIAL-BAL-2020'!P776+'DES-TRIAL-BAL-2020'!P776+'DMP-TRIAL-BAL-2020'!P776</f>
        <v>0</v>
      </c>
      <c r="X776" s="528">
        <f>+'NF-KSF-TRIAL-BAL-2020'!Q776+'RA-TRIAL-BAL-2020'!Q776+'DES-TRIAL-BAL-2020'!Q776+'DMP-TRIAL-BAL-2020'!Q776</f>
        <v>0</v>
      </c>
      <c r="Y776" s="529">
        <f>+'NF-KSF-TRIAL-BAL-2020'!R776+'RA-TRIAL-BAL-2020'!R776+'DES-TRIAL-BAL-2020'!R776+'DMP-TRIAL-BAL-2020'!R776</f>
        <v>0</v>
      </c>
      <c r="Z776" s="528">
        <f>+'NF-KSF-TRIAL-BAL-2020'!S776+'RA-TRIAL-BAL-2020'!S776+'DES-TRIAL-BAL-2020'!S776+'DMP-TRIAL-BAL-2020'!S776</f>
        <v>0</v>
      </c>
      <c r="AA776" s="347">
        <f>+'NF-KSF-TRIAL-BAL-2020'!T776+'RA-TRIAL-BAL-2020'!T776+'DES-TRIAL-BAL-2020'!T776+'DMP-TRIAL-BAL-2020'!T776</f>
        <v>0</v>
      </c>
      <c r="AB776" s="51"/>
      <c r="AC776" s="8">
        <v>0</v>
      </c>
      <c r="AD776" s="9">
        <v>0</v>
      </c>
      <c r="AE776" s="122"/>
      <c r="AF776" s="121"/>
      <c r="AG776" s="27">
        <f t="shared" si="378"/>
        <v>0</v>
      </c>
      <c r="AH776" s="28">
        <f t="shared" si="384"/>
        <v>0</v>
      </c>
      <c r="AI776" s="51"/>
      <c r="AJ776" s="1497">
        <f t="shared" si="351"/>
        <v>7652</v>
      </c>
      <c r="AK776" s="8">
        <v>0</v>
      </c>
      <c r="AL776" s="9">
        <v>0</v>
      </c>
      <c r="AM776" s="326">
        <f t="shared" si="385"/>
        <v>0</v>
      </c>
      <c r="AN776" s="970">
        <f t="shared" si="385"/>
        <v>0</v>
      </c>
      <c r="AO776" s="27">
        <f t="shared" si="360"/>
        <v>0</v>
      </c>
      <c r="AP776" s="28">
        <f t="shared" si="361"/>
        <v>0</v>
      </c>
      <c r="AQ776" s="43"/>
      <c r="AR776" s="358">
        <f t="shared" si="379"/>
        <v>0</v>
      </c>
      <c r="AS776" s="359">
        <f t="shared" si="380"/>
        <v>0</v>
      </c>
      <c r="AT776" s="360">
        <f t="shared" si="381"/>
        <v>0</v>
      </c>
      <c r="AU776" s="43"/>
      <c r="AV776" s="43"/>
      <c r="AW776" s="119"/>
      <c r="AX776" s="119"/>
      <c r="AY776" s="43"/>
      <c r="AZ776" s="43"/>
      <c r="BA776" s="43"/>
      <c r="BB776" s="43"/>
      <c r="BC776" s="43"/>
      <c r="BD776" s="43"/>
    </row>
    <row r="777" spans="1:56" ht="15.75">
      <c r="A777" s="88">
        <v>7653</v>
      </c>
      <c r="B777" s="1033" t="s">
        <v>81</v>
      </c>
      <c r="C777" s="1033"/>
      <c r="D777" s="1033"/>
      <c r="E777" s="1033"/>
      <c r="F777" s="1033"/>
      <c r="G777" s="1033"/>
      <c r="H777" s="1033"/>
      <c r="I777" s="1033"/>
      <c r="J777" s="1033"/>
      <c r="K777" s="1033"/>
      <c r="L777" s="90"/>
      <c r="M777" s="51" t="s">
        <v>265</v>
      </c>
      <c r="N777" s="113">
        <f t="shared" si="382"/>
        <v>7653</v>
      </c>
      <c r="O777" s="8">
        <v>0</v>
      </c>
      <c r="P777" s="9">
        <v>0</v>
      </c>
      <c r="Q777" s="325"/>
      <c r="R777" s="324"/>
      <c r="S777" s="27">
        <f t="shared" si="377"/>
        <v>0</v>
      </c>
      <c r="T777" s="28">
        <f t="shared" si="383"/>
        <v>0</v>
      </c>
      <c r="U777" s="51"/>
      <c r="V777" s="541">
        <f>+'NF-KSF-TRIAL-BAL-2020'!O777+'RA-TRIAL-BAL-2020'!O777+'DES-TRIAL-BAL-2020'!O777+'DMP-TRIAL-BAL-2020'!O777</f>
        <v>0</v>
      </c>
      <c r="W777" s="529">
        <f>+'NF-KSF-TRIAL-BAL-2020'!P777+'RA-TRIAL-BAL-2020'!P777+'DES-TRIAL-BAL-2020'!P777+'DMP-TRIAL-BAL-2020'!P777</f>
        <v>0</v>
      </c>
      <c r="X777" s="528">
        <f>+'NF-KSF-TRIAL-BAL-2020'!Q777+'RA-TRIAL-BAL-2020'!Q777+'DES-TRIAL-BAL-2020'!Q777+'DMP-TRIAL-BAL-2020'!Q777</f>
        <v>0</v>
      </c>
      <c r="Y777" s="529">
        <f>+'NF-KSF-TRIAL-BAL-2020'!R777+'RA-TRIAL-BAL-2020'!R777+'DES-TRIAL-BAL-2020'!R777+'DMP-TRIAL-BAL-2020'!R777</f>
        <v>0</v>
      </c>
      <c r="Z777" s="528">
        <f>+'NF-KSF-TRIAL-BAL-2020'!S777+'RA-TRIAL-BAL-2020'!S777+'DES-TRIAL-BAL-2020'!S777+'DMP-TRIAL-BAL-2020'!S777</f>
        <v>0</v>
      </c>
      <c r="AA777" s="347">
        <f>+'NF-KSF-TRIAL-BAL-2020'!T777+'RA-TRIAL-BAL-2020'!T777+'DES-TRIAL-BAL-2020'!T777+'DMP-TRIAL-BAL-2020'!T777</f>
        <v>0</v>
      </c>
      <c r="AB777" s="51"/>
      <c r="AC777" s="8">
        <v>0</v>
      </c>
      <c r="AD777" s="9">
        <v>0</v>
      </c>
      <c r="AE777" s="325"/>
      <c r="AF777" s="324"/>
      <c r="AG777" s="27">
        <f t="shared" si="378"/>
        <v>0</v>
      </c>
      <c r="AH777" s="28">
        <f t="shared" si="384"/>
        <v>0</v>
      </c>
      <c r="AI777" s="51"/>
      <c r="AJ777" s="1497">
        <f t="shared" si="351"/>
        <v>7653</v>
      </c>
      <c r="AK777" s="8">
        <v>0</v>
      </c>
      <c r="AL777" s="9">
        <v>0</v>
      </c>
      <c r="AM777" s="326">
        <f t="shared" si="385"/>
        <v>0</v>
      </c>
      <c r="AN777" s="970">
        <f t="shared" si="385"/>
        <v>0</v>
      </c>
      <c r="AO777" s="27">
        <f t="shared" si="360"/>
        <v>0</v>
      </c>
      <c r="AP777" s="28">
        <f t="shared" si="361"/>
        <v>0</v>
      </c>
      <c r="AQ777" s="43"/>
      <c r="AR777" s="358">
        <f t="shared" si="379"/>
        <v>0</v>
      </c>
      <c r="AS777" s="359">
        <f t="shared" si="380"/>
        <v>0</v>
      </c>
      <c r="AT777" s="360">
        <f t="shared" si="381"/>
        <v>0</v>
      </c>
      <c r="AU777" s="43"/>
      <c r="AV777" s="43"/>
      <c r="AW777" s="119"/>
      <c r="AX777" s="119"/>
      <c r="AY777" s="43"/>
      <c r="AZ777" s="43"/>
      <c r="BA777" s="43"/>
      <c r="BB777" s="43"/>
      <c r="BC777" s="43"/>
      <c r="BD777" s="43"/>
    </row>
    <row r="778" spans="1:56" ht="15.75">
      <c r="A778" s="88">
        <v>7654</v>
      </c>
      <c r="B778" s="1033" t="s">
        <v>82</v>
      </c>
      <c r="C778" s="1033"/>
      <c r="D778" s="1033"/>
      <c r="E778" s="1033"/>
      <c r="F778" s="1033"/>
      <c r="G778" s="1033"/>
      <c r="H778" s="1033"/>
      <c r="I778" s="1033"/>
      <c r="J778" s="1033"/>
      <c r="K778" s="1033"/>
      <c r="L778" s="90"/>
      <c r="M778" s="51" t="s">
        <v>265</v>
      </c>
      <c r="N778" s="113">
        <f t="shared" si="382"/>
        <v>7654</v>
      </c>
      <c r="O778" s="8">
        <v>0</v>
      </c>
      <c r="P778" s="9">
        <v>0</v>
      </c>
      <c r="Q778" s="325"/>
      <c r="R778" s="324"/>
      <c r="S778" s="27">
        <f t="shared" si="377"/>
        <v>0</v>
      </c>
      <c r="T778" s="28">
        <f t="shared" si="383"/>
        <v>0</v>
      </c>
      <c r="U778" s="51"/>
      <c r="V778" s="541">
        <f>+'NF-KSF-TRIAL-BAL-2020'!O778+'RA-TRIAL-BAL-2020'!O778+'DES-TRIAL-BAL-2020'!O778+'DMP-TRIAL-BAL-2020'!O778</f>
        <v>0</v>
      </c>
      <c r="W778" s="529">
        <f>+'NF-KSF-TRIAL-BAL-2020'!P778+'RA-TRIAL-BAL-2020'!P778+'DES-TRIAL-BAL-2020'!P778+'DMP-TRIAL-BAL-2020'!P778</f>
        <v>0</v>
      </c>
      <c r="X778" s="528">
        <f>+'NF-KSF-TRIAL-BAL-2020'!Q778+'RA-TRIAL-BAL-2020'!Q778+'DES-TRIAL-BAL-2020'!Q778+'DMP-TRIAL-BAL-2020'!Q778</f>
        <v>0</v>
      </c>
      <c r="Y778" s="529">
        <f>+'NF-KSF-TRIAL-BAL-2020'!R778+'RA-TRIAL-BAL-2020'!R778+'DES-TRIAL-BAL-2020'!R778+'DMP-TRIAL-BAL-2020'!R778</f>
        <v>0</v>
      </c>
      <c r="Z778" s="528">
        <f>+'NF-KSF-TRIAL-BAL-2020'!S778+'RA-TRIAL-BAL-2020'!S778+'DES-TRIAL-BAL-2020'!S778+'DMP-TRIAL-BAL-2020'!S778</f>
        <v>0</v>
      </c>
      <c r="AA778" s="347">
        <f>+'NF-KSF-TRIAL-BAL-2020'!T778+'RA-TRIAL-BAL-2020'!T778+'DES-TRIAL-BAL-2020'!T778+'DMP-TRIAL-BAL-2020'!T778</f>
        <v>0</v>
      </c>
      <c r="AB778" s="51"/>
      <c r="AC778" s="8">
        <v>0</v>
      </c>
      <c r="AD778" s="9">
        <v>0</v>
      </c>
      <c r="AE778" s="325"/>
      <c r="AF778" s="324"/>
      <c r="AG778" s="27">
        <f t="shared" si="378"/>
        <v>0</v>
      </c>
      <c r="AH778" s="28">
        <f t="shared" si="384"/>
        <v>0</v>
      </c>
      <c r="AI778" s="51"/>
      <c r="AJ778" s="1497">
        <f t="shared" si="351"/>
        <v>7654</v>
      </c>
      <c r="AK778" s="8">
        <v>0</v>
      </c>
      <c r="AL778" s="9">
        <v>0</v>
      </c>
      <c r="AM778" s="326">
        <f t="shared" si="385"/>
        <v>0</v>
      </c>
      <c r="AN778" s="970">
        <f t="shared" si="385"/>
        <v>0</v>
      </c>
      <c r="AO778" s="27">
        <f t="shared" si="360"/>
        <v>0</v>
      </c>
      <c r="AP778" s="28">
        <f t="shared" si="361"/>
        <v>0</v>
      </c>
      <c r="AQ778" s="43"/>
      <c r="AR778" s="358">
        <f t="shared" si="379"/>
        <v>0</v>
      </c>
      <c r="AS778" s="359">
        <f t="shared" si="380"/>
        <v>0</v>
      </c>
      <c r="AT778" s="360">
        <f t="shared" si="381"/>
        <v>0</v>
      </c>
      <c r="AU778" s="43"/>
      <c r="AV778" s="43"/>
      <c r="AW778" s="119"/>
      <c r="AX778" s="119"/>
      <c r="AY778" s="43"/>
      <c r="AZ778" s="43"/>
      <c r="BA778" s="43"/>
      <c r="BB778" s="43"/>
      <c r="BC778" s="43"/>
      <c r="BD778" s="43"/>
    </row>
    <row r="779" spans="1:56" ht="15.75">
      <c r="A779" s="88">
        <v>7655</v>
      </c>
      <c r="B779" s="1033" t="s">
        <v>83</v>
      </c>
      <c r="C779" s="1033"/>
      <c r="D779" s="1033"/>
      <c r="E779" s="1033"/>
      <c r="F779" s="1033"/>
      <c r="G779" s="1033"/>
      <c r="H779" s="1033"/>
      <c r="I779" s="1033"/>
      <c r="J779" s="1033"/>
      <c r="K779" s="1033"/>
      <c r="L779" s="90"/>
      <c r="M779" s="51" t="s">
        <v>265</v>
      </c>
      <c r="N779" s="113">
        <f t="shared" ref="N779:N784" si="386">+A779</f>
        <v>7655</v>
      </c>
      <c r="O779" s="8">
        <v>0</v>
      </c>
      <c r="P779" s="9">
        <v>0</v>
      </c>
      <c r="Q779" s="325"/>
      <c r="R779" s="324"/>
      <c r="S779" s="27">
        <f t="shared" ref="S779:S784" si="387">+IF(ABS(+O779+Q779)&gt;=ABS(P779+R779),+O779-P779+Q779-R779,0)</f>
        <v>0</v>
      </c>
      <c r="T779" s="28">
        <f t="shared" ref="T779:T784" si="388">+IF(ABS(+O779+Q779)&lt;=ABS(P779+R779),-O779+P779-Q779+R779,0)</f>
        <v>0</v>
      </c>
      <c r="U779" s="51"/>
      <c r="V779" s="541">
        <f>+'NF-KSF-TRIAL-BAL-2020'!O779+'RA-TRIAL-BAL-2020'!O779+'DES-TRIAL-BAL-2020'!O779+'DMP-TRIAL-BAL-2020'!O779</f>
        <v>0</v>
      </c>
      <c r="W779" s="529">
        <f>+'NF-KSF-TRIAL-BAL-2020'!P779+'RA-TRIAL-BAL-2020'!P779+'DES-TRIAL-BAL-2020'!P779+'DMP-TRIAL-BAL-2020'!P779</f>
        <v>0</v>
      </c>
      <c r="X779" s="528">
        <f>+'NF-KSF-TRIAL-BAL-2020'!Q779+'RA-TRIAL-BAL-2020'!Q779+'DES-TRIAL-BAL-2020'!Q779+'DMP-TRIAL-BAL-2020'!Q779</f>
        <v>0</v>
      </c>
      <c r="Y779" s="529">
        <f>+'NF-KSF-TRIAL-BAL-2020'!R779+'RA-TRIAL-BAL-2020'!R779+'DES-TRIAL-BAL-2020'!R779+'DMP-TRIAL-BAL-2020'!R779</f>
        <v>0</v>
      </c>
      <c r="Z779" s="528">
        <f>+'NF-KSF-TRIAL-BAL-2020'!S779+'RA-TRIAL-BAL-2020'!S779+'DES-TRIAL-BAL-2020'!S779+'DMP-TRIAL-BAL-2020'!S779</f>
        <v>0</v>
      </c>
      <c r="AA779" s="347">
        <f>+'NF-KSF-TRIAL-BAL-2020'!T779+'RA-TRIAL-BAL-2020'!T779+'DES-TRIAL-BAL-2020'!T779+'DMP-TRIAL-BAL-2020'!T779</f>
        <v>0</v>
      </c>
      <c r="AB779" s="51"/>
      <c r="AC779" s="8">
        <v>0</v>
      </c>
      <c r="AD779" s="9">
        <v>0</v>
      </c>
      <c r="AE779" s="122"/>
      <c r="AF779" s="121"/>
      <c r="AG779" s="27">
        <f t="shared" ref="AG779:AG784" si="389">+IF(ABS(+AC779+AE779)&gt;=ABS(AD779+AF779),+AC779-AD779+AE779-AF779,0)</f>
        <v>0</v>
      </c>
      <c r="AH779" s="28">
        <f t="shared" ref="AH779:AH784" si="390">+IF(ABS(+AC779+AE779)&lt;=ABS(AD779+AF779),-AC779+AD779-AE779+AF779,0)</f>
        <v>0</v>
      </c>
      <c r="AI779" s="51"/>
      <c r="AJ779" s="1497">
        <f t="shared" ref="AJ779:AJ784" si="391">+N779</f>
        <v>7655</v>
      </c>
      <c r="AK779" s="8">
        <v>0</v>
      </c>
      <c r="AL779" s="9">
        <v>0</v>
      </c>
      <c r="AM779" s="326">
        <f t="shared" ref="AM779:AM784" si="392">+ROUND(+Q779+X779+AE779,2)</f>
        <v>0</v>
      </c>
      <c r="AN779" s="970">
        <f t="shared" ref="AN779:AN784" si="393">+ROUND(+R779+Y779+AF779,2)</f>
        <v>0</v>
      </c>
      <c r="AO779" s="27">
        <f t="shared" si="360"/>
        <v>0</v>
      </c>
      <c r="AP779" s="28">
        <f t="shared" si="361"/>
        <v>0</v>
      </c>
      <c r="AQ779" s="43"/>
      <c r="AR779" s="358">
        <f t="shared" ref="AR779:AR784" si="394">+ROUND(+SUM(AK779-AL779)-SUM(O779-P779)-SUM(V779-W779)-SUM(AC779-AD779),2)</f>
        <v>0</v>
      </c>
      <c r="AS779" s="359">
        <f t="shared" ref="AS779:AS784" si="395">+ROUND(+SUM(AM779-AN779)-SUM(Q779-R779)-SUM(X779-Y779)-SUM(AE779-AF779),2)</f>
        <v>0</v>
      </c>
      <c r="AT779" s="360">
        <f t="shared" ref="AT779:AT784" si="396">+ROUND(+SUM(AO779-AP779)-SUM(S779-T779)-SUM(Z779-AA779)-SUM(AG779-AH779),2)</f>
        <v>0</v>
      </c>
      <c r="AU779" s="43"/>
      <c r="AV779" s="43"/>
      <c r="AW779" s="119"/>
      <c r="AX779" s="119"/>
      <c r="AY779" s="43"/>
      <c r="AZ779" s="43"/>
      <c r="BA779" s="43"/>
      <c r="BB779" s="43"/>
      <c r="BC779" s="43"/>
      <c r="BD779" s="43"/>
    </row>
    <row r="780" spans="1:56" ht="15.75">
      <c r="A780" s="88">
        <v>7657</v>
      </c>
      <c r="B780" s="1033" t="s">
        <v>84</v>
      </c>
      <c r="C780" s="1033"/>
      <c r="D780" s="1033"/>
      <c r="E780" s="1033"/>
      <c r="F780" s="1033"/>
      <c r="G780" s="1033"/>
      <c r="H780" s="1033"/>
      <c r="I780" s="1033"/>
      <c r="J780" s="1033"/>
      <c r="K780" s="1033"/>
      <c r="L780" s="90"/>
      <c r="M780" s="51" t="s">
        <v>265</v>
      </c>
      <c r="N780" s="113">
        <f t="shared" si="386"/>
        <v>7657</v>
      </c>
      <c r="O780" s="8">
        <v>0</v>
      </c>
      <c r="P780" s="9">
        <v>0</v>
      </c>
      <c r="Q780" s="325"/>
      <c r="R780" s="324"/>
      <c r="S780" s="27">
        <f t="shared" si="387"/>
        <v>0</v>
      </c>
      <c r="T780" s="28">
        <f t="shared" si="388"/>
        <v>0</v>
      </c>
      <c r="U780" s="51"/>
      <c r="V780" s="541">
        <f>+'NF-KSF-TRIAL-BAL-2020'!O780+'RA-TRIAL-BAL-2020'!O780+'DES-TRIAL-BAL-2020'!O780+'DMP-TRIAL-BAL-2020'!O780</f>
        <v>0</v>
      </c>
      <c r="W780" s="529">
        <f>+'NF-KSF-TRIAL-BAL-2020'!P780+'RA-TRIAL-BAL-2020'!P780+'DES-TRIAL-BAL-2020'!P780+'DMP-TRIAL-BAL-2020'!P780</f>
        <v>0</v>
      </c>
      <c r="X780" s="528">
        <f>+'NF-KSF-TRIAL-BAL-2020'!Q780+'RA-TRIAL-BAL-2020'!Q780+'DES-TRIAL-BAL-2020'!Q780+'DMP-TRIAL-BAL-2020'!Q780</f>
        <v>0</v>
      </c>
      <c r="Y780" s="529">
        <f>+'NF-KSF-TRIAL-BAL-2020'!R780+'RA-TRIAL-BAL-2020'!R780+'DES-TRIAL-BAL-2020'!R780+'DMP-TRIAL-BAL-2020'!R780</f>
        <v>0</v>
      </c>
      <c r="Z780" s="528">
        <f>+'NF-KSF-TRIAL-BAL-2020'!S780+'RA-TRIAL-BAL-2020'!S780+'DES-TRIAL-BAL-2020'!S780+'DMP-TRIAL-BAL-2020'!S780</f>
        <v>0</v>
      </c>
      <c r="AA780" s="347">
        <f>+'NF-KSF-TRIAL-BAL-2020'!T780+'RA-TRIAL-BAL-2020'!T780+'DES-TRIAL-BAL-2020'!T780+'DMP-TRIAL-BAL-2020'!T780</f>
        <v>0</v>
      </c>
      <c r="AB780" s="51"/>
      <c r="AC780" s="8">
        <v>0</v>
      </c>
      <c r="AD780" s="9">
        <v>0</v>
      </c>
      <c r="AE780" s="122"/>
      <c r="AF780" s="121"/>
      <c r="AG780" s="27">
        <f t="shared" si="389"/>
        <v>0</v>
      </c>
      <c r="AH780" s="28">
        <f t="shared" si="390"/>
        <v>0</v>
      </c>
      <c r="AI780" s="51"/>
      <c r="AJ780" s="1497">
        <f t="shared" si="391"/>
        <v>7657</v>
      </c>
      <c r="AK780" s="8">
        <v>0</v>
      </c>
      <c r="AL780" s="9">
        <v>0</v>
      </c>
      <c r="AM780" s="326">
        <f t="shared" si="392"/>
        <v>0</v>
      </c>
      <c r="AN780" s="970">
        <f t="shared" si="393"/>
        <v>0</v>
      </c>
      <c r="AO780" s="27">
        <f t="shared" si="360"/>
        <v>0</v>
      </c>
      <c r="AP780" s="28">
        <f t="shared" si="361"/>
        <v>0</v>
      </c>
      <c r="AQ780" s="43"/>
      <c r="AR780" s="358">
        <f t="shared" si="394"/>
        <v>0</v>
      </c>
      <c r="AS780" s="359">
        <f t="shared" si="395"/>
        <v>0</v>
      </c>
      <c r="AT780" s="360">
        <f t="shared" si="396"/>
        <v>0</v>
      </c>
      <c r="AU780" s="43"/>
      <c r="AV780" s="43"/>
      <c r="AW780" s="119"/>
      <c r="AX780" s="119"/>
      <c r="AY780" s="43"/>
      <c r="AZ780" s="43"/>
      <c r="BA780" s="43"/>
      <c r="BB780" s="43"/>
      <c r="BC780" s="43"/>
      <c r="BD780" s="43"/>
    </row>
    <row r="781" spans="1:56" ht="15.75">
      <c r="A781" s="88">
        <v>7658</v>
      </c>
      <c r="B781" s="1033" t="s">
        <v>85</v>
      </c>
      <c r="C781" s="1033"/>
      <c r="D781" s="1033"/>
      <c r="E781" s="1033"/>
      <c r="F781" s="1033"/>
      <c r="G781" s="1033"/>
      <c r="H781" s="1033"/>
      <c r="I781" s="1033"/>
      <c r="J781" s="1033"/>
      <c r="K781" s="1033"/>
      <c r="L781" s="90"/>
      <c r="M781" s="51" t="s">
        <v>265</v>
      </c>
      <c r="N781" s="113">
        <f t="shared" si="386"/>
        <v>7658</v>
      </c>
      <c r="O781" s="8">
        <v>0</v>
      </c>
      <c r="P781" s="9">
        <v>0</v>
      </c>
      <c r="Q781" s="325"/>
      <c r="R781" s="324"/>
      <c r="S781" s="27">
        <f t="shared" si="387"/>
        <v>0</v>
      </c>
      <c r="T781" s="28">
        <f t="shared" si="388"/>
        <v>0</v>
      </c>
      <c r="U781" s="51"/>
      <c r="V781" s="541">
        <f>+'NF-KSF-TRIAL-BAL-2020'!O781+'RA-TRIAL-BAL-2020'!O781+'DES-TRIAL-BAL-2020'!O781+'DMP-TRIAL-BAL-2020'!O781</f>
        <v>0</v>
      </c>
      <c r="W781" s="529">
        <f>+'NF-KSF-TRIAL-BAL-2020'!P781+'RA-TRIAL-BAL-2020'!P781+'DES-TRIAL-BAL-2020'!P781+'DMP-TRIAL-BAL-2020'!P781</f>
        <v>0</v>
      </c>
      <c r="X781" s="528">
        <f>+'NF-KSF-TRIAL-BAL-2020'!Q781+'RA-TRIAL-BAL-2020'!Q781+'DES-TRIAL-BAL-2020'!Q781+'DMP-TRIAL-BAL-2020'!Q781</f>
        <v>0</v>
      </c>
      <c r="Y781" s="529">
        <f>+'NF-KSF-TRIAL-BAL-2020'!R781+'RA-TRIAL-BAL-2020'!R781+'DES-TRIAL-BAL-2020'!R781+'DMP-TRIAL-BAL-2020'!R781</f>
        <v>0</v>
      </c>
      <c r="Z781" s="528">
        <f>+'NF-KSF-TRIAL-BAL-2020'!S781+'RA-TRIAL-BAL-2020'!S781+'DES-TRIAL-BAL-2020'!S781+'DMP-TRIAL-BAL-2020'!S781</f>
        <v>0</v>
      </c>
      <c r="AA781" s="347">
        <f>+'NF-KSF-TRIAL-BAL-2020'!T781+'RA-TRIAL-BAL-2020'!T781+'DES-TRIAL-BAL-2020'!T781+'DMP-TRIAL-BAL-2020'!T781</f>
        <v>0</v>
      </c>
      <c r="AB781" s="51"/>
      <c r="AC781" s="8">
        <v>0</v>
      </c>
      <c r="AD781" s="9">
        <v>0</v>
      </c>
      <c r="AE781" s="325"/>
      <c r="AF781" s="324"/>
      <c r="AG781" s="27">
        <f t="shared" si="389"/>
        <v>0</v>
      </c>
      <c r="AH781" s="28">
        <f t="shared" si="390"/>
        <v>0</v>
      </c>
      <c r="AI781" s="51"/>
      <c r="AJ781" s="1497">
        <f t="shared" si="391"/>
        <v>7658</v>
      </c>
      <c r="AK781" s="8">
        <v>0</v>
      </c>
      <c r="AL781" s="9">
        <v>0</v>
      </c>
      <c r="AM781" s="326">
        <f t="shared" si="392"/>
        <v>0</v>
      </c>
      <c r="AN781" s="970">
        <f t="shared" si="393"/>
        <v>0</v>
      </c>
      <c r="AO781" s="27">
        <f t="shared" si="360"/>
        <v>0</v>
      </c>
      <c r="AP781" s="28">
        <f t="shared" si="361"/>
        <v>0</v>
      </c>
      <c r="AQ781" s="43"/>
      <c r="AR781" s="358">
        <f t="shared" si="394"/>
        <v>0</v>
      </c>
      <c r="AS781" s="359">
        <f t="shared" si="395"/>
        <v>0</v>
      </c>
      <c r="AT781" s="360">
        <f t="shared" si="396"/>
        <v>0</v>
      </c>
      <c r="AU781" s="43"/>
      <c r="AV781" s="43"/>
      <c r="AW781" s="119"/>
      <c r="AX781" s="119"/>
      <c r="AY781" s="43"/>
      <c r="AZ781" s="43"/>
      <c r="BA781" s="43"/>
      <c r="BB781" s="43"/>
      <c r="BC781" s="43"/>
      <c r="BD781" s="43"/>
    </row>
    <row r="782" spans="1:56" ht="15.75">
      <c r="A782" s="88">
        <v>7672</v>
      </c>
      <c r="B782" s="1033" t="s">
        <v>86</v>
      </c>
      <c r="C782" s="1033"/>
      <c r="D782" s="1033"/>
      <c r="E782" s="1033"/>
      <c r="F782" s="1033"/>
      <c r="G782" s="1033"/>
      <c r="H782" s="1033"/>
      <c r="I782" s="1033"/>
      <c r="J782" s="1033"/>
      <c r="K782" s="1033"/>
      <c r="L782" s="90"/>
      <c r="M782" s="51" t="s">
        <v>265</v>
      </c>
      <c r="N782" s="113">
        <f t="shared" si="386"/>
        <v>7672</v>
      </c>
      <c r="O782" s="8">
        <v>0</v>
      </c>
      <c r="P782" s="9">
        <v>0</v>
      </c>
      <c r="Q782" s="325"/>
      <c r="R782" s="324"/>
      <c r="S782" s="27">
        <f t="shared" si="387"/>
        <v>0</v>
      </c>
      <c r="T782" s="28">
        <f t="shared" si="388"/>
        <v>0</v>
      </c>
      <c r="U782" s="51"/>
      <c r="V782" s="541">
        <f>+'NF-KSF-TRIAL-BAL-2020'!O782+'RA-TRIAL-BAL-2020'!O782+'DES-TRIAL-BAL-2020'!O782+'DMP-TRIAL-BAL-2020'!O782</f>
        <v>0</v>
      </c>
      <c r="W782" s="529">
        <f>+'NF-KSF-TRIAL-BAL-2020'!P782+'RA-TRIAL-BAL-2020'!P782+'DES-TRIAL-BAL-2020'!P782+'DMP-TRIAL-BAL-2020'!P782</f>
        <v>0</v>
      </c>
      <c r="X782" s="528">
        <f>+'NF-KSF-TRIAL-BAL-2020'!Q782+'RA-TRIAL-BAL-2020'!Q782+'DES-TRIAL-BAL-2020'!Q782+'DMP-TRIAL-BAL-2020'!Q782</f>
        <v>0</v>
      </c>
      <c r="Y782" s="529">
        <f>+'NF-KSF-TRIAL-BAL-2020'!R782+'RA-TRIAL-BAL-2020'!R782+'DES-TRIAL-BAL-2020'!R782+'DMP-TRIAL-BAL-2020'!R782</f>
        <v>0</v>
      </c>
      <c r="Z782" s="528">
        <f>+'NF-KSF-TRIAL-BAL-2020'!S782+'RA-TRIAL-BAL-2020'!S782+'DES-TRIAL-BAL-2020'!S782+'DMP-TRIAL-BAL-2020'!S782</f>
        <v>0</v>
      </c>
      <c r="AA782" s="347">
        <f>+'NF-KSF-TRIAL-BAL-2020'!T782+'RA-TRIAL-BAL-2020'!T782+'DES-TRIAL-BAL-2020'!T782+'DMP-TRIAL-BAL-2020'!T782</f>
        <v>0</v>
      </c>
      <c r="AB782" s="51"/>
      <c r="AC782" s="8">
        <v>0</v>
      </c>
      <c r="AD782" s="9">
        <v>0</v>
      </c>
      <c r="AE782" s="122"/>
      <c r="AF782" s="121"/>
      <c r="AG782" s="27">
        <f t="shared" si="389"/>
        <v>0</v>
      </c>
      <c r="AH782" s="28">
        <f t="shared" si="390"/>
        <v>0</v>
      </c>
      <c r="AI782" s="51"/>
      <c r="AJ782" s="1497">
        <f t="shared" si="391"/>
        <v>7672</v>
      </c>
      <c r="AK782" s="8">
        <v>0</v>
      </c>
      <c r="AL782" s="9">
        <v>0</v>
      </c>
      <c r="AM782" s="326">
        <f t="shared" si="392"/>
        <v>0</v>
      </c>
      <c r="AN782" s="970">
        <f t="shared" si="393"/>
        <v>0</v>
      </c>
      <c r="AO782" s="27">
        <f t="shared" si="360"/>
        <v>0</v>
      </c>
      <c r="AP782" s="28">
        <f t="shared" si="361"/>
        <v>0</v>
      </c>
      <c r="AQ782" s="43"/>
      <c r="AR782" s="358">
        <f t="shared" si="394"/>
        <v>0</v>
      </c>
      <c r="AS782" s="359">
        <f t="shared" si="395"/>
        <v>0</v>
      </c>
      <c r="AT782" s="360">
        <f t="shared" si="396"/>
        <v>0</v>
      </c>
      <c r="AU782" s="43"/>
      <c r="AV782" s="43"/>
      <c r="AW782" s="119"/>
      <c r="AX782" s="119"/>
      <c r="AY782" s="43"/>
      <c r="AZ782" s="43"/>
      <c r="BA782" s="43"/>
      <c r="BB782" s="43"/>
      <c r="BC782" s="43"/>
      <c r="BD782" s="43"/>
    </row>
    <row r="783" spans="1:56" ht="15.75">
      <c r="A783" s="88">
        <v>7673</v>
      </c>
      <c r="B783" s="1033" t="s">
        <v>813</v>
      </c>
      <c r="C783" s="1033"/>
      <c r="D783" s="1033"/>
      <c r="E783" s="1033"/>
      <c r="F783" s="1033"/>
      <c r="G783" s="1033"/>
      <c r="H783" s="1033"/>
      <c r="I783" s="1033"/>
      <c r="J783" s="1033"/>
      <c r="K783" s="1033"/>
      <c r="L783" s="90"/>
      <c r="M783" s="51" t="s">
        <v>265</v>
      </c>
      <c r="N783" s="113">
        <f t="shared" si="386"/>
        <v>7673</v>
      </c>
      <c r="O783" s="8">
        <v>0</v>
      </c>
      <c r="P783" s="9">
        <v>0</v>
      </c>
      <c r="Q783" s="325"/>
      <c r="R783" s="324"/>
      <c r="S783" s="27">
        <f t="shared" si="387"/>
        <v>0</v>
      </c>
      <c r="T783" s="28">
        <f t="shared" si="388"/>
        <v>0</v>
      </c>
      <c r="U783" s="51"/>
      <c r="V783" s="541">
        <f>+'NF-KSF-TRIAL-BAL-2020'!O783+'RA-TRIAL-BAL-2020'!O783+'DES-TRIAL-BAL-2020'!O783+'DMP-TRIAL-BAL-2020'!O783</f>
        <v>0</v>
      </c>
      <c r="W783" s="529">
        <f>+'NF-KSF-TRIAL-BAL-2020'!P783+'RA-TRIAL-BAL-2020'!P783+'DES-TRIAL-BAL-2020'!P783+'DMP-TRIAL-BAL-2020'!P783</f>
        <v>0</v>
      </c>
      <c r="X783" s="528">
        <f>+'NF-KSF-TRIAL-BAL-2020'!Q783+'RA-TRIAL-BAL-2020'!Q783+'DES-TRIAL-BAL-2020'!Q783+'DMP-TRIAL-BAL-2020'!Q783</f>
        <v>0</v>
      </c>
      <c r="Y783" s="529">
        <f>+'NF-KSF-TRIAL-BAL-2020'!R783+'RA-TRIAL-BAL-2020'!R783+'DES-TRIAL-BAL-2020'!R783+'DMP-TRIAL-BAL-2020'!R783</f>
        <v>0</v>
      </c>
      <c r="Z783" s="528">
        <f>+'NF-KSF-TRIAL-BAL-2020'!S783+'RA-TRIAL-BAL-2020'!S783+'DES-TRIAL-BAL-2020'!S783+'DMP-TRIAL-BAL-2020'!S783</f>
        <v>0</v>
      </c>
      <c r="AA783" s="347">
        <f>+'NF-KSF-TRIAL-BAL-2020'!T783+'RA-TRIAL-BAL-2020'!T783+'DES-TRIAL-BAL-2020'!T783+'DMP-TRIAL-BAL-2020'!T783</f>
        <v>0</v>
      </c>
      <c r="AB783" s="51"/>
      <c r="AC783" s="8">
        <v>0</v>
      </c>
      <c r="AD783" s="9">
        <v>0</v>
      </c>
      <c r="AE783" s="122"/>
      <c r="AF783" s="121"/>
      <c r="AG783" s="27">
        <f t="shared" si="389"/>
        <v>0</v>
      </c>
      <c r="AH783" s="28">
        <f t="shared" si="390"/>
        <v>0</v>
      </c>
      <c r="AI783" s="51"/>
      <c r="AJ783" s="1497">
        <f t="shared" si="391"/>
        <v>7673</v>
      </c>
      <c r="AK783" s="8">
        <v>0</v>
      </c>
      <c r="AL783" s="9">
        <v>0</v>
      </c>
      <c r="AM783" s="326">
        <f t="shared" si="392"/>
        <v>0</v>
      </c>
      <c r="AN783" s="970">
        <f t="shared" si="393"/>
        <v>0</v>
      </c>
      <c r="AO783" s="27">
        <f t="shared" si="360"/>
        <v>0</v>
      </c>
      <c r="AP783" s="28">
        <f t="shared" si="361"/>
        <v>0</v>
      </c>
      <c r="AQ783" s="43"/>
      <c r="AR783" s="358">
        <f t="shared" si="394"/>
        <v>0</v>
      </c>
      <c r="AS783" s="359">
        <f t="shared" si="395"/>
        <v>0</v>
      </c>
      <c r="AT783" s="360">
        <f t="shared" si="396"/>
        <v>0</v>
      </c>
      <c r="AU783" s="43"/>
      <c r="AV783" s="43"/>
      <c r="AW783" s="119"/>
      <c r="AX783" s="119"/>
      <c r="AY783" s="43"/>
      <c r="AZ783" s="43"/>
      <c r="BA783" s="43"/>
      <c r="BB783" s="43"/>
      <c r="BC783" s="43"/>
      <c r="BD783" s="43"/>
    </row>
    <row r="784" spans="1:56" ht="15.75">
      <c r="A784" s="88">
        <v>7674</v>
      </c>
      <c r="B784" s="1033" t="s">
        <v>814</v>
      </c>
      <c r="C784" s="1033"/>
      <c r="D784" s="1033"/>
      <c r="E784" s="1033"/>
      <c r="F784" s="1033"/>
      <c r="G784" s="1033"/>
      <c r="H784" s="1033"/>
      <c r="I784" s="1033"/>
      <c r="J784" s="1033"/>
      <c r="K784" s="1033"/>
      <c r="L784" s="90"/>
      <c r="M784" s="51" t="s">
        <v>265</v>
      </c>
      <c r="N784" s="113">
        <f t="shared" si="386"/>
        <v>7674</v>
      </c>
      <c r="O784" s="8">
        <v>0</v>
      </c>
      <c r="P784" s="9">
        <v>0</v>
      </c>
      <c r="Q784" s="325"/>
      <c r="R784" s="324"/>
      <c r="S784" s="27">
        <f t="shared" si="387"/>
        <v>0</v>
      </c>
      <c r="T784" s="28">
        <f t="shared" si="388"/>
        <v>0</v>
      </c>
      <c r="U784" s="51"/>
      <c r="V784" s="541">
        <f>+'NF-KSF-TRIAL-BAL-2020'!O784+'RA-TRIAL-BAL-2020'!O784+'DES-TRIAL-BAL-2020'!O784+'DMP-TRIAL-BAL-2020'!O784</f>
        <v>0</v>
      </c>
      <c r="W784" s="529">
        <f>+'NF-KSF-TRIAL-BAL-2020'!P784+'RA-TRIAL-BAL-2020'!P784+'DES-TRIAL-BAL-2020'!P784+'DMP-TRIAL-BAL-2020'!P784</f>
        <v>0</v>
      </c>
      <c r="X784" s="528">
        <f>+'NF-KSF-TRIAL-BAL-2020'!Q784+'RA-TRIAL-BAL-2020'!Q784+'DES-TRIAL-BAL-2020'!Q784+'DMP-TRIAL-BAL-2020'!Q784</f>
        <v>0</v>
      </c>
      <c r="Y784" s="529">
        <f>+'NF-KSF-TRIAL-BAL-2020'!R784+'RA-TRIAL-BAL-2020'!R784+'DES-TRIAL-BAL-2020'!R784+'DMP-TRIAL-BAL-2020'!R784</f>
        <v>0</v>
      </c>
      <c r="Z784" s="528">
        <f>+'NF-KSF-TRIAL-BAL-2020'!S784+'RA-TRIAL-BAL-2020'!S784+'DES-TRIAL-BAL-2020'!S784+'DMP-TRIAL-BAL-2020'!S784</f>
        <v>0</v>
      </c>
      <c r="AA784" s="347">
        <f>+'NF-KSF-TRIAL-BAL-2020'!T784+'RA-TRIAL-BAL-2020'!T784+'DES-TRIAL-BAL-2020'!T784+'DMP-TRIAL-BAL-2020'!T784</f>
        <v>0</v>
      </c>
      <c r="AB784" s="51"/>
      <c r="AC784" s="8">
        <v>0</v>
      </c>
      <c r="AD784" s="9">
        <v>0</v>
      </c>
      <c r="AE784" s="325"/>
      <c r="AF784" s="324"/>
      <c r="AG784" s="27">
        <f t="shared" si="389"/>
        <v>0</v>
      </c>
      <c r="AH784" s="28">
        <f t="shared" si="390"/>
        <v>0</v>
      </c>
      <c r="AI784" s="51"/>
      <c r="AJ784" s="1497">
        <f t="shared" si="391"/>
        <v>7674</v>
      </c>
      <c r="AK784" s="8">
        <v>0</v>
      </c>
      <c r="AL784" s="9">
        <v>0</v>
      </c>
      <c r="AM784" s="326">
        <f t="shared" si="392"/>
        <v>0</v>
      </c>
      <c r="AN784" s="970">
        <f t="shared" si="393"/>
        <v>0</v>
      </c>
      <c r="AO784" s="27">
        <f t="shared" si="360"/>
        <v>0</v>
      </c>
      <c r="AP784" s="28">
        <f t="shared" si="361"/>
        <v>0</v>
      </c>
      <c r="AQ784" s="43"/>
      <c r="AR784" s="358">
        <f t="shared" si="394"/>
        <v>0</v>
      </c>
      <c r="AS784" s="359">
        <f t="shared" si="395"/>
        <v>0</v>
      </c>
      <c r="AT784" s="360">
        <f t="shared" si="396"/>
        <v>0</v>
      </c>
      <c r="AU784" s="43"/>
      <c r="AV784" s="43"/>
      <c r="AW784" s="119"/>
      <c r="AX784" s="119"/>
      <c r="AY784" s="43"/>
      <c r="AZ784" s="43"/>
      <c r="BA784" s="43"/>
      <c r="BB784" s="43"/>
      <c r="BC784" s="43"/>
      <c r="BD784" s="43"/>
    </row>
    <row r="785" spans="1:56" ht="15.75">
      <c r="A785" s="88">
        <v>7675</v>
      </c>
      <c r="B785" s="1033" t="s">
        <v>815</v>
      </c>
      <c r="C785" s="1033"/>
      <c r="D785" s="1033"/>
      <c r="E785" s="1033"/>
      <c r="F785" s="1033"/>
      <c r="G785" s="1033"/>
      <c r="H785" s="1033"/>
      <c r="I785" s="1033"/>
      <c r="J785" s="1033"/>
      <c r="K785" s="1033"/>
      <c r="L785" s="90"/>
      <c r="M785" s="51" t="s">
        <v>265</v>
      </c>
      <c r="N785" s="113">
        <f>+A785</f>
        <v>7675</v>
      </c>
      <c r="O785" s="8">
        <v>0</v>
      </c>
      <c r="P785" s="9">
        <v>0</v>
      </c>
      <c r="Q785" s="325"/>
      <c r="R785" s="324"/>
      <c r="S785" s="27">
        <f>+IF(ABS(+O785+Q785)&gt;=ABS(P785+R785),+O785-P785+Q785-R785,0)</f>
        <v>0</v>
      </c>
      <c r="T785" s="28">
        <f>+IF(ABS(+O785+Q785)&lt;=ABS(P785+R785),-O785+P785-Q785+R785,0)</f>
        <v>0</v>
      </c>
      <c r="U785" s="51"/>
      <c r="V785" s="541">
        <f>+'NF-KSF-TRIAL-BAL-2020'!O785+'RA-TRIAL-BAL-2020'!O785+'DES-TRIAL-BAL-2020'!O785+'DMP-TRIAL-BAL-2020'!O785</f>
        <v>0</v>
      </c>
      <c r="W785" s="529">
        <f>+'NF-KSF-TRIAL-BAL-2020'!P785+'RA-TRIAL-BAL-2020'!P785+'DES-TRIAL-BAL-2020'!P785+'DMP-TRIAL-BAL-2020'!P785</f>
        <v>0</v>
      </c>
      <c r="X785" s="528">
        <f>+'NF-KSF-TRIAL-BAL-2020'!Q785+'RA-TRIAL-BAL-2020'!Q785+'DES-TRIAL-BAL-2020'!Q785+'DMP-TRIAL-BAL-2020'!Q785</f>
        <v>0</v>
      </c>
      <c r="Y785" s="529">
        <f>+'NF-KSF-TRIAL-BAL-2020'!R785+'RA-TRIAL-BAL-2020'!R785+'DES-TRIAL-BAL-2020'!R785+'DMP-TRIAL-BAL-2020'!R785</f>
        <v>0</v>
      </c>
      <c r="Z785" s="528">
        <f>+'NF-KSF-TRIAL-BAL-2020'!S785+'RA-TRIAL-BAL-2020'!S785+'DES-TRIAL-BAL-2020'!S785+'DMP-TRIAL-BAL-2020'!S785</f>
        <v>0</v>
      </c>
      <c r="AA785" s="347">
        <f>+'NF-KSF-TRIAL-BAL-2020'!T785+'RA-TRIAL-BAL-2020'!T785+'DES-TRIAL-BAL-2020'!T785+'DMP-TRIAL-BAL-2020'!T785</f>
        <v>0</v>
      </c>
      <c r="AB785" s="51"/>
      <c r="AC785" s="8">
        <v>0</v>
      </c>
      <c r="AD785" s="9">
        <v>0</v>
      </c>
      <c r="AE785" s="325"/>
      <c r="AF785" s="324"/>
      <c r="AG785" s="27">
        <f>+IF(ABS(+AC785+AE785)&gt;=ABS(AD785+AF785),+AC785-AD785+AE785-AF785,0)</f>
        <v>0</v>
      </c>
      <c r="AH785" s="28">
        <f>+IF(ABS(+AC785+AE785)&lt;=ABS(AD785+AF785),-AC785+AD785-AE785+AF785,0)</f>
        <v>0</v>
      </c>
      <c r="AI785" s="51"/>
      <c r="AJ785" s="1497">
        <f>+N785</f>
        <v>7675</v>
      </c>
      <c r="AK785" s="8">
        <v>0</v>
      </c>
      <c r="AL785" s="9">
        <v>0</v>
      </c>
      <c r="AM785" s="326">
        <f t="shared" ref="AM785:AN787" si="397">+ROUND(+Q785+X785+AE785,2)</f>
        <v>0</v>
      </c>
      <c r="AN785" s="970">
        <f t="shared" si="397"/>
        <v>0</v>
      </c>
      <c r="AO785" s="27">
        <f t="shared" si="360"/>
        <v>0</v>
      </c>
      <c r="AP785" s="28">
        <f t="shared" si="361"/>
        <v>0</v>
      </c>
      <c r="AQ785" s="43"/>
      <c r="AR785" s="358">
        <f>+ROUND(+SUM(AK785-AL785)-SUM(O785-P785)-SUM(V785-W785)-SUM(AC785-AD785),2)</f>
        <v>0</v>
      </c>
      <c r="AS785" s="359">
        <f>+ROUND(+SUM(AM785-AN785)-SUM(Q785-R785)-SUM(X785-Y785)-SUM(AE785-AF785),2)</f>
        <v>0</v>
      </c>
      <c r="AT785" s="360">
        <f>+ROUND(+SUM(AO785-AP785)-SUM(S785-T785)-SUM(Z785-AA785)-SUM(AG785-AH785),2)</f>
        <v>0</v>
      </c>
      <c r="AU785" s="43"/>
      <c r="AV785" s="43"/>
      <c r="AW785" s="119"/>
      <c r="AX785" s="119"/>
      <c r="AY785" s="43"/>
      <c r="AZ785" s="43"/>
      <c r="BA785" s="43"/>
      <c r="BB785" s="43"/>
      <c r="BC785" s="43"/>
      <c r="BD785" s="43"/>
    </row>
    <row r="786" spans="1:56" ht="15.75">
      <c r="A786" s="88">
        <v>7677</v>
      </c>
      <c r="B786" s="1033" t="s">
        <v>816</v>
      </c>
      <c r="C786" s="1033"/>
      <c r="D786" s="1033"/>
      <c r="E786" s="1033"/>
      <c r="F786" s="1033"/>
      <c r="G786" s="1033"/>
      <c r="H786" s="1033"/>
      <c r="I786" s="1033"/>
      <c r="J786" s="1033"/>
      <c r="K786" s="1033"/>
      <c r="L786" s="90"/>
      <c r="M786" s="51" t="s">
        <v>265</v>
      </c>
      <c r="N786" s="113">
        <f>+A786</f>
        <v>7677</v>
      </c>
      <c r="O786" s="8">
        <v>0</v>
      </c>
      <c r="P786" s="9">
        <v>0</v>
      </c>
      <c r="Q786" s="325"/>
      <c r="R786" s="324"/>
      <c r="S786" s="27">
        <f>+IF(ABS(+O786+Q786)&gt;=ABS(P786+R786),+O786-P786+Q786-R786,0)</f>
        <v>0</v>
      </c>
      <c r="T786" s="28">
        <f>+IF(ABS(+O786+Q786)&lt;=ABS(P786+R786),-O786+P786-Q786+R786,0)</f>
        <v>0</v>
      </c>
      <c r="U786" s="51"/>
      <c r="V786" s="541">
        <f>+'NF-KSF-TRIAL-BAL-2020'!O786+'RA-TRIAL-BAL-2020'!O786+'DES-TRIAL-BAL-2020'!O786+'DMP-TRIAL-BAL-2020'!O786</f>
        <v>0</v>
      </c>
      <c r="W786" s="529">
        <f>+'NF-KSF-TRIAL-BAL-2020'!P786+'RA-TRIAL-BAL-2020'!P786+'DES-TRIAL-BAL-2020'!P786+'DMP-TRIAL-BAL-2020'!P786</f>
        <v>0</v>
      </c>
      <c r="X786" s="528">
        <f>+'NF-KSF-TRIAL-BAL-2020'!Q786+'RA-TRIAL-BAL-2020'!Q786+'DES-TRIAL-BAL-2020'!Q786+'DMP-TRIAL-BAL-2020'!Q786</f>
        <v>0</v>
      </c>
      <c r="Y786" s="529">
        <f>+'NF-KSF-TRIAL-BAL-2020'!R786+'RA-TRIAL-BAL-2020'!R786+'DES-TRIAL-BAL-2020'!R786+'DMP-TRIAL-BAL-2020'!R786</f>
        <v>0</v>
      </c>
      <c r="Z786" s="528">
        <f>+'NF-KSF-TRIAL-BAL-2020'!S786+'RA-TRIAL-BAL-2020'!S786+'DES-TRIAL-BAL-2020'!S786+'DMP-TRIAL-BAL-2020'!S786</f>
        <v>0</v>
      </c>
      <c r="AA786" s="347">
        <f>+'NF-KSF-TRIAL-BAL-2020'!T786+'RA-TRIAL-BAL-2020'!T786+'DES-TRIAL-BAL-2020'!T786+'DMP-TRIAL-BAL-2020'!T786</f>
        <v>0</v>
      </c>
      <c r="AB786" s="51"/>
      <c r="AC786" s="8">
        <v>0</v>
      </c>
      <c r="AD786" s="9">
        <v>0</v>
      </c>
      <c r="AE786" s="122"/>
      <c r="AF786" s="121"/>
      <c r="AG786" s="27">
        <f>+IF(ABS(+AC786+AE786)&gt;=ABS(AD786+AF786),+AC786-AD786+AE786-AF786,0)</f>
        <v>0</v>
      </c>
      <c r="AH786" s="28">
        <f>+IF(ABS(+AC786+AE786)&lt;=ABS(AD786+AF786),-AC786+AD786-AE786+AF786,0)</f>
        <v>0</v>
      </c>
      <c r="AI786" s="51"/>
      <c r="AJ786" s="1497">
        <f>+N786</f>
        <v>7677</v>
      </c>
      <c r="AK786" s="8">
        <v>0</v>
      </c>
      <c r="AL786" s="9">
        <v>0</v>
      </c>
      <c r="AM786" s="326">
        <f t="shared" si="397"/>
        <v>0</v>
      </c>
      <c r="AN786" s="970">
        <f t="shared" si="397"/>
        <v>0</v>
      </c>
      <c r="AO786" s="27">
        <f t="shared" si="360"/>
        <v>0</v>
      </c>
      <c r="AP786" s="28">
        <f t="shared" si="361"/>
        <v>0</v>
      </c>
      <c r="AQ786" s="43"/>
      <c r="AR786" s="358">
        <f>+ROUND(+SUM(AK786-AL786)-SUM(O786-P786)-SUM(V786-W786)-SUM(AC786-AD786),2)</f>
        <v>0</v>
      </c>
      <c r="AS786" s="359">
        <f>+ROUND(+SUM(AM786-AN786)-SUM(Q786-R786)-SUM(X786-Y786)-SUM(AE786-AF786),2)</f>
        <v>0</v>
      </c>
      <c r="AT786" s="360">
        <f>+ROUND(+SUM(AO786-AP786)-SUM(S786-T786)-SUM(Z786-AA786)-SUM(AG786-AH786),2)</f>
        <v>0</v>
      </c>
      <c r="AU786" s="43"/>
      <c r="AV786" s="43"/>
      <c r="AW786" s="119"/>
      <c r="AX786" s="119"/>
      <c r="AY786" s="43"/>
      <c r="AZ786" s="43"/>
      <c r="BA786" s="43"/>
      <c r="BB786" s="43"/>
      <c r="BC786" s="43"/>
      <c r="BD786" s="43"/>
    </row>
    <row r="787" spans="1:56" ht="15.75">
      <c r="A787" s="88">
        <v>7678</v>
      </c>
      <c r="B787" s="1033" t="s">
        <v>817</v>
      </c>
      <c r="C787" s="1033"/>
      <c r="D787" s="1033"/>
      <c r="E787" s="1033"/>
      <c r="F787" s="1033"/>
      <c r="G787" s="1033"/>
      <c r="H787" s="1033"/>
      <c r="I787" s="1033"/>
      <c r="J787" s="1033"/>
      <c r="K787" s="1033"/>
      <c r="L787" s="90"/>
      <c r="M787" s="51" t="s">
        <v>265</v>
      </c>
      <c r="N787" s="113">
        <f>+A787</f>
        <v>7678</v>
      </c>
      <c r="O787" s="8">
        <v>0</v>
      </c>
      <c r="P787" s="9">
        <v>0</v>
      </c>
      <c r="Q787" s="325"/>
      <c r="R787" s="324"/>
      <c r="S787" s="27">
        <f>+IF(ABS(+O787+Q787)&gt;=ABS(P787+R787),+O787-P787+Q787-R787,0)</f>
        <v>0</v>
      </c>
      <c r="T787" s="28">
        <f>+IF(ABS(+O787+Q787)&lt;=ABS(P787+R787),-O787+P787-Q787+R787,0)</f>
        <v>0</v>
      </c>
      <c r="U787" s="51"/>
      <c r="V787" s="541">
        <f>+'NF-KSF-TRIAL-BAL-2020'!O787+'RA-TRIAL-BAL-2020'!O787+'DES-TRIAL-BAL-2020'!O787+'DMP-TRIAL-BAL-2020'!O787</f>
        <v>0</v>
      </c>
      <c r="W787" s="529">
        <f>+'NF-KSF-TRIAL-BAL-2020'!P787+'RA-TRIAL-BAL-2020'!P787+'DES-TRIAL-BAL-2020'!P787+'DMP-TRIAL-BAL-2020'!P787</f>
        <v>0</v>
      </c>
      <c r="X787" s="528">
        <f>+'NF-KSF-TRIAL-BAL-2020'!Q787+'RA-TRIAL-BAL-2020'!Q787+'DES-TRIAL-BAL-2020'!Q787+'DMP-TRIAL-BAL-2020'!Q787</f>
        <v>0</v>
      </c>
      <c r="Y787" s="529">
        <f>+'NF-KSF-TRIAL-BAL-2020'!R787+'RA-TRIAL-BAL-2020'!R787+'DES-TRIAL-BAL-2020'!R787+'DMP-TRIAL-BAL-2020'!R787</f>
        <v>0</v>
      </c>
      <c r="Z787" s="528">
        <f>+'NF-KSF-TRIAL-BAL-2020'!S787+'RA-TRIAL-BAL-2020'!S787+'DES-TRIAL-BAL-2020'!S787+'DMP-TRIAL-BAL-2020'!S787</f>
        <v>0</v>
      </c>
      <c r="AA787" s="347">
        <f>+'NF-KSF-TRIAL-BAL-2020'!T787+'RA-TRIAL-BAL-2020'!T787+'DES-TRIAL-BAL-2020'!T787+'DMP-TRIAL-BAL-2020'!T787</f>
        <v>0</v>
      </c>
      <c r="AB787" s="51"/>
      <c r="AC787" s="8">
        <v>0</v>
      </c>
      <c r="AD787" s="9">
        <v>0</v>
      </c>
      <c r="AE787" s="122"/>
      <c r="AF787" s="121"/>
      <c r="AG787" s="27">
        <f>+IF(ABS(+AC787+AE787)&gt;=ABS(AD787+AF787),+AC787-AD787+AE787-AF787,0)</f>
        <v>0</v>
      </c>
      <c r="AH787" s="28">
        <f>+IF(ABS(+AC787+AE787)&lt;=ABS(AD787+AF787),-AC787+AD787-AE787+AF787,0)</f>
        <v>0</v>
      </c>
      <c r="AI787" s="51"/>
      <c r="AJ787" s="1497">
        <f>+N787</f>
        <v>7678</v>
      </c>
      <c r="AK787" s="8">
        <v>0</v>
      </c>
      <c r="AL787" s="9">
        <v>0</v>
      </c>
      <c r="AM787" s="326">
        <f t="shared" si="397"/>
        <v>0</v>
      </c>
      <c r="AN787" s="970">
        <f t="shared" si="397"/>
        <v>0</v>
      </c>
      <c r="AO787" s="27">
        <f t="shared" si="360"/>
        <v>0</v>
      </c>
      <c r="AP787" s="28">
        <f t="shared" si="361"/>
        <v>0</v>
      </c>
      <c r="AQ787" s="43"/>
      <c r="AR787" s="358">
        <f>+ROUND(+SUM(AK787-AL787)-SUM(O787-P787)-SUM(V787-W787)-SUM(AC787-AD787),2)</f>
        <v>0</v>
      </c>
      <c r="AS787" s="359">
        <f>+ROUND(+SUM(AM787-AN787)-SUM(Q787-R787)-SUM(X787-Y787)-SUM(AE787-AF787),2)</f>
        <v>0</v>
      </c>
      <c r="AT787" s="360">
        <f>+ROUND(+SUM(AO787-AP787)-SUM(S787-T787)-SUM(Z787-AA787)-SUM(AG787-AH787),2)</f>
        <v>0</v>
      </c>
      <c r="AU787" s="43"/>
      <c r="AV787" s="43"/>
      <c r="AW787" s="119"/>
      <c r="AX787" s="119"/>
      <c r="AY787" s="43"/>
      <c r="AZ787" s="43"/>
      <c r="BA787" s="43"/>
      <c r="BB787" s="43"/>
      <c r="BC787" s="43"/>
      <c r="BD787" s="43"/>
    </row>
    <row r="788" spans="1:56" ht="15.75">
      <c r="A788" s="88">
        <v>7682</v>
      </c>
      <c r="B788" s="1042" t="s">
        <v>818</v>
      </c>
      <c r="C788" s="1033"/>
      <c r="D788" s="1033"/>
      <c r="E788" s="1033"/>
      <c r="F788" s="1033"/>
      <c r="G788" s="1033"/>
      <c r="H788" s="1033"/>
      <c r="I788" s="1033"/>
      <c r="J788" s="1033"/>
      <c r="K788" s="1033"/>
      <c r="L788" s="90"/>
      <c r="M788" s="51" t="s">
        <v>265</v>
      </c>
      <c r="N788" s="113">
        <f t="shared" si="382"/>
        <v>7682</v>
      </c>
      <c r="O788" s="8">
        <v>0</v>
      </c>
      <c r="P788" s="9">
        <v>0</v>
      </c>
      <c r="Q788" s="325"/>
      <c r="R788" s="324"/>
      <c r="S788" s="27">
        <f t="shared" si="377"/>
        <v>0</v>
      </c>
      <c r="T788" s="28">
        <f t="shared" si="383"/>
        <v>0</v>
      </c>
      <c r="U788" s="51"/>
      <c r="V788" s="541">
        <f>+'NF-KSF-TRIAL-BAL-2020'!O788+'RA-TRIAL-BAL-2020'!O788+'DES-TRIAL-BAL-2020'!O788+'DMP-TRIAL-BAL-2020'!O788</f>
        <v>0</v>
      </c>
      <c r="W788" s="529">
        <f>+'NF-KSF-TRIAL-BAL-2020'!P788+'RA-TRIAL-BAL-2020'!P788+'DES-TRIAL-BAL-2020'!P788+'DMP-TRIAL-BAL-2020'!P788</f>
        <v>0</v>
      </c>
      <c r="X788" s="528">
        <f>+'NF-KSF-TRIAL-BAL-2020'!Q788+'RA-TRIAL-BAL-2020'!Q788+'DES-TRIAL-BAL-2020'!Q788+'DMP-TRIAL-BAL-2020'!Q788</f>
        <v>0</v>
      </c>
      <c r="Y788" s="529">
        <f>+'NF-KSF-TRIAL-BAL-2020'!R788+'RA-TRIAL-BAL-2020'!R788+'DES-TRIAL-BAL-2020'!R788+'DMP-TRIAL-BAL-2020'!R788</f>
        <v>0</v>
      </c>
      <c r="Z788" s="528">
        <f>+'NF-KSF-TRIAL-BAL-2020'!S788+'RA-TRIAL-BAL-2020'!S788+'DES-TRIAL-BAL-2020'!S788+'DMP-TRIAL-BAL-2020'!S788</f>
        <v>0</v>
      </c>
      <c r="AA788" s="347">
        <f>+'NF-KSF-TRIAL-BAL-2020'!T788+'RA-TRIAL-BAL-2020'!T788+'DES-TRIAL-BAL-2020'!T788+'DMP-TRIAL-BAL-2020'!T788</f>
        <v>0</v>
      </c>
      <c r="AB788" s="51"/>
      <c r="AC788" s="8">
        <v>0</v>
      </c>
      <c r="AD788" s="9">
        <v>0</v>
      </c>
      <c r="AE788" s="325"/>
      <c r="AF788" s="324"/>
      <c r="AG788" s="27">
        <f t="shared" si="378"/>
        <v>0</v>
      </c>
      <c r="AH788" s="28">
        <f t="shared" si="384"/>
        <v>0</v>
      </c>
      <c r="AI788" s="51"/>
      <c r="AJ788" s="1497">
        <f t="shared" si="351"/>
        <v>7682</v>
      </c>
      <c r="AK788" s="8">
        <v>0</v>
      </c>
      <c r="AL788" s="9">
        <v>0</v>
      </c>
      <c r="AM788" s="326">
        <f t="shared" si="385"/>
        <v>0</v>
      </c>
      <c r="AN788" s="970">
        <f t="shared" si="385"/>
        <v>0</v>
      </c>
      <c r="AO788" s="27">
        <f t="shared" si="360"/>
        <v>0</v>
      </c>
      <c r="AP788" s="28">
        <f t="shared" si="361"/>
        <v>0</v>
      </c>
      <c r="AQ788" s="43"/>
      <c r="AR788" s="358">
        <f t="shared" si="379"/>
        <v>0</v>
      </c>
      <c r="AS788" s="359">
        <f t="shared" si="380"/>
        <v>0</v>
      </c>
      <c r="AT788" s="360">
        <f t="shared" si="381"/>
        <v>0</v>
      </c>
      <c r="AU788" s="43"/>
      <c r="AV788" s="43"/>
      <c r="AW788" s="119"/>
      <c r="AX788" s="119"/>
      <c r="AY788" s="43"/>
      <c r="AZ788" s="43"/>
      <c r="BA788" s="43"/>
      <c r="BB788" s="43"/>
      <c r="BC788" s="43"/>
      <c r="BD788" s="43"/>
    </row>
    <row r="789" spans="1:56" ht="15.75">
      <c r="A789" s="88">
        <v>7684</v>
      </c>
      <c r="B789" s="1042" t="s">
        <v>819</v>
      </c>
      <c r="C789" s="1033"/>
      <c r="D789" s="1033"/>
      <c r="E789" s="1033"/>
      <c r="F789" s="1033"/>
      <c r="G789" s="1033"/>
      <c r="H789" s="1033"/>
      <c r="I789" s="1033"/>
      <c r="J789" s="1033"/>
      <c r="K789" s="1033"/>
      <c r="L789" s="90"/>
      <c r="M789" s="51" t="s">
        <v>265</v>
      </c>
      <c r="N789" s="113">
        <f t="shared" si="382"/>
        <v>7684</v>
      </c>
      <c r="O789" s="8">
        <v>0</v>
      </c>
      <c r="P789" s="9">
        <v>0</v>
      </c>
      <c r="Q789" s="325">
        <v>0</v>
      </c>
      <c r="R789" s="324">
        <v>0</v>
      </c>
      <c r="S789" s="27">
        <f t="shared" si="377"/>
        <v>0</v>
      </c>
      <c r="T789" s="28">
        <f t="shared" si="383"/>
        <v>0</v>
      </c>
      <c r="U789" s="51"/>
      <c r="V789" s="541">
        <f>+'NF-KSF-TRIAL-BAL-2020'!O789+'RA-TRIAL-BAL-2020'!O789+'DES-TRIAL-BAL-2020'!O789+'DMP-TRIAL-BAL-2020'!O789</f>
        <v>0</v>
      </c>
      <c r="W789" s="529">
        <f>+'NF-KSF-TRIAL-BAL-2020'!P789+'RA-TRIAL-BAL-2020'!P789+'DES-TRIAL-BAL-2020'!P789+'DMP-TRIAL-BAL-2020'!P789</f>
        <v>0</v>
      </c>
      <c r="X789" s="528">
        <f>+'NF-KSF-TRIAL-BAL-2020'!Q789+'RA-TRIAL-BAL-2020'!Q789+'DES-TRIAL-BAL-2020'!Q789+'DMP-TRIAL-BAL-2020'!Q789</f>
        <v>0</v>
      </c>
      <c r="Y789" s="529">
        <f>+'NF-KSF-TRIAL-BAL-2020'!R789+'RA-TRIAL-BAL-2020'!R789+'DES-TRIAL-BAL-2020'!R789+'DMP-TRIAL-BAL-2020'!R789</f>
        <v>0</v>
      </c>
      <c r="Z789" s="528">
        <f>+'NF-KSF-TRIAL-BAL-2020'!S789+'RA-TRIAL-BAL-2020'!S789+'DES-TRIAL-BAL-2020'!S789+'DMP-TRIAL-BAL-2020'!S789</f>
        <v>0</v>
      </c>
      <c r="AA789" s="347">
        <f>+'NF-KSF-TRIAL-BAL-2020'!T789+'RA-TRIAL-BAL-2020'!T789+'DES-TRIAL-BAL-2020'!T789+'DMP-TRIAL-BAL-2020'!T789</f>
        <v>0</v>
      </c>
      <c r="AB789" s="51"/>
      <c r="AC789" s="8">
        <v>0</v>
      </c>
      <c r="AD789" s="9">
        <v>0</v>
      </c>
      <c r="AE789" s="325">
        <v>0</v>
      </c>
      <c r="AF789" s="324">
        <v>0</v>
      </c>
      <c r="AG789" s="27">
        <f t="shared" si="378"/>
        <v>0</v>
      </c>
      <c r="AH789" s="28">
        <f t="shared" si="384"/>
        <v>0</v>
      </c>
      <c r="AI789" s="51"/>
      <c r="AJ789" s="1497">
        <f t="shared" si="351"/>
        <v>7684</v>
      </c>
      <c r="AK789" s="8">
        <v>0</v>
      </c>
      <c r="AL789" s="9">
        <v>0</v>
      </c>
      <c r="AM789" s="326">
        <f t="shared" si="385"/>
        <v>0</v>
      </c>
      <c r="AN789" s="970">
        <f t="shared" si="385"/>
        <v>0</v>
      </c>
      <c r="AO789" s="27">
        <f t="shared" si="360"/>
        <v>0</v>
      </c>
      <c r="AP789" s="28">
        <f t="shared" si="361"/>
        <v>0</v>
      </c>
      <c r="AQ789" s="43"/>
      <c r="AR789" s="358">
        <f t="shared" si="379"/>
        <v>0</v>
      </c>
      <c r="AS789" s="359">
        <f t="shared" si="380"/>
        <v>0</v>
      </c>
      <c r="AT789" s="360">
        <f t="shared" si="381"/>
        <v>0</v>
      </c>
      <c r="AU789" s="43"/>
      <c r="AV789" s="43"/>
      <c r="AW789" s="119"/>
      <c r="AX789" s="119"/>
      <c r="AY789" s="43"/>
      <c r="AZ789" s="43"/>
      <c r="BA789" s="43"/>
      <c r="BB789" s="43"/>
      <c r="BC789" s="43"/>
      <c r="BD789" s="43"/>
    </row>
    <row r="790" spans="1:56" ht="15.75">
      <c r="A790" s="88">
        <v>7685</v>
      </c>
      <c r="B790" s="1042" t="s">
        <v>820</v>
      </c>
      <c r="C790" s="1033"/>
      <c r="D790" s="1033"/>
      <c r="E790" s="1033"/>
      <c r="F790" s="1033"/>
      <c r="G790" s="1033"/>
      <c r="H790" s="1033"/>
      <c r="I790" s="1033"/>
      <c r="J790" s="1033"/>
      <c r="K790" s="1033"/>
      <c r="L790" s="90"/>
      <c r="M790" s="51" t="s">
        <v>265</v>
      </c>
      <c r="N790" s="113">
        <f t="shared" si="382"/>
        <v>7685</v>
      </c>
      <c r="O790" s="8">
        <v>0</v>
      </c>
      <c r="P790" s="9">
        <v>0</v>
      </c>
      <c r="Q790" s="325"/>
      <c r="R790" s="324"/>
      <c r="S790" s="27">
        <f t="shared" si="377"/>
        <v>0</v>
      </c>
      <c r="T790" s="28">
        <f t="shared" si="383"/>
        <v>0</v>
      </c>
      <c r="U790" s="51"/>
      <c r="V790" s="541">
        <f>+'NF-KSF-TRIAL-BAL-2020'!O790+'RA-TRIAL-BAL-2020'!O790+'DES-TRIAL-BAL-2020'!O790+'DMP-TRIAL-BAL-2020'!O790</f>
        <v>0</v>
      </c>
      <c r="W790" s="529">
        <f>+'NF-KSF-TRIAL-BAL-2020'!P790+'RA-TRIAL-BAL-2020'!P790+'DES-TRIAL-BAL-2020'!P790+'DMP-TRIAL-BAL-2020'!P790</f>
        <v>0</v>
      </c>
      <c r="X790" s="528">
        <f>+'NF-KSF-TRIAL-BAL-2020'!Q790+'RA-TRIAL-BAL-2020'!Q790+'DES-TRIAL-BAL-2020'!Q790+'DMP-TRIAL-BAL-2020'!Q790</f>
        <v>0</v>
      </c>
      <c r="Y790" s="529">
        <f>+'NF-KSF-TRIAL-BAL-2020'!R790+'RA-TRIAL-BAL-2020'!R790+'DES-TRIAL-BAL-2020'!R790+'DMP-TRIAL-BAL-2020'!R790</f>
        <v>0</v>
      </c>
      <c r="Z790" s="528">
        <f>+'NF-KSF-TRIAL-BAL-2020'!S790+'RA-TRIAL-BAL-2020'!S790+'DES-TRIAL-BAL-2020'!S790+'DMP-TRIAL-BAL-2020'!S790</f>
        <v>0</v>
      </c>
      <c r="AA790" s="347">
        <f>+'NF-KSF-TRIAL-BAL-2020'!T790+'RA-TRIAL-BAL-2020'!T790+'DES-TRIAL-BAL-2020'!T790+'DMP-TRIAL-BAL-2020'!T790</f>
        <v>0</v>
      </c>
      <c r="AB790" s="51"/>
      <c r="AC790" s="8">
        <v>0</v>
      </c>
      <c r="AD790" s="9">
        <v>0</v>
      </c>
      <c r="AE790" s="122"/>
      <c r="AF790" s="121"/>
      <c r="AG790" s="27">
        <f t="shared" si="378"/>
        <v>0</v>
      </c>
      <c r="AH790" s="28">
        <f t="shared" si="384"/>
        <v>0</v>
      </c>
      <c r="AI790" s="51"/>
      <c r="AJ790" s="1497">
        <f t="shared" si="351"/>
        <v>7685</v>
      </c>
      <c r="AK790" s="8">
        <v>0</v>
      </c>
      <c r="AL790" s="9">
        <v>0</v>
      </c>
      <c r="AM790" s="326">
        <f t="shared" si="385"/>
        <v>0</v>
      </c>
      <c r="AN790" s="970">
        <f t="shared" si="385"/>
        <v>0</v>
      </c>
      <c r="AO790" s="27">
        <f t="shared" si="360"/>
        <v>0</v>
      </c>
      <c r="AP790" s="28">
        <f t="shared" si="361"/>
        <v>0</v>
      </c>
      <c r="AQ790" s="43"/>
      <c r="AR790" s="358">
        <f t="shared" si="379"/>
        <v>0</v>
      </c>
      <c r="AS790" s="359">
        <f t="shared" si="380"/>
        <v>0</v>
      </c>
      <c r="AT790" s="360">
        <f t="shared" si="381"/>
        <v>0</v>
      </c>
      <c r="AU790" s="43"/>
      <c r="AV790" s="43"/>
      <c r="AW790" s="119"/>
      <c r="AX790" s="119"/>
      <c r="AY790" s="43"/>
      <c r="AZ790" s="43"/>
      <c r="BA790" s="43"/>
      <c r="BB790" s="43"/>
      <c r="BC790" s="43"/>
      <c r="BD790" s="43"/>
    </row>
    <row r="791" spans="1:56" ht="15.75">
      <c r="A791" s="88">
        <v>7689</v>
      </c>
      <c r="B791" s="1042" t="s">
        <v>821</v>
      </c>
      <c r="C791" s="1033"/>
      <c r="D791" s="1033"/>
      <c r="E791" s="1033"/>
      <c r="F791" s="1033"/>
      <c r="G791" s="1033"/>
      <c r="H791" s="1033"/>
      <c r="I791" s="1033"/>
      <c r="J791" s="1033"/>
      <c r="K791" s="1033"/>
      <c r="L791" s="90"/>
      <c r="M791" s="51" t="s">
        <v>265</v>
      </c>
      <c r="N791" s="113">
        <f t="shared" si="382"/>
        <v>7689</v>
      </c>
      <c r="O791" s="8">
        <v>0</v>
      </c>
      <c r="P791" s="9">
        <v>0</v>
      </c>
      <c r="Q791" s="325"/>
      <c r="R791" s="324"/>
      <c r="S791" s="27">
        <f t="shared" si="377"/>
        <v>0</v>
      </c>
      <c r="T791" s="28">
        <f t="shared" si="383"/>
        <v>0</v>
      </c>
      <c r="U791" s="51"/>
      <c r="V791" s="541">
        <f>+'NF-KSF-TRIAL-BAL-2020'!O791+'RA-TRIAL-BAL-2020'!O791+'DES-TRIAL-BAL-2020'!O791+'DMP-TRIAL-BAL-2020'!O791</f>
        <v>0</v>
      </c>
      <c r="W791" s="529">
        <f>+'NF-KSF-TRIAL-BAL-2020'!P791+'RA-TRIAL-BAL-2020'!P791+'DES-TRIAL-BAL-2020'!P791+'DMP-TRIAL-BAL-2020'!P791</f>
        <v>0</v>
      </c>
      <c r="X791" s="528">
        <f>+'NF-KSF-TRIAL-BAL-2020'!Q791+'RA-TRIAL-BAL-2020'!Q791+'DES-TRIAL-BAL-2020'!Q791+'DMP-TRIAL-BAL-2020'!Q791</f>
        <v>0</v>
      </c>
      <c r="Y791" s="529">
        <f>+'NF-KSF-TRIAL-BAL-2020'!R791+'RA-TRIAL-BAL-2020'!R791+'DES-TRIAL-BAL-2020'!R791+'DMP-TRIAL-BAL-2020'!R791</f>
        <v>0</v>
      </c>
      <c r="Z791" s="528">
        <f>+'NF-KSF-TRIAL-BAL-2020'!S791+'RA-TRIAL-BAL-2020'!S791+'DES-TRIAL-BAL-2020'!S791+'DMP-TRIAL-BAL-2020'!S791</f>
        <v>0</v>
      </c>
      <c r="AA791" s="347">
        <f>+'NF-KSF-TRIAL-BAL-2020'!T791+'RA-TRIAL-BAL-2020'!T791+'DES-TRIAL-BAL-2020'!T791+'DMP-TRIAL-BAL-2020'!T791</f>
        <v>0</v>
      </c>
      <c r="AB791" s="51"/>
      <c r="AC791" s="8">
        <v>0</v>
      </c>
      <c r="AD791" s="9">
        <v>0</v>
      </c>
      <c r="AE791" s="122"/>
      <c r="AF791" s="121"/>
      <c r="AG791" s="27">
        <f t="shared" si="378"/>
        <v>0</v>
      </c>
      <c r="AH791" s="28">
        <f t="shared" si="384"/>
        <v>0</v>
      </c>
      <c r="AI791" s="51"/>
      <c r="AJ791" s="1497">
        <f t="shared" si="351"/>
        <v>7689</v>
      </c>
      <c r="AK791" s="8">
        <v>0</v>
      </c>
      <c r="AL791" s="9">
        <v>0</v>
      </c>
      <c r="AM791" s="326">
        <f t="shared" si="385"/>
        <v>0</v>
      </c>
      <c r="AN791" s="970">
        <f t="shared" si="385"/>
        <v>0</v>
      </c>
      <c r="AO791" s="27">
        <f t="shared" si="360"/>
        <v>0</v>
      </c>
      <c r="AP791" s="28">
        <f t="shared" si="361"/>
        <v>0</v>
      </c>
      <c r="AQ791" s="43"/>
      <c r="AR791" s="358">
        <f t="shared" si="379"/>
        <v>0</v>
      </c>
      <c r="AS791" s="359">
        <f t="shared" si="380"/>
        <v>0</v>
      </c>
      <c r="AT791" s="360">
        <f t="shared" si="381"/>
        <v>0</v>
      </c>
      <c r="AU791" s="43"/>
      <c r="AV791" s="43"/>
      <c r="AW791" s="119"/>
      <c r="AX791" s="119"/>
      <c r="AY791" s="43"/>
      <c r="AZ791" s="43"/>
      <c r="BA791" s="43"/>
      <c r="BB791" s="43"/>
      <c r="BC791" s="43"/>
      <c r="BD791" s="43"/>
    </row>
    <row r="792" spans="1:56" ht="15.75">
      <c r="A792" s="88">
        <v>7692</v>
      </c>
      <c r="B792" s="378" t="s">
        <v>822</v>
      </c>
      <c r="C792" s="1033"/>
      <c r="D792" s="1033"/>
      <c r="E792" s="1033"/>
      <c r="F792" s="1033"/>
      <c r="G792" s="1033"/>
      <c r="H792" s="1033"/>
      <c r="I792" s="1033"/>
      <c r="J792" s="1033"/>
      <c r="K792" s="1033"/>
      <c r="L792" s="90"/>
      <c r="M792" s="51" t="s">
        <v>265</v>
      </c>
      <c r="N792" s="113">
        <f t="shared" si="382"/>
        <v>7692</v>
      </c>
      <c r="O792" s="8">
        <v>0</v>
      </c>
      <c r="P792" s="9">
        <v>0</v>
      </c>
      <c r="Q792" s="325"/>
      <c r="R792" s="324"/>
      <c r="S792" s="27">
        <f t="shared" ref="S792:S804" si="398">+IF(ABS(+O792+Q792)&gt;=ABS(P792+R792),+O792-P792+Q792-R792,0)</f>
        <v>0</v>
      </c>
      <c r="T792" s="28">
        <f t="shared" ref="T792:T804" si="399">+IF(ABS(+O792+Q792)&lt;=ABS(P792+R792),-O792+P792-Q792+R792,0)</f>
        <v>0</v>
      </c>
      <c r="U792" s="51"/>
      <c r="V792" s="541">
        <f>+'NF-KSF-TRIAL-BAL-2020'!O792+'RA-TRIAL-BAL-2020'!O792+'DES-TRIAL-BAL-2020'!O792+'DMP-TRIAL-BAL-2020'!O792</f>
        <v>0</v>
      </c>
      <c r="W792" s="529">
        <f>+'NF-KSF-TRIAL-BAL-2020'!P792+'RA-TRIAL-BAL-2020'!P792+'DES-TRIAL-BAL-2020'!P792+'DMP-TRIAL-BAL-2020'!P792</f>
        <v>0</v>
      </c>
      <c r="X792" s="528">
        <f>+'NF-KSF-TRIAL-BAL-2020'!Q792+'RA-TRIAL-BAL-2020'!Q792+'DES-TRIAL-BAL-2020'!Q792+'DMP-TRIAL-BAL-2020'!Q792</f>
        <v>0</v>
      </c>
      <c r="Y792" s="529">
        <f>+'NF-KSF-TRIAL-BAL-2020'!R792+'RA-TRIAL-BAL-2020'!R792+'DES-TRIAL-BAL-2020'!R792+'DMP-TRIAL-BAL-2020'!R792</f>
        <v>0</v>
      </c>
      <c r="Z792" s="528">
        <f>+'NF-KSF-TRIAL-BAL-2020'!S792+'RA-TRIAL-BAL-2020'!S792+'DES-TRIAL-BAL-2020'!S792+'DMP-TRIAL-BAL-2020'!S792</f>
        <v>0</v>
      </c>
      <c r="AA792" s="347">
        <f>+'NF-KSF-TRIAL-BAL-2020'!T792+'RA-TRIAL-BAL-2020'!T792+'DES-TRIAL-BAL-2020'!T792+'DMP-TRIAL-BAL-2020'!T792</f>
        <v>0</v>
      </c>
      <c r="AB792" s="51"/>
      <c r="AC792" s="8">
        <v>0</v>
      </c>
      <c r="AD792" s="9">
        <v>0</v>
      </c>
      <c r="AE792" s="325"/>
      <c r="AF792" s="324"/>
      <c r="AG792" s="27">
        <f t="shared" ref="AG792:AG804" si="400">+IF(ABS(+AC792+AE792)&gt;=ABS(AD792+AF792),+AC792-AD792+AE792-AF792,0)</f>
        <v>0</v>
      </c>
      <c r="AH792" s="28">
        <f t="shared" ref="AH792:AH804" si="401">+IF(ABS(+AC792+AE792)&lt;=ABS(AD792+AF792),-AC792+AD792-AE792+AF792,0)</f>
        <v>0</v>
      </c>
      <c r="AI792" s="51"/>
      <c r="AJ792" s="1497">
        <f t="shared" si="351"/>
        <v>7692</v>
      </c>
      <c r="AK792" s="8">
        <v>0</v>
      </c>
      <c r="AL792" s="9">
        <v>0</v>
      </c>
      <c r="AM792" s="326">
        <f t="shared" si="385"/>
        <v>0</v>
      </c>
      <c r="AN792" s="970">
        <f t="shared" si="385"/>
        <v>0</v>
      </c>
      <c r="AO792" s="27">
        <f t="shared" si="360"/>
        <v>0</v>
      </c>
      <c r="AP792" s="28">
        <f t="shared" si="361"/>
        <v>0</v>
      </c>
      <c r="AQ792" s="43"/>
      <c r="AR792" s="358">
        <f t="shared" si="379"/>
        <v>0</v>
      </c>
      <c r="AS792" s="359">
        <f t="shared" si="380"/>
        <v>0</v>
      </c>
      <c r="AT792" s="360">
        <f t="shared" si="381"/>
        <v>0</v>
      </c>
      <c r="AU792" s="43"/>
      <c r="AV792" s="43"/>
      <c r="AW792" s="119"/>
      <c r="AX792" s="119"/>
      <c r="AY792" s="43"/>
      <c r="AZ792" s="43"/>
      <c r="BA792" s="43"/>
      <c r="BB792" s="43"/>
      <c r="BC792" s="43"/>
      <c r="BD792" s="43"/>
    </row>
    <row r="793" spans="1:56" ht="15.75">
      <c r="A793" s="88">
        <v>7693</v>
      </c>
      <c r="B793" s="1042" t="s">
        <v>823</v>
      </c>
      <c r="C793" s="1033"/>
      <c r="D793" s="1033"/>
      <c r="E793" s="1033"/>
      <c r="F793" s="1033"/>
      <c r="G793" s="1033"/>
      <c r="H793" s="1033"/>
      <c r="I793" s="1033"/>
      <c r="J793" s="1033"/>
      <c r="K793" s="1033"/>
      <c r="L793" s="90"/>
      <c r="M793" s="51" t="s">
        <v>265</v>
      </c>
      <c r="N793" s="113">
        <f t="shared" si="382"/>
        <v>7693</v>
      </c>
      <c r="O793" s="8">
        <v>0</v>
      </c>
      <c r="P793" s="9">
        <v>0</v>
      </c>
      <c r="Q793" s="325"/>
      <c r="R793" s="324"/>
      <c r="S793" s="27">
        <f t="shared" si="398"/>
        <v>0</v>
      </c>
      <c r="T793" s="28">
        <f t="shared" si="399"/>
        <v>0</v>
      </c>
      <c r="U793" s="51"/>
      <c r="V793" s="541">
        <f>+'NF-KSF-TRIAL-BAL-2020'!O793+'RA-TRIAL-BAL-2020'!O793+'DES-TRIAL-BAL-2020'!O793+'DMP-TRIAL-BAL-2020'!O793</f>
        <v>0</v>
      </c>
      <c r="W793" s="529">
        <f>+'NF-KSF-TRIAL-BAL-2020'!P793+'RA-TRIAL-BAL-2020'!P793+'DES-TRIAL-BAL-2020'!P793+'DMP-TRIAL-BAL-2020'!P793</f>
        <v>0</v>
      </c>
      <c r="X793" s="528">
        <f>+'NF-KSF-TRIAL-BAL-2020'!Q793+'RA-TRIAL-BAL-2020'!Q793+'DES-TRIAL-BAL-2020'!Q793+'DMP-TRIAL-BAL-2020'!Q793</f>
        <v>0</v>
      </c>
      <c r="Y793" s="529">
        <f>+'NF-KSF-TRIAL-BAL-2020'!R793+'RA-TRIAL-BAL-2020'!R793+'DES-TRIAL-BAL-2020'!R793+'DMP-TRIAL-BAL-2020'!R793</f>
        <v>0</v>
      </c>
      <c r="Z793" s="528">
        <f>+'NF-KSF-TRIAL-BAL-2020'!S793+'RA-TRIAL-BAL-2020'!S793+'DES-TRIAL-BAL-2020'!S793+'DMP-TRIAL-BAL-2020'!S793</f>
        <v>0</v>
      </c>
      <c r="AA793" s="347">
        <f>+'NF-KSF-TRIAL-BAL-2020'!T793+'RA-TRIAL-BAL-2020'!T793+'DES-TRIAL-BAL-2020'!T793+'DMP-TRIAL-BAL-2020'!T793</f>
        <v>0</v>
      </c>
      <c r="AB793" s="51"/>
      <c r="AC793" s="8">
        <v>0</v>
      </c>
      <c r="AD793" s="9">
        <v>0</v>
      </c>
      <c r="AE793" s="122"/>
      <c r="AF793" s="121"/>
      <c r="AG793" s="27">
        <f t="shared" si="400"/>
        <v>0</v>
      </c>
      <c r="AH793" s="28">
        <f t="shared" si="401"/>
        <v>0</v>
      </c>
      <c r="AI793" s="51"/>
      <c r="AJ793" s="1497">
        <f t="shared" si="351"/>
        <v>7693</v>
      </c>
      <c r="AK793" s="8">
        <v>0</v>
      </c>
      <c r="AL793" s="9">
        <v>0</v>
      </c>
      <c r="AM793" s="326">
        <f t="shared" si="385"/>
        <v>0</v>
      </c>
      <c r="AN793" s="970">
        <f t="shared" si="385"/>
        <v>0</v>
      </c>
      <c r="AO793" s="27">
        <f t="shared" si="360"/>
        <v>0</v>
      </c>
      <c r="AP793" s="28">
        <f t="shared" si="361"/>
        <v>0</v>
      </c>
      <c r="AQ793" s="43"/>
      <c r="AR793" s="358">
        <f t="shared" si="379"/>
        <v>0</v>
      </c>
      <c r="AS793" s="359">
        <f t="shared" si="380"/>
        <v>0</v>
      </c>
      <c r="AT793" s="360">
        <f t="shared" si="381"/>
        <v>0</v>
      </c>
      <c r="AU793" s="43"/>
      <c r="AV793" s="43"/>
      <c r="AW793" s="119"/>
      <c r="AX793" s="119"/>
      <c r="AY793" s="43"/>
      <c r="AZ793" s="43"/>
      <c r="BA793" s="43"/>
      <c r="BB793" s="43"/>
      <c r="BC793" s="43"/>
      <c r="BD793" s="43"/>
    </row>
    <row r="794" spans="1:56" ht="15.75">
      <c r="A794" s="88">
        <v>7694</v>
      </c>
      <c r="B794" s="1042" t="s">
        <v>824</v>
      </c>
      <c r="C794" s="1033"/>
      <c r="D794" s="1033"/>
      <c r="E794" s="1033"/>
      <c r="F794" s="1033"/>
      <c r="G794" s="1033"/>
      <c r="H794" s="1033"/>
      <c r="I794" s="1033"/>
      <c r="J794" s="1033"/>
      <c r="K794" s="1033"/>
      <c r="L794" s="90"/>
      <c r="M794" s="51" t="s">
        <v>265</v>
      </c>
      <c r="N794" s="113">
        <f t="shared" si="382"/>
        <v>7694</v>
      </c>
      <c r="O794" s="8">
        <v>0</v>
      </c>
      <c r="P794" s="9">
        <v>0</v>
      </c>
      <c r="Q794" s="325"/>
      <c r="R794" s="324"/>
      <c r="S794" s="27">
        <f t="shared" si="398"/>
        <v>0</v>
      </c>
      <c r="T794" s="28">
        <f t="shared" si="399"/>
        <v>0</v>
      </c>
      <c r="U794" s="51"/>
      <c r="V794" s="541">
        <f>+'NF-KSF-TRIAL-BAL-2020'!O794+'RA-TRIAL-BAL-2020'!O794+'DES-TRIAL-BAL-2020'!O794+'DMP-TRIAL-BAL-2020'!O794</f>
        <v>0</v>
      </c>
      <c r="W794" s="529">
        <f>+'NF-KSF-TRIAL-BAL-2020'!P794+'RA-TRIAL-BAL-2020'!P794+'DES-TRIAL-BAL-2020'!P794+'DMP-TRIAL-BAL-2020'!P794</f>
        <v>0</v>
      </c>
      <c r="X794" s="528">
        <f>+'NF-KSF-TRIAL-BAL-2020'!Q794+'RA-TRIAL-BAL-2020'!Q794+'DES-TRIAL-BAL-2020'!Q794+'DMP-TRIAL-BAL-2020'!Q794</f>
        <v>0</v>
      </c>
      <c r="Y794" s="529">
        <f>+'NF-KSF-TRIAL-BAL-2020'!R794+'RA-TRIAL-BAL-2020'!R794+'DES-TRIAL-BAL-2020'!R794+'DMP-TRIAL-BAL-2020'!R794</f>
        <v>0</v>
      </c>
      <c r="Z794" s="528">
        <f>+'NF-KSF-TRIAL-BAL-2020'!S794+'RA-TRIAL-BAL-2020'!S794+'DES-TRIAL-BAL-2020'!S794+'DMP-TRIAL-BAL-2020'!S794</f>
        <v>0</v>
      </c>
      <c r="AA794" s="347">
        <f>+'NF-KSF-TRIAL-BAL-2020'!T794+'RA-TRIAL-BAL-2020'!T794+'DES-TRIAL-BAL-2020'!T794+'DMP-TRIAL-BAL-2020'!T794</f>
        <v>0</v>
      </c>
      <c r="AB794" s="51"/>
      <c r="AC794" s="8">
        <v>0</v>
      </c>
      <c r="AD794" s="9">
        <v>0</v>
      </c>
      <c r="AE794" s="122"/>
      <c r="AF794" s="121"/>
      <c r="AG794" s="27">
        <f t="shared" si="400"/>
        <v>0</v>
      </c>
      <c r="AH794" s="28">
        <f t="shared" si="401"/>
        <v>0</v>
      </c>
      <c r="AI794" s="51"/>
      <c r="AJ794" s="1497">
        <f t="shared" si="351"/>
        <v>7694</v>
      </c>
      <c r="AK794" s="8">
        <v>0</v>
      </c>
      <c r="AL794" s="9">
        <v>0</v>
      </c>
      <c r="AM794" s="326">
        <f t="shared" si="385"/>
        <v>0</v>
      </c>
      <c r="AN794" s="970">
        <f t="shared" si="385"/>
        <v>0</v>
      </c>
      <c r="AO794" s="27">
        <f t="shared" si="360"/>
        <v>0</v>
      </c>
      <c r="AP794" s="28">
        <f t="shared" si="361"/>
        <v>0</v>
      </c>
      <c r="AQ794" s="43"/>
      <c r="AR794" s="358">
        <f t="shared" si="379"/>
        <v>0</v>
      </c>
      <c r="AS794" s="359">
        <f t="shared" si="380"/>
        <v>0</v>
      </c>
      <c r="AT794" s="360">
        <f t="shared" si="381"/>
        <v>0</v>
      </c>
      <c r="AU794" s="43"/>
      <c r="AV794" s="43"/>
      <c r="AW794" s="119"/>
      <c r="AX794" s="119"/>
      <c r="AY794" s="43"/>
      <c r="AZ794" s="43"/>
      <c r="BA794" s="43"/>
      <c r="BB794" s="43"/>
      <c r="BC794" s="43"/>
      <c r="BD794" s="43"/>
    </row>
    <row r="795" spans="1:56" ht="15.75">
      <c r="A795" s="88">
        <v>7695</v>
      </c>
      <c r="B795" s="1042" t="s">
        <v>2108</v>
      </c>
      <c r="C795" s="1033"/>
      <c r="D795" s="1033"/>
      <c r="E795" s="1033"/>
      <c r="F795" s="1033"/>
      <c r="G795" s="1033"/>
      <c r="H795" s="1033"/>
      <c r="I795" s="1033"/>
      <c r="J795" s="1033"/>
      <c r="K795" s="1033"/>
      <c r="L795" s="90"/>
      <c r="M795" s="51" t="s">
        <v>265</v>
      </c>
      <c r="N795" s="113">
        <f t="shared" si="382"/>
        <v>7695</v>
      </c>
      <c r="O795" s="8">
        <v>0</v>
      </c>
      <c r="P795" s="9">
        <v>0</v>
      </c>
      <c r="Q795" s="325"/>
      <c r="R795" s="324"/>
      <c r="S795" s="27">
        <f t="shared" si="398"/>
        <v>0</v>
      </c>
      <c r="T795" s="28">
        <f t="shared" si="399"/>
        <v>0</v>
      </c>
      <c r="U795" s="51"/>
      <c r="V795" s="541">
        <f>+'NF-KSF-TRIAL-BAL-2020'!O795+'RA-TRIAL-BAL-2020'!O795+'DES-TRIAL-BAL-2020'!O795+'DMP-TRIAL-BAL-2020'!O795</f>
        <v>0</v>
      </c>
      <c r="W795" s="529">
        <f>+'NF-KSF-TRIAL-BAL-2020'!P795+'RA-TRIAL-BAL-2020'!P795+'DES-TRIAL-BAL-2020'!P795+'DMP-TRIAL-BAL-2020'!P795</f>
        <v>0</v>
      </c>
      <c r="X795" s="528">
        <f>+'NF-KSF-TRIAL-BAL-2020'!Q795+'RA-TRIAL-BAL-2020'!Q795+'DES-TRIAL-BAL-2020'!Q795+'DMP-TRIAL-BAL-2020'!Q795</f>
        <v>0</v>
      </c>
      <c r="Y795" s="529">
        <f>+'NF-KSF-TRIAL-BAL-2020'!R795+'RA-TRIAL-BAL-2020'!R795+'DES-TRIAL-BAL-2020'!R795+'DMP-TRIAL-BAL-2020'!R795</f>
        <v>0</v>
      </c>
      <c r="Z795" s="528">
        <f>+'NF-KSF-TRIAL-BAL-2020'!S795+'RA-TRIAL-BAL-2020'!S795+'DES-TRIAL-BAL-2020'!S795+'DMP-TRIAL-BAL-2020'!S795</f>
        <v>0</v>
      </c>
      <c r="AA795" s="347">
        <f>+'NF-KSF-TRIAL-BAL-2020'!T795+'RA-TRIAL-BAL-2020'!T795+'DES-TRIAL-BAL-2020'!T795+'DMP-TRIAL-BAL-2020'!T795</f>
        <v>0</v>
      </c>
      <c r="AB795" s="51"/>
      <c r="AC795" s="8">
        <v>0</v>
      </c>
      <c r="AD795" s="9">
        <v>0</v>
      </c>
      <c r="AE795" s="122"/>
      <c r="AF795" s="121"/>
      <c r="AG795" s="27">
        <f t="shared" si="400"/>
        <v>0</v>
      </c>
      <c r="AH795" s="28">
        <f t="shared" si="401"/>
        <v>0</v>
      </c>
      <c r="AI795" s="51"/>
      <c r="AJ795" s="1497">
        <f t="shared" si="351"/>
        <v>7695</v>
      </c>
      <c r="AK795" s="8">
        <v>0</v>
      </c>
      <c r="AL795" s="9">
        <v>0</v>
      </c>
      <c r="AM795" s="326">
        <f t="shared" si="385"/>
        <v>0</v>
      </c>
      <c r="AN795" s="970">
        <f t="shared" si="385"/>
        <v>0</v>
      </c>
      <c r="AO795" s="27">
        <f t="shared" si="360"/>
        <v>0</v>
      </c>
      <c r="AP795" s="28">
        <f t="shared" si="361"/>
        <v>0</v>
      </c>
      <c r="AQ795" s="43"/>
      <c r="AR795" s="358">
        <f t="shared" si="379"/>
        <v>0</v>
      </c>
      <c r="AS795" s="359">
        <f t="shared" si="380"/>
        <v>0</v>
      </c>
      <c r="AT795" s="360">
        <f t="shared" si="381"/>
        <v>0</v>
      </c>
      <c r="AU795" s="43"/>
      <c r="AV795" s="43"/>
      <c r="AW795" s="119"/>
      <c r="AX795" s="119"/>
      <c r="AY795" s="43"/>
      <c r="AZ795" s="43"/>
      <c r="BA795" s="43"/>
      <c r="BB795" s="43"/>
      <c r="BC795" s="43"/>
      <c r="BD795" s="43"/>
    </row>
    <row r="796" spans="1:56" ht="15.75">
      <c r="A796" s="88">
        <v>7697</v>
      </c>
      <c r="B796" s="378" t="s">
        <v>825</v>
      </c>
      <c r="C796" s="1033"/>
      <c r="D796" s="1033"/>
      <c r="E796" s="1033"/>
      <c r="F796" s="1033"/>
      <c r="G796" s="1033"/>
      <c r="H796" s="1033"/>
      <c r="I796" s="1033"/>
      <c r="J796" s="1033"/>
      <c r="K796" s="1033"/>
      <c r="L796" s="90"/>
      <c r="M796" s="51" t="s">
        <v>265</v>
      </c>
      <c r="N796" s="113">
        <f t="shared" si="382"/>
        <v>7697</v>
      </c>
      <c r="O796" s="8">
        <v>0</v>
      </c>
      <c r="P796" s="9">
        <v>0</v>
      </c>
      <c r="Q796" s="325"/>
      <c r="R796" s="324"/>
      <c r="S796" s="27">
        <f t="shared" si="398"/>
        <v>0</v>
      </c>
      <c r="T796" s="28">
        <f t="shared" si="399"/>
        <v>0</v>
      </c>
      <c r="U796" s="51"/>
      <c r="V796" s="541">
        <f>+'NF-KSF-TRIAL-BAL-2020'!O796+'RA-TRIAL-BAL-2020'!O796+'DES-TRIAL-BAL-2020'!O796+'DMP-TRIAL-BAL-2020'!O796</f>
        <v>0</v>
      </c>
      <c r="W796" s="529">
        <f>+'NF-KSF-TRIAL-BAL-2020'!P796+'RA-TRIAL-BAL-2020'!P796+'DES-TRIAL-BAL-2020'!P796+'DMP-TRIAL-BAL-2020'!P796</f>
        <v>0</v>
      </c>
      <c r="X796" s="528">
        <f>+'NF-KSF-TRIAL-BAL-2020'!Q796+'RA-TRIAL-BAL-2020'!Q796+'DES-TRIAL-BAL-2020'!Q796+'DMP-TRIAL-BAL-2020'!Q796</f>
        <v>0</v>
      </c>
      <c r="Y796" s="529">
        <f>+'NF-KSF-TRIAL-BAL-2020'!R796+'RA-TRIAL-BAL-2020'!R796+'DES-TRIAL-BAL-2020'!R796+'DMP-TRIAL-BAL-2020'!R796</f>
        <v>0</v>
      </c>
      <c r="Z796" s="528">
        <f>+'NF-KSF-TRIAL-BAL-2020'!S796+'RA-TRIAL-BAL-2020'!S796+'DES-TRIAL-BAL-2020'!S796+'DMP-TRIAL-BAL-2020'!S796</f>
        <v>0</v>
      </c>
      <c r="AA796" s="347">
        <f>+'NF-KSF-TRIAL-BAL-2020'!T796+'RA-TRIAL-BAL-2020'!T796+'DES-TRIAL-BAL-2020'!T796+'DMP-TRIAL-BAL-2020'!T796</f>
        <v>0</v>
      </c>
      <c r="AB796" s="51"/>
      <c r="AC796" s="8">
        <v>0</v>
      </c>
      <c r="AD796" s="9">
        <v>0</v>
      </c>
      <c r="AE796" s="325"/>
      <c r="AF796" s="324"/>
      <c r="AG796" s="27">
        <f t="shared" si="400"/>
        <v>0</v>
      </c>
      <c r="AH796" s="28">
        <f t="shared" si="401"/>
        <v>0</v>
      </c>
      <c r="AI796" s="51"/>
      <c r="AJ796" s="1497">
        <f t="shared" si="351"/>
        <v>7697</v>
      </c>
      <c r="AK796" s="8">
        <v>0</v>
      </c>
      <c r="AL796" s="9">
        <v>0</v>
      </c>
      <c r="AM796" s="326">
        <f t="shared" si="385"/>
        <v>0</v>
      </c>
      <c r="AN796" s="970">
        <f t="shared" si="385"/>
        <v>0</v>
      </c>
      <c r="AO796" s="27">
        <f t="shared" si="360"/>
        <v>0</v>
      </c>
      <c r="AP796" s="28">
        <f t="shared" si="361"/>
        <v>0</v>
      </c>
      <c r="AQ796" s="43"/>
      <c r="AR796" s="358">
        <f t="shared" si="379"/>
        <v>0</v>
      </c>
      <c r="AS796" s="359">
        <f t="shared" si="380"/>
        <v>0</v>
      </c>
      <c r="AT796" s="360">
        <f t="shared" si="381"/>
        <v>0</v>
      </c>
      <c r="AU796" s="43"/>
      <c r="AV796" s="43"/>
      <c r="AW796" s="119"/>
      <c r="AX796" s="119"/>
      <c r="AY796" s="43"/>
      <c r="AZ796" s="43"/>
      <c r="BA796" s="43"/>
      <c r="BB796" s="43"/>
      <c r="BC796" s="43"/>
      <c r="BD796" s="43"/>
    </row>
    <row r="797" spans="1:56" ht="15.75">
      <c r="A797" s="88">
        <v>7698</v>
      </c>
      <c r="B797" s="378" t="s">
        <v>826</v>
      </c>
      <c r="C797" s="1033"/>
      <c r="D797" s="1033"/>
      <c r="E797" s="1033"/>
      <c r="F797" s="1033"/>
      <c r="G797" s="1033"/>
      <c r="H797" s="1033"/>
      <c r="I797" s="1033"/>
      <c r="J797" s="1033"/>
      <c r="K797" s="1033"/>
      <c r="L797" s="90"/>
      <c r="M797" s="51" t="s">
        <v>265</v>
      </c>
      <c r="N797" s="113">
        <f t="shared" si="382"/>
        <v>7698</v>
      </c>
      <c r="O797" s="8">
        <v>0</v>
      </c>
      <c r="P797" s="9">
        <v>0</v>
      </c>
      <c r="Q797" s="325"/>
      <c r="R797" s="324"/>
      <c r="S797" s="27">
        <f t="shared" si="398"/>
        <v>0</v>
      </c>
      <c r="T797" s="28">
        <f t="shared" si="399"/>
        <v>0</v>
      </c>
      <c r="U797" s="51"/>
      <c r="V797" s="541">
        <f>+'NF-KSF-TRIAL-BAL-2020'!O797+'RA-TRIAL-BAL-2020'!O797+'DES-TRIAL-BAL-2020'!O797+'DMP-TRIAL-BAL-2020'!O797</f>
        <v>0</v>
      </c>
      <c r="W797" s="529">
        <f>+'NF-KSF-TRIAL-BAL-2020'!P797+'RA-TRIAL-BAL-2020'!P797+'DES-TRIAL-BAL-2020'!P797+'DMP-TRIAL-BAL-2020'!P797</f>
        <v>0</v>
      </c>
      <c r="X797" s="528">
        <f>+'NF-KSF-TRIAL-BAL-2020'!Q797+'RA-TRIAL-BAL-2020'!Q797+'DES-TRIAL-BAL-2020'!Q797+'DMP-TRIAL-BAL-2020'!Q797</f>
        <v>0</v>
      </c>
      <c r="Y797" s="529">
        <f>+'NF-KSF-TRIAL-BAL-2020'!R797+'RA-TRIAL-BAL-2020'!R797+'DES-TRIAL-BAL-2020'!R797+'DMP-TRIAL-BAL-2020'!R797</f>
        <v>0</v>
      </c>
      <c r="Z797" s="528">
        <f>+'NF-KSF-TRIAL-BAL-2020'!S797+'RA-TRIAL-BAL-2020'!S797+'DES-TRIAL-BAL-2020'!S797+'DMP-TRIAL-BAL-2020'!S797</f>
        <v>0</v>
      </c>
      <c r="AA797" s="347">
        <f>+'NF-KSF-TRIAL-BAL-2020'!T797+'RA-TRIAL-BAL-2020'!T797+'DES-TRIAL-BAL-2020'!T797+'DMP-TRIAL-BAL-2020'!T797</f>
        <v>0</v>
      </c>
      <c r="AB797" s="51"/>
      <c r="AC797" s="8">
        <v>0</v>
      </c>
      <c r="AD797" s="9">
        <v>0</v>
      </c>
      <c r="AE797" s="122"/>
      <c r="AF797" s="121"/>
      <c r="AG797" s="27">
        <f t="shared" si="400"/>
        <v>0</v>
      </c>
      <c r="AH797" s="28">
        <f t="shared" si="401"/>
        <v>0</v>
      </c>
      <c r="AI797" s="51"/>
      <c r="AJ797" s="1497">
        <f t="shared" si="351"/>
        <v>7698</v>
      </c>
      <c r="AK797" s="8">
        <v>0</v>
      </c>
      <c r="AL797" s="9">
        <v>0</v>
      </c>
      <c r="AM797" s="326">
        <f t="shared" si="385"/>
        <v>0</v>
      </c>
      <c r="AN797" s="970">
        <f t="shared" si="385"/>
        <v>0</v>
      </c>
      <c r="AO797" s="27">
        <f t="shared" si="360"/>
        <v>0</v>
      </c>
      <c r="AP797" s="28">
        <f t="shared" si="361"/>
        <v>0</v>
      </c>
      <c r="AQ797" s="43"/>
      <c r="AR797" s="358">
        <f t="shared" si="379"/>
        <v>0</v>
      </c>
      <c r="AS797" s="359">
        <f t="shared" si="380"/>
        <v>0</v>
      </c>
      <c r="AT797" s="360">
        <f t="shared" si="381"/>
        <v>0</v>
      </c>
      <c r="AU797" s="43"/>
      <c r="AV797" s="43"/>
      <c r="AW797" s="119"/>
      <c r="AX797" s="119"/>
      <c r="AY797" s="43"/>
      <c r="AZ797" s="43"/>
      <c r="BA797" s="43"/>
      <c r="BB797" s="43"/>
      <c r="BC797" s="43"/>
      <c r="BD797" s="43"/>
    </row>
    <row r="798" spans="1:56" ht="15.75">
      <c r="A798" s="88">
        <v>7699</v>
      </c>
      <c r="B798" s="1032" t="s">
        <v>827</v>
      </c>
      <c r="C798" s="1033"/>
      <c r="D798" s="1033"/>
      <c r="E798" s="1033"/>
      <c r="F798" s="1033"/>
      <c r="G798" s="1033"/>
      <c r="H798" s="1033"/>
      <c r="I798" s="1033"/>
      <c r="J798" s="1033"/>
      <c r="K798" s="1033"/>
      <c r="L798" s="90"/>
      <c r="M798" s="51" t="s">
        <v>265</v>
      </c>
      <c r="N798" s="113">
        <f>+A798</f>
        <v>7699</v>
      </c>
      <c r="O798" s="8">
        <v>0</v>
      </c>
      <c r="P798" s="9">
        <v>0</v>
      </c>
      <c r="Q798" s="325"/>
      <c r="R798" s="324"/>
      <c r="S798" s="27">
        <f t="shared" si="398"/>
        <v>0</v>
      </c>
      <c r="T798" s="28">
        <f t="shared" si="399"/>
        <v>0</v>
      </c>
      <c r="U798" s="51"/>
      <c r="V798" s="541">
        <f>+'NF-KSF-TRIAL-BAL-2020'!O798+'RA-TRIAL-BAL-2020'!O798+'DES-TRIAL-BAL-2020'!O798+'DMP-TRIAL-BAL-2020'!O798</f>
        <v>0</v>
      </c>
      <c r="W798" s="529">
        <f>+'NF-KSF-TRIAL-BAL-2020'!P798+'RA-TRIAL-BAL-2020'!P798+'DES-TRIAL-BAL-2020'!P798+'DMP-TRIAL-BAL-2020'!P798</f>
        <v>0</v>
      </c>
      <c r="X798" s="528">
        <f>+'NF-KSF-TRIAL-BAL-2020'!Q798+'RA-TRIAL-BAL-2020'!Q798+'DES-TRIAL-BAL-2020'!Q798+'DMP-TRIAL-BAL-2020'!Q798</f>
        <v>0</v>
      </c>
      <c r="Y798" s="529">
        <f>+'NF-KSF-TRIAL-BAL-2020'!R798+'RA-TRIAL-BAL-2020'!R798+'DES-TRIAL-BAL-2020'!R798+'DMP-TRIAL-BAL-2020'!R798</f>
        <v>0</v>
      </c>
      <c r="Z798" s="528">
        <f>+'NF-KSF-TRIAL-BAL-2020'!S798+'RA-TRIAL-BAL-2020'!S798+'DES-TRIAL-BAL-2020'!S798+'DMP-TRIAL-BAL-2020'!S798</f>
        <v>0</v>
      </c>
      <c r="AA798" s="347">
        <f>+'NF-KSF-TRIAL-BAL-2020'!T798+'RA-TRIAL-BAL-2020'!T798+'DES-TRIAL-BAL-2020'!T798+'DMP-TRIAL-BAL-2020'!T798</f>
        <v>0</v>
      </c>
      <c r="AB798" s="51"/>
      <c r="AC798" s="8">
        <v>0</v>
      </c>
      <c r="AD798" s="9">
        <v>0</v>
      </c>
      <c r="AE798" s="122"/>
      <c r="AF798" s="121"/>
      <c r="AG798" s="27">
        <f t="shared" si="400"/>
        <v>0</v>
      </c>
      <c r="AH798" s="28">
        <f t="shared" si="401"/>
        <v>0</v>
      </c>
      <c r="AI798" s="51"/>
      <c r="AJ798" s="1497">
        <f t="shared" si="351"/>
        <v>7699</v>
      </c>
      <c r="AK798" s="8">
        <v>0</v>
      </c>
      <c r="AL798" s="9">
        <v>0</v>
      </c>
      <c r="AM798" s="326">
        <f t="shared" si="385"/>
        <v>0</v>
      </c>
      <c r="AN798" s="970">
        <f t="shared" si="385"/>
        <v>0</v>
      </c>
      <c r="AO798" s="27">
        <f t="shared" si="360"/>
        <v>0</v>
      </c>
      <c r="AP798" s="28">
        <f t="shared" si="361"/>
        <v>0</v>
      </c>
      <c r="AQ798" s="43"/>
      <c r="AR798" s="358">
        <f t="shared" si="379"/>
        <v>0</v>
      </c>
      <c r="AS798" s="359">
        <f t="shared" si="380"/>
        <v>0</v>
      </c>
      <c r="AT798" s="360">
        <f t="shared" si="381"/>
        <v>0</v>
      </c>
      <c r="AU798" s="43"/>
      <c r="AV798" s="43"/>
      <c r="AW798" s="119"/>
      <c r="AX798" s="119"/>
      <c r="AY798" s="43"/>
      <c r="AZ798" s="43"/>
      <c r="BA798" s="43"/>
      <c r="BB798" s="43"/>
      <c r="BC798" s="43"/>
      <c r="BD798" s="43"/>
    </row>
    <row r="799" spans="1:56" ht="15.75">
      <c r="A799" s="88">
        <v>7801</v>
      </c>
      <c r="B799" s="378" t="s">
        <v>828</v>
      </c>
      <c r="C799" s="1033"/>
      <c r="D799" s="1033"/>
      <c r="E799" s="1033"/>
      <c r="F799" s="1033"/>
      <c r="G799" s="1033"/>
      <c r="H799" s="1033"/>
      <c r="I799" s="1033"/>
      <c r="J799" s="1033"/>
      <c r="K799" s="1033"/>
      <c r="L799" s="90"/>
      <c r="M799" s="51" t="s">
        <v>265</v>
      </c>
      <c r="N799" s="113">
        <f t="shared" si="382"/>
        <v>7801</v>
      </c>
      <c r="O799" s="8">
        <v>0</v>
      </c>
      <c r="P799" s="9">
        <v>0</v>
      </c>
      <c r="Q799" s="325">
        <v>0</v>
      </c>
      <c r="R799" s="324">
        <v>0</v>
      </c>
      <c r="S799" s="27">
        <f t="shared" si="398"/>
        <v>0</v>
      </c>
      <c r="T799" s="28">
        <f t="shared" si="399"/>
        <v>0</v>
      </c>
      <c r="U799" s="51"/>
      <c r="V799" s="541">
        <f>+'NF-KSF-TRIAL-BAL-2020'!O799+'RA-TRIAL-BAL-2020'!O799+'DES-TRIAL-BAL-2020'!O799+'DMP-TRIAL-BAL-2020'!O799</f>
        <v>0</v>
      </c>
      <c r="W799" s="529">
        <f>+'NF-KSF-TRIAL-BAL-2020'!P799+'RA-TRIAL-BAL-2020'!P799+'DES-TRIAL-BAL-2020'!P799+'DMP-TRIAL-BAL-2020'!P799</f>
        <v>0</v>
      </c>
      <c r="X799" s="528">
        <f>+'NF-KSF-TRIAL-BAL-2020'!Q799+'RA-TRIAL-BAL-2020'!Q799+'DES-TRIAL-BAL-2020'!Q799+'DMP-TRIAL-BAL-2020'!Q799</f>
        <v>0</v>
      </c>
      <c r="Y799" s="529">
        <f>+'NF-KSF-TRIAL-BAL-2020'!R799+'RA-TRIAL-BAL-2020'!R799+'DES-TRIAL-BAL-2020'!R799+'DMP-TRIAL-BAL-2020'!R799</f>
        <v>0</v>
      </c>
      <c r="Z799" s="528">
        <f>+'NF-KSF-TRIAL-BAL-2020'!S799+'RA-TRIAL-BAL-2020'!S799+'DES-TRIAL-BAL-2020'!S799+'DMP-TRIAL-BAL-2020'!S799</f>
        <v>0</v>
      </c>
      <c r="AA799" s="347">
        <f>+'NF-KSF-TRIAL-BAL-2020'!T799+'RA-TRIAL-BAL-2020'!T799+'DES-TRIAL-BAL-2020'!T799+'DMP-TRIAL-BAL-2020'!T799</f>
        <v>0</v>
      </c>
      <c r="AB799" s="51"/>
      <c r="AC799" s="8">
        <v>0</v>
      </c>
      <c r="AD799" s="9">
        <v>0</v>
      </c>
      <c r="AE799" s="325">
        <v>0</v>
      </c>
      <c r="AF799" s="324">
        <v>0</v>
      </c>
      <c r="AG799" s="27">
        <f t="shared" si="400"/>
        <v>0</v>
      </c>
      <c r="AH799" s="28">
        <f t="shared" si="401"/>
        <v>0</v>
      </c>
      <c r="AI799" s="51"/>
      <c r="AJ799" s="1497">
        <f t="shared" si="351"/>
        <v>7801</v>
      </c>
      <c r="AK799" s="8">
        <v>0</v>
      </c>
      <c r="AL799" s="9">
        <v>0</v>
      </c>
      <c r="AM799" s="326">
        <f t="shared" si="385"/>
        <v>0</v>
      </c>
      <c r="AN799" s="970">
        <f t="shared" si="385"/>
        <v>0</v>
      </c>
      <c r="AO799" s="27">
        <f t="shared" si="360"/>
        <v>0</v>
      </c>
      <c r="AP799" s="28">
        <f t="shared" si="361"/>
        <v>0</v>
      </c>
      <c r="AQ799" s="43"/>
      <c r="AR799" s="358">
        <f t="shared" si="379"/>
        <v>0</v>
      </c>
      <c r="AS799" s="359">
        <f t="shared" si="380"/>
        <v>0</v>
      </c>
      <c r="AT799" s="360">
        <f t="shared" si="381"/>
        <v>0</v>
      </c>
      <c r="AU799" s="43"/>
      <c r="AV799" s="43"/>
      <c r="AW799" s="119"/>
      <c r="AX799" s="119"/>
      <c r="AY799" s="43"/>
      <c r="AZ799" s="43"/>
      <c r="BA799" s="43"/>
      <c r="BB799" s="43"/>
      <c r="BC799" s="43"/>
      <c r="BD799" s="43"/>
    </row>
    <row r="800" spans="1:56" ht="15.75">
      <c r="A800" s="88">
        <v>7802</v>
      </c>
      <c r="B800" s="378" t="s">
        <v>829</v>
      </c>
      <c r="C800" s="1033"/>
      <c r="D800" s="1033"/>
      <c r="E800" s="1033"/>
      <c r="F800" s="1033"/>
      <c r="G800" s="1033"/>
      <c r="H800" s="1033"/>
      <c r="I800" s="1033"/>
      <c r="J800" s="1033"/>
      <c r="K800" s="1033"/>
      <c r="L800" s="90"/>
      <c r="M800" s="51" t="s">
        <v>265</v>
      </c>
      <c r="N800" s="113">
        <f t="shared" si="382"/>
        <v>7802</v>
      </c>
      <c r="O800" s="8">
        <v>0</v>
      </c>
      <c r="P800" s="9">
        <v>0</v>
      </c>
      <c r="Q800" s="325">
        <v>0</v>
      </c>
      <c r="R800" s="324">
        <v>0</v>
      </c>
      <c r="S800" s="27">
        <f t="shared" si="398"/>
        <v>0</v>
      </c>
      <c r="T800" s="28">
        <f t="shared" si="399"/>
        <v>0</v>
      </c>
      <c r="U800" s="51"/>
      <c r="V800" s="541">
        <f>+'NF-KSF-TRIAL-BAL-2020'!O800+'RA-TRIAL-BAL-2020'!O800+'DES-TRIAL-BAL-2020'!O800+'DMP-TRIAL-BAL-2020'!O800</f>
        <v>0</v>
      </c>
      <c r="W800" s="529">
        <f>+'NF-KSF-TRIAL-BAL-2020'!P800+'RA-TRIAL-BAL-2020'!P800+'DES-TRIAL-BAL-2020'!P800+'DMP-TRIAL-BAL-2020'!P800</f>
        <v>0</v>
      </c>
      <c r="X800" s="528">
        <f>+'NF-KSF-TRIAL-BAL-2020'!Q800+'RA-TRIAL-BAL-2020'!Q800+'DES-TRIAL-BAL-2020'!Q800+'DMP-TRIAL-BAL-2020'!Q800</f>
        <v>0</v>
      </c>
      <c r="Y800" s="529">
        <f>+'NF-KSF-TRIAL-BAL-2020'!R800+'RA-TRIAL-BAL-2020'!R800+'DES-TRIAL-BAL-2020'!R800+'DMP-TRIAL-BAL-2020'!R800</f>
        <v>0</v>
      </c>
      <c r="Z800" s="528">
        <f>+'NF-KSF-TRIAL-BAL-2020'!S800+'RA-TRIAL-BAL-2020'!S800+'DES-TRIAL-BAL-2020'!S800+'DMP-TRIAL-BAL-2020'!S800</f>
        <v>0</v>
      </c>
      <c r="AA800" s="347">
        <f>+'NF-KSF-TRIAL-BAL-2020'!T800+'RA-TRIAL-BAL-2020'!T800+'DES-TRIAL-BAL-2020'!T800+'DMP-TRIAL-BAL-2020'!T800</f>
        <v>0</v>
      </c>
      <c r="AB800" s="51"/>
      <c r="AC800" s="8">
        <v>0</v>
      </c>
      <c r="AD800" s="9">
        <v>0</v>
      </c>
      <c r="AE800" s="325">
        <v>0</v>
      </c>
      <c r="AF800" s="324">
        <v>0</v>
      </c>
      <c r="AG800" s="27">
        <f t="shared" si="400"/>
        <v>0</v>
      </c>
      <c r="AH800" s="28">
        <f t="shared" si="401"/>
        <v>0</v>
      </c>
      <c r="AI800" s="51"/>
      <c r="AJ800" s="1497">
        <f t="shared" si="351"/>
        <v>7802</v>
      </c>
      <c r="AK800" s="8">
        <v>0</v>
      </c>
      <c r="AL800" s="9">
        <v>0</v>
      </c>
      <c r="AM800" s="326">
        <f t="shared" si="385"/>
        <v>0</v>
      </c>
      <c r="AN800" s="970">
        <f t="shared" si="385"/>
        <v>0</v>
      </c>
      <c r="AO800" s="27">
        <f t="shared" ref="AO800:AO828" si="402">+S800+Z800+AG800</f>
        <v>0</v>
      </c>
      <c r="AP800" s="28">
        <f t="shared" si="361"/>
        <v>0</v>
      </c>
      <c r="AQ800" s="43"/>
      <c r="AR800" s="358">
        <f t="shared" si="379"/>
        <v>0</v>
      </c>
      <c r="AS800" s="359">
        <f t="shared" si="380"/>
        <v>0</v>
      </c>
      <c r="AT800" s="360">
        <f t="shared" si="381"/>
        <v>0</v>
      </c>
      <c r="AU800" s="43"/>
      <c r="AV800" s="43"/>
      <c r="AW800" s="119"/>
      <c r="AX800" s="119"/>
      <c r="AY800" s="43"/>
      <c r="AZ800" s="43"/>
      <c r="BA800" s="43"/>
      <c r="BB800" s="43"/>
      <c r="BC800" s="43"/>
      <c r="BD800" s="43"/>
    </row>
    <row r="801" spans="1:56" ht="15.75">
      <c r="A801" s="88">
        <v>7803</v>
      </c>
      <c r="B801" s="1042" t="s">
        <v>830</v>
      </c>
      <c r="C801" s="1033"/>
      <c r="D801" s="1033"/>
      <c r="E801" s="1033"/>
      <c r="F801" s="1033"/>
      <c r="G801" s="1033"/>
      <c r="H801" s="1033"/>
      <c r="I801" s="1033"/>
      <c r="J801" s="1033"/>
      <c r="K801" s="1033"/>
      <c r="L801" s="90"/>
      <c r="M801" s="51" t="s">
        <v>265</v>
      </c>
      <c r="N801" s="113">
        <f>+A801</f>
        <v>7803</v>
      </c>
      <c r="O801" s="8">
        <v>0</v>
      </c>
      <c r="P801" s="9">
        <v>0</v>
      </c>
      <c r="Q801" s="325"/>
      <c r="R801" s="324"/>
      <c r="S801" s="27">
        <f t="shared" si="398"/>
        <v>0</v>
      </c>
      <c r="T801" s="28">
        <f t="shared" si="399"/>
        <v>0</v>
      </c>
      <c r="U801" s="51"/>
      <c r="V801" s="541">
        <f>+'NF-KSF-TRIAL-BAL-2020'!O801+'RA-TRIAL-BAL-2020'!O801+'DES-TRIAL-BAL-2020'!O801+'DMP-TRIAL-BAL-2020'!O801</f>
        <v>0</v>
      </c>
      <c r="W801" s="529">
        <f>+'NF-KSF-TRIAL-BAL-2020'!P801+'RA-TRIAL-BAL-2020'!P801+'DES-TRIAL-BAL-2020'!P801+'DMP-TRIAL-BAL-2020'!P801</f>
        <v>0</v>
      </c>
      <c r="X801" s="528">
        <f>+'NF-KSF-TRIAL-BAL-2020'!Q801+'RA-TRIAL-BAL-2020'!Q801+'DES-TRIAL-BAL-2020'!Q801+'DMP-TRIAL-BAL-2020'!Q801</f>
        <v>0</v>
      </c>
      <c r="Y801" s="529">
        <f>+'NF-KSF-TRIAL-BAL-2020'!R801+'RA-TRIAL-BAL-2020'!R801+'DES-TRIAL-BAL-2020'!R801+'DMP-TRIAL-BAL-2020'!R801</f>
        <v>0</v>
      </c>
      <c r="Z801" s="528">
        <f>+'NF-KSF-TRIAL-BAL-2020'!S801+'RA-TRIAL-BAL-2020'!S801+'DES-TRIAL-BAL-2020'!S801+'DMP-TRIAL-BAL-2020'!S801</f>
        <v>0</v>
      </c>
      <c r="AA801" s="347">
        <f>+'NF-KSF-TRIAL-BAL-2020'!T801+'RA-TRIAL-BAL-2020'!T801+'DES-TRIAL-BAL-2020'!T801+'DMP-TRIAL-BAL-2020'!T801</f>
        <v>0</v>
      </c>
      <c r="AB801" s="51"/>
      <c r="AC801" s="8">
        <v>0</v>
      </c>
      <c r="AD801" s="9">
        <v>0</v>
      </c>
      <c r="AE801" s="122"/>
      <c r="AF801" s="121"/>
      <c r="AG801" s="27">
        <f t="shared" si="400"/>
        <v>0</v>
      </c>
      <c r="AH801" s="28">
        <f t="shared" si="401"/>
        <v>0</v>
      </c>
      <c r="AI801" s="51"/>
      <c r="AJ801" s="1497">
        <f>+N801</f>
        <v>7803</v>
      </c>
      <c r="AK801" s="8">
        <v>0</v>
      </c>
      <c r="AL801" s="9">
        <v>0</v>
      </c>
      <c r="AM801" s="326">
        <f>+ROUND(+Q801+X801+AE801,2)</f>
        <v>0</v>
      </c>
      <c r="AN801" s="970">
        <f>+ROUND(+R801+Y801+AF801,2)</f>
        <v>0</v>
      </c>
      <c r="AO801" s="27">
        <f t="shared" si="402"/>
        <v>0</v>
      </c>
      <c r="AP801" s="28">
        <f t="shared" ref="AP801:AP828" si="403">+T801+AA801+AH801</f>
        <v>0</v>
      </c>
      <c r="AQ801" s="43"/>
      <c r="AR801" s="358">
        <f>+ROUND(+SUM(AK801-AL801)-SUM(O801-P801)-SUM(V801-W801)-SUM(AC801-AD801),2)</f>
        <v>0</v>
      </c>
      <c r="AS801" s="359">
        <f>+ROUND(+SUM(AM801-AN801)-SUM(Q801-R801)-SUM(X801-Y801)-SUM(AE801-AF801),2)</f>
        <v>0</v>
      </c>
      <c r="AT801" s="360">
        <f>+ROUND(+SUM(AO801-AP801)-SUM(S801-T801)-SUM(Z801-AA801)-SUM(AG801-AH801),2)</f>
        <v>0</v>
      </c>
      <c r="AU801" s="43"/>
      <c r="AV801" s="43"/>
      <c r="AW801" s="119"/>
      <c r="AX801" s="119"/>
      <c r="AY801" s="43"/>
      <c r="AZ801" s="43"/>
      <c r="BA801" s="43"/>
      <c r="BB801" s="43"/>
      <c r="BC801" s="43"/>
      <c r="BD801" s="43"/>
    </row>
    <row r="802" spans="1:56" ht="15.75">
      <c r="A802" s="88">
        <v>7804</v>
      </c>
      <c r="B802" s="1042" t="s">
        <v>831</v>
      </c>
      <c r="C802" s="1033"/>
      <c r="D802" s="1033"/>
      <c r="E802" s="1033"/>
      <c r="F802" s="1033"/>
      <c r="G802" s="1033"/>
      <c r="H802" s="1033"/>
      <c r="I802" s="1033"/>
      <c r="J802" s="1033"/>
      <c r="K802" s="1033"/>
      <c r="L802" s="90"/>
      <c r="M802" s="51" t="s">
        <v>265</v>
      </c>
      <c r="N802" s="113">
        <f>+A802</f>
        <v>7804</v>
      </c>
      <c r="O802" s="8">
        <v>0</v>
      </c>
      <c r="P802" s="9">
        <v>0</v>
      </c>
      <c r="Q802" s="325"/>
      <c r="R802" s="324"/>
      <c r="S802" s="27">
        <f t="shared" si="398"/>
        <v>0</v>
      </c>
      <c r="T802" s="28">
        <f t="shared" si="399"/>
        <v>0</v>
      </c>
      <c r="U802" s="51"/>
      <c r="V802" s="541">
        <f>+'NF-KSF-TRIAL-BAL-2020'!O802+'RA-TRIAL-BAL-2020'!O802+'DES-TRIAL-BAL-2020'!O802+'DMP-TRIAL-BAL-2020'!O802</f>
        <v>0</v>
      </c>
      <c r="W802" s="529">
        <f>+'NF-KSF-TRIAL-BAL-2020'!P802+'RA-TRIAL-BAL-2020'!P802+'DES-TRIAL-BAL-2020'!P802+'DMP-TRIAL-BAL-2020'!P802</f>
        <v>0</v>
      </c>
      <c r="X802" s="528">
        <f>+'NF-KSF-TRIAL-BAL-2020'!Q802+'RA-TRIAL-BAL-2020'!Q802+'DES-TRIAL-BAL-2020'!Q802+'DMP-TRIAL-BAL-2020'!Q802</f>
        <v>0</v>
      </c>
      <c r="Y802" s="529">
        <f>+'NF-KSF-TRIAL-BAL-2020'!R802+'RA-TRIAL-BAL-2020'!R802+'DES-TRIAL-BAL-2020'!R802+'DMP-TRIAL-BAL-2020'!R802</f>
        <v>0</v>
      </c>
      <c r="Z802" s="528">
        <f>+'NF-KSF-TRIAL-BAL-2020'!S802+'RA-TRIAL-BAL-2020'!S802+'DES-TRIAL-BAL-2020'!S802+'DMP-TRIAL-BAL-2020'!S802</f>
        <v>0</v>
      </c>
      <c r="AA802" s="347">
        <f>+'NF-KSF-TRIAL-BAL-2020'!T802+'RA-TRIAL-BAL-2020'!T802+'DES-TRIAL-BAL-2020'!T802+'DMP-TRIAL-BAL-2020'!T802</f>
        <v>0</v>
      </c>
      <c r="AB802" s="51"/>
      <c r="AC802" s="8">
        <v>0</v>
      </c>
      <c r="AD802" s="9">
        <v>0</v>
      </c>
      <c r="AE802" s="122"/>
      <c r="AF802" s="121"/>
      <c r="AG802" s="27">
        <f t="shared" si="400"/>
        <v>0</v>
      </c>
      <c r="AH802" s="28">
        <f t="shared" si="401"/>
        <v>0</v>
      </c>
      <c r="AI802" s="51"/>
      <c r="AJ802" s="1497">
        <f>+N802</f>
        <v>7804</v>
      </c>
      <c r="AK802" s="8">
        <v>0</v>
      </c>
      <c r="AL802" s="9">
        <v>0</v>
      </c>
      <c r="AM802" s="326">
        <f>+ROUND(+Q802+X802+AE802,2)</f>
        <v>0</v>
      </c>
      <c r="AN802" s="970">
        <f>+ROUND(+R802+Y802+AF802,2)</f>
        <v>0</v>
      </c>
      <c r="AO802" s="27">
        <f t="shared" si="402"/>
        <v>0</v>
      </c>
      <c r="AP802" s="28">
        <f t="shared" si="403"/>
        <v>0</v>
      </c>
      <c r="AQ802" s="43"/>
      <c r="AR802" s="358">
        <f>+ROUND(+SUM(AK802-AL802)-SUM(O802-P802)-SUM(V802-W802)-SUM(AC802-AD802),2)</f>
        <v>0</v>
      </c>
      <c r="AS802" s="359">
        <f>+ROUND(+SUM(AM802-AN802)-SUM(Q802-R802)-SUM(X802-Y802)-SUM(AE802-AF802),2)</f>
        <v>0</v>
      </c>
      <c r="AT802" s="360">
        <f>+ROUND(+SUM(AO802-AP802)-SUM(S802-T802)-SUM(Z802-AA802)-SUM(AG802-AH802),2)</f>
        <v>0</v>
      </c>
      <c r="AU802" s="43"/>
      <c r="AV802" s="43"/>
      <c r="AW802" s="119"/>
      <c r="AX802" s="119"/>
      <c r="AY802" s="43"/>
      <c r="AZ802" s="43"/>
      <c r="BA802" s="43"/>
      <c r="BB802" s="43"/>
      <c r="BC802" s="43"/>
      <c r="BD802" s="43"/>
    </row>
    <row r="803" spans="1:56" ht="15.75">
      <c r="A803" s="88">
        <v>7807</v>
      </c>
      <c r="B803" s="378" t="s">
        <v>832</v>
      </c>
      <c r="C803" s="1033"/>
      <c r="D803" s="1033"/>
      <c r="E803" s="1033"/>
      <c r="F803" s="1033"/>
      <c r="G803" s="1033"/>
      <c r="H803" s="1033"/>
      <c r="I803" s="1033"/>
      <c r="J803" s="1033"/>
      <c r="K803" s="1033"/>
      <c r="L803" s="90"/>
      <c r="M803" s="51" t="s">
        <v>265</v>
      </c>
      <c r="N803" s="113">
        <f t="shared" si="382"/>
        <v>7807</v>
      </c>
      <c r="O803" s="8">
        <v>0</v>
      </c>
      <c r="P803" s="9">
        <v>0</v>
      </c>
      <c r="Q803" s="325"/>
      <c r="R803" s="324"/>
      <c r="S803" s="27">
        <f t="shared" si="398"/>
        <v>0</v>
      </c>
      <c r="T803" s="28">
        <f t="shared" si="399"/>
        <v>0</v>
      </c>
      <c r="U803" s="51"/>
      <c r="V803" s="541">
        <f>+'NF-KSF-TRIAL-BAL-2020'!O803+'RA-TRIAL-BAL-2020'!O803+'DES-TRIAL-BAL-2020'!O803+'DMP-TRIAL-BAL-2020'!O803</f>
        <v>0</v>
      </c>
      <c r="W803" s="529">
        <f>+'NF-KSF-TRIAL-BAL-2020'!P803+'RA-TRIAL-BAL-2020'!P803+'DES-TRIAL-BAL-2020'!P803+'DMP-TRIAL-BAL-2020'!P803</f>
        <v>0</v>
      </c>
      <c r="X803" s="528">
        <f>+'NF-KSF-TRIAL-BAL-2020'!Q803+'RA-TRIAL-BAL-2020'!Q803+'DES-TRIAL-BAL-2020'!Q803+'DMP-TRIAL-BAL-2020'!Q803</f>
        <v>0</v>
      </c>
      <c r="Y803" s="529">
        <f>+'NF-KSF-TRIAL-BAL-2020'!R803+'RA-TRIAL-BAL-2020'!R803+'DES-TRIAL-BAL-2020'!R803+'DMP-TRIAL-BAL-2020'!R803</f>
        <v>0</v>
      </c>
      <c r="Z803" s="528">
        <f>+'NF-KSF-TRIAL-BAL-2020'!S803+'RA-TRIAL-BAL-2020'!S803+'DES-TRIAL-BAL-2020'!S803+'DMP-TRIAL-BAL-2020'!S803</f>
        <v>0</v>
      </c>
      <c r="AA803" s="347">
        <f>+'NF-KSF-TRIAL-BAL-2020'!T803+'RA-TRIAL-BAL-2020'!T803+'DES-TRIAL-BAL-2020'!T803+'DMP-TRIAL-BAL-2020'!T803</f>
        <v>0</v>
      </c>
      <c r="AB803" s="51"/>
      <c r="AC803" s="8">
        <v>0</v>
      </c>
      <c r="AD803" s="9">
        <v>0</v>
      </c>
      <c r="AE803" s="325"/>
      <c r="AF803" s="324"/>
      <c r="AG803" s="27">
        <f t="shared" si="400"/>
        <v>0</v>
      </c>
      <c r="AH803" s="28">
        <f t="shared" si="401"/>
        <v>0</v>
      </c>
      <c r="AI803" s="51"/>
      <c r="AJ803" s="1497">
        <f t="shared" si="351"/>
        <v>7807</v>
      </c>
      <c r="AK803" s="8">
        <v>0</v>
      </c>
      <c r="AL803" s="9">
        <v>0</v>
      </c>
      <c r="AM803" s="326">
        <f t="shared" si="385"/>
        <v>0</v>
      </c>
      <c r="AN803" s="970">
        <f t="shared" si="385"/>
        <v>0</v>
      </c>
      <c r="AO803" s="27">
        <f t="shared" si="402"/>
        <v>0</v>
      </c>
      <c r="AP803" s="28">
        <f t="shared" si="403"/>
        <v>0</v>
      </c>
      <c r="AQ803" s="43"/>
      <c r="AR803" s="358">
        <f t="shared" si="379"/>
        <v>0</v>
      </c>
      <c r="AS803" s="359">
        <f t="shared" si="380"/>
        <v>0</v>
      </c>
      <c r="AT803" s="360">
        <f t="shared" si="381"/>
        <v>0</v>
      </c>
      <c r="AU803" s="43"/>
      <c r="AV803" s="43"/>
      <c r="AW803" s="119"/>
      <c r="AX803" s="119"/>
      <c r="AY803" s="43"/>
      <c r="AZ803" s="43"/>
      <c r="BA803" s="43"/>
      <c r="BB803" s="43"/>
      <c r="BC803" s="43"/>
      <c r="BD803" s="43"/>
    </row>
    <row r="804" spans="1:56" ht="15.75">
      <c r="A804" s="88">
        <v>7808</v>
      </c>
      <c r="B804" s="378" t="s">
        <v>833</v>
      </c>
      <c r="C804" s="1033"/>
      <c r="D804" s="1033"/>
      <c r="E804" s="1033"/>
      <c r="F804" s="1033"/>
      <c r="G804" s="1033"/>
      <c r="H804" s="1033"/>
      <c r="I804" s="1033"/>
      <c r="J804" s="1033"/>
      <c r="K804" s="1033"/>
      <c r="L804" s="90"/>
      <c r="M804" s="51" t="s">
        <v>265</v>
      </c>
      <c r="N804" s="113">
        <f t="shared" si="382"/>
        <v>7808</v>
      </c>
      <c r="O804" s="8">
        <v>0</v>
      </c>
      <c r="P804" s="9">
        <v>0</v>
      </c>
      <c r="Q804" s="325"/>
      <c r="R804" s="324"/>
      <c r="S804" s="27">
        <f t="shared" si="398"/>
        <v>0</v>
      </c>
      <c r="T804" s="28">
        <f t="shared" si="399"/>
        <v>0</v>
      </c>
      <c r="U804" s="51"/>
      <c r="V804" s="541">
        <f>+'NF-KSF-TRIAL-BAL-2020'!O804+'RA-TRIAL-BAL-2020'!O804+'DES-TRIAL-BAL-2020'!O804+'DMP-TRIAL-BAL-2020'!O804</f>
        <v>0</v>
      </c>
      <c r="W804" s="529">
        <f>+'NF-KSF-TRIAL-BAL-2020'!P804+'RA-TRIAL-BAL-2020'!P804+'DES-TRIAL-BAL-2020'!P804+'DMP-TRIAL-BAL-2020'!P804</f>
        <v>0</v>
      </c>
      <c r="X804" s="528">
        <f>+'NF-KSF-TRIAL-BAL-2020'!Q804+'RA-TRIAL-BAL-2020'!Q804+'DES-TRIAL-BAL-2020'!Q804+'DMP-TRIAL-BAL-2020'!Q804</f>
        <v>0</v>
      </c>
      <c r="Y804" s="529">
        <f>+'NF-KSF-TRIAL-BAL-2020'!R804+'RA-TRIAL-BAL-2020'!R804+'DES-TRIAL-BAL-2020'!R804+'DMP-TRIAL-BAL-2020'!R804</f>
        <v>0</v>
      </c>
      <c r="Z804" s="528">
        <f>+'NF-KSF-TRIAL-BAL-2020'!S804+'RA-TRIAL-BAL-2020'!S804+'DES-TRIAL-BAL-2020'!S804+'DMP-TRIAL-BAL-2020'!S804</f>
        <v>0</v>
      </c>
      <c r="AA804" s="347">
        <f>+'NF-KSF-TRIAL-BAL-2020'!T804+'RA-TRIAL-BAL-2020'!T804+'DES-TRIAL-BAL-2020'!T804+'DMP-TRIAL-BAL-2020'!T804</f>
        <v>0</v>
      </c>
      <c r="AB804" s="51"/>
      <c r="AC804" s="8">
        <v>0</v>
      </c>
      <c r="AD804" s="9">
        <v>0</v>
      </c>
      <c r="AE804" s="325"/>
      <c r="AF804" s="324"/>
      <c r="AG804" s="27">
        <f t="shared" si="400"/>
        <v>0</v>
      </c>
      <c r="AH804" s="28">
        <f t="shared" si="401"/>
        <v>0</v>
      </c>
      <c r="AI804" s="51"/>
      <c r="AJ804" s="1497">
        <f t="shared" si="351"/>
        <v>7808</v>
      </c>
      <c r="AK804" s="8">
        <v>0</v>
      </c>
      <c r="AL804" s="9">
        <v>0</v>
      </c>
      <c r="AM804" s="326">
        <f t="shared" si="385"/>
        <v>0</v>
      </c>
      <c r="AN804" s="970">
        <f t="shared" si="385"/>
        <v>0</v>
      </c>
      <c r="AO804" s="27">
        <f t="shared" si="402"/>
        <v>0</v>
      </c>
      <c r="AP804" s="28">
        <f t="shared" si="403"/>
        <v>0</v>
      </c>
      <c r="AQ804" s="43"/>
      <c r="AR804" s="358">
        <f t="shared" si="379"/>
        <v>0</v>
      </c>
      <c r="AS804" s="359">
        <f t="shared" si="380"/>
        <v>0</v>
      </c>
      <c r="AT804" s="360">
        <f t="shared" si="381"/>
        <v>0</v>
      </c>
      <c r="AU804" s="43"/>
      <c r="AV804" s="43"/>
      <c r="AW804" s="119"/>
      <c r="AX804" s="119"/>
      <c r="AY804" s="43"/>
      <c r="AZ804" s="43"/>
      <c r="BA804" s="43"/>
      <c r="BB804" s="43"/>
      <c r="BC804" s="43"/>
      <c r="BD804" s="43"/>
    </row>
    <row r="805" spans="1:56" ht="15.75">
      <c r="A805" s="88">
        <v>7901</v>
      </c>
      <c r="B805" s="1042" t="s">
        <v>834</v>
      </c>
      <c r="C805" s="1033"/>
      <c r="D805" s="1033"/>
      <c r="E805" s="1033"/>
      <c r="F805" s="1033"/>
      <c r="G805" s="1033"/>
      <c r="H805" s="1033"/>
      <c r="I805" s="1033"/>
      <c r="J805" s="1033"/>
      <c r="K805" s="1033"/>
      <c r="L805" s="90"/>
      <c r="M805" s="51" t="s">
        <v>265</v>
      </c>
      <c r="N805" s="113">
        <f t="shared" si="382"/>
        <v>7901</v>
      </c>
      <c r="O805" s="8">
        <v>0</v>
      </c>
      <c r="P805" s="9">
        <v>0</v>
      </c>
      <c r="Q805" s="325"/>
      <c r="R805" s="324"/>
      <c r="S805" s="27">
        <f t="shared" ref="S805:S810" si="404">+IF(ABS(+O805+Q805)&gt;=ABS(P805+R805),+O805-P805+Q805-R805,0)</f>
        <v>0</v>
      </c>
      <c r="T805" s="28">
        <f t="shared" ref="T805:T810" si="405">+IF(ABS(+O805+Q805)&lt;=ABS(P805+R805),-O805+P805-Q805+R805,0)</f>
        <v>0</v>
      </c>
      <c r="U805" s="51"/>
      <c r="V805" s="541">
        <f>+'NF-KSF-TRIAL-BAL-2020'!O805+'RA-TRIAL-BAL-2020'!O805+'DES-TRIAL-BAL-2020'!O805+'DMP-TRIAL-BAL-2020'!O805</f>
        <v>0</v>
      </c>
      <c r="W805" s="529">
        <f>+'NF-KSF-TRIAL-BAL-2020'!P805+'RA-TRIAL-BAL-2020'!P805+'DES-TRIAL-BAL-2020'!P805+'DMP-TRIAL-BAL-2020'!P805</f>
        <v>0</v>
      </c>
      <c r="X805" s="528">
        <f>+'NF-KSF-TRIAL-BAL-2020'!Q805+'RA-TRIAL-BAL-2020'!Q805+'DES-TRIAL-BAL-2020'!Q805+'DMP-TRIAL-BAL-2020'!Q805</f>
        <v>0</v>
      </c>
      <c r="Y805" s="529">
        <f>+'NF-KSF-TRIAL-BAL-2020'!R805+'RA-TRIAL-BAL-2020'!R805+'DES-TRIAL-BAL-2020'!R805+'DMP-TRIAL-BAL-2020'!R805</f>
        <v>0</v>
      </c>
      <c r="Z805" s="528">
        <f>+'NF-KSF-TRIAL-BAL-2020'!S805+'RA-TRIAL-BAL-2020'!S805+'DES-TRIAL-BAL-2020'!S805+'DMP-TRIAL-BAL-2020'!S805</f>
        <v>0</v>
      </c>
      <c r="AA805" s="347">
        <f>+'NF-KSF-TRIAL-BAL-2020'!T805+'RA-TRIAL-BAL-2020'!T805+'DES-TRIAL-BAL-2020'!T805+'DMP-TRIAL-BAL-2020'!T805</f>
        <v>0</v>
      </c>
      <c r="AB805" s="51"/>
      <c r="AC805" s="8">
        <v>0</v>
      </c>
      <c r="AD805" s="9">
        <v>0</v>
      </c>
      <c r="AE805" s="122"/>
      <c r="AF805" s="121"/>
      <c r="AG805" s="27">
        <f t="shared" ref="AG805:AG810" si="406">+IF(ABS(+AC805+AE805)&gt;=ABS(AD805+AF805),+AC805-AD805+AE805-AF805,0)</f>
        <v>0</v>
      </c>
      <c r="AH805" s="28">
        <f t="shared" ref="AH805:AH810" si="407">+IF(ABS(+AC805+AE805)&lt;=ABS(AD805+AF805),-AC805+AD805-AE805+AF805,0)</f>
        <v>0</v>
      </c>
      <c r="AI805" s="51"/>
      <c r="AJ805" s="1497">
        <f t="shared" si="351"/>
        <v>7901</v>
      </c>
      <c r="AK805" s="8">
        <v>0</v>
      </c>
      <c r="AL805" s="9">
        <v>0</v>
      </c>
      <c r="AM805" s="326">
        <f t="shared" si="385"/>
        <v>0</v>
      </c>
      <c r="AN805" s="970">
        <f t="shared" si="385"/>
        <v>0</v>
      </c>
      <c r="AO805" s="27">
        <f t="shared" si="402"/>
        <v>0</v>
      </c>
      <c r="AP805" s="28">
        <f t="shared" si="403"/>
        <v>0</v>
      </c>
      <c r="AQ805" s="43"/>
      <c r="AR805" s="358">
        <f t="shared" si="379"/>
        <v>0</v>
      </c>
      <c r="AS805" s="359">
        <f t="shared" si="380"/>
        <v>0</v>
      </c>
      <c r="AT805" s="360">
        <f t="shared" si="381"/>
        <v>0</v>
      </c>
      <c r="AU805" s="43"/>
      <c r="AV805" s="43"/>
      <c r="AW805" s="119"/>
      <c r="AX805" s="119"/>
      <c r="AY805" s="43"/>
      <c r="AZ805" s="43"/>
      <c r="BA805" s="43"/>
      <c r="BB805" s="43"/>
      <c r="BC805" s="43"/>
      <c r="BD805" s="43"/>
    </row>
    <row r="806" spans="1:56" ht="15.75">
      <c r="A806" s="88">
        <v>7902</v>
      </c>
      <c r="B806" s="1042" t="s">
        <v>835</v>
      </c>
      <c r="C806" s="1033"/>
      <c r="D806" s="1033"/>
      <c r="E806" s="1033"/>
      <c r="F806" s="1033"/>
      <c r="G806" s="1033"/>
      <c r="H806" s="1033"/>
      <c r="I806" s="1033"/>
      <c r="J806" s="1033"/>
      <c r="K806" s="1033"/>
      <c r="L806" s="90"/>
      <c r="M806" s="51" t="s">
        <v>265</v>
      </c>
      <c r="N806" s="113">
        <f t="shared" si="382"/>
        <v>7902</v>
      </c>
      <c r="O806" s="8">
        <v>0</v>
      </c>
      <c r="P806" s="9">
        <v>0</v>
      </c>
      <c r="Q806" s="325"/>
      <c r="R806" s="324"/>
      <c r="S806" s="27">
        <f t="shared" si="404"/>
        <v>0</v>
      </c>
      <c r="T806" s="28">
        <f t="shared" si="405"/>
        <v>0</v>
      </c>
      <c r="U806" s="51"/>
      <c r="V806" s="541">
        <f>+'NF-KSF-TRIAL-BAL-2020'!O806+'RA-TRIAL-BAL-2020'!O806+'DES-TRIAL-BAL-2020'!O806+'DMP-TRIAL-BAL-2020'!O806</f>
        <v>0</v>
      </c>
      <c r="W806" s="529">
        <f>+'NF-KSF-TRIAL-BAL-2020'!P806+'RA-TRIAL-BAL-2020'!P806+'DES-TRIAL-BAL-2020'!P806+'DMP-TRIAL-BAL-2020'!P806</f>
        <v>0</v>
      </c>
      <c r="X806" s="528">
        <f>+'NF-KSF-TRIAL-BAL-2020'!Q806+'RA-TRIAL-BAL-2020'!Q806+'DES-TRIAL-BAL-2020'!Q806+'DMP-TRIAL-BAL-2020'!Q806</f>
        <v>0</v>
      </c>
      <c r="Y806" s="529">
        <f>+'NF-KSF-TRIAL-BAL-2020'!R806+'RA-TRIAL-BAL-2020'!R806+'DES-TRIAL-BAL-2020'!R806+'DMP-TRIAL-BAL-2020'!R806</f>
        <v>0</v>
      </c>
      <c r="Z806" s="528">
        <f>+'NF-KSF-TRIAL-BAL-2020'!S806+'RA-TRIAL-BAL-2020'!S806+'DES-TRIAL-BAL-2020'!S806+'DMP-TRIAL-BAL-2020'!S806</f>
        <v>0</v>
      </c>
      <c r="AA806" s="347">
        <f>+'NF-KSF-TRIAL-BAL-2020'!T806+'RA-TRIAL-BAL-2020'!T806+'DES-TRIAL-BAL-2020'!T806+'DMP-TRIAL-BAL-2020'!T806</f>
        <v>0</v>
      </c>
      <c r="AB806" s="51"/>
      <c r="AC806" s="8">
        <v>0</v>
      </c>
      <c r="AD806" s="9">
        <v>0</v>
      </c>
      <c r="AE806" s="122"/>
      <c r="AF806" s="121"/>
      <c r="AG806" s="27">
        <f t="shared" si="406"/>
        <v>0</v>
      </c>
      <c r="AH806" s="28">
        <f t="shared" si="407"/>
        <v>0</v>
      </c>
      <c r="AI806" s="51"/>
      <c r="AJ806" s="1497">
        <f t="shared" si="351"/>
        <v>7902</v>
      </c>
      <c r="AK806" s="8">
        <v>0</v>
      </c>
      <c r="AL806" s="9">
        <v>0</v>
      </c>
      <c r="AM806" s="326">
        <f t="shared" si="385"/>
        <v>0</v>
      </c>
      <c r="AN806" s="970">
        <f t="shared" si="385"/>
        <v>0</v>
      </c>
      <c r="AO806" s="27">
        <f t="shared" si="402"/>
        <v>0</v>
      </c>
      <c r="AP806" s="28">
        <f t="shared" si="403"/>
        <v>0</v>
      </c>
      <c r="AQ806" s="43"/>
      <c r="AR806" s="358">
        <f t="shared" si="379"/>
        <v>0</v>
      </c>
      <c r="AS806" s="359">
        <f t="shared" si="380"/>
        <v>0</v>
      </c>
      <c r="AT806" s="360">
        <f t="shared" si="381"/>
        <v>0</v>
      </c>
      <c r="AU806" s="43"/>
      <c r="AV806" s="43"/>
      <c r="AW806" s="119"/>
      <c r="AX806" s="119"/>
      <c r="AY806" s="43"/>
      <c r="AZ806" s="43"/>
      <c r="BA806" s="43"/>
      <c r="BB806" s="43"/>
      <c r="BC806" s="43"/>
      <c r="BD806" s="43"/>
    </row>
    <row r="807" spans="1:56" ht="15.75">
      <c r="A807" s="88">
        <v>7903</v>
      </c>
      <c r="B807" s="1042" t="s">
        <v>836</v>
      </c>
      <c r="C807" s="1033"/>
      <c r="D807" s="1033"/>
      <c r="E807" s="1033"/>
      <c r="F807" s="1033"/>
      <c r="G807" s="1033"/>
      <c r="H807" s="1033"/>
      <c r="I807" s="1033"/>
      <c r="J807" s="1033"/>
      <c r="K807" s="1033"/>
      <c r="L807" s="90"/>
      <c r="M807" s="51" t="s">
        <v>265</v>
      </c>
      <c r="N807" s="113">
        <f t="shared" si="382"/>
        <v>7903</v>
      </c>
      <c r="O807" s="8">
        <v>0</v>
      </c>
      <c r="P807" s="9">
        <v>0</v>
      </c>
      <c r="Q807" s="325"/>
      <c r="R807" s="324"/>
      <c r="S807" s="27">
        <f t="shared" si="404"/>
        <v>0</v>
      </c>
      <c r="T807" s="28">
        <f t="shared" si="405"/>
        <v>0</v>
      </c>
      <c r="U807" s="51"/>
      <c r="V807" s="541">
        <f>+'NF-KSF-TRIAL-BAL-2020'!O807+'RA-TRIAL-BAL-2020'!O807+'DES-TRIAL-BAL-2020'!O807+'DMP-TRIAL-BAL-2020'!O807</f>
        <v>0</v>
      </c>
      <c r="W807" s="529">
        <f>+'NF-KSF-TRIAL-BAL-2020'!P807+'RA-TRIAL-BAL-2020'!P807+'DES-TRIAL-BAL-2020'!P807+'DMP-TRIAL-BAL-2020'!P807</f>
        <v>0</v>
      </c>
      <c r="X807" s="528">
        <f>+'NF-KSF-TRIAL-BAL-2020'!Q807+'RA-TRIAL-BAL-2020'!Q807+'DES-TRIAL-BAL-2020'!Q807+'DMP-TRIAL-BAL-2020'!Q807</f>
        <v>0</v>
      </c>
      <c r="Y807" s="529">
        <f>+'NF-KSF-TRIAL-BAL-2020'!R807+'RA-TRIAL-BAL-2020'!R807+'DES-TRIAL-BAL-2020'!R807+'DMP-TRIAL-BAL-2020'!R807</f>
        <v>0</v>
      </c>
      <c r="Z807" s="528">
        <f>+'NF-KSF-TRIAL-BAL-2020'!S807+'RA-TRIAL-BAL-2020'!S807+'DES-TRIAL-BAL-2020'!S807+'DMP-TRIAL-BAL-2020'!S807</f>
        <v>0</v>
      </c>
      <c r="AA807" s="347">
        <f>+'NF-KSF-TRIAL-BAL-2020'!T807+'RA-TRIAL-BAL-2020'!T807+'DES-TRIAL-BAL-2020'!T807+'DMP-TRIAL-BAL-2020'!T807</f>
        <v>0</v>
      </c>
      <c r="AB807" s="51"/>
      <c r="AC807" s="8">
        <v>0</v>
      </c>
      <c r="AD807" s="9">
        <v>0</v>
      </c>
      <c r="AE807" s="325"/>
      <c r="AF807" s="324"/>
      <c r="AG807" s="27">
        <f t="shared" si="406"/>
        <v>0</v>
      </c>
      <c r="AH807" s="28">
        <f t="shared" si="407"/>
        <v>0</v>
      </c>
      <c r="AI807" s="51"/>
      <c r="AJ807" s="1497">
        <f t="shared" si="351"/>
        <v>7903</v>
      </c>
      <c r="AK807" s="8">
        <v>0</v>
      </c>
      <c r="AL807" s="9">
        <v>0</v>
      </c>
      <c r="AM807" s="326">
        <f t="shared" si="385"/>
        <v>0</v>
      </c>
      <c r="AN807" s="970">
        <f t="shared" si="385"/>
        <v>0</v>
      </c>
      <c r="AO807" s="27">
        <f t="shared" si="402"/>
        <v>0</v>
      </c>
      <c r="AP807" s="28">
        <f t="shared" si="403"/>
        <v>0</v>
      </c>
      <c r="AQ807" s="43"/>
      <c r="AR807" s="358">
        <f t="shared" si="379"/>
        <v>0</v>
      </c>
      <c r="AS807" s="359">
        <f t="shared" si="380"/>
        <v>0</v>
      </c>
      <c r="AT807" s="360">
        <f t="shared" si="381"/>
        <v>0</v>
      </c>
      <c r="AU807" s="43"/>
      <c r="AV807" s="43"/>
      <c r="AW807" s="119"/>
      <c r="AX807" s="119"/>
      <c r="AY807" s="43"/>
      <c r="AZ807" s="43"/>
      <c r="BA807" s="43"/>
      <c r="BB807" s="43"/>
      <c r="BC807" s="43"/>
      <c r="BD807" s="43"/>
    </row>
    <row r="808" spans="1:56" ht="15.75">
      <c r="A808" s="88">
        <v>7904</v>
      </c>
      <c r="B808" s="1042" t="s">
        <v>837</v>
      </c>
      <c r="C808" s="1033"/>
      <c r="D808" s="1033"/>
      <c r="E808" s="1033"/>
      <c r="F808" s="1033"/>
      <c r="G808" s="1033"/>
      <c r="H808" s="1033"/>
      <c r="I808" s="1033"/>
      <c r="J808" s="1033"/>
      <c r="K808" s="1033"/>
      <c r="L808" s="90"/>
      <c r="M808" s="51" t="s">
        <v>265</v>
      </c>
      <c r="N808" s="113">
        <f t="shared" si="382"/>
        <v>7904</v>
      </c>
      <c r="O808" s="8">
        <v>0</v>
      </c>
      <c r="P808" s="9">
        <v>0</v>
      </c>
      <c r="Q808" s="325"/>
      <c r="R808" s="324"/>
      <c r="S808" s="27">
        <f t="shared" si="404"/>
        <v>0</v>
      </c>
      <c r="T808" s="28">
        <f t="shared" si="405"/>
        <v>0</v>
      </c>
      <c r="U808" s="51"/>
      <c r="V808" s="541">
        <f>+'NF-KSF-TRIAL-BAL-2020'!O808+'RA-TRIAL-BAL-2020'!O808+'DES-TRIAL-BAL-2020'!O808+'DMP-TRIAL-BAL-2020'!O808</f>
        <v>0</v>
      </c>
      <c r="W808" s="529">
        <f>+'NF-KSF-TRIAL-BAL-2020'!P808+'RA-TRIAL-BAL-2020'!P808+'DES-TRIAL-BAL-2020'!P808+'DMP-TRIAL-BAL-2020'!P808</f>
        <v>0</v>
      </c>
      <c r="X808" s="528">
        <f>+'NF-KSF-TRIAL-BAL-2020'!Q808+'RA-TRIAL-BAL-2020'!Q808+'DES-TRIAL-BAL-2020'!Q808+'DMP-TRIAL-BAL-2020'!Q808</f>
        <v>0</v>
      </c>
      <c r="Y808" s="529">
        <f>+'NF-KSF-TRIAL-BAL-2020'!R808+'RA-TRIAL-BAL-2020'!R808+'DES-TRIAL-BAL-2020'!R808+'DMP-TRIAL-BAL-2020'!R808</f>
        <v>0</v>
      </c>
      <c r="Z808" s="528">
        <f>+'NF-KSF-TRIAL-BAL-2020'!S808+'RA-TRIAL-BAL-2020'!S808+'DES-TRIAL-BAL-2020'!S808+'DMP-TRIAL-BAL-2020'!S808</f>
        <v>0</v>
      </c>
      <c r="AA808" s="347">
        <f>+'NF-KSF-TRIAL-BAL-2020'!T808+'RA-TRIAL-BAL-2020'!T808+'DES-TRIAL-BAL-2020'!T808+'DMP-TRIAL-BAL-2020'!T808</f>
        <v>0</v>
      </c>
      <c r="AB808" s="51"/>
      <c r="AC808" s="8">
        <v>0</v>
      </c>
      <c r="AD808" s="9">
        <v>0</v>
      </c>
      <c r="AE808" s="122"/>
      <c r="AF808" s="121"/>
      <c r="AG808" s="27">
        <f t="shared" si="406"/>
        <v>0</v>
      </c>
      <c r="AH808" s="28">
        <f t="shared" si="407"/>
        <v>0</v>
      </c>
      <c r="AI808" s="51"/>
      <c r="AJ808" s="1497">
        <f t="shared" si="351"/>
        <v>7904</v>
      </c>
      <c r="AK808" s="8">
        <v>0</v>
      </c>
      <c r="AL808" s="9">
        <v>0</v>
      </c>
      <c r="AM808" s="326">
        <f t="shared" si="385"/>
        <v>0</v>
      </c>
      <c r="AN808" s="970">
        <f t="shared" si="385"/>
        <v>0</v>
      </c>
      <c r="AO808" s="27">
        <f t="shared" si="402"/>
        <v>0</v>
      </c>
      <c r="AP808" s="28">
        <f t="shared" si="403"/>
        <v>0</v>
      </c>
      <c r="AQ808" s="43"/>
      <c r="AR808" s="358">
        <f t="shared" si="379"/>
        <v>0</v>
      </c>
      <c r="AS808" s="359">
        <f t="shared" si="380"/>
        <v>0</v>
      </c>
      <c r="AT808" s="360">
        <f t="shared" si="381"/>
        <v>0</v>
      </c>
      <c r="AU808" s="43"/>
      <c r="AV808" s="43"/>
      <c r="AW808" s="119"/>
      <c r="AX808" s="119"/>
      <c r="AY808" s="43"/>
      <c r="AZ808" s="43"/>
      <c r="BA808" s="43"/>
      <c r="BB808" s="43"/>
      <c r="BC808" s="43"/>
      <c r="BD808" s="43"/>
    </row>
    <row r="809" spans="1:56" ht="15.75">
      <c r="A809" s="88">
        <v>7905</v>
      </c>
      <c r="B809" s="1042" t="s">
        <v>838</v>
      </c>
      <c r="C809" s="1033"/>
      <c r="D809" s="1033"/>
      <c r="E809" s="1033"/>
      <c r="F809" s="1033"/>
      <c r="G809" s="1033"/>
      <c r="H809" s="1033"/>
      <c r="I809" s="1033"/>
      <c r="J809" s="1033"/>
      <c r="K809" s="1033"/>
      <c r="L809" s="90"/>
      <c r="M809" s="51" t="s">
        <v>265</v>
      </c>
      <c r="N809" s="113">
        <f t="shared" si="382"/>
        <v>7905</v>
      </c>
      <c r="O809" s="8">
        <v>0</v>
      </c>
      <c r="P809" s="9">
        <v>0</v>
      </c>
      <c r="Q809" s="325"/>
      <c r="R809" s="324"/>
      <c r="S809" s="27">
        <f t="shared" si="404"/>
        <v>0</v>
      </c>
      <c r="T809" s="28">
        <f t="shared" si="405"/>
        <v>0</v>
      </c>
      <c r="U809" s="51"/>
      <c r="V809" s="541">
        <f>+'NF-KSF-TRIAL-BAL-2020'!O809+'RA-TRIAL-BAL-2020'!O809+'DES-TRIAL-BAL-2020'!O809+'DMP-TRIAL-BAL-2020'!O809</f>
        <v>0</v>
      </c>
      <c r="W809" s="529">
        <f>+'NF-KSF-TRIAL-BAL-2020'!P809+'RA-TRIAL-BAL-2020'!P809+'DES-TRIAL-BAL-2020'!P809+'DMP-TRIAL-BAL-2020'!P809</f>
        <v>0</v>
      </c>
      <c r="X809" s="528">
        <f>+'NF-KSF-TRIAL-BAL-2020'!Q809+'RA-TRIAL-BAL-2020'!Q809+'DES-TRIAL-BAL-2020'!Q809+'DMP-TRIAL-BAL-2020'!Q809</f>
        <v>0</v>
      </c>
      <c r="Y809" s="529">
        <f>+'NF-KSF-TRIAL-BAL-2020'!R809+'RA-TRIAL-BAL-2020'!R809+'DES-TRIAL-BAL-2020'!R809+'DMP-TRIAL-BAL-2020'!R809</f>
        <v>0</v>
      </c>
      <c r="Z809" s="528">
        <f>+'NF-KSF-TRIAL-BAL-2020'!S809+'RA-TRIAL-BAL-2020'!S809+'DES-TRIAL-BAL-2020'!S809+'DMP-TRIAL-BAL-2020'!S809</f>
        <v>0</v>
      </c>
      <c r="AA809" s="347">
        <f>+'NF-KSF-TRIAL-BAL-2020'!T809+'RA-TRIAL-BAL-2020'!T809+'DES-TRIAL-BAL-2020'!T809+'DMP-TRIAL-BAL-2020'!T809</f>
        <v>0</v>
      </c>
      <c r="AB809" s="51"/>
      <c r="AC809" s="8">
        <v>0</v>
      </c>
      <c r="AD809" s="9">
        <v>0</v>
      </c>
      <c r="AE809" s="122"/>
      <c r="AF809" s="121"/>
      <c r="AG809" s="27">
        <f t="shared" si="406"/>
        <v>0</v>
      </c>
      <c r="AH809" s="28">
        <f t="shared" si="407"/>
        <v>0</v>
      </c>
      <c r="AI809" s="51"/>
      <c r="AJ809" s="1497">
        <f t="shared" si="351"/>
        <v>7905</v>
      </c>
      <c r="AK809" s="8">
        <v>0</v>
      </c>
      <c r="AL809" s="9">
        <v>0</v>
      </c>
      <c r="AM809" s="326">
        <f t="shared" si="385"/>
        <v>0</v>
      </c>
      <c r="AN809" s="970">
        <f t="shared" si="385"/>
        <v>0</v>
      </c>
      <c r="AO809" s="27">
        <f t="shared" si="402"/>
        <v>0</v>
      </c>
      <c r="AP809" s="28">
        <f t="shared" si="403"/>
        <v>0</v>
      </c>
      <c r="AQ809" s="43"/>
      <c r="AR809" s="358">
        <f t="shared" si="379"/>
        <v>0</v>
      </c>
      <c r="AS809" s="359">
        <f t="shared" si="380"/>
        <v>0</v>
      </c>
      <c r="AT809" s="360">
        <f t="shared" si="381"/>
        <v>0</v>
      </c>
      <c r="AU809" s="43"/>
      <c r="AV809" s="43"/>
      <c r="AW809" s="119"/>
      <c r="AX809" s="119"/>
      <c r="AY809" s="43"/>
      <c r="AZ809" s="43"/>
      <c r="BA809" s="43"/>
      <c r="BB809" s="43"/>
      <c r="BC809" s="43"/>
      <c r="BD809" s="43"/>
    </row>
    <row r="810" spans="1:56" ht="15.75">
      <c r="A810" s="88">
        <v>7906</v>
      </c>
      <c r="B810" s="1042" t="s">
        <v>839</v>
      </c>
      <c r="C810" s="1033"/>
      <c r="D810" s="1033"/>
      <c r="E810" s="1033"/>
      <c r="F810" s="1033"/>
      <c r="G810" s="1033"/>
      <c r="H810" s="1033"/>
      <c r="I810" s="1033"/>
      <c r="J810" s="1033"/>
      <c r="K810" s="1033"/>
      <c r="L810" s="90"/>
      <c r="M810" s="51" t="s">
        <v>265</v>
      </c>
      <c r="N810" s="113">
        <f t="shared" si="382"/>
        <v>7906</v>
      </c>
      <c r="O810" s="8">
        <v>0</v>
      </c>
      <c r="P810" s="9">
        <v>0</v>
      </c>
      <c r="Q810" s="325"/>
      <c r="R810" s="324"/>
      <c r="S810" s="27">
        <f t="shared" si="404"/>
        <v>0</v>
      </c>
      <c r="T810" s="28">
        <f t="shared" si="405"/>
        <v>0</v>
      </c>
      <c r="U810" s="51"/>
      <c r="V810" s="541">
        <f>+'NF-KSF-TRIAL-BAL-2020'!O810+'RA-TRIAL-BAL-2020'!O810+'DES-TRIAL-BAL-2020'!O810+'DMP-TRIAL-BAL-2020'!O810</f>
        <v>0</v>
      </c>
      <c r="W810" s="529">
        <f>+'NF-KSF-TRIAL-BAL-2020'!P810+'RA-TRIAL-BAL-2020'!P810+'DES-TRIAL-BAL-2020'!P810+'DMP-TRIAL-BAL-2020'!P810</f>
        <v>0</v>
      </c>
      <c r="X810" s="528">
        <f>+'NF-KSF-TRIAL-BAL-2020'!Q810+'RA-TRIAL-BAL-2020'!Q810+'DES-TRIAL-BAL-2020'!Q810+'DMP-TRIAL-BAL-2020'!Q810</f>
        <v>0</v>
      </c>
      <c r="Y810" s="529">
        <f>+'NF-KSF-TRIAL-BAL-2020'!R810+'RA-TRIAL-BAL-2020'!R810+'DES-TRIAL-BAL-2020'!R810+'DMP-TRIAL-BAL-2020'!R810</f>
        <v>0</v>
      </c>
      <c r="Z810" s="528">
        <f>+'NF-KSF-TRIAL-BAL-2020'!S810+'RA-TRIAL-BAL-2020'!S810+'DES-TRIAL-BAL-2020'!S810+'DMP-TRIAL-BAL-2020'!S810</f>
        <v>0</v>
      </c>
      <c r="AA810" s="347">
        <f>+'NF-KSF-TRIAL-BAL-2020'!T810+'RA-TRIAL-BAL-2020'!T810+'DES-TRIAL-BAL-2020'!T810+'DMP-TRIAL-BAL-2020'!T810</f>
        <v>0</v>
      </c>
      <c r="AB810" s="51"/>
      <c r="AC810" s="8">
        <v>0</v>
      </c>
      <c r="AD810" s="9">
        <v>0</v>
      </c>
      <c r="AE810" s="325"/>
      <c r="AF810" s="324"/>
      <c r="AG810" s="27">
        <f t="shared" si="406"/>
        <v>0</v>
      </c>
      <c r="AH810" s="28">
        <f t="shared" si="407"/>
        <v>0</v>
      </c>
      <c r="AI810" s="51"/>
      <c r="AJ810" s="1497">
        <f t="shared" si="351"/>
        <v>7906</v>
      </c>
      <c r="AK810" s="8">
        <v>0</v>
      </c>
      <c r="AL810" s="9">
        <v>0</v>
      </c>
      <c r="AM810" s="326">
        <f t="shared" si="385"/>
        <v>0</v>
      </c>
      <c r="AN810" s="970">
        <f t="shared" si="385"/>
        <v>0</v>
      </c>
      <c r="AO810" s="27">
        <f t="shared" si="402"/>
        <v>0</v>
      </c>
      <c r="AP810" s="28">
        <f t="shared" si="403"/>
        <v>0</v>
      </c>
      <c r="AQ810" s="43"/>
      <c r="AR810" s="358">
        <f t="shared" si="379"/>
        <v>0</v>
      </c>
      <c r="AS810" s="359">
        <f t="shared" si="380"/>
        <v>0</v>
      </c>
      <c r="AT810" s="360">
        <f t="shared" si="381"/>
        <v>0</v>
      </c>
      <c r="AU810" s="43"/>
      <c r="AV810" s="43"/>
      <c r="AW810" s="119"/>
      <c r="AX810" s="119"/>
      <c r="AY810" s="43"/>
      <c r="AZ810" s="43"/>
      <c r="BA810" s="43"/>
      <c r="BB810" s="43"/>
      <c r="BC810" s="43"/>
      <c r="BD810" s="43"/>
    </row>
    <row r="811" spans="1:56" ht="15.75">
      <c r="A811" s="88">
        <v>7911</v>
      </c>
      <c r="B811" s="1042" t="s">
        <v>840</v>
      </c>
      <c r="C811" s="1033"/>
      <c r="D811" s="1033"/>
      <c r="E811" s="1033"/>
      <c r="F811" s="1033"/>
      <c r="G811" s="1033"/>
      <c r="H811" s="1033"/>
      <c r="I811" s="1033"/>
      <c r="J811" s="1033"/>
      <c r="K811" s="1033"/>
      <c r="L811" s="90"/>
      <c r="M811" s="51" t="s">
        <v>265</v>
      </c>
      <c r="N811" s="113">
        <f t="shared" si="382"/>
        <v>7911</v>
      </c>
      <c r="O811" s="8">
        <v>0</v>
      </c>
      <c r="P811" s="9">
        <v>0</v>
      </c>
      <c r="Q811" s="325"/>
      <c r="R811" s="324"/>
      <c r="S811" s="27">
        <f t="shared" ref="S811:S828" si="408">+IF(ABS(+O811+Q811)&gt;=ABS(P811+R811),+O811-P811+Q811-R811,0)</f>
        <v>0</v>
      </c>
      <c r="T811" s="28">
        <f t="shared" ref="T811:T828" si="409">+IF(ABS(+O811+Q811)&lt;=ABS(P811+R811),-O811+P811-Q811+R811,0)</f>
        <v>0</v>
      </c>
      <c r="U811" s="51"/>
      <c r="V811" s="541">
        <f>+'NF-KSF-TRIAL-BAL-2020'!O811+'RA-TRIAL-BAL-2020'!O811+'DES-TRIAL-BAL-2020'!O811+'DMP-TRIAL-BAL-2020'!O811</f>
        <v>0</v>
      </c>
      <c r="W811" s="529">
        <f>+'NF-KSF-TRIAL-BAL-2020'!P811+'RA-TRIAL-BAL-2020'!P811+'DES-TRIAL-BAL-2020'!P811+'DMP-TRIAL-BAL-2020'!P811</f>
        <v>0</v>
      </c>
      <c r="X811" s="528">
        <f>+'NF-KSF-TRIAL-BAL-2020'!Q811+'RA-TRIAL-BAL-2020'!Q811+'DES-TRIAL-BAL-2020'!Q811+'DMP-TRIAL-BAL-2020'!Q811</f>
        <v>0</v>
      </c>
      <c r="Y811" s="529">
        <f>+'NF-KSF-TRIAL-BAL-2020'!R811+'RA-TRIAL-BAL-2020'!R811+'DES-TRIAL-BAL-2020'!R811+'DMP-TRIAL-BAL-2020'!R811</f>
        <v>0</v>
      </c>
      <c r="Z811" s="528">
        <f>+'NF-KSF-TRIAL-BAL-2020'!S811+'RA-TRIAL-BAL-2020'!S811+'DES-TRIAL-BAL-2020'!S811+'DMP-TRIAL-BAL-2020'!S811</f>
        <v>0</v>
      </c>
      <c r="AA811" s="347">
        <f>+'NF-KSF-TRIAL-BAL-2020'!T811+'RA-TRIAL-BAL-2020'!T811+'DES-TRIAL-BAL-2020'!T811+'DMP-TRIAL-BAL-2020'!T811</f>
        <v>0</v>
      </c>
      <c r="AB811" s="51"/>
      <c r="AC811" s="8">
        <v>0</v>
      </c>
      <c r="AD811" s="9">
        <v>0</v>
      </c>
      <c r="AE811" s="325"/>
      <c r="AF811" s="324"/>
      <c r="AG811" s="27">
        <f t="shared" ref="AG811:AG828" si="410">+IF(ABS(+AC811+AE811)&gt;=ABS(AD811+AF811),+AC811-AD811+AE811-AF811,0)</f>
        <v>0</v>
      </c>
      <c r="AH811" s="28">
        <f t="shared" ref="AH811:AH828" si="411">+IF(ABS(+AC811+AE811)&lt;=ABS(AD811+AF811),-AC811+AD811-AE811+AF811,0)</f>
        <v>0</v>
      </c>
      <c r="AI811" s="51"/>
      <c r="AJ811" s="1497">
        <f t="shared" si="351"/>
        <v>7911</v>
      </c>
      <c r="AK811" s="8">
        <v>0</v>
      </c>
      <c r="AL811" s="9">
        <v>0</v>
      </c>
      <c r="AM811" s="326">
        <f t="shared" si="385"/>
        <v>0</v>
      </c>
      <c r="AN811" s="970">
        <f t="shared" si="385"/>
        <v>0</v>
      </c>
      <c r="AO811" s="27">
        <f t="shared" si="402"/>
        <v>0</v>
      </c>
      <c r="AP811" s="28">
        <f t="shared" si="403"/>
        <v>0</v>
      </c>
      <c r="AQ811" s="43"/>
      <c r="AR811" s="358">
        <f t="shared" si="379"/>
        <v>0</v>
      </c>
      <c r="AS811" s="359">
        <f t="shared" si="380"/>
        <v>0</v>
      </c>
      <c r="AT811" s="360">
        <f t="shared" si="381"/>
        <v>0</v>
      </c>
      <c r="AU811" s="43"/>
      <c r="AV811" s="43"/>
      <c r="AW811" s="119"/>
      <c r="AX811" s="119"/>
      <c r="AY811" s="43"/>
      <c r="AZ811" s="43"/>
      <c r="BA811" s="43"/>
      <c r="BB811" s="43"/>
      <c r="BC811" s="43"/>
      <c r="BD811" s="43"/>
    </row>
    <row r="812" spans="1:56" ht="15.75">
      <c r="A812" s="88">
        <v>7912</v>
      </c>
      <c r="B812" s="1042" t="s">
        <v>841</v>
      </c>
      <c r="C812" s="1033"/>
      <c r="D812" s="1033"/>
      <c r="E812" s="1033"/>
      <c r="F812" s="1033"/>
      <c r="G812" s="1033"/>
      <c r="H812" s="1033"/>
      <c r="I812" s="1033"/>
      <c r="J812" s="1033"/>
      <c r="K812" s="1033"/>
      <c r="L812" s="90"/>
      <c r="M812" s="51" t="s">
        <v>265</v>
      </c>
      <c r="N812" s="113">
        <f t="shared" si="382"/>
        <v>7912</v>
      </c>
      <c r="O812" s="8">
        <v>0</v>
      </c>
      <c r="P812" s="9">
        <v>0</v>
      </c>
      <c r="Q812" s="325"/>
      <c r="R812" s="324"/>
      <c r="S812" s="27">
        <f t="shared" si="408"/>
        <v>0</v>
      </c>
      <c r="T812" s="28">
        <f t="shared" si="409"/>
        <v>0</v>
      </c>
      <c r="U812" s="51"/>
      <c r="V812" s="541">
        <f>+'NF-KSF-TRIAL-BAL-2020'!O812+'RA-TRIAL-BAL-2020'!O812+'DES-TRIAL-BAL-2020'!O812+'DMP-TRIAL-BAL-2020'!O812</f>
        <v>0</v>
      </c>
      <c r="W812" s="529">
        <f>+'NF-KSF-TRIAL-BAL-2020'!P812+'RA-TRIAL-BAL-2020'!P812+'DES-TRIAL-BAL-2020'!P812+'DMP-TRIAL-BAL-2020'!P812</f>
        <v>0</v>
      </c>
      <c r="X812" s="528">
        <f>+'NF-KSF-TRIAL-BAL-2020'!Q812+'RA-TRIAL-BAL-2020'!Q812+'DES-TRIAL-BAL-2020'!Q812+'DMP-TRIAL-BAL-2020'!Q812</f>
        <v>0</v>
      </c>
      <c r="Y812" s="529">
        <f>+'NF-KSF-TRIAL-BAL-2020'!R812+'RA-TRIAL-BAL-2020'!R812+'DES-TRIAL-BAL-2020'!R812+'DMP-TRIAL-BAL-2020'!R812</f>
        <v>0</v>
      </c>
      <c r="Z812" s="528">
        <f>+'NF-KSF-TRIAL-BAL-2020'!S812+'RA-TRIAL-BAL-2020'!S812+'DES-TRIAL-BAL-2020'!S812+'DMP-TRIAL-BAL-2020'!S812</f>
        <v>0</v>
      </c>
      <c r="AA812" s="347">
        <f>+'NF-KSF-TRIAL-BAL-2020'!T812+'RA-TRIAL-BAL-2020'!T812+'DES-TRIAL-BAL-2020'!T812+'DMP-TRIAL-BAL-2020'!T812</f>
        <v>0</v>
      </c>
      <c r="AB812" s="51"/>
      <c r="AC812" s="8">
        <v>0</v>
      </c>
      <c r="AD812" s="9">
        <v>0</v>
      </c>
      <c r="AE812" s="122"/>
      <c r="AF812" s="121"/>
      <c r="AG812" s="27">
        <f t="shared" si="410"/>
        <v>0</v>
      </c>
      <c r="AH812" s="28">
        <f t="shared" si="411"/>
        <v>0</v>
      </c>
      <c r="AI812" s="51"/>
      <c r="AJ812" s="1497">
        <f t="shared" si="351"/>
        <v>7912</v>
      </c>
      <c r="AK812" s="8">
        <v>0</v>
      </c>
      <c r="AL812" s="9">
        <v>0</v>
      </c>
      <c r="AM812" s="326">
        <f t="shared" si="385"/>
        <v>0</v>
      </c>
      <c r="AN812" s="970">
        <f t="shared" si="385"/>
        <v>0</v>
      </c>
      <c r="AO812" s="27">
        <f t="shared" si="402"/>
        <v>0</v>
      </c>
      <c r="AP812" s="28">
        <f t="shared" si="403"/>
        <v>0</v>
      </c>
      <c r="AQ812" s="43"/>
      <c r="AR812" s="358">
        <f t="shared" si="379"/>
        <v>0</v>
      </c>
      <c r="AS812" s="359">
        <f t="shared" si="380"/>
        <v>0</v>
      </c>
      <c r="AT812" s="360">
        <f t="shared" si="381"/>
        <v>0</v>
      </c>
      <c r="AU812" s="43"/>
      <c r="AV812" s="43"/>
      <c r="AW812" s="119"/>
      <c r="AX812" s="119"/>
      <c r="AY812" s="43"/>
      <c r="AZ812" s="43"/>
      <c r="BA812" s="43"/>
      <c r="BB812" s="43"/>
      <c r="BC812" s="43"/>
      <c r="BD812" s="43"/>
    </row>
    <row r="813" spans="1:56" ht="15.75">
      <c r="A813" s="88">
        <v>7915</v>
      </c>
      <c r="B813" s="1042" t="s">
        <v>842</v>
      </c>
      <c r="C813" s="1033"/>
      <c r="D813" s="1033"/>
      <c r="E813" s="1033"/>
      <c r="F813" s="1033"/>
      <c r="G813" s="1033"/>
      <c r="H813" s="1033"/>
      <c r="I813" s="1033"/>
      <c r="J813" s="1033"/>
      <c r="K813" s="1033"/>
      <c r="L813" s="90"/>
      <c r="M813" s="51" t="s">
        <v>265</v>
      </c>
      <c r="N813" s="113">
        <f>+A813</f>
        <v>7915</v>
      </c>
      <c r="O813" s="8">
        <v>0</v>
      </c>
      <c r="P813" s="9">
        <v>0</v>
      </c>
      <c r="Q813" s="325"/>
      <c r="R813" s="324"/>
      <c r="S813" s="27">
        <f t="shared" si="408"/>
        <v>0</v>
      </c>
      <c r="T813" s="28">
        <f t="shared" si="409"/>
        <v>0</v>
      </c>
      <c r="U813" s="51"/>
      <c r="V813" s="541">
        <f>+'NF-KSF-TRIAL-BAL-2020'!O813+'RA-TRIAL-BAL-2020'!O813+'DES-TRIAL-BAL-2020'!O813+'DMP-TRIAL-BAL-2020'!O813</f>
        <v>0</v>
      </c>
      <c r="W813" s="529">
        <f>+'NF-KSF-TRIAL-BAL-2020'!P813+'RA-TRIAL-BAL-2020'!P813+'DES-TRIAL-BAL-2020'!P813+'DMP-TRIAL-BAL-2020'!P813</f>
        <v>0</v>
      </c>
      <c r="X813" s="528">
        <f>+'NF-KSF-TRIAL-BAL-2020'!Q813+'RA-TRIAL-BAL-2020'!Q813+'DES-TRIAL-BAL-2020'!Q813+'DMP-TRIAL-BAL-2020'!Q813</f>
        <v>0</v>
      </c>
      <c r="Y813" s="529">
        <f>+'NF-KSF-TRIAL-BAL-2020'!R813+'RA-TRIAL-BAL-2020'!R813+'DES-TRIAL-BAL-2020'!R813+'DMP-TRIAL-BAL-2020'!R813</f>
        <v>0</v>
      </c>
      <c r="Z813" s="528">
        <f>+'NF-KSF-TRIAL-BAL-2020'!S813+'RA-TRIAL-BAL-2020'!S813+'DES-TRIAL-BAL-2020'!S813+'DMP-TRIAL-BAL-2020'!S813</f>
        <v>0</v>
      </c>
      <c r="AA813" s="347">
        <f>+'NF-KSF-TRIAL-BAL-2020'!T813+'RA-TRIAL-BAL-2020'!T813+'DES-TRIAL-BAL-2020'!T813+'DMP-TRIAL-BAL-2020'!T813</f>
        <v>0</v>
      </c>
      <c r="AB813" s="51"/>
      <c r="AC813" s="8">
        <v>0</v>
      </c>
      <c r="AD813" s="9">
        <v>0</v>
      </c>
      <c r="AE813" s="122"/>
      <c r="AF813" s="121"/>
      <c r="AG813" s="27">
        <f t="shared" si="410"/>
        <v>0</v>
      </c>
      <c r="AH813" s="28">
        <f t="shared" si="411"/>
        <v>0</v>
      </c>
      <c r="AI813" s="51"/>
      <c r="AJ813" s="1497">
        <f>+N813</f>
        <v>7915</v>
      </c>
      <c r="AK813" s="8">
        <v>0</v>
      </c>
      <c r="AL813" s="9">
        <v>0</v>
      </c>
      <c r="AM813" s="326">
        <f>+ROUND(+Q813+X813+AE813,2)</f>
        <v>0</v>
      </c>
      <c r="AN813" s="970">
        <f>+ROUND(+R813+Y813+AF813,2)</f>
        <v>0</v>
      </c>
      <c r="AO813" s="27">
        <f t="shared" si="402"/>
        <v>0</v>
      </c>
      <c r="AP813" s="28">
        <f t="shared" si="403"/>
        <v>0</v>
      </c>
      <c r="AQ813" s="43"/>
      <c r="AR813" s="358">
        <f>+ROUND(+SUM(AK813-AL813)-SUM(O813-P813)-SUM(V813-W813)-SUM(AC813-AD813),2)</f>
        <v>0</v>
      </c>
      <c r="AS813" s="359">
        <f>+ROUND(+SUM(AM813-AN813)-SUM(Q813-R813)-SUM(X813-Y813)-SUM(AE813-AF813),2)</f>
        <v>0</v>
      </c>
      <c r="AT813" s="360">
        <f>+ROUND(+SUM(AO813-AP813)-SUM(S813-T813)-SUM(Z813-AA813)-SUM(AG813-AH813),2)</f>
        <v>0</v>
      </c>
      <c r="AU813" s="43"/>
      <c r="AV813" s="43"/>
      <c r="AW813" s="119"/>
      <c r="AX813" s="119"/>
      <c r="AY813" s="43"/>
      <c r="AZ813" s="43"/>
      <c r="BA813" s="43"/>
      <c r="BB813" s="43"/>
      <c r="BC813" s="43"/>
      <c r="BD813" s="43"/>
    </row>
    <row r="814" spans="1:56" ht="15.75">
      <c r="A814" s="88">
        <v>7916</v>
      </c>
      <c r="B814" s="1042" t="s">
        <v>843</v>
      </c>
      <c r="C814" s="1033"/>
      <c r="D814" s="1033"/>
      <c r="E814" s="1033"/>
      <c r="F814" s="1033"/>
      <c r="G814" s="1033"/>
      <c r="H814" s="1033"/>
      <c r="I814" s="1033"/>
      <c r="J814" s="1033"/>
      <c r="K814" s="1033"/>
      <c r="L814" s="90"/>
      <c r="M814" s="51" t="s">
        <v>265</v>
      </c>
      <c r="N814" s="113">
        <f>+A814</f>
        <v>7916</v>
      </c>
      <c r="O814" s="8">
        <v>0</v>
      </c>
      <c r="P814" s="9">
        <v>0</v>
      </c>
      <c r="Q814" s="325"/>
      <c r="R814" s="324"/>
      <c r="S814" s="27">
        <f t="shared" si="408"/>
        <v>0</v>
      </c>
      <c r="T814" s="28">
        <f t="shared" si="409"/>
        <v>0</v>
      </c>
      <c r="U814" s="51"/>
      <c r="V814" s="541">
        <f>+'NF-KSF-TRIAL-BAL-2020'!O814+'RA-TRIAL-BAL-2020'!O814+'DES-TRIAL-BAL-2020'!O814+'DMP-TRIAL-BAL-2020'!O814</f>
        <v>0</v>
      </c>
      <c r="W814" s="529">
        <f>+'NF-KSF-TRIAL-BAL-2020'!P814+'RA-TRIAL-BAL-2020'!P814+'DES-TRIAL-BAL-2020'!P814+'DMP-TRIAL-BAL-2020'!P814</f>
        <v>0</v>
      </c>
      <c r="X814" s="528">
        <f>+'NF-KSF-TRIAL-BAL-2020'!Q814+'RA-TRIAL-BAL-2020'!Q814+'DES-TRIAL-BAL-2020'!Q814+'DMP-TRIAL-BAL-2020'!Q814</f>
        <v>0</v>
      </c>
      <c r="Y814" s="529">
        <f>+'NF-KSF-TRIAL-BAL-2020'!R814+'RA-TRIAL-BAL-2020'!R814+'DES-TRIAL-BAL-2020'!R814+'DMP-TRIAL-BAL-2020'!R814</f>
        <v>0</v>
      </c>
      <c r="Z814" s="528">
        <f>+'NF-KSF-TRIAL-BAL-2020'!S814+'RA-TRIAL-BAL-2020'!S814+'DES-TRIAL-BAL-2020'!S814+'DMP-TRIAL-BAL-2020'!S814</f>
        <v>0</v>
      </c>
      <c r="AA814" s="347">
        <f>+'NF-KSF-TRIAL-BAL-2020'!T814+'RA-TRIAL-BAL-2020'!T814+'DES-TRIAL-BAL-2020'!T814+'DMP-TRIAL-BAL-2020'!T814</f>
        <v>0</v>
      </c>
      <c r="AB814" s="51"/>
      <c r="AC814" s="8">
        <v>0</v>
      </c>
      <c r="AD814" s="9">
        <v>0</v>
      </c>
      <c r="AE814" s="325"/>
      <c r="AF814" s="324"/>
      <c r="AG814" s="27">
        <f t="shared" si="410"/>
        <v>0</v>
      </c>
      <c r="AH814" s="28">
        <f t="shared" si="411"/>
        <v>0</v>
      </c>
      <c r="AI814" s="51"/>
      <c r="AJ814" s="1497">
        <f>+N814</f>
        <v>7916</v>
      </c>
      <c r="AK814" s="8">
        <v>0</v>
      </c>
      <c r="AL814" s="9">
        <v>0</v>
      </c>
      <c r="AM814" s="326">
        <f>+ROUND(+Q814+X814+AE814,2)</f>
        <v>0</v>
      </c>
      <c r="AN814" s="970">
        <f>+ROUND(+R814+Y814+AF814,2)</f>
        <v>0</v>
      </c>
      <c r="AO814" s="27">
        <f t="shared" si="402"/>
        <v>0</v>
      </c>
      <c r="AP814" s="28">
        <f t="shared" si="403"/>
        <v>0</v>
      </c>
      <c r="AQ814" s="43"/>
      <c r="AR814" s="358">
        <f>+ROUND(+SUM(AK814-AL814)-SUM(O814-P814)-SUM(V814-W814)-SUM(AC814-AD814),2)</f>
        <v>0</v>
      </c>
      <c r="AS814" s="359">
        <f>+ROUND(+SUM(AM814-AN814)-SUM(Q814-R814)-SUM(X814-Y814)-SUM(AE814-AF814),2)</f>
        <v>0</v>
      </c>
      <c r="AT814" s="360">
        <f>+ROUND(+SUM(AO814-AP814)-SUM(S814-T814)-SUM(Z814-AA814)-SUM(AG814-AH814),2)</f>
        <v>0</v>
      </c>
      <c r="AU814" s="43"/>
      <c r="AV814" s="43"/>
      <c r="AW814" s="119"/>
      <c r="AX814" s="119"/>
      <c r="AY814" s="43"/>
      <c r="AZ814" s="43"/>
      <c r="BA814" s="43"/>
      <c r="BB814" s="43"/>
      <c r="BC814" s="43"/>
      <c r="BD814" s="43"/>
    </row>
    <row r="815" spans="1:56" ht="15.75">
      <c r="A815" s="88">
        <v>7917</v>
      </c>
      <c r="B815" s="1033" t="s">
        <v>844</v>
      </c>
      <c r="C815" s="1033"/>
      <c r="D815" s="1033"/>
      <c r="E815" s="1033"/>
      <c r="F815" s="1033"/>
      <c r="G815" s="1033"/>
      <c r="H815" s="1033"/>
      <c r="I815" s="1033"/>
      <c r="J815" s="1033"/>
      <c r="K815" s="1033"/>
      <c r="L815" s="90"/>
      <c r="M815" s="51" t="s">
        <v>265</v>
      </c>
      <c r="N815" s="113">
        <f t="shared" si="382"/>
        <v>7917</v>
      </c>
      <c r="O815" s="8">
        <v>0</v>
      </c>
      <c r="P815" s="9">
        <v>0</v>
      </c>
      <c r="Q815" s="325"/>
      <c r="R815" s="324"/>
      <c r="S815" s="27">
        <f t="shared" si="408"/>
        <v>0</v>
      </c>
      <c r="T815" s="28">
        <f t="shared" si="409"/>
        <v>0</v>
      </c>
      <c r="U815" s="51"/>
      <c r="V815" s="541">
        <f>+'NF-KSF-TRIAL-BAL-2020'!O815+'RA-TRIAL-BAL-2020'!O815+'DES-TRIAL-BAL-2020'!O815+'DMP-TRIAL-BAL-2020'!O815</f>
        <v>0</v>
      </c>
      <c r="W815" s="529">
        <f>+'NF-KSF-TRIAL-BAL-2020'!P815+'RA-TRIAL-BAL-2020'!P815+'DES-TRIAL-BAL-2020'!P815+'DMP-TRIAL-BAL-2020'!P815</f>
        <v>0</v>
      </c>
      <c r="X815" s="528">
        <f>+'NF-KSF-TRIAL-BAL-2020'!Q815+'RA-TRIAL-BAL-2020'!Q815+'DES-TRIAL-BAL-2020'!Q815+'DMP-TRIAL-BAL-2020'!Q815</f>
        <v>0</v>
      </c>
      <c r="Y815" s="529">
        <f>+'NF-KSF-TRIAL-BAL-2020'!R815+'RA-TRIAL-BAL-2020'!R815+'DES-TRIAL-BAL-2020'!R815+'DMP-TRIAL-BAL-2020'!R815</f>
        <v>0</v>
      </c>
      <c r="Z815" s="528">
        <f>+'NF-KSF-TRIAL-BAL-2020'!S815+'RA-TRIAL-BAL-2020'!S815+'DES-TRIAL-BAL-2020'!S815+'DMP-TRIAL-BAL-2020'!S815</f>
        <v>0</v>
      </c>
      <c r="AA815" s="347">
        <f>+'NF-KSF-TRIAL-BAL-2020'!T815+'RA-TRIAL-BAL-2020'!T815+'DES-TRIAL-BAL-2020'!T815+'DMP-TRIAL-BAL-2020'!T815</f>
        <v>0</v>
      </c>
      <c r="AB815" s="51"/>
      <c r="AC815" s="8">
        <v>0</v>
      </c>
      <c r="AD815" s="9">
        <v>0</v>
      </c>
      <c r="AE815" s="325"/>
      <c r="AF815" s="324"/>
      <c r="AG815" s="27">
        <f t="shared" si="410"/>
        <v>0</v>
      </c>
      <c r="AH815" s="28">
        <f t="shared" si="411"/>
        <v>0</v>
      </c>
      <c r="AI815" s="51"/>
      <c r="AJ815" s="1497">
        <f t="shared" si="351"/>
        <v>7917</v>
      </c>
      <c r="AK815" s="8">
        <v>0</v>
      </c>
      <c r="AL815" s="9">
        <v>0</v>
      </c>
      <c r="AM815" s="326">
        <f t="shared" si="385"/>
        <v>0</v>
      </c>
      <c r="AN815" s="970">
        <f t="shared" si="385"/>
        <v>0</v>
      </c>
      <c r="AO815" s="27">
        <f t="shared" si="402"/>
        <v>0</v>
      </c>
      <c r="AP815" s="28">
        <f t="shared" si="403"/>
        <v>0</v>
      </c>
      <c r="AQ815" s="43"/>
      <c r="AR815" s="358">
        <f t="shared" si="379"/>
        <v>0</v>
      </c>
      <c r="AS815" s="359">
        <f t="shared" si="380"/>
        <v>0</v>
      </c>
      <c r="AT815" s="360">
        <f t="shared" si="381"/>
        <v>0</v>
      </c>
      <c r="AU815" s="43"/>
      <c r="AV815" s="43"/>
      <c r="AW815" s="119"/>
      <c r="AX815" s="119"/>
      <c r="AY815" s="43"/>
      <c r="AZ815" s="43"/>
      <c r="BA815" s="43"/>
      <c r="BB815" s="43"/>
      <c r="BC815" s="43"/>
      <c r="BD815" s="43"/>
    </row>
    <row r="816" spans="1:56" ht="15.75">
      <c r="A816" s="88">
        <v>7918</v>
      </c>
      <c r="B816" s="1033" t="s">
        <v>845</v>
      </c>
      <c r="C816" s="1033"/>
      <c r="D816" s="1033"/>
      <c r="E816" s="1033"/>
      <c r="F816" s="1033"/>
      <c r="G816" s="1033"/>
      <c r="H816" s="1033"/>
      <c r="I816" s="1033"/>
      <c r="J816" s="1033"/>
      <c r="K816" s="1033"/>
      <c r="L816" s="90"/>
      <c r="M816" s="51" t="s">
        <v>265</v>
      </c>
      <c r="N816" s="113">
        <f t="shared" si="382"/>
        <v>7918</v>
      </c>
      <c r="O816" s="8">
        <v>0</v>
      </c>
      <c r="P816" s="9">
        <v>0</v>
      </c>
      <c r="Q816" s="325"/>
      <c r="R816" s="324"/>
      <c r="S816" s="27">
        <f t="shared" si="408"/>
        <v>0</v>
      </c>
      <c r="T816" s="28">
        <f t="shared" si="409"/>
        <v>0</v>
      </c>
      <c r="U816" s="51"/>
      <c r="V816" s="541">
        <f>+'NF-KSF-TRIAL-BAL-2020'!O816+'RA-TRIAL-BAL-2020'!O816+'DES-TRIAL-BAL-2020'!O816+'DMP-TRIAL-BAL-2020'!O816</f>
        <v>0</v>
      </c>
      <c r="W816" s="529">
        <f>+'NF-KSF-TRIAL-BAL-2020'!P816+'RA-TRIAL-BAL-2020'!P816+'DES-TRIAL-BAL-2020'!P816+'DMP-TRIAL-BAL-2020'!P816</f>
        <v>0</v>
      </c>
      <c r="X816" s="528">
        <f>+'NF-KSF-TRIAL-BAL-2020'!Q816+'RA-TRIAL-BAL-2020'!Q816+'DES-TRIAL-BAL-2020'!Q816+'DMP-TRIAL-BAL-2020'!Q816</f>
        <v>0</v>
      </c>
      <c r="Y816" s="529">
        <f>+'NF-KSF-TRIAL-BAL-2020'!R816+'RA-TRIAL-BAL-2020'!R816+'DES-TRIAL-BAL-2020'!R816+'DMP-TRIAL-BAL-2020'!R816</f>
        <v>0</v>
      </c>
      <c r="Z816" s="528">
        <f>+'NF-KSF-TRIAL-BAL-2020'!S816+'RA-TRIAL-BAL-2020'!S816+'DES-TRIAL-BAL-2020'!S816+'DMP-TRIAL-BAL-2020'!S816</f>
        <v>0</v>
      </c>
      <c r="AA816" s="347">
        <f>+'NF-KSF-TRIAL-BAL-2020'!T816+'RA-TRIAL-BAL-2020'!T816+'DES-TRIAL-BAL-2020'!T816+'DMP-TRIAL-BAL-2020'!T816</f>
        <v>0</v>
      </c>
      <c r="AB816" s="51"/>
      <c r="AC816" s="8">
        <v>0</v>
      </c>
      <c r="AD816" s="9">
        <v>0</v>
      </c>
      <c r="AE816" s="122"/>
      <c r="AF816" s="121"/>
      <c r="AG816" s="27">
        <f t="shared" si="410"/>
        <v>0</v>
      </c>
      <c r="AH816" s="28">
        <f t="shared" si="411"/>
        <v>0</v>
      </c>
      <c r="AI816" s="51"/>
      <c r="AJ816" s="1497">
        <f t="shared" si="351"/>
        <v>7918</v>
      </c>
      <c r="AK816" s="8">
        <v>0</v>
      </c>
      <c r="AL816" s="9">
        <v>0</v>
      </c>
      <c r="AM816" s="326">
        <f t="shared" si="385"/>
        <v>0</v>
      </c>
      <c r="AN816" s="970">
        <f t="shared" si="385"/>
        <v>0</v>
      </c>
      <c r="AO816" s="27">
        <f t="shared" si="402"/>
        <v>0</v>
      </c>
      <c r="AP816" s="28">
        <f t="shared" si="403"/>
        <v>0</v>
      </c>
      <c r="AQ816" s="43"/>
      <c r="AR816" s="358">
        <f t="shared" si="379"/>
        <v>0</v>
      </c>
      <c r="AS816" s="359">
        <f t="shared" si="380"/>
        <v>0</v>
      </c>
      <c r="AT816" s="360">
        <f t="shared" si="381"/>
        <v>0</v>
      </c>
      <c r="AU816" s="43"/>
      <c r="AV816" s="43"/>
      <c r="AW816" s="119"/>
      <c r="AX816" s="119"/>
      <c r="AY816" s="43"/>
      <c r="AZ816" s="43"/>
      <c r="BA816" s="43"/>
      <c r="BB816" s="43"/>
      <c r="BC816" s="43"/>
      <c r="BD816" s="43"/>
    </row>
    <row r="817" spans="1:56" ht="15.75">
      <c r="A817" s="88">
        <v>7922</v>
      </c>
      <c r="B817" s="1033" t="s">
        <v>846</v>
      </c>
      <c r="C817" s="1033"/>
      <c r="D817" s="1033"/>
      <c r="E817" s="1033"/>
      <c r="F817" s="1033"/>
      <c r="G817" s="1033"/>
      <c r="H817" s="1033"/>
      <c r="I817" s="1033"/>
      <c r="J817" s="1033"/>
      <c r="K817" s="1033"/>
      <c r="L817" s="90"/>
      <c r="M817" s="51" t="s">
        <v>265</v>
      </c>
      <c r="N817" s="113">
        <f t="shared" si="382"/>
        <v>7922</v>
      </c>
      <c r="O817" s="8">
        <v>0</v>
      </c>
      <c r="P817" s="9">
        <v>0</v>
      </c>
      <c r="Q817" s="325"/>
      <c r="R817" s="324"/>
      <c r="S817" s="27">
        <f t="shared" si="408"/>
        <v>0</v>
      </c>
      <c r="T817" s="28">
        <f t="shared" si="409"/>
        <v>0</v>
      </c>
      <c r="U817" s="51"/>
      <c r="V817" s="541">
        <f>+'NF-KSF-TRIAL-BAL-2020'!O817+'RA-TRIAL-BAL-2020'!O817+'DES-TRIAL-BAL-2020'!O817+'DMP-TRIAL-BAL-2020'!O817</f>
        <v>0</v>
      </c>
      <c r="W817" s="529">
        <f>+'NF-KSF-TRIAL-BAL-2020'!P817+'RA-TRIAL-BAL-2020'!P817+'DES-TRIAL-BAL-2020'!P817+'DMP-TRIAL-BAL-2020'!P817</f>
        <v>0</v>
      </c>
      <c r="X817" s="528">
        <f>+'NF-KSF-TRIAL-BAL-2020'!Q817+'RA-TRIAL-BAL-2020'!Q817+'DES-TRIAL-BAL-2020'!Q817+'DMP-TRIAL-BAL-2020'!Q817</f>
        <v>0</v>
      </c>
      <c r="Y817" s="529">
        <f>+'NF-KSF-TRIAL-BAL-2020'!R817+'RA-TRIAL-BAL-2020'!R817+'DES-TRIAL-BAL-2020'!R817+'DMP-TRIAL-BAL-2020'!R817</f>
        <v>0</v>
      </c>
      <c r="Z817" s="528">
        <f>+'NF-KSF-TRIAL-BAL-2020'!S817+'RA-TRIAL-BAL-2020'!S817+'DES-TRIAL-BAL-2020'!S817+'DMP-TRIAL-BAL-2020'!S817</f>
        <v>0</v>
      </c>
      <c r="AA817" s="347">
        <f>+'NF-KSF-TRIAL-BAL-2020'!T817+'RA-TRIAL-BAL-2020'!T817+'DES-TRIAL-BAL-2020'!T817+'DMP-TRIAL-BAL-2020'!T817</f>
        <v>0</v>
      </c>
      <c r="AB817" s="51"/>
      <c r="AC817" s="8">
        <v>0</v>
      </c>
      <c r="AD817" s="9">
        <v>0</v>
      </c>
      <c r="AE817" s="122"/>
      <c r="AF817" s="121"/>
      <c r="AG817" s="27">
        <f t="shared" si="410"/>
        <v>0</v>
      </c>
      <c r="AH817" s="28">
        <f t="shared" si="411"/>
        <v>0</v>
      </c>
      <c r="AI817" s="51"/>
      <c r="AJ817" s="1497">
        <f t="shared" si="351"/>
        <v>7922</v>
      </c>
      <c r="AK817" s="8">
        <v>0</v>
      </c>
      <c r="AL817" s="9">
        <v>0</v>
      </c>
      <c r="AM817" s="326">
        <f t="shared" si="385"/>
        <v>0</v>
      </c>
      <c r="AN817" s="970">
        <f t="shared" si="385"/>
        <v>0</v>
      </c>
      <c r="AO817" s="27">
        <f t="shared" si="402"/>
        <v>0</v>
      </c>
      <c r="AP817" s="28">
        <f t="shared" si="403"/>
        <v>0</v>
      </c>
      <c r="AQ817" s="43"/>
      <c r="AR817" s="358">
        <f t="shared" si="379"/>
        <v>0</v>
      </c>
      <c r="AS817" s="359">
        <f t="shared" si="380"/>
        <v>0</v>
      </c>
      <c r="AT817" s="360">
        <f t="shared" si="381"/>
        <v>0</v>
      </c>
      <c r="AU817" s="43"/>
      <c r="AV817" s="43"/>
      <c r="AW817" s="119"/>
      <c r="AX817" s="119"/>
      <c r="AY817" s="43"/>
      <c r="AZ817" s="43"/>
      <c r="BA817" s="43"/>
      <c r="BB817" s="43"/>
      <c r="BC817" s="43"/>
      <c r="BD817" s="43"/>
    </row>
    <row r="818" spans="1:56" ht="15.75">
      <c r="A818" s="88">
        <v>7923</v>
      </c>
      <c r="B818" s="1033" t="s">
        <v>847</v>
      </c>
      <c r="C818" s="1033"/>
      <c r="D818" s="1033"/>
      <c r="E818" s="1033"/>
      <c r="F818" s="1033"/>
      <c r="G818" s="1033"/>
      <c r="H818" s="1033"/>
      <c r="I818" s="1033"/>
      <c r="J818" s="1033"/>
      <c r="K818" s="1033"/>
      <c r="L818" s="90"/>
      <c r="M818" s="51" t="s">
        <v>265</v>
      </c>
      <c r="N818" s="113">
        <f t="shared" si="382"/>
        <v>7923</v>
      </c>
      <c r="O818" s="8">
        <v>0</v>
      </c>
      <c r="P818" s="9">
        <v>0</v>
      </c>
      <c r="Q818" s="325"/>
      <c r="R818" s="324"/>
      <c r="S818" s="27">
        <f t="shared" si="408"/>
        <v>0</v>
      </c>
      <c r="T818" s="28">
        <f t="shared" si="409"/>
        <v>0</v>
      </c>
      <c r="U818" s="51"/>
      <c r="V818" s="541">
        <f>+'NF-KSF-TRIAL-BAL-2020'!O818+'RA-TRIAL-BAL-2020'!O818+'DES-TRIAL-BAL-2020'!O818+'DMP-TRIAL-BAL-2020'!O818</f>
        <v>0</v>
      </c>
      <c r="W818" s="529">
        <f>+'NF-KSF-TRIAL-BAL-2020'!P818+'RA-TRIAL-BAL-2020'!P818+'DES-TRIAL-BAL-2020'!P818+'DMP-TRIAL-BAL-2020'!P818</f>
        <v>0</v>
      </c>
      <c r="X818" s="528">
        <f>+'NF-KSF-TRIAL-BAL-2020'!Q818+'RA-TRIAL-BAL-2020'!Q818+'DES-TRIAL-BAL-2020'!Q818+'DMP-TRIAL-BAL-2020'!Q818</f>
        <v>0</v>
      </c>
      <c r="Y818" s="529">
        <f>+'NF-KSF-TRIAL-BAL-2020'!R818+'RA-TRIAL-BAL-2020'!R818+'DES-TRIAL-BAL-2020'!R818+'DMP-TRIAL-BAL-2020'!R818</f>
        <v>0</v>
      </c>
      <c r="Z818" s="528">
        <f>+'NF-KSF-TRIAL-BAL-2020'!S818+'RA-TRIAL-BAL-2020'!S818+'DES-TRIAL-BAL-2020'!S818+'DMP-TRIAL-BAL-2020'!S818</f>
        <v>0</v>
      </c>
      <c r="AA818" s="347">
        <f>+'NF-KSF-TRIAL-BAL-2020'!T818+'RA-TRIAL-BAL-2020'!T818+'DES-TRIAL-BAL-2020'!T818+'DMP-TRIAL-BAL-2020'!T818</f>
        <v>0</v>
      </c>
      <c r="AB818" s="51"/>
      <c r="AC818" s="8">
        <v>0</v>
      </c>
      <c r="AD818" s="9">
        <v>0</v>
      </c>
      <c r="AE818" s="325"/>
      <c r="AF818" s="324"/>
      <c r="AG818" s="27">
        <f t="shared" si="410"/>
        <v>0</v>
      </c>
      <c r="AH818" s="28">
        <f t="shared" si="411"/>
        <v>0</v>
      </c>
      <c r="AI818" s="51"/>
      <c r="AJ818" s="1497">
        <f t="shared" si="351"/>
        <v>7923</v>
      </c>
      <c r="AK818" s="8">
        <v>0</v>
      </c>
      <c r="AL818" s="9">
        <v>0</v>
      </c>
      <c r="AM818" s="326">
        <f t="shared" si="385"/>
        <v>0</v>
      </c>
      <c r="AN818" s="970">
        <f t="shared" si="385"/>
        <v>0</v>
      </c>
      <c r="AO818" s="27">
        <f t="shared" si="402"/>
        <v>0</v>
      </c>
      <c r="AP818" s="28">
        <f t="shared" si="403"/>
        <v>0</v>
      </c>
      <c r="AQ818" s="43"/>
      <c r="AR818" s="358">
        <f t="shared" si="379"/>
        <v>0</v>
      </c>
      <c r="AS818" s="359">
        <f t="shared" si="380"/>
        <v>0</v>
      </c>
      <c r="AT818" s="360">
        <f t="shared" si="381"/>
        <v>0</v>
      </c>
      <c r="AU818" s="43"/>
      <c r="AV818" s="43"/>
      <c r="AW818" s="119"/>
      <c r="AX818" s="119"/>
      <c r="AY818" s="43"/>
      <c r="AZ818" s="43"/>
      <c r="BA818" s="43"/>
      <c r="BB818" s="43"/>
      <c r="BC818" s="43"/>
      <c r="BD818" s="43"/>
    </row>
    <row r="819" spans="1:56" ht="15.75">
      <c r="A819" s="88">
        <v>7924</v>
      </c>
      <c r="B819" s="1033" t="s">
        <v>848</v>
      </c>
      <c r="C819" s="1033"/>
      <c r="D819" s="1033"/>
      <c r="E819" s="1033"/>
      <c r="F819" s="1033"/>
      <c r="G819" s="1033"/>
      <c r="H819" s="1033"/>
      <c r="I819" s="1033"/>
      <c r="J819" s="1033"/>
      <c r="K819" s="1033"/>
      <c r="L819" s="90"/>
      <c r="M819" s="51" t="s">
        <v>265</v>
      </c>
      <c r="N819" s="113">
        <f t="shared" si="382"/>
        <v>7924</v>
      </c>
      <c r="O819" s="8">
        <v>0</v>
      </c>
      <c r="P819" s="9">
        <v>0</v>
      </c>
      <c r="Q819" s="325"/>
      <c r="R819" s="324"/>
      <c r="S819" s="27">
        <f t="shared" si="408"/>
        <v>0</v>
      </c>
      <c r="T819" s="28">
        <f t="shared" si="409"/>
        <v>0</v>
      </c>
      <c r="U819" s="51"/>
      <c r="V819" s="541">
        <f>+'NF-KSF-TRIAL-BAL-2020'!O819+'RA-TRIAL-BAL-2020'!O819+'DES-TRIAL-BAL-2020'!O819+'DMP-TRIAL-BAL-2020'!O819</f>
        <v>0</v>
      </c>
      <c r="W819" s="529">
        <f>+'NF-KSF-TRIAL-BAL-2020'!P819+'RA-TRIAL-BAL-2020'!P819+'DES-TRIAL-BAL-2020'!P819+'DMP-TRIAL-BAL-2020'!P819</f>
        <v>0</v>
      </c>
      <c r="X819" s="528">
        <f>+'NF-KSF-TRIAL-BAL-2020'!Q819+'RA-TRIAL-BAL-2020'!Q819+'DES-TRIAL-BAL-2020'!Q819+'DMP-TRIAL-BAL-2020'!Q819</f>
        <v>0</v>
      </c>
      <c r="Y819" s="529">
        <f>+'NF-KSF-TRIAL-BAL-2020'!R819+'RA-TRIAL-BAL-2020'!R819+'DES-TRIAL-BAL-2020'!R819+'DMP-TRIAL-BAL-2020'!R819</f>
        <v>0</v>
      </c>
      <c r="Z819" s="528">
        <f>+'NF-KSF-TRIAL-BAL-2020'!S819+'RA-TRIAL-BAL-2020'!S819+'DES-TRIAL-BAL-2020'!S819+'DMP-TRIAL-BAL-2020'!S819</f>
        <v>0</v>
      </c>
      <c r="AA819" s="347">
        <f>+'NF-KSF-TRIAL-BAL-2020'!T819+'RA-TRIAL-BAL-2020'!T819+'DES-TRIAL-BAL-2020'!T819+'DMP-TRIAL-BAL-2020'!T819</f>
        <v>0</v>
      </c>
      <c r="AB819" s="51"/>
      <c r="AC819" s="8">
        <v>0</v>
      </c>
      <c r="AD819" s="9">
        <v>0</v>
      </c>
      <c r="AE819" s="122"/>
      <c r="AF819" s="121"/>
      <c r="AG819" s="27">
        <f t="shared" si="410"/>
        <v>0</v>
      </c>
      <c r="AH819" s="28">
        <f t="shared" si="411"/>
        <v>0</v>
      </c>
      <c r="AI819" s="51"/>
      <c r="AJ819" s="1497">
        <f t="shared" si="351"/>
        <v>7924</v>
      </c>
      <c r="AK819" s="8">
        <v>0</v>
      </c>
      <c r="AL819" s="9">
        <v>0</v>
      </c>
      <c r="AM819" s="326">
        <f t="shared" si="385"/>
        <v>0</v>
      </c>
      <c r="AN819" s="970">
        <f t="shared" si="385"/>
        <v>0</v>
      </c>
      <c r="AO819" s="27">
        <f t="shared" si="402"/>
        <v>0</v>
      </c>
      <c r="AP819" s="28">
        <f t="shared" si="403"/>
        <v>0</v>
      </c>
      <c r="AQ819" s="43"/>
      <c r="AR819" s="358">
        <f t="shared" si="379"/>
        <v>0</v>
      </c>
      <c r="AS819" s="359">
        <f t="shared" si="380"/>
        <v>0</v>
      </c>
      <c r="AT819" s="360">
        <f t="shared" si="381"/>
        <v>0</v>
      </c>
      <c r="AU819" s="43"/>
      <c r="AV819" s="43"/>
      <c r="AW819" s="119"/>
      <c r="AX819" s="119"/>
      <c r="AY819" s="43"/>
      <c r="AZ819" s="43"/>
      <c r="BA819" s="43"/>
      <c r="BB819" s="43"/>
      <c r="BC819" s="43"/>
      <c r="BD819" s="43"/>
    </row>
    <row r="820" spans="1:56" ht="15.75">
      <c r="A820" s="88">
        <v>7925</v>
      </c>
      <c r="B820" s="1033" t="s">
        <v>849</v>
      </c>
      <c r="C820" s="1033"/>
      <c r="D820" s="1033"/>
      <c r="E820" s="1033"/>
      <c r="F820" s="1033"/>
      <c r="G820" s="1033"/>
      <c r="H820" s="1033"/>
      <c r="I820" s="1033"/>
      <c r="J820" s="1033"/>
      <c r="K820" s="1033"/>
      <c r="L820" s="90"/>
      <c r="M820" s="51" t="s">
        <v>265</v>
      </c>
      <c r="N820" s="113">
        <f t="shared" si="382"/>
        <v>7925</v>
      </c>
      <c r="O820" s="8">
        <v>0</v>
      </c>
      <c r="P820" s="9">
        <v>0</v>
      </c>
      <c r="Q820" s="325"/>
      <c r="R820" s="324"/>
      <c r="S820" s="27">
        <f t="shared" si="408"/>
        <v>0</v>
      </c>
      <c r="T820" s="28">
        <f t="shared" si="409"/>
        <v>0</v>
      </c>
      <c r="U820" s="51"/>
      <c r="V820" s="541">
        <f>+'NF-KSF-TRIAL-BAL-2020'!O820+'RA-TRIAL-BAL-2020'!O820+'DES-TRIAL-BAL-2020'!O820+'DMP-TRIAL-BAL-2020'!O820</f>
        <v>0</v>
      </c>
      <c r="W820" s="529">
        <f>+'NF-KSF-TRIAL-BAL-2020'!P820+'RA-TRIAL-BAL-2020'!P820+'DES-TRIAL-BAL-2020'!P820+'DMP-TRIAL-BAL-2020'!P820</f>
        <v>0</v>
      </c>
      <c r="X820" s="528">
        <f>+'NF-KSF-TRIAL-BAL-2020'!Q820+'RA-TRIAL-BAL-2020'!Q820+'DES-TRIAL-BAL-2020'!Q820+'DMP-TRIAL-BAL-2020'!Q820</f>
        <v>0</v>
      </c>
      <c r="Y820" s="529">
        <f>+'NF-KSF-TRIAL-BAL-2020'!R820+'RA-TRIAL-BAL-2020'!R820+'DES-TRIAL-BAL-2020'!R820+'DMP-TRIAL-BAL-2020'!R820</f>
        <v>0</v>
      </c>
      <c r="Z820" s="528">
        <f>+'NF-KSF-TRIAL-BAL-2020'!S820+'RA-TRIAL-BAL-2020'!S820+'DES-TRIAL-BAL-2020'!S820+'DMP-TRIAL-BAL-2020'!S820</f>
        <v>0</v>
      </c>
      <c r="AA820" s="347">
        <f>+'NF-KSF-TRIAL-BAL-2020'!T820+'RA-TRIAL-BAL-2020'!T820+'DES-TRIAL-BAL-2020'!T820+'DMP-TRIAL-BAL-2020'!T820</f>
        <v>0</v>
      </c>
      <c r="AB820" s="51"/>
      <c r="AC820" s="8">
        <v>0</v>
      </c>
      <c r="AD820" s="9">
        <v>0</v>
      </c>
      <c r="AE820" s="122"/>
      <c r="AF820" s="121"/>
      <c r="AG820" s="27">
        <f t="shared" si="410"/>
        <v>0</v>
      </c>
      <c r="AH820" s="28">
        <f t="shared" si="411"/>
        <v>0</v>
      </c>
      <c r="AI820" s="51"/>
      <c r="AJ820" s="1497">
        <f t="shared" ref="AJ820:AJ829" si="412">+N820</f>
        <v>7925</v>
      </c>
      <c r="AK820" s="8">
        <v>0</v>
      </c>
      <c r="AL820" s="9">
        <v>0</v>
      </c>
      <c r="AM820" s="326">
        <f t="shared" si="385"/>
        <v>0</v>
      </c>
      <c r="AN820" s="970">
        <f t="shared" si="385"/>
        <v>0</v>
      </c>
      <c r="AO820" s="27">
        <f t="shared" si="402"/>
        <v>0</v>
      </c>
      <c r="AP820" s="28">
        <f t="shared" si="403"/>
        <v>0</v>
      </c>
      <c r="AQ820" s="43"/>
      <c r="AR820" s="358">
        <f t="shared" si="379"/>
        <v>0</v>
      </c>
      <c r="AS820" s="359">
        <f t="shared" si="380"/>
        <v>0</v>
      </c>
      <c r="AT820" s="360">
        <f t="shared" si="381"/>
        <v>0</v>
      </c>
      <c r="AU820" s="43"/>
      <c r="AV820" s="43"/>
      <c r="AW820" s="119"/>
      <c r="AX820" s="119"/>
      <c r="AY820" s="43"/>
      <c r="AZ820" s="43"/>
      <c r="BA820" s="43"/>
      <c r="BB820" s="43"/>
      <c r="BC820" s="43"/>
      <c r="BD820" s="43"/>
    </row>
    <row r="821" spans="1:56" ht="15.75">
      <c r="A821" s="88">
        <v>7926</v>
      </c>
      <c r="B821" s="1033" t="s">
        <v>850</v>
      </c>
      <c r="C821" s="1033"/>
      <c r="D821" s="1033"/>
      <c r="E821" s="1033"/>
      <c r="F821" s="1033"/>
      <c r="G821" s="1033"/>
      <c r="H821" s="1033"/>
      <c r="I821" s="1033"/>
      <c r="J821" s="1033"/>
      <c r="K821" s="1033"/>
      <c r="L821" s="90"/>
      <c r="M821" s="51" t="s">
        <v>265</v>
      </c>
      <c r="N821" s="113">
        <f t="shared" si="382"/>
        <v>7926</v>
      </c>
      <c r="O821" s="8">
        <v>0</v>
      </c>
      <c r="P821" s="9">
        <v>0</v>
      </c>
      <c r="Q821" s="325"/>
      <c r="R821" s="324"/>
      <c r="S821" s="27">
        <f>+IF(ABS(+O821+Q821)&gt;=ABS(P821+R821),+O821-P821+Q821-R821,0)</f>
        <v>0</v>
      </c>
      <c r="T821" s="28">
        <f>+IF(ABS(+O821+Q821)&lt;=ABS(P821+R821),-O821+P821-Q821+R821,0)</f>
        <v>0</v>
      </c>
      <c r="U821" s="51"/>
      <c r="V821" s="541">
        <f>+'NF-KSF-TRIAL-BAL-2020'!O821+'RA-TRIAL-BAL-2020'!O821+'DES-TRIAL-BAL-2020'!O821+'DMP-TRIAL-BAL-2020'!O821</f>
        <v>0</v>
      </c>
      <c r="W821" s="529">
        <f>+'NF-KSF-TRIAL-BAL-2020'!P821+'RA-TRIAL-BAL-2020'!P821+'DES-TRIAL-BAL-2020'!P821+'DMP-TRIAL-BAL-2020'!P821</f>
        <v>0</v>
      </c>
      <c r="X821" s="528">
        <f>+'NF-KSF-TRIAL-BAL-2020'!Q821+'RA-TRIAL-BAL-2020'!Q821+'DES-TRIAL-BAL-2020'!Q821+'DMP-TRIAL-BAL-2020'!Q821</f>
        <v>0</v>
      </c>
      <c r="Y821" s="529">
        <f>+'NF-KSF-TRIAL-BAL-2020'!R821+'RA-TRIAL-BAL-2020'!R821+'DES-TRIAL-BAL-2020'!R821+'DMP-TRIAL-BAL-2020'!R821</f>
        <v>0</v>
      </c>
      <c r="Z821" s="528">
        <f>+'NF-KSF-TRIAL-BAL-2020'!S821+'RA-TRIAL-BAL-2020'!S821+'DES-TRIAL-BAL-2020'!S821+'DMP-TRIAL-BAL-2020'!S821</f>
        <v>0</v>
      </c>
      <c r="AA821" s="347">
        <f>+'NF-KSF-TRIAL-BAL-2020'!T821+'RA-TRIAL-BAL-2020'!T821+'DES-TRIAL-BAL-2020'!T821+'DMP-TRIAL-BAL-2020'!T821</f>
        <v>0</v>
      </c>
      <c r="AB821" s="51"/>
      <c r="AC821" s="8">
        <v>0</v>
      </c>
      <c r="AD821" s="9">
        <v>0</v>
      </c>
      <c r="AE821" s="122"/>
      <c r="AF821" s="121"/>
      <c r="AG821" s="27">
        <f>+IF(ABS(+AC821+AE821)&gt;=ABS(AD821+AF821),+AC821-AD821+AE821-AF821,0)</f>
        <v>0</v>
      </c>
      <c r="AH821" s="28">
        <f>+IF(ABS(+AC821+AE821)&lt;=ABS(AD821+AF821),-AC821+AD821-AE821+AF821,0)</f>
        <v>0</v>
      </c>
      <c r="AI821" s="51"/>
      <c r="AJ821" s="1497">
        <f t="shared" si="412"/>
        <v>7926</v>
      </c>
      <c r="AK821" s="8">
        <v>0</v>
      </c>
      <c r="AL821" s="9">
        <v>0</v>
      </c>
      <c r="AM821" s="326">
        <f t="shared" si="385"/>
        <v>0</v>
      </c>
      <c r="AN821" s="970">
        <f t="shared" si="385"/>
        <v>0</v>
      </c>
      <c r="AO821" s="27">
        <f t="shared" si="402"/>
        <v>0</v>
      </c>
      <c r="AP821" s="28">
        <f t="shared" si="403"/>
        <v>0</v>
      </c>
      <c r="AQ821" s="43"/>
      <c r="AR821" s="358">
        <f t="shared" si="379"/>
        <v>0</v>
      </c>
      <c r="AS821" s="359">
        <f t="shared" si="380"/>
        <v>0</v>
      </c>
      <c r="AT821" s="360">
        <f t="shared" si="381"/>
        <v>0</v>
      </c>
      <c r="AU821" s="43"/>
      <c r="AV821" s="43"/>
      <c r="AW821" s="119"/>
      <c r="AX821" s="119"/>
      <c r="AY821" s="43"/>
      <c r="AZ821" s="43"/>
      <c r="BA821" s="43"/>
      <c r="BB821" s="43"/>
      <c r="BC821" s="43"/>
      <c r="BD821" s="43"/>
    </row>
    <row r="822" spans="1:56" ht="15.75">
      <c r="A822" s="88">
        <v>7992</v>
      </c>
      <c r="B822" s="1033" t="s">
        <v>851</v>
      </c>
      <c r="C822" s="1033"/>
      <c r="D822" s="1033"/>
      <c r="E822" s="1033"/>
      <c r="F822" s="1033"/>
      <c r="G822" s="1033"/>
      <c r="H822" s="1033"/>
      <c r="I822" s="1033"/>
      <c r="J822" s="1033"/>
      <c r="K822" s="1033"/>
      <c r="L822" s="90"/>
      <c r="M822" s="51" t="s">
        <v>265</v>
      </c>
      <c r="N822" s="113">
        <f t="shared" ref="N822:N828" si="413">+A822</f>
        <v>7992</v>
      </c>
      <c r="O822" s="8">
        <v>0</v>
      </c>
      <c r="P822" s="9">
        <v>0</v>
      </c>
      <c r="Q822" s="325">
        <v>0</v>
      </c>
      <c r="R822" s="324">
        <v>0</v>
      </c>
      <c r="S822" s="27">
        <f t="shared" si="408"/>
        <v>0</v>
      </c>
      <c r="T822" s="28">
        <f t="shared" si="409"/>
        <v>0</v>
      </c>
      <c r="U822" s="51"/>
      <c r="V822" s="541">
        <f>+'NF-KSF-TRIAL-BAL-2020'!O822+'RA-TRIAL-BAL-2020'!O822+'DES-TRIAL-BAL-2020'!O822+'DMP-TRIAL-BAL-2020'!O822</f>
        <v>0</v>
      </c>
      <c r="W822" s="529">
        <f>+'NF-KSF-TRIAL-BAL-2020'!P822+'RA-TRIAL-BAL-2020'!P822+'DES-TRIAL-BAL-2020'!P822+'DMP-TRIAL-BAL-2020'!P822</f>
        <v>0</v>
      </c>
      <c r="X822" s="528">
        <f>+'NF-KSF-TRIAL-BAL-2020'!Q822+'RA-TRIAL-BAL-2020'!Q822+'DES-TRIAL-BAL-2020'!Q822+'DMP-TRIAL-BAL-2020'!Q822</f>
        <v>0</v>
      </c>
      <c r="Y822" s="529">
        <f>+'NF-KSF-TRIAL-BAL-2020'!R822+'RA-TRIAL-BAL-2020'!R822+'DES-TRIAL-BAL-2020'!R822+'DMP-TRIAL-BAL-2020'!R822</f>
        <v>0</v>
      </c>
      <c r="Z822" s="528">
        <f>+'NF-KSF-TRIAL-BAL-2020'!S822+'RA-TRIAL-BAL-2020'!S822+'DES-TRIAL-BAL-2020'!S822+'DMP-TRIAL-BAL-2020'!S822</f>
        <v>0</v>
      </c>
      <c r="AA822" s="347">
        <f>+'NF-KSF-TRIAL-BAL-2020'!T822+'RA-TRIAL-BAL-2020'!T822+'DES-TRIAL-BAL-2020'!T822+'DMP-TRIAL-BAL-2020'!T822</f>
        <v>0</v>
      </c>
      <c r="AB822" s="51"/>
      <c r="AC822" s="8">
        <v>0</v>
      </c>
      <c r="AD822" s="9">
        <v>0</v>
      </c>
      <c r="AE822" s="325">
        <v>0</v>
      </c>
      <c r="AF822" s="324">
        <v>0</v>
      </c>
      <c r="AG822" s="27">
        <f t="shared" si="410"/>
        <v>0</v>
      </c>
      <c r="AH822" s="28">
        <f t="shared" si="411"/>
        <v>0</v>
      </c>
      <c r="AI822" s="51"/>
      <c r="AJ822" s="1497">
        <f t="shared" si="412"/>
        <v>7992</v>
      </c>
      <c r="AK822" s="8">
        <v>0</v>
      </c>
      <c r="AL822" s="9">
        <v>0</v>
      </c>
      <c r="AM822" s="326">
        <f t="shared" ref="AM822:AM828" si="414">+ROUND(+Q822+X822+AE822,2)</f>
        <v>0</v>
      </c>
      <c r="AN822" s="970">
        <f t="shared" ref="AN822:AN828" si="415">+ROUND(+R822+Y822+AF822,2)</f>
        <v>0</v>
      </c>
      <c r="AO822" s="27">
        <f t="shared" si="402"/>
        <v>0</v>
      </c>
      <c r="AP822" s="28">
        <f t="shared" si="403"/>
        <v>0</v>
      </c>
      <c r="AQ822" s="43"/>
      <c r="AR822" s="358">
        <f t="shared" ref="AR822:AR828" si="416">+ROUND(+SUM(AK822-AL822)-SUM(O822-P822)-SUM(V822-W822)-SUM(AC822-AD822),2)</f>
        <v>0</v>
      </c>
      <c r="AS822" s="359">
        <f t="shared" ref="AS822:AS828" si="417">+ROUND(+SUM(AM822-AN822)-SUM(Q822-R822)-SUM(X822-Y822)-SUM(AE822-AF822),2)</f>
        <v>0</v>
      </c>
      <c r="AT822" s="360">
        <f t="shared" ref="AT822:AT828" si="418">+ROUND(+SUM(AO822-AP822)-SUM(S822-T822)-SUM(Z822-AA822)-SUM(AG822-AH822),2)</f>
        <v>0</v>
      </c>
      <c r="AU822" s="43"/>
      <c r="AV822" s="43"/>
      <c r="AW822" s="119"/>
      <c r="AX822" s="119"/>
      <c r="AY822" s="43"/>
      <c r="AZ822" s="43"/>
      <c r="BA822" s="43"/>
      <c r="BB822" s="43"/>
      <c r="BC822" s="43"/>
      <c r="BD822" s="43"/>
    </row>
    <row r="823" spans="1:56" ht="15.75">
      <c r="A823" s="88">
        <v>7993</v>
      </c>
      <c r="B823" s="1033" t="s">
        <v>852</v>
      </c>
      <c r="C823" s="1033"/>
      <c r="D823" s="1033"/>
      <c r="E823" s="1033"/>
      <c r="F823" s="1033"/>
      <c r="G823" s="1033"/>
      <c r="H823" s="1033"/>
      <c r="I823" s="1033"/>
      <c r="J823" s="1033"/>
      <c r="K823" s="1033"/>
      <c r="L823" s="90"/>
      <c r="M823" s="51" t="s">
        <v>265</v>
      </c>
      <c r="N823" s="113">
        <f t="shared" si="413"/>
        <v>7993</v>
      </c>
      <c r="O823" s="8">
        <v>0</v>
      </c>
      <c r="P823" s="9">
        <v>0</v>
      </c>
      <c r="Q823" s="325"/>
      <c r="R823" s="324"/>
      <c r="S823" s="27">
        <f t="shared" si="408"/>
        <v>0</v>
      </c>
      <c r="T823" s="28">
        <f t="shared" si="409"/>
        <v>0</v>
      </c>
      <c r="U823" s="51"/>
      <c r="V823" s="541">
        <f>+'NF-KSF-TRIAL-BAL-2020'!O823+'RA-TRIAL-BAL-2020'!O823+'DES-TRIAL-BAL-2020'!O823+'DMP-TRIAL-BAL-2020'!O823</f>
        <v>0</v>
      </c>
      <c r="W823" s="529">
        <f>+'NF-KSF-TRIAL-BAL-2020'!P823+'RA-TRIAL-BAL-2020'!P823+'DES-TRIAL-BAL-2020'!P823+'DMP-TRIAL-BAL-2020'!P823</f>
        <v>0</v>
      </c>
      <c r="X823" s="528">
        <f>+'NF-KSF-TRIAL-BAL-2020'!Q823+'RA-TRIAL-BAL-2020'!Q823+'DES-TRIAL-BAL-2020'!Q823+'DMP-TRIAL-BAL-2020'!Q823</f>
        <v>0</v>
      </c>
      <c r="Y823" s="529">
        <f>+'NF-KSF-TRIAL-BAL-2020'!R823+'RA-TRIAL-BAL-2020'!R823+'DES-TRIAL-BAL-2020'!R823+'DMP-TRIAL-BAL-2020'!R823</f>
        <v>0</v>
      </c>
      <c r="Z823" s="528">
        <f>+'NF-KSF-TRIAL-BAL-2020'!S823+'RA-TRIAL-BAL-2020'!S823+'DES-TRIAL-BAL-2020'!S823+'DMP-TRIAL-BAL-2020'!S823</f>
        <v>0</v>
      </c>
      <c r="AA823" s="347">
        <f>+'NF-KSF-TRIAL-BAL-2020'!T823+'RA-TRIAL-BAL-2020'!T823+'DES-TRIAL-BAL-2020'!T823+'DMP-TRIAL-BAL-2020'!T823</f>
        <v>0</v>
      </c>
      <c r="AB823" s="51"/>
      <c r="AC823" s="8">
        <v>0</v>
      </c>
      <c r="AD823" s="9">
        <v>0</v>
      </c>
      <c r="AE823" s="122"/>
      <c r="AF823" s="121"/>
      <c r="AG823" s="27">
        <f t="shared" si="410"/>
        <v>0</v>
      </c>
      <c r="AH823" s="28">
        <f t="shared" si="411"/>
        <v>0</v>
      </c>
      <c r="AI823" s="51"/>
      <c r="AJ823" s="1497">
        <f t="shared" si="412"/>
        <v>7993</v>
      </c>
      <c r="AK823" s="8">
        <v>0</v>
      </c>
      <c r="AL823" s="9">
        <v>0</v>
      </c>
      <c r="AM823" s="326">
        <f t="shared" si="414"/>
        <v>0</v>
      </c>
      <c r="AN823" s="970">
        <f t="shared" si="415"/>
        <v>0</v>
      </c>
      <c r="AO823" s="27">
        <f t="shared" si="402"/>
        <v>0</v>
      </c>
      <c r="AP823" s="28">
        <f t="shared" si="403"/>
        <v>0</v>
      </c>
      <c r="AQ823" s="43"/>
      <c r="AR823" s="358">
        <f t="shared" si="416"/>
        <v>0</v>
      </c>
      <c r="AS823" s="359">
        <f t="shared" si="417"/>
        <v>0</v>
      </c>
      <c r="AT823" s="360">
        <f t="shared" si="418"/>
        <v>0</v>
      </c>
      <c r="AU823" s="43"/>
      <c r="AV823" s="43"/>
      <c r="AW823" s="119"/>
      <c r="AX823" s="119"/>
      <c r="AY823" s="43"/>
      <c r="AZ823" s="43"/>
      <c r="BA823" s="43"/>
      <c r="BB823" s="43"/>
      <c r="BC823" s="43"/>
      <c r="BD823" s="43"/>
    </row>
    <row r="824" spans="1:56" ht="15.75">
      <c r="A824" s="88">
        <v>7994</v>
      </c>
      <c r="B824" s="1033" t="s">
        <v>853</v>
      </c>
      <c r="C824" s="1033"/>
      <c r="D824" s="1033"/>
      <c r="E824" s="1033"/>
      <c r="F824" s="1033"/>
      <c r="G824" s="1033"/>
      <c r="H824" s="1033"/>
      <c r="I824" s="1033"/>
      <c r="J824" s="1033"/>
      <c r="K824" s="1033"/>
      <c r="L824" s="90"/>
      <c r="M824" s="51" t="s">
        <v>265</v>
      </c>
      <c r="N824" s="113">
        <f t="shared" si="413"/>
        <v>7994</v>
      </c>
      <c r="O824" s="8">
        <v>0</v>
      </c>
      <c r="P824" s="9">
        <v>0</v>
      </c>
      <c r="Q824" s="325"/>
      <c r="R824" s="324"/>
      <c r="S824" s="27">
        <f t="shared" si="408"/>
        <v>0</v>
      </c>
      <c r="T824" s="28">
        <f t="shared" si="409"/>
        <v>0</v>
      </c>
      <c r="U824" s="51"/>
      <c r="V824" s="541">
        <f>+'NF-KSF-TRIAL-BAL-2020'!O824+'RA-TRIAL-BAL-2020'!O824+'DES-TRIAL-BAL-2020'!O824+'DMP-TRIAL-BAL-2020'!O824</f>
        <v>0</v>
      </c>
      <c r="W824" s="529">
        <f>+'NF-KSF-TRIAL-BAL-2020'!P824+'RA-TRIAL-BAL-2020'!P824+'DES-TRIAL-BAL-2020'!P824+'DMP-TRIAL-BAL-2020'!P824</f>
        <v>0</v>
      </c>
      <c r="X824" s="528">
        <f>+'NF-KSF-TRIAL-BAL-2020'!Q824+'RA-TRIAL-BAL-2020'!Q824+'DES-TRIAL-BAL-2020'!Q824+'DMP-TRIAL-BAL-2020'!Q824</f>
        <v>0</v>
      </c>
      <c r="Y824" s="529">
        <f>+'NF-KSF-TRIAL-BAL-2020'!R824+'RA-TRIAL-BAL-2020'!R824+'DES-TRIAL-BAL-2020'!R824+'DMP-TRIAL-BAL-2020'!R824</f>
        <v>0</v>
      </c>
      <c r="Z824" s="528">
        <f>+'NF-KSF-TRIAL-BAL-2020'!S824+'RA-TRIAL-BAL-2020'!S824+'DES-TRIAL-BAL-2020'!S824+'DMP-TRIAL-BAL-2020'!S824</f>
        <v>0</v>
      </c>
      <c r="AA824" s="347">
        <f>+'NF-KSF-TRIAL-BAL-2020'!T824+'RA-TRIAL-BAL-2020'!T824+'DES-TRIAL-BAL-2020'!T824+'DMP-TRIAL-BAL-2020'!T824</f>
        <v>0</v>
      </c>
      <c r="AB824" s="51"/>
      <c r="AC824" s="8">
        <v>0</v>
      </c>
      <c r="AD824" s="9">
        <v>0</v>
      </c>
      <c r="AE824" s="122"/>
      <c r="AF824" s="121"/>
      <c r="AG824" s="27">
        <f t="shared" si="410"/>
        <v>0</v>
      </c>
      <c r="AH824" s="28">
        <f t="shared" si="411"/>
        <v>0</v>
      </c>
      <c r="AI824" s="51"/>
      <c r="AJ824" s="1497">
        <f t="shared" si="412"/>
        <v>7994</v>
      </c>
      <c r="AK824" s="8">
        <v>0</v>
      </c>
      <c r="AL824" s="9">
        <v>0</v>
      </c>
      <c r="AM824" s="326">
        <f t="shared" si="414"/>
        <v>0</v>
      </c>
      <c r="AN824" s="970">
        <f t="shared" si="415"/>
        <v>0</v>
      </c>
      <c r="AO824" s="27">
        <f t="shared" si="402"/>
        <v>0</v>
      </c>
      <c r="AP824" s="28">
        <f t="shared" si="403"/>
        <v>0</v>
      </c>
      <c r="AQ824" s="43"/>
      <c r="AR824" s="358">
        <f t="shared" si="416"/>
        <v>0</v>
      </c>
      <c r="AS824" s="359">
        <f t="shared" si="417"/>
        <v>0</v>
      </c>
      <c r="AT824" s="360">
        <f t="shared" si="418"/>
        <v>0</v>
      </c>
      <c r="AU824" s="43"/>
      <c r="AV824" s="43"/>
      <c r="AW824" s="119"/>
      <c r="AX824" s="119"/>
      <c r="AY824" s="43"/>
      <c r="AZ824" s="43"/>
      <c r="BA824" s="43"/>
      <c r="BB824" s="43"/>
      <c r="BC824" s="43"/>
      <c r="BD824" s="43"/>
    </row>
    <row r="825" spans="1:56" ht="15.75">
      <c r="A825" s="88">
        <v>7995</v>
      </c>
      <c r="B825" s="1033" t="s">
        <v>854</v>
      </c>
      <c r="C825" s="1033"/>
      <c r="D825" s="1033"/>
      <c r="E825" s="1033"/>
      <c r="F825" s="1033"/>
      <c r="G825" s="1033"/>
      <c r="H825" s="1033"/>
      <c r="I825" s="1033"/>
      <c r="J825" s="1033"/>
      <c r="K825" s="1033"/>
      <c r="L825" s="90"/>
      <c r="M825" s="51" t="s">
        <v>265</v>
      </c>
      <c r="N825" s="113">
        <f t="shared" si="413"/>
        <v>7995</v>
      </c>
      <c r="O825" s="8">
        <v>0</v>
      </c>
      <c r="P825" s="9">
        <v>0</v>
      </c>
      <c r="Q825" s="325"/>
      <c r="R825" s="324"/>
      <c r="S825" s="27">
        <f t="shared" si="408"/>
        <v>0</v>
      </c>
      <c r="T825" s="28">
        <f t="shared" si="409"/>
        <v>0</v>
      </c>
      <c r="U825" s="51"/>
      <c r="V825" s="541">
        <f>+'NF-KSF-TRIAL-BAL-2020'!O825+'RA-TRIAL-BAL-2020'!O825+'DES-TRIAL-BAL-2020'!O825+'DMP-TRIAL-BAL-2020'!O825</f>
        <v>0</v>
      </c>
      <c r="W825" s="529">
        <f>+'NF-KSF-TRIAL-BAL-2020'!P825+'RA-TRIAL-BAL-2020'!P825+'DES-TRIAL-BAL-2020'!P825+'DMP-TRIAL-BAL-2020'!P825</f>
        <v>0</v>
      </c>
      <c r="X825" s="528">
        <f>+'NF-KSF-TRIAL-BAL-2020'!Q825+'RA-TRIAL-BAL-2020'!Q825+'DES-TRIAL-BAL-2020'!Q825+'DMP-TRIAL-BAL-2020'!Q825</f>
        <v>0</v>
      </c>
      <c r="Y825" s="529">
        <f>+'NF-KSF-TRIAL-BAL-2020'!R825+'RA-TRIAL-BAL-2020'!R825+'DES-TRIAL-BAL-2020'!R825+'DMP-TRIAL-BAL-2020'!R825</f>
        <v>0</v>
      </c>
      <c r="Z825" s="528">
        <f>+'NF-KSF-TRIAL-BAL-2020'!S825+'RA-TRIAL-BAL-2020'!S825+'DES-TRIAL-BAL-2020'!S825+'DMP-TRIAL-BAL-2020'!S825</f>
        <v>0</v>
      </c>
      <c r="AA825" s="347">
        <f>+'NF-KSF-TRIAL-BAL-2020'!T825+'RA-TRIAL-BAL-2020'!T825+'DES-TRIAL-BAL-2020'!T825+'DMP-TRIAL-BAL-2020'!T825</f>
        <v>0</v>
      </c>
      <c r="AB825" s="51"/>
      <c r="AC825" s="8">
        <v>0</v>
      </c>
      <c r="AD825" s="9">
        <v>0</v>
      </c>
      <c r="AE825" s="122"/>
      <c r="AF825" s="121"/>
      <c r="AG825" s="27">
        <f t="shared" si="410"/>
        <v>0</v>
      </c>
      <c r="AH825" s="28">
        <f t="shared" si="411"/>
        <v>0</v>
      </c>
      <c r="AI825" s="51"/>
      <c r="AJ825" s="1497">
        <f t="shared" si="412"/>
        <v>7995</v>
      </c>
      <c r="AK825" s="8">
        <v>0</v>
      </c>
      <c r="AL825" s="9">
        <v>0</v>
      </c>
      <c r="AM825" s="326">
        <f t="shared" si="414"/>
        <v>0</v>
      </c>
      <c r="AN825" s="970">
        <f t="shared" si="415"/>
        <v>0</v>
      </c>
      <c r="AO825" s="27">
        <f t="shared" si="402"/>
        <v>0</v>
      </c>
      <c r="AP825" s="28">
        <f t="shared" si="403"/>
        <v>0</v>
      </c>
      <c r="AQ825" s="43"/>
      <c r="AR825" s="358">
        <f t="shared" si="416"/>
        <v>0</v>
      </c>
      <c r="AS825" s="359">
        <f t="shared" si="417"/>
        <v>0</v>
      </c>
      <c r="AT825" s="360">
        <f t="shared" si="418"/>
        <v>0</v>
      </c>
      <c r="AU825" s="43"/>
      <c r="AV825" s="43"/>
      <c r="AW825" s="119"/>
      <c r="AX825" s="119"/>
      <c r="AY825" s="43"/>
      <c r="AZ825" s="43"/>
      <c r="BA825" s="43"/>
      <c r="BB825" s="43"/>
      <c r="BC825" s="43"/>
      <c r="BD825" s="43"/>
    </row>
    <row r="826" spans="1:56" ht="15.75">
      <c r="A826" s="88">
        <v>7996</v>
      </c>
      <c r="B826" s="1033" t="s">
        <v>142</v>
      </c>
      <c r="C826" s="1033"/>
      <c r="D826" s="1033"/>
      <c r="E826" s="1033"/>
      <c r="F826" s="1033"/>
      <c r="G826" s="1033"/>
      <c r="H826" s="1033"/>
      <c r="I826" s="1033"/>
      <c r="J826" s="1033"/>
      <c r="K826" s="1033"/>
      <c r="L826" s="90"/>
      <c r="M826" s="51" t="s">
        <v>265</v>
      </c>
      <c r="N826" s="113">
        <f>+A826</f>
        <v>7996</v>
      </c>
      <c r="O826" s="8">
        <v>0</v>
      </c>
      <c r="P826" s="9">
        <v>0</v>
      </c>
      <c r="Q826" s="325"/>
      <c r="R826" s="324"/>
      <c r="S826" s="27">
        <f>+IF(ABS(+O826+Q826)&gt;=ABS(P826+R826),+O826-P826+Q826-R826,0)</f>
        <v>0</v>
      </c>
      <c r="T826" s="28">
        <f>+IF(ABS(+O826+Q826)&lt;=ABS(P826+R826),-O826+P826-Q826+R826,0)</f>
        <v>0</v>
      </c>
      <c r="U826" s="51"/>
      <c r="V826" s="541">
        <f>+'NF-KSF-TRIAL-BAL-2020'!O826+'RA-TRIAL-BAL-2020'!O826+'DES-TRIAL-BAL-2020'!O826+'DMP-TRIAL-BAL-2020'!O826</f>
        <v>0</v>
      </c>
      <c r="W826" s="529">
        <f>+'NF-KSF-TRIAL-BAL-2020'!P826+'RA-TRIAL-BAL-2020'!P826+'DES-TRIAL-BAL-2020'!P826+'DMP-TRIAL-BAL-2020'!P826</f>
        <v>0</v>
      </c>
      <c r="X826" s="528">
        <f>+'NF-KSF-TRIAL-BAL-2020'!Q826+'RA-TRIAL-BAL-2020'!Q826+'DES-TRIAL-BAL-2020'!Q826+'DMP-TRIAL-BAL-2020'!Q826</f>
        <v>0</v>
      </c>
      <c r="Y826" s="529">
        <f>+'NF-KSF-TRIAL-BAL-2020'!R826+'RA-TRIAL-BAL-2020'!R826+'DES-TRIAL-BAL-2020'!R826+'DMP-TRIAL-BAL-2020'!R826</f>
        <v>0</v>
      </c>
      <c r="Z826" s="528">
        <f>+'NF-KSF-TRIAL-BAL-2020'!S826+'RA-TRIAL-BAL-2020'!S826+'DES-TRIAL-BAL-2020'!S826+'DMP-TRIAL-BAL-2020'!S826</f>
        <v>0</v>
      </c>
      <c r="AA826" s="347">
        <f>+'NF-KSF-TRIAL-BAL-2020'!T826+'RA-TRIAL-BAL-2020'!T826+'DES-TRIAL-BAL-2020'!T826+'DMP-TRIAL-BAL-2020'!T826</f>
        <v>0</v>
      </c>
      <c r="AB826" s="51"/>
      <c r="AC826" s="8">
        <v>0</v>
      </c>
      <c r="AD826" s="9">
        <v>0</v>
      </c>
      <c r="AE826" s="122"/>
      <c r="AF826" s="121"/>
      <c r="AG826" s="27">
        <f>+IF(ABS(+AC826+AE826)&gt;=ABS(AD826+AF826),+AC826-AD826+AE826-AF826,0)</f>
        <v>0</v>
      </c>
      <c r="AH826" s="28">
        <f>+IF(ABS(+AC826+AE826)&lt;=ABS(AD826+AF826),-AC826+AD826-AE826+AF826,0)</f>
        <v>0</v>
      </c>
      <c r="AI826" s="51"/>
      <c r="AJ826" s="1497">
        <f>+N826</f>
        <v>7996</v>
      </c>
      <c r="AK826" s="8">
        <v>0</v>
      </c>
      <c r="AL826" s="9">
        <v>0</v>
      </c>
      <c r="AM826" s="326">
        <f>+ROUND(+Q826+X826+AE826,2)</f>
        <v>0</v>
      </c>
      <c r="AN826" s="970">
        <f>+ROUND(+R826+Y826+AF826,2)</f>
        <v>0</v>
      </c>
      <c r="AO826" s="27">
        <f t="shared" si="402"/>
        <v>0</v>
      </c>
      <c r="AP826" s="28">
        <f t="shared" si="403"/>
        <v>0</v>
      </c>
      <c r="AQ826" s="43"/>
      <c r="AR826" s="358">
        <f>+ROUND(+SUM(AK826-AL826)-SUM(O826-P826)-SUM(V826-W826)-SUM(AC826-AD826),2)</f>
        <v>0</v>
      </c>
      <c r="AS826" s="359">
        <f>+ROUND(+SUM(AM826-AN826)-SUM(Q826-R826)-SUM(X826-Y826)-SUM(AE826-AF826),2)</f>
        <v>0</v>
      </c>
      <c r="AT826" s="360">
        <f>+ROUND(+SUM(AO826-AP826)-SUM(S826-T826)-SUM(Z826-AA826)-SUM(AG826-AH826),2)</f>
        <v>0</v>
      </c>
      <c r="AU826" s="43"/>
      <c r="AV826" s="43"/>
      <c r="AW826" s="119"/>
      <c r="AX826" s="119"/>
      <c r="AY826" s="43"/>
      <c r="AZ826" s="43"/>
      <c r="BA826" s="43"/>
      <c r="BB826" s="43"/>
      <c r="BC826" s="43"/>
      <c r="BD826" s="43"/>
    </row>
    <row r="827" spans="1:56" ht="15.75">
      <c r="A827" s="88">
        <v>7997</v>
      </c>
      <c r="B827" s="1033" t="s">
        <v>143</v>
      </c>
      <c r="C827" s="1033"/>
      <c r="D827" s="1033"/>
      <c r="E827" s="1033"/>
      <c r="F827" s="1033"/>
      <c r="G827" s="1033"/>
      <c r="H827" s="1033"/>
      <c r="I827" s="1033"/>
      <c r="J827" s="1033"/>
      <c r="K827" s="1033"/>
      <c r="L827" s="90"/>
      <c r="M827" s="51" t="s">
        <v>265</v>
      </c>
      <c r="N827" s="113">
        <f t="shared" si="413"/>
        <v>7997</v>
      </c>
      <c r="O827" s="8">
        <v>0</v>
      </c>
      <c r="P827" s="9">
        <v>0</v>
      </c>
      <c r="Q827" s="325"/>
      <c r="R827" s="324"/>
      <c r="S827" s="27">
        <f t="shared" si="408"/>
        <v>0</v>
      </c>
      <c r="T827" s="28">
        <f t="shared" si="409"/>
        <v>0</v>
      </c>
      <c r="U827" s="51"/>
      <c r="V827" s="541">
        <f>+'NF-KSF-TRIAL-BAL-2020'!O827+'RA-TRIAL-BAL-2020'!O827+'DES-TRIAL-BAL-2020'!O827+'DMP-TRIAL-BAL-2020'!O827</f>
        <v>0</v>
      </c>
      <c r="W827" s="529">
        <f>+'NF-KSF-TRIAL-BAL-2020'!P827+'RA-TRIAL-BAL-2020'!P827+'DES-TRIAL-BAL-2020'!P827+'DMP-TRIAL-BAL-2020'!P827</f>
        <v>0</v>
      </c>
      <c r="X827" s="528">
        <f>+'NF-KSF-TRIAL-BAL-2020'!Q827+'RA-TRIAL-BAL-2020'!Q827+'DES-TRIAL-BAL-2020'!Q827+'DMP-TRIAL-BAL-2020'!Q827</f>
        <v>0</v>
      </c>
      <c r="Y827" s="529">
        <f>+'NF-KSF-TRIAL-BAL-2020'!R827+'RA-TRIAL-BAL-2020'!R827+'DES-TRIAL-BAL-2020'!R827+'DMP-TRIAL-BAL-2020'!R827</f>
        <v>0</v>
      </c>
      <c r="Z827" s="528">
        <f>+'NF-KSF-TRIAL-BAL-2020'!S827+'RA-TRIAL-BAL-2020'!S827+'DES-TRIAL-BAL-2020'!S827+'DMP-TRIAL-BAL-2020'!S827</f>
        <v>0</v>
      </c>
      <c r="AA827" s="347">
        <f>+'NF-KSF-TRIAL-BAL-2020'!T827+'RA-TRIAL-BAL-2020'!T827+'DES-TRIAL-BAL-2020'!T827+'DMP-TRIAL-BAL-2020'!T827</f>
        <v>0</v>
      </c>
      <c r="AB827" s="51"/>
      <c r="AC827" s="8">
        <v>0</v>
      </c>
      <c r="AD827" s="9">
        <v>0</v>
      </c>
      <c r="AE827" s="325"/>
      <c r="AF827" s="324"/>
      <c r="AG827" s="27">
        <f t="shared" si="410"/>
        <v>0</v>
      </c>
      <c r="AH827" s="28">
        <f t="shared" si="411"/>
        <v>0</v>
      </c>
      <c r="AI827" s="51"/>
      <c r="AJ827" s="1497">
        <f t="shared" si="412"/>
        <v>7997</v>
      </c>
      <c r="AK827" s="8">
        <v>0</v>
      </c>
      <c r="AL827" s="9">
        <v>0</v>
      </c>
      <c r="AM827" s="326">
        <f t="shared" si="414"/>
        <v>0</v>
      </c>
      <c r="AN827" s="970">
        <f t="shared" si="415"/>
        <v>0</v>
      </c>
      <c r="AO827" s="27">
        <f t="shared" si="402"/>
        <v>0</v>
      </c>
      <c r="AP827" s="28">
        <f t="shared" si="403"/>
        <v>0</v>
      </c>
      <c r="AQ827" s="43"/>
      <c r="AR827" s="358">
        <f t="shared" si="416"/>
        <v>0</v>
      </c>
      <c r="AS827" s="359">
        <f t="shared" si="417"/>
        <v>0</v>
      </c>
      <c r="AT827" s="360">
        <f t="shared" si="418"/>
        <v>0</v>
      </c>
      <c r="AU827" s="43"/>
      <c r="AV827" s="43"/>
      <c r="AW827" s="119"/>
      <c r="AX827" s="119"/>
      <c r="AY827" s="43"/>
      <c r="AZ827" s="43"/>
      <c r="BA827" s="43"/>
      <c r="BB827" s="43"/>
      <c r="BC827" s="43"/>
      <c r="BD827" s="43"/>
    </row>
    <row r="828" spans="1:56" ht="16.5" thickBot="1">
      <c r="A828" s="88">
        <v>7998</v>
      </c>
      <c r="B828" s="1033" t="s">
        <v>144</v>
      </c>
      <c r="C828" s="1033"/>
      <c r="D828" s="1033"/>
      <c r="E828" s="1033"/>
      <c r="F828" s="1033"/>
      <c r="G828" s="1033"/>
      <c r="H828" s="1033"/>
      <c r="I828" s="1033"/>
      <c r="J828" s="1033"/>
      <c r="K828" s="1033"/>
      <c r="L828" s="90"/>
      <c r="M828" s="51" t="s">
        <v>265</v>
      </c>
      <c r="N828" s="113">
        <f t="shared" si="413"/>
        <v>7998</v>
      </c>
      <c r="O828" s="8">
        <v>0</v>
      </c>
      <c r="P828" s="9">
        <v>0</v>
      </c>
      <c r="Q828" s="325"/>
      <c r="R828" s="324"/>
      <c r="S828" s="27">
        <f t="shared" si="408"/>
        <v>0</v>
      </c>
      <c r="T828" s="28">
        <f t="shared" si="409"/>
        <v>0</v>
      </c>
      <c r="U828" s="51"/>
      <c r="V828" s="541">
        <f>+'NF-KSF-TRIAL-BAL-2020'!O828+'RA-TRIAL-BAL-2020'!O828+'DES-TRIAL-BAL-2020'!O828+'DMP-TRIAL-BAL-2020'!O828</f>
        <v>0</v>
      </c>
      <c r="W828" s="529">
        <f>+'NF-KSF-TRIAL-BAL-2020'!P828+'RA-TRIAL-BAL-2020'!P828+'DES-TRIAL-BAL-2020'!P828+'DMP-TRIAL-BAL-2020'!P828</f>
        <v>0</v>
      </c>
      <c r="X828" s="528">
        <f>+'NF-KSF-TRIAL-BAL-2020'!Q828+'RA-TRIAL-BAL-2020'!Q828+'DES-TRIAL-BAL-2020'!Q828+'DMP-TRIAL-BAL-2020'!Q828</f>
        <v>0</v>
      </c>
      <c r="Y828" s="529">
        <f>+'NF-KSF-TRIAL-BAL-2020'!R828+'RA-TRIAL-BAL-2020'!R828+'DES-TRIAL-BAL-2020'!R828+'DMP-TRIAL-BAL-2020'!R828</f>
        <v>0</v>
      </c>
      <c r="Z828" s="528">
        <f>+'NF-KSF-TRIAL-BAL-2020'!S828+'RA-TRIAL-BAL-2020'!S828+'DES-TRIAL-BAL-2020'!S828+'DMP-TRIAL-BAL-2020'!S828</f>
        <v>0</v>
      </c>
      <c r="AA828" s="347">
        <f>+'NF-KSF-TRIAL-BAL-2020'!T828+'RA-TRIAL-BAL-2020'!T828+'DES-TRIAL-BAL-2020'!T828+'DMP-TRIAL-BAL-2020'!T828</f>
        <v>0</v>
      </c>
      <c r="AB828" s="51"/>
      <c r="AC828" s="8">
        <v>0</v>
      </c>
      <c r="AD828" s="9">
        <v>0</v>
      </c>
      <c r="AE828" s="122"/>
      <c r="AF828" s="121"/>
      <c r="AG828" s="27">
        <f t="shared" si="410"/>
        <v>0</v>
      </c>
      <c r="AH828" s="28">
        <f t="shared" si="411"/>
        <v>0</v>
      </c>
      <c r="AI828" s="51"/>
      <c r="AJ828" s="1497">
        <f t="shared" si="412"/>
        <v>7998</v>
      </c>
      <c r="AK828" s="8">
        <v>0</v>
      </c>
      <c r="AL828" s="9">
        <v>0</v>
      </c>
      <c r="AM828" s="326">
        <f t="shared" si="414"/>
        <v>0</v>
      </c>
      <c r="AN828" s="970">
        <f t="shared" si="415"/>
        <v>0</v>
      </c>
      <c r="AO828" s="27">
        <f t="shared" si="402"/>
        <v>0</v>
      </c>
      <c r="AP828" s="28">
        <f t="shared" si="403"/>
        <v>0</v>
      </c>
      <c r="AQ828" s="43"/>
      <c r="AR828" s="358">
        <f t="shared" si="416"/>
        <v>0</v>
      </c>
      <c r="AS828" s="359">
        <f t="shared" si="417"/>
        <v>0</v>
      </c>
      <c r="AT828" s="360">
        <f t="shared" si="418"/>
        <v>0</v>
      </c>
      <c r="AU828" s="43"/>
      <c r="AV828" s="43"/>
      <c r="AW828" s="119"/>
      <c r="AX828" s="119"/>
      <c r="AY828" s="43"/>
      <c r="AZ828" s="43"/>
      <c r="BA828" s="43"/>
      <c r="BB828" s="43"/>
      <c r="BC828" s="43"/>
      <c r="BD828" s="43"/>
    </row>
    <row r="829" spans="1:56" ht="16.5" thickBot="1">
      <c r="A829" s="94" t="s">
        <v>592</v>
      </c>
      <c r="B829" s="95"/>
      <c r="C829" s="95"/>
      <c r="D829" s="95"/>
      <c r="E829" s="95"/>
      <c r="F829" s="95"/>
      <c r="G829" s="95"/>
      <c r="H829" s="95"/>
      <c r="I829" s="95"/>
      <c r="J829" s="95"/>
      <c r="K829" s="95"/>
      <c r="L829" s="96"/>
      <c r="M829" s="51" t="s">
        <v>265</v>
      </c>
      <c r="N829" s="128" t="s">
        <v>666</v>
      </c>
      <c r="O829" s="12">
        <f t="shared" ref="O829:T829" si="419">+ROUND(+SUM(O14:O828),2)</f>
        <v>456651.87</v>
      </c>
      <c r="P829" s="13">
        <f t="shared" si="419"/>
        <v>456651.87</v>
      </c>
      <c r="Q829" s="32">
        <f t="shared" si="419"/>
        <v>3336491.04</v>
      </c>
      <c r="R829" s="33">
        <f t="shared" si="419"/>
        <v>3336491.04</v>
      </c>
      <c r="S829" s="32">
        <f t="shared" si="419"/>
        <v>1537055.91</v>
      </c>
      <c r="T829" s="34">
        <f t="shared" si="419"/>
        <v>1537055.91</v>
      </c>
      <c r="U829" s="51"/>
      <c r="V829" s="840">
        <f t="shared" ref="V829:AA829" si="420">+ROUND(+SUM(V14:V828),2)</f>
        <v>0</v>
      </c>
      <c r="W829" s="841">
        <f t="shared" si="420"/>
        <v>0</v>
      </c>
      <c r="X829" s="842">
        <f t="shared" si="420"/>
        <v>0</v>
      </c>
      <c r="Y829" s="843">
        <f t="shared" si="420"/>
        <v>0</v>
      </c>
      <c r="Z829" s="844">
        <f t="shared" si="420"/>
        <v>0</v>
      </c>
      <c r="AA829" s="845">
        <f t="shared" si="420"/>
        <v>0</v>
      </c>
      <c r="AB829" s="51"/>
      <c r="AC829" s="882">
        <f t="shared" ref="AC829:AH829" si="421">+ROUND(+SUM(AC14:AC828),2)</f>
        <v>2211.65</v>
      </c>
      <c r="AD829" s="883">
        <f t="shared" si="421"/>
        <v>2211.65</v>
      </c>
      <c r="AE829" s="884">
        <f t="shared" si="421"/>
        <v>0</v>
      </c>
      <c r="AF829" s="885">
        <f t="shared" si="421"/>
        <v>0</v>
      </c>
      <c r="AG829" s="886">
        <f t="shared" si="421"/>
        <v>2211.65</v>
      </c>
      <c r="AH829" s="887">
        <f t="shared" si="421"/>
        <v>2211.65</v>
      </c>
      <c r="AI829" s="51"/>
      <c r="AJ829" s="1536" t="str">
        <f t="shared" si="412"/>
        <v xml:space="preserve"> 1-7</v>
      </c>
      <c r="AK829" s="1537">
        <f t="shared" ref="AK829:AP829" si="422">+ROUND(+SUM(AK14:AK828),2)</f>
        <v>458863.52</v>
      </c>
      <c r="AL829" s="1538">
        <f t="shared" si="422"/>
        <v>458863.52</v>
      </c>
      <c r="AM829" s="1539">
        <f t="shared" si="422"/>
        <v>3336491.04</v>
      </c>
      <c r="AN829" s="1540">
        <f t="shared" si="422"/>
        <v>3336491.04</v>
      </c>
      <c r="AO829" s="1539">
        <f t="shared" si="422"/>
        <v>1539267.56</v>
      </c>
      <c r="AP829" s="1541">
        <f t="shared" si="422"/>
        <v>1539267.56</v>
      </c>
      <c r="AQ829" s="43"/>
      <c r="AR829" s="361">
        <f>+ROUND(+SUM(AR14:AR828),2)</f>
        <v>0</v>
      </c>
      <c r="AS829" s="362">
        <f>+ROUND(+SUM(AS14:AS828),2)</f>
        <v>0</v>
      </c>
      <c r="AT829" s="363">
        <f>+ROUND(+SUM(AT14:AT828),2)</f>
        <v>0</v>
      </c>
      <c r="AU829" s="43"/>
      <c r="AV829" s="43"/>
      <c r="AW829" s="119"/>
      <c r="AX829" s="119"/>
      <c r="AY829" s="43"/>
      <c r="AZ829" s="43"/>
      <c r="BA829" s="43"/>
      <c r="BB829" s="43"/>
      <c r="BC829" s="43"/>
      <c r="BD829" s="43"/>
    </row>
    <row r="830" spans="1:56" ht="7.5" customHeight="1" thickBot="1">
      <c r="A830" s="100"/>
      <c r="B830" s="100"/>
      <c r="C830" s="100"/>
      <c r="D830" s="100"/>
      <c r="E830" s="100"/>
      <c r="F830" s="100"/>
      <c r="G830" s="100"/>
      <c r="H830" s="100"/>
      <c r="I830" s="100"/>
      <c r="J830" s="100"/>
      <c r="K830" s="100"/>
      <c r="L830" s="100"/>
      <c r="M830" s="51" t="s">
        <v>265</v>
      </c>
      <c r="N830" s="115"/>
      <c r="O830" s="16"/>
      <c r="P830" s="16"/>
      <c r="Q830" s="16"/>
      <c r="R830" s="16"/>
      <c r="S830" s="16"/>
      <c r="T830" s="16"/>
      <c r="U830" s="44"/>
      <c r="V830" s="16"/>
      <c r="W830" s="16"/>
      <c r="X830" s="16"/>
      <c r="Y830" s="16"/>
      <c r="Z830" s="16"/>
      <c r="AA830" s="16"/>
      <c r="AB830" s="44"/>
      <c r="AC830" s="16"/>
      <c r="AD830" s="16"/>
      <c r="AE830" s="16"/>
      <c r="AF830" s="16"/>
      <c r="AG830" s="16"/>
      <c r="AH830" s="16"/>
      <c r="AI830" s="44"/>
      <c r="AJ830" s="115"/>
      <c r="AK830" s="16"/>
      <c r="AL830" s="16"/>
      <c r="AM830" s="16"/>
      <c r="AN830" s="16"/>
      <c r="AO830" s="16"/>
      <c r="AP830" s="16"/>
      <c r="AQ830" s="43"/>
      <c r="AR830" s="16"/>
      <c r="AS830" s="16"/>
      <c r="AT830" s="16"/>
      <c r="AU830" s="43"/>
      <c r="AV830" s="43"/>
      <c r="AW830" s="119"/>
      <c r="AX830" s="119"/>
      <c r="AY830" s="43"/>
      <c r="AZ830" s="43"/>
      <c r="BA830" s="43"/>
      <c r="BB830" s="43"/>
      <c r="BC830" s="43"/>
      <c r="BD830" s="43"/>
    </row>
    <row r="831" spans="1:56" ht="15.75">
      <c r="A831" s="405" t="s">
        <v>375</v>
      </c>
      <c r="B831" s="406"/>
      <c r="C831" s="406"/>
      <c r="D831" s="406"/>
      <c r="E831" s="406"/>
      <c r="F831" s="406"/>
      <c r="G831" s="406"/>
      <c r="H831" s="406"/>
      <c r="I831" s="406"/>
      <c r="J831" s="406"/>
      <c r="K831" s="406"/>
      <c r="L831" s="407"/>
      <c r="M831" s="51" t="s">
        <v>265</v>
      </c>
      <c r="N831" s="408">
        <v>9</v>
      </c>
      <c r="O831" s="409"/>
      <c r="P831" s="410"/>
      <c r="Q831" s="411"/>
      <c r="R831" s="410"/>
      <c r="S831" s="411"/>
      <c r="T831" s="412"/>
      <c r="U831" s="51"/>
      <c r="V831" s="409"/>
      <c r="W831" s="410"/>
      <c r="X831" s="411"/>
      <c r="Y831" s="410"/>
      <c r="Z831" s="411"/>
      <c r="AA831" s="412"/>
      <c r="AB831" s="51"/>
      <c r="AC831" s="409"/>
      <c r="AD831" s="410"/>
      <c r="AE831" s="411"/>
      <c r="AF831" s="410"/>
      <c r="AG831" s="411"/>
      <c r="AH831" s="412"/>
      <c r="AI831" s="51"/>
      <c r="AJ831" s="413">
        <f t="shared" ref="AJ831:AJ890" si="423">+N831</f>
        <v>9</v>
      </c>
      <c r="AK831" s="409"/>
      <c r="AL831" s="410"/>
      <c r="AM831" s="411"/>
      <c r="AN831" s="410"/>
      <c r="AO831" s="411"/>
      <c r="AP831" s="412"/>
      <c r="AQ831" s="43"/>
      <c r="AR831" s="414"/>
      <c r="AS831" s="415"/>
      <c r="AT831" s="416"/>
      <c r="AU831" s="43"/>
      <c r="AV831" s="43"/>
      <c r="AW831" s="119"/>
      <c r="AX831" s="119"/>
      <c r="AY831" s="43"/>
      <c r="AZ831" s="43"/>
      <c r="BA831" s="43"/>
      <c r="BB831" s="43"/>
      <c r="BC831" s="43"/>
      <c r="BD831" s="43"/>
    </row>
    <row r="832" spans="1:56" ht="15.75">
      <c r="A832" s="85">
        <v>9110</v>
      </c>
      <c r="B832" s="404" t="s">
        <v>914</v>
      </c>
      <c r="C832" s="86"/>
      <c r="D832" s="86"/>
      <c r="E832" s="86"/>
      <c r="F832" s="86"/>
      <c r="G832" s="86"/>
      <c r="H832" s="86"/>
      <c r="I832" s="86"/>
      <c r="J832" s="86"/>
      <c r="K832" s="86"/>
      <c r="L832" s="87"/>
      <c r="M832" s="51" t="s">
        <v>265</v>
      </c>
      <c r="N832" s="112">
        <f t="shared" ref="N832:N887" si="424">+A832</f>
        <v>9110</v>
      </c>
      <c r="O832" s="323">
        <v>0</v>
      </c>
      <c r="P832" s="329">
        <v>0</v>
      </c>
      <c r="Q832" s="325">
        <v>0</v>
      </c>
      <c r="R832" s="324">
        <v>0</v>
      </c>
      <c r="S832" s="326">
        <f>+IF(ABS(+O832+Q832)&gt;=ABS(P832+R832),+O832-P832+Q832-R832,0)</f>
        <v>0</v>
      </c>
      <c r="T832" s="331">
        <v>0</v>
      </c>
      <c r="U832" s="51"/>
      <c r="V832" s="543">
        <f>+'NF-KSF-TRIAL-BAL-2020'!O832+'RA-TRIAL-BAL-2020'!O832+'DES-TRIAL-BAL-2020'!O832+'DMP-TRIAL-BAL-2020'!O832</f>
        <v>0</v>
      </c>
      <c r="W832" s="526">
        <f>+'NF-KSF-TRIAL-BAL-2020'!P832+'RA-TRIAL-BAL-2020'!P832+'DES-TRIAL-BAL-2020'!P832+'DMP-TRIAL-BAL-2020'!P832</f>
        <v>0</v>
      </c>
      <c r="X832" s="525">
        <f>+'NF-KSF-TRIAL-BAL-2020'!Q832+'RA-TRIAL-BAL-2020'!Q832+'DES-TRIAL-BAL-2020'!Q832+'DMP-TRIAL-BAL-2020'!Q832</f>
        <v>0</v>
      </c>
      <c r="Y832" s="526">
        <f>+'NF-KSF-TRIAL-BAL-2020'!R832+'RA-TRIAL-BAL-2020'!R832+'DES-TRIAL-BAL-2020'!R832+'DMP-TRIAL-BAL-2020'!R832</f>
        <v>0</v>
      </c>
      <c r="Z832" s="525">
        <f>+'NF-KSF-TRIAL-BAL-2020'!S832+'RA-TRIAL-BAL-2020'!S832+'DES-TRIAL-BAL-2020'!S832+'DMP-TRIAL-BAL-2020'!S832</f>
        <v>0</v>
      </c>
      <c r="AA832" s="527">
        <f>+'NF-KSF-TRIAL-BAL-2020'!T832+'RA-TRIAL-BAL-2020'!T832+'DES-TRIAL-BAL-2020'!T832+'DMP-TRIAL-BAL-2020'!T832</f>
        <v>0</v>
      </c>
      <c r="AB832" s="51"/>
      <c r="AC832" s="323">
        <v>0</v>
      </c>
      <c r="AD832" s="329">
        <v>0</v>
      </c>
      <c r="AE832" s="325">
        <v>0</v>
      </c>
      <c r="AF832" s="324">
        <v>0</v>
      </c>
      <c r="AG832" s="326">
        <f>+IF(ABS(+AC832+AE832)&gt;=ABS(AD832+AF832),+AC832-AD832+AE832-AF832,0)</f>
        <v>0</v>
      </c>
      <c r="AH832" s="331">
        <v>0</v>
      </c>
      <c r="AI832" s="51"/>
      <c r="AJ832" s="1496">
        <f t="shared" si="423"/>
        <v>9110</v>
      </c>
      <c r="AK832" s="951">
        <f>+ROUND(+O832+V832+AC832,2)</f>
        <v>0</v>
      </c>
      <c r="AL832" s="329">
        <v>0</v>
      </c>
      <c r="AM832" s="326">
        <f t="shared" ref="AM832:AN837" si="425">+ROUND(+Q832+X832+AE832,2)</f>
        <v>0</v>
      </c>
      <c r="AN832" s="970">
        <f t="shared" si="425"/>
        <v>0</v>
      </c>
      <c r="AO832" s="27">
        <f>+S832+Z832+AG832</f>
        <v>0</v>
      </c>
      <c r="AP832" s="331">
        <v>0</v>
      </c>
      <c r="AQ832" s="43"/>
      <c r="AR832" s="358">
        <f t="shared" ref="AR832:AR887" si="426">+ROUND(+SUM(AK832-AL832)-SUM(O832-P832)-SUM(V832-W832)-SUM(AC832-AD832),2)</f>
        <v>0</v>
      </c>
      <c r="AS832" s="359">
        <f t="shared" ref="AS832:AS887" si="427">+ROUND(+SUM(AM832-AN832)-SUM(Q832-R832)-SUM(X832-Y832)-SUM(AE832-AF832),2)</f>
        <v>0</v>
      </c>
      <c r="AT832" s="360">
        <f t="shared" ref="AT832:AT887" si="428">+ROUND(+SUM(AO832-AP832)-SUM(S832-T832)-SUM(Z832-AA832)-SUM(AG832-AH832),2)</f>
        <v>0</v>
      </c>
      <c r="AU832" s="43"/>
      <c r="AV832" s="2120">
        <f>+IF(OR(ROUND(P832,2)+ROUND(R832,2)&gt;+ROUND(O832,2)+ROUND(Q832,2),+ABS(ROUND(P832,2)+ROUND(R832,2))&gt;+ABS(ROUND(O832,2)+ROUND(Q832,2))),+(ROUND(P832,2)+ROUND(R832,2))-(ROUND(O832,2)+ROUND(Q832,2)),0)</f>
        <v>0</v>
      </c>
      <c r="AW832" s="119"/>
      <c r="AX832" s="2120">
        <f>+IF(OR(ROUND(AD832,2)+ROUND(AF832,2)&gt;+ROUND(AC832,2)+ROUND(AE832,2),+ABS(ROUND(AD832,2)+ROUND(AF832,2))&gt;+ABS(ROUND(AC832,2)+ROUND(AE832,2))),+(ROUND(AD832,2)+ROUND(AF832,2))-(ROUND(AC832,2)+ROUND(AE832,2)),0)</f>
        <v>0</v>
      </c>
      <c r="AY832" s="43"/>
      <c r="AZ832" s="43"/>
      <c r="BA832" s="43"/>
      <c r="BB832" s="43"/>
      <c r="BC832" s="43"/>
      <c r="BD832" s="43"/>
    </row>
    <row r="833" spans="1:56" ht="15.75">
      <c r="A833" s="88">
        <v>9120</v>
      </c>
      <c r="B833" s="1042" t="s">
        <v>709</v>
      </c>
      <c r="C833" s="1033"/>
      <c r="D833" s="1033"/>
      <c r="E833" s="1033"/>
      <c r="F833" s="1033"/>
      <c r="G833" s="1033"/>
      <c r="H833" s="1033"/>
      <c r="I833" s="1033"/>
      <c r="J833" s="1033"/>
      <c r="K833" s="1033"/>
      <c r="L833" s="90"/>
      <c r="M833" s="51" t="s">
        <v>265</v>
      </c>
      <c r="N833" s="113">
        <f t="shared" si="424"/>
        <v>9120</v>
      </c>
      <c r="O833" s="120">
        <v>0</v>
      </c>
      <c r="P833" s="9">
        <v>0</v>
      </c>
      <c r="Q833" s="122">
        <v>0</v>
      </c>
      <c r="R833" s="121">
        <v>0</v>
      </c>
      <c r="S833" s="27">
        <f>+IF(ABS(+O833+Q833)&gt;=ABS(P833+R833),+O833-P833+Q833-R833,0)</f>
        <v>0</v>
      </c>
      <c r="T833" s="30">
        <v>0</v>
      </c>
      <c r="U833" s="51"/>
      <c r="V833" s="541">
        <f>+'NF-KSF-TRIAL-BAL-2020'!O833+'RA-TRIAL-BAL-2020'!O833+'DES-TRIAL-BAL-2020'!O833+'DMP-TRIAL-BAL-2020'!O833</f>
        <v>0</v>
      </c>
      <c r="W833" s="529">
        <f>+'NF-KSF-TRIAL-BAL-2020'!P833+'RA-TRIAL-BAL-2020'!P833+'DES-TRIAL-BAL-2020'!P833+'DMP-TRIAL-BAL-2020'!P833</f>
        <v>0</v>
      </c>
      <c r="X833" s="528">
        <f>+'NF-KSF-TRIAL-BAL-2020'!Q833+'RA-TRIAL-BAL-2020'!Q833+'DES-TRIAL-BAL-2020'!Q833+'DMP-TRIAL-BAL-2020'!Q833</f>
        <v>0</v>
      </c>
      <c r="Y833" s="529">
        <f>+'NF-KSF-TRIAL-BAL-2020'!R833+'RA-TRIAL-BAL-2020'!R833+'DES-TRIAL-BAL-2020'!R833+'DMP-TRIAL-BAL-2020'!R833</f>
        <v>0</v>
      </c>
      <c r="Z833" s="528">
        <f>+'NF-KSF-TRIAL-BAL-2020'!S833+'RA-TRIAL-BAL-2020'!S833+'DES-TRIAL-BAL-2020'!S833+'DMP-TRIAL-BAL-2020'!S833</f>
        <v>0</v>
      </c>
      <c r="AA833" s="347">
        <f>+'NF-KSF-TRIAL-BAL-2020'!T833+'RA-TRIAL-BAL-2020'!T833+'DES-TRIAL-BAL-2020'!T833+'DMP-TRIAL-BAL-2020'!T833</f>
        <v>0</v>
      </c>
      <c r="AB833" s="51"/>
      <c r="AC833" s="120">
        <v>0</v>
      </c>
      <c r="AD833" s="9">
        <v>0</v>
      </c>
      <c r="AE833" s="122">
        <v>0</v>
      </c>
      <c r="AF833" s="324">
        <v>0</v>
      </c>
      <c r="AG833" s="27">
        <f>+IF(ABS(+AC833+AE833)&gt;=ABS(AD833+AF833),+AC833-AD833+AE833-AF833,0)</f>
        <v>0</v>
      </c>
      <c r="AH833" s="30">
        <v>0</v>
      </c>
      <c r="AI833" s="51"/>
      <c r="AJ833" s="1497">
        <f t="shared" si="423"/>
        <v>9120</v>
      </c>
      <c r="AK833" s="951">
        <f>+ROUND(+O833+V833+AC833,2)</f>
        <v>0</v>
      </c>
      <c r="AL833" s="9">
        <v>0</v>
      </c>
      <c r="AM833" s="326">
        <f t="shared" si="425"/>
        <v>0</v>
      </c>
      <c r="AN833" s="970">
        <f t="shared" si="425"/>
        <v>0</v>
      </c>
      <c r="AO833" s="27">
        <f>+S833+Z833+AG833</f>
        <v>0</v>
      </c>
      <c r="AP833" s="331">
        <v>0</v>
      </c>
      <c r="AQ833" s="43"/>
      <c r="AR833" s="358">
        <f t="shared" si="426"/>
        <v>0</v>
      </c>
      <c r="AS833" s="359">
        <f t="shared" si="427"/>
        <v>0</v>
      </c>
      <c r="AT833" s="360">
        <f t="shared" si="428"/>
        <v>0</v>
      </c>
      <c r="AU833" s="43"/>
      <c r="AV833" s="2120">
        <f>+IF(OR(ROUND(P833,2)+ROUND(R833,2)&gt;+ROUND(O833,2)+ROUND(Q833,2),+ABS(ROUND(P833,2)+ROUND(R833,2))&gt;+ABS(ROUND(O833,2)+ROUND(Q833,2))),+(ROUND(P833,2)+ROUND(R833,2))-(ROUND(O833,2)+ROUND(Q833,2)),0)</f>
        <v>0</v>
      </c>
      <c r="AW833" s="119"/>
      <c r="AX833" s="2120">
        <f>+IF(OR(ROUND(AD833,2)+ROUND(AF833,2)&gt;+ROUND(AC833,2)+ROUND(AE833,2),+ABS(ROUND(AD833,2)+ROUND(AF833,2))&gt;+ABS(ROUND(AC833,2)+ROUND(AE833,2))),+(ROUND(AD833,2)+ROUND(AF833,2))-(ROUND(AC833,2)+ROUND(AE833,2)),0)</f>
        <v>0</v>
      </c>
      <c r="AY833" s="43"/>
      <c r="AZ833" s="43"/>
      <c r="BA833" s="43"/>
      <c r="BB833" s="43"/>
      <c r="BC833" s="43"/>
      <c r="BD833" s="43"/>
    </row>
    <row r="834" spans="1:56" ht="15.75">
      <c r="A834" s="88">
        <v>9130</v>
      </c>
      <c r="B834" s="1033" t="s">
        <v>376</v>
      </c>
      <c r="C834" s="1033"/>
      <c r="D834" s="1033"/>
      <c r="E834" s="1033"/>
      <c r="F834" s="1033"/>
      <c r="G834" s="1033"/>
      <c r="H834" s="1033"/>
      <c r="I834" s="1033"/>
      <c r="J834" s="1033"/>
      <c r="K834" s="1033"/>
      <c r="L834" s="90"/>
      <c r="M834" s="51" t="s">
        <v>265</v>
      </c>
      <c r="N834" s="113">
        <f t="shared" si="424"/>
        <v>9130</v>
      </c>
      <c r="O834" s="120"/>
      <c r="P834" s="9">
        <v>0</v>
      </c>
      <c r="Q834" s="122"/>
      <c r="R834" s="121"/>
      <c r="S834" s="27">
        <f>+IF(ABS(+O834+Q834)&gt;=ABS(P834+R834),+O834-P834+Q834-R834,0)</f>
        <v>0</v>
      </c>
      <c r="T834" s="30">
        <v>0</v>
      </c>
      <c r="U834" s="51"/>
      <c r="V834" s="541">
        <f>+'NF-KSF-TRIAL-BAL-2020'!O834+'RA-TRIAL-BAL-2020'!O834+'DES-TRIAL-BAL-2020'!O834+'DMP-TRIAL-BAL-2020'!O834</f>
        <v>0</v>
      </c>
      <c r="W834" s="529">
        <f>+'NF-KSF-TRIAL-BAL-2020'!P834+'RA-TRIAL-BAL-2020'!P834+'DES-TRIAL-BAL-2020'!P834+'DMP-TRIAL-BAL-2020'!P834</f>
        <v>0</v>
      </c>
      <c r="X834" s="528">
        <f>+'NF-KSF-TRIAL-BAL-2020'!Q834+'RA-TRIAL-BAL-2020'!Q834+'DES-TRIAL-BAL-2020'!Q834+'DMP-TRIAL-BAL-2020'!Q834</f>
        <v>0</v>
      </c>
      <c r="Y834" s="529">
        <f>+'NF-KSF-TRIAL-BAL-2020'!R834+'RA-TRIAL-BAL-2020'!R834+'DES-TRIAL-BAL-2020'!R834+'DMP-TRIAL-BAL-2020'!R834</f>
        <v>0</v>
      </c>
      <c r="Z834" s="528">
        <f>+'NF-KSF-TRIAL-BAL-2020'!S834+'RA-TRIAL-BAL-2020'!S834+'DES-TRIAL-BAL-2020'!S834+'DMP-TRIAL-BAL-2020'!S834</f>
        <v>0</v>
      </c>
      <c r="AA834" s="347">
        <f>+'NF-KSF-TRIAL-BAL-2020'!T834+'RA-TRIAL-BAL-2020'!T834+'DES-TRIAL-BAL-2020'!T834+'DMP-TRIAL-BAL-2020'!T834</f>
        <v>0</v>
      </c>
      <c r="AB834" s="51"/>
      <c r="AC834" s="120"/>
      <c r="AD834" s="9">
        <v>0</v>
      </c>
      <c r="AE834" s="122"/>
      <c r="AF834" s="324"/>
      <c r="AG834" s="27">
        <f>+IF(ABS(+AC834+AE834)&gt;=ABS(AD834+AF834),+AC834-AD834+AE834-AF834,0)</f>
        <v>0</v>
      </c>
      <c r="AH834" s="30">
        <v>0</v>
      </c>
      <c r="AI834" s="51"/>
      <c r="AJ834" s="1497">
        <f t="shared" si="423"/>
        <v>9130</v>
      </c>
      <c r="AK834" s="951">
        <f>+ROUND(+O834+V834+AC834,2)</f>
        <v>0</v>
      </c>
      <c r="AL834" s="9">
        <v>0</v>
      </c>
      <c r="AM834" s="326">
        <f t="shared" si="425"/>
        <v>0</v>
      </c>
      <c r="AN834" s="970">
        <f t="shared" si="425"/>
        <v>0</v>
      </c>
      <c r="AO834" s="27">
        <f>+S834+Z834+AG834</f>
        <v>0</v>
      </c>
      <c r="AP834" s="331">
        <v>0</v>
      </c>
      <c r="AQ834" s="43"/>
      <c r="AR834" s="358">
        <f t="shared" si="426"/>
        <v>0</v>
      </c>
      <c r="AS834" s="359">
        <f t="shared" si="427"/>
        <v>0</v>
      </c>
      <c r="AT834" s="360">
        <f t="shared" si="428"/>
        <v>0</v>
      </c>
      <c r="AU834" s="43"/>
      <c r="AV834" s="2120">
        <f>+IF(OR(ROUND(P834,2)+ROUND(R834,2)&gt;+ROUND(O834,2)+ROUND(Q834,2),+ABS(ROUND(P834,2)+ROUND(R834,2))&gt;+ABS(ROUND(O834,2)+ROUND(Q834,2))),+(ROUND(P834,2)+ROUND(R834,2))-(ROUND(O834,2)+ROUND(Q834,2)),0)</f>
        <v>0</v>
      </c>
      <c r="AW834" s="119"/>
      <c r="AX834" s="2120">
        <f>+IF(OR(ROUND(AD834,2)+ROUND(AF834,2)&gt;+ROUND(AC834,2)+ROUND(AE834,2),+ABS(ROUND(AD834,2)+ROUND(AF834,2))&gt;+ABS(ROUND(AC834,2)+ROUND(AE834,2))),+(ROUND(AD834,2)+ROUND(AF834,2))-(ROUND(AC834,2)+ROUND(AE834,2)),0)</f>
        <v>0</v>
      </c>
      <c r="AY834" s="43"/>
      <c r="AZ834" s="43"/>
      <c r="BA834" s="43"/>
      <c r="BB834" s="43"/>
      <c r="BC834" s="43"/>
      <c r="BD834" s="43"/>
    </row>
    <row r="835" spans="1:56" ht="15.75">
      <c r="A835" s="88">
        <v>9200</v>
      </c>
      <c r="B835" s="1033" t="s">
        <v>710</v>
      </c>
      <c r="C835" s="1033"/>
      <c r="D835" s="1033"/>
      <c r="E835" s="1033"/>
      <c r="F835" s="1033"/>
      <c r="G835" s="1033"/>
      <c r="H835" s="1033"/>
      <c r="I835" s="1033"/>
      <c r="J835" s="1033"/>
      <c r="K835" s="1033"/>
      <c r="L835" s="90"/>
      <c r="M835" s="51" t="s">
        <v>265</v>
      </c>
      <c r="N835" s="113">
        <f t="shared" si="424"/>
        <v>9200</v>
      </c>
      <c r="O835" s="8">
        <v>0</v>
      </c>
      <c r="P835" s="121">
        <v>57513.279999999999</v>
      </c>
      <c r="Q835" s="122">
        <v>272127.51</v>
      </c>
      <c r="R835" s="324">
        <v>266246.08</v>
      </c>
      <c r="S835" s="29">
        <v>0</v>
      </c>
      <c r="T835" s="28">
        <f>+IF(ABS(+O835+Q835)&lt;=ABS(P835+R835),-O835+P835-Q835+R835,0)</f>
        <v>51631.850000000006</v>
      </c>
      <c r="U835" s="51"/>
      <c r="V835" s="541">
        <f>+'NF-KSF-TRIAL-BAL-2020'!O835+'RA-TRIAL-BAL-2020'!O835+'DES-TRIAL-BAL-2020'!O835+'DMP-TRIAL-BAL-2020'!O835</f>
        <v>0</v>
      </c>
      <c r="W835" s="529">
        <f>+'NF-KSF-TRIAL-BAL-2020'!P835+'RA-TRIAL-BAL-2020'!P835+'DES-TRIAL-BAL-2020'!P835+'DMP-TRIAL-BAL-2020'!P835</f>
        <v>0</v>
      </c>
      <c r="X835" s="528">
        <f>+'NF-KSF-TRIAL-BAL-2020'!Q835+'RA-TRIAL-BAL-2020'!Q835+'DES-TRIAL-BAL-2020'!Q835+'DMP-TRIAL-BAL-2020'!Q835</f>
        <v>0</v>
      </c>
      <c r="Y835" s="529">
        <f>+'NF-KSF-TRIAL-BAL-2020'!R835+'RA-TRIAL-BAL-2020'!R835+'DES-TRIAL-BAL-2020'!R835+'DMP-TRIAL-BAL-2020'!R835</f>
        <v>0</v>
      </c>
      <c r="Z835" s="528">
        <f>+'NF-KSF-TRIAL-BAL-2020'!S835+'RA-TRIAL-BAL-2020'!S835+'DES-TRIAL-BAL-2020'!S835+'DMP-TRIAL-BAL-2020'!S835</f>
        <v>0</v>
      </c>
      <c r="AA835" s="347">
        <f>+'NF-KSF-TRIAL-BAL-2020'!T835+'RA-TRIAL-BAL-2020'!T835+'DES-TRIAL-BAL-2020'!T835+'DMP-TRIAL-BAL-2020'!T835</f>
        <v>0</v>
      </c>
      <c r="AB835" s="51"/>
      <c r="AC835" s="8">
        <v>0</v>
      </c>
      <c r="AD835" s="121">
        <v>0</v>
      </c>
      <c r="AE835" s="122">
        <v>0</v>
      </c>
      <c r="AF835" s="324">
        <v>0</v>
      </c>
      <c r="AG835" s="29">
        <v>0</v>
      </c>
      <c r="AH835" s="28">
        <f>+IF(ABS(+AC835+AE835)&lt;=ABS(AD835+AF835),-AC835+AD835-AE835+AF835,0)</f>
        <v>0</v>
      </c>
      <c r="AI835" s="51"/>
      <c r="AJ835" s="1497">
        <f t="shared" si="423"/>
        <v>9200</v>
      </c>
      <c r="AK835" s="8">
        <v>0</v>
      </c>
      <c r="AL835" s="970">
        <f>+ROUND(+P835+W835+AD835,2)</f>
        <v>57513.279999999999</v>
      </c>
      <c r="AM835" s="326">
        <f t="shared" si="425"/>
        <v>272127.51</v>
      </c>
      <c r="AN835" s="970">
        <f t="shared" si="425"/>
        <v>266246.08</v>
      </c>
      <c r="AO835" s="330">
        <v>0</v>
      </c>
      <c r="AP835" s="28">
        <f>+T835+AA835+AH835</f>
        <v>51631.850000000006</v>
      </c>
      <c r="AQ835" s="43"/>
      <c r="AR835" s="358">
        <f t="shared" si="426"/>
        <v>0</v>
      </c>
      <c r="AS835" s="359">
        <f t="shared" si="427"/>
        <v>0</v>
      </c>
      <c r="AT835" s="360">
        <f t="shared" si="428"/>
        <v>0</v>
      </c>
      <c r="AU835" s="43"/>
      <c r="AV835" s="2119">
        <f>+IF(OR(+ROUND(O835,2)+ROUND(Q835,2)&gt;ROUND(P835,2)+ROUND(R835,2),+ABS(ROUND(O835,2)+ROUND(Q835,2))&gt;+ABS(ROUND(P835,2)+ROUND(R835,2))),+(ROUND(O835,2)+ROUND(Q835,2))-(ROUND(P835,2)+ROUND(R835,2)),0)</f>
        <v>0</v>
      </c>
      <c r="AW835" s="119"/>
      <c r="AX835" s="2119">
        <f>+IF(OR(+ROUND(AC835,2)+ROUND(AE835,2)&gt;ROUND(AD835,2)+ROUND(AF835,2),+ABS(ROUND(AC835,2)+ROUND(AE835,2))&gt;+ABS(ROUND(AD835,2)+ROUND(AF835,2))),+(ROUND(AC835,2)+ROUND(AE835,2))-(ROUND(AD835,2)+ROUND(AF835,2)),0)</f>
        <v>0</v>
      </c>
      <c r="AY835" s="43"/>
      <c r="AZ835" s="43"/>
      <c r="BA835" s="43"/>
      <c r="BB835" s="43"/>
      <c r="BC835" s="43"/>
      <c r="BD835" s="43"/>
    </row>
    <row r="836" spans="1:56" ht="15.75">
      <c r="A836" s="346">
        <v>9208</v>
      </c>
      <c r="B836" s="1042" t="s">
        <v>711</v>
      </c>
      <c r="C836" s="1033"/>
      <c r="D836" s="1033"/>
      <c r="E836" s="1033"/>
      <c r="F836" s="1033"/>
      <c r="G836" s="1033"/>
      <c r="H836" s="1033"/>
      <c r="I836" s="1033"/>
      <c r="J836" s="1033"/>
      <c r="K836" s="1033"/>
      <c r="L836" s="90"/>
      <c r="M836" s="51" t="s">
        <v>265</v>
      </c>
      <c r="N836" s="113">
        <f t="shared" si="424"/>
        <v>9208</v>
      </c>
      <c r="O836" s="8">
        <v>0</v>
      </c>
      <c r="P836" s="121"/>
      <c r="Q836" s="122"/>
      <c r="R836" s="324"/>
      <c r="S836" s="29">
        <v>0</v>
      </c>
      <c r="T836" s="28">
        <f>+IF(ABS(+O836+Q836)&lt;=ABS(P836+R836),-O836+P836-Q836+R836,0)</f>
        <v>0</v>
      </c>
      <c r="U836" s="51"/>
      <c r="V836" s="541">
        <f>+'NF-KSF-TRIAL-BAL-2020'!O836+'RA-TRIAL-BAL-2020'!O836+'DES-TRIAL-BAL-2020'!O836+'DMP-TRIAL-BAL-2020'!O836</f>
        <v>0</v>
      </c>
      <c r="W836" s="529">
        <f>+'NF-KSF-TRIAL-BAL-2020'!P836+'RA-TRIAL-BAL-2020'!P836+'DES-TRIAL-BAL-2020'!P836+'DMP-TRIAL-BAL-2020'!P836</f>
        <v>0</v>
      </c>
      <c r="X836" s="528">
        <f>+'NF-KSF-TRIAL-BAL-2020'!Q836+'RA-TRIAL-BAL-2020'!Q836+'DES-TRIAL-BAL-2020'!Q836+'DMP-TRIAL-BAL-2020'!Q836</f>
        <v>0</v>
      </c>
      <c r="Y836" s="529">
        <f>+'NF-KSF-TRIAL-BAL-2020'!R836+'RA-TRIAL-BAL-2020'!R836+'DES-TRIAL-BAL-2020'!R836+'DMP-TRIAL-BAL-2020'!R836</f>
        <v>0</v>
      </c>
      <c r="Z836" s="528">
        <f>+'NF-KSF-TRIAL-BAL-2020'!S836+'RA-TRIAL-BAL-2020'!S836+'DES-TRIAL-BAL-2020'!S836+'DMP-TRIAL-BAL-2020'!S836</f>
        <v>0</v>
      </c>
      <c r="AA836" s="347">
        <f>+'NF-KSF-TRIAL-BAL-2020'!T836+'RA-TRIAL-BAL-2020'!T836+'DES-TRIAL-BAL-2020'!T836+'DMP-TRIAL-BAL-2020'!T836</f>
        <v>0</v>
      </c>
      <c r="AB836" s="51"/>
      <c r="AC836" s="8">
        <v>0</v>
      </c>
      <c r="AD836" s="121"/>
      <c r="AE836" s="122"/>
      <c r="AF836" s="324"/>
      <c r="AG836" s="29">
        <v>0</v>
      </c>
      <c r="AH836" s="28">
        <f>+IF(ABS(+AC836+AE836)&lt;=ABS(AD836+AF836),-AC836+AD836-AE836+AF836,0)</f>
        <v>0</v>
      </c>
      <c r="AI836" s="51"/>
      <c r="AJ836" s="1497">
        <f t="shared" si="423"/>
        <v>9208</v>
      </c>
      <c r="AK836" s="8">
        <v>0</v>
      </c>
      <c r="AL836" s="970">
        <f>+ROUND(+P836+W836+AD836,2)</f>
        <v>0</v>
      </c>
      <c r="AM836" s="326">
        <f t="shared" si="425"/>
        <v>0</v>
      </c>
      <c r="AN836" s="970">
        <f t="shared" si="425"/>
        <v>0</v>
      </c>
      <c r="AO836" s="330">
        <v>0</v>
      </c>
      <c r="AP836" s="28">
        <f>+T836+AA836+AH836</f>
        <v>0</v>
      </c>
      <c r="AQ836" s="43"/>
      <c r="AR836" s="358">
        <f t="shared" si="426"/>
        <v>0</v>
      </c>
      <c r="AS836" s="359">
        <f t="shared" si="427"/>
        <v>0</v>
      </c>
      <c r="AT836" s="360">
        <f t="shared" si="428"/>
        <v>0</v>
      </c>
      <c r="AU836" s="43"/>
      <c r="AV836" s="2119">
        <f>+IF(OR(+ROUND(O836,2)+ROUND(Q836,2)&gt;ROUND(P836,2)+ROUND(R836,2),+ABS(ROUND(O836,2)+ROUND(Q836,2))&gt;+ABS(ROUND(P836,2)+ROUND(R836,2))),+(ROUND(O836,2)+ROUND(Q836,2))-(ROUND(P836,2)+ROUND(R836,2)),0)</f>
        <v>0</v>
      </c>
      <c r="AW836" s="119"/>
      <c r="AX836" s="2119">
        <f>+IF(OR(+ROUND(AC836,2)+ROUND(AE836,2)&gt;ROUND(AD836,2)+ROUND(AF836,2),+ABS(ROUND(AC836,2)+ROUND(AE836,2))&gt;+ABS(ROUND(AD836,2)+ROUND(AF836,2))),+(ROUND(AC836,2)+ROUND(AE836,2))-(ROUND(AD836,2)+ROUND(AF836,2)),0)</f>
        <v>0</v>
      </c>
      <c r="AY836" s="43"/>
      <c r="AZ836" s="43"/>
      <c r="BA836" s="43"/>
      <c r="BB836" s="43"/>
      <c r="BC836" s="43"/>
      <c r="BD836" s="43"/>
    </row>
    <row r="837" spans="1:56" ht="15.75">
      <c r="A837" s="88">
        <v>9211</v>
      </c>
      <c r="B837" s="378" t="s">
        <v>712</v>
      </c>
      <c r="C837" s="1033"/>
      <c r="D837" s="1033"/>
      <c r="E837" s="1033"/>
      <c r="F837" s="1033"/>
      <c r="G837" s="1033"/>
      <c r="H837" s="1033"/>
      <c r="I837" s="1033"/>
      <c r="J837" s="1033"/>
      <c r="K837" s="1033"/>
      <c r="L837" s="90"/>
      <c r="M837" s="51" t="s">
        <v>265</v>
      </c>
      <c r="N837" s="113">
        <f t="shared" si="424"/>
        <v>9211</v>
      </c>
      <c r="O837" s="120"/>
      <c r="P837" s="9">
        <v>0</v>
      </c>
      <c r="Q837" s="122"/>
      <c r="R837" s="324"/>
      <c r="S837" s="27">
        <f>+IF(ABS(+O837+Q837)&gt;=ABS(P837+R837),+O837-P837+Q837-R837,0)</f>
        <v>0</v>
      </c>
      <c r="T837" s="30">
        <v>0</v>
      </c>
      <c r="U837" s="51"/>
      <c r="V837" s="541">
        <f>+'NF-KSF-TRIAL-BAL-2020'!O837+'RA-TRIAL-BAL-2020'!O837+'DES-TRIAL-BAL-2020'!O837+'DMP-TRIAL-BAL-2020'!O837</f>
        <v>0</v>
      </c>
      <c r="W837" s="529">
        <f>+'NF-KSF-TRIAL-BAL-2020'!P837+'RA-TRIAL-BAL-2020'!P837+'DES-TRIAL-BAL-2020'!P837+'DMP-TRIAL-BAL-2020'!P837</f>
        <v>0</v>
      </c>
      <c r="X837" s="528">
        <f>+'NF-KSF-TRIAL-BAL-2020'!Q837+'RA-TRIAL-BAL-2020'!Q837+'DES-TRIAL-BAL-2020'!Q837+'DMP-TRIAL-BAL-2020'!Q837</f>
        <v>0</v>
      </c>
      <c r="Y837" s="529">
        <f>+'NF-KSF-TRIAL-BAL-2020'!R837+'RA-TRIAL-BAL-2020'!R837+'DES-TRIAL-BAL-2020'!R837+'DMP-TRIAL-BAL-2020'!R837</f>
        <v>0</v>
      </c>
      <c r="Z837" s="528">
        <f>+'NF-KSF-TRIAL-BAL-2020'!S837+'RA-TRIAL-BAL-2020'!S837+'DES-TRIAL-BAL-2020'!S837+'DMP-TRIAL-BAL-2020'!S837</f>
        <v>0</v>
      </c>
      <c r="AA837" s="347">
        <f>+'NF-KSF-TRIAL-BAL-2020'!T837+'RA-TRIAL-BAL-2020'!T837+'DES-TRIAL-BAL-2020'!T837+'DMP-TRIAL-BAL-2020'!T837</f>
        <v>0</v>
      </c>
      <c r="AB837" s="51"/>
      <c r="AC837" s="120"/>
      <c r="AD837" s="9">
        <v>0</v>
      </c>
      <c r="AE837" s="122"/>
      <c r="AF837" s="324"/>
      <c r="AG837" s="27">
        <f>+IF(ABS(+AC837+AE837)&gt;=ABS(AD837+AF837),+AC837-AD837+AE837-AF837,0)</f>
        <v>0</v>
      </c>
      <c r="AH837" s="30">
        <v>0</v>
      </c>
      <c r="AI837" s="51"/>
      <c r="AJ837" s="1497">
        <f>+N837</f>
        <v>9211</v>
      </c>
      <c r="AK837" s="951">
        <f>+ROUND(+O837+V837+AC837,2)</f>
        <v>0</v>
      </c>
      <c r="AL837" s="9">
        <v>0</v>
      </c>
      <c r="AM837" s="326">
        <f t="shared" si="425"/>
        <v>0</v>
      </c>
      <c r="AN837" s="970">
        <f t="shared" si="425"/>
        <v>0</v>
      </c>
      <c r="AO837" s="27">
        <f>+S837+Z837+AG837</f>
        <v>0</v>
      </c>
      <c r="AP837" s="331">
        <v>0</v>
      </c>
      <c r="AQ837" s="43"/>
      <c r="AR837" s="358">
        <f t="shared" si="426"/>
        <v>0</v>
      </c>
      <c r="AS837" s="359">
        <f t="shared" si="427"/>
        <v>0</v>
      </c>
      <c r="AT837" s="360">
        <f t="shared" si="428"/>
        <v>0</v>
      </c>
      <c r="AU837" s="43"/>
      <c r="AV837" s="2120">
        <f>+IF(OR(ROUND(P837,2)+ROUND(R837,2)&gt;+ROUND(O837,2)+ROUND(Q837,2),+ABS(ROUND(P837,2)+ROUND(R837,2))&gt;+ABS(ROUND(O837,2)+ROUND(Q837,2))),+(ROUND(P837,2)+ROUND(R837,2))-(ROUND(O837,2)+ROUND(Q837,2)),0)</f>
        <v>0</v>
      </c>
      <c r="AW837" s="119"/>
      <c r="AX837" s="2120">
        <f>+IF(OR(ROUND(AD837,2)+ROUND(AF837,2)&gt;+ROUND(AC837,2)+ROUND(AE837,2),+ABS(ROUND(AD837,2)+ROUND(AF837,2))&gt;+ABS(ROUND(AC837,2)+ROUND(AE837,2))),+(ROUND(AD837,2)+ROUND(AF837,2))-(ROUND(AC837,2)+ROUND(AE837,2)),0)</f>
        <v>0</v>
      </c>
      <c r="AY837" s="43"/>
      <c r="AZ837" s="43"/>
      <c r="BA837" s="43"/>
      <c r="BB837" s="43"/>
      <c r="BC837" s="43"/>
      <c r="BD837" s="43"/>
    </row>
    <row r="838" spans="1:56" ht="15.75">
      <c r="A838" s="88">
        <v>9212</v>
      </c>
      <c r="B838" s="378" t="s">
        <v>713</v>
      </c>
      <c r="C838" s="1033"/>
      <c r="D838" s="1033"/>
      <c r="E838" s="1033"/>
      <c r="F838" s="1033"/>
      <c r="G838" s="1033"/>
      <c r="H838" s="1033"/>
      <c r="I838" s="1033"/>
      <c r="J838" s="1033"/>
      <c r="K838" s="1033"/>
      <c r="L838" s="90"/>
      <c r="M838" s="51" t="s">
        <v>265</v>
      </c>
      <c r="N838" s="113">
        <f t="shared" si="424"/>
        <v>9212</v>
      </c>
      <c r="O838" s="120"/>
      <c r="P838" s="9">
        <v>0</v>
      </c>
      <c r="Q838" s="122"/>
      <c r="R838" s="324"/>
      <c r="S838" s="27">
        <f>+IF(ABS(+O838+Q838)&gt;=ABS(P838+R838),+O838-P838+Q838-R838,0)</f>
        <v>0</v>
      </c>
      <c r="T838" s="30">
        <v>0</v>
      </c>
      <c r="U838" s="51"/>
      <c r="V838" s="541">
        <f>+'NF-KSF-TRIAL-BAL-2020'!O838+'RA-TRIAL-BAL-2020'!O838+'DES-TRIAL-BAL-2020'!O838+'DMP-TRIAL-BAL-2020'!O838</f>
        <v>0</v>
      </c>
      <c r="W838" s="529">
        <f>+'NF-KSF-TRIAL-BAL-2020'!P838+'RA-TRIAL-BAL-2020'!P838+'DES-TRIAL-BAL-2020'!P838+'DMP-TRIAL-BAL-2020'!P838</f>
        <v>0</v>
      </c>
      <c r="X838" s="528">
        <f>+'NF-KSF-TRIAL-BAL-2020'!Q838+'RA-TRIAL-BAL-2020'!Q838+'DES-TRIAL-BAL-2020'!Q838+'DMP-TRIAL-BAL-2020'!Q838</f>
        <v>0</v>
      </c>
      <c r="Y838" s="529">
        <f>+'NF-KSF-TRIAL-BAL-2020'!R838+'RA-TRIAL-BAL-2020'!R838+'DES-TRIAL-BAL-2020'!R838+'DMP-TRIAL-BAL-2020'!R838</f>
        <v>0</v>
      </c>
      <c r="Z838" s="528">
        <f>+'NF-KSF-TRIAL-BAL-2020'!S838+'RA-TRIAL-BAL-2020'!S838+'DES-TRIAL-BAL-2020'!S838+'DMP-TRIAL-BAL-2020'!S838</f>
        <v>0</v>
      </c>
      <c r="AA838" s="347">
        <f>+'NF-KSF-TRIAL-BAL-2020'!T838+'RA-TRIAL-BAL-2020'!T838+'DES-TRIAL-BAL-2020'!T838+'DMP-TRIAL-BAL-2020'!T838</f>
        <v>0</v>
      </c>
      <c r="AB838" s="51"/>
      <c r="AC838" s="120"/>
      <c r="AD838" s="9">
        <v>0</v>
      </c>
      <c r="AE838" s="122"/>
      <c r="AF838" s="324"/>
      <c r="AG838" s="27">
        <f>+IF(ABS(+AC838+AE838)&gt;=ABS(AD838+AF838),+AC838-AD838+AE838-AF838,0)</f>
        <v>0</v>
      </c>
      <c r="AH838" s="30">
        <v>0</v>
      </c>
      <c r="AI838" s="51"/>
      <c r="AJ838" s="1497">
        <f t="shared" si="423"/>
        <v>9212</v>
      </c>
      <c r="AK838" s="951">
        <f>+ROUND(+O838+V838+AC838,2)</f>
        <v>0</v>
      </c>
      <c r="AL838" s="9">
        <v>0</v>
      </c>
      <c r="AM838" s="326">
        <f t="shared" ref="AM838:AN887" si="429">+ROUND(+Q838+X838+AE838,2)</f>
        <v>0</v>
      </c>
      <c r="AN838" s="970">
        <f t="shared" si="429"/>
        <v>0</v>
      </c>
      <c r="AO838" s="27">
        <f>+S838+Z838+AG838</f>
        <v>0</v>
      </c>
      <c r="AP838" s="331">
        <v>0</v>
      </c>
      <c r="AQ838" s="43"/>
      <c r="AR838" s="358">
        <f t="shared" si="426"/>
        <v>0</v>
      </c>
      <c r="AS838" s="359">
        <f t="shared" si="427"/>
        <v>0</v>
      </c>
      <c r="AT838" s="360">
        <f t="shared" si="428"/>
        <v>0</v>
      </c>
      <c r="AU838" s="43"/>
      <c r="AV838" s="2120">
        <f>+IF(OR(ROUND(P838,2)+ROUND(R838,2)&gt;+ROUND(O838,2)+ROUND(Q838,2),+ABS(ROUND(P838,2)+ROUND(R838,2))&gt;+ABS(ROUND(O838,2)+ROUND(Q838,2))),+(ROUND(P838,2)+ROUND(R838,2))-(ROUND(O838,2)+ROUND(Q838,2)),0)</f>
        <v>0</v>
      </c>
      <c r="AW838" s="119"/>
      <c r="AX838" s="2120">
        <f>+IF(OR(ROUND(AD838,2)+ROUND(AF838,2)&gt;+ROUND(AC838,2)+ROUND(AE838,2),+ABS(ROUND(AD838,2)+ROUND(AF838,2))&gt;+ABS(ROUND(AC838,2)+ROUND(AE838,2))),+(ROUND(AD838,2)+ROUND(AF838,2))-(ROUND(AC838,2)+ROUND(AE838,2)),0)</f>
        <v>0</v>
      </c>
      <c r="AY838" s="43"/>
      <c r="AZ838" s="43"/>
      <c r="BA838" s="43"/>
      <c r="BB838" s="43"/>
      <c r="BC838" s="43"/>
      <c r="BD838" s="43"/>
    </row>
    <row r="839" spans="1:56" ht="15.75">
      <c r="A839" s="88">
        <v>9214</v>
      </c>
      <c r="B839" s="1033" t="s">
        <v>714</v>
      </c>
      <c r="C839" s="1033"/>
      <c r="D839" s="1033"/>
      <c r="E839" s="1033"/>
      <c r="F839" s="1033"/>
      <c r="G839" s="1033"/>
      <c r="H839" s="1033"/>
      <c r="I839" s="1033"/>
      <c r="J839" s="1033"/>
      <c r="K839" s="1033"/>
      <c r="L839" s="90"/>
      <c r="M839" s="51" t="s">
        <v>265</v>
      </c>
      <c r="N839" s="113">
        <f t="shared" si="424"/>
        <v>9214</v>
      </c>
      <c r="O839" s="120"/>
      <c r="P839" s="9">
        <v>0</v>
      </c>
      <c r="Q839" s="122"/>
      <c r="R839" s="324"/>
      <c r="S839" s="27">
        <f>+IF(ABS(+O839+Q839)&gt;=ABS(P839+R839),+O839-P839+Q839-R839,0)</f>
        <v>0</v>
      </c>
      <c r="T839" s="30">
        <v>0</v>
      </c>
      <c r="U839" s="51"/>
      <c r="V839" s="541">
        <f>+'NF-KSF-TRIAL-BAL-2020'!O839+'RA-TRIAL-BAL-2020'!O839+'DES-TRIAL-BAL-2020'!O839+'DMP-TRIAL-BAL-2020'!O839</f>
        <v>0</v>
      </c>
      <c r="W839" s="529">
        <f>+'NF-KSF-TRIAL-BAL-2020'!P839+'RA-TRIAL-BAL-2020'!P839+'DES-TRIAL-BAL-2020'!P839+'DMP-TRIAL-BAL-2020'!P839</f>
        <v>0</v>
      </c>
      <c r="X839" s="528">
        <f>+'NF-KSF-TRIAL-BAL-2020'!Q839+'RA-TRIAL-BAL-2020'!Q839+'DES-TRIAL-BAL-2020'!Q839+'DMP-TRIAL-BAL-2020'!Q839</f>
        <v>0</v>
      </c>
      <c r="Y839" s="529">
        <f>+'NF-KSF-TRIAL-BAL-2020'!R839+'RA-TRIAL-BAL-2020'!R839+'DES-TRIAL-BAL-2020'!R839+'DMP-TRIAL-BAL-2020'!R839</f>
        <v>0</v>
      </c>
      <c r="Z839" s="528">
        <f>+'NF-KSF-TRIAL-BAL-2020'!S839+'RA-TRIAL-BAL-2020'!S839+'DES-TRIAL-BAL-2020'!S839+'DMP-TRIAL-BAL-2020'!S839</f>
        <v>0</v>
      </c>
      <c r="AA839" s="347">
        <f>+'NF-KSF-TRIAL-BAL-2020'!T839+'RA-TRIAL-BAL-2020'!T839+'DES-TRIAL-BAL-2020'!T839+'DMP-TRIAL-BAL-2020'!T839</f>
        <v>0</v>
      </c>
      <c r="AB839" s="51"/>
      <c r="AC839" s="120"/>
      <c r="AD839" s="9">
        <v>0</v>
      </c>
      <c r="AE839" s="122"/>
      <c r="AF839" s="324"/>
      <c r="AG839" s="27">
        <f>+IF(ABS(+AC839+AE839)&gt;=ABS(AD839+AF839),+AC839-AD839+AE839-AF839,0)</f>
        <v>0</v>
      </c>
      <c r="AH839" s="30">
        <v>0</v>
      </c>
      <c r="AI839" s="51"/>
      <c r="AJ839" s="1497">
        <f t="shared" si="423"/>
        <v>9214</v>
      </c>
      <c r="AK839" s="951">
        <f>+ROUND(+O839+V839+AC839,2)</f>
        <v>0</v>
      </c>
      <c r="AL839" s="9">
        <v>0</v>
      </c>
      <c r="AM839" s="326">
        <f t="shared" si="429"/>
        <v>0</v>
      </c>
      <c r="AN839" s="970">
        <f t="shared" si="429"/>
        <v>0</v>
      </c>
      <c r="AO839" s="27">
        <f>+S839+Z839+AG839</f>
        <v>0</v>
      </c>
      <c r="AP839" s="331">
        <v>0</v>
      </c>
      <c r="AQ839" s="43"/>
      <c r="AR839" s="358">
        <f t="shared" si="426"/>
        <v>0</v>
      </c>
      <c r="AS839" s="359">
        <f t="shared" si="427"/>
        <v>0</v>
      </c>
      <c r="AT839" s="360">
        <f t="shared" si="428"/>
        <v>0</v>
      </c>
      <c r="AU839" s="43"/>
      <c r="AV839" s="2120">
        <f>+IF(OR(ROUND(P839,2)+ROUND(R839,2)&gt;+ROUND(O839,2)+ROUND(Q839,2),+ABS(ROUND(P839,2)+ROUND(R839,2))&gt;+ABS(ROUND(O839,2)+ROUND(Q839,2))),+(ROUND(P839,2)+ROUND(R839,2))-(ROUND(O839,2)+ROUND(Q839,2)),0)</f>
        <v>0</v>
      </c>
      <c r="AW839" s="119"/>
      <c r="AX839" s="2120">
        <f>+IF(OR(ROUND(AD839,2)+ROUND(AF839,2)&gt;+ROUND(AC839,2)+ROUND(AE839,2),+ABS(ROUND(AD839,2)+ROUND(AF839,2))&gt;+ABS(ROUND(AC839,2)+ROUND(AE839,2))),+(ROUND(AD839,2)+ROUND(AF839,2))-(ROUND(AC839,2)+ROUND(AE839,2)),0)</f>
        <v>0</v>
      </c>
      <c r="AY839" s="43"/>
      <c r="AZ839" s="43"/>
      <c r="BA839" s="43"/>
      <c r="BB839" s="43"/>
      <c r="BC839" s="43"/>
      <c r="BD839" s="43"/>
    </row>
    <row r="840" spans="1:56" ht="15.75">
      <c r="A840" s="88">
        <v>9215</v>
      </c>
      <c r="B840" s="1033" t="s">
        <v>715</v>
      </c>
      <c r="C840" s="1033"/>
      <c r="D840" s="1033"/>
      <c r="E840" s="1033"/>
      <c r="F840" s="1033"/>
      <c r="G840" s="1033"/>
      <c r="H840" s="1033"/>
      <c r="I840" s="1033"/>
      <c r="J840" s="1033"/>
      <c r="K840" s="1033"/>
      <c r="L840" s="90"/>
      <c r="M840" s="51" t="s">
        <v>265</v>
      </c>
      <c r="N840" s="113">
        <f t="shared" si="424"/>
        <v>9215</v>
      </c>
      <c r="O840" s="120"/>
      <c r="P840" s="9">
        <v>0</v>
      </c>
      <c r="Q840" s="122"/>
      <c r="R840" s="324"/>
      <c r="S840" s="27">
        <f>+IF(ABS(+O840+Q840)&gt;=ABS(P840+R840),+O840-P840+Q840-R840,0)</f>
        <v>0</v>
      </c>
      <c r="T840" s="30">
        <v>0</v>
      </c>
      <c r="U840" s="51"/>
      <c r="V840" s="541">
        <f>+'NF-KSF-TRIAL-BAL-2020'!O840+'RA-TRIAL-BAL-2020'!O840+'DES-TRIAL-BAL-2020'!O840+'DMP-TRIAL-BAL-2020'!O840</f>
        <v>0</v>
      </c>
      <c r="W840" s="529">
        <f>+'NF-KSF-TRIAL-BAL-2020'!P840+'RA-TRIAL-BAL-2020'!P840+'DES-TRIAL-BAL-2020'!P840+'DMP-TRIAL-BAL-2020'!P840</f>
        <v>0</v>
      </c>
      <c r="X840" s="528">
        <f>+'NF-KSF-TRIAL-BAL-2020'!Q840+'RA-TRIAL-BAL-2020'!Q840+'DES-TRIAL-BAL-2020'!Q840+'DMP-TRIAL-BAL-2020'!Q840</f>
        <v>0</v>
      </c>
      <c r="Y840" s="529">
        <f>+'NF-KSF-TRIAL-BAL-2020'!R840+'RA-TRIAL-BAL-2020'!R840+'DES-TRIAL-BAL-2020'!R840+'DMP-TRIAL-BAL-2020'!R840</f>
        <v>0</v>
      </c>
      <c r="Z840" s="528">
        <f>+'NF-KSF-TRIAL-BAL-2020'!S840+'RA-TRIAL-BAL-2020'!S840+'DES-TRIAL-BAL-2020'!S840+'DMP-TRIAL-BAL-2020'!S840</f>
        <v>0</v>
      </c>
      <c r="AA840" s="347">
        <f>+'NF-KSF-TRIAL-BAL-2020'!T840+'RA-TRIAL-BAL-2020'!T840+'DES-TRIAL-BAL-2020'!T840+'DMP-TRIAL-BAL-2020'!T840</f>
        <v>0</v>
      </c>
      <c r="AB840" s="51"/>
      <c r="AC840" s="120"/>
      <c r="AD840" s="9">
        <v>0</v>
      </c>
      <c r="AE840" s="122"/>
      <c r="AF840" s="324"/>
      <c r="AG840" s="27">
        <f>+IF(ABS(+AC840+AE840)&gt;=ABS(AD840+AF840),+AC840-AD840+AE840-AF840,0)</f>
        <v>0</v>
      </c>
      <c r="AH840" s="30">
        <v>0</v>
      </c>
      <c r="AI840" s="51"/>
      <c r="AJ840" s="1497">
        <f t="shared" si="423"/>
        <v>9215</v>
      </c>
      <c r="AK840" s="951">
        <f>+ROUND(+O840+V840+AC840,2)</f>
        <v>0</v>
      </c>
      <c r="AL840" s="9">
        <v>0</v>
      </c>
      <c r="AM840" s="326">
        <f t="shared" si="429"/>
        <v>0</v>
      </c>
      <c r="AN840" s="970">
        <f t="shared" si="429"/>
        <v>0</v>
      </c>
      <c r="AO840" s="27">
        <f>+S840+Z840+AG840</f>
        <v>0</v>
      </c>
      <c r="AP840" s="331">
        <v>0</v>
      </c>
      <c r="AQ840" s="43"/>
      <c r="AR840" s="358">
        <f t="shared" si="426"/>
        <v>0</v>
      </c>
      <c r="AS840" s="359">
        <f t="shared" si="427"/>
        <v>0</v>
      </c>
      <c r="AT840" s="360">
        <f t="shared" si="428"/>
        <v>0</v>
      </c>
      <c r="AU840" s="43"/>
      <c r="AV840" s="2120">
        <f>+IF(OR(ROUND(P840,2)+ROUND(R840,2)&gt;+ROUND(O840,2)+ROUND(Q840,2),+ABS(ROUND(P840,2)+ROUND(R840,2))&gt;+ABS(ROUND(O840,2)+ROUND(Q840,2))),+(ROUND(P840,2)+ROUND(R840,2))-(ROUND(O840,2)+ROUND(Q840,2)),0)</f>
        <v>0</v>
      </c>
      <c r="AW840" s="119"/>
      <c r="AX840" s="2120">
        <f>+IF(OR(ROUND(AD840,2)+ROUND(AF840,2)&gt;+ROUND(AC840,2)+ROUND(AE840,2),+ABS(ROUND(AD840,2)+ROUND(AF840,2))&gt;+ABS(ROUND(AC840,2)+ROUND(AE840,2))),+(ROUND(AD840,2)+ROUND(AF840,2))-(ROUND(AC840,2)+ROUND(AE840,2)),0)</f>
        <v>0</v>
      </c>
      <c r="AY840" s="43"/>
      <c r="AZ840" s="43"/>
      <c r="BA840" s="43"/>
      <c r="BB840" s="43"/>
      <c r="BC840" s="43"/>
      <c r="BD840" s="43"/>
    </row>
    <row r="841" spans="1:56" ht="15.75">
      <c r="A841" s="88">
        <v>9216</v>
      </c>
      <c r="B841" s="1033" t="s">
        <v>716</v>
      </c>
      <c r="C841" s="1033"/>
      <c r="D841" s="1033"/>
      <c r="E841" s="1033"/>
      <c r="F841" s="1033"/>
      <c r="G841" s="1033"/>
      <c r="H841" s="1033"/>
      <c r="I841" s="1033"/>
      <c r="J841" s="1033"/>
      <c r="K841" s="1033"/>
      <c r="L841" s="90"/>
      <c r="M841" s="51" t="s">
        <v>265</v>
      </c>
      <c r="N841" s="113">
        <f t="shared" si="424"/>
        <v>9216</v>
      </c>
      <c r="O841" s="120"/>
      <c r="P841" s="9">
        <v>0</v>
      </c>
      <c r="Q841" s="122"/>
      <c r="R841" s="324"/>
      <c r="S841" s="27">
        <f>+IF(ABS(+O841+Q841)&gt;=ABS(P841+R841),+O841-P841+Q841-R841,0)</f>
        <v>0</v>
      </c>
      <c r="T841" s="30">
        <v>0</v>
      </c>
      <c r="U841" s="51"/>
      <c r="V841" s="541">
        <f>+'NF-KSF-TRIAL-BAL-2020'!O841+'RA-TRIAL-BAL-2020'!O841+'DES-TRIAL-BAL-2020'!O841+'DMP-TRIAL-BAL-2020'!O841</f>
        <v>0</v>
      </c>
      <c r="W841" s="529">
        <f>+'NF-KSF-TRIAL-BAL-2020'!P841+'RA-TRIAL-BAL-2020'!P841+'DES-TRIAL-BAL-2020'!P841+'DMP-TRIAL-BAL-2020'!P841</f>
        <v>0</v>
      </c>
      <c r="X841" s="528">
        <f>+'NF-KSF-TRIAL-BAL-2020'!Q841+'RA-TRIAL-BAL-2020'!Q841+'DES-TRIAL-BAL-2020'!Q841+'DMP-TRIAL-BAL-2020'!Q841</f>
        <v>0</v>
      </c>
      <c r="Y841" s="529">
        <f>+'NF-KSF-TRIAL-BAL-2020'!R841+'RA-TRIAL-BAL-2020'!R841+'DES-TRIAL-BAL-2020'!R841+'DMP-TRIAL-BAL-2020'!R841</f>
        <v>0</v>
      </c>
      <c r="Z841" s="528">
        <f>+'NF-KSF-TRIAL-BAL-2020'!S841+'RA-TRIAL-BAL-2020'!S841+'DES-TRIAL-BAL-2020'!S841+'DMP-TRIAL-BAL-2020'!S841</f>
        <v>0</v>
      </c>
      <c r="AA841" s="347">
        <f>+'NF-KSF-TRIAL-BAL-2020'!T841+'RA-TRIAL-BAL-2020'!T841+'DES-TRIAL-BAL-2020'!T841+'DMP-TRIAL-BAL-2020'!T841</f>
        <v>0</v>
      </c>
      <c r="AB841" s="51"/>
      <c r="AC841" s="120"/>
      <c r="AD841" s="9">
        <v>0</v>
      </c>
      <c r="AE841" s="122"/>
      <c r="AF841" s="324"/>
      <c r="AG841" s="27">
        <f>+IF(ABS(+AC841+AE841)&gt;=ABS(AD841+AF841),+AC841-AD841+AE841-AF841,0)</f>
        <v>0</v>
      </c>
      <c r="AH841" s="30">
        <v>0</v>
      </c>
      <c r="AI841" s="51"/>
      <c r="AJ841" s="1497">
        <f t="shared" si="423"/>
        <v>9216</v>
      </c>
      <c r="AK841" s="951">
        <f>+ROUND(+O841+V841+AC841,2)</f>
        <v>0</v>
      </c>
      <c r="AL841" s="9">
        <v>0</v>
      </c>
      <c r="AM841" s="326">
        <f t="shared" si="429"/>
        <v>0</v>
      </c>
      <c r="AN841" s="970">
        <f t="shared" si="429"/>
        <v>0</v>
      </c>
      <c r="AO841" s="27">
        <f>+S841+Z841+AG841</f>
        <v>0</v>
      </c>
      <c r="AP841" s="331">
        <v>0</v>
      </c>
      <c r="AQ841" s="43"/>
      <c r="AR841" s="358">
        <f t="shared" si="426"/>
        <v>0</v>
      </c>
      <c r="AS841" s="359">
        <f t="shared" si="427"/>
        <v>0</v>
      </c>
      <c r="AT841" s="360">
        <f t="shared" si="428"/>
        <v>0</v>
      </c>
      <c r="AU841" s="43"/>
      <c r="AV841" s="2120">
        <f>+IF(OR(ROUND(P841,2)+ROUND(R841,2)&gt;+ROUND(O841,2)+ROUND(Q841,2),+ABS(ROUND(P841,2)+ROUND(R841,2))&gt;+ABS(ROUND(O841,2)+ROUND(Q841,2))),+(ROUND(P841,2)+ROUND(R841,2))-(ROUND(O841,2)+ROUND(Q841,2)),0)</f>
        <v>0</v>
      </c>
      <c r="AW841" s="119"/>
      <c r="AX841" s="2120">
        <f>+IF(OR(ROUND(AD841,2)+ROUND(AF841,2)&gt;+ROUND(AC841,2)+ROUND(AE841,2),+ABS(ROUND(AD841,2)+ROUND(AF841,2))&gt;+ABS(ROUND(AC841,2)+ROUND(AE841,2))),+(ROUND(AD841,2)+ROUND(AF841,2))-(ROUND(AC841,2)+ROUND(AE841,2)),0)</f>
        <v>0</v>
      </c>
      <c r="AY841" s="43"/>
      <c r="AZ841" s="43"/>
      <c r="BA841" s="43"/>
      <c r="BB841" s="43"/>
      <c r="BC841" s="43"/>
      <c r="BD841" s="43"/>
    </row>
    <row r="842" spans="1:56" ht="15.75">
      <c r="A842" s="88">
        <v>9221</v>
      </c>
      <c r="B842" s="1033" t="s">
        <v>717</v>
      </c>
      <c r="C842" s="1033"/>
      <c r="D842" s="1033"/>
      <c r="E842" s="1033"/>
      <c r="F842" s="1033"/>
      <c r="G842" s="1033"/>
      <c r="H842" s="1033"/>
      <c r="I842" s="1033"/>
      <c r="J842" s="1033"/>
      <c r="K842" s="1033"/>
      <c r="L842" s="90"/>
      <c r="M842" s="51" t="s">
        <v>265</v>
      </c>
      <c r="N842" s="113">
        <f t="shared" si="424"/>
        <v>9221</v>
      </c>
      <c r="O842" s="8">
        <v>0</v>
      </c>
      <c r="P842" s="121"/>
      <c r="Q842" s="122"/>
      <c r="R842" s="324"/>
      <c r="S842" s="29">
        <v>0</v>
      </c>
      <c r="T842" s="28">
        <f>+IF(ABS(+O842+Q842)&lt;=ABS(P842+R842),-O842+P842-Q842+R842,0)</f>
        <v>0</v>
      </c>
      <c r="U842" s="51"/>
      <c r="V842" s="541">
        <f>+'NF-KSF-TRIAL-BAL-2020'!O842+'RA-TRIAL-BAL-2020'!O842+'DES-TRIAL-BAL-2020'!O842+'DMP-TRIAL-BAL-2020'!O842</f>
        <v>0</v>
      </c>
      <c r="W842" s="529">
        <f>+'NF-KSF-TRIAL-BAL-2020'!P842+'RA-TRIAL-BAL-2020'!P842+'DES-TRIAL-BAL-2020'!P842+'DMP-TRIAL-BAL-2020'!P842</f>
        <v>0</v>
      </c>
      <c r="X842" s="528">
        <f>+'NF-KSF-TRIAL-BAL-2020'!Q842+'RA-TRIAL-BAL-2020'!Q842+'DES-TRIAL-BAL-2020'!Q842+'DMP-TRIAL-BAL-2020'!Q842</f>
        <v>0</v>
      </c>
      <c r="Y842" s="529">
        <f>+'NF-KSF-TRIAL-BAL-2020'!R842+'RA-TRIAL-BAL-2020'!R842+'DES-TRIAL-BAL-2020'!R842+'DMP-TRIAL-BAL-2020'!R842</f>
        <v>0</v>
      </c>
      <c r="Z842" s="528">
        <f>+'NF-KSF-TRIAL-BAL-2020'!S842+'RA-TRIAL-BAL-2020'!S842+'DES-TRIAL-BAL-2020'!S842+'DMP-TRIAL-BAL-2020'!S842</f>
        <v>0</v>
      </c>
      <c r="AA842" s="347">
        <f>+'NF-KSF-TRIAL-BAL-2020'!T842+'RA-TRIAL-BAL-2020'!T842+'DES-TRIAL-BAL-2020'!T842+'DMP-TRIAL-BAL-2020'!T842</f>
        <v>0</v>
      </c>
      <c r="AB842" s="51"/>
      <c r="AC842" s="8">
        <v>0</v>
      </c>
      <c r="AD842" s="121"/>
      <c r="AE842" s="122"/>
      <c r="AF842" s="324"/>
      <c r="AG842" s="29">
        <v>0</v>
      </c>
      <c r="AH842" s="28">
        <f>+IF(ABS(+AC842+AE842)&lt;=ABS(AD842+AF842),-AC842+AD842-AE842+AF842,0)</f>
        <v>0</v>
      </c>
      <c r="AI842" s="51"/>
      <c r="AJ842" s="1497">
        <f t="shared" si="423"/>
        <v>9221</v>
      </c>
      <c r="AK842" s="328">
        <v>0</v>
      </c>
      <c r="AL842" s="970">
        <f>+ROUND(+P842+W842+AD842,2)</f>
        <v>0</v>
      </c>
      <c r="AM842" s="326">
        <f t="shared" si="429"/>
        <v>0</v>
      </c>
      <c r="AN842" s="970">
        <f t="shared" si="429"/>
        <v>0</v>
      </c>
      <c r="AO842" s="330">
        <v>0</v>
      </c>
      <c r="AP842" s="28">
        <f>+T842+AA842+AH842</f>
        <v>0</v>
      </c>
      <c r="AQ842" s="43"/>
      <c r="AR842" s="358">
        <f t="shared" si="426"/>
        <v>0</v>
      </c>
      <c r="AS842" s="359">
        <f t="shared" si="427"/>
        <v>0</v>
      </c>
      <c r="AT842" s="360">
        <f t="shared" si="428"/>
        <v>0</v>
      </c>
      <c r="AU842" s="43"/>
      <c r="AV842" s="2119">
        <f>+IF(OR(+ROUND(O842,2)+ROUND(Q842,2)&gt;ROUND(P842,2)+ROUND(R842,2),+ABS(ROUND(O842,2)+ROUND(Q842,2))&gt;+ABS(ROUND(P842,2)+ROUND(R842,2))),+(ROUND(O842,2)+ROUND(Q842,2))-(ROUND(P842,2)+ROUND(R842,2)),0)</f>
        <v>0</v>
      </c>
      <c r="AW842" s="119"/>
      <c r="AX842" s="2119">
        <f>+IF(OR(+ROUND(AC842,2)+ROUND(AE842,2)&gt;ROUND(AD842,2)+ROUND(AF842,2),+ABS(ROUND(AC842,2)+ROUND(AE842,2))&gt;+ABS(ROUND(AD842,2)+ROUND(AF842,2))),+(ROUND(AC842,2)+ROUND(AE842,2))-(ROUND(AD842,2)+ROUND(AF842,2)),0)</f>
        <v>0</v>
      </c>
      <c r="AY842" s="43"/>
      <c r="AZ842" s="43"/>
      <c r="BA842" s="43"/>
      <c r="BB842" s="43"/>
      <c r="BC842" s="43"/>
      <c r="BD842" s="43"/>
    </row>
    <row r="843" spans="1:56" ht="15.75">
      <c r="A843" s="88">
        <v>9222</v>
      </c>
      <c r="B843" s="1033" t="s">
        <v>718</v>
      </c>
      <c r="C843" s="1033"/>
      <c r="D843" s="1033"/>
      <c r="E843" s="1033"/>
      <c r="F843" s="1033"/>
      <c r="G843" s="1033"/>
      <c r="H843" s="1033"/>
      <c r="I843" s="1033"/>
      <c r="J843" s="1033"/>
      <c r="K843" s="1033"/>
      <c r="L843" s="90"/>
      <c r="M843" s="51" t="s">
        <v>265</v>
      </c>
      <c r="N843" s="113">
        <f t="shared" si="424"/>
        <v>9222</v>
      </c>
      <c r="O843" s="8">
        <v>0</v>
      </c>
      <c r="P843" s="121"/>
      <c r="Q843" s="122"/>
      <c r="R843" s="324"/>
      <c r="S843" s="29">
        <v>0</v>
      </c>
      <c r="T843" s="28">
        <f>+IF(ABS(+O843+Q843)&lt;=ABS(P843+R843),-O843+P843-Q843+R843,0)</f>
        <v>0</v>
      </c>
      <c r="U843" s="51"/>
      <c r="V843" s="541">
        <f>+'NF-KSF-TRIAL-BAL-2020'!O843+'RA-TRIAL-BAL-2020'!O843+'DES-TRIAL-BAL-2020'!O843+'DMP-TRIAL-BAL-2020'!O843</f>
        <v>0</v>
      </c>
      <c r="W843" s="529">
        <f>+'NF-KSF-TRIAL-BAL-2020'!P843+'RA-TRIAL-BAL-2020'!P843+'DES-TRIAL-BAL-2020'!P843+'DMP-TRIAL-BAL-2020'!P843</f>
        <v>0</v>
      </c>
      <c r="X843" s="528">
        <f>+'NF-KSF-TRIAL-BAL-2020'!Q843+'RA-TRIAL-BAL-2020'!Q843+'DES-TRIAL-BAL-2020'!Q843+'DMP-TRIAL-BAL-2020'!Q843</f>
        <v>0</v>
      </c>
      <c r="Y843" s="529">
        <f>+'NF-KSF-TRIAL-BAL-2020'!R843+'RA-TRIAL-BAL-2020'!R843+'DES-TRIAL-BAL-2020'!R843+'DMP-TRIAL-BAL-2020'!R843</f>
        <v>0</v>
      </c>
      <c r="Z843" s="528">
        <f>+'NF-KSF-TRIAL-BAL-2020'!S843+'RA-TRIAL-BAL-2020'!S843+'DES-TRIAL-BAL-2020'!S843+'DMP-TRIAL-BAL-2020'!S843</f>
        <v>0</v>
      </c>
      <c r="AA843" s="347">
        <f>+'NF-KSF-TRIAL-BAL-2020'!T843+'RA-TRIAL-BAL-2020'!T843+'DES-TRIAL-BAL-2020'!T843+'DMP-TRIAL-BAL-2020'!T843</f>
        <v>0</v>
      </c>
      <c r="AB843" s="51"/>
      <c r="AC843" s="8">
        <v>0</v>
      </c>
      <c r="AD843" s="121"/>
      <c r="AE843" s="122"/>
      <c r="AF843" s="324"/>
      <c r="AG843" s="29">
        <v>0</v>
      </c>
      <c r="AH843" s="28">
        <f>+IF(ABS(+AC843+AE843)&lt;=ABS(AD843+AF843),-AC843+AD843-AE843+AF843,0)</f>
        <v>0</v>
      </c>
      <c r="AI843" s="51"/>
      <c r="AJ843" s="1497">
        <f t="shared" si="423"/>
        <v>9222</v>
      </c>
      <c r="AK843" s="328">
        <v>0</v>
      </c>
      <c r="AL843" s="970">
        <f>+ROUND(+P843+W843+AD843,2)</f>
        <v>0</v>
      </c>
      <c r="AM843" s="326">
        <f t="shared" si="429"/>
        <v>0</v>
      </c>
      <c r="AN843" s="970">
        <f t="shared" si="429"/>
        <v>0</v>
      </c>
      <c r="AO843" s="330">
        <v>0</v>
      </c>
      <c r="AP843" s="28">
        <f>+T843+AA843+AH843</f>
        <v>0</v>
      </c>
      <c r="AQ843" s="43"/>
      <c r="AR843" s="358">
        <f t="shared" si="426"/>
        <v>0</v>
      </c>
      <c r="AS843" s="359">
        <f t="shared" si="427"/>
        <v>0</v>
      </c>
      <c r="AT843" s="360">
        <f t="shared" si="428"/>
        <v>0</v>
      </c>
      <c r="AU843" s="43"/>
      <c r="AV843" s="2119">
        <f>+IF(OR(+ROUND(O843,2)+ROUND(Q843,2)&gt;ROUND(P843,2)+ROUND(R843,2),+ABS(ROUND(O843,2)+ROUND(Q843,2))&gt;+ABS(ROUND(P843,2)+ROUND(R843,2))),+(ROUND(O843,2)+ROUND(Q843,2))-(ROUND(P843,2)+ROUND(R843,2)),0)</f>
        <v>0</v>
      </c>
      <c r="AW843" s="119"/>
      <c r="AX843" s="2119">
        <f>+IF(OR(+ROUND(AC843,2)+ROUND(AE843,2)&gt;ROUND(AD843,2)+ROUND(AF843,2),+ABS(ROUND(AC843,2)+ROUND(AE843,2))&gt;+ABS(ROUND(AD843,2)+ROUND(AF843,2))),+(ROUND(AC843,2)+ROUND(AE843,2))-(ROUND(AD843,2)+ROUND(AF843,2)),0)</f>
        <v>0</v>
      </c>
      <c r="AY843" s="43"/>
      <c r="AZ843" s="43"/>
      <c r="BA843" s="43"/>
      <c r="BB843" s="43"/>
      <c r="BC843" s="43"/>
      <c r="BD843" s="43"/>
    </row>
    <row r="844" spans="1:56" ht="15.75">
      <c r="A844" s="88">
        <v>9231</v>
      </c>
      <c r="B844" s="1033" t="s">
        <v>719</v>
      </c>
      <c r="C844" s="1033"/>
      <c r="D844" s="1033"/>
      <c r="E844" s="1033"/>
      <c r="F844" s="1033"/>
      <c r="G844" s="1033"/>
      <c r="H844" s="1033"/>
      <c r="I844" s="1033"/>
      <c r="J844" s="1033"/>
      <c r="K844" s="1033"/>
      <c r="L844" s="90"/>
      <c r="M844" s="51" t="s">
        <v>265</v>
      </c>
      <c r="N844" s="113">
        <f t="shared" si="424"/>
        <v>9231</v>
      </c>
      <c r="O844" s="8">
        <v>0</v>
      </c>
      <c r="P844" s="121"/>
      <c r="Q844" s="122"/>
      <c r="R844" s="324"/>
      <c r="S844" s="29">
        <v>0</v>
      </c>
      <c r="T844" s="28">
        <f>+IF(ABS(+O844+Q844)&lt;=ABS(P844+R844),-O844+P844-Q844+R844,0)</f>
        <v>0</v>
      </c>
      <c r="U844" s="51"/>
      <c r="V844" s="541">
        <f>+'NF-KSF-TRIAL-BAL-2020'!O844+'RA-TRIAL-BAL-2020'!O844+'DES-TRIAL-BAL-2020'!O844+'DMP-TRIAL-BAL-2020'!O844</f>
        <v>0</v>
      </c>
      <c r="W844" s="529">
        <f>+'NF-KSF-TRIAL-BAL-2020'!P844+'RA-TRIAL-BAL-2020'!P844+'DES-TRIAL-BAL-2020'!P844+'DMP-TRIAL-BAL-2020'!P844</f>
        <v>0</v>
      </c>
      <c r="X844" s="528">
        <f>+'NF-KSF-TRIAL-BAL-2020'!Q844+'RA-TRIAL-BAL-2020'!Q844+'DES-TRIAL-BAL-2020'!Q844+'DMP-TRIAL-BAL-2020'!Q844</f>
        <v>0</v>
      </c>
      <c r="Y844" s="529">
        <f>+'NF-KSF-TRIAL-BAL-2020'!R844+'RA-TRIAL-BAL-2020'!R844+'DES-TRIAL-BAL-2020'!R844+'DMP-TRIAL-BAL-2020'!R844</f>
        <v>0</v>
      </c>
      <c r="Z844" s="528">
        <f>+'NF-KSF-TRIAL-BAL-2020'!S844+'RA-TRIAL-BAL-2020'!S844+'DES-TRIAL-BAL-2020'!S844+'DMP-TRIAL-BAL-2020'!S844</f>
        <v>0</v>
      </c>
      <c r="AA844" s="347">
        <f>+'NF-KSF-TRIAL-BAL-2020'!T844+'RA-TRIAL-BAL-2020'!T844+'DES-TRIAL-BAL-2020'!T844+'DMP-TRIAL-BAL-2020'!T844</f>
        <v>0</v>
      </c>
      <c r="AB844" s="51"/>
      <c r="AC844" s="8">
        <v>0</v>
      </c>
      <c r="AD844" s="121"/>
      <c r="AE844" s="122"/>
      <c r="AF844" s="324"/>
      <c r="AG844" s="29">
        <v>0</v>
      </c>
      <c r="AH844" s="28">
        <f>+IF(ABS(+AC844+AE844)&lt;=ABS(AD844+AF844),-AC844+AD844-AE844+AF844,0)</f>
        <v>0</v>
      </c>
      <c r="AI844" s="51"/>
      <c r="AJ844" s="1497">
        <f t="shared" si="423"/>
        <v>9231</v>
      </c>
      <c r="AK844" s="328">
        <v>0</v>
      </c>
      <c r="AL844" s="970">
        <f>+ROUND(+P844+W844+AD844,2)</f>
        <v>0</v>
      </c>
      <c r="AM844" s="326">
        <f t="shared" si="429"/>
        <v>0</v>
      </c>
      <c r="AN844" s="970">
        <f t="shared" si="429"/>
        <v>0</v>
      </c>
      <c r="AO844" s="330">
        <v>0</v>
      </c>
      <c r="AP844" s="28">
        <f>+T844+AA844+AH844</f>
        <v>0</v>
      </c>
      <c r="AQ844" s="43"/>
      <c r="AR844" s="358">
        <f t="shared" si="426"/>
        <v>0</v>
      </c>
      <c r="AS844" s="359">
        <f t="shared" si="427"/>
        <v>0</v>
      </c>
      <c r="AT844" s="360">
        <f t="shared" si="428"/>
        <v>0</v>
      </c>
      <c r="AU844" s="43"/>
      <c r="AV844" s="2119">
        <f>+IF(OR(+ROUND(O844,2)+ROUND(Q844,2)&gt;ROUND(P844,2)+ROUND(R844,2),+ABS(ROUND(O844,2)+ROUND(Q844,2))&gt;+ABS(ROUND(P844,2)+ROUND(R844,2))),+(ROUND(O844,2)+ROUND(Q844,2))-(ROUND(P844,2)+ROUND(R844,2)),0)</f>
        <v>0</v>
      </c>
      <c r="AW844" s="119"/>
      <c r="AX844" s="2119">
        <f>+IF(OR(+ROUND(AC844,2)+ROUND(AE844,2)&gt;ROUND(AD844,2)+ROUND(AF844,2),+ABS(ROUND(AC844,2)+ROUND(AE844,2))&gt;+ABS(ROUND(AD844,2)+ROUND(AF844,2))),+(ROUND(AC844,2)+ROUND(AE844,2))-(ROUND(AD844,2)+ROUND(AF844,2)),0)</f>
        <v>0</v>
      </c>
      <c r="AY844" s="43"/>
      <c r="AZ844" s="43"/>
      <c r="BA844" s="43"/>
      <c r="BB844" s="43"/>
      <c r="BC844" s="43"/>
      <c r="BD844" s="43"/>
    </row>
    <row r="845" spans="1:56" ht="15.75">
      <c r="A845" s="88">
        <v>9233</v>
      </c>
      <c r="B845" s="1033" t="s">
        <v>720</v>
      </c>
      <c r="C845" s="1033"/>
      <c r="D845" s="1033"/>
      <c r="E845" s="1033"/>
      <c r="F845" s="1033"/>
      <c r="G845" s="1033"/>
      <c r="H845" s="1033"/>
      <c r="I845" s="1033"/>
      <c r="J845" s="1033"/>
      <c r="K845" s="1033"/>
      <c r="L845" s="90"/>
      <c r="M845" s="51" t="s">
        <v>265</v>
      </c>
      <c r="N845" s="113">
        <f t="shared" si="424"/>
        <v>9233</v>
      </c>
      <c r="O845" s="8">
        <v>0</v>
      </c>
      <c r="P845" s="121"/>
      <c r="Q845" s="122"/>
      <c r="R845" s="324"/>
      <c r="S845" s="29">
        <v>0</v>
      </c>
      <c r="T845" s="28">
        <f>+IF(ABS(+O845+Q845)&lt;=ABS(P845+R845),-O845+P845-Q845+R845,0)</f>
        <v>0</v>
      </c>
      <c r="U845" s="51"/>
      <c r="V845" s="541">
        <f>+'NF-KSF-TRIAL-BAL-2020'!O845+'RA-TRIAL-BAL-2020'!O845+'DES-TRIAL-BAL-2020'!O845+'DMP-TRIAL-BAL-2020'!O845</f>
        <v>0</v>
      </c>
      <c r="W845" s="529">
        <f>+'NF-KSF-TRIAL-BAL-2020'!P845+'RA-TRIAL-BAL-2020'!P845+'DES-TRIAL-BAL-2020'!P845+'DMP-TRIAL-BAL-2020'!P845</f>
        <v>0</v>
      </c>
      <c r="X845" s="528">
        <f>+'NF-KSF-TRIAL-BAL-2020'!Q845+'RA-TRIAL-BAL-2020'!Q845+'DES-TRIAL-BAL-2020'!Q845+'DMP-TRIAL-BAL-2020'!Q845</f>
        <v>0</v>
      </c>
      <c r="Y845" s="529">
        <f>+'NF-KSF-TRIAL-BAL-2020'!R845+'RA-TRIAL-BAL-2020'!R845+'DES-TRIAL-BAL-2020'!R845+'DMP-TRIAL-BAL-2020'!R845</f>
        <v>0</v>
      </c>
      <c r="Z845" s="528">
        <f>+'NF-KSF-TRIAL-BAL-2020'!S845+'RA-TRIAL-BAL-2020'!S845+'DES-TRIAL-BAL-2020'!S845+'DMP-TRIAL-BAL-2020'!S845</f>
        <v>0</v>
      </c>
      <c r="AA845" s="347">
        <f>+'NF-KSF-TRIAL-BAL-2020'!T845+'RA-TRIAL-BAL-2020'!T845+'DES-TRIAL-BAL-2020'!T845+'DMP-TRIAL-BAL-2020'!T845</f>
        <v>0</v>
      </c>
      <c r="AB845" s="51"/>
      <c r="AC845" s="8">
        <v>0</v>
      </c>
      <c r="AD845" s="121"/>
      <c r="AE845" s="122"/>
      <c r="AF845" s="324"/>
      <c r="AG845" s="29">
        <v>0</v>
      </c>
      <c r="AH845" s="28">
        <f>+IF(ABS(+AC845+AE845)&lt;=ABS(AD845+AF845),-AC845+AD845-AE845+AF845,0)</f>
        <v>0</v>
      </c>
      <c r="AI845" s="51"/>
      <c r="AJ845" s="1497">
        <f t="shared" si="423"/>
        <v>9233</v>
      </c>
      <c r="AK845" s="328">
        <v>0</v>
      </c>
      <c r="AL845" s="970">
        <f>+ROUND(+P845+W845+AD845,2)</f>
        <v>0</v>
      </c>
      <c r="AM845" s="326">
        <f t="shared" si="429"/>
        <v>0</v>
      </c>
      <c r="AN845" s="970">
        <f t="shared" si="429"/>
        <v>0</v>
      </c>
      <c r="AO845" s="330">
        <v>0</v>
      </c>
      <c r="AP845" s="28">
        <f>+T845+AA845+AH845</f>
        <v>0</v>
      </c>
      <c r="AQ845" s="43"/>
      <c r="AR845" s="358">
        <f t="shared" si="426"/>
        <v>0</v>
      </c>
      <c r="AS845" s="359">
        <f t="shared" si="427"/>
        <v>0</v>
      </c>
      <c r="AT845" s="360">
        <f t="shared" si="428"/>
        <v>0</v>
      </c>
      <c r="AU845" s="43"/>
      <c r="AV845" s="2119">
        <f>+IF(OR(+ROUND(O845,2)+ROUND(Q845,2)&gt;ROUND(P845,2)+ROUND(R845,2),+ABS(ROUND(O845,2)+ROUND(Q845,2))&gt;+ABS(ROUND(P845,2)+ROUND(R845,2))),+(ROUND(O845,2)+ROUND(Q845,2))-(ROUND(P845,2)+ROUND(R845,2)),0)</f>
        <v>0</v>
      </c>
      <c r="AW845" s="119"/>
      <c r="AX845" s="2119">
        <f>+IF(OR(+ROUND(AC845,2)+ROUND(AE845,2)&gt;ROUND(AD845,2)+ROUND(AF845,2),+ABS(ROUND(AC845,2)+ROUND(AE845,2))&gt;+ABS(ROUND(AD845,2)+ROUND(AF845,2))),+(ROUND(AC845,2)+ROUND(AE845,2))-(ROUND(AD845,2)+ROUND(AF845,2)),0)</f>
        <v>0</v>
      </c>
      <c r="AY845" s="43"/>
      <c r="AZ845" s="43"/>
      <c r="BA845" s="43"/>
      <c r="BB845" s="43"/>
      <c r="BC845" s="43"/>
      <c r="BD845" s="43"/>
    </row>
    <row r="846" spans="1:56" ht="15.75">
      <c r="A846" s="88">
        <v>9289</v>
      </c>
      <c r="B846" s="1033" t="s">
        <v>381</v>
      </c>
      <c r="C846" s="1033"/>
      <c r="D846" s="1033"/>
      <c r="E846" s="1033"/>
      <c r="F846" s="1033"/>
      <c r="G846" s="1033"/>
      <c r="H846" s="1033"/>
      <c r="I846" s="1033"/>
      <c r="J846" s="1033"/>
      <c r="K846" s="1033"/>
      <c r="L846" s="90"/>
      <c r="M846" s="51" t="s">
        <v>265</v>
      </c>
      <c r="N846" s="113">
        <f t="shared" si="424"/>
        <v>9289</v>
      </c>
      <c r="O846" s="120"/>
      <c r="P846" s="9">
        <v>0</v>
      </c>
      <c r="Q846" s="122"/>
      <c r="R846" s="324"/>
      <c r="S846" s="27">
        <f>+IF(ABS(+O846+Q846)&gt;=ABS(P846+R846),+O846-P846+Q846-R846,0)</f>
        <v>0</v>
      </c>
      <c r="T846" s="30">
        <v>0</v>
      </c>
      <c r="U846" s="51"/>
      <c r="V846" s="541">
        <f>+'NF-KSF-TRIAL-BAL-2020'!O846+'RA-TRIAL-BAL-2020'!O846+'DES-TRIAL-BAL-2020'!O846+'DMP-TRIAL-BAL-2020'!O846</f>
        <v>0</v>
      </c>
      <c r="W846" s="529">
        <f>+'NF-KSF-TRIAL-BAL-2020'!P846+'RA-TRIAL-BAL-2020'!P846+'DES-TRIAL-BAL-2020'!P846+'DMP-TRIAL-BAL-2020'!P846</f>
        <v>0</v>
      </c>
      <c r="X846" s="528">
        <f>+'NF-KSF-TRIAL-BAL-2020'!Q846+'RA-TRIAL-BAL-2020'!Q846+'DES-TRIAL-BAL-2020'!Q846+'DMP-TRIAL-BAL-2020'!Q846</f>
        <v>0</v>
      </c>
      <c r="Y846" s="529">
        <f>+'NF-KSF-TRIAL-BAL-2020'!R846+'RA-TRIAL-BAL-2020'!R846+'DES-TRIAL-BAL-2020'!R846+'DMP-TRIAL-BAL-2020'!R846</f>
        <v>0</v>
      </c>
      <c r="Z846" s="528">
        <f>+'NF-KSF-TRIAL-BAL-2020'!S846+'RA-TRIAL-BAL-2020'!S846+'DES-TRIAL-BAL-2020'!S846+'DMP-TRIAL-BAL-2020'!S846</f>
        <v>0</v>
      </c>
      <c r="AA846" s="347">
        <f>+'NF-KSF-TRIAL-BAL-2020'!T846+'RA-TRIAL-BAL-2020'!T846+'DES-TRIAL-BAL-2020'!T846+'DMP-TRIAL-BAL-2020'!T846</f>
        <v>0</v>
      </c>
      <c r="AB846" s="51"/>
      <c r="AC846" s="120"/>
      <c r="AD846" s="9">
        <v>0</v>
      </c>
      <c r="AE846" s="122"/>
      <c r="AF846" s="324"/>
      <c r="AG846" s="27">
        <f>+IF(ABS(+AC846+AE846)&gt;=ABS(AD846+AF846),+AC846-AD846+AE846-AF846,0)</f>
        <v>0</v>
      </c>
      <c r="AH846" s="30">
        <v>0</v>
      </c>
      <c r="AI846" s="51"/>
      <c r="AJ846" s="1497">
        <f t="shared" si="423"/>
        <v>9289</v>
      </c>
      <c r="AK846" s="951">
        <f>+ROUND(+O846+V846+AC846,2)</f>
        <v>0</v>
      </c>
      <c r="AL846" s="9">
        <v>0</v>
      </c>
      <c r="AM846" s="326">
        <f t="shared" si="429"/>
        <v>0</v>
      </c>
      <c r="AN846" s="970">
        <f t="shared" si="429"/>
        <v>0</v>
      </c>
      <c r="AO846" s="27">
        <f>+S846+Z846+AG846</f>
        <v>0</v>
      </c>
      <c r="AP846" s="331">
        <v>0</v>
      </c>
      <c r="AQ846" s="43"/>
      <c r="AR846" s="358">
        <f t="shared" si="426"/>
        <v>0</v>
      </c>
      <c r="AS846" s="359">
        <f t="shared" si="427"/>
        <v>0</v>
      </c>
      <c r="AT846" s="360">
        <f t="shared" si="428"/>
        <v>0</v>
      </c>
      <c r="AU846" s="43"/>
      <c r="AV846" s="2120">
        <f>+IF(OR(ROUND(P846,2)+ROUND(R846,2)&gt;+ROUND(O846,2)+ROUND(Q846,2),+ABS(ROUND(P846,2)+ROUND(R846,2))&gt;+ABS(ROUND(O846,2)+ROUND(Q846,2))),+(ROUND(P846,2)+ROUND(R846,2))-(ROUND(O846,2)+ROUND(Q846,2)),0)</f>
        <v>0</v>
      </c>
      <c r="AW846" s="119"/>
      <c r="AX846" s="2120">
        <f>+IF(OR(ROUND(AD846,2)+ROUND(AF846,2)&gt;+ROUND(AC846,2)+ROUND(AE846,2),+ABS(ROUND(AD846,2)+ROUND(AF846,2))&gt;+ABS(ROUND(AC846,2)+ROUND(AE846,2))),+(ROUND(AD846,2)+ROUND(AF846,2))-(ROUND(AC846,2)+ROUND(AE846,2)),0)</f>
        <v>0</v>
      </c>
      <c r="AY846" s="43"/>
      <c r="AZ846" s="43"/>
      <c r="BA846" s="43"/>
      <c r="BB846" s="43"/>
      <c r="BC846" s="43"/>
      <c r="BD846" s="43"/>
    </row>
    <row r="847" spans="1:56" ht="15.75">
      <c r="A847" s="88">
        <v>9295</v>
      </c>
      <c r="B847" s="1033" t="s">
        <v>721</v>
      </c>
      <c r="C847" s="1039"/>
      <c r="D847" s="1039"/>
      <c r="E847" s="1039"/>
      <c r="F847" s="1039"/>
      <c r="G847" s="1039"/>
      <c r="H847" s="1039"/>
      <c r="I847" s="1039"/>
      <c r="J847" s="1039"/>
      <c r="K847" s="1039"/>
      <c r="L847" s="574"/>
      <c r="M847" s="51" t="s">
        <v>265</v>
      </c>
      <c r="N847" s="113">
        <f t="shared" si="424"/>
        <v>9295</v>
      </c>
      <c r="O847" s="575">
        <v>0</v>
      </c>
      <c r="P847" s="576"/>
      <c r="Q847" s="589"/>
      <c r="R847" s="324"/>
      <c r="S847" s="579">
        <v>0</v>
      </c>
      <c r="T847" s="580">
        <f t="shared" ref="T847:T857" si="430">+IF(ABS(+O847+Q847)&lt;=ABS(P847+R847),-O847+P847-Q847+R847,0)</f>
        <v>0</v>
      </c>
      <c r="U847" s="51"/>
      <c r="V847" s="541">
        <f>+'NF-KSF-TRIAL-BAL-2020'!O847+'RA-TRIAL-BAL-2020'!O847+'DES-TRIAL-BAL-2020'!O847+'DMP-TRIAL-BAL-2020'!O847</f>
        <v>0</v>
      </c>
      <c r="W847" s="529">
        <f>+'NF-KSF-TRIAL-BAL-2020'!P847+'RA-TRIAL-BAL-2020'!P847+'DES-TRIAL-BAL-2020'!P847+'DMP-TRIAL-BAL-2020'!P847</f>
        <v>0</v>
      </c>
      <c r="X847" s="587">
        <f>+'NF-KSF-TRIAL-BAL-2020'!Q847+'RA-TRIAL-BAL-2020'!Q847+'DES-TRIAL-BAL-2020'!Q847+'DMP-TRIAL-BAL-2020'!Q847</f>
        <v>0</v>
      </c>
      <c r="Y847" s="586">
        <f>+'NF-KSF-TRIAL-BAL-2020'!R847+'RA-TRIAL-BAL-2020'!R847+'DES-TRIAL-BAL-2020'!R847+'DMP-TRIAL-BAL-2020'!R847</f>
        <v>0</v>
      </c>
      <c r="Z847" s="587">
        <f>+'NF-KSF-TRIAL-BAL-2020'!S847+'RA-TRIAL-BAL-2020'!S847+'DES-TRIAL-BAL-2020'!S847+'DMP-TRIAL-BAL-2020'!S847</f>
        <v>0</v>
      </c>
      <c r="AA847" s="588">
        <f>+'NF-KSF-TRIAL-BAL-2020'!T847+'RA-TRIAL-BAL-2020'!T847+'DES-TRIAL-BAL-2020'!T847+'DMP-TRIAL-BAL-2020'!T847</f>
        <v>0</v>
      </c>
      <c r="AB847" s="51"/>
      <c r="AC847" s="575">
        <v>0</v>
      </c>
      <c r="AD847" s="582">
        <v>0</v>
      </c>
      <c r="AE847" s="579">
        <v>0</v>
      </c>
      <c r="AF847" s="582">
        <v>0</v>
      </c>
      <c r="AG847" s="579">
        <v>0</v>
      </c>
      <c r="AH847" s="584">
        <v>0</v>
      </c>
      <c r="AI847" s="51"/>
      <c r="AJ847" s="1497">
        <f t="shared" si="423"/>
        <v>9295</v>
      </c>
      <c r="AK847" s="8">
        <v>0</v>
      </c>
      <c r="AL847" s="970">
        <f>+ROUND(+P847+W847+AD847,2)</f>
        <v>0</v>
      </c>
      <c r="AM847" s="326">
        <f t="shared" si="429"/>
        <v>0</v>
      </c>
      <c r="AN847" s="970">
        <f t="shared" si="429"/>
        <v>0</v>
      </c>
      <c r="AO847" s="29">
        <v>0</v>
      </c>
      <c r="AP847" s="28">
        <f t="shared" ref="AP847:AP857" si="431">+T847+AA847+AH847</f>
        <v>0</v>
      </c>
      <c r="AQ847" s="43"/>
      <c r="AR847" s="358">
        <f t="shared" si="426"/>
        <v>0</v>
      </c>
      <c r="AS847" s="359">
        <f t="shared" si="427"/>
        <v>0</v>
      </c>
      <c r="AT847" s="360">
        <f t="shared" si="428"/>
        <v>0</v>
      </c>
      <c r="AU847" s="43"/>
      <c r="AV847" s="2119">
        <f>+IF(OR(+ROUND(O847,2)+ROUND(Q847,2)&gt;ROUND(P847,2)+ROUND(R847,2),+ABS(ROUND(O847,2)+ROUND(Q847,2))&gt;+ABS(ROUND(P847,2)+ROUND(R847,2))),+(ROUND(O847,2)+ROUND(Q847,2))-(ROUND(P847,2)+ROUND(R847,2)),0)</f>
        <v>0</v>
      </c>
      <c r="AW847" s="119"/>
      <c r="AX847" s="2125">
        <f>+IF(OR(AC847&lt;&gt;0,AD847&lt;&gt;0,AE847&lt;&gt;0,AF847&lt;&gt;0,AG847&lt;&gt;0,AH847&lt;&gt;0),+IF(ABS(AC847+AE847)-ABS(AD847+AF847)&lt;&gt;0,ABS(AC847+AE847)-ABS(AD847+AF847),1),0)</f>
        <v>0</v>
      </c>
      <c r="AY847" s="43"/>
      <c r="AZ847" s="43"/>
      <c r="BA847" s="43"/>
      <c r="BB847" s="43"/>
      <c r="BC847" s="43"/>
      <c r="BD847" s="43"/>
    </row>
    <row r="848" spans="1:56" ht="15.75">
      <c r="A848" s="88">
        <v>9299</v>
      </c>
      <c r="B848" s="1033" t="s">
        <v>382</v>
      </c>
      <c r="C848" s="1033"/>
      <c r="D848" s="1033"/>
      <c r="E848" s="1033"/>
      <c r="F848" s="1033"/>
      <c r="G848" s="1033"/>
      <c r="H848" s="1033"/>
      <c r="I848" s="1033"/>
      <c r="J848" s="1033"/>
      <c r="K848" s="1033"/>
      <c r="L848" s="90"/>
      <c r="M848" s="51" t="s">
        <v>265</v>
      </c>
      <c r="N848" s="113">
        <f t="shared" si="424"/>
        <v>9299</v>
      </c>
      <c r="O848" s="8">
        <v>0</v>
      </c>
      <c r="P848" s="121"/>
      <c r="Q848" s="122"/>
      <c r="R848" s="324"/>
      <c r="S848" s="29">
        <v>0</v>
      </c>
      <c r="T848" s="28">
        <f t="shared" si="430"/>
        <v>0</v>
      </c>
      <c r="U848" s="51"/>
      <c r="V848" s="541">
        <f>+'NF-KSF-TRIAL-BAL-2020'!O848+'RA-TRIAL-BAL-2020'!O848+'DES-TRIAL-BAL-2020'!O848+'DMP-TRIAL-BAL-2020'!O848</f>
        <v>0</v>
      </c>
      <c r="W848" s="529">
        <f>+'NF-KSF-TRIAL-BAL-2020'!P848+'RA-TRIAL-BAL-2020'!P848+'DES-TRIAL-BAL-2020'!P848+'DMP-TRIAL-BAL-2020'!P848</f>
        <v>0</v>
      </c>
      <c r="X848" s="528">
        <f>+'NF-KSF-TRIAL-BAL-2020'!Q848+'RA-TRIAL-BAL-2020'!Q848+'DES-TRIAL-BAL-2020'!Q848+'DMP-TRIAL-BAL-2020'!Q848</f>
        <v>0</v>
      </c>
      <c r="Y848" s="529">
        <f>+'NF-KSF-TRIAL-BAL-2020'!R848+'RA-TRIAL-BAL-2020'!R848+'DES-TRIAL-BAL-2020'!R848+'DMP-TRIAL-BAL-2020'!R848</f>
        <v>0</v>
      </c>
      <c r="Z848" s="528">
        <f>+'NF-KSF-TRIAL-BAL-2020'!S848+'RA-TRIAL-BAL-2020'!S848+'DES-TRIAL-BAL-2020'!S848+'DMP-TRIAL-BAL-2020'!S848</f>
        <v>0</v>
      </c>
      <c r="AA848" s="347">
        <f>+'NF-KSF-TRIAL-BAL-2020'!T848+'RA-TRIAL-BAL-2020'!T848+'DES-TRIAL-BAL-2020'!T848+'DMP-TRIAL-BAL-2020'!T848</f>
        <v>0</v>
      </c>
      <c r="AB848" s="51"/>
      <c r="AC848" s="8">
        <v>0</v>
      </c>
      <c r="AD848" s="121"/>
      <c r="AE848" s="122"/>
      <c r="AF848" s="324"/>
      <c r="AG848" s="29">
        <v>0</v>
      </c>
      <c r="AH848" s="28">
        <f t="shared" ref="AH848:AH857" si="432">+IF(ABS(+AC848+AE848)&lt;=ABS(AD848+AF848),-AC848+AD848-AE848+AF848,0)</f>
        <v>0</v>
      </c>
      <c r="AI848" s="51"/>
      <c r="AJ848" s="1497">
        <f t="shared" si="423"/>
        <v>9299</v>
      </c>
      <c r="AK848" s="328">
        <v>0</v>
      </c>
      <c r="AL848" s="970">
        <f>+ROUND(+P848+W848+AD848,2)</f>
        <v>0</v>
      </c>
      <c r="AM848" s="326">
        <f t="shared" si="429"/>
        <v>0</v>
      </c>
      <c r="AN848" s="970">
        <f t="shared" si="429"/>
        <v>0</v>
      </c>
      <c r="AO848" s="330">
        <v>0</v>
      </c>
      <c r="AP848" s="28">
        <f t="shared" si="431"/>
        <v>0</v>
      </c>
      <c r="AQ848" s="43"/>
      <c r="AR848" s="358">
        <f t="shared" si="426"/>
        <v>0</v>
      </c>
      <c r="AS848" s="359">
        <f t="shared" si="427"/>
        <v>0</v>
      </c>
      <c r="AT848" s="360">
        <f t="shared" si="428"/>
        <v>0</v>
      </c>
      <c r="AU848" s="43"/>
      <c r="AV848" s="2119">
        <f>+IF(OR(+ROUND(O848,2)+ROUND(Q848,2)&gt;ROUND(P848,2)+ROUND(R848,2),+ABS(ROUND(O848,2)+ROUND(Q848,2))&gt;+ABS(ROUND(P848,2)+ROUND(R848,2))),+(ROUND(O848,2)+ROUND(Q848,2))-(ROUND(P848,2)+ROUND(R848,2)),0)</f>
        <v>0</v>
      </c>
      <c r="AW848" s="119"/>
      <c r="AX848" s="2119">
        <f>+IF(OR(+ROUND(AC848,2)+ROUND(AE848,2)&gt;ROUND(AD848,2)+ROUND(AF848,2),+ABS(ROUND(AC848,2)+ROUND(AE848,2))&gt;+ABS(ROUND(AD848,2)+ROUND(AF848,2))),+(ROUND(AC848,2)+ROUND(AE848,2))-(ROUND(AD848,2)+ROUND(AF848,2)),0)</f>
        <v>0</v>
      </c>
      <c r="AY848" s="43"/>
      <c r="AZ848" s="43"/>
      <c r="BA848" s="43"/>
      <c r="BB848" s="43"/>
      <c r="BC848" s="43"/>
      <c r="BD848" s="43"/>
    </row>
    <row r="849" spans="1:56" ht="15.75" customHeight="1">
      <c r="A849" s="88">
        <v>9800</v>
      </c>
      <c r="B849" s="1033" t="s">
        <v>722</v>
      </c>
      <c r="C849" s="1038"/>
      <c r="D849" s="1038"/>
      <c r="E849" s="1038"/>
      <c r="F849" s="1038"/>
      <c r="G849" s="1038"/>
      <c r="H849" s="1038"/>
      <c r="I849" s="1038"/>
      <c r="J849" s="1038"/>
      <c r="K849" s="1038"/>
      <c r="L849" s="590"/>
      <c r="M849" s="51" t="s">
        <v>265</v>
      </c>
      <c r="N849" s="113">
        <f t="shared" si="424"/>
        <v>9800</v>
      </c>
      <c r="O849" s="575">
        <v>0</v>
      </c>
      <c r="P849" s="582">
        <v>0</v>
      </c>
      <c r="Q849" s="589">
        <v>266246.08</v>
      </c>
      <c r="R849" s="576">
        <v>0</v>
      </c>
      <c r="S849" s="583">
        <f t="shared" ref="S849:S867" si="433">+IF(ABS(+O849+Q849)&gt;=ABS(P849+R849),+O849-P849+Q849-R849,0)</f>
        <v>266246.08</v>
      </c>
      <c r="T849" s="580">
        <f t="shared" si="430"/>
        <v>0</v>
      </c>
      <c r="U849" s="51"/>
      <c r="V849" s="541">
        <f>+'NF-KSF-TRIAL-BAL-2020'!O849+'RA-TRIAL-BAL-2020'!O849+'DES-TRIAL-BAL-2020'!O849+'DMP-TRIAL-BAL-2020'!O849</f>
        <v>0</v>
      </c>
      <c r="W849" s="529">
        <f>+'NF-KSF-TRIAL-BAL-2020'!P849+'RA-TRIAL-BAL-2020'!P849+'DES-TRIAL-BAL-2020'!P849+'DMP-TRIAL-BAL-2020'!P849</f>
        <v>0</v>
      </c>
      <c r="X849" s="587">
        <f>+'NF-KSF-TRIAL-BAL-2020'!Q849+'RA-TRIAL-BAL-2020'!Q849+'DES-TRIAL-BAL-2020'!Q849+'DMP-TRIAL-BAL-2020'!Q849</f>
        <v>0</v>
      </c>
      <c r="Y849" s="586">
        <f>+'NF-KSF-TRIAL-BAL-2020'!R849+'RA-TRIAL-BAL-2020'!R849+'DES-TRIAL-BAL-2020'!R849+'DMP-TRIAL-BAL-2020'!R849</f>
        <v>0</v>
      </c>
      <c r="Z849" s="587">
        <f>+'NF-KSF-TRIAL-BAL-2020'!S849+'RA-TRIAL-BAL-2020'!S849+'DES-TRIAL-BAL-2020'!S849+'DMP-TRIAL-BAL-2020'!S849</f>
        <v>0</v>
      </c>
      <c r="AA849" s="588">
        <f>+'NF-KSF-TRIAL-BAL-2020'!T849+'RA-TRIAL-BAL-2020'!T849+'DES-TRIAL-BAL-2020'!T849+'DMP-TRIAL-BAL-2020'!T849</f>
        <v>0</v>
      </c>
      <c r="AB849" s="51"/>
      <c r="AC849" s="575">
        <v>0</v>
      </c>
      <c r="AD849" s="582">
        <v>0</v>
      </c>
      <c r="AE849" s="589">
        <v>0</v>
      </c>
      <c r="AF849" s="576">
        <v>0</v>
      </c>
      <c r="AG849" s="583">
        <f t="shared" ref="AG849:AG867" si="434">+IF(ABS(+AC849+AE849)&gt;=ABS(AD849+AF849),+AC849-AD849+AE849-AF849,0)</f>
        <v>0</v>
      </c>
      <c r="AH849" s="580">
        <f t="shared" si="432"/>
        <v>0</v>
      </c>
      <c r="AI849" s="51"/>
      <c r="AJ849" s="1497">
        <f t="shared" si="423"/>
        <v>9800</v>
      </c>
      <c r="AK849" s="8">
        <v>0</v>
      </c>
      <c r="AL849" s="9">
        <v>0</v>
      </c>
      <c r="AM849" s="326">
        <f t="shared" si="429"/>
        <v>266246.08</v>
      </c>
      <c r="AN849" s="970">
        <f t="shared" si="429"/>
        <v>0</v>
      </c>
      <c r="AO849" s="27">
        <f t="shared" ref="AO849:AO867" si="435">+S849+Z849+AG849</f>
        <v>266246.08</v>
      </c>
      <c r="AP849" s="28">
        <f t="shared" si="431"/>
        <v>0</v>
      </c>
      <c r="AQ849" s="43"/>
      <c r="AR849" s="358">
        <f t="shared" si="426"/>
        <v>0</v>
      </c>
      <c r="AS849" s="359">
        <f t="shared" si="427"/>
        <v>0</v>
      </c>
      <c r="AT849" s="360">
        <f t="shared" si="428"/>
        <v>0</v>
      </c>
      <c r="AU849" s="43"/>
      <c r="AV849" s="43"/>
      <c r="AW849" s="119"/>
      <c r="AX849" s="119"/>
      <c r="AY849" s="43"/>
      <c r="AZ849" s="43"/>
      <c r="BA849" s="43"/>
      <c r="BB849" s="43"/>
      <c r="BC849" s="43"/>
      <c r="BD849" s="43"/>
    </row>
    <row r="850" spans="1:56" ht="15.75" customHeight="1">
      <c r="A850" s="88">
        <v>9801</v>
      </c>
      <c r="B850" s="1033" t="s">
        <v>723</v>
      </c>
      <c r="C850" s="1038"/>
      <c r="D850" s="1038"/>
      <c r="E850" s="1038"/>
      <c r="F850" s="1038"/>
      <c r="G850" s="1038"/>
      <c r="H850" s="1038"/>
      <c r="I850" s="1038"/>
      <c r="J850" s="1038"/>
      <c r="K850" s="1038"/>
      <c r="L850" s="590"/>
      <c r="M850" s="51" t="s">
        <v>265</v>
      </c>
      <c r="N850" s="113">
        <f t="shared" si="424"/>
        <v>9801</v>
      </c>
      <c r="O850" s="575">
        <v>0</v>
      </c>
      <c r="P850" s="582">
        <v>0</v>
      </c>
      <c r="Q850" s="589">
        <v>5033.22</v>
      </c>
      <c r="R850" s="576">
        <v>0</v>
      </c>
      <c r="S850" s="583">
        <f t="shared" si="433"/>
        <v>5033.22</v>
      </c>
      <c r="T850" s="580">
        <f t="shared" si="430"/>
        <v>0</v>
      </c>
      <c r="U850" s="51"/>
      <c r="V850" s="541">
        <f>+'NF-KSF-TRIAL-BAL-2020'!O850+'RA-TRIAL-BAL-2020'!O850+'DES-TRIAL-BAL-2020'!O850+'DMP-TRIAL-BAL-2020'!O850</f>
        <v>0</v>
      </c>
      <c r="W850" s="529">
        <f>+'NF-KSF-TRIAL-BAL-2020'!P850+'RA-TRIAL-BAL-2020'!P850+'DES-TRIAL-BAL-2020'!P850+'DMP-TRIAL-BAL-2020'!P850</f>
        <v>0</v>
      </c>
      <c r="X850" s="587">
        <f>+'NF-KSF-TRIAL-BAL-2020'!Q850+'RA-TRIAL-BAL-2020'!Q850+'DES-TRIAL-BAL-2020'!Q850+'DMP-TRIAL-BAL-2020'!Q850</f>
        <v>0</v>
      </c>
      <c r="Y850" s="586">
        <f>+'NF-KSF-TRIAL-BAL-2020'!R850+'RA-TRIAL-BAL-2020'!R850+'DES-TRIAL-BAL-2020'!R850+'DMP-TRIAL-BAL-2020'!R850</f>
        <v>0</v>
      </c>
      <c r="Z850" s="587">
        <f>+'NF-KSF-TRIAL-BAL-2020'!S850+'RA-TRIAL-BAL-2020'!S850+'DES-TRIAL-BAL-2020'!S850+'DMP-TRIAL-BAL-2020'!S850</f>
        <v>0</v>
      </c>
      <c r="AA850" s="588">
        <f>+'NF-KSF-TRIAL-BAL-2020'!T850+'RA-TRIAL-BAL-2020'!T850+'DES-TRIAL-BAL-2020'!T850+'DMP-TRIAL-BAL-2020'!T850</f>
        <v>0</v>
      </c>
      <c r="AB850" s="51"/>
      <c r="AC850" s="575">
        <v>0</v>
      </c>
      <c r="AD850" s="582">
        <v>0</v>
      </c>
      <c r="AE850" s="589">
        <v>0</v>
      </c>
      <c r="AF850" s="576">
        <v>0</v>
      </c>
      <c r="AG850" s="583">
        <f t="shared" si="434"/>
        <v>0</v>
      </c>
      <c r="AH850" s="580">
        <f t="shared" si="432"/>
        <v>0</v>
      </c>
      <c r="AI850" s="51"/>
      <c r="AJ850" s="1497">
        <f t="shared" si="423"/>
        <v>9801</v>
      </c>
      <c r="AK850" s="8">
        <v>0</v>
      </c>
      <c r="AL850" s="9">
        <v>0</v>
      </c>
      <c r="AM850" s="326">
        <f t="shared" si="429"/>
        <v>5033.22</v>
      </c>
      <c r="AN850" s="970">
        <f t="shared" si="429"/>
        <v>0</v>
      </c>
      <c r="AO850" s="27">
        <f t="shared" si="435"/>
        <v>5033.22</v>
      </c>
      <c r="AP850" s="28">
        <f t="shared" si="431"/>
        <v>0</v>
      </c>
      <c r="AQ850" s="43"/>
      <c r="AR850" s="358">
        <f t="shared" si="426"/>
        <v>0</v>
      </c>
      <c r="AS850" s="359">
        <f t="shared" si="427"/>
        <v>0</v>
      </c>
      <c r="AT850" s="360">
        <f t="shared" si="428"/>
        <v>0</v>
      </c>
      <c r="AU850" s="43"/>
      <c r="AV850" s="43"/>
      <c r="AW850" s="119"/>
      <c r="AX850" s="119"/>
      <c r="AY850" s="43"/>
      <c r="AZ850" s="43"/>
      <c r="BA850" s="43"/>
      <c r="BB850" s="43"/>
      <c r="BC850" s="43"/>
      <c r="BD850" s="43"/>
    </row>
    <row r="851" spans="1:56" ht="15.75" customHeight="1">
      <c r="A851" s="88">
        <v>9803</v>
      </c>
      <c r="B851" s="1033" t="s">
        <v>724</v>
      </c>
      <c r="C851" s="1038"/>
      <c r="D851" s="1038"/>
      <c r="E851" s="1038"/>
      <c r="F851" s="1038"/>
      <c r="G851" s="1038"/>
      <c r="H851" s="1038"/>
      <c r="I851" s="1038"/>
      <c r="J851" s="1038"/>
      <c r="K851" s="1038"/>
      <c r="L851" s="590"/>
      <c r="M851" s="51" t="s">
        <v>265</v>
      </c>
      <c r="N851" s="113">
        <f t="shared" si="424"/>
        <v>9803</v>
      </c>
      <c r="O851" s="575">
        <v>0</v>
      </c>
      <c r="P851" s="582">
        <v>0</v>
      </c>
      <c r="Q851" s="589">
        <v>0</v>
      </c>
      <c r="R851" s="576">
        <v>277160.73000000004</v>
      </c>
      <c r="S851" s="583">
        <f t="shared" si="433"/>
        <v>0</v>
      </c>
      <c r="T851" s="580">
        <f t="shared" si="430"/>
        <v>277160.73000000004</v>
      </c>
      <c r="U851" s="51"/>
      <c r="V851" s="541">
        <f>+'NF-KSF-TRIAL-BAL-2020'!O851+'RA-TRIAL-BAL-2020'!O851+'DES-TRIAL-BAL-2020'!O851+'DMP-TRIAL-BAL-2020'!O851</f>
        <v>0</v>
      </c>
      <c r="W851" s="529">
        <f>+'NF-KSF-TRIAL-BAL-2020'!P851+'RA-TRIAL-BAL-2020'!P851+'DES-TRIAL-BAL-2020'!P851+'DMP-TRIAL-BAL-2020'!P851</f>
        <v>0</v>
      </c>
      <c r="X851" s="587">
        <f>+'NF-KSF-TRIAL-BAL-2020'!Q851+'RA-TRIAL-BAL-2020'!Q851+'DES-TRIAL-BAL-2020'!Q851+'DMP-TRIAL-BAL-2020'!Q851</f>
        <v>0</v>
      </c>
      <c r="Y851" s="586">
        <f>+'NF-KSF-TRIAL-BAL-2020'!R851+'RA-TRIAL-BAL-2020'!R851+'DES-TRIAL-BAL-2020'!R851+'DMP-TRIAL-BAL-2020'!R851</f>
        <v>0</v>
      </c>
      <c r="Z851" s="587">
        <f>+'NF-KSF-TRIAL-BAL-2020'!S851+'RA-TRIAL-BAL-2020'!S851+'DES-TRIAL-BAL-2020'!S851+'DMP-TRIAL-BAL-2020'!S851</f>
        <v>0</v>
      </c>
      <c r="AA851" s="588">
        <f>+'NF-KSF-TRIAL-BAL-2020'!T851+'RA-TRIAL-BAL-2020'!T851+'DES-TRIAL-BAL-2020'!T851+'DMP-TRIAL-BAL-2020'!T851</f>
        <v>0</v>
      </c>
      <c r="AB851" s="51"/>
      <c r="AC851" s="575">
        <v>0</v>
      </c>
      <c r="AD851" s="582">
        <v>0</v>
      </c>
      <c r="AE851" s="589">
        <v>0</v>
      </c>
      <c r="AF851" s="576">
        <v>0</v>
      </c>
      <c r="AG851" s="583">
        <f t="shared" si="434"/>
        <v>0</v>
      </c>
      <c r="AH851" s="580">
        <f t="shared" si="432"/>
        <v>0</v>
      </c>
      <c r="AI851" s="51"/>
      <c r="AJ851" s="1497">
        <f t="shared" si="423"/>
        <v>9803</v>
      </c>
      <c r="AK851" s="8">
        <v>0</v>
      </c>
      <c r="AL851" s="9">
        <v>0</v>
      </c>
      <c r="AM851" s="326">
        <f t="shared" si="429"/>
        <v>0</v>
      </c>
      <c r="AN851" s="970">
        <f t="shared" si="429"/>
        <v>277160.73</v>
      </c>
      <c r="AO851" s="27">
        <f t="shared" si="435"/>
        <v>0</v>
      </c>
      <c r="AP851" s="28">
        <f t="shared" si="431"/>
        <v>277160.73000000004</v>
      </c>
      <c r="AQ851" s="43"/>
      <c r="AR851" s="358">
        <f t="shared" si="426"/>
        <v>0</v>
      </c>
      <c r="AS851" s="359">
        <f t="shared" si="427"/>
        <v>0</v>
      </c>
      <c r="AT851" s="360">
        <f t="shared" si="428"/>
        <v>0</v>
      </c>
      <c r="AU851" s="43"/>
      <c r="AV851" s="43"/>
      <c r="AW851" s="119"/>
      <c r="AX851" s="119"/>
      <c r="AY851" s="43"/>
      <c r="AZ851" s="43"/>
      <c r="BA851" s="43"/>
      <c r="BB851" s="43"/>
      <c r="BC851" s="43"/>
      <c r="BD851" s="43"/>
    </row>
    <row r="852" spans="1:56" ht="15.75" customHeight="1">
      <c r="A852" s="88">
        <v>9804</v>
      </c>
      <c r="B852" s="1033" t="s">
        <v>87</v>
      </c>
      <c r="C852" s="1038"/>
      <c r="D852" s="1038"/>
      <c r="E852" s="1038"/>
      <c r="F852" s="1038"/>
      <c r="G852" s="1038"/>
      <c r="H852" s="1038"/>
      <c r="I852" s="1038"/>
      <c r="J852" s="1038"/>
      <c r="K852" s="1038"/>
      <c r="L852" s="590"/>
      <c r="M852" s="51" t="s">
        <v>265</v>
      </c>
      <c r="N852" s="113">
        <f t="shared" si="424"/>
        <v>9804</v>
      </c>
      <c r="O852" s="575">
        <v>0</v>
      </c>
      <c r="P852" s="582">
        <v>0</v>
      </c>
      <c r="Q852" s="589"/>
      <c r="R852" s="576"/>
      <c r="S852" s="583">
        <f t="shared" si="433"/>
        <v>0</v>
      </c>
      <c r="T852" s="580">
        <f t="shared" si="430"/>
        <v>0</v>
      </c>
      <c r="U852" s="51"/>
      <c r="V852" s="541">
        <f>+'NF-KSF-TRIAL-BAL-2020'!O852+'RA-TRIAL-BAL-2020'!O852+'DES-TRIAL-BAL-2020'!O852+'DMP-TRIAL-BAL-2020'!O852</f>
        <v>0</v>
      </c>
      <c r="W852" s="529">
        <f>+'NF-KSF-TRIAL-BAL-2020'!P852+'RA-TRIAL-BAL-2020'!P852+'DES-TRIAL-BAL-2020'!P852+'DMP-TRIAL-BAL-2020'!P852</f>
        <v>0</v>
      </c>
      <c r="X852" s="587">
        <f>+'NF-KSF-TRIAL-BAL-2020'!Q852+'RA-TRIAL-BAL-2020'!Q852+'DES-TRIAL-BAL-2020'!Q852+'DMP-TRIAL-BAL-2020'!Q852</f>
        <v>0</v>
      </c>
      <c r="Y852" s="586">
        <f>+'NF-KSF-TRIAL-BAL-2020'!R852+'RA-TRIAL-BAL-2020'!R852+'DES-TRIAL-BAL-2020'!R852+'DMP-TRIAL-BAL-2020'!R852</f>
        <v>0</v>
      </c>
      <c r="Z852" s="587">
        <f>+'NF-KSF-TRIAL-BAL-2020'!S852+'RA-TRIAL-BAL-2020'!S852+'DES-TRIAL-BAL-2020'!S852+'DMP-TRIAL-BAL-2020'!S852</f>
        <v>0</v>
      </c>
      <c r="AA852" s="588">
        <f>+'NF-KSF-TRIAL-BAL-2020'!T852+'RA-TRIAL-BAL-2020'!T852+'DES-TRIAL-BAL-2020'!T852+'DMP-TRIAL-BAL-2020'!T852</f>
        <v>0</v>
      </c>
      <c r="AB852" s="51"/>
      <c r="AC852" s="575">
        <v>0</v>
      </c>
      <c r="AD852" s="582">
        <v>0</v>
      </c>
      <c r="AE852" s="589"/>
      <c r="AF852" s="576"/>
      <c r="AG852" s="583">
        <f t="shared" si="434"/>
        <v>0</v>
      </c>
      <c r="AH852" s="580">
        <f t="shared" si="432"/>
        <v>0</v>
      </c>
      <c r="AI852" s="51"/>
      <c r="AJ852" s="1497">
        <f t="shared" si="423"/>
        <v>9804</v>
      </c>
      <c r="AK852" s="8">
        <v>0</v>
      </c>
      <c r="AL852" s="9">
        <v>0</v>
      </c>
      <c r="AM852" s="326">
        <f t="shared" si="429"/>
        <v>0</v>
      </c>
      <c r="AN852" s="970">
        <f t="shared" si="429"/>
        <v>0</v>
      </c>
      <c r="AO852" s="27">
        <f t="shared" si="435"/>
        <v>0</v>
      </c>
      <c r="AP852" s="28">
        <f t="shared" si="431"/>
        <v>0</v>
      </c>
      <c r="AQ852" s="43"/>
      <c r="AR852" s="358">
        <f t="shared" si="426"/>
        <v>0</v>
      </c>
      <c r="AS852" s="359">
        <f t="shared" si="427"/>
        <v>0</v>
      </c>
      <c r="AT852" s="360">
        <f t="shared" si="428"/>
        <v>0</v>
      </c>
      <c r="AU852" s="43"/>
      <c r="AV852" s="43"/>
      <c r="AW852" s="119"/>
      <c r="AX852" s="119"/>
      <c r="AY852" s="43"/>
      <c r="AZ852" s="43"/>
      <c r="BA852" s="43"/>
      <c r="BB852" s="43"/>
      <c r="BC852" s="43"/>
      <c r="BD852" s="43"/>
    </row>
    <row r="853" spans="1:56" ht="15.75" customHeight="1">
      <c r="A853" s="88">
        <v>9805</v>
      </c>
      <c r="B853" s="1033" t="s">
        <v>88</v>
      </c>
      <c r="C853" s="1038"/>
      <c r="D853" s="1038"/>
      <c r="E853" s="1038"/>
      <c r="F853" s="1038"/>
      <c r="G853" s="1038"/>
      <c r="H853" s="1038"/>
      <c r="I853" s="1038"/>
      <c r="J853" s="1038"/>
      <c r="K853" s="1038"/>
      <c r="L853" s="590"/>
      <c r="M853" s="51" t="s">
        <v>265</v>
      </c>
      <c r="N853" s="113">
        <f t="shared" si="424"/>
        <v>9805</v>
      </c>
      <c r="O853" s="575">
        <v>0</v>
      </c>
      <c r="P853" s="582">
        <v>0</v>
      </c>
      <c r="Q853" s="589"/>
      <c r="R853" s="576"/>
      <c r="S853" s="583">
        <f t="shared" si="433"/>
        <v>0</v>
      </c>
      <c r="T853" s="580">
        <f t="shared" si="430"/>
        <v>0</v>
      </c>
      <c r="U853" s="51"/>
      <c r="V853" s="541">
        <f>+'NF-KSF-TRIAL-BAL-2020'!O853+'RA-TRIAL-BAL-2020'!O853+'DES-TRIAL-BAL-2020'!O853+'DMP-TRIAL-BAL-2020'!O853</f>
        <v>0</v>
      </c>
      <c r="W853" s="529">
        <f>+'NF-KSF-TRIAL-BAL-2020'!P853+'RA-TRIAL-BAL-2020'!P853+'DES-TRIAL-BAL-2020'!P853+'DMP-TRIAL-BAL-2020'!P853</f>
        <v>0</v>
      </c>
      <c r="X853" s="587">
        <f>+'NF-KSF-TRIAL-BAL-2020'!Q853+'RA-TRIAL-BAL-2020'!Q853+'DES-TRIAL-BAL-2020'!Q853+'DMP-TRIAL-BAL-2020'!Q853</f>
        <v>0</v>
      </c>
      <c r="Y853" s="586">
        <f>+'NF-KSF-TRIAL-BAL-2020'!R853+'RA-TRIAL-BAL-2020'!R853+'DES-TRIAL-BAL-2020'!R853+'DMP-TRIAL-BAL-2020'!R853</f>
        <v>0</v>
      </c>
      <c r="Z853" s="587">
        <f>+'NF-KSF-TRIAL-BAL-2020'!S853+'RA-TRIAL-BAL-2020'!S853+'DES-TRIAL-BAL-2020'!S853+'DMP-TRIAL-BAL-2020'!S853</f>
        <v>0</v>
      </c>
      <c r="AA853" s="588">
        <f>+'NF-KSF-TRIAL-BAL-2020'!T853+'RA-TRIAL-BAL-2020'!T853+'DES-TRIAL-BAL-2020'!T853+'DMP-TRIAL-BAL-2020'!T853</f>
        <v>0</v>
      </c>
      <c r="AB853" s="51"/>
      <c r="AC853" s="575">
        <v>0</v>
      </c>
      <c r="AD853" s="582">
        <v>0</v>
      </c>
      <c r="AE853" s="589"/>
      <c r="AF853" s="576"/>
      <c r="AG853" s="583">
        <f t="shared" si="434"/>
        <v>0</v>
      </c>
      <c r="AH853" s="580">
        <f t="shared" si="432"/>
        <v>0</v>
      </c>
      <c r="AI853" s="51"/>
      <c r="AJ853" s="1497">
        <f>+N853</f>
        <v>9805</v>
      </c>
      <c r="AK853" s="8">
        <v>0</v>
      </c>
      <c r="AL853" s="9">
        <v>0</v>
      </c>
      <c r="AM853" s="326">
        <f t="shared" ref="AM853:AN857" si="436">+ROUND(+Q853+X853+AE853,2)</f>
        <v>0</v>
      </c>
      <c r="AN853" s="970">
        <f t="shared" si="436"/>
        <v>0</v>
      </c>
      <c r="AO853" s="27">
        <f t="shared" si="435"/>
        <v>0</v>
      </c>
      <c r="AP853" s="28">
        <f t="shared" si="431"/>
        <v>0</v>
      </c>
      <c r="AQ853" s="43"/>
      <c r="AR853" s="358">
        <f>+ROUND(+SUM(AK853-AL853)-SUM(O853-P853)-SUM(V853-W853)-SUM(AC853-AD853),2)</f>
        <v>0</v>
      </c>
      <c r="AS853" s="359">
        <f>+ROUND(+SUM(AM853-AN853)-SUM(Q853-R853)-SUM(X853-Y853)-SUM(AE853-AF853),2)</f>
        <v>0</v>
      </c>
      <c r="AT853" s="360">
        <f>+ROUND(+SUM(AO853-AP853)-SUM(S853-T853)-SUM(Z853-AA853)-SUM(AG853-AH853),2)</f>
        <v>0</v>
      </c>
      <c r="AU853" s="43"/>
      <c r="AV853" s="43"/>
      <c r="AW853" s="119"/>
      <c r="AX853" s="119"/>
      <c r="AY853" s="43"/>
      <c r="AZ853" s="43"/>
      <c r="BA853" s="43"/>
      <c r="BB853" s="43"/>
      <c r="BC853" s="43"/>
      <c r="BD853" s="43"/>
    </row>
    <row r="854" spans="1:56" ht="15.75" customHeight="1">
      <c r="A854" s="88">
        <v>9806</v>
      </c>
      <c r="B854" s="1033" t="s">
        <v>89</v>
      </c>
      <c r="C854" s="1038"/>
      <c r="D854" s="1038"/>
      <c r="E854" s="1038"/>
      <c r="F854" s="1038"/>
      <c r="G854" s="1038"/>
      <c r="H854" s="1038"/>
      <c r="I854" s="1038"/>
      <c r="J854" s="1038"/>
      <c r="K854" s="1038"/>
      <c r="L854" s="590"/>
      <c r="M854" s="51" t="s">
        <v>265</v>
      </c>
      <c r="N854" s="113">
        <f t="shared" si="424"/>
        <v>9806</v>
      </c>
      <c r="O854" s="575">
        <v>0</v>
      </c>
      <c r="P854" s="582">
        <v>0</v>
      </c>
      <c r="Q854" s="589"/>
      <c r="R854" s="576"/>
      <c r="S854" s="583">
        <f t="shared" si="433"/>
        <v>0</v>
      </c>
      <c r="T854" s="580">
        <f t="shared" si="430"/>
        <v>0</v>
      </c>
      <c r="U854" s="51"/>
      <c r="V854" s="541">
        <f>+'NF-KSF-TRIAL-BAL-2020'!O854+'RA-TRIAL-BAL-2020'!O854+'DES-TRIAL-BAL-2020'!O854+'DMP-TRIAL-BAL-2020'!O854</f>
        <v>0</v>
      </c>
      <c r="W854" s="529">
        <f>+'NF-KSF-TRIAL-BAL-2020'!P854+'RA-TRIAL-BAL-2020'!P854+'DES-TRIAL-BAL-2020'!P854+'DMP-TRIAL-BAL-2020'!P854</f>
        <v>0</v>
      </c>
      <c r="X854" s="587">
        <f>+'NF-KSF-TRIAL-BAL-2020'!Q854+'RA-TRIAL-BAL-2020'!Q854+'DES-TRIAL-BAL-2020'!Q854+'DMP-TRIAL-BAL-2020'!Q854</f>
        <v>0</v>
      </c>
      <c r="Y854" s="586">
        <f>+'NF-KSF-TRIAL-BAL-2020'!R854+'RA-TRIAL-BAL-2020'!R854+'DES-TRIAL-BAL-2020'!R854+'DMP-TRIAL-BAL-2020'!R854</f>
        <v>0</v>
      </c>
      <c r="Z854" s="587">
        <f>+'NF-KSF-TRIAL-BAL-2020'!S854+'RA-TRIAL-BAL-2020'!S854+'DES-TRIAL-BAL-2020'!S854+'DMP-TRIAL-BAL-2020'!S854</f>
        <v>0</v>
      </c>
      <c r="AA854" s="588">
        <f>+'NF-KSF-TRIAL-BAL-2020'!T854+'RA-TRIAL-BAL-2020'!T854+'DES-TRIAL-BAL-2020'!T854+'DMP-TRIAL-BAL-2020'!T854</f>
        <v>0</v>
      </c>
      <c r="AB854" s="51"/>
      <c r="AC854" s="575">
        <v>0</v>
      </c>
      <c r="AD854" s="582">
        <v>0</v>
      </c>
      <c r="AE854" s="589"/>
      <c r="AF854" s="576"/>
      <c r="AG854" s="583">
        <f t="shared" si="434"/>
        <v>0</v>
      </c>
      <c r="AH854" s="580">
        <f t="shared" si="432"/>
        <v>0</v>
      </c>
      <c r="AI854" s="51"/>
      <c r="AJ854" s="1497">
        <f>+N854</f>
        <v>9806</v>
      </c>
      <c r="AK854" s="8">
        <v>0</v>
      </c>
      <c r="AL854" s="9">
        <v>0</v>
      </c>
      <c r="AM854" s="326">
        <f t="shared" si="436"/>
        <v>0</v>
      </c>
      <c r="AN854" s="970">
        <f t="shared" si="436"/>
        <v>0</v>
      </c>
      <c r="AO854" s="27">
        <f t="shared" si="435"/>
        <v>0</v>
      </c>
      <c r="AP854" s="28">
        <f t="shared" si="431"/>
        <v>0</v>
      </c>
      <c r="AQ854" s="43"/>
      <c r="AR854" s="358">
        <f>+ROUND(+SUM(AK854-AL854)-SUM(O854-P854)-SUM(V854-W854)-SUM(AC854-AD854),2)</f>
        <v>0</v>
      </c>
      <c r="AS854" s="359">
        <f>+ROUND(+SUM(AM854-AN854)-SUM(Q854-R854)-SUM(X854-Y854)-SUM(AE854-AF854),2)</f>
        <v>0</v>
      </c>
      <c r="AT854" s="360">
        <f>+ROUND(+SUM(AO854-AP854)-SUM(S854-T854)-SUM(Z854-AA854)-SUM(AG854-AH854),2)</f>
        <v>0</v>
      </c>
      <c r="AU854" s="43"/>
      <c r="AV854" s="43"/>
      <c r="AW854" s="119"/>
      <c r="AX854" s="119"/>
      <c r="AY854" s="43"/>
      <c r="AZ854" s="43"/>
      <c r="BA854" s="43"/>
      <c r="BB854" s="43"/>
      <c r="BC854" s="43"/>
      <c r="BD854" s="43"/>
    </row>
    <row r="855" spans="1:56" ht="15.75" customHeight="1">
      <c r="A855" s="88">
        <v>9808</v>
      </c>
      <c r="B855" s="1033" t="s">
        <v>90</v>
      </c>
      <c r="C855" s="1038"/>
      <c r="D855" s="1038"/>
      <c r="E855" s="1038"/>
      <c r="F855" s="1038"/>
      <c r="G855" s="1038"/>
      <c r="H855" s="1038"/>
      <c r="I855" s="1038"/>
      <c r="J855" s="1038"/>
      <c r="K855" s="1038"/>
      <c r="L855" s="590"/>
      <c r="M855" s="51" t="s">
        <v>265</v>
      </c>
      <c r="N855" s="113">
        <f t="shared" si="424"/>
        <v>9808</v>
      </c>
      <c r="O855" s="575">
        <v>0</v>
      </c>
      <c r="P855" s="582">
        <v>0</v>
      </c>
      <c r="Q855" s="589">
        <v>0</v>
      </c>
      <c r="R855" s="576">
        <v>0</v>
      </c>
      <c r="S855" s="583">
        <f t="shared" si="433"/>
        <v>0</v>
      </c>
      <c r="T855" s="580">
        <f t="shared" si="430"/>
        <v>0</v>
      </c>
      <c r="U855" s="51"/>
      <c r="V855" s="541">
        <f>+'NF-KSF-TRIAL-BAL-2020'!O855+'RA-TRIAL-BAL-2020'!O855+'DES-TRIAL-BAL-2020'!O855+'DMP-TRIAL-BAL-2020'!O855</f>
        <v>0</v>
      </c>
      <c r="W855" s="529">
        <f>+'NF-KSF-TRIAL-BAL-2020'!P855+'RA-TRIAL-BAL-2020'!P855+'DES-TRIAL-BAL-2020'!P855+'DMP-TRIAL-BAL-2020'!P855</f>
        <v>0</v>
      </c>
      <c r="X855" s="587">
        <f>+'NF-KSF-TRIAL-BAL-2020'!Q855+'RA-TRIAL-BAL-2020'!Q855+'DES-TRIAL-BAL-2020'!Q855+'DMP-TRIAL-BAL-2020'!Q855</f>
        <v>0</v>
      </c>
      <c r="Y855" s="586">
        <f>+'NF-KSF-TRIAL-BAL-2020'!R855+'RA-TRIAL-BAL-2020'!R855+'DES-TRIAL-BAL-2020'!R855+'DMP-TRIAL-BAL-2020'!R855</f>
        <v>0</v>
      </c>
      <c r="Z855" s="587">
        <f>+'NF-KSF-TRIAL-BAL-2020'!S855+'RA-TRIAL-BAL-2020'!S855+'DES-TRIAL-BAL-2020'!S855+'DMP-TRIAL-BAL-2020'!S855</f>
        <v>0</v>
      </c>
      <c r="AA855" s="588">
        <f>+'NF-KSF-TRIAL-BAL-2020'!T855+'RA-TRIAL-BAL-2020'!T855+'DES-TRIAL-BAL-2020'!T855+'DMP-TRIAL-BAL-2020'!T855</f>
        <v>0</v>
      </c>
      <c r="AB855" s="51"/>
      <c r="AC855" s="575">
        <v>0</v>
      </c>
      <c r="AD855" s="582">
        <v>0</v>
      </c>
      <c r="AE855" s="589">
        <v>0</v>
      </c>
      <c r="AF855" s="576">
        <v>0</v>
      </c>
      <c r="AG855" s="583">
        <f t="shared" si="434"/>
        <v>0</v>
      </c>
      <c r="AH855" s="580">
        <f t="shared" si="432"/>
        <v>0</v>
      </c>
      <c r="AI855" s="51"/>
      <c r="AJ855" s="1497">
        <f>+N855</f>
        <v>9808</v>
      </c>
      <c r="AK855" s="8">
        <v>0</v>
      </c>
      <c r="AL855" s="9">
        <v>0</v>
      </c>
      <c r="AM855" s="326">
        <f t="shared" si="436"/>
        <v>0</v>
      </c>
      <c r="AN855" s="970">
        <f t="shared" si="436"/>
        <v>0</v>
      </c>
      <c r="AO855" s="27">
        <f t="shared" si="435"/>
        <v>0</v>
      </c>
      <c r="AP855" s="28">
        <f t="shared" si="431"/>
        <v>0</v>
      </c>
      <c r="AQ855" s="43"/>
      <c r="AR855" s="358">
        <f>+ROUND(+SUM(AK855-AL855)-SUM(O855-P855)-SUM(V855-W855)-SUM(AC855-AD855),2)</f>
        <v>0</v>
      </c>
      <c r="AS855" s="359">
        <f>+ROUND(+SUM(AM855-AN855)-SUM(Q855-R855)-SUM(X855-Y855)-SUM(AE855-AF855),2)</f>
        <v>0</v>
      </c>
      <c r="AT855" s="360">
        <f>+ROUND(+SUM(AO855-AP855)-SUM(S855-T855)-SUM(Z855-AA855)-SUM(AG855-AH855),2)</f>
        <v>0</v>
      </c>
      <c r="AU855" s="43"/>
      <c r="AV855" s="43"/>
      <c r="AW855" s="119"/>
      <c r="AX855" s="119"/>
      <c r="AY855" s="43"/>
      <c r="AZ855" s="43"/>
      <c r="BA855" s="43"/>
      <c r="BB855" s="43"/>
      <c r="BC855" s="43"/>
      <c r="BD855" s="43"/>
    </row>
    <row r="856" spans="1:56" ht="15.75" customHeight="1">
      <c r="A856" s="88">
        <v>9809</v>
      </c>
      <c r="B856" s="1033" t="s">
        <v>91</v>
      </c>
      <c r="C856" s="1038"/>
      <c r="D856" s="1038"/>
      <c r="E856" s="1038"/>
      <c r="F856" s="1038"/>
      <c r="G856" s="1038"/>
      <c r="H856" s="1038"/>
      <c r="I856" s="1038"/>
      <c r="J856" s="1038"/>
      <c r="K856" s="1038"/>
      <c r="L856" s="590"/>
      <c r="M856" s="51" t="s">
        <v>265</v>
      </c>
      <c r="N856" s="113">
        <f t="shared" si="424"/>
        <v>9809</v>
      </c>
      <c r="O856" s="575">
        <v>0</v>
      </c>
      <c r="P856" s="582">
        <v>0</v>
      </c>
      <c r="Q856" s="589"/>
      <c r="R856" s="576"/>
      <c r="S856" s="583">
        <f t="shared" si="433"/>
        <v>0</v>
      </c>
      <c r="T856" s="580">
        <f t="shared" si="430"/>
        <v>0</v>
      </c>
      <c r="U856" s="51"/>
      <c r="V856" s="541">
        <f>+'NF-KSF-TRIAL-BAL-2020'!O856+'RA-TRIAL-BAL-2020'!O856+'DES-TRIAL-BAL-2020'!O856+'DMP-TRIAL-BAL-2020'!O856</f>
        <v>0</v>
      </c>
      <c r="W856" s="529">
        <f>+'NF-KSF-TRIAL-BAL-2020'!P856+'RA-TRIAL-BAL-2020'!P856+'DES-TRIAL-BAL-2020'!P856+'DMP-TRIAL-BAL-2020'!P856</f>
        <v>0</v>
      </c>
      <c r="X856" s="587">
        <f>+'NF-KSF-TRIAL-BAL-2020'!Q856+'RA-TRIAL-BAL-2020'!Q856+'DES-TRIAL-BAL-2020'!Q856+'DMP-TRIAL-BAL-2020'!Q856</f>
        <v>0</v>
      </c>
      <c r="Y856" s="586">
        <f>+'NF-KSF-TRIAL-BAL-2020'!R856+'RA-TRIAL-BAL-2020'!R856+'DES-TRIAL-BAL-2020'!R856+'DMP-TRIAL-BAL-2020'!R856</f>
        <v>0</v>
      </c>
      <c r="Z856" s="587">
        <f>+'NF-KSF-TRIAL-BAL-2020'!S856+'RA-TRIAL-BAL-2020'!S856+'DES-TRIAL-BAL-2020'!S856+'DMP-TRIAL-BAL-2020'!S856</f>
        <v>0</v>
      </c>
      <c r="AA856" s="588">
        <f>+'NF-KSF-TRIAL-BAL-2020'!T856+'RA-TRIAL-BAL-2020'!T856+'DES-TRIAL-BAL-2020'!T856+'DMP-TRIAL-BAL-2020'!T856</f>
        <v>0</v>
      </c>
      <c r="AB856" s="51"/>
      <c r="AC856" s="575">
        <v>0</v>
      </c>
      <c r="AD856" s="582">
        <v>0</v>
      </c>
      <c r="AE856" s="589"/>
      <c r="AF856" s="576"/>
      <c r="AG856" s="583">
        <f t="shared" si="434"/>
        <v>0</v>
      </c>
      <c r="AH856" s="580">
        <f t="shared" si="432"/>
        <v>0</v>
      </c>
      <c r="AI856" s="51"/>
      <c r="AJ856" s="1497">
        <f>+N856</f>
        <v>9809</v>
      </c>
      <c r="AK856" s="8">
        <v>0</v>
      </c>
      <c r="AL856" s="9">
        <v>0</v>
      </c>
      <c r="AM856" s="326">
        <f t="shared" si="436"/>
        <v>0</v>
      </c>
      <c r="AN856" s="970">
        <f t="shared" si="436"/>
        <v>0</v>
      </c>
      <c r="AO856" s="27">
        <f t="shared" si="435"/>
        <v>0</v>
      </c>
      <c r="AP856" s="28">
        <f t="shared" si="431"/>
        <v>0</v>
      </c>
      <c r="AQ856" s="43"/>
      <c r="AR856" s="358">
        <f>+ROUND(+SUM(AK856-AL856)-SUM(O856-P856)-SUM(V856-W856)-SUM(AC856-AD856),2)</f>
        <v>0</v>
      </c>
      <c r="AS856" s="359">
        <f>+ROUND(+SUM(AM856-AN856)-SUM(Q856-R856)-SUM(X856-Y856)-SUM(AE856-AF856),2)</f>
        <v>0</v>
      </c>
      <c r="AT856" s="360">
        <f>+ROUND(+SUM(AO856-AP856)-SUM(S856-T856)-SUM(Z856-AA856)-SUM(AG856-AH856),2)</f>
        <v>0</v>
      </c>
      <c r="AU856" s="43"/>
      <c r="AV856" s="43"/>
      <c r="AW856" s="119"/>
      <c r="AX856" s="119"/>
      <c r="AY856" s="43"/>
      <c r="AZ856" s="43"/>
      <c r="BA856" s="43"/>
      <c r="BB856" s="43"/>
      <c r="BC856" s="43"/>
      <c r="BD856" s="43"/>
    </row>
    <row r="857" spans="1:56" ht="15.75" customHeight="1">
      <c r="A857" s="88">
        <v>9860</v>
      </c>
      <c r="B857" s="1033" t="s">
        <v>92</v>
      </c>
      <c r="C857" s="1038"/>
      <c r="D857" s="1038"/>
      <c r="E857" s="1038"/>
      <c r="F857" s="1038"/>
      <c r="G857" s="1038"/>
      <c r="H857" s="1038"/>
      <c r="I857" s="1038"/>
      <c r="J857" s="1038"/>
      <c r="K857" s="1038"/>
      <c r="L857" s="590"/>
      <c r="M857" s="51" t="s">
        <v>265</v>
      </c>
      <c r="N857" s="113">
        <f t="shared" si="424"/>
        <v>9860</v>
      </c>
      <c r="O857" s="575">
        <v>0</v>
      </c>
      <c r="P857" s="582">
        <v>0</v>
      </c>
      <c r="Q857" s="589">
        <v>0</v>
      </c>
      <c r="R857" s="576">
        <v>277133.73</v>
      </c>
      <c r="S857" s="583">
        <f t="shared" si="433"/>
        <v>0</v>
      </c>
      <c r="T857" s="580">
        <f t="shared" si="430"/>
        <v>277133.73</v>
      </c>
      <c r="U857" s="51"/>
      <c r="V857" s="541">
        <f>+'NF-KSF-TRIAL-BAL-2020'!O857+'RA-TRIAL-BAL-2020'!O857+'DES-TRIAL-BAL-2020'!O857+'DMP-TRIAL-BAL-2020'!O857</f>
        <v>0</v>
      </c>
      <c r="W857" s="529">
        <f>+'NF-KSF-TRIAL-BAL-2020'!P857+'RA-TRIAL-BAL-2020'!P857+'DES-TRIAL-BAL-2020'!P857+'DMP-TRIAL-BAL-2020'!P857</f>
        <v>0</v>
      </c>
      <c r="X857" s="587">
        <f>+'NF-KSF-TRIAL-BAL-2020'!Q857+'RA-TRIAL-BAL-2020'!Q857+'DES-TRIAL-BAL-2020'!Q857+'DMP-TRIAL-BAL-2020'!Q857</f>
        <v>0</v>
      </c>
      <c r="Y857" s="586">
        <f>+'NF-KSF-TRIAL-BAL-2020'!R857+'RA-TRIAL-BAL-2020'!R857+'DES-TRIAL-BAL-2020'!R857+'DMP-TRIAL-BAL-2020'!R857</f>
        <v>0</v>
      </c>
      <c r="Z857" s="587">
        <f>+'NF-KSF-TRIAL-BAL-2020'!S857+'RA-TRIAL-BAL-2020'!S857+'DES-TRIAL-BAL-2020'!S857+'DMP-TRIAL-BAL-2020'!S857</f>
        <v>0</v>
      </c>
      <c r="AA857" s="588">
        <f>+'NF-KSF-TRIAL-BAL-2020'!T857+'RA-TRIAL-BAL-2020'!T857+'DES-TRIAL-BAL-2020'!T857+'DMP-TRIAL-BAL-2020'!T857</f>
        <v>0</v>
      </c>
      <c r="AB857" s="51"/>
      <c r="AC857" s="575">
        <v>0</v>
      </c>
      <c r="AD857" s="582">
        <v>0</v>
      </c>
      <c r="AE857" s="589">
        <v>0</v>
      </c>
      <c r="AF857" s="576">
        <v>0</v>
      </c>
      <c r="AG857" s="583">
        <f t="shared" si="434"/>
        <v>0</v>
      </c>
      <c r="AH857" s="580">
        <f t="shared" si="432"/>
        <v>0</v>
      </c>
      <c r="AI857" s="51"/>
      <c r="AJ857" s="1497">
        <f>+N857</f>
        <v>9860</v>
      </c>
      <c r="AK857" s="8">
        <v>0</v>
      </c>
      <c r="AL857" s="9">
        <v>0</v>
      </c>
      <c r="AM857" s="326">
        <f t="shared" si="436"/>
        <v>0</v>
      </c>
      <c r="AN857" s="970">
        <f t="shared" si="436"/>
        <v>277133.73</v>
      </c>
      <c r="AO857" s="27">
        <f t="shared" si="435"/>
        <v>0</v>
      </c>
      <c r="AP857" s="28">
        <f t="shared" si="431"/>
        <v>277133.73</v>
      </c>
      <c r="AQ857" s="43"/>
      <c r="AR857" s="358">
        <f>+ROUND(+SUM(AK857-AL857)-SUM(O857-P857)-SUM(V857-W857)-SUM(AC857-AD857),2)</f>
        <v>0</v>
      </c>
      <c r="AS857" s="359">
        <f>+ROUND(+SUM(AM857-AN857)-SUM(Q857-R857)-SUM(X857-Y857)-SUM(AE857-AF857),2)</f>
        <v>0</v>
      </c>
      <c r="AT857" s="360">
        <f>+ROUND(+SUM(AO857-AP857)-SUM(S857-T857)-SUM(Z857-AA857)-SUM(AG857-AH857),2)</f>
        <v>0</v>
      </c>
      <c r="AU857" s="43"/>
      <c r="AV857" s="43"/>
      <c r="AW857" s="119"/>
      <c r="AX857" s="119"/>
      <c r="AY857" s="43"/>
      <c r="AZ857" s="43"/>
      <c r="BA857" s="43"/>
      <c r="BB857" s="43"/>
      <c r="BC857" s="43"/>
      <c r="BD857" s="43"/>
    </row>
    <row r="858" spans="1:56" ht="15.75">
      <c r="A858" s="88">
        <v>9909</v>
      </c>
      <c r="B858" s="1033" t="s">
        <v>93</v>
      </c>
      <c r="C858" s="1033"/>
      <c r="D858" s="1033"/>
      <c r="E858" s="1033"/>
      <c r="F858" s="1033"/>
      <c r="G858" s="1033"/>
      <c r="H858" s="1033"/>
      <c r="I858" s="1033"/>
      <c r="J858" s="1033"/>
      <c r="K858" s="1033"/>
      <c r="L858" s="90"/>
      <c r="M858" s="51" t="s">
        <v>265</v>
      </c>
      <c r="N858" s="113">
        <f t="shared" si="424"/>
        <v>9909</v>
      </c>
      <c r="O858" s="120">
        <v>209240.48</v>
      </c>
      <c r="P858" s="9">
        <v>0</v>
      </c>
      <c r="Q858" s="122">
        <v>690</v>
      </c>
      <c r="R858" s="324">
        <v>0</v>
      </c>
      <c r="S858" s="27">
        <f t="shared" si="433"/>
        <v>209930.48</v>
      </c>
      <c r="T858" s="30">
        <v>0</v>
      </c>
      <c r="U858" s="51"/>
      <c r="V858" s="541">
        <f>+'NF-KSF-TRIAL-BAL-2020'!O858+'RA-TRIAL-BAL-2020'!O858+'DES-TRIAL-BAL-2020'!O858+'DMP-TRIAL-BAL-2020'!O858</f>
        <v>0</v>
      </c>
      <c r="W858" s="529">
        <f>+'NF-KSF-TRIAL-BAL-2020'!P858+'RA-TRIAL-BAL-2020'!P858+'DES-TRIAL-BAL-2020'!P858+'DMP-TRIAL-BAL-2020'!P858</f>
        <v>0</v>
      </c>
      <c r="X858" s="528">
        <f>+'NF-KSF-TRIAL-BAL-2020'!Q858+'RA-TRIAL-BAL-2020'!Q858+'DES-TRIAL-BAL-2020'!Q858+'DMP-TRIAL-BAL-2020'!Q858</f>
        <v>0</v>
      </c>
      <c r="Y858" s="529">
        <f>+'NF-KSF-TRIAL-BAL-2020'!R858+'RA-TRIAL-BAL-2020'!R858+'DES-TRIAL-BAL-2020'!R858+'DMP-TRIAL-BAL-2020'!R858</f>
        <v>0</v>
      </c>
      <c r="Z858" s="528">
        <f>+'NF-KSF-TRIAL-BAL-2020'!S858+'RA-TRIAL-BAL-2020'!S858+'DES-TRIAL-BAL-2020'!S858+'DMP-TRIAL-BAL-2020'!S858</f>
        <v>0</v>
      </c>
      <c r="AA858" s="347">
        <f>+'NF-KSF-TRIAL-BAL-2020'!T858+'RA-TRIAL-BAL-2020'!T858+'DES-TRIAL-BAL-2020'!T858+'DMP-TRIAL-BAL-2020'!T858</f>
        <v>0</v>
      </c>
      <c r="AB858" s="51"/>
      <c r="AC858" s="120">
        <v>0</v>
      </c>
      <c r="AD858" s="9">
        <v>0</v>
      </c>
      <c r="AE858" s="122">
        <v>0</v>
      </c>
      <c r="AF858" s="324">
        <v>0</v>
      </c>
      <c r="AG858" s="27">
        <f t="shared" si="434"/>
        <v>0</v>
      </c>
      <c r="AH858" s="30">
        <v>0</v>
      </c>
      <c r="AI858" s="51"/>
      <c r="AJ858" s="1497">
        <f t="shared" si="423"/>
        <v>9909</v>
      </c>
      <c r="AK858" s="951">
        <f t="shared" ref="AK858:AK867" si="437">+ROUND(+O858+V858+AC858,2)</f>
        <v>209240.48</v>
      </c>
      <c r="AL858" s="9">
        <v>0</v>
      </c>
      <c r="AM858" s="326">
        <f t="shared" si="429"/>
        <v>690</v>
      </c>
      <c r="AN858" s="970">
        <f t="shared" si="429"/>
        <v>0</v>
      </c>
      <c r="AO858" s="27">
        <f t="shared" si="435"/>
        <v>209930.48</v>
      </c>
      <c r="AP858" s="331">
        <v>0</v>
      </c>
      <c r="AQ858" s="43"/>
      <c r="AR858" s="358">
        <f t="shared" si="426"/>
        <v>0</v>
      </c>
      <c r="AS858" s="359">
        <f t="shared" si="427"/>
        <v>0</v>
      </c>
      <c r="AT858" s="360">
        <f t="shared" si="428"/>
        <v>0</v>
      </c>
      <c r="AU858" s="43"/>
      <c r="AV858" s="2120">
        <f t="shared" ref="AV858:AV867" si="438">+IF(OR(ROUND(P858,2)+ROUND(R858,2)&gt;+ROUND(O858,2)+ROUND(Q858,2),+ABS(ROUND(P858,2)+ROUND(R858,2))&gt;+ABS(ROUND(O858,2)+ROUND(Q858,2))),+(ROUND(P858,2)+ROUND(R858,2))-(ROUND(O858,2)+ROUND(Q858,2)),0)</f>
        <v>0</v>
      </c>
      <c r="AW858" s="119"/>
      <c r="AX858" s="2120">
        <f t="shared" ref="AX858:AX867" si="439">+IF(OR(ROUND(AD858,2)+ROUND(AF858,2)&gt;+ROUND(AC858,2)+ROUND(AE858,2),+ABS(ROUND(AD858,2)+ROUND(AF858,2))&gt;+ABS(ROUND(AC858,2)+ROUND(AE858,2))),+(ROUND(AD858,2)+ROUND(AF858,2))-(ROUND(AC858,2)+ROUND(AE858,2)),0)</f>
        <v>0</v>
      </c>
      <c r="AY858" s="43"/>
      <c r="AZ858" s="43"/>
      <c r="BA858" s="43"/>
      <c r="BB858" s="43"/>
      <c r="BC858" s="43"/>
      <c r="BD858" s="43"/>
    </row>
    <row r="859" spans="1:56" ht="15.75">
      <c r="A859" s="88">
        <v>9911</v>
      </c>
      <c r="B859" s="1033" t="s">
        <v>94</v>
      </c>
      <c r="C859" s="1033"/>
      <c r="D859" s="1033"/>
      <c r="E859" s="1033"/>
      <c r="F859" s="1033"/>
      <c r="G859" s="1033"/>
      <c r="H859" s="1033"/>
      <c r="I859" s="1033"/>
      <c r="J859" s="1033"/>
      <c r="K859" s="1033"/>
      <c r="L859" s="90"/>
      <c r="M859" s="51" t="s">
        <v>265</v>
      </c>
      <c r="N859" s="113">
        <f t="shared" si="424"/>
        <v>9911</v>
      </c>
      <c r="O859" s="120"/>
      <c r="P859" s="9">
        <v>0</v>
      </c>
      <c r="Q859" s="122"/>
      <c r="R859" s="324"/>
      <c r="S859" s="27">
        <f t="shared" si="433"/>
        <v>0</v>
      </c>
      <c r="T859" s="30">
        <v>0</v>
      </c>
      <c r="U859" s="51"/>
      <c r="V859" s="541">
        <f>+'NF-KSF-TRIAL-BAL-2020'!O859+'RA-TRIAL-BAL-2020'!O859+'DES-TRIAL-BAL-2020'!O859+'DMP-TRIAL-BAL-2020'!O859</f>
        <v>0</v>
      </c>
      <c r="W859" s="529">
        <f>+'NF-KSF-TRIAL-BAL-2020'!P859+'RA-TRIAL-BAL-2020'!P859+'DES-TRIAL-BAL-2020'!P859+'DMP-TRIAL-BAL-2020'!P859</f>
        <v>0</v>
      </c>
      <c r="X859" s="528">
        <f>+'NF-KSF-TRIAL-BAL-2020'!Q859+'RA-TRIAL-BAL-2020'!Q859+'DES-TRIAL-BAL-2020'!Q859+'DMP-TRIAL-BAL-2020'!Q859</f>
        <v>0</v>
      </c>
      <c r="Y859" s="529">
        <f>+'NF-KSF-TRIAL-BAL-2020'!R859+'RA-TRIAL-BAL-2020'!R859+'DES-TRIAL-BAL-2020'!R859+'DMP-TRIAL-BAL-2020'!R859</f>
        <v>0</v>
      </c>
      <c r="Z859" s="528">
        <f>+'NF-KSF-TRIAL-BAL-2020'!S859+'RA-TRIAL-BAL-2020'!S859+'DES-TRIAL-BAL-2020'!S859+'DMP-TRIAL-BAL-2020'!S859</f>
        <v>0</v>
      </c>
      <c r="AA859" s="347">
        <f>+'NF-KSF-TRIAL-BAL-2020'!T859+'RA-TRIAL-BAL-2020'!T859+'DES-TRIAL-BAL-2020'!T859+'DMP-TRIAL-BAL-2020'!T859</f>
        <v>0</v>
      </c>
      <c r="AB859" s="51"/>
      <c r="AC859" s="120"/>
      <c r="AD859" s="9">
        <v>0</v>
      </c>
      <c r="AE859" s="122"/>
      <c r="AF859" s="324"/>
      <c r="AG859" s="27">
        <f t="shared" si="434"/>
        <v>0</v>
      </c>
      <c r="AH859" s="30">
        <v>0</v>
      </c>
      <c r="AI859" s="51"/>
      <c r="AJ859" s="1497">
        <f t="shared" si="423"/>
        <v>9911</v>
      </c>
      <c r="AK859" s="951">
        <f t="shared" si="437"/>
        <v>0</v>
      </c>
      <c r="AL859" s="9">
        <v>0</v>
      </c>
      <c r="AM859" s="326">
        <f t="shared" si="429"/>
        <v>0</v>
      </c>
      <c r="AN859" s="970">
        <f t="shared" si="429"/>
        <v>0</v>
      </c>
      <c r="AO859" s="27">
        <f t="shared" si="435"/>
        <v>0</v>
      </c>
      <c r="AP859" s="331">
        <v>0</v>
      </c>
      <c r="AQ859" s="43"/>
      <c r="AR859" s="358">
        <f t="shared" si="426"/>
        <v>0</v>
      </c>
      <c r="AS859" s="359">
        <f t="shared" si="427"/>
        <v>0</v>
      </c>
      <c r="AT859" s="360">
        <f t="shared" si="428"/>
        <v>0</v>
      </c>
      <c r="AU859" s="43"/>
      <c r="AV859" s="2120">
        <f t="shared" si="438"/>
        <v>0</v>
      </c>
      <c r="AW859" s="119"/>
      <c r="AX859" s="2120">
        <f t="shared" si="439"/>
        <v>0</v>
      </c>
      <c r="AY859" s="43"/>
      <c r="AZ859" s="43"/>
      <c r="BA859" s="43"/>
      <c r="BB859" s="43"/>
      <c r="BC859" s="43"/>
      <c r="BD859" s="43"/>
    </row>
    <row r="860" spans="1:56" ht="15.75">
      <c r="A860" s="88">
        <v>9912</v>
      </c>
      <c r="B860" s="1033" t="s">
        <v>95</v>
      </c>
      <c r="C860" s="1033"/>
      <c r="D860" s="1033"/>
      <c r="E860" s="1033"/>
      <c r="F860" s="1033"/>
      <c r="G860" s="1033"/>
      <c r="H860" s="1033"/>
      <c r="I860" s="1033"/>
      <c r="J860" s="1033"/>
      <c r="K860" s="1033"/>
      <c r="L860" s="90"/>
      <c r="M860" s="51" t="s">
        <v>265</v>
      </c>
      <c r="N860" s="113">
        <f t="shared" si="424"/>
        <v>9912</v>
      </c>
      <c r="O860" s="120"/>
      <c r="P860" s="9">
        <v>0</v>
      </c>
      <c r="Q860" s="122"/>
      <c r="R860" s="324"/>
      <c r="S860" s="27">
        <f t="shared" si="433"/>
        <v>0</v>
      </c>
      <c r="T860" s="30">
        <v>0</v>
      </c>
      <c r="U860" s="51"/>
      <c r="V860" s="541">
        <f>+'NF-KSF-TRIAL-BAL-2020'!O860+'RA-TRIAL-BAL-2020'!O860+'DES-TRIAL-BAL-2020'!O860+'DMP-TRIAL-BAL-2020'!O860</f>
        <v>0</v>
      </c>
      <c r="W860" s="529">
        <f>+'NF-KSF-TRIAL-BAL-2020'!P860+'RA-TRIAL-BAL-2020'!P860+'DES-TRIAL-BAL-2020'!P860+'DMP-TRIAL-BAL-2020'!P860</f>
        <v>0</v>
      </c>
      <c r="X860" s="528">
        <f>+'NF-KSF-TRIAL-BAL-2020'!Q860+'RA-TRIAL-BAL-2020'!Q860+'DES-TRIAL-BAL-2020'!Q860+'DMP-TRIAL-BAL-2020'!Q860</f>
        <v>0</v>
      </c>
      <c r="Y860" s="529">
        <f>+'NF-KSF-TRIAL-BAL-2020'!R860+'RA-TRIAL-BAL-2020'!R860+'DES-TRIAL-BAL-2020'!R860+'DMP-TRIAL-BAL-2020'!R860</f>
        <v>0</v>
      </c>
      <c r="Z860" s="528">
        <f>+'NF-KSF-TRIAL-BAL-2020'!S860+'RA-TRIAL-BAL-2020'!S860+'DES-TRIAL-BAL-2020'!S860+'DMP-TRIAL-BAL-2020'!S860</f>
        <v>0</v>
      </c>
      <c r="AA860" s="347">
        <f>+'NF-KSF-TRIAL-BAL-2020'!T860+'RA-TRIAL-BAL-2020'!T860+'DES-TRIAL-BAL-2020'!T860+'DMP-TRIAL-BAL-2020'!T860</f>
        <v>0</v>
      </c>
      <c r="AB860" s="51"/>
      <c r="AC860" s="120"/>
      <c r="AD860" s="9">
        <v>0</v>
      </c>
      <c r="AE860" s="122"/>
      <c r="AF860" s="324"/>
      <c r="AG860" s="27">
        <f t="shared" si="434"/>
        <v>0</v>
      </c>
      <c r="AH860" s="30">
        <v>0</v>
      </c>
      <c r="AI860" s="51"/>
      <c r="AJ860" s="1497">
        <f t="shared" si="423"/>
        <v>9912</v>
      </c>
      <c r="AK860" s="951">
        <f t="shared" si="437"/>
        <v>0</v>
      </c>
      <c r="AL860" s="9">
        <v>0</v>
      </c>
      <c r="AM860" s="326">
        <f t="shared" si="429"/>
        <v>0</v>
      </c>
      <c r="AN860" s="970">
        <f t="shared" si="429"/>
        <v>0</v>
      </c>
      <c r="AO860" s="27">
        <f t="shared" si="435"/>
        <v>0</v>
      </c>
      <c r="AP860" s="331">
        <v>0</v>
      </c>
      <c r="AQ860" s="43"/>
      <c r="AR860" s="358">
        <f t="shared" si="426"/>
        <v>0</v>
      </c>
      <c r="AS860" s="359">
        <f t="shared" si="427"/>
        <v>0</v>
      </c>
      <c r="AT860" s="360">
        <f t="shared" si="428"/>
        <v>0</v>
      </c>
      <c r="AU860" s="43"/>
      <c r="AV860" s="2120">
        <f t="shared" si="438"/>
        <v>0</v>
      </c>
      <c r="AW860" s="119"/>
      <c r="AX860" s="2120">
        <f t="shared" si="439"/>
        <v>0</v>
      </c>
      <c r="AY860" s="43"/>
      <c r="AZ860" s="43"/>
      <c r="BA860" s="43"/>
      <c r="BB860" s="43"/>
      <c r="BC860" s="43"/>
      <c r="BD860" s="43"/>
    </row>
    <row r="861" spans="1:56" ht="15.75">
      <c r="A861" s="88">
        <v>9913</v>
      </c>
      <c r="B861" s="1033" t="s">
        <v>96</v>
      </c>
      <c r="C861" s="1033"/>
      <c r="D861" s="1033"/>
      <c r="E861" s="1033"/>
      <c r="F861" s="1033"/>
      <c r="G861" s="1033"/>
      <c r="H861" s="1033"/>
      <c r="I861" s="1033"/>
      <c r="J861" s="1033"/>
      <c r="K861" s="1033"/>
      <c r="L861" s="90"/>
      <c r="M861" s="51" t="s">
        <v>265</v>
      </c>
      <c r="N861" s="113">
        <f t="shared" si="424"/>
        <v>9913</v>
      </c>
      <c r="O861" s="120">
        <v>0</v>
      </c>
      <c r="P861" s="9">
        <v>0</v>
      </c>
      <c r="Q861" s="122">
        <v>0</v>
      </c>
      <c r="R861" s="324">
        <v>0</v>
      </c>
      <c r="S861" s="27">
        <f t="shared" si="433"/>
        <v>0</v>
      </c>
      <c r="T861" s="30">
        <v>0</v>
      </c>
      <c r="U861" s="51"/>
      <c r="V861" s="541">
        <f>+'NF-KSF-TRIAL-BAL-2020'!O861+'RA-TRIAL-BAL-2020'!O861+'DES-TRIAL-BAL-2020'!O861+'DMP-TRIAL-BAL-2020'!O861</f>
        <v>0</v>
      </c>
      <c r="W861" s="529">
        <f>+'NF-KSF-TRIAL-BAL-2020'!P861+'RA-TRIAL-BAL-2020'!P861+'DES-TRIAL-BAL-2020'!P861+'DMP-TRIAL-BAL-2020'!P861</f>
        <v>0</v>
      </c>
      <c r="X861" s="528">
        <f>+'NF-KSF-TRIAL-BAL-2020'!Q861+'RA-TRIAL-BAL-2020'!Q861+'DES-TRIAL-BAL-2020'!Q861+'DMP-TRIAL-BAL-2020'!Q861</f>
        <v>0</v>
      </c>
      <c r="Y861" s="529">
        <f>+'NF-KSF-TRIAL-BAL-2020'!R861+'RA-TRIAL-BAL-2020'!R861+'DES-TRIAL-BAL-2020'!R861+'DMP-TRIAL-BAL-2020'!R861</f>
        <v>0</v>
      </c>
      <c r="Z861" s="528">
        <f>+'NF-KSF-TRIAL-BAL-2020'!S861+'RA-TRIAL-BAL-2020'!S861+'DES-TRIAL-BAL-2020'!S861+'DMP-TRIAL-BAL-2020'!S861</f>
        <v>0</v>
      </c>
      <c r="AA861" s="347">
        <f>+'NF-KSF-TRIAL-BAL-2020'!T861+'RA-TRIAL-BAL-2020'!T861+'DES-TRIAL-BAL-2020'!T861+'DMP-TRIAL-BAL-2020'!T861</f>
        <v>0</v>
      </c>
      <c r="AB861" s="51"/>
      <c r="AC861" s="120">
        <v>0</v>
      </c>
      <c r="AD861" s="9">
        <v>0</v>
      </c>
      <c r="AE861" s="122">
        <v>0</v>
      </c>
      <c r="AF861" s="324">
        <v>0</v>
      </c>
      <c r="AG861" s="27">
        <f t="shared" si="434"/>
        <v>0</v>
      </c>
      <c r="AH861" s="30">
        <v>0</v>
      </c>
      <c r="AI861" s="51"/>
      <c r="AJ861" s="1497">
        <f t="shared" si="423"/>
        <v>9913</v>
      </c>
      <c r="AK861" s="951">
        <f t="shared" si="437"/>
        <v>0</v>
      </c>
      <c r="AL861" s="9">
        <v>0</v>
      </c>
      <c r="AM861" s="326">
        <f t="shared" si="429"/>
        <v>0</v>
      </c>
      <c r="AN861" s="970">
        <f t="shared" si="429"/>
        <v>0</v>
      </c>
      <c r="AO861" s="27">
        <f t="shared" si="435"/>
        <v>0</v>
      </c>
      <c r="AP861" s="331">
        <v>0</v>
      </c>
      <c r="AQ861" s="43"/>
      <c r="AR861" s="358">
        <f t="shared" si="426"/>
        <v>0</v>
      </c>
      <c r="AS861" s="359">
        <f t="shared" si="427"/>
        <v>0</v>
      </c>
      <c r="AT861" s="360">
        <f t="shared" si="428"/>
        <v>0</v>
      </c>
      <c r="AU861" s="43"/>
      <c r="AV861" s="2120">
        <f t="shared" si="438"/>
        <v>0</v>
      </c>
      <c r="AW861" s="119"/>
      <c r="AX861" s="2120">
        <f t="shared" si="439"/>
        <v>0</v>
      </c>
      <c r="AY861" s="43"/>
      <c r="AZ861" s="43"/>
      <c r="BA861" s="43"/>
      <c r="BB861" s="43"/>
      <c r="BC861" s="43"/>
      <c r="BD861" s="43"/>
    </row>
    <row r="862" spans="1:56" ht="15.75">
      <c r="A862" s="88">
        <v>9914</v>
      </c>
      <c r="B862" s="1033" t="s">
        <v>97</v>
      </c>
      <c r="C862" s="1033"/>
      <c r="D862" s="1033"/>
      <c r="E862" s="1033"/>
      <c r="F862" s="1033"/>
      <c r="G862" s="1033"/>
      <c r="H862" s="1033"/>
      <c r="I862" s="1033"/>
      <c r="J862" s="1033"/>
      <c r="K862" s="1033"/>
      <c r="L862" s="90"/>
      <c r="M862" s="51" t="s">
        <v>265</v>
      </c>
      <c r="N862" s="113">
        <f t="shared" si="424"/>
        <v>9914</v>
      </c>
      <c r="O862" s="120"/>
      <c r="P862" s="9">
        <v>0</v>
      </c>
      <c r="Q862" s="122"/>
      <c r="R862" s="324"/>
      <c r="S862" s="27">
        <f t="shared" si="433"/>
        <v>0</v>
      </c>
      <c r="T862" s="30">
        <v>0</v>
      </c>
      <c r="U862" s="51"/>
      <c r="V862" s="541">
        <f>+'NF-KSF-TRIAL-BAL-2020'!O862+'RA-TRIAL-BAL-2020'!O862+'DES-TRIAL-BAL-2020'!O862+'DMP-TRIAL-BAL-2020'!O862</f>
        <v>0</v>
      </c>
      <c r="W862" s="529">
        <f>+'NF-KSF-TRIAL-BAL-2020'!P862+'RA-TRIAL-BAL-2020'!P862+'DES-TRIAL-BAL-2020'!P862+'DMP-TRIAL-BAL-2020'!P862</f>
        <v>0</v>
      </c>
      <c r="X862" s="528">
        <f>+'NF-KSF-TRIAL-BAL-2020'!Q862+'RA-TRIAL-BAL-2020'!Q862+'DES-TRIAL-BAL-2020'!Q862+'DMP-TRIAL-BAL-2020'!Q862</f>
        <v>0</v>
      </c>
      <c r="Y862" s="529">
        <f>+'NF-KSF-TRIAL-BAL-2020'!R862+'RA-TRIAL-BAL-2020'!R862+'DES-TRIAL-BAL-2020'!R862+'DMP-TRIAL-BAL-2020'!R862</f>
        <v>0</v>
      </c>
      <c r="Z862" s="528">
        <f>+'NF-KSF-TRIAL-BAL-2020'!S862+'RA-TRIAL-BAL-2020'!S862+'DES-TRIAL-BAL-2020'!S862+'DMP-TRIAL-BAL-2020'!S862</f>
        <v>0</v>
      </c>
      <c r="AA862" s="347">
        <f>+'NF-KSF-TRIAL-BAL-2020'!T862+'RA-TRIAL-BAL-2020'!T862+'DES-TRIAL-BAL-2020'!T862+'DMP-TRIAL-BAL-2020'!T862</f>
        <v>0</v>
      </c>
      <c r="AB862" s="51"/>
      <c r="AC862" s="120"/>
      <c r="AD862" s="9">
        <v>0</v>
      </c>
      <c r="AE862" s="122"/>
      <c r="AF862" s="324"/>
      <c r="AG862" s="27">
        <f t="shared" si="434"/>
        <v>0</v>
      </c>
      <c r="AH862" s="30">
        <v>0</v>
      </c>
      <c r="AI862" s="51"/>
      <c r="AJ862" s="1497">
        <f t="shared" si="423"/>
        <v>9914</v>
      </c>
      <c r="AK862" s="951">
        <f t="shared" si="437"/>
        <v>0</v>
      </c>
      <c r="AL862" s="9">
        <v>0</v>
      </c>
      <c r="AM862" s="326">
        <f t="shared" si="429"/>
        <v>0</v>
      </c>
      <c r="AN862" s="970">
        <f t="shared" si="429"/>
        <v>0</v>
      </c>
      <c r="AO862" s="27">
        <f t="shared" si="435"/>
        <v>0</v>
      </c>
      <c r="AP862" s="331">
        <v>0</v>
      </c>
      <c r="AQ862" s="43"/>
      <c r="AR862" s="358">
        <f t="shared" si="426"/>
        <v>0</v>
      </c>
      <c r="AS862" s="359">
        <f t="shared" si="427"/>
        <v>0</v>
      </c>
      <c r="AT862" s="360">
        <f t="shared" si="428"/>
        <v>0</v>
      </c>
      <c r="AU862" s="43"/>
      <c r="AV862" s="2120">
        <f t="shared" si="438"/>
        <v>0</v>
      </c>
      <c r="AW862" s="119"/>
      <c r="AX862" s="2120">
        <f t="shared" si="439"/>
        <v>0</v>
      </c>
      <c r="AY862" s="43"/>
      <c r="AZ862" s="43"/>
      <c r="BA862" s="43"/>
      <c r="BB862" s="43"/>
      <c r="BC862" s="43"/>
      <c r="BD862" s="43"/>
    </row>
    <row r="863" spans="1:56" ht="15.75">
      <c r="A863" s="88">
        <v>9915</v>
      </c>
      <c r="B863" s="1033" t="s">
        <v>98</v>
      </c>
      <c r="C863" s="1033"/>
      <c r="D863" s="1033"/>
      <c r="E863" s="1033"/>
      <c r="F863" s="1033"/>
      <c r="G863" s="1033"/>
      <c r="H863" s="1033"/>
      <c r="I863" s="1033"/>
      <c r="J863" s="1033"/>
      <c r="K863" s="1033"/>
      <c r="L863" s="90"/>
      <c r="M863" s="51" t="s">
        <v>265</v>
      </c>
      <c r="N863" s="113">
        <f t="shared" si="424"/>
        <v>9915</v>
      </c>
      <c r="O863" s="120"/>
      <c r="P863" s="9">
        <v>0</v>
      </c>
      <c r="Q863" s="122"/>
      <c r="R863" s="324"/>
      <c r="S863" s="27">
        <f t="shared" si="433"/>
        <v>0</v>
      </c>
      <c r="T863" s="30">
        <v>0</v>
      </c>
      <c r="U863" s="51"/>
      <c r="V863" s="541">
        <f>+'NF-KSF-TRIAL-BAL-2020'!O863+'RA-TRIAL-BAL-2020'!O863+'DES-TRIAL-BAL-2020'!O863+'DMP-TRIAL-BAL-2020'!O863</f>
        <v>0</v>
      </c>
      <c r="W863" s="529">
        <f>+'NF-KSF-TRIAL-BAL-2020'!P863+'RA-TRIAL-BAL-2020'!P863+'DES-TRIAL-BAL-2020'!P863+'DMP-TRIAL-BAL-2020'!P863</f>
        <v>0</v>
      </c>
      <c r="X863" s="528">
        <f>+'NF-KSF-TRIAL-BAL-2020'!Q863+'RA-TRIAL-BAL-2020'!Q863+'DES-TRIAL-BAL-2020'!Q863+'DMP-TRIAL-BAL-2020'!Q863</f>
        <v>0</v>
      </c>
      <c r="Y863" s="529">
        <f>+'NF-KSF-TRIAL-BAL-2020'!R863+'RA-TRIAL-BAL-2020'!R863+'DES-TRIAL-BAL-2020'!R863+'DMP-TRIAL-BAL-2020'!R863</f>
        <v>0</v>
      </c>
      <c r="Z863" s="528">
        <f>+'NF-KSF-TRIAL-BAL-2020'!S863+'RA-TRIAL-BAL-2020'!S863+'DES-TRIAL-BAL-2020'!S863+'DMP-TRIAL-BAL-2020'!S863</f>
        <v>0</v>
      </c>
      <c r="AA863" s="347">
        <f>+'NF-KSF-TRIAL-BAL-2020'!T863+'RA-TRIAL-BAL-2020'!T863+'DES-TRIAL-BAL-2020'!T863+'DMP-TRIAL-BAL-2020'!T863</f>
        <v>0</v>
      </c>
      <c r="AB863" s="51"/>
      <c r="AC863" s="120"/>
      <c r="AD863" s="9">
        <v>0</v>
      </c>
      <c r="AE863" s="122"/>
      <c r="AF863" s="324"/>
      <c r="AG863" s="27">
        <f t="shared" si="434"/>
        <v>0</v>
      </c>
      <c r="AH863" s="30">
        <v>0</v>
      </c>
      <c r="AI863" s="51"/>
      <c r="AJ863" s="1497">
        <f t="shared" si="423"/>
        <v>9915</v>
      </c>
      <c r="AK863" s="951">
        <f t="shared" si="437"/>
        <v>0</v>
      </c>
      <c r="AL863" s="9">
        <v>0</v>
      </c>
      <c r="AM863" s="326">
        <f t="shared" si="429"/>
        <v>0</v>
      </c>
      <c r="AN863" s="970">
        <f t="shared" si="429"/>
        <v>0</v>
      </c>
      <c r="AO863" s="27">
        <f t="shared" si="435"/>
        <v>0</v>
      </c>
      <c r="AP863" s="331">
        <v>0</v>
      </c>
      <c r="AQ863" s="43"/>
      <c r="AR863" s="358">
        <f t="shared" si="426"/>
        <v>0</v>
      </c>
      <c r="AS863" s="359">
        <f t="shared" si="427"/>
        <v>0</v>
      </c>
      <c r="AT863" s="360">
        <f t="shared" si="428"/>
        <v>0</v>
      </c>
      <c r="AU863" s="43"/>
      <c r="AV863" s="2120">
        <f t="shared" si="438"/>
        <v>0</v>
      </c>
      <c r="AW863" s="119"/>
      <c r="AX863" s="2120">
        <f t="shared" si="439"/>
        <v>0</v>
      </c>
      <c r="AY863" s="43"/>
      <c r="AZ863" s="43"/>
      <c r="BA863" s="43"/>
      <c r="BB863" s="43"/>
      <c r="BC863" s="43"/>
      <c r="BD863" s="43"/>
    </row>
    <row r="864" spans="1:56" ht="15.75">
      <c r="A864" s="88">
        <v>9916</v>
      </c>
      <c r="B864" s="1033" t="s">
        <v>99</v>
      </c>
      <c r="C864" s="1033"/>
      <c r="D864" s="1033"/>
      <c r="E864" s="1033"/>
      <c r="F864" s="1033"/>
      <c r="G864" s="1033"/>
      <c r="H864" s="1033"/>
      <c r="I864" s="1033"/>
      <c r="J864" s="1033"/>
      <c r="K864" s="1033"/>
      <c r="L864" s="574"/>
      <c r="M864" s="51" t="s">
        <v>265</v>
      </c>
      <c r="N864" s="113">
        <f t="shared" si="424"/>
        <v>9916</v>
      </c>
      <c r="O864" s="581"/>
      <c r="P864" s="582">
        <v>0</v>
      </c>
      <c r="Q864" s="589"/>
      <c r="R864" s="324"/>
      <c r="S864" s="583">
        <f t="shared" si="433"/>
        <v>0</v>
      </c>
      <c r="T864" s="584">
        <v>0</v>
      </c>
      <c r="U864" s="51"/>
      <c r="V864" s="541">
        <f>+'NF-KSF-TRIAL-BAL-2020'!O864+'RA-TRIAL-BAL-2020'!O864+'DES-TRIAL-BAL-2020'!O864+'DMP-TRIAL-BAL-2020'!O864</f>
        <v>0</v>
      </c>
      <c r="W864" s="529">
        <f>+'NF-KSF-TRIAL-BAL-2020'!P864+'RA-TRIAL-BAL-2020'!P864+'DES-TRIAL-BAL-2020'!P864+'DMP-TRIAL-BAL-2020'!P864</f>
        <v>0</v>
      </c>
      <c r="X864" s="587">
        <f>+'NF-KSF-TRIAL-BAL-2020'!Q864+'RA-TRIAL-BAL-2020'!Q864+'DES-TRIAL-BAL-2020'!Q864+'DMP-TRIAL-BAL-2020'!Q864</f>
        <v>0</v>
      </c>
      <c r="Y864" s="586">
        <f>+'NF-KSF-TRIAL-BAL-2020'!R864+'RA-TRIAL-BAL-2020'!R864+'DES-TRIAL-BAL-2020'!R864+'DMP-TRIAL-BAL-2020'!R864</f>
        <v>0</v>
      </c>
      <c r="Z864" s="587">
        <f>+'NF-KSF-TRIAL-BAL-2020'!S864+'RA-TRIAL-BAL-2020'!S864+'DES-TRIAL-BAL-2020'!S864+'DMP-TRIAL-BAL-2020'!S864</f>
        <v>0</v>
      </c>
      <c r="AA864" s="588">
        <f>+'NF-KSF-TRIAL-BAL-2020'!T864+'RA-TRIAL-BAL-2020'!T864+'DES-TRIAL-BAL-2020'!T864+'DMP-TRIAL-BAL-2020'!T864</f>
        <v>0</v>
      </c>
      <c r="AB864" s="51"/>
      <c r="AC864" s="581"/>
      <c r="AD864" s="582">
        <v>0</v>
      </c>
      <c r="AE864" s="589"/>
      <c r="AF864" s="324"/>
      <c r="AG864" s="583">
        <f t="shared" si="434"/>
        <v>0</v>
      </c>
      <c r="AH864" s="584">
        <v>0</v>
      </c>
      <c r="AI864" s="51"/>
      <c r="AJ864" s="1497">
        <f>+N864</f>
        <v>9916</v>
      </c>
      <c r="AK864" s="951">
        <f>+ROUND(+O864+V864+AC864,2)</f>
        <v>0</v>
      </c>
      <c r="AL864" s="9">
        <v>0</v>
      </c>
      <c r="AM864" s="326">
        <f t="shared" si="429"/>
        <v>0</v>
      </c>
      <c r="AN864" s="970">
        <f t="shared" si="429"/>
        <v>0</v>
      </c>
      <c r="AO864" s="27">
        <f t="shared" si="435"/>
        <v>0</v>
      </c>
      <c r="AP864" s="30">
        <v>0</v>
      </c>
      <c r="AQ864" s="43"/>
      <c r="AR864" s="358">
        <f>+ROUND(+SUM(AK864-AL864)-SUM(O864-P864)-SUM(V864-W864)-SUM(AC864-AD864),2)</f>
        <v>0</v>
      </c>
      <c r="AS864" s="359">
        <f>+ROUND(+SUM(AM864-AN864)-SUM(Q864-R864)-SUM(X864-Y864)-SUM(AE864-AF864),2)</f>
        <v>0</v>
      </c>
      <c r="AT864" s="360">
        <f>+ROUND(+SUM(AO864-AP864)-SUM(S864-T864)-SUM(Z864-AA864)-SUM(AG864-AH864),2)</f>
        <v>0</v>
      </c>
      <c r="AU864" s="43"/>
      <c r="AV864" s="2120">
        <f t="shared" si="438"/>
        <v>0</v>
      </c>
      <c r="AW864" s="119"/>
      <c r="AX864" s="2120">
        <f t="shared" si="439"/>
        <v>0</v>
      </c>
      <c r="AY864" s="43"/>
      <c r="AZ864" s="43"/>
      <c r="BA864" s="43"/>
      <c r="BB864" s="43"/>
      <c r="BC864" s="43"/>
      <c r="BD864" s="43"/>
    </row>
    <row r="865" spans="1:56" ht="15.75">
      <c r="A865" s="88">
        <v>9917</v>
      </c>
      <c r="B865" s="1033" t="s">
        <v>100</v>
      </c>
      <c r="C865" s="1033"/>
      <c r="D865" s="1033"/>
      <c r="E865" s="1033"/>
      <c r="F865" s="1033"/>
      <c r="G865" s="1033"/>
      <c r="H865" s="1033"/>
      <c r="I865" s="1033"/>
      <c r="J865" s="1033"/>
      <c r="K865" s="1033"/>
      <c r="L865" s="574"/>
      <c r="M865" s="51" t="s">
        <v>265</v>
      </c>
      <c r="N865" s="113">
        <f t="shared" si="424"/>
        <v>9917</v>
      </c>
      <c r="O865" s="581"/>
      <c r="P865" s="582">
        <v>0</v>
      </c>
      <c r="Q865" s="589"/>
      <c r="R865" s="324"/>
      <c r="S865" s="583">
        <f t="shared" si="433"/>
        <v>0</v>
      </c>
      <c r="T865" s="584">
        <v>0</v>
      </c>
      <c r="U865" s="51"/>
      <c r="V865" s="541">
        <f>+'NF-KSF-TRIAL-BAL-2020'!O865+'RA-TRIAL-BAL-2020'!O865+'DES-TRIAL-BAL-2020'!O865+'DMP-TRIAL-BAL-2020'!O865</f>
        <v>0</v>
      </c>
      <c r="W865" s="529">
        <f>+'NF-KSF-TRIAL-BAL-2020'!P865+'RA-TRIAL-BAL-2020'!P865+'DES-TRIAL-BAL-2020'!P865+'DMP-TRIAL-BAL-2020'!P865</f>
        <v>0</v>
      </c>
      <c r="X865" s="587">
        <f>+'NF-KSF-TRIAL-BAL-2020'!Q865+'RA-TRIAL-BAL-2020'!Q865+'DES-TRIAL-BAL-2020'!Q865+'DMP-TRIAL-BAL-2020'!Q865</f>
        <v>0</v>
      </c>
      <c r="Y865" s="586">
        <f>+'NF-KSF-TRIAL-BAL-2020'!R865+'RA-TRIAL-BAL-2020'!R865+'DES-TRIAL-BAL-2020'!R865+'DMP-TRIAL-BAL-2020'!R865</f>
        <v>0</v>
      </c>
      <c r="Z865" s="587">
        <f>+'NF-KSF-TRIAL-BAL-2020'!S865+'RA-TRIAL-BAL-2020'!S865+'DES-TRIAL-BAL-2020'!S865+'DMP-TRIAL-BAL-2020'!S865</f>
        <v>0</v>
      </c>
      <c r="AA865" s="588">
        <f>+'NF-KSF-TRIAL-BAL-2020'!T865+'RA-TRIAL-BAL-2020'!T865+'DES-TRIAL-BAL-2020'!T865+'DMP-TRIAL-BAL-2020'!T865</f>
        <v>0</v>
      </c>
      <c r="AB865" s="51"/>
      <c r="AC865" s="581"/>
      <c r="AD865" s="582">
        <v>0</v>
      </c>
      <c r="AE865" s="589"/>
      <c r="AF865" s="324"/>
      <c r="AG865" s="583">
        <f t="shared" si="434"/>
        <v>0</v>
      </c>
      <c r="AH865" s="584">
        <v>0</v>
      </c>
      <c r="AI865" s="51"/>
      <c r="AJ865" s="1497">
        <f>+N865</f>
        <v>9917</v>
      </c>
      <c r="AK865" s="951">
        <f>+ROUND(+O865+V865+AC865,2)</f>
        <v>0</v>
      </c>
      <c r="AL865" s="9">
        <v>0</v>
      </c>
      <c r="AM865" s="326">
        <f>+ROUND(+Q865+X865+AE865,2)</f>
        <v>0</v>
      </c>
      <c r="AN865" s="970">
        <f>+ROUND(+R865+Y865+AF865,2)</f>
        <v>0</v>
      </c>
      <c r="AO865" s="27">
        <f t="shared" si="435"/>
        <v>0</v>
      </c>
      <c r="AP865" s="30">
        <v>0</v>
      </c>
      <c r="AQ865" s="43"/>
      <c r="AR865" s="358">
        <f>+ROUND(+SUM(AK865-AL865)-SUM(O865-P865)-SUM(V865-W865)-SUM(AC865-AD865),2)</f>
        <v>0</v>
      </c>
      <c r="AS865" s="359">
        <f>+ROUND(+SUM(AM865-AN865)-SUM(Q865-R865)-SUM(X865-Y865)-SUM(AE865-AF865),2)</f>
        <v>0</v>
      </c>
      <c r="AT865" s="360">
        <f>+ROUND(+SUM(AO865-AP865)-SUM(S865-T865)-SUM(Z865-AA865)-SUM(AG865-AH865),2)</f>
        <v>0</v>
      </c>
      <c r="AU865" s="43"/>
      <c r="AV865" s="2120">
        <f t="shared" si="438"/>
        <v>0</v>
      </c>
      <c r="AW865" s="119"/>
      <c r="AX865" s="2120">
        <f t="shared" si="439"/>
        <v>0</v>
      </c>
      <c r="AY865" s="43"/>
      <c r="AZ865" s="43"/>
      <c r="BA865" s="43"/>
      <c r="BB865" s="43"/>
      <c r="BC865" s="43"/>
      <c r="BD865" s="43"/>
    </row>
    <row r="866" spans="1:56" ht="15.75">
      <c r="A866" s="88">
        <v>9918</v>
      </c>
      <c r="B866" s="1032" t="s">
        <v>101</v>
      </c>
      <c r="C866" s="1033"/>
      <c r="D866" s="1033"/>
      <c r="E866" s="1033"/>
      <c r="F866" s="1033"/>
      <c r="G866" s="1033"/>
      <c r="H866" s="1033"/>
      <c r="I866" s="1033"/>
      <c r="J866" s="1033"/>
      <c r="K866" s="1033"/>
      <c r="L866" s="90"/>
      <c r="M866" s="51" t="s">
        <v>265</v>
      </c>
      <c r="N866" s="113">
        <f t="shared" si="424"/>
        <v>9918</v>
      </c>
      <c r="O866" s="120"/>
      <c r="P866" s="9">
        <v>0</v>
      </c>
      <c r="Q866" s="122"/>
      <c r="R866" s="324"/>
      <c r="S866" s="27">
        <f t="shared" si="433"/>
        <v>0</v>
      </c>
      <c r="T866" s="30">
        <v>0</v>
      </c>
      <c r="U866" s="51"/>
      <c r="V866" s="541">
        <f>+'NF-KSF-TRIAL-BAL-2020'!O866+'RA-TRIAL-BAL-2020'!O866+'DES-TRIAL-BAL-2020'!O866+'DMP-TRIAL-BAL-2020'!O866</f>
        <v>0</v>
      </c>
      <c r="W866" s="529">
        <f>+'NF-KSF-TRIAL-BAL-2020'!P866+'RA-TRIAL-BAL-2020'!P866+'DES-TRIAL-BAL-2020'!P866+'DMP-TRIAL-BAL-2020'!P866</f>
        <v>0</v>
      </c>
      <c r="X866" s="528">
        <f>+'NF-KSF-TRIAL-BAL-2020'!Q866+'RA-TRIAL-BAL-2020'!Q866+'DES-TRIAL-BAL-2020'!Q866+'DMP-TRIAL-BAL-2020'!Q866</f>
        <v>0</v>
      </c>
      <c r="Y866" s="529">
        <f>+'NF-KSF-TRIAL-BAL-2020'!R866+'RA-TRIAL-BAL-2020'!R866+'DES-TRIAL-BAL-2020'!R866+'DMP-TRIAL-BAL-2020'!R866</f>
        <v>0</v>
      </c>
      <c r="Z866" s="528">
        <f>+'NF-KSF-TRIAL-BAL-2020'!S866+'RA-TRIAL-BAL-2020'!S866+'DES-TRIAL-BAL-2020'!S866+'DMP-TRIAL-BAL-2020'!S866</f>
        <v>0</v>
      </c>
      <c r="AA866" s="347">
        <f>+'NF-KSF-TRIAL-BAL-2020'!T866+'RA-TRIAL-BAL-2020'!T866+'DES-TRIAL-BAL-2020'!T866+'DMP-TRIAL-BAL-2020'!T866</f>
        <v>0</v>
      </c>
      <c r="AB866" s="51"/>
      <c r="AC866" s="120"/>
      <c r="AD866" s="9">
        <v>0</v>
      </c>
      <c r="AE866" s="122"/>
      <c r="AF866" s="324"/>
      <c r="AG866" s="27">
        <f t="shared" si="434"/>
        <v>0</v>
      </c>
      <c r="AH866" s="30">
        <v>0</v>
      </c>
      <c r="AI866" s="51"/>
      <c r="AJ866" s="1497">
        <f t="shared" si="423"/>
        <v>9918</v>
      </c>
      <c r="AK866" s="951">
        <f t="shared" si="437"/>
        <v>0</v>
      </c>
      <c r="AL866" s="9">
        <v>0</v>
      </c>
      <c r="AM866" s="326">
        <f t="shared" si="429"/>
        <v>0</v>
      </c>
      <c r="AN866" s="970">
        <f t="shared" si="429"/>
        <v>0</v>
      </c>
      <c r="AO866" s="27">
        <f t="shared" si="435"/>
        <v>0</v>
      </c>
      <c r="AP866" s="331">
        <v>0</v>
      </c>
      <c r="AQ866" s="43"/>
      <c r="AR866" s="358">
        <f t="shared" si="426"/>
        <v>0</v>
      </c>
      <c r="AS866" s="359">
        <f t="shared" si="427"/>
        <v>0</v>
      </c>
      <c r="AT866" s="360">
        <f t="shared" si="428"/>
        <v>0</v>
      </c>
      <c r="AU866" s="43"/>
      <c r="AV866" s="2120">
        <f t="shared" si="438"/>
        <v>0</v>
      </c>
      <c r="AW866" s="119"/>
      <c r="AX866" s="2120">
        <f t="shared" si="439"/>
        <v>0</v>
      </c>
      <c r="AY866" s="43"/>
      <c r="AZ866" s="43"/>
      <c r="BA866" s="43"/>
      <c r="BB866" s="43"/>
      <c r="BC866" s="43"/>
      <c r="BD866" s="43"/>
    </row>
    <row r="867" spans="1:56" ht="15.75">
      <c r="A867" s="88">
        <v>9919</v>
      </c>
      <c r="B867" s="1032" t="s">
        <v>102</v>
      </c>
      <c r="C867" s="1033"/>
      <c r="D867" s="1033"/>
      <c r="E867" s="1033"/>
      <c r="F867" s="1033"/>
      <c r="G867" s="1033"/>
      <c r="H867" s="1033"/>
      <c r="I867" s="1033"/>
      <c r="J867" s="1033"/>
      <c r="K867" s="1033"/>
      <c r="L867" s="90"/>
      <c r="M867" s="51" t="s">
        <v>265</v>
      </c>
      <c r="N867" s="113">
        <f t="shared" si="424"/>
        <v>9919</v>
      </c>
      <c r="O867" s="120"/>
      <c r="P867" s="9">
        <v>0</v>
      </c>
      <c r="Q867" s="122"/>
      <c r="R867" s="324"/>
      <c r="S867" s="27">
        <f t="shared" si="433"/>
        <v>0</v>
      </c>
      <c r="T867" s="30">
        <v>0</v>
      </c>
      <c r="U867" s="51"/>
      <c r="V867" s="541">
        <f>+'NF-KSF-TRIAL-BAL-2020'!O867+'RA-TRIAL-BAL-2020'!O867+'DES-TRIAL-BAL-2020'!O867+'DMP-TRIAL-BAL-2020'!O867</f>
        <v>0</v>
      </c>
      <c r="W867" s="529">
        <f>+'NF-KSF-TRIAL-BAL-2020'!P867+'RA-TRIAL-BAL-2020'!P867+'DES-TRIAL-BAL-2020'!P867+'DMP-TRIAL-BAL-2020'!P867</f>
        <v>0</v>
      </c>
      <c r="X867" s="528">
        <f>+'NF-KSF-TRIAL-BAL-2020'!Q867+'RA-TRIAL-BAL-2020'!Q867+'DES-TRIAL-BAL-2020'!Q867+'DMP-TRIAL-BAL-2020'!Q867</f>
        <v>0</v>
      </c>
      <c r="Y867" s="529">
        <f>+'NF-KSF-TRIAL-BAL-2020'!R867+'RA-TRIAL-BAL-2020'!R867+'DES-TRIAL-BAL-2020'!R867+'DMP-TRIAL-BAL-2020'!R867</f>
        <v>0</v>
      </c>
      <c r="Z867" s="528">
        <f>+'NF-KSF-TRIAL-BAL-2020'!S867+'RA-TRIAL-BAL-2020'!S867+'DES-TRIAL-BAL-2020'!S867+'DMP-TRIAL-BAL-2020'!S867</f>
        <v>0</v>
      </c>
      <c r="AA867" s="347">
        <f>+'NF-KSF-TRIAL-BAL-2020'!T867+'RA-TRIAL-BAL-2020'!T867+'DES-TRIAL-BAL-2020'!T867+'DMP-TRIAL-BAL-2020'!T867</f>
        <v>0</v>
      </c>
      <c r="AB867" s="51"/>
      <c r="AC867" s="120"/>
      <c r="AD867" s="9">
        <v>0</v>
      </c>
      <c r="AE867" s="122"/>
      <c r="AF867" s="324"/>
      <c r="AG867" s="27">
        <f t="shared" si="434"/>
        <v>0</v>
      </c>
      <c r="AH867" s="30">
        <v>0</v>
      </c>
      <c r="AI867" s="51"/>
      <c r="AJ867" s="1497">
        <f t="shared" si="423"/>
        <v>9919</v>
      </c>
      <c r="AK867" s="951">
        <f t="shared" si="437"/>
        <v>0</v>
      </c>
      <c r="AL867" s="9">
        <v>0</v>
      </c>
      <c r="AM867" s="326">
        <f t="shared" si="429"/>
        <v>0</v>
      </c>
      <c r="AN867" s="970">
        <f t="shared" si="429"/>
        <v>0</v>
      </c>
      <c r="AO867" s="27">
        <f t="shared" si="435"/>
        <v>0</v>
      </c>
      <c r="AP867" s="331">
        <v>0</v>
      </c>
      <c r="AQ867" s="43"/>
      <c r="AR867" s="358">
        <f t="shared" si="426"/>
        <v>0</v>
      </c>
      <c r="AS867" s="359">
        <f t="shared" si="427"/>
        <v>0</v>
      </c>
      <c r="AT867" s="360">
        <f t="shared" si="428"/>
        <v>0</v>
      </c>
      <c r="AU867" s="43"/>
      <c r="AV867" s="2120">
        <f t="shared" si="438"/>
        <v>0</v>
      </c>
      <c r="AW867" s="119"/>
      <c r="AX867" s="2120">
        <f t="shared" si="439"/>
        <v>0</v>
      </c>
      <c r="AY867" s="43"/>
      <c r="AZ867" s="43"/>
      <c r="BA867" s="43"/>
      <c r="BB867" s="43"/>
      <c r="BC867" s="43"/>
      <c r="BD867" s="43"/>
    </row>
    <row r="868" spans="1:56" ht="15.75">
      <c r="A868" s="88">
        <v>9921</v>
      </c>
      <c r="B868" s="1033" t="s">
        <v>103</v>
      </c>
      <c r="C868" s="1033"/>
      <c r="D868" s="1033"/>
      <c r="E868" s="1033"/>
      <c r="F868" s="1033"/>
      <c r="G868" s="1033"/>
      <c r="H868" s="1033"/>
      <c r="I868" s="1033"/>
      <c r="J868" s="1033"/>
      <c r="K868" s="1033"/>
      <c r="L868" s="90"/>
      <c r="M868" s="51" t="s">
        <v>265</v>
      </c>
      <c r="N868" s="113">
        <f t="shared" si="424"/>
        <v>9921</v>
      </c>
      <c r="O868" s="8">
        <v>0</v>
      </c>
      <c r="P868" s="121"/>
      <c r="Q868" s="122"/>
      <c r="R868" s="324"/>
      <c r="S868" s="29">
        <v>0</v>
      </c>
      <c r="T868" s="28">
        <f t="shared" ref="T868:T879" si="440">+IF(ABS(+O868+Q868)&lt;=ABS(P868+R868),-O868+P868-Q868+R868,0)</f>
        <v>0</v>
      </c>
      <c r="U868" s="51"/>
      <c r="V868" s="541">
        <f>+'NF-KSF-TRIAL-BAL-2020'!O868+'RA-TRIAL-BAL-2020'!O868+'DES-TRIAL-BAL-2020'!O868+'DMP-TRIAL-BAL-2020'!O868</f>
        <v>0</v>
      </c>
      <c r="W868" s="529">
        <f>+'NF-KSF-TRIAL-BAL-2020'!P868+'RA-TRIAL-BAL-2020'!P868+'DES-TRIAL-BAL-2020'!P868+'DMP-TRIAL-BAL-2020'!P868</f>
        <v>0</v>
      </c>
      <c r="X868" s="528">
        <f>+'NF-KSF-TRIAL-BAL-2020'!Q868+'RA-TRIAL-BAL-2020'!Q868+'DES-TRIAL-BAL-2020'!Q868+'DMP-TRIAL-BAL-2020'!Q868</f>
        <v>0</v>
      </c>
      <c r="Y868" s="529">
        <f>+'NF-KSF-TRIAL-BAL-2020'!R868+'RA-TRIAL-BAL-2020'!R868+'DES-TRIAL-BAL-2020'!R868+'DMP-TRIAL-BAL-2020'!R868</f>
        <v>0</v>
      </c>
      <c r="Z868" s="528">
        <f>+'NF-KSF-TRIAL-BAL-2020'!S868+'RA-TRIAL-BAL-2020'!S868+'DES-TRIAL-BAL-2020'!S868+'DMP-TRIAL-BAL-2020'!S868</f>
        <v>0</v>
      </c>
      <c r="AA868" s="347">
        <f>+'NF-KSF-TRIAL-BAL-2020'!T868+'RA-TRIAL-BAL-2020'!T868+'DES-TRIAL-BAL-2020'!T868+'DMP-TRIAL-BAL-2020'!T868</f>
        <v>0</v>
      </c>
      <c r="AB868" s="51"/>
      <c r="AC868" s="8">
        <v>0</v>
      </c>
      <c r="AD868" s="121"/>
      <c r="AE868" s="122"/>
      <c r="AF868" s="324"/>
      <c r="AG868" s="29">
        <v>0</v>
      </c>
      <c r="AH868" s="28">
        <f t="shared" ref="AH868:AH879" si="441">+IF(ABS(+AC868+AE868)&lt;=ABS(AD868+AF868),-AC868+AD868-AE868+AF868,0)</f>
        <v>0</v>
      </c>
      <c r="AI868" s="51"/>
      <c r="AJ868" s="1497">
        <f t="shared" si="423"/>
        <v>9921</v>
      </c>
      <c r="AK868" s="328">
        <v>0</v>
      </c>
      <c r="AL868" s="970">
        <f t="shared" ref="AL868:AL875" si="442">+ROUND(+P868+W868+AD868,2)</f>
        <v>0</v>
      </c>
      <c r="AM868" s="326">
        <f t="shared" si="429"/>
        <v>0</v>
      </c>
      <c r="AN868" s="970">
        <f t="shared" si="429"/>
        <v>0</v>
      </c>
      <c r="AO868" s="330">
        <v>0</v>
      </c>
      <c r="AP868" s="28">
        <f t="shared" ref="AP868:AP883" si="443">+T868+AA868+AH868</f>
        <v>0</v>
      </c>
      <c r="AQ868" s="43"/>
      <c r="AR868" s="358">
        <f t="shared" si="426"/>
        <v>0</v>
      </c>
      <c r="AS868" s="359">
        <f t="shared" si="427"/>
        <v>0</v>
      </c>
      <c r="AT868" s="360">
        <f t="shared" si="428"/>
        <v>0</v>
      </c>
      <c r="AU868" s="43"/>
      <c r="AV868" s="2119">
        <f t="shared" ref="AV868:AV875" si="444">+IF(OR(+ROUND(O868,2)+ROUND(Q868,2)&gt;ROUND(P868,2)+ROUND(R868,2),+ABS(ROUND(O868,2)+ROUND(Q868,2))&gt;+ABS(ROUND(P868,2)+ROUND(R868,2))),+(ROUND(O868,2)+ROUND(Q868,2))-(ROUND(P868,2)+ROUND(R868,2)),0)</f>
        <v>0</v>
      </c>
      <c r="AW868" s="119"/>
      <c r="AX868" s="2119">
        <f t="shared" ref="AX868:AX875" si="445">+IF(OR(+ROUND(AC868,2)+ROUND(AE868,2)&gt;ROUND(AD868,2)+ROUND(AF868,2),+ABS(ROUND(AC868,2)+ROUND(AE868,2))&gt;+ABS(ROUND(AD868,2)+ROUND(AF868,2))),+(ROUND(AC868,2)+ROUND(AE868,2))-(ROUND(AD868,2)+ROUND(AF868,2)),0)</f>
        <v>0</v>
      </c>
      <c r="AY868" s="43"/>
      <c r="AZ868" s="43"/>
      <c r="BA868" s="43"/>
      <c r="BB868" s="43"/>
      <c r="BC868" s="43"/>
      <c r="BD868" s="43"/>
    </row>
    <row r="869" spans="1:56" ht="15.75">
      <c r="A869" s="88">
        <v>9922</v>
      </c>
      <c r="B869" s="1033" t="s">
        <v>104</v>
      </c>
      <c r="C869" s="1033"/>
      <c r="D869" s="1033"/>
      <c r="E869" s="1033"/>
      <c r="F869" s="1033"/>
      <c r="G869" s="1033"/>
      <c r="H869" s="1033"/>
      <c r="I869" s="1033"/>
      <c r="J869" s="1033"/>
      <c r="K869" s="1033"/>
      <c r="L869" s="90"/>
      <c r="M869" s="51" t="s">
        <v>265</v>
      </c>
      <c r="N869" s="113">
        <f t="shared" si="424"/>
        <v>9922</v>
      </c>
      <c r="O869" s="8">
        <v>0</v>
      </c>
      <c r="P869" s="121"/>
      <c r="Q869" s="122"/>
      <c r="R869" s="324"/>
      <c r="S869" s="29">
        <v>0</v>
      </c>
      <c r="T869" s="28">
        <f t="shared" si="440"/>
        <v>0</v>
      </c>
      <c r="U869" s="51"/>
      <c r="V869" s="541">
        <f>+'NF-KSF-TRIAL-BAL-2020'!O869+'RA-TRIAL-BAL-2020'!O869+'DES-TRIAL-BAL-2020'!O869+'DMP-TRIAL-BAL-2020'!O869</f>
        <v>0</v>
      </c>
      <c r="W869" s="529">
        <f>+'NF-KSF-TRIAL-BAL-2020'!P869+'RA-TRIAL-BAL-2020'!P869+'DES-TRIAL-BAL-2020'!P869+'DMP-TRIAL-BAL-2020'!P869</f>
        <v>0</v>
      </c>
      <c r="X869" s="528">
        <f>+'NF-KSF-TRIAL-BAL-2020'!Q869+'RA-TRIAL-BAL-2020'!Q869+'DES-TRIAL-BAL-2020'!Q869+'DMP-TRIAL-BAL-2020'!Q869</f>
        <v>0</v>
      </c>
      <c r="Y869" s="529">
        <f>+'NF-KSF-TRIAL-BAL-2020'!R869+'RA-TRIAL-BAL-2020'!R869+'DES-TRIAL-BAL-2020'!R869+'DMP-TRIAL-BAL-2020'!R869</f>
        <v>0</v>
      </c>
      <c r="Z869" s="528">
        <f>+'NF-KSF-TRIAL-BAL-2020'!S869+'RA-TRIAL-BAL-2020'!S869+'DES-TRIAL-BAL-2020'!S869+'DMP-TRIAL-BAL-2020'!S869</f>
        <v>0</v>
      </c>
      <c r="AA869" s="347">
        <f>+'NF-KSF-TRIAL-BAL-2020'!T869+'RA-TRIAL-BAL-2020'!T869+'DES-TRIAL-BAL-2020'!T869+'DMP-TRIAL-BAL-2020'!T869</f>
        <v>0</v>
      </c>
      <c r="AB869" s="51"/>
      <c r="AC869" s="8">
        <v>0</v>
      </c>
      <c r="AD869" s="121"/>
      <c r="AE869" s="122"/>
      <c r="AF869" s="324"/>
      <c r="AG869" s="29">
        <v>0</v>
      </c>
      <c r="AH869" s="28">
        <f t="shared" si="441"/>
        <v>0</v>
      </c>
      <c r="AI869" s="51"/>
      <c r="AJ869" s="1497">
        <f t="shared" si="423"/>
        <v>9922</v>
      </c>
      <c r="AK869" s="328">
        <v>0</v>
      </c>
      <c r="AL869" s="970">
        <f t="shared" si="442"/>
        <v>0</v>
      </c>
      <c r="AM869" s="326">
        <f t="shared" si="429"/>
        <v>0</v>
      </c>
      <c r="AN869" s="970">
        <f t="shared" si="429"/>
        <v>0</v>
      </c>
      <c r="AO869" s="330">
        <v>0</v>
      </c>
      <c r="AP869" s="28">
        <f t="shared" si="443"/>
        <v>0</v>
      </c>
      <c r="AQ869" s="43"/>
      <c r="AR869" s="358">
        <f t="shared" si="426"/>
        <v>0</v>
      </c>
      <c r="AS869" s="359">
        <f t="shared" si="427"/>
        <v>0</v>
      </c>
      <c r="AT869" s="360">
        <f t="shared" si="428"/>
        <v>0</v>
      </c>
      <c r="AU869" s="43"/>
      <c r="AV869" s="2119">
        <f t="shared" si="444"/>
        <v>0</v>
      </c>
      <c r="AW869" s="119"/>
      <c r="AX869" s="2119">
        <f t="shared" si="445"/>
        <v>0</v>
      </c>
      <c r="AY869" s="43"/>
      <c r="AZ869" s="43"/>
      <c r="BA869" s="43"/>
      <c r="BB869" s="43"/>
      <c r="BC869" s="43"/>
      <c r="BD869" s="43"/>
    </row>
    <row r="870" spans="1:56" ht="15.75">
      <c r="A870" s="88">
        <v>9923</v>
      </c>
      <c r="B870" s="1033" t="s">
        <v>105</v>
      </c>
      <c r="C870" s="1033"/>
      <c r="D870" s="1033"/>
      <c r="E870" s="1033"/>
      <c r="F870" s="1033"/>
      <c r="G870" s="1033"/>
      <c r="H870" s="1033"/>
      <c r="I870" s="1033"/>
      <c r="J870" s="1033"/>
      <c r="K870" s="1033"/>
      <c r="L870" s="90"/>
      <c r="M870" s="51" t="s">
        <v>265</v>
      </c>
      <c r="N870" s="113">
        <f t="shared" si="424"/>
        <v>9923</v>
      </c>
      <c r="O870" s="8">
        <v>0</v>
      </c>
      <c r="P870" s="121">
        <v>0</v>
      </c>
      <c r="Q870" s="122">
        <v>0</v>
      </c>
      <c r="R870" s="324">
        <v>0</v>
      </c>
      <c r="S870" s="29">
        <v>0</v>
      </c>
      <c r="T870" s="28">
        <f t="shared" si="440"/>
        <v>0</v>
      </c>
      <c r="U870" s="51"/>
      <c r="V870" s="541">
        <f>+'NF-KSF-TRIAL-BAL-2020'!O870+'RA-TRIAL-BAL-2020'!O870+'DES-TRIAL-BAL-2020'!O870+'DMP-TRIAL-BAL-2020'!O870</f>
        <v>0</v>
      </c>
      <c r="W870" s="529">
        <f>+'NF-KSF-TRIAL-BAL-2020'!P870+'RA-TRIAL-BAL-2020'!P870+'DES-TRIAL-BAL-2020'!P870+'DMP-TRIAL-BAL-2020'!P870</f>
        <v>0</v>
      </c>
      <c r="X870" s="528">
        <f>+'NF-KSF-TRIAL-BAL-2020'!Q870+'RA-TRIAL-BAL-2020'!Q870+'DES-TRIAL-BAL-2020'!Q870+'DMP-TRIAL-BAL-2020'!Q870</f>
        <v>0</v>
      </c>
      <c r="Y870" s="529">
        <f>+'NF-KSF-TRIAL-BAL-2020'!R870+'RA-TRIAL-BAL-2020'!R870+'DES-TRIAL-BAL-2020'!R870+'DMP-TRIAL-BAL-2020'!R870</f>
        <v>0</v>
      </c>
      <c r="Z870" s="528">
        <f>+'NF-KSF-TRIAL-BAL-2020'!S870+'RA-TRIAL-BAL-2020'!S870+'DES-TRIAL-BAL-2020'!S870+'DMP-TRIAL-BAL-2020'!S870</f>
        <v>0</v>
      </c>
      <c r="AA870" s="347">
        <f>+'NF-KSF-TRIAL-BAL-2020'!T870+'RA-TRIAL-BAL-2020'!T870+'DES-TRIAL-BAL-2020'!T870+'DMP-TRIAL-BAL-2020'!T870</f>
        <v>0</v>
      </c>
      <c r="AB870" s="51"/>
      <c r="AC870" s="8">
        <v>0</v>
      </c>
      <c r="AD870" s="121">
        <v>0</v>
      </c>
      <c r="AE870" s="122">
        <v>0</v>
      </c>
      <c r="AF870" s="324">
        <v>0</v>
      </c>
      <c r="AG870" s="29">
        <v>0</v>
      </c>
      <c r="AH870" s="28">
        <f t="shared" si="441"/>
        <v>0</v>
      </c>
      <c r="AI870" s="51"/>
      <c r="AJ870" s="1497">
        <f t="shared" si="423"/>
        <v>9923</v>
      </c>
      <c r="AK870" s="328">
        <v>0</v>
      </c>
      <c r="AL870" s="970">
        <f t="shared" si="442"/>
        <v>0</v>
      </c>
      <c r="AM870" s="326">
        <f t="shared" si="429"/>
        <v>0</v>
      </c>
      <c r="AN870" s="970">
        <f t="shared" si="429"/>
        <v>0</v>
      </c>
      <c r="AO870" s="330">
        <v>0</v>
      </c>
      <c r="AP870" s="28">
        <f t="shared" si="443"/>
        <v>0</v>
      </c>
      <c r="AQ870" s="43"/>
      <c r="AR870" s="358">
        <f t="shared" si="426"/>
        <v>0</v>
      </c>
      <c r="AS870" s="359">
        <f t="shared" si="427"/>
        <v>0</v>
      </c>
      <c r="AT870" s="360">
        <f t="shared" si="428"/>
        <v>0</v>
      </c>
      <c r="AU870" s="43"/>
      <c r="AV870" s="2119">
        <f t="shared" si="444"/>
        <v>0</v>
      </c>
      <c r="AW870" s="119"/>
      <c r="AX870" s="2119">
        <f t="shared" si="445"/>
        <v>0</v>
      </c>
      <c r="AY870" s="43"/>
      <c r="AZ870" s="43"/>
      <c r="BA870" s="43"/>
      <c r="BB870" s="43"/>
      <c r="BC870" s="43"/>
      <c r="BD870" s="43"/>
    </row>
    <row r="871" spans="1:56" ht="15.75">
      <c r="A871" s="88">
        <v>9924</v>
      </c>
      <c r="B871" s="1033" t="s">
        <v>106</v>
      </c>
      <c r="C871" s="1033"/>
      <c r="D871" s="1033"/>
      <c r="E871" s="1033"/>
      <c r="F871" s="1033"/>
      <c r="G871" s="1033"/>
      <c r="H871" s="1033"/>
      <c r="I871" s="1033"/>
      <c r="J871" s="1033"/>
      <c r="K871" s="1033"/>
      <c r="L871" s="90"/>
      <c r="M871" s="51" t="s">
        <v>265</v>
      </c>
      <c r="N871" s="113">
        <f t="shared" si="424"/>
        <v>9924</v>
      </c>
      <c r="O871" s="8">
        <v>0</v>
      </c>
      <c r="P871" s="121">
        <v>0</v>
      </c>
      <c r="Q871" s="122">
        <v>0</v>
      </c>
      <c r="R871" s="324">
        <v>0</v>
      </c>
      <c r="S871" s="29">
        <v>0</v>
      </c>
      <c r="T871" s="28">
        <f t="shared" si="440"/>
        <v>0</v>
      </c>
      <c r="U871" s="51"/>
      <c r="V871" s="541">
        <f>+'NF-KSF-TRIAL-BAL-2020'!O871+'RA-TRIAL-BAL-2020'!O871+'DES-TRIAL-BAL-2020'!O871+'DMP-TRIAL-BAL-2020'!O871</f>
        <v>0</v>
      </c>
      <c r="W871" s="529">
        <f>+'NF-KSF-TRIAL-BAL-2020'!P871+'RA-TRIAL-BAL-2020'!P871+'DES-TRIAL-BAL-2020'!P871+'DMP-TRIAL-BAL-2020'!P871</f>
        <v>0</v>
      </c>
      <c r="X871" s="528">
        <f>+'NF-KSF-TRIAL-BAL-2020'!Q871+'RA-TRIAL-BAL-2020'!Q871+'DES-TRIAL-BAL-2020'!Q871+'DMP-TRIAL-BAL-2020'!Q871</f>
        <v>0</v>
      </c>
      <c r="Y871" s="529">
        <f>+'NF-KSF-TRIAL-BAL-2020'!R871+'RA-TRIAL-BAL-2020'!R871+'DES-TRIAL-BAL-2020'!R871+'DMP-TRIAL-BAL-2020'!R871</f>
        <v>0</v>
      </c>
      <c r="Z871" s="528">
        <f>+'NF-KSF-TRIAL-BAL-2020'!S871+'RA-TRIAL-BAL-2020'!S871+'DES-TRIAL-BAL-2020'!S871+'DMP-TRIAL-BAL-2020'!S871</f>
        <v>0</v>
      </c>
      <c r="AA871" s="347">
        <f>+'NF-KSF-TRIAL-BAL-2020'!T871+'RA-TRIAL-BAL-2020'!T871+'DES-TRIAL-BAL-2020'!T871+'DMP-TRIAL-BAL-2020'!T871</f>
        <v>0</v>
      </c>
      <c r="AB871" s="51"/>
      <c r="AC871" s="8">
        <v>0</v>
      </c>
      <c r="AD871" s="121">
        <v>0</v>
      </c>
      <c r="AE871" s="122">
        <v>0</v>
      </c>
      <c r="AF871" s="324">
        <v>0</v>
      </c>
      <c r="AG871" s="29">
        <v>0</v>
      </c>
      <c r="AH871" s="28">
        <f t="shared" si="441"/>
        <v>0</v>
      </c>
      <c r="AI871" s="51"/>
      <c r="AJ871" s="1497">
        <f t="shared" si="423"/>
        <v>9924</v>
      </c>
      <c r="AK871" s="328">
        <v>0</v>
      </c>
      <c r="AL871" s="970">
        <f t="shared" si="442"/>
        <v>0</v>
      </c>
      <c r="AM871" s="326">
        <f t="shared" si="429"/>
        <v>0</v>
      </c>
      <c r="AN871" s="970">
        <f t="shared" si="429"/>
        <v>0</v>
      </c>
      <c r="AO871" s="330">
        <v>0</v>
      </c>
      <c r="AP871" s="28">
        <f t="shared" si="443"/>
        <v>0</v>
      </c>
      <c r="AQ871" s="43"/>
      <c r="AR871" s="358">
        <f t="shared" si="426"/>
        <v>0</v>
      </c>
      <c r="AS871" s="359">
        <f t="shared" si="427"/>
        <v>0</v>
      </c>
      <c r="AT871" s="360">
        <f t="shared" si="428"/>
        <v>0</v>
      </c>
      <c r="AU871" s="43"/>
      <c r="AV871" s="2119">
        <f t="shared" si="444"/>
        <v>0</v>
      </c>
      <c r="AW871" s="119"/>
      <c r="AX871" s="2119">
        <f t="shared" si="445"/>
        <v>0</v>
      </c>
      <c r="AY871" s="43"/>
      <c r="AZ871" s="43"/>
      <c r="BA871" s="43"/>
      <c r="BB871" s="43"/>
      <c r="BC871" s="43"/>
      <c r="BD871" s="43"/>
    </row>
    <row r="872" spans="1:56" ht="15.75">
      <c r="A872" s="88">
        <v>9925</v>
      </c>
      <c r="B872" s="1033" t="s">
        <v>107</v>
      </c>
      <c r="C872" s="1033"/>
      <c r="D872" s="1033"/>
      <c r="E872" s="1033"/>
      <c r="F872" s="1033"/>
      <c r="G872" s="1033"/>
      <c r="H872" s="1033"/>
      <c r="I872" s="1033"/>
      <c r="J872" s="1033"/>
      <c r="K872" s="1033"/>
      <c r="L872" s="90"/>
      <c r="M872" s="51" t="s">
        <v>265</v>
      </c>
      <c r="N872" s="113">
        <f t="shared" si="424"/>
        <v>9925</v>
      </c>
      <c r="O872" s="8">
        <v>0</v>
      </c>
      <c r="P872" s="121"/>
      <c r="Q872" s="122"/>
      <c r="R872" s="324"/>
      <c r="S872" s="29">
        <v>0</v>
      </c>
      <c r="T872" s="28">
        <f t="shared" si="440"/>
        <v>0</v>
      </c>
      <c r="U872" s="51"/>
      <c r="V872" s="541">
        <f>+'NF-KSF-TRIAL-BAL-2020'!O872+'RA-TRIAL-BAL-2020'!O872+'DES-TRIAL-BAL-2020'!O872+'DMP-TRIAL-BAL-2020'!O872</f>
        <v>0</v>
      </c>
      <c r="W872" s="529">
        <f>+'NF-KSF-TRIAL-BAL-2020'!P872+'RA-TRIAL-BAL-2020'!P872+'DES-TRIAL-BAL-2020'!P872+'DMP-TRIAL-BAL-2020'!P872</f>
        <v>0</v>
      </c>
      <c r="X872" s="528">
        <f>+'NF-KSF-TRIAL-BAL-2020'!Q872+'RA-TRIAL-BAL-2020'!Q872+'DES-TRIAL-BAL-2020'!Q872+'DMP-TRIAL-BAL-2020'!Q872</f>
        <v>0</v>
      </c>
      <c r="Y872" s="529">
        <f>+'NF-KSF-TRIAL-BAL-2020'!R872+'RA-TRIAL-BAL-2020'!R872+'DES-TRIAL-BAL-2020'!R872+'DMP-TRIAL-BAL-2020'!R872</f>
        <v>0</v>
      </c>
      <c r="Z872" s="528">
        <f>+'NF-KSF-TRIAL-BAL-2020'!S872+'RA-TRIAL-BAL-2020'!S872+'DES-TRIAL-BAL-2020'!S872+'DMP-TRIAL-BAL-2020'!S872</f>
        <v>0</v>
      </c>
      <c r="AA872" s="347">
        <f>+'NF-KSF-TRIAL-BAL-2020'!T872+'RA-TRIAL-BAL-2020'!T872+'DES-TRIAL-BAL-2020'!T872+'DMP-TRIAL-BAL-2020'!T872</f>
        <v>0</v>
      </c>
      <c r="AB872" s="51"/>
      <c r="AC872" s="8">
        <v>0</v>
      </c>
      <c r="AD872" s="121"/>
      <c r="AE872" s="122"/>
      <c r="AF872" s="324"/>
      <c r="AG872" s="29">
        <v>0</v>
      </c>
      <c r="AH872" s="28">
        <f t="shared" si="441"/>
        <v>0</v>
      </c>
      <c r="AI872" s="51"/>
      <c r="AJ872" s="1497">
        <f t="shared" si="423"/>
        <v>9925</v>
      </c>
      <c r="AK872" s="328">
        <v>0</v>
      </c>
      <c r="AL872" s="970">
        <f t="shared" si="442"/>
        <v>0</v>
      </c>
      <c r="AM872" s="326">
        <f t="shared" si="429"/>
        <v>0</v>
      </c>
      <c r="AN872" s="970">
        <f t="shared" si="429"/>
        <v>0</v>
      </c>
      <c r="AO872" s="330">
        <v>0</v>
      </c>
      <c r="AP872" s="28">
        <f t="shared" si="443"/>
        <v>0</v>
      </c>
      <c r="AQ872" s="43"/>
      <c r="AR872" s="358">
        <f t="shared" si="426"/>
        <v>0</v>
      </c>
      <c r="AS872" s="359">
        <f t="shared" si="427"/>
        <v>0</v>
      </c>
      <c r="AT872" s="360">
        <f t="shared" si="428"/>
        <v>0</v>
      </c>
      <c r="AU872" s="43"/>
      <c r="AV872" s="2119">
        <f t="shared" si="444"/>
        <v>0</v>
      </c>
      <c r="AW872" s="119"/>
      <c r="AX872" s="2119">
        <f t="shared" si="445"/>
        <v>0</v>
      </c>
      <c r="AY872" s="43"/>
      <c r="AZ872" s="43"/>
      <c r="BA872" s="43"/>
      <c r="BB872" s="43"/>
      <c r="BC872" s="43"/>
      <c r="BD872" s="43"/>
    </row>
    <row r="873" spans="1:56" ht="15.75">
      <c r="A873" s="88">
        <v>9926</v>
      </c>
      <c r="B873" s="1033" t="s">
        <v>108</v>
      </c>
      <c r="C873" s="1039"/>
      <c r="D873" s="1039"/>
      <c r="E873" s="1039"/>
      <c r="F873" s="1039"/>
      <c r="G873" s="1039"/>
      <c r="H873" s="1039"/>
      <c r="I873" s="1039"/>
      <c r="J873" s="1039"/>
      <c r="K873" s="1039"/>
      <c r="L873" s="574"/>
      <c r="M873" s="51" t="s">
        <v>265</v>
      </c>
      <c r="N873" s="113">
        <f t="shared" si="424"/>
        <v>9926</v>
      </c>
      <c r="O873" s="575">
        <v>0</v>
      </c>
      <c r="P873" s="576"/>
      <c r="Q873" s="589"/>
      <c r="R873" s="324"/>
      <c r="S873" s="579">
        <v>0</v>
      </c>
      <c r="T873" s="580">
        <f t="shared" si="440"/>
        <v>0</v>
      </c>
      <c r="U873" s="51"/>
      <c r="V873" s="541">
        <f>+'NF-KSF-TRIAL-BAL-2020'!O873+'RA-TRIAL-BAL-2020'!O873+'DES-TRIAL-BAL-2020'!O873+'DMP-TRIAL-BAL-2020'!O873</f>
        <v>0</v>
      </c>
      <c r="W873" s="529">
        <f>+'NF-KSF-TRIAL-BAL-2020'!P873+'RA-TRIAL-BAL-2020'!P873+'DES-TRIAL-BAL-2020'!P873+'DMP-TRIAL-BAL-2020'!P873</f>
        <v>0</v>
      </c>
      <c r="X873" s="587">
        <f>+'NF-KSF-TRIAL-BAL-2020'!Q873+'RA-TRIAL-BAL-2020'!Q873+'DES-TRIAL-BAL-2020'!Q873+'DMP-TRIAL-BAL-2020'!Q873</f>
        <v>0</v>
      </c>
      <c r="Y873" s="586">
        <f>+'NF-KSF-TRIAL-BAL-2020'!R873+'RA-TRIAL-BAL-2020'!R873+'DES-TRIAL-BAL-2020'!R873+'DMP-TRIAL-BAL-2020'!R873</f>
        <v>0</v>
      </c>
      <c r="Z873" s="587">
        <f>+'NF-KSF-TRIAL-BAL-2020'!S873+'RA-TRIAL-BAL-2020'!S873+'DES-TRIAL-BAL-2020'!S873+'DMP-TRIAL-BAL-2020'!S873</f>
        <v>0</v>
      </c>
      <c r="AA873" s="588">
        <f>+'NF-KSF-TRIAL-BAL-2020'!T873+'RA-TRIAL-BAL-2020'!T873+'DES-TRIAL-BAL-2020'!T873+'DMP-TRIAL-BAL-2020'!T873</f>
        <v>0</v>
      </c>
      <c r="AB873" s="51"/>
      <c r="AC873" s="8">
        <v>0</v>
      </c>
      <c r="AD873" s="121"/>
      <c r="AE873" s="122"/>
      <c r="AF873" s="324"/>
      <c r="AG873" s="29">
        <v>0</v>
      </c>
      <c r="AH873" s="28">
        <f>+IF(ABS(+AC873+AE873)&lt;=ABS(AD873+AF873),-AC873+AD873-AE873+AF873,0)</f>
        <v>0</v>
      </c>
      <c r="AI873" s="51"/>
      <c r="AJ873" s="1497">
        <f>+N873</f>
        <v>9926</v>
      </c>
      <c r="AK873" s="8">
        <v>0</v>
      </c>
      <c r="AL873" s="970">
        <f t="shared" si="442"/>
        <v>0</v>
      </c>
      <c r="AM873" s="326">
        <f>+ROUND(+Q873+X873+AE873,2)</f>
        <v>0</v>
      </c>
      <c r="AN873" s="970">
        <f>+ROUND(+R873+Y873+AF873,2)</f>
        <v>0</v>
      </c>
      <c r="AO873" s="29">
        <v>0</v>
      </c>
      <c r="AP873" s="28">
        <f t="shared" si="443"/>
        <v>0</v>
      </c>
      <c r="AQ873" s="43"/>
      <c r="AR873" s="358">
        <f>+ROUND(+SUM(AK873-AL873)-SUM(O873-P873)-SUM(V873-W873)-SUM(AC873-AD873),2)</f>
        <v>0</v>
      </c>
      <c r="AS873" s="359">
        <f>+ROUND(+SUM(AM873-AN873)-SUM(Q873-R873)-SUM(X873-Y873)-SUM(AE873-AF873),2)</f>
        <v>0</v>
      </c>
      <c r="AT873" s="360">
        <f>+ROUND(+SUM(AO873-AP873)-SUM(S873-T873)-SUM(Z873-AA873)-SUM(AG873-AH873),2)</f>
        <v>0</v>
      </c>
      <c r="AU873" s="43"/>
      <c r="AV873" s="2119">
        <f t="shared" si="444"/>
        <v>0</v>
      </c>
      <c r="AW873" s="119"/>
      <c r="AX873" s="2119">
        <f t="shared" si="445"/>
        <v>0</v>
      </c>
      <c r="AY873" s="43"/>
      <c r="AZ873" s="43"/>
      <c r="BA873" s="43"/>
      <c r="BB873" s="43"/>
      <c r="BC873" s="43"/>
      <c r="BD873" s="43"/>
    </row>
    <row r="874" spans="1:56" ht="15.75">
      <c r="A874" s="88">
        <v>9928</v>
      </c>
      <c r="B874" s="1033" t="s">
        <v>109</v>
      </c>
      <c r="C874" s="1033"/>
      <c r="D874" s="1033"/>
      <c r="E874" s="1033"/>
      <c r="F874" s="1033"/>
      <c r="G874" s="1033"/>
      <c r="H874" s="1033"/>
      <c r="I874" s="1033"/>
      <c r="J874" s="1033"/>
      <c r="K874" s="1033"/>
      <c r="L874" s="90"/>
      <c r="M874" s="51" t="s">
        <v>265</v>
      </c>
      <c r="N874" s="113">
        <f t="shared" si="424"/>
        <v>9928</v>
      </c>
      <c r="O874" s="8">
        <v>0</v>
      </c>
      <c r="P874" s="121"/>
      <c r="Q874" s="122"/>
      <c r="R874" s="324"/>
      <c r="S874" s="29">
        <v>0</v>
      </c>
      <c r="T874" s="28">
        <f t="shared" si="440"/>
        <v>0</v>
      </c>
      <c r="U874" s="51"/>
      <c r="V874" s="541">
        <f>+'NF-KSF-TRIAL-BAL-2020'!O874+'RA-TRIAL-BAL-2020'!O874+'DES-TRIAL-BAL-2020'!O874+'DMP-TRIAL-BAL-2020'!O874</f>
        <v>0</v>
      </c>
      <c r="W874" s="529">
        <f>+'NF-KSF-TRIAL-BAL-2020'!P874+'RA-TRIAL-BAL-2020'!P874+'DES-TRIAL-BAL-2020'!P874+'DMP-TRIAL-BAL-2020'!P874</f>
        <v>0</v>
      </c>
      <c r="X874" s="528">
        <f>+'NF-KSF-TRIAL-BAL-2020'!Q874+'RA-TRIAL-BAL-2020'!Q874+'DES-TRIAL-BAL-2020'!Q874+'DMP-TRIAL-BAL-2020'!Q874</f>
        <v>0</v>
      </c>
      <c r="Y874" s="529">
        <f>+'NF-KSF-TRIAL-BAL-2020'!R874+'RA-TRIAL-BAL-2020'!R874+'DES-TRIAL-BAL-2020'!R874+'DMP-TRIAL-BAL-2020'!R874</f>
        <v>0</v>
      </c>
      <c r="Z874" s="528">
        <f>+'NF-KSF-TRIAL-BAL-2020'!S874+'RA-TRIAL-BAL-2020'!S874+'DES-TRIAL-BAL-2020'!S874+'DMP-TRIAL-BAL-2020'!S874</f>
        <v>0</v>
      </c>
      <c r="AA874" s="347">
        <f>+'NF-KSF-TRIAL-BAL-2020'!T874+'RA-TRIAL-BAL-2020'!T874+'DES-TRIAL-BAL-2020'!T874+'DMP-TRIAL-BAL-2020'!T874</f>
        <v>0</v>
      </c>
      <c r="AB874" s="51"/>
      <c r="AC874" s="8">
        <v>0</v>
      </c>
      <c r="AD874" s="121"/>
      <c r="AE874" s="122"/>
      <c r="AF874" s="324"/>
      <c r="AG874" s="29">
        <v>0</v>
      </c>
      <c r="AH874" s="28">
        <f t="shared" si="441"/>
        <v>0</v>
      </c>
      <c r="AI874" s="51"/>
      <c r="AJ874" s="1497">
        <f t="shared" si="423"/>
        <v>9928</v>
      </c>
      <c r="AK874" s="328">
        <v>0</v>
      </c>
      <c r="AL874" s="970">
        <f t="shared" si="442"/>
        <v>0</v>
      </c>
      <c r="AM874" s="326">
        <f t="shared" si="429"/>
        <v>0</v>
      </c>
      <c r="AN874" s="970">
        <f t="shared" si="429"/>
        <v>0</v>
      </c>
      <c r="AO874" s="330">
        <v>0</v>
      </c>
      <c r="AP874" s="28">
        <f t="shared" si="443"/>
        <v>0</v>
      </c>
      <c r="AQ874" s="43"/>
      <c r="AR874" s="358">
        <f t="shared" si="426"/>
        <v>0</v>
      </c>
      <c r="AS874" s="359">
        <f t="shared" si="427"/>
        <v>0</v>
      </c>
      <c r="AT874" s="360">
        <f t="shared" si="428"/>
        <v>0</v>
      </c>
      <c r="AU874" s="43"/>
      <c r="AV874" s="2119">
        <f t="shared" si="444"/>
        <v>0</v>
      </c>
      <c r="AW874" s="119"/>
      <c r="AX874" s="2119">
        <f t="shared" si="445"/>
        <v>0</v>
      </c>
      <c r="AY874" s="43"/>
      <c r="AZ874" s="43"/>
      <c r="BA874" s="43"/>
      <c r="BB874" s="43"/>
      <c r="BC874" s="43"/>
      <c r="BD874" s="43"/>
    </row>
    <row r="875" spans="1:56" ht="15.75">
      <c r="A875" s="88">
        <v>9929</v>
      </c>
      <c r="B875" s="1033" t="s">
        <v>110</v>
      </c>
      <c r="C875" s="1033"/>
      <c r="D875" s="1033"/>
      <c r="E875" s="1033"/>
      <c r="F875" s="1033"/>
      <c r="G875" s="1033"/>
      <c r="H875" s="1033"/>
      <c r="I875" s="1033"/>
      <c r="J875" s="1033"/>
      <c r="K875" s="1033"/>
      <c r="L875" s="90"/>
      <c r="M875" s="51" t="s">
        <v>265</v>
      </c>
      <c r="N875" s="113">
        <f t="shared" si="424"/>
        <v>9929</v>
      </c>
      <c r="O875" s="8">
        <v>0</v>
      </c>
      <c r="P875" s="121"/>
      <c r="Q875" s="122"/>
      <c r="R875" s="324"/>
      <c r="S875" s="29">
        <v>0</v>
      </c>
      <c r="T875" s="28">
        <f t="shared" si="440"/>
        <v>0</v>
      </c>
      <c r="U875" s="51"/>
      <c r="V875" s="541">
        <f>+'NF-KSF-TRIAL-BAL-2020'!O875+'RA-TRIAL-BAL-2020'!O875+'DES-TRIAL-BAL-2020'!O875+'DMP-TRIAL-BAL-2020'!O875</f>
        <v>0</v>
      </c>
      <c r="W875" s="529">
        <f>+'NF-KSF-TRIAL-BAL-2020'!P875+'RA-TRIAL-BAL-2020'!P875+'DES-TRIAL-BAL-2020'!P875+'DMP-TRIAL-BAL-2020'!P875</f>
        <v>0</v>
      </c>
      <c r="X875" s="528">
        <f>+'NF-KSF-TRIAL-BAL-2020'!Q875+'RA-TRIAL-BAL-2020'!Q875+'DES-TRIAL-BAL-2020'!Q875+'DMP-TRIAL-BAL-2020'!Q875</f>
        <v>0</v>
      </c>
      <c r="Y875" s="529">
        <f>+'NF-KSF-TRIAL-BAL-2020'!R875+'RA-TRIAL-BAL-2020'!R875+'DES-TRIAL-BAL-2020'!R875+'DMP-TRIAL-BAL-2020'!R875</f>
        <v>0</v>
      </c>
      <c r="Z875" s="528">
        <f>+'NF-KSF-TRIAL-BAL-2020'!S875+'RA-TRIAL-BAL-2020'!S875+'DES-TRIAL-BAL-2020'!S875+'DMP-TRIAL-BAL-2020'!S875</f>
        <v>0</v>
      </c>
      <c r="AA875" s="347">
        <f>+'NF-KSF-TRIAL-BAL-2020'!T875+'RA-TRIAL-BAL-2020'!T875+'DES-TRIAL-BAL-2020'!T875+'DMP-TRIAL-BAL-2020'!T875</f>
        <v>0</v>
      </c>
      <c r="AB875" s="51"/>
      <c r="AC875" s="8">
        <v>0</v>
      </c>
      <c r="AD875" s="121"/>
      <c r="AE875" s="122"/>
      <c r="AF875" s="324"/>
      <c r="AG875" s="29">
        <v>0</v>
      </c>
      <c r="AH875" s="28">
        <f t="shared" si="441"/>
        <v>0</v>
      </c>
      <c r="AI875" s="51"/>
      <c r="AJ875" s="1497">
        <f t="shared" si="423"/>
        <v>9929</v>
      </c>
      <c r="AK875" s="328">
        <v>0</v>
      </c>
      <c r="AL875" s="970">
        <f t="shared" si="442"/>
        <v>0</v>
      </c>
      <c r="AM875" s="326">
        <f t="shared" si="429"/>
        <v>0</v>
      </c>
      <c r="AN875" s="970">
        <f t="shared" si="429"/>
        <v>0</v>
      </c>
      <c r="AO875" s="330">
        <v>0</v>
      </c>
      <c r="AP875" s="28">
        <f t="shared" si="443"/>
        <v>0</v>
      </c>
      <c r="AQ875" s="43"/>
      <c r="AR875" s="358">
        <f t="shared" si="426"/>
        <v>0</v>
      </c>
      <c r="AS875" s="359">
        <f t="shared" si="427"/>
        <v>0</v>
      </c>
      <c r="AT875" s="360">
        <f t="shared" si="428"/>
        <v>0</v>
      </c>
      <c r="AU875" s="43"/>
      <c r="AV875" s="2119">
        <f t="shared" si="444"/>
        <v>0</v>
      </c>
      <c r="AW875" s="119"/>
      <c r="AX875" s="2119">
        <f t="shared" si="445"/>
        <v>0</v>
      </c>
      <c r="AY875" s="43"/>
      <c r="AZ875" s="43"/>
      <c r="BA875" s="43"/>
      <c r="BB875" s="43"/>
      <c r="BC875" s="43"/>
      <c r="BD875" s="43"/>
    </row>
    <row r="876" spans="1:56" ht="15.75" customHeight="1">
      <c r="A876" s="88">
        <v>9940</v>
      </c>
      <c r="B876" s="1033" t="s">
        <v>111</v>
      </c>
      <c r="C876" s="1038"/>
      <c r="D876" s="1038"/>
      <c r="E876" s="1038"/>
      <c r="F876" s="1038"/>
      <c r="G876" s="1038"/>
      <c r="H876" s="1038"/>
      <c r="I876" s="1038"/>
      <c r="J876" s="1038"/>
      <c r="K876" s="1038"/>
      <c r="L876" s="590"/>
      <c r="M876" s="51" t="s">
        <v>265</v>
      </c>
      <c r="N876" s="113">
        <f t="shared" si="424"/>
        <v>9940</v>
      </c>
      <c r="O876" s="575">
        <v>0</v>
      </c>
      <c r="P876" s="582">
        <v>0</v>
      </c>
      <c r="Q876" s="589"/>
      <c r="R876" s="576"/>
      <c r="S876" s="583">
        <f t="shared" ref="S876:S884" si="446">+IF(ABS(+O876+Q876)&gt;=ABS(P876+R876),+O876-P876+Q876-R876,0)</f>
        <v>0</v>
      </c>
      <c r="T876" s="580">
        <f t="shared" si="440"/>
        <v>0</v>
      </c>
      <c r="U876" s="51"/>
      <c r="V876" s="541">
        <f>+'NF-KSF-TRIAL-BAL-2020'!O876+'RA-TRIAL-BAL-2020'!O876+'DES-TRIAL-BAL-2020'!O876+'DMP-TRIAL-BAL-2020'!O876</f>
        <v>0</v>
      </c>
      <c r="W876" s="529">
        <f>+'NF-KSF-TRIAL-BAL-2020'!P876+'RA-TRIAL-BAL-2020'!P876+'DES-TRIAL-BAL-2020'!P876+'DMP-TRIAL-BAL-2020'!P876</f>
        <v>0</v>
      </c>
      <c r="X876" s="587">
        <f>+'NF-KSF-TRIAL-BAL-2020'!Q876+'RA-TRIAL-BAL-2020'!Q876+'DES-TRIAL-BAL-2020'!Q876+'DMP-TRIAL-BAL-2020'!Q876</f>
        <v>0</v>
      </c>
      <c r="Y876" s="586">
        <f>+'NF-KSF-TRIAL-BAL-2020'!R876+'RA-TRIAL-BAL-2020'!R876+'DES-TRIAL-BAL-2020'!R876+'DMP-TRIAL-BAL-2020'!R876</f>
        <v>0</v>
      </c>
      <c r="Z876" s="587">
        <f>+'NF-KSF-TRIAL-BAL-2020'!S876+'RA-TRIAL-BAL-2020'!S876+'DES-TRIAL-BAL-2020'!S876+'DMP-TRIAL-BAL-2020'!S876</f>
        <v>0</v>
      </c>
      <c r="AA876" s="588">
        <f>+'NF-KSF-TRIAL-BAL-2020'!T876+'RA-TRIAL-BAL-2020'!T876+'DES-TRIAL-BAL-2020'!T876+'DMP-TRIAL-BAL-2020'!T876</f>
        <v>0</v>
      </c>
      <c r="AB876" s="51"/>
      <c r="AC876" s="575">
        <v>0</v>
      </c>
      <c r="AD876" s="582">
        <v>0</v>
      </c>
      <c r="AE876" s="589"/>
      <c r="AF876" s="576"/>
      <c r="AG876" s="583">
        <f t="shared" ref="AG876:AG884" si="447">+IF(ABS(+AC876+AE876)&gt;=ABS(AD876+AF876),+AC876-AD876+AE876-AF876,0)</f>
        <v>0</v>
      </c>
      <c r="AH876" s="580">
        <f t="shared" si="441"/>
        <v>0</v>
      </c>
      <c r="AI876" s="51"/>
      <c r="AJ876" s="1497">
        <f t="shared" ref="AJ876:AJ883" si="448">+N876</f>
        <v>9940</v>
      </c>
      <c r="AK876" s="8">
        <v>0</v>
      </c>
      <c r="AL876" s="9">
        <v>0</v>
      </c>
      <c r="AM876" s="326">
        <f t="shared" ref="AM876:AN880" si="449">+ROUND(+Q876+X876+AE876,2)</f>
        <v>0</v>
      </c>
      <c r="AN876" s="970">
        <f t="shared" si="449"/>
        <v>0</v>
      </c>
      <c r="AO876" s="27">
        <f t="shared" ref="AO876:AO884" si="450">+S876+Z876+AG876</f>
        <v>0</v>
      </c>
      <c r="AP876" s="28">
        <f t="shared" si="443"/>
        <v>0</v>
      </c>
      <c r="AQ876" s="43"/>
      <c r="AR876" s="358">
        <f t="shared" ref="AR876:AR883" si="451">+ROUND(+SUM(AK876-AL876)-SUM(O876-P876)-SUM(V876-W876)-SUM(AC876-AD876),2)</f>
        <v>0</v>
      </c>
      <c r="AS876" s="359">
        <f t="shared" ref="AS876:AS883" si="452">+ROUND(+SUM(AM876-AN876)-SUM(Q876-R876)-SUM(X876-Y876)-SUM(AE876-AF876),2)</f>
        <v>0</v>
      </c>
      <c r="AT876" s="360">
        <f t="shared" ref="AT876:AT883" si="453">+ROUND(+SUM(AO876-AP876)-SUM(S876-T876)-SUM(Z876-AA876)-SUM(AG876-AH876),2)</f>
        <v>0</v>
      </c>
      <c r="AU876" s="43"/>
      <c r="AV876" s="43"/>
      <c r="AW876" s="119"/>
      <c r="AX876" s="119"/>
      <c r="AY876" s="43"/>
      <c r="AZ876" s="43"/>
      <c r="BA876" s="43"/>
      <c r="BB876" s="43"/>
      <c r="BC876" s="43"/>
      <c r="BD876" s="43"/>
    </row>
    <row r="877" spans="1:56" ht="15.75" customHeight="1">
      <c r="A877" s="88">
        <v>9941</v>
      </c>
      <c r="B877" s="1033" t="s">
        <v>112</v>
      </c>
      <c r="C877" s="1038"/>
      <c r="D877" s="1038"/>
      <c r="E877" s="1038"/>
      <c r="F877" s="1038"/>
      <c r="G877" s="1038"/>
      <c r="H877" s="1038"/>
      <c r="I877" s="1038"/>
      <c r="J877" s="1038"/>
      <c r="K877" s="1038"/>
      <c r="L877" s="590"/>
      <c r="M877" s="51" t="s">
        <v>265</v>
      </c>
      <c r="N877" s="113">
        <f t="shared" si="424"/>
        <v>9941</v>
      </c>
      <c r="O877" s="575">
        <v>0</v>
      </c>
      <c r="P877" s="582">
        <v>0</v>
      </c>
      <c r="Q877" s="589"/>
      <c r="R877" s="576"/>
      <c r="S877" s="583">
        <f t="shared" si="446"/>
        <v>0</v>
      </c>
      <c r="T877" s="580">
        <f t="shared" si="440"/>
        <v>0</v>
      </c>
      <c r="U877" s="51"/>
      <c r="V877" s="541">
        <f>+'NF-KSF-TRIAL-BAL-2020'!O877+'RA-TRIAL-BAL-2020'!O877+'DES-TRIAL-BAL-2020'!O877+'DMP-TRIAL-BAL-2020'!O877</f>
        <v>0</v>
      </c>
      <c r="W877" s="529">
        <f>+'NF-KSF-TRIAL-BAL-2020'!P877+'RA-TRIAL-BAL-2020'!P877+'DES-TRIAL-BAL-2020'!P877+'DMP-TRIAL-BAL-2020'!P877</f>
        <v>0</v>
      </c>
      <c r="X877" s="587">
        <f>+'NF-KSF-TRIAL-BAL-2020'!Q877+'RA-TRIAL-BAL-2020'!Q877+'DES-TRIAL-BAL-2020'!Q877+'DMP-TRIAL-BAL-2020'!Q877</f>
        <v>0</v>
      </c>
      <c r="Y877" s="586">
        <f>+'NF-KSF-TRIAL-BAL-2020'!R877+'RA-TRIAL-BAL-2020'!R877+'DES-TRIAL-BAL-2020'!R877+'DMP-TRIAL-BAL-2020'!R877</f>
        <v>0</v>
      </c>
      <c r="Z877" s="587">
        <f>+'NF-KSF-TRIAL-BAL-2020'!S877+'RA-TRIAL-BAL-2020'!S877+'DES-TRIAL-BAL-2020'!S877+'DMP-TRIAL-BAL-2020'!S877</f>
        <v>0</v>
      </c>
      <c r="AA877" s="588">
        <f>+'NF-KSF-TRIAL-BAL-2020'!T877+'RA-TRIAL-BAL-2020'!T877+'DES-TRIAL-BAL-2020'!T877+'DMP-TRIAL-BAL-2020'!T877</f>
        <v>0</v>
      </c>
      <c r="AB877" s="51"/>
      <c r="AC877" s="575">
        <v>0</v>
      </c>
      <c r="AD877" s="582">
        <v>0</v>
      </c>
      <c r="AE877" s="589"/>
      <c r="AF877" s="576"/>
      <c r="AG877" s="583">
        <f t="shared" si="447"/>
        <v>0</v>
      </c>
      <c r="AH877" s="580">
        <f t="shared" si="441"/>
        <v>0</v>
      </c>
      <c r="AI877" s="51"/>
      <c r="AJ877" s="1497">
        <f t="shared" si="448"/>
        <v>9941</v>
      </c>
      <c r="AK877" s="8">
        <v>0</v>
      </c>
      <c r="AL877" s="9">
        <v>0</v>
      </c>
      <c r="AM877" s="326">
        <f t="shared" si="449"/>
        <v>0</v>
      </c>
      <c r="AN877" s="970">
        <f t="shared" si="449"/>
        <v>0</v>
      </c>
      <c r="AO877" s="27">
        <f t="shared" si="450"/>
        <v>0</v>
      </c>
      <c r="AP877" s="28">
        <f t="shared" si="443"/>
        <v>0</v>
      </c>
      <c r="AQ877" s="43"/>
      <c r="AR877" s="358">
        <f t="shared" si="451"/>
        <v>0</v>
      </c>
      <c r="AS877" s="359">
        <f t="shared" si="452"/>
        <v>0</v>
      </c>
      <c r="AT877" s="360">
        <f t="shared" si="453"/>
        <v>0</v>
      </c>
      <c r="AU877" s="43"/>
      <c r="AV877" s="43"/>
      <c r="AW877" s="119"/>
      <c r="AX877" s="119"/>
      <c r="AY877" s="43"/>
      <c r="AZ877" s="43"/>
      <c r="BA877" s="43"/>
      <c r="BB877" s="43"/>
      <c r="BC877" s="43"/>
      <c r="BD877" s="43"/>
    </row>
    <row r="878" spans="1:56" ht="15.75" customHeight="1">
      <c r="A878" s="88">
        <v>9944</v>
      </c>
      <c r="B878" s="1033" t="s">
        <v>113</v>
      </c>
      <c r="C878" s="1038"/>
      <c r="D878" s="1038"/>
      <c r="E878" s="1038"/>
      <c r="F878" s="1038"/>
      <c r="G878" s="1038"/>
      <c r="H878" s="1038"/>
      <c r="I878" s="1038"/>
      <c r="J878" s="1038"/>
      <c r="K878" s="1038"/>
      <c r="L878" s="590"/>
      <c r="M878" s="51" t="s">
        <v>265</v>
      </c>
      <c r="N878" s="113">
        <f t="shared" si="424"/>
        <v>9944</v>
      </c>
      <c r="O878" s="575">
        <v>0</v>
      </c>
      <c r="P878" s="582">
        <v>0</v>
      </c>
      <c r="Q878" s="589"/>
      <c r="R878" s="576"/>
      <c r="S878" s="583">
        <f t="shared" si="446"/>
        <v>0</v>
      </c>
      <c r="T878" s="580">
        <f t="shared" si="440"/>
        <v>0</v>
      </c>
      <c r="U878" s="51"/>
      <c r="V878" s="541">
        <f>+'NF-KSF-TRIAL-BAL-2020'!O878+'RA-TRIAL-BAL-2020'!O878+'DES-TRIAL-BAL-2020'!O878+'DMP-TRIAL-BAL-2020'!O878</f>
        <v>0</v>
      </c>
      <c r="W878" s="529">
        <f>+'NF-KSF-TRIAL-BAL-2020'!P878+'RA-TRIAL-BAL-2020'!P878+'DES-TRIAL-BAL-2020'!P878+'DMP-TRIAL-BAL-2020'!P878</f>
        <v>0</v>
      </c>
      <c r="X878" s="587">
        <f>+'NF-KSF-TRIAL-BAL-2020'!Q878+'RA-TRIAL-BAL-2020'!Q878+'DES-TRIAL-BAL-2020'!Q878+'DMP-TRIAL-BAL-2020'!Q878</f>
        <v>0</v>
      </c>
      <c r="Y878" s="586">
        <f>+'NF-KSF-TRIAL-BAL-2020'!R878+'RA-TRIAL-BAL-2020'!R878+'DES-TRIAL-BAL-2020'!R878+'DMP-TRIAL-BAL-2020'!R878</f>
        <v>0</v>
      </c>
      <c r="Z878" s="587">
        <f>+'NF-KSF-TRIAL-BAL-2020'!S878+'RA-TRIAL-BAL-2020'!S878+'DES-TRIAL-BAL-2020'!S878+'DMP-TRIAL-BAL-2020'!S878</f>
        <v>0</v>
      </c>
      <c r="AA878" s="588">
        <f>+'NF-KSF-TRIAL-BAL-2020'!T878+'RA-TRIAL-BAL-2020'!T878+'DES-TRIAL-BAL-2020'!T878+'DMP-TRIAL-BAL-2020'!T878</f>
        <v>0</v>
      </c>
      <c r="AB878" s="51"/>
      <c r="AC878" s="575">
        <v>0</v>
      </c>
      <c r="AD878" s="582">
        <v>0</v>
      </c>
      <c r="AE878" s="589"/>
      <c r="AF878" s="576"/>
      <c r="AG878" s="583">
        <f t="shared" si="447"/>
        <v>0</v>
      </c>
      <c r="AH878" s="580">
        <f t="shared" si="441"/>
        <v>0</v>
      </c>
      <c r="AI878" s="51"/>
      <c r="AJ878" s="1497">
        <f t="shared" si="448"/>
        <v>9944</v>
      </c>
      <c r="AK878" s="8">
        <v>0</v>
      </c>
      <c r="AL878" s="9">
        <v>0</v>
      </c>
      <c r="AM878" s="326">
        <f t="shared" si="449"/>
        <v>0</v>
      </c>
      <c r="AN878" s="970">
        <f t="shared" si="449"/>
        <v>0</v>
      </c>
      <c r="AO878" s="27">
        <f t="shared" si="450"/>
        <v>0</v>
      </c>
      <c r="AP878" s="28">
        <f t="shared" si="443"/>
        <v>0</v>
      </c>
      <c r="AQ878" s="43"/>
      <c r="AR878" s="358">
        <f t="shared" si="451"/>
        <v>0</v>
      </c>
      <c r="AS878" s="359">
        <f t="shared" si="452"/>
        <v>0</v>
      </c>
      <c r="AT878" s="360">
        <f t="shared" si="453"/>
        <v>0</v>
      </c>
      <c r="AU878" s="43"/>
      <c r="AV878" s="43"/>
      <c r="AW878" s="119"/>
      <c r="AX878" s="119"/>
      <c r="AY878" s="43"/>
      <c r="AZ878" s="43"/>
      <c r="BA878" s="43"/>
      <c r="BB878" s="43"/>
      <c r="BC878" s="43"/>
      <c r="BD878" s="43"/>
    </row>
    <row r="879" spans="1:56" ht="15.75" customHeight="1">
      <c r="A879" s="88">
        <v>9945</v>
      </c>
      <c r="B879" s="1033" t="s">
        <v>114</v>
      </c>
      <c r="C879" s="1038"/>
      <c r="D879" s="1038"/>
      <c r="E879" s="1038"/>
      <c r="F879" s="1038"/>
      <c r="G879" s="1038"/>
      <c r="H879" s="1038"/>
      <c r="I879" s="1038"/>
      <c r="J879" s="1038"/>
      <c r="K879" s="1038"/>
      <c r="L879" s="590"/>
      <c r="M879" s="51" t="s">
        <v>265</v>
      </c>
      <c r="N879" s="113">
        <f t="shared" si="424"/>
        <v>9945</v>
      </c>
      <c r="O879" s="575">
        <v>0</v>
      </c>
      <c r="P879" s="582">
        <v>0</v>
      </c>
      <c r="Q879" s="589"/>
      <c r="R879" s="576"/>
      <c r="S879" s="583">
        <f t="shared" si="446"/>
        <v>0</v>
      </c>
      <c r="T879" s="580">
        <f t="shared" si="440"/>
        <v>0</v>
      </c>
      <c r="U879" s="51"/>
      <c r="V879" s="541">
        <f>+'NF-KSF-TRIAL-BAL-2020'!O879+'RA-TRIAL-BAL-2020'!O879+'DES-TRIAL-BAL-2020'!O879+'DMP-TRIAL-BAL-2020'!O879</f>
        <v>0</v>
      </c>
      <c r="W879" s="529">
        <f>+'NF-KSF-TRIAL-BAL-2020'!P879+'RA-TRIAL-BAL-2020'!P879+'DES-TRIAL-BAL-2020'!P879+'DMP-TRIAL-BAL-2020'!P879</f>
        <v>0</v>
      </c>
      <c r="X879" s="587">
        <f>+'NF-KSF-TRIAL-BAL-2020'!Q879+'RA-TRIAL-BAL-2020'!Q879+'DES-TRIAL-BAL-2020'!Q879+'DMP-TRIAL-BAL-2020'!Q879</f>
        <v>0</v>
      </c>
      <c r="Y879" s="586">
        <f>+'NF-KSF-TRIAL-BAL-2020'!R879+'RA-TRIAL-BAL-2020'!R879+'DES-TRIAL-BAL-2020'!R879+'DMP-TRIAL-BAL-2020'!R879</f>
        <v>0</v>
      </c>
      <c r="Z879" s="587">
        <f>+'NF-KSF-TRIAL-BAL-2020'!S879+'RA-TRIAL-BAL-2020'!S879+'DES-TRIAL-BAL-2020'!S879+'DMP-TRIAL-BAL-2020'!S879</f>
        <v>0</v>
      </c>
      <c r="AA879" s="588">
        <f>+'NF-KSF-TRIAL-BAL-2020'!T879+'RA-TRIAL-BAL-2020'!T879+'DES-TRIAL-BAL-2020'!T879+'DMP-TRIAL-BAL-2020'!T879</f>
        <v>0</v>
      </c>
      <c r="AB879" s="51"/>
      <c r="AC879" s="575">
        <v>0</v>
      </c>
      <c r="AD879" s="582">
        <v>0</v>
      </c>
      <c r="AE879" s="589"/>
      <c r="AF879" s="576"/>
      <c r="AG879" s="583">
        <f t="shared" si="447"/>
        <v>0</v>
      </c>
      <c r="AH879" s="580">
        <f t="shared" si="441"/>
        <v>0</v>
      </c>
      <c r="AI879" s="51"/>
      <c r="AJ879" s="1497">
        <f t="shared" si="448"/>
        <v>9945</v>
      </c>
      <c r="AK879" s="8">
        <v>0</v>
      </c>
      <c r="AL879" s="9">
        <v>0</v>
      </c>
      <c r="AM879" s="326">
        <f t="shared" si="449"/>
        <v>0</v>
      </c>
      <c r="AN879" s="970">
        <f t="shared" si="449"/>
        <v>0</v>
      </c>
      <c r="AO879" s="27">
        <f t="shared" si="450"/>
        <v>0</v>
      </c>
      <c r="AP879" s="28">
        <f t="shared" si="443"/>
        <v>0</v>
      </c>
      <c r="AQ879" s="43"/>
      <c r="AR879" s="358">
        <f t="shared" si="451"/>
        <v>0</v>
      </c>
      <c r="AS879" s="359">
        <f t="shared" si="452"/>
        <v>0</v>
      </c>
      <c r="AT879" s="360">
        <f t="shared" si="453"/>
        <v>0</v>
      </c>
      <c r="AU879" s="43"/>
      <c r="AV879" s="43"/>
      <c r="AW879" s="119"/>
      <c r="AX879" s="119"/>
      <c r="AY879" s="43"/>
      <c r="AZ879" s="43"/>
      <c r="BA879" s="43"/>
      <c r="BB879" s="43"/>
      <c r="BC879" s="43"/>
      <c r="BD879" s="43"/>
    </row>
    <row r="880" spans="1:56" ht="15.75" customHeight="1">
      <c r="A880" s="88">
        <v>9946</v>
      </c>
      <c r="B880" s="1033" t="s">
        <v>115</v>
      </c>
      <c r="C880" s="1038"/>
      <c r="D880" s="1038"/>
      <c r="E880" s="1038"/>
      <c r="F880" s="1038"/>
      <c r="G880" s="1038"/>
      <c r="H880" s="1038"/>
      <c r="I880" s="1038"/>
      <c r="J880" s="1038"/>
      <c r="K880" s="1038"/>
      <c r="L880" s="590"/>
      <c r="M880" s="51" t="s">
        <v>265</v>
      </c>
      <c r="N880" s="113">
        <f t="shared" si="424"/>
        <v>9946</v>
      </c>
      <c r="O880" s="575">
        <v>0</v>
      </c>
      <c r="P880" s="582">
        <v>0</v>
      </c>
      <c r="Q880" s="589"/>
      <c r="R880" s="576"/>
      <c r="S880" s="583">
        <f t="shared" si="446"/>
        <v>0</v>
      </c>
      <c r="T880" s="580">
        <f>+IF(ABS(+O880+Q880)&lt;=ABS(P880+R880),-O880+P880-Q880+R880,0)</f>
        <v>0</v>
      </c>
      <c r="U880" s="51"/>
      <c r="V880" s="541">
        <f>+'NF-KSF-TRIAL-BAL-2020'!O880+'RA-TRIAL-BAL-2020'!O880+'DES-TRIAL-BAL-2020'!O880+'DMP-TRIAL-BAL-2020'!O880</f>
        <v>0</v>
      </c>
      <c r="W880" s="529">
        <f>+'NF-KSF-TRIAL-BAL-2020'!P880+'RA-TRIAL-BAL-2020'!P880+'DES-TRIAL-BAL-2020'!P880+'DMP-TRIAL-BAL-2020'!P880</f>
        <v>0</v>
      </c>
      <c r="X880" s="587">
        <f>+'NF-KSF-TRIAL-BAL-2020'!Q880+'RA-TRIAL-BAL-2020'!Q880+'DES-TRIAL-BAL-2020'!Q880+'DMP-TRIAL-BAL-2020'!Q880</f>
        <v>0</v>
      </c>
      <c r="Y880" s="586">
        <f>+'NF-KSF-TRIAL-BAL-2020'!R880+'RA-TRIAL-BAL-2020'!R880+'DES-TRIAL-BAL-2020'!R880+'DMP-TRIAL-BAL-2020'!R880</f>
        <v>0</v>
      </c>
      <c r="Z880" s="587">
        <f>+'NF-KSF-TRIAL-BAL-2020'!S880+'RA-TRIAL-BAL-2020'!S880+'DES-TRIAL-BAL-2020'!S880+'DMP-TRIAL-BAL-2020'!S880</f>
        <v>0</v>
      </c>
      <c r="AA880" s="588">
        <f>+'NF-KSF-TRIAL-BAL-2020'!T880+'RA-TRIAL-BAL-2020'!T880+'DES-TRIAL-BAL-2020'!T880+'DMP-TRIAL-BAL-2020'!T880</f>
        <v>0</v>
      </c>
      <c r="AB880" s="51"/>
      <c r="AC880" s="575">
        <v>0</v>
      </c>
      <c r="AD880" s="582">
        <v>0</v>
      </c>
      <c r="AE880" s="589"/>
      <c r="AF880" s="576"/>
      <c r="AG880" s="583">
        <f t="shared" si="447"/>
        <v>0</v>
      </c>
      <c r="AH880" s="580">
        <f>+IF(ABS(+AC880+AE880)&lt;=ABS(AD880+AF880),-AC880+AD880-AE880+AF880,0)</f>
        <v>0</v>
      </c>
      <c r="AI880" s="51"/>
      <c r="AJ880" s="1497">
        <f t="shared" si="448"/>
        <v>9946</v>
      </c>
      <c r="AK880" s="8">
        <v>0</v>
      </c>
      <c r="AL880" s="9">
        <v>0</v>
      </c>
      <c r="AM880" s="326">
        <f t="shared" si="449"/>
        <v>0</v>
      </c>
      <c r="AN880" s="970">
        <f t="shared" si="449"/>
        <v>0</v>
      </c>
      <c r="AO880" s="27">
        <f t="shared" si="450"/>
        <v>0</v>
      </c>
      <c r="AP880" s="28">
        <f t="shared" si="443"/>
        <v>0</v>
      </c>
      <c r="AQ880" s="43"/>
      <c r="AR880" s="358">
        <f t="shared" si="451"/>
        <v>0</v>
      </c>
      <c r="AS880" s="359">
        <f t="shared" si="452"/>
        <v>0</v>
      </c>
      <c r="AT880" s="360">
        <f t="shared" si="453"/>
        <v>0</v>
      </c>
      <c r="AU880" s="43"/>
      <c r="AV880" s="43"/>
      <c r="AW880" s="119"/>
      <c r="AX880" s="119"/>
      <c r="AY880" s="43"/>
      <c r="AZ880" s="43"/>
      <c r="BA880" s="43"/>
      <c r="BB880" s="43"/>
      <c r="BC880" s="43"/>
      <c r="BD880" s="43"/>
    </row>
    <row r="881" spans="1:56" ht="15.75" customHeight="1">
      <c r="A881" s="88">
        <v>9947</v>
      </c>
      <c r="B881" s="1033" t="s">
        <v>116</v>
      </c>
      <c r="C881" s="1038"/>
      <c r="D881" s="1038"/>
      <c r="E881" s="1038"/>
      <c r="F881" s="1038"/>
      <c r="G881" s="1038"/>
      <c r="H881" s="1038"/>
      <c r="I881" s="1038"/>
      <c r="J881" s="1038"/>
      <c r="K881" s="1038"/>
      <c r="L881" s="590"/>
      <c r="M881" s="51" t="s">
        <v>265</v>
      </c>
      <c r="N881" s="113">
        <f t="shared" si="424"/>
        <v>9947</v>
      </c>
      <c r="O881" s="575">
        <v>0</v>
      </c>
      <c r="P881" s="582">
        <v>0</v>
      </c>
      <c r="Q881" s="589"/>
      <c r="R881" s="576"/>
      <c r="S881" s="583">
        <f t="shared" si="446"/>
        <v>0</v>
      </c>
      <c r="T881" s="580">
        <f>+IF(ABS(+O881+Q881)&lt;=ABS(P881+R881),-O881+P881-Q881+R881,0)</f>
        <v>0</v>
      </c>
      <c r="U881" s="51"/>
      <c r="V881" s="541">
        <f>+'NF-KSF-TRIAL-BAL-2020'!O881+'RA-TRIAL-BAL-2020'!O881+'DES-TRIAL-BAL-2020'!O881+'DMP-TRIAL-BAL-2020'!O881</f>
        <v>0</v>
      </c>
      <c r="W881" s="529">
        <f>+'NF-KSF-TRIAL-BAL-2020'!P881+'RA-TRIAL-BAL-2020'!P881+'DES-TRIAL-BAL-2020'!P881+'DMP-TRIAL-BAL-2020'!P881</f>
        <v>0</v>
      </c>
      <c r="X881" s="587">
        <f>+'NF-KSF-TRIAL-BAL-2020'!Q881+'RA-TRIAL-BAL-2020'!Q881+'DES-TRIAL-BAL-2020'!Q881+'DMP-TRIAL-BAL-2020'!Q881</f>
        <v>0</v>
      </c>
      <c r="Y881" s="586">
        <f>+'NF-KSF-TRIAL-BAL-2020'!R881+'RA-TRIAL-BAL-2020'!R881+'DES-TRIAL-BAL-2020'!R881+'DMP-TRIAL-BAL-2020'!R881</f>
        <v>0</v>
      </c>
      <c r="Z881" s="587">
        <f>+'NF-KSF-TRIAL-BAL-2020'!S881+'RA-TRIAL-BAL-2020'!S881+'DES-TRIAL-BAL-2020'!S881+'DMP-TRIAL-BAL-2020'!S881</f>
        <v>0</v>
      </c>
      <c r="AA881" s="588">
        <f>+'NF-KSF-TRIAL-BAL-2020'!T881+'RA-TRIAL-BAL-2020'!T881+'DES-TRIAL-BAL-2020'!T881+'DMP-TRIAL-BAL-2020'!T881</f>
        <v>0</v>
      </c>
      <c r="AB881" s="51"/>
      <c r="AC881" s="575">
        <v>0</v>
      </c>
      <c r="AD881" s="582">
        <v>0</v>
      </c>
      <c r="AE881" s="589"/>
      <c r="AF881" s="576"/>
      <c r="AG881" s="583">
        <f t="shared" si="447"/>
        <v>0</v>
      </c>
      <c r="AH881" s="580">
        <f>+IF(ABS(+AC881+AE881)&lt;=ABS(AD881+AF881),-AC881+AD881-AE881+AF881,0)</f>
        <v>0</v>
      </c>
      <c r="AI881" s="51"/>
      <c r="AJ881" s="1497">
        <f t="shared" si="448"/>
        <v>9947</v>
      </c>
      <c r="AK881" s="8">
        <v>0</v>
      </c>
      <c r="AL881" s="9">
        <v>0</v>
      </c>
      <c r="AM881" s="326">
        <f t="shared" ref="AM881:AN883" si="454">+ROUND(+Q881+X881+AE881,2)</f>
        <v>0</v>
      </c>
      <c r="AN881" s="970">
        <f t="shared" si="454"/>
        <v>0</v>
      </c>
      <c r="AO881" s="27">
        <f t="shared" si="450"/>
        <v>0</v>
      </c>
      <c r="AP881" s="28">
        <f t="shared" si="443"/>
        <v>0</v>
      </c>
      <c r="AQ881" s="43"/>
      <c r="AR881" s="358">
        <f t="shared" si="451"/>
        <v>0</v>
      </c>
      <c r="AS881" s="359">
        <f t="shared" si="452"/>
        <v>0</v>
      </c>
      <c r="AT881" s="360">
        <f t="shared" si="453"/>
        <v>0</v>
      </c>
      <c r="AU881" s="43"/>
      <c r="AV881" s="43"/>
      <c r="AW881" s="119"/>
      <c r="AX881" s="119"/>
      <c r="AY881" s="43"/>
      <c r="AZ881" s="43"/>
      <c r="BA881" s="43"/>
      <c r="BB881" s="43"/>
      <c r="BC881" s="43"/>
      <c r="BD881" s="43"/>
    </row>
    <row r="882" spans="1:56" ht="15.75" customHeight="1">
      <c r="A882" s="88">
        <v>9948</v>
      </c>
      <c r="B882" s="1033" t="s">
        <v>117</v>
      </c>
      <c r="C882" s="1038"/>
      <c r="D882" s="1038"/>
      <c r="E882" s="1038"/>
      <c r="F882" s="1038"/>
      <c r="G882" s="1038"/>
      <c r="H882" s="1038"/>
      <c r="I882" s="1038"/>
      <c r="J882" s="1038"/>
      <c r="K882" s="1038"/>
      <c r="L882" s="590"/>
      <c r="M882" s="51" t="s">
        <v>265</v>
      </c>
      <c r="N882" s="113">
        <f t="shared" si="424"/>
        <v>9948</v>
      </c>
      <c r="O882" s="575">
        <v>0</v>
      </c>
      <c r="P882" s="582">
        <v>0</v>
      </c>
      <c r="Q882" s="589"/>
      <c r="R882" s="576"/>
      <c r="S882" s="583">
        <f t="shared" si="446"/>
        <v>0</v>
      </c>
      <c r="T882" s="580">
        <f>+IF(ABS(+O882+Q882)&lt;=ABS(P882+R882),-O882+P882-Q882+R882,0)</f>
        <v>0</v>
      </c>
      <c r="U882" s="51"/>
      <c r="V882" s="541">
        <f>+'NF-KSF-TRIAL-BAL-2020'!O882+'RA-TRIAL-BAL-2020'!O882+'DES-TRIAL-BAL-2020'!O882+'DMP-TRIAL-BAL-2020'!O882</f>
        <v>0</v>
      </c>
      <c r="W882" s="529">
        <f>+'NF-KSF-TRIAL-BAL-2020'!P882+'RA-TRIAL-BAL-2020'!P882+'DES-TRIAL-BAL-2020'!P882+'DMP-TRIAL-BAL-2020'!P882</f>
        <v>0</v>
      </c>
      <c r="X882" s="587">
        <f>+'NF-KSF-TRIAL-BAL-2020'!Q882+'RA-TRIAL-BAL-2020'!Q882+'DES-TRIAL-BAL-2020'!Q882+'DMP-TRIAL-BAL-2020'!Q882</f>
        <v>0</v>
      </c>
      <c r="Y882" s="586">
        <f>+'NF-KSF-TRIAL-BAL-2020'!R882+'RA-TRIAL-BAL-2020'!R882+'DES-TRIAL-BAL-2020'!R882+'DMP-TRIAL-BAL-2020'!R882</f>
        <v>0</v>
      </c>
      <c r="Z882" s="587">
        <f>+'NF-KSF-TRIAL-BAL-2020'!S882+'RA-TRIAL-BAL-2020'!S882+'DES-TRIAL-BAL-2020'!S882+'DMP-TRIAL-BAL-2020'!S882</f>
        <v>0</v>
      </c>
      <c r="AA882" s="588">
        <f>+'NF-KSF-TRIAL-BAL-2020'!T882+'RA-TRIAL-BAL-2020'!T882+'DES-TRIAL-BAL-2020'!T882+'DMP-TRIAL-BAL-2020'!T882</f>
        <v>0</v>
      </c>
      <c r="AB882" s="51"/>
      <c r="AC882" s="575">
        <v>0</v>
      </c>
      <c r="AD882" s="582">
        <v>0</v>
      </c>
      <c r="AE882" s="589"/>
      <c r="AF882" s="576"/>
      <c r="AG882" s="583">
        <f t="shared" si="447"/>
        <v>0</v>
      </c>
      <c r="AH882" s="580">
        <f>+IF(ABS(+AC882+AE882)&lt;=ABS(AD882+AF882),-AC882+AD882-AE882+AF882,0)</f>
        <v>0</v>
      </c>
      <c r="AI882" s="51"/>
      <c r="AJ882" s="1497">
        <f t="shared" si="448"/>
        <v>9948</v>
      </c>
      <c r="AK882" s="8">
        <v>0</v>
      </c>
      <c r="AL882" s="9">
        <v>0</v>
      </c>
      <c r="AM882" s="326">
        <f t="shared" si="454"/>
        <v>0</v>
      </c>
      <c r="AN882" s="970">
        <f t="shared" si="454"/>
        <v>0</v>
      </c>
      <c r="AO882" s="27">
        <f t="shared" si="450"/>
        <v>0</v>
      </c>
      <c r="AP882" s="28">
        <f t="shared" si="443"/>
        <v>0</v>
      </c>
      <c r="AQ882" s="43"/>
      <c r="AR882" s="358">
        <f t="shared" si="451"/>
        <v>0</v>
      </c>
      <c r="AS882" s="359">
        <f t="shared" si="452"/>
        <v>0</v>
      </c>
      <c r="AT882" s="360">
        <f t="shared" si="453"/>
        <v>0</v>
      </c>
      <c r="AU882" s="43"/>
      <c r="AV882" s="43"/>
      <c r="AW882" s="119"/>
      <c r="AX882" s="119"/>
      <c r="AY882" s="43"/>
      <c r="AZ882" s="43"/>
      <c r="BA882" s="43"/>
      <c r="BB882" s="43"/>
      <c r="BC882" s="43"/>
      <c r="BD882" s="43"/>
    </row>
    <row r="883" spans="1:56" ht="15.75" customHeight="1">
      <c r="A883" s="88">
        <v>9949</v>
      </c>
      <c r="B883" s="1033" t="s">
        <v>118</v>
      </c>
      <c r="C883" s="1038"/>
      <c r="D883" s="1038"/>
      <c r="E883" s="1038"/>
      <c r="F883" s="1038"/>
      <c r="G883" s="1038"/>
      <c r="H883" s="1038"/>
      <c r="I883" s="1038"/>
      <c r="J883" s="1038"/>
      <c r="K883" s="1038"/>
      <c r="L883" s="590"/>
      <c r="M883" s="51" t="s">
        <v>265</v>
      </c>
      <c r="N883" s="113">
        <f t="shared" si="424"/>
        <v>9949</v>
      </c>
      <c r="O883" s="575">
        <v>0</v>
      </c>
      <c r="P883" s="582">
        <v>0</v>
      </c>
      <c r="Q883" s="589"/>
      <c r="R883" s="576"/>
      <c r="S883" s="583">
        <f t="shared" si="446"/>
        <v>0</v>
      </c>
      <c r="T883" s="580">
        <f>+IF(ABS(+O883+Q883)&lt;=ABS(P883+R883),-O883+P883-Q883+R883,0)</f>
        <v>0</v>
      </c>
      <c r="U883" s="51"/>
      <c r="V883" s="541">
        <f>+'NF-KSF-TRIAL-BAL-2020'!O883+'RA-TRIAL-BAL-2020'!O883+'DES-TRIAL-BAL-2020'!O883+'DMP-TRIAL-BAL-2020'!O883</f>
        <v>0</v>
      </c>
      <c r="W883" s="529">
        <f>+'NF-KSF-TRIAL-BAL-2020'!P883+'RA-TRIAL-BAL-2020'!P883+'DES-TRIAL-BAL-2020'!P883+'DMP-TRIAL-BAL-2020'!P883</f>
        <v>0</v>
      </c>
      <c r="X883" s="587">
        <f>+'NF-KSF-TRIAL-BAL-2020'!Q883+'RA-TRIAL-BAL-2020'!Q883+'DES-TRIAL-BAL-2020'!Q883+'DMP-TRIAL-BAL-2020'!Q883</f>
        <v>0</v>
      </c>
      <c r="Y883" s="586">
        <f>+'NF-KSF-TRIAL-BAL-2020'!R883+'RA-TRIAL-BAL-2020'!R883+'DES-TRIAL-BAL-2020'!R883+'DMP-TRIAL-BAL-2020'!R883</f>
        <v>0</v>
      </c>
      <c r="Z883" s="587">
        <f>+'NF-KSF-TRIAL-BAL-2020'!S883+'RA-TRIAL-BAL-2020'!S883+'DES-TRIAL-BAL-2020'!S883+'DMP-TRIAL-BAL-2020'!S883</f>
        <v>0</v>
      </c>
      <c r="AA883" s="588">
        <f>+'NF-KSF-TRIAL-BAL-2020'!T883+'RA-TRIAL-BAL-2020'!T883+'DES-TRIAL-BAL-2020'!T883+'DMP-TRIAL-BAL-2020'!T883</f>
        <v>0</v>
      </c>
      <c r="AB883" s="51"/>
      <c r="AC883" s="575">
        <v>0</v>
      </c>
      <c r="AD883" s="582">
        <v>0</v>
      </c>
      <c r="AE883" s="589"/>
      <c r="AF883" s="576"/>
      <c r="AG883" s="583">
        <f t="shared" si="447"/>
        <v>0</v>
      </c>
      <c r="AH883" s="580">
        <f>+IF(ABS(+AC883+AE883)&lt;=ABS(AD883+AF883),-AC883+AD883-AE883+AF883,0)</f>
        <v>0</v>
      </c>
      <c r="AI883" s="51"/>
      <c r="AJ883" s="1497">
        <f t="shared" si="448"/>
        <v>9949</v>
      </c>
      <c r="AK883" s="8">
        <v>0</v>
      </c>
      <c r="AL883" s="9">
        <v>0</v>
      </c>
      <c r="AM883" s="326">
        <f t="shared" si="454"/>
        <v>0</v>
      </c>
      <c r="AN883" s="970">
        <f t="shared" si="454"/>
        <v>0</v>
      </c>
      <c r="AO883" s="27">
        <f t="shared" si="450"/>
        <v>0</v>
      </c>
      <c r="AP883" s="28">
        <f t="shared" si="443"/>
        <v>0</v>
      </c>
      <c r="AQ883" s="43"/>
      <c r="AR883" s="358">
        <f t="shared" si="451"/>
        <v>0</v>
      </c>
      <c r="AS883" s="359">
        <f t="shared" si="452"/>
        <v>0</v>
      </c>
      <c r="AT883" s="360">
        <f t="shared" si="453"/>
        <v>0</v>
      </c>
      <c r="AU883" s="43"/>
      <c r="AV883" s="43"/>
      <c r="AW883" s="119"/>
      <c r="AX883" s="119"/>
      <c r="AY883" s="43"/>
      <c r="AZ883" s="43"/>
      <c r="BA883" s="43"/>
      <c r="BB883" s="43"/>
      <c r="BC883" s="43"/>
      <c r="BD883" s="43"/>
    </row>
    <row r="884" spans="1:56" ht="15.75">
      <c r="A884" s="88">
        <v>9978</v>
      </c>
      <c r="B884" s="1033" t="s">
        <v>119</v>
      </c>
      <c r="C884" s="1033"/>
      <c r="D884" s="1033"/>
      <c r="E884" s="1033"/>
      <c r="F884" s="1033"/>
      <c r="G884" s="1033"/>
      <c r="H884" s="1033"/>
      <c r="I884" s="1033"/>
      <c r="J884" s="1033"/>
      <c r="K884" s="1033"/>
      <c r="L884" s="90"/>
      <c r="M884" s="51" t="s">
        <v>265</v>
      </c>
      <c r="N884" s="113">
        <f t="shared" si="424"/>
        <v>9978</v>
      </c>
      <c r="O884" s="120">
        <v>0</v>
      </c>
      <c r="P884" s="9">
        <v>0</v>
      </c>
      <c r="Q884" s="122">
        <v>0</v>
      </c>
      <c r="R884" s="324">
        <v>0</v>
      </c>
      <c r="S884" s="27">
        <f t="shared" si="446"/>
        <v>0</v>
      </c>
      <c r="T884" s="30">
        <v>0</v>
      </c>
      <c r="U884" s="51"/>
      <c r="V884" s="541">
        <f>+'NF-KSF-TRIAL-BAL-2020'!O884+'RA-TRIAL-BAL-2020'!O884+'DES-TRIAL-BAL-2020'!O884+'DMP-TRIAL-BAL-2020'!O884</f>
        <v>0</v>
      </c>
      <c r="W884" s="529">
        <f>+'NF-KSF-TRIAL-BAL-2020'!P884+'RA-TRIAL-BAL-2020'!P884+'DES-TRIAL-BAL-2020'!P884+'DMP-TRIAL-BAL-2020'!P884</f>
        <v>0</v>
      </c>
      <c r="X884" s="528">
        <f>+'NF-KSF-TRIAL-BAL-2020'!Q884+'RA-TRIAL-BAL-2020'!Q884+'DES-TRIAL-BAL-2020'!Q884+'DMP-TRIAL-BAL-2020'!Q884</f>
        <v>0</v>
      </c>
      <c r="Y884" s="529">
        <f>+'NF-KSF-TRIAL-BAL-2020'!R884+'RA-TRIAL-BAL-2020'!R884+'DES-TRIAL-BAL-2020'!R884+'DMP-TRIAL-BAL-2020'!R884</f>
        <v>0</v>
      </c>
      <c r="Z884" s="587">
        <f>+'NF-KSF-TRIAL-BAL-2020'!S884+'RA-TRIAL-BAL-2020'!S884+'DES-TRIAL-BAL-2020'!S884+'DMP-TRIAL-BAL-2020'!S884</f>
        <v>0</v>
      </c>
      <c r="AA884" s="588">
        <f>+'NF-KSF-TRIAL-BAL-2020'!T884+'RA-TRIAL-BAL-2020'!T884+'DES-TRIAL-BAL-2020'!T884+'DMP-TRIAL-BAL-2020'!T884</f>
        <v>0</v>
      </c>
      <c r="AB884" s="51"/>
      <c r="AC884" s="120">
        <v>0</v>
      </c>
      <c r="AD884" s="9">
        <v>0</v>
      </c>
      <c r="AE884" s="122">
        <v>0</v>
      </c>
      <c r="AF884" s="324">
        <v>0</v>
      </c>
      <c r="AG884" s="27">
        <f t="shared" si="447"/>
        <v>0</v>
      </c>
      <c r="AH884" s="30">
        <v>0</v>
      </c>
      <c r="AI884" s="51"/>
      <c r="AJ884" s="1497">
        <f t="shared" si="423"/>
        <v>9978</v>
      </c>
      <c r="AK884" s="951">
        <f>+ROUND(+O884+V884+AC884,2)</f>
        <v>0</v>
      </c>
      <c r="AL884" s="9">
        <v>0</v>
      </c>
      <c r="AM884" s="326">
        <f t="shared" si="429"/>
        <v>0</v>
      </c>
      <c r="AN884" s="970">
        <f t="shared" si="429"/>
        <v>0</v>
      </c>
      <c r="AO884" s="27">
        <f t="shared" si="450"/>
        <v>0</v>
      </c>
      <c r="AP884" s="331">
        <v>0</v>
      </c>
      <c r="AQ884" s="43"/>
      <c r="AR884" s="358">
        <f t="shared" si="426"/>
        <v>0</v>
      </c>
      <c r="AS884" s="359">
        <f t="shared" si="427"/>
        <v>0</v>
      </c>
      <c r="AT884" s="360">
        <f t="shared" si="428"/>
        <v>0</v>
      </c>
      <c r="AU884" s="43"/>
      <c r="AV884" s="2120">
        <f>+IF(OR(ROUND(P884,2)+ROUND(R884,2)&gt;+ROUND(O884,2)+ROUND(Q884,2),+ABS(ROUND(P884,2)+ROUND(R884,2))&gt;+ABS(ROUND(O884,2)+ROUND(Q884,2))),+(ROUND(P884,2)+ROUND(R884,2))-(ROUND(O884,2)+ROUND(Q884,2)),0)</f>
        <v>0</v>
      </c>
      <c r="AW884" s="119"/>
      <c r="AX884" s="2120">
        <f>+IF(OR(ROUND(AD884,2)+ROUND(AF884,2)&gt;+ROUND(AC884,2)+ROUND(AE884,2),+ABS(ROUND(AD884,2)+ROUND(AF884,2))&gt;+ABS(ROUND(AC884,2)+ROUND(AE884,2))),+(ROUND(AD884,2)+ROUND(AF884,2))-(ROUND(AC884,2)+ROUND(AE884,2)),0)</f>
        <v>0</v>
      </c>
      <c r="AY884" s="43"/>
      <c r="AZ884" s="43"/>
      <c r="BA884" s="43"/>
      <c r="BB884" s="43"/>
      <c r="BC884" s="43"/>
      <c r="BD884" s="43"/>
    </row>
    <row r="885" spans="1:56" ht="15.75">
      <c r="A885" s="88">
        <v>9979</v>
      </c>
      <c r="B885" s="1033" t="s">
        <v>120</v>
      </c>
      <c r="C885" s="1033"/>
      <c r="D885" s="1033"/>
      <c r="E885" s="1033"/>
      <c r="F885" s="1033"/>
      <c r="G885" s="1033"/>
      <c r="H885" s="1033"/>
      <c r="I885" s="1033"/>
      <c r="J885" s="1033"/>
      <c r="K885" s="1033"/>
      <c r="L885" s="90"/>
      <c r="M885" s="51" t="s">
        <v>265</v>
      </c>
      <c r="N885" s="113">
        <f t="shared" si="424"/>
        <v>9979</v>
      </c>
      <c r="O885" s="8">
        <v>0</v>
      </c>
      <c r="P885" s="121">
        <v>0</v>
      </c>
      <c r="Q885" s="122">
        <v>0</v>
      </c>
      <c r="R885" s="324">
        <v>0</v>
      </c>
      <c r="S885" s="29">
        <v>0</v>
      </c>
      <c r="T885" s="28">
        <f>+IF(ABS(+O885+Q885)&lt;=ABS(P885+R885),-O885+P885-Q885+R885,0)</f>
        <v>0</v>
      </c>
      <c r="U885" s="51"/>
      <c r="V885" s="541">
        <f>+'NF-KSF-TRIAL-BAL-2020'!O885+'RA-TRIAL-BAL-2020'!O885+'DES-TRIAL-BAL-2020'!O885+'DMP-TRIAL-BAL-2020'!O885</f>
        <v>0</v>
      </c>
      <c r="W885" s="529">
        <f>+'NF-KSF-TRIAL-BAL-2020'!P885+'RA-TRIAL-BAL-2020'!P885+'DES-TRIAL-BAL-2020'!P885+'DMP-TRIAL-BAL-2020'!P885</f>
        <v>0</v>
      </c>
      <c r="X885" s="528">
        <f>+'NF-KSF-TRIAL-BAL-2020'!Q885+'RA-TRIAL-BAL-2020'!Q885+'DES-TRIAL-BAL-2020'!Q885+'DMP-TRIAL-BAL-2020'!Q885</f>
        <v>0</v>
      </c>
      <c r="Y885" s="529">
        <f>+'NF-KSF-TRIAL-BAL-2020'!R885+'RA-TRIAL-BAL-2020'!R885+'DES-TRIAL-BAL-2020'!R885+'DMP-TRIAL-BAL-2020'!R885</f>
        <v>0</v>
      </c>
      <c r="Z885" s="528">
        <f>+'NF-KSF-TRIAL-BAL-2020'!S885+'RA-TRIAL-BAL-2020'!S885+'DES-TRIAL-BAL-2020'!S885+'DMP-TRIAL-BAL-2020'!S885</f>
        <v>0</v>
      </c>
      <c r="AA885" s="347">
        <f>+'NF-KSF-TRIAL-BAL-2020'!T885+'RA-TRIAL-BAL-2020'!T885+'DES-TRIAL-BAL-2020'!T885+'DMP-TRIAL-BAL-2020'!T885</f>
        <v>0</v>
      </c>
      <c r="AB885" s="51"/>
      <c r="AC885" s="8">
        <v>0</v>
      </c>
      <c r="AD885" s="121">
        <v>0</v>
      </c>
      <c r="AE885" s="122">
        <v>0</v>
      </c>
      <c r="AF885" s="324">
        <v>0</v>
      </c>
      <c r="AG885" s="29">
        <v>0</v>
      </c>
      <c r="AH885" s="28">
        <f>+IF(ABS(+AC885+AE885)&lt;=ABS(AD885+AF885),-AC885+AD885-AE885+AF885,0)</f>
        <v>0</v>
      </c>
      <c r="AI885" s="51"/>
      <c r="AJ885" s="1497">
        <f t="shared" si="423"/>
        <v>9979</v>
      </c>
      <c r="AK885" s="328">
        <v>0</v>
      </c>
      <c r="AL885" s="970">
        <f>+ROUND(+P885+W885+AD885,2)</f>
        <v>0</v>
      </c>
      <c r="AM885" s="326">
        <f t="shared" si="429"/>
        <v>0</v>
      </c>
      <c r="AN885" s="970">
        <f t="shared" si="429"/>
        <v>0</v>
      </c>
      <c r="AO885" s="330">
        <v>0</v>
      </c>
      <c r="AP885" s="28">
        <f>+T885+AA885+AH885</f>
        <v>0</v>
      </c>
      <c r="AQ885" s="43"/>
      <c r="AR885" s="358">
        <f t="shared" si="426"/>
        <v>0</v>
      </c>
      <c r="AS885" s="359">
        <f t="shared" si="427"/>
        <v>0</v>
      </c>
      <c r="AT885" s="360">
        <f t="shared" si="428"/>
        <v>0</v>
      </c>
      <c r="AU885" s="43"/>
      <c r="AV885" s="2119">
        <f>+IF(OR(+ROUND(O885,2)+ROUND(Q885,2)&gt;ROUND(P885,2)+ROUND(R885,2),+ABS(ROUND(O885,2)+ROUND(Q885,2))&gt;+ABS(ROUND(P885,2)+ROUND(R885,2))),+(ROUND(O885,2)+ROUND(Q885,2))-(ROUND(P885,2)+ROUND(R885,2)),0)</f>
        <v>0</v>
      </c>
      <c r="AW885" s="119"/>
      <c r="AX885" s="2119">
        <f>+IF(OR(+ROUND(AC885,2)+ROUND(AE885,2)&gt;ROUND(AD885,2)+ROUND(AF885,2),+ABS(ROUND(AC885,2)+ROUND(AE885,2))&gt;+ABS(ROUND(AD885,2)+ROUND(AF885,2))),+(ROUND(AC885,2)+ROUND(AE885,2))-(ROUND(AD885,2)+ROUND(AF885,2)),0)</f>
        <v>0</v>
      </c>
      <c r="AY885" s="43"/>
      <c r="AZ885" s="43"/>
      <c r="BA885" s="43"/>
      <c r="BB885" s="43"/>
      <c r="BC885" s="43"/>
      <c r="BD885" s="43"/>
    </row>
    <row r="886" spans="1:56" ht="15.75">
      <c r="A886" s="88">
        <v>9981</v>
      </c>
      <c r="B886" s="1032" t="s">
        <v>121</v>
      </c>
      <c r="C886" s="1033"/>
      <c r="D886" s="1033"/>
      <c r="E886" s="1033"/>
      <c r="F886" s="1033"/>
      <c r="G886" s="1033"/>
      <c r="H886" s="1033"/>
      <c r="I886" s="1033"/>
      <c r="J886" s="1033"/>
      <c r="K886" s="1033"/>
      <c r="L886" s="90"/>
      <c r="M886" s="51" t="s">
        <v>265</v>
      </c>
      <c r="N886" s="113">
        <f t="shared" si="424"/>
        <v>9981</v>
      </c>
      <c r="O886" s="8">
        <v>0</v>
      </c>
      <c r="P886" s="121">
        <v>209240.48</v>
      </c>
      <c r="Q886" s="122">
        <v>0</v>
      </c>
      <c r="R886" s="324">
        <v>690</v>
      </c>
      <c r="S886" s="29">
        <v>0</v>
      </c>
      <c r="T886" s="28">
        <f>+IF(ABS(+O886+Q886)&lt;=ABS(P886+R886),-O886+P886-Q886+R886,0)</f>
        <v>209930.48</v>
      </c>
      <c r="U886" s="51"/>
      <c r="V886" s="541">
        <f>+'NF-KSF-TRIAL-BAL-2020'!O886+'RA-TRIAL-BAL-2020'!O886+'DES-TRIAL-BAL-2020'!O886+'DMP-TRIAL-BAL-2020'!O886</f>
        <v>0</v>
      </c>
      <c r="W886" s="529">
        <f>+'NF-KSF-TRIAL-BAL-2020'!P886+'RA-TRIAL-BAL-2020'!P886+'DES-TRIAL-BAL-2020'!P886+'DMP-TRIAL-BAL-2020'!P886</f>
        <v>0</v>
      </c>
      <c r="X886" s="528">
        <f>+'NF-KSF-TRIAL-BAL-2020'!Q886+'RA-TRIAL-BAL-2020'!Q886+'DES-TRIAL-BAL-2020'!Q886+'DMP-TRIAL-BAL-2020'!Q886</f>
        <v>0</v>
      </c>
      <c r="Y886" s="529">
        <f>+'NF-KSF-TRIAL-BAL-2020'!R886+'RA-TRIAL-BAL-2020'!R886+'DES-TRIAL-BAL-2020'!R886+'DMP-TRIAL-BAL-2020'!R886</f>
        <v>0</v>
      </c>
      <c r="Z886" s="528">
        <f>+'NF-KSF-TRIAL-BAL-2020'!S886+'RA-TRIAL-BAL-2020'!S886+'DES-TRIAL-BAL-2020'!S886+'DMP-TRIAL-BAL-2020'!S886</f>
        <v>0</v>
      </c>
      <c r="AA886" s="347">
        <f>+'NF-KSF-TRIAL-BAL-2020'!T886+'RA-TRIAL-BAL-2020'!T886+'DES-TRIAL-BAL-2020'!T886+'DMP-TRIAL-BAL-2020'!T886</f>
        <v>0</v>
      </c>
      <c r="AB886" s="51"/>
      <c r="AC886" s="8">
        <v>0</v>
      </c>
      <c r="AD886" s="121">
        <v>0</v>
      </c>
      <c r="AE886" s="122">
        <v>0</v>
      </c>
      <c r="AF886" s="324">
        <v>0</v>
      </c>
      <c r="AG886" s="29">
        <v>0</v>
      </c>
      <c r="AH886" s="28">
        <f>+IF(ABS(+AC886+AE886)&lt;=ABS(AD886+AF886),-AC886+AD886-AE886+AF886,0)</f>
        <v>0</v>
      </c>
      <c r="AI886" s="51"/>
      <c r="AJ886" s="1497">
        <f t="shared" si="423"/>
        <v>9981</v>
      </c>
      <c r="AK886" s="328">
        <v>0</v>
      </c>
      <c r="AL886" s="970">
        <f>+ROUND(+P886+W886+AD886,2)</f>
        <v>209240.48</v>
      </c>
      <c r="AM886" s="326">
        <f t="shared" si="429"/>
        <v>0</v>
      </c>
      <c r="AN886" s="970">
        <f t="shared" si="429"/>
        <v>690</v>
      </c>
      <c r="AO886" s="330">
        <v>0</v>
      </c>
      <c r="AP886" s="28">
        <f>+T886+AA886+AH886</f>
        <v>209930.48</v>
      </c>
      <c r="AQ886" s="43"/>
      <c r="AR886" s="358">
        <f t="shared" si="426"/>
        <v>0</v>
      </c>
      <c r="AS886" s="359">
        <f t="shared" si="427"/>
        <v>0</v>
      </c>
      <c r="AT886" s="360">
        <f t="shared" si="428"/>
        <v>0</v>
      </c>
      <c r="AU886" s="43"/>
      <c r="AV886" s="2119">
        <f>+IF(OR(+ROUND(O886,2)+ROUND(Q886,2)&gt;ROUND(P886,2)+ROUND(R886,2),+ABS(ROUND(O886,2)+ROUND(Q886,2))&gt;+ABS(ROUND(P886,2)+ROUND(R886,2))),+(ROUND(O886,2)+ROUND(Q886,2))-(ROUND(P886,2)+ROUND(R886,2)),0)</f>
        <v>0</v>
      </c>
      <c r="AW886" s="119"/>
      <c r="AX886" s="2119">
        <f>+IF(OR(+ROUND(AC886,2)+ROUND(AE886,2)&gt;ROUND(AD886,2)+ROUND(AF886,2),+ABS(ROUND(AC886,2)+ROUND(AE886,2))&gt;+ABS(ROUND(AD886,2)+ROUND(AF886,2))),+(ROUND(AC886,2)+ROUND(AE886,2))-(ROUND(AD886,2)+ROUND(AF886,2)),0)</f>
        <v>0</v>
      </c>
      <c r="AY886" s="43"/>
      <c r="AZ886" s="43"/>
      <c r="BA886" s="43"/>
      <c r="BB886" s="43"/>
      <c r="BC886" s="43"/>
      <c r="BD886" s="43"/>
    </row>
    <row r="887" spans="1:56" ht="16.5" thickBot="1">
      <c r="A887" s="1052">
        <v>9989</v>
      </c>
      <c r="B887" s="1031" t="s">
        <v>122</v>
      </c>
      <c r="C887" s="101"/>
      <c r="D887" s="101"/>
      <c r="E887" s="101"/>
      <c r="F887" s="101"/>
      <c r="G887" s="101"/>
      <c r="H887" s="101"/>
      <c r="I887" s="101"/>
      <c r="J887" s="101"/>
      <c r="K887" s="101"/>
      <c r="L887" s="102"/>
      <c r="M887" s="51" t="s">
        <v>265</v>
      </c>
      <c r="N887" s="116">
        <f t="shared" si="424"/>
        <v>9989</v>
      </c>
      <c r="O887" s="123">
        <v>57513.279999999999</v>
      </c>
      <c r="P887" s="37">
        <v>0</v>
      </c>
      <c r="Q887" s="124">
        <v>277133.73</v>
      </c>
      <c r="R887" s="125">
        <v>0</v>
      </c>
      <c r="S887" s="27">
        <f>+IF(ABS(+O887+Q887)&gt;=ABS(P887+R887),+O887-P887+Q887-R887,0)</f>
        <v>334647.01</v>
      </c>
      <c r="T887" s="30">
        <v>0</v>
      </c>
      <c r="U887" s="51"/>
      <c r="V887" s="544">
        <f>+'NF-KSF-TRIAL-BAL-2020'!O887+'RA-TRIAL-BAL-2020'!O887+'DES-TRIAL-BAL-2020'!O887+'DMP-TRIAL-BAL-2020'!O887</f>
        <v>0</v>
      </c>
      <c r="W887" s="542">
        <f>+'NF-KSF-TRIAL-BAL-2020'!P887+'RA-TRIAL-BAL-2020'!P887+'DES-TRIAL-BAL-2020'!P887+'DMP-TRIAL-BAL-2020'!P887</f>
        <v>0</v>
      </c>
      <c r="X887" s="530">
        <f>+'NF-KSF-TRIAL-BAL-2020'!Q887+'RA-TRIAL-BAL-2020'!Q887+'DES-TRIAL-BAL-2020'!Q887+'DMP-TRIAL-BAL-2020'!Q887</f>
        <v>0</v>
      </c>
      <c r="Y887" s="542">
        <f>+'NF-KSF-TRIAL-BAL-2020'!R887+'RA-TRIAL-BAL-2020'!R887+'DES-TRIAL-BAL-2020'!R887+'DMP-TRIAL-BAL-2020'!R887</f>
        <v>0</v>
      </c>
      <c r="Z887" s="530">
        <f>+'NF-KSF-TRIAL-BAL-2020'!S887+'RA-TRIAL-BAL-2020'!S887+'DES-TRIAL-BAL-2020'!S887+'DMP-TRIAL-BAL-2020'!S887</f>
        <v>0</v>
      </c>
      <c r="AA887" s="531">
        <f>+'NF-KSF-TRIAL-BAL-2020'!T887+'RA-TRIAL-BAL-2020'!T887+'DES-TRIAL-BAL-2020'!T887+'DMP-TRIAL-BAL-2020'!T887</f>
        <v>0</v>
      </c>
      <c r="AB887" s="51"/>
      <c r="AC887" s="123">
        <v>0</v>
      </c>
      <c r="AD887" s="37">
        <v>0</v>
      </c>
      <c r="AE887" s="126">
        <v>0</v>
      </c>
      <c r="AF887" s="127">
        <v>0</v>
      </c>
      <c r="AG887" s="56">
        <f>+IF(ABS(+AC887+AE887)&gt;=ABS(AD887+AF887),+AC887-AD887+AE887-AF887,0)</f>
        <v>0</v>
      </c>
      <c r="AH887" s="60">
        <v>0</v>
      </c>
      <c r="AI887" s="51"/>
      <c r="AJ887" s="1498">
        <f t="shared" si="423"/>
        <v>9989</v>
      </c>
      <c r="AK887" s="1500">
        <f>+ROUND(+O887+V887+AC887,2)</f>
        <v>57513.279999999999</v>
      </c>
      <c r="AL887" s="37">
        <v>0</v>
      </c>
      <c r="AM887" s="1057">
        <f t="shared" si="429"/>
        <v>277133.73</v>
      </c>
      <c r="AN887" s="1499">
        <f t="shared" si="429"/>
        <v>0</v>
      </c>
      <c r="AO887" s="1057">
        <f>+S887+Z887+AG887</f>
        <v>334647.01</v>
      </c>
      <c r="AP887" s="1542">
        <v>0</v>
      </c>
      <c r="AQ887" s="43"/>
      <c r="AR887" s="358">
        <f t="shared" si="426"/>
        <v>0</v>
      </c>
      <c r="AS887" s="359">
        <f t="shared" si="427"/>
        <v>0</v>
      </c>
      <c r="AT887" s="360">
        <f t="shared" si="428"/>
        <v>0</v>
      </c>
      <c r="AU887" s="43"/>
      <c r="AV887" s="2120">
        <f>+IF(OR(ROUND(P887,2)+ROUND(R887,2)&gt;+ROUND(O887,2)+ROUND(Q887,2),+ABS(ROUND(P887,2)+ROUND(R887,2))&gt;+ABS(ROUND(O887,2)+ROUND(Q887,2))),+(ROUND(P887,2)+ROUND(R887,2))-(ROUND(O887,2)+ROUND(Q887,2)),0)</f>
        <v>0</v>
      </c>
      <c r="AW887" s="119"/>
      <c r="AX887" s="2120">
        <f>+IF(OR(ROUND(AD887,2)+ROUND(AF887,2)&gt;+ROUND(AC887,2)+ROUND(AE887,2),+ABS(ROUND(AD887,2)+ROUND(AF887,2))&gt;+ABS(ROUND(AC887,2)+ROUND(AE887,2))),+(ROUND(AD887,2)+ROUND(AF887,2))-(ROUND(AC887,2)+ROUND(AE887,2)),0)</f>
        <v>0</v>
      </c>
      <c r="AY887" s="43"/>
      <c r="AZ887" s="43"/>
      <c r="BA887" s="43"/>
      <c r="BB887" s="43"/>
      <c r="BC887" s="43"/>
      <c r="BD887" s="43"/>
    </row>
    <row r="888" spans="1:56" ht="16.5" thickBot="1">
      <c r="A888" s="103" t="s">
        <v>593</v>
      </c>
      <c r="B888" s="104"/>
      <c r="C888" s="104"/>
      <c r="D888" s="104"/>
      <c r="E888" s="104"/>
      <c r="F888" s="104"/>
      <c r="G888" s="104"/>
      <c r="H888" s="104"/>
      <c r="I888" s="104"/>
      <c r="J888" s="104"/>
      <c r="K888" s="104"/>
      <c r="L888" s="105"/>
      <c r="M888" s="51"/>
      <c r="N888" s="117">
        <v>9</v>
      </c>
      <c r="O888" s="12">
        <f t="shared" ref="O888:T888" si="455">+ROUND(SUM(O831:O887),2)</f>
        <v>266753.76</v>
      </c>
      <c r="P888" s="13">
        <f t="shared" si="455"/>
        <v>266753.76</v>
      </c>
      <c r="Q888" s="32">
        <f t="shared" si="455"/>
        <v>821230.54</v>
      </c>
      <c r="R888" s="33">
        <f t="shared" si="455"/>
        <v>821230.54</v>
      </c>
      <c r="S888" s="32">
        <f t="shared" si="455"/>
        <v>815856.79</v>
      </c>
      <c r="T888" s="34">
        <f t="shared" si="455"/>
        <v>815856.79</v>
      </c>
      <c r="U888" s="51"/>
      <c r="V888" s="840">
        <f t="shared" ref="V888:AA888" si="456">+ROUND(SUM(V831:V887),2)</f>
        <v>0</v>
      </c>
      <c r="W888" s="843">
        <f t="shared" si="456"/>
        <v>0</v>
      </c>
      <c r="X888" s="842">
        <f t="shared" si="456"/>
        <v>0</v>
      </c>
      <c r="Y888" s="843">
        <f t="shared" si="456"/>
        <v>0</v>
      </c>
      <c r="Z888" s="844">
        <f t="shared" si="456"/>
        <v>0</v>
      </c>
      <c r="AA888" s="845">
        <f t="shared" si="456"/>
        <v>0</v>
      </c>
      <c r="AB888" s="51"/>
      <c r="AC888" s="882">
        <f t="shared" ref="AC888:AH888" si="457">+ROUND(SUM(AC831:AC887),2)</f>
        <v>0</v>
      </c>
      <c r="AD888" s="883">
        <f t="shared" si="457"/>
        <v>0</v>
      </c>
      <c r="AE888" s="884">
        <f t="shared" si="457"/>
        <v>0</v>
      </c>
      <c r="AF888" s="885">
        <f t="shared" si="457"/>
        <v>0</v>
      </c>
      <c r="AG888" s="886">
        <f t="shared" si="457"/>
        <v>0</v>
      </c>
      <c r="AH888" s="887">
        <f t="shared" si="457"/>
        <v>0</v>
      </c>
      <c r="AI888" s="51"/>
      <c r="AJ888" s="1543">
        <f t="shared" si="423"/>
        <v>9</v>
      </c>
      <c r="AK888" s="1547">
        <f t="shared" ref="AK888:AP888" si="458">+ROUND(SUM(AK831:AK887),2)</f>
        <v>266753.76</v>
      </c>
      <c r="AL888" s="1548">
        <f t="shared" si="458"/>
        <v>266753.76</v>
      </c>
      <c r="AM888" s="1544">
        <f t="shared" si="458"/>
        <v>821230.54</v>
      </c>
      <c r="AN888" s="1546">
        <f t="shared" si="458"/>
        <v>821230.54</v>
      </c>
      <c r="AO888" s="1544">
        <f t="shared" si="458"/>
        <v>815856.79</v>
      </c>
      <c r="AP888" s="1545">
        <f t="shared" si="458"/>
        <v>815856.79</v>
      </c>
      <c r="AQ888" s="43"/>
      <c r="AR888" s="364">
        <f>+ROUND(SUM(AR831:AR887),2)</f>
        <v>0</v>
      </c>
      <c r="AS888" s="365">
        <f>+ROUND(SUM(AS831:AS887),2)</f>
        <v>0</v>
      </c>
      <c r="AT888" s="366">
        <f>+ROUND(SUM(AT831:AT887),2)</f>
        <v>0</v>
      </c>
      <c r="AU888" s="43"/>
      <c r="AV888" s="43"/>
      <c r="AW888" s="119"/>
      <c r="AX888" s="119"/>
      <c r="AY888" s="43"/>
      <c r="AZ888" s="43"/>
      <c r="BA888" s="43"/>
      <c r="BB888" s="43"/>
      <c r="BC888" s="43"/>
      <c r="BD888" s="43"/>
    </row>
    <row r="889" spans="1:56" ht="12" customHeight="1" thickBot="1">
      <c r="A889" s="106"/>
      <c r="B889" s="49"/>
      <c r="C889" s="49"/>
      <c r="D889" s="49"/>
      <c r="E889" s="49"/>
      <c r="F889" s="49"/>
      <c r="G889" s="49"/>
      <c r="H889" s="49"/>
      <c r="I889" s="49"/>
      <c r="J889" s="49"/>
      <c r="K889" s="49"/>
      <c r="L889" s="49"/>
      <c r="M889" s="51"/>
      <c r="N889" s="118"/>
      <c r="O889" s="38"/>
      <c r="P889" s="38"/>
      <c r="Q889" s="38"/>
      <c r="R889" s="38"/>
      <c r="S889" s="38"/>
      <c r="T889" s="38"/>
      <c r="U889" s="51"/>
      <c r="V889" s="38"/>
      <c r="W889" s="38"/>
      <c r="X889" s="38"/>
      <c r="Y889" s="38"/>
      <c r="Z889" s="38"/>
      <c r="AA889" s="38"/>
      <c r="AB889" s="51"/>
      <c r="AC889" s="38"/>
      <c r="AD889" s="38"/>
      <c r="AE889" s="38"/>
      <c r="AF889" s="38"/>
      <c r="AG889" s="38"/>
      <c r="AH889" s="38"/>
      <c r="AI889" s="51"/>
      <c r="AJ889" s="118"/>
      <c r="AK889" s="38"/>
      <c r="AL889" s="38"/>
      <c r="AM889" s="38"/>
      <c r="AN889" s="38"/>
      <c r="AO889" s="38"/>
      <c r="AP889" s="38"/>
      <c r="AQ889" s="43"/>
      <c r="AR889" s="38"/>
      <c r="AS889" s="38"/>
      <c r="AT889" s="38"/>
      <c r="AU889" s="43"/>
      <c r="AV889" s="43"/>
      <c r="AW889" s="119"/>
      <c r="AX889" s="119"/>
      <c r="AY889" s="43"/>
      <c r="AZ889" s="43"/>
      <c r="BA889" s="43"/>
      <c r="BB889" s="43"/>
      <c r="BC889" s="43"/>
      <c r="BD889" s="43"/>
    </row>
    <row r="890" spans="1:56" ht="16.5" thickBot="1">
      <c r="A890" s="285" t="s">
        <v>594</v>
      </c>
      <c r="B890" s="286"/>
      <c r="C890" s="286"/>
      <c r="D890" s="286"/>
      <c r="E890" s="286"/>
      <c r="F890" s="286"/>
      <c r="G890" s="286"/>
      <c r="H890" s="286"/>
      <c r="I890" s="286"/>
      <c r="J890" s="286"/>
      <c r="K890" s="286"/>
      <c r="L890" s="287"/>
      <c r="M890" s="51"/>
      <c r="N890" s="288" t="s">
        <v>665</v>
      </c>
      <c r="O890" s="289">
        <f t="shared" ref="O890:T890" si="459">+ROUND(+O829+O888,2)</f>
        <v>723405.63</v>
      </c>
      <c r="P890" s="290">
        <f t="shared" si="459"/>
        <v>723405.63</v>
      </c>
      <c r="Q890" s="291">
        <f t="shared" si="459"/>
        <v>4157721.58</v>
      </c>
      <c r="R890" s="292">
        <f t="shared" si="459"/>
        <v>4157721.58</v>
      </c>
      <c r="S890" s="291">
        <f t="shared" si="459"/>
        <v>2352912.7000000002</v>
      </c>
      <c r="T890" s="293">
        <f t="shared" si="459"/>
        <v>2352912.7000000002</v>
      </c>
      <c r="U890" s="51"/>
      <c r="V890" s="430">
        <f t="shared" ref="V890:AA890" si="460">+ROUND(+V829+V888,2)</f>
        <v>0</v>
      </c>
      <c r="W890" s="431">
        <f t="shared" si="460"/>
        <v>0</v>
      </c>
      <c r="X890" s="432">
        <f t="shared" si="460"/>
        <v>0</v>
      </c>
      <c r="Y890" s="431">
        <f t="shared" si="460"/>
        <v>0</v>
      </c>
      <c r="Z890" s="432">
        <f t="shared" si="460"/>
        <v>0</v>
      </c>
      <c r="AA890" s="433">
        <f t="shared" si="460"/>
        <v>0</v>
      </c>
      <c r="AB890" s="51"/>
      <c r="AC890" s="294">
        <f t="shared" ref="AC890:AH890" si="461">+ROUND(+AC829+AC888,2)</f>
        <v>2211.65</v>
      </c>
      <c r="AD890" s="295">
        <f t="shared" si="461"/>
        <v>2211.65</v>
      </c>
      <c r="AE890" s="296">
        <f t="shared" si="461"/>
        <v>0</v>
      </c>
      <c r="AF890" s="297">
        <f t="shared" si="461"/>
        <v>0</v>
      </c>
      <c r="AG890" s="298">
        <f t="shared" si="461"/>
        <v>2211.65</v>
      </c>
      <c r="AH890" s="299">
        <f t="shared" si="461"/>
        <v>2211.65</v>
      </c>
      <c r="AI890" s="51"/>
      <c r="AJ890" s="1549" t="str">
        <f t="shared" si="423"/>
        <v>Общо</v>
      </c>
      <c r="AK890" s="1550">
        <f t="shared" ref="AK890:AP890" si="462">+ROUND(+AK829+AK888,2)</f>
        <v>725617.28</v>
      </c>
      <c r="AL890" s="1551">
        <f t="shared" si="462"/>
        <v>725617.28</v>
      </c>
      <c r="AM890" s="1552">
        <f t="shared" si="462"/>
        <v>4157721.58</v>
      </c>
      <c r="AN890" s="1551">
        <f t="shared" si="462"/>
        <v>4157721.58</v>
      </c>
      <c r="AO890" s="1552">
        <f t="shared" si="462"/>
        <v>2355124.35</v>
      </c>
      <c r="AP890" s="1553">
        <f t="shared" si="462"/>
        <v>2355124.35</v>
      </c>
      <c r="AQ890" s="43"/>
      <c r="AR890" s="367">
        <f>+ROUND(+AR829+AR888,2)</f>
        <v>0</v>
      </c>
      <c r="AS890" s="367">
        <f>+ROUND(+AS829+AS888,2)</f>
        <v>0</v>
      </c>
      <c r="AT890" s="368">
        <f>+ROUND(+AT829+AT888,2)</f>
        <v>0</v>
      </c>
      <c r="AU890" s="43"/>
      <c r="AV890" s="43"/>
      <c r="AW890" s="119"/>
      <c r="AX890" s="119"/>
      <c r="AY890" s="43"/>
      <c r="AZ890" s="43"/>
      <c r="BA890" s="43"/>
      <c r="BB890" s="43"/>
      <c r="BC890" s="43"/>
      <c r="BD890" s="43"/>
    </row>
    <row r="891" spans="1:56" ht="16.5" thickTop="1" thickBot="1">
      <c r="A891" s="43"/>
      <c r="B891" s="43"/>
      <c r="C891" s="43"/>
      <c r="D891" s="43"/>
      <c r="E891" s="43"/>
      <c r="F891" s="43"/>
      <c r="G891" s="43"/>
      <c r="H891" s="43"/>
      <c r="I891" s="43"/>
      <c r="J891" s="43"/>
      <c r="K891" s="43"/>
      <c r="L891" s="43"/>
      <c r="M891" s="44"/>
      <c r="N891" s="119"/>
      <c r="O891" s="38"/>
      <c r="P891" s="38"/>
      <c r="Q891" s="38"/>
      <c r="R891" s="38"/>
      <c r="S891" s="38"/>
      <c r="T891" s="38"/>
      <c r="U891" s="44"/>
      <c r="V891" s="38"/>
      <c r="W891" s="38"/>
      <c r="X891" s="38"/>
      <c r="Y891" s="38"/>
      <c r="Z891" s="38"/>
      <c r="AA891" s="38"/>
      <c r="AB891" s="44"/>
      <c r="AC891" s="38"/>
      <c r="AD891" s="38"/>
      <c r="AE891" s="38"/>
      <c r="AF891" s="38"/>
      <c r="AG891" s="38"/>
      <c r="AH891" s="38"/>
      <c r="AI891" s="44"/>
      <c r="AJ891" s="119"/>
      <c r="AK891" s="38"/>
      <c r="AL891" s="38"/>
      <c r="AM891" s="38"/>
      <c r="AN891" s="38"/>
      <c r="AO891" s="38"/>
      <c r="AP891" s="38"/>
      <c r="AQ891" s="43"/>
      <c r="AR891" s="38"/>
      <c r="AS891" s="38"/>
      <c r="AT891" s="38"/>
      <c r="AU891" s="43"/>
      <c r="AV891" s="43"/>
      <c r="AW891" s="119"/>
      <c r="AX891" s="119"/>
      <c r="AY891" s="43"/>
      <c r="AZ891" s="43"/>
      <c r="BA891" s="43"/>
      <c r="BB891" s="43"/>
      <c r="BC891" s="43"/>
      <c r="BD891" s="43"/>
    </row>
    <row r="892" spans="1:56" ht="16.5" thickBot="1">
      <c r="A892" s="97" t="s">
        <v>597</v>
      </c>
      <c r="B892" s="98"/>
      <c r="C892" s="98"/>
      <c r="D892" s="98"/>
      <c r="E892" s="98"/>
      <c r="F892" s="98"/>
      <c r="G892" s="98"/>
      <c r="H892" s="98"/>
      <c r="I892" s="98"/>
      <c r="J892" s="98"/>
      <c r="K892" s="98"/>
      <c r="L892" s="99"/>
      <c r="M892" s="51"/>
      <c r="N892" s="129" t="s">
        <v>666</v>
      </c>
      <c r="O892" s="14" t="s">
        <v>595</v>
      </c>
      <c r="P892" s="15">
        <f>+ROUND(+O829-P829,2)</f>
        <v>0</v>
      </c>
      <c r="Q892" s="35" t="s">
        <v>596</v>
      </c>
      <c r="R892" s="15">
        <f>+ROUND(+Q829-R829,2)</f>
        <v>0</v>
      </c>
      <c r="S892" s="35" t="s">
        <v>187</v>
      </c>
      <c r="T892" s="36">
        <f>+ROUND(+S829-T829,2)</f>
        <v>0</v>
      </c>
      <c r="U892" s="51"/>
      <c r="V892" s="58" t="s">
        <v>595</v>
      </c>
      <c r="W892" s="78">
        <f>+ROUND(+V829-W829,2)</f>
        <v>0</v>
      </c>
      <c r="X892" s="62" t="s">
        <v>596</v>
      </c>
      <c r="Y892" s="61">
        <f>+ROUND(+X829-Y829,2)</f>
        <v>0</v>
      </c>
      <c r="Z892" s="63" t="s">
        <v>187</v>
      </c>
      <c r="AA892" s="59">
        <f>+ROUND(+Z829-AA829,2)</f>
        <v>0</v>
      </c>
      <c r="AB892" s="51"/>
      <c r="AC892" s="72" t="s">
        <v>595</v>
      </c>
      <c r="AD892" s="74">
        <f>+ROUND(+AC829-AD829,2)</f>
        <v>0</v>
      </c>
      <c r="AE892" s="76" t="s">
        <v>596</v>
      </c>
      <c r="AF892" s="77">
        <f>+ROUND(+AE829-AF829,2)</f>
        <v>0</v>
      </c>
      <c r="AG892" s="75" t="s">
        <v>187</v>
      </c>
      <c r="AH892" s="73">
        <f>+ROUND(+AG829-AH829,2)</f>
        <v>0</v>
      </c>
      <c r="AI892" s="51"/>
      <c r="AJ892" s="129" t="s">
        <v>666</v>
      </c>
      <c r="AK892" s="14" t="s">
        <v>595</v>
      </c>
      <c r="AL892" s="15">
        <f>+ROUND(+AK829-AL829,2)</f>
        <v>0</v>
      </c>
      <c r="AM892" s="35" t="s">
        <v>596</v>
      </c>
      <c r="AN892" s="15">
        <f>+ROUND(+AM829-AN829,2)</f>
        <v>0</v>
      </c>
      <c r="AO892" s="35" t="s">
        <v>187</v>
      </c>
      <c r="AP892" s="36">
        <f>+ROUND(+AO829-AP829,2)</f>
        <v>0</v>
      </c>
      <c r="AQ892" s="43"/>
      <c r="AR892" s="43"/>
      <c r="AS892" s="43"/>
      <c r="AT892" s="43"/>
      <c r="AU892" s="43"/>
      <c r="AV892" s="43"/>
      <c r="AW892" s="119"/>
      <c r="AX892" s="119"/>
      <c r="AY892" s="43"/>
      <c r="AZ892" s="43"/>
      <c r="BA892" s="43"/>
      <c r="BB892" s="43"/>
      <c r="BC892" s="43"/>
      <c r="BD892" s="43"/>
    </row>
    <row r="893" spans="1:56" ht="7.5" customHeight="1" thickBot="1">
      <c r="A893" s="43"/>
      <c r="B893" s="43"/>
      <c r="C893" s="43"/>
      <c r="D893" s="43"/>
      <c r="E893" s="43"/>
      <c r="F893" s="43"/>
      <c r="G893" s="43"/>
      <c r="H893" s="43"/>
      <c r="I893" s="43"/>
      <c r="J893" s="43"/>
      <c r="K893" s="43"/>
      <c r="L893" s="43"/>
      <c r="M893" s="44"/>
      <c r="N893" s="119"/>
      <c r="O893" s="38"/>
      <c r="P893" s="38"/>
      <c r="Q893" s="38"/>
      <c r="R893" s="38"/>
      <c r="S893" s="38"/>
      <c r="T893" s="38"/>
      <c r="U893" s="44"/>
      <c r="V893" s="38"/>
      <c r="W893" s="38"/>
      <c r="X893" s="38"/>
      <c r="Y893" s="38"/>
      <c r="Z893" s="38"/>
      <c r="AA893" s="38"/>
      <c r="AB893" s="44"/>
      <c r="AC893" s="38"/>
      <c r="AD893" s="38"/>
      <c r="AE893" s="38"/>
      <c r="AF893" s="38"/>
      <c r="AG893" s="38"/>
      <c r="AH893" s="38"/>
      <c r="AI893" s="44"/>
      <c r="AJ893" s="119"/>
      <c r="AK893" s="38"/>
      <c r="AL893" s="38"/>
      <c r="AM893" s="38"/>
      <c r="AN893" s="38"/>
      <c r="AO893" s="38"/>
      <c r="AP893" s="38"/>
      <c r="AQ893" s="43"/>
      <c r="AR893" s="43"/>
      <c r="AS893" s="43"/>
      <c r="AT893" s="43"/>
      <c r="AU893" s="43"/>
      <c r="AV893" s="43"/>
      <c r="AW893" s="119"/>
      <c r="AX893" s="119"/>
      <c r="AY893" s="43"/>
      <c r="AZ893" s="43"/>
      <c r="BA893" s="43"/>
      <c r="BB893" s="43"/>
      <c r="BC893" s="43"/>
      <c r="BD893" s="43"/>
    </row>
    <row r="894" spans="1:56" ht="16.5" thickBot="1">
      <c r="A894" s="97" t="s">
        <v>186</v>
      </c>
      <c r="B894" s="98"/>
      <c r="C894" s="98"/>
      <c r="D894" s="98"/>
      <c r="E894" s="98"/>
      <c r="F894" s="98"/>
      <c r="G894" s="98"/>
      <c r="H894" s="98"/>
      <c r="I894" s="98"/>
      <c r="J894" s="98"/>
      <c r="K894" s="98"/>
      <c r="L894" s="99"/>
      <c r="M894" s="51"/>
      <c r="N894" s="130">
        <v>9</v>
      </c>
      <c r="O894" s="14" t="s">
        <v>595</v>
      </c>
      <c r="P894" s="15">
        <f>+ROUND(+O888-P888,2)</f>
        <v>0</v>
      </c>
      <c r="Q894" s="35" t="s">
        <v>596</v>
      </c>
      <c r="R894" s="15">
        <f>+ROUND(+Q888-R888,2)</f>
        <v>0</v>
      </c>
      <c r="S894" s="35" t="s">
        <v>187</v>
      </c>
      <c r="T894" s="36">
        <f>+ROUND(+S888-T888,2)</f>
        <v>0</v>
      </c>
      <c r="U894" s="51"/>
      <c r="V894" s="58" t="s">
        <v>595</v>
      </c>
      <c r="W894" s="61">
        <f>+ROUND(+V888-W888,2)</f>
        <v>0</v>
      </c>
      <c r="X894" s="62" t="s">
        <v>596</v>
      </c>
      <c r="Y894" s="61">
        <f>+ROUND(+X888-Y888,2)</f>
        <v>0</v>
      </c>
      <c r="Z894" s="63" t="s">
        <v>187</v>
      </c>
      <c r="AA894" s="59">
        <f>+ROUND(+Z888-AA888,2)</f>
        <v>0</v>
      </c>
      <c r="AB894" s="51"/>
      <c r="AC894" s="72" t="s">
        <v>595</v>
      </c>
      <c r="AD894" s="74">
        <f>+ROUND(+AC888-AD888,2)</f>
        <v>0</v>
      </c>
      <c r="AE894" s="76" t="s">
        <v>596</v>
      </c>
      <c r="AF894" s="77">
        <f>+ROUND(+AE888-AF888,2)</f>
        <v>0</v>
      </c>
      <c r="AG894" s="75" t="s">
        <v>187</v>
      </c>
      <c r="AH894" s="73">
        <f>+ROUND(+AG888-AH888,2)</f>
        <v>0</v>
      </c>
      <c r="AI894" s="51"/>
      <c r="AJ894" s="130">
        <v>9</v>
      </c>
      <c r="AK894" s="14" t="s">
        <v>595</v>
      </c>
      <c r="AL894" s="15">
        <f>+ROUND(+AK888-AL888,2)</f>
        <v>0</v>
      </c>
      <c r="AM894" s="35" t="s">
        <v>596</v>
      </c>
      <c r="AN894" s="15">
        <f>+ROUND(+AM888-AN888,2)</f>
        <v>0</v>
      </c>
      <c r="AO894" s="35" t="s">
        <v>187</v>
      </c>
      <c r="AP894" s="36">
        <f>+ROUND(+AO888-AP888,2)</f>
        <v>0</v>
      </c>
      <c r="AQ894" s="43"/>
      <c r="AR894" s="43"/>
      <c r="AS894" s="43"/>
      <c r="AT894" s="43"/>
      <c r="AU894" s="43"/>
      <c r="AV894" s="43"/>
      <c r="AW894" s="119"/>
      <c r="AX894" s="119"/>
      <c r="AY894" s="43"/>
      <c r="AZ894" s="43"/>
      <c r="BA894" s="43"/>
      <c r="BB894" s="43"/>
      <c r="BC894" s="43"/>
      <c r="BD894" s="43"/>
    </row>
    <row r="895" spans="1:56" ht="7.5" customHeight="1" thickBot="1">
      <c r="A895" s="43"/>
      <c r="B895" s="43"/>
      <c r="C895" s="43"/>
      <c r="D895" s="43"/>
      <c r="E895" s="43"/>
      <c r="F895" s="43"/>
      <c r="G895" s="43"/>
      <c r="H895" s="43"/>
      <c r="I895" s="43"/>
      <c r="J895" s="43"/>
      <c r="K895" s="43"/>
      <c r="L895" s="43"/>
      <c r="M895" s="44"/>
      <c r="N895" s="119"/>
      <c r="O895" s="38"/>
      <c r="P895" s="38"/>
      <c r="Q895" s="38"/>
      <c r="R895" s="38"/>
      <c r="S895" s="38"/>
      <c r="T895" s="38"/>
      <c r="U895" s="44"/>
      <c r="V895" s="38"/>
      <c r="W895" s="38"/>
      <c r="X895" s="38"/>
      <c r="Y895" s="38"/>
      <c r="Z895" s="38"/>
      <c r="AA895" s="38"/>
      <c r="AB895" s="44"/>
      <c r="AC895" s="38"/>
      <c r="AD895" s="38"/>
      <c r="AE895" s="38"/>
      <c r="AF895" s="38"/>
      <c r="AG895" s="38"/>
      <c r="AH895" s="38"/>
      <c r="AI895" s="44"/>
      <c r="AJ895" s="119"/>
      <c r="AK895" s="38"/>
      <c r="AL895" s="38"/>
      <c r="AM895" s="38"/>
      <c r="AN895" s="38"/>
      <c r="AO895" s="38"/>
      <c r="AP895" s="38"/>
      <c r="AQ895" s="43"/>
      <c r="AR895" s="43"/>
      <c r="AS895" s="43"/>
      <c r="AT895" s="43"/>
      <c r="AU895" s="43"/>
      <c r="AV895" s="43"/>
      <c r="AW895" s="119"/>
      <c r="AX895" s="119"/>
      <c r="AY895" s="43"/>
      <c r="AZ895" s="43"/>
      <c r="BA895" s="43"/>
      <c r="BB895" s="43"/>
      <c r="BC895" s="43"/>
      <c r="BD895" s="43"/>
    </row>
    <row r="896" spans="1:56" ht="16.5" thickBot="1">
      <c r="A896" s="107" t="s">
        <v>377</v>
      </c>
      <c r="B896" s="108"/>
      <c r="C896" s="108"/>
      <c r="D896" s="108"/>
      <c r="E896" s="108"/>
      <c r="F896" s="108"/>
      <c r="G896" s="108"/>
      <c r="H896" s="108"/>
      <c r="I896" s="108"/>
      <c r="J896" s="108"/>
      <c r="K896" s="108"/>
      <c r="L896" s="109"/>
      <c r="M896" s="51"/>
      <c r="N896" s="131" t="s">
        <v>665</v>
      </c>
      <c r="O896" s="39" t="s">
        <v>595</v>
      </c>
      <c r="P896" s="40">
        <f>+ROUND(+O890-P890,2)</f>
        <v>0</v>
      </c>
      <c r="Q896" s="41" t="s">
        <v>596</v>
      </c>
      <c r="R896" s="40">
        <f>+ROUND(+Q890-R890,2)</f>
        <v>0</v>
      </c>
      <c r="S896" s="41" t="s">
        <v>187</v>
      </c>
      <c r="T896" s="42">
        <f>+ROUND(+S890-T890,2)</f>
        <v>0</v>
      </c>
      <c r="U896" s="51"/>
      <c r="V896" s="67" t="s">
        <v>595</v>
      </c>
      <c r="W896" s="65">
        <f>+ROUND(+V890-W890,2)</f>
        <v>0</v>
      </c>
      <c r="X896" s="64" t="s">
        <v>596</v>
      </c>
      <c r="Y896" s="65">
        <f>+ROUND(+X890-Y890,2)</f>
        <v>0</v>
      </c>
      <c r="Z896" s="64" t="s">
        <v>187</v>
      </c>
      <c r="AA896" s="66">
        <f>+ROUND(+Z890-AA890,2)</f>
        <v>0</v>
      </c>
      <c r="AB896" s="51"/>
      <c r="AC896" s="79" t="s">
        <v>595</v>
      </c>
      <c r="AD896" s="81">
        <f>+ROUND(+AC890-AD890,2)</f>
        <v>0</v>
      </c>
      <c r="AE896" s="83" t="s">
        <v>596</v>
      </c>
      <c r="AF896" s="84">
        <f>+ROUND(+AE890-AF890,2)</f>
        <v>0</v>
      </c>
      <c r="AG896" s="82" t="s">
        <v>187</v>
      </c>
      <c r="AH896" s="80">
        <f>+ROUND(+AG890-AH890,2)</f>
        <v>0</v>
      </c>
      <c r="AI896" s="51"/>
      <c r="AJ896" s="131" t="s">
        <v>665</v>
      </c>
      <c r="AK896" s="39" t="s">
        <v>595</v>
      </c>
      <c r="AL896" s="40">
        <f>+ROUND(+AK890-AL890,2)</f>
        <v>0</v>
      </c>
      <c r="AM896" s="41" t="s">
        <v>596</v>
      </c>
      <c r="AN896" s="40">
        <f>+ROUND(+AM890-AN890,2)</f>
        <v>0</v>
      </c>
      <c r="AO896" s="41" t="s">
        <v>187</v>
      </c>
      <c r="AP896" s="42">
        <f>+ROUND(+AO890-AP890,2)</f>
        <v>0</v>
      </c>
      <c r="AQ896" s="43"/>
      <c r="AR896" s="43"/>
      <c r="AS896" s="43"/>
      <c r="AT896" s="43"/>
      <c r="AU896" s="43"/>
      <c r="AV896" s="43"/>
      <c r="AW896" s="119"/>
      <c r="AX896" s="119"/>
      <c r="AY896" s="43"/>
      <c r="AZ896" s="43"/>
      <c r="BA896" s="43"/>
      <c r="BB896" s="43"/>
      <c r="BC896" s="43"/>
      <c r="BD896" s="43"/>
    </row>
    <row r="897" spans="1:56" s="1399" customFormat="1" ht="17.25" thickTop="1" thickBot="1">
      <c r="A897" s="258"/>
      <c r="B897" s="258"/>
      <c r="C897" s="258"/>
      <c r="D897" s="258"/>
      <c r="E897" s="258"/>
      <c r="F897" s="258"/>
      <c r="G897" s="258"/>
      <c r="H897" s="258"/>
      <c r="I897" s="258"/>
      <c r="J897" s="258"/>
      <c r="K897" s="258"/>
      <c r="L897" s="258"/>
      <c r="M897" s="259"/>
      <c r="N897" s="260"/>
      <c r="O897" s="261"/>
      <c r="P897" s="261"/>
      <c r="Q897" s="261"/>
      <c r="R897" s="261"/>
      <c r="S897" s="261"/>
      <c r="T897" s="261"/>
      <c r="U897" s="259"/>
      <c r="V897" s="261"/>
      <c r="W897" s="261"/>
      <c r="X897" s="261"/>
      <c r="Y897" s="261"/>
      <c r="Z897" s="261"/>
      <c r="AA897" s="261"/>
      <c r="AB897" s="259"/>
      <c r="AC897" s="261"/>
      <c r="AD897" s="261"/>
      <c r="AE897" s="261"/>
      <c r="AF897" s="261"/>
      <c r="AG897" s="261"/>
      <c r="AH897" s="261"/>
      <c r="AI897" s="259"/>
      <c r="AJ897" s="260"/>
      <c r="AK897" s="261"/>
      <c r="AL897" s="261"/>
      <c r="AM897" s="261"/>
      <c r="AN897" s="261"/>
      <c r="AO897" s="261"/>
      <c r="AP897" s="261"/>
      <c r="AQ897" s="258"/>
      <c r="AR897" s="261"/>
      <c r="AS897" s="261"/>
      <c r="AT897" s="261"/>
      <c r="AU897" s="258"/>
      <c r="AV897" s="258"/>
      <c r="AW897" s="119"/>
      <c r="AX897" s="119"/>
      <c r="AY897" s="258"/>
      <c r="AZ897" s="258"/>
      <c r="BA897" s="258"/>
      <c r="BB897" s="258"/>
      <c r="BC897" s="258"/>
      <c r="BD897" s="258"/>
    </row>
    <row r="898" spans="1:56" s="1399" customFormat="1" ht="15.75">
      <c r="A898" s="258"/>
      <c r="B898" s="262"/>
      <c r="C898" s="258"/>
      <c r="D898" s="267" t="s">
        <v>590</v>
      </c>
      <c r="E898" s="268"/>
      <c r="F898" s="268"/>
      <c r="G898" s="268"/>
      <c r="H898" s="268"/>
      <c r="I898" s="268"/>
      <c r="J898" s="268"/>
      <c r="K898" s="268"/>
      <c r="L898" s="269"/>
      <c r="M898" s="259"/>
      <c r="N898" s="260"/>
      <c r="O898" s="277" t="s">
        <v>696</v>
      </c>
      <c r="P898" s="274">
        <f>+IF((+SUM(O348:O350)+SUM(O354:O356)+O357+O359+SUM(O368:O369)+SUM(O372:O374)+O376+SUM(O351:O353)+SUM(O370:O371)+SUM(O375))&gt;0,+(+SUM(O348:O350)+SUM(O354:O356)+O357+O359+SUM(O368:O369)+SUM(O372:O374)+SUM(O376))/(+SUM(O348:O350)+SUM(O354:O356)+SUM(O357:O359)+SUM(O368:O369)+SUM(O372:O374)+SUM(O376)+SUM(O351:O353)+SUM(O370:O371)+O375),0)</f>
        <v>0</v>
      </c>
      <c r="Q898" s="263">
        <v>0</v>
      </c>
      <c r="R898" s="264">
        <v>0</v>
      </c>
      <c r="S898" s="279" t="s">
        <v>698</v>
      </c>
      <c r="T898" s="275">
        <f>+IF((+SUM(S348:S350)+SUM(S354:S356)+S357+S359+SUM(S368:S369)+SUM(S372:S374)+S376+SUM(S351:S353)+SUM(S370:S371)+SUM(S375))&gt;0,+(+SUM(S348:S350)+SUM(S354:S356)+S357+S359+SUM(S368:S369)+SUM(S372:S374)+SUM(S376))/(+SUM(S348:S350)+SUM(S354:S356)+SUM(S357:S359)+SUM(S368:S369)+SUM(S372:S374)+SUM(S376)+SUM(S351:S353)+SUM(S370:S371)+S375),0)</f>
        <v>0</v>
      </c>
      <c r="U898" s="51"/>
      <c r="V898" s="434" t="s">
        <v>696</v>
      </c>
      <c r="W898" s="548">
        <f>+IF((+SUM(V348:V350)+SUM(V354:V356)+V357+V359+SUM(V368:V369)+SUM(V372:V374)+V376+SUM(V351:V353)+SUM(V370:V371)+SUM(V375))&gt;0,+(+SUM(V348:V350)+SUM(V354:V356)+V357+V359+SUM(V368:V369)+SUM(V372:V374)+SUM(V376))/(+SUM(V348:V350)+SUM(V354:V356)+SUM(V357:V359)+SUM(V368:V369)+SUM(V372:V374)+SUM(V376)+SUM(V351:V353)+SUM(V370:V371)+V375),0)</f>
        <v>0</v>
      </c>
      <c r="X898" s="549">
        <v>0</v>
      </c>
      <c r="Y898" s="550">
        <v>0</v>
      </c>
      <c r="Z898" s="436" t="s">
        <v>698</v>
      </c>
      <c r="AA898" s="551">
        <f>+IF((+SUM(Z348:Z350)+SUM(Z354:Z356)+Z357+Z359+SUM(Z368:Z369)+SUM(Z372:Z374)+Z376+SUM(Z351:Z353)+SUM(Z370:Z371)+SUM(Z375))&gt;0,+(+SUM(Z348:Z350)+SUM(Z354:Z356)+Z357+Z359+SUM(Z368:Z369)+SUM(Z372:Z374)+SUM(Z376))/(+SUM(Z348:Z350)+SUM(Z354:Z356)+SUM(Z357:Z359)+SUM(Z368:Z369)+SUM(Z372:Z374)+SUM(Z376)+SUM(Z351:Z353)+SUM(Z370:Z371)+Z375),0)</f>
        <v>0</v>
      </c>
      <c r="AB898" s="51"/>
      <c r="AC898" s="283" t="s">
        <v>696</v>
      </c>
      <c r="AD898" s="274">
        <f>+IF((+SUM(AC348:AC350)+SUM(AC354:AC356)+AC357+AC359+SUM(AC368:AC369)+SUM(AC372:AC374)+AC376+SUM(AC351:AC353)+SUM(AC370:AC371)+SUM(AC375))&gt;0,+(+SUM(AC348:AC350)+SUM(AC354:AC356)+AC357+AC359+SUM(AC368:AC369)+SUM(AC372:AC374)+SUM(AC376))/(+SUM(AC348:AC350)+SUM(AC354:AC356)+SUM(AC357:AC359)+SUM(AC368:AC369)+SUM(AC372:AC374)+SUM(AC376)+SUM(AC351:AC353)+SUM(AC370:AC371)+AC375),0)</f>
        <v>0</v>
      </c>
      <c r="AE898" s="263">
        <v>0</v>
      </c>
      <c r="AF898" s="264">
        <v>0</v>
      </c>
      <c r="AG898" s="281" t="s">
        <v>698</v>
      </c>
      <c r="AH898" s="275">
        <f>+IF((+SUM(AG348:AG350)+SUM(AG354:AG356)+AG357+AG359+SUM(AG368:AG369)+SUM(AG372:AG374)+AG376+SUM(AG351:AG353)+SUM(AG370:AG371)+SUM(AG375))&gt;0,+(+SUM(AG348:AG350)+SUM(AG354:AG356)+AG357+AG359+SUM(AG368:AG369)+SUM(AG372:AG374)+SUM(AG376))/(+SUM(AG348:AG350)+SUM(AG354:AG356)+SUM(AG357:AG359)+SUM(AG368:AG369)+SUM(AG372:AG374)+SUM(AG376)+SUM(AG351:AG353)+SUM(AG370:AG371)+AG375),0)</f>
        <v>0</v>
      </c>
      <c r="AI898" s="259"/>
      <c r="AJ898" s="260"/>
      <c r="AK898" s="277" t="s">
        <v>696</v>
      </c>
      <c r="AL898" s="274">
        <f>+IF((+SUM(AK348:AK350)+SUM(AK354:AK356)+AK357+AK359+SUM(AK368:AK369)+SUM(AK372:AK374)+AK376+SUM(AK351:AK353)+SUM(AK370:AK371)+SUM(AK375))&gt;0,+(+SUM(AK348:AK350)+SUM(AK354:AK356)+AK357+AK359+SUM(AK368:AK369)+SUM(AK372:AK374)+SUM(AK376))/(+SUM(AK348:AK350)+SUM(AK354:AK356)+SUM(AK357:AK359)+SUM(AK368:AK369)+SUM(AK372:AK374)+SUM(AK376)+SUM(AK351:AK353)+SUM(AK370:AK371)+AK375),0)</f>
        <v>0</v>
      </c>
      <c r="AM898" s="263">
        <v>0</v>
      </c>
      <c r="AN898" s="264">
        <v>0</v>
      </c>
      <c r="AO898" s="279" t="s">
        <v>698</v>
      </c>
      <c r="AP898" s="275">
        <f>+IF((+SUM(AO348:AO350)+SUM(AO354:AO356)+AO357+AO359+SUM(AO368:AO369)+SUM(AO372:AO374)+AO376+SUM(AO351:AO353)+SUM(AO370:AO371)+SUM(AO375))&gt;0,+(+SUM(AO348:AO350)+SUM(AO354:AO356)+AO357+AO359+SUM(AO368:AO369)+SUM(AO372:AO374)+SUM(AO376))/(+SUM(AO348:AO350)+SUM(AO354:AO356)+SUM(AO357:AO359)+SUM(AO368:AO369)+SUM(AO372:AO374)+SUM(AO376)+SUM(AO351:AO353)+SUM(AO370:AO371)+AO375),0)</f>
        <v>0</v>
      </c>
      <c r="AQ898" s="258"/>
      <c r="AR898" s="261"/>
      <c r="AS898" s="261"/>
      <c r="AT898" s="261"/>
      <c r="AU898" s="258"/>
      <c r="AV898" s="258"/>
      <c r="AW898" s="119"/>
      <c r="AX898" s="119"/>
      <c r="AY898" s="258"/>
      <c r="AZ898" s="258"/>
      <c r="BA898" s="258"/>
      <c r="BB898" s="258"/>
      <c r="BC898" s="258"/>
      <c r="BD898" s="258"/>
    </row>
    <row r="899" spans="1:56" s="1399" customFormat="1" ht="16.5" thickBot="1">
      <c r="A899" s="258"/>
      <c r="B899" s="262"/>
      <c r="C899" s="258"/>
      <c r="D899" s="270" t="s">
        <v>591</v>
      </c>
      <c r="E899" s="271"/>
      <c r="F899" s="271"/>
      <c r="G899" s="271"/>
      <c r="H899" s="271"/>
      <c r="I899" s="271"/>
      <c r="J899" s="271"/>
      <c r="K899" s="271"/>
      <c r="L899" s="272"/>
      <c r="M899" s="259"/>
      <c r="N899" s="260"/>
      <c r="O899" s="278" t="s">
        <v>697</v>
      </c>
      <c r="P899" s="273">
        <f>+IF((+SUM(O348:O350)+SUM(O354:O356)+O358+SUM(O368:O369)+SUM(O372:O374)+O376+SUM(O351:O353)+SUM(O370:O371)+SUM(O375))&gt;0,1-P898,0)</f>
        <v>0</v>
      </c>
      <c r="Q899" s="265">
        <v>0</v>
      </c>
      <c r="R899" s="266">
        <v>0</v>
      </c>
      <c r="S899" s="280" t="s">
        <v>699</v>
      </c>
      <c r="T899" s="276">
        <f>+IF((+SUM(S348:S350)+SUM(S354:S356)+S358+SUM(S368:S369)+SUM(S372:S374)+S376+SUM(S351:S353)+SUM(S370:S371)+SUM(S375))&gt;0,1-T898,0)</f>
        <v>0</v>
      </c>
      <c r="U899" s="51"/>
      <c r="V899" s="435" t="s">
        <v>697</v>
      </c>
      <c r="W899" s="552">
        <f>+IF((+SUM(V348:V350)+SUM(V354:V356)+V358+SUM(V368:V369)+SUM(V372:V374)+V376+SUM(V351:V353)+SUM(V370:V371)+SUM(V375))&gt;0,1-W898,0)</f>
        <v>0</v>
      </c>
      <c r="X899" s="553">
        <v>0</v>
      </c>
      <c r="Y899" s="554">
        <v>0</v>
      </c>
      <c r="Z899" s="437" t="s">
        <v>699</v>
      </c>
      <c r="AA899" s="555">
        <f>+IF((+SUM(Z348:Z350)+SUM(Z354:Z356)+Z358+SUM(Z368:Z369)+SUM(Z372:Z374)+Z376+SUM(Z351:Z353)+SUM(Z370:Z371)+SUM(Z375))&gt;0,1-AA898,0)</f>
        <v>0</v>
      </c>
      <c r="AB899" s="51"/>
      <c r="AC899" s="284" t="s">
        <v>697</v>
      </c>
      <c r="AD899" s="273">
        <f>+IF((+SUM(AC348:AC350)+SUM(AC354:AC356)+AC358+SUM(AC368:AC369)+SUM(AC372:AC374)+AC376+SUM(AC351:AC353)+SUM(AC370:AC371)+SUM(AC375))&gt;0,1-AD898,0)</f>
        <v>0</v>
      </c>
      <c r="AE899" s="265">
        <v>0</v>
      </c>
      <c r="AF899" s="266">
        <v>0</v>
      </c>
      <c r="AG899" s="282" t="s">
        <v>699</v>
      </c>
      <c r="AH899" s="276">
        <f>+IF((+SUM(AG348:AG350)+SUM(AG354:AG356)+AG358+SUM(AG368:AG369)+SUM(AG372:AG374)+AG376+SUM(AG351:AG353)+SUM(AG370:AG371)+SUM(AG375))&gt;0,1-AH898,0)</f>
        <v>0</v>
      </c>
      <c r="AI899" s="259"/>
      <c r="AJ899" s="260"/>
      <c r="AK899" s="278" t="s">
        <v>697</v>
      </c>
      <c r="AL899" s="273">
        <f>+IF((+SUM(AK348:AK350)+SUM(AK354:AK356)+AK358+SUM(AK368:AK369)+SUM(AK372:AK374)+AK376+SUM(AK351:AK353)+SUM(AK370:AK371)+SUM(AK375))&gt;0,1-AL898,0)</f>
        <v>0</v>
      </c>
      <c r="AM899" s="265">
        <v>0</v>
      </c>
      <c r="AN899" s="266">
        <v>0</v>
      </c>
      <c r="AO899" s="280" t="s">
        <v>699</v>
      </c>
      <c r="AP899" s="276">
        <f>+IF((+SUM(AO348:AO350)+SUM(AO354:AO356)+AO358+SUM(AO368:AO369)+SUM(AO372:AO374)+AO376+SUM(AO351:AO353)+SUM(AO370:AO371)+SUM(AO375))&gt;0,1-AP898,0)</f>
        <v>0</v>
      </c>
      <c r="AQ899" s="258"/>
      <c r="AR899" s="261"/>
      <c r="AS899" s="261"/>
      <c r="AT899" s="261"/>
      <c r="AU899" s="258"/>
      <c r="AV899" s="258"/>
      <c r="AW899" s="119"/>
      <c r="AX899" s="119"/>
      <c r="AY899" s="258"/>
      <c r="AZ899" s="258"/>
      <c r="BA899" s="258"/>
      <c r="BB899" s="258"/>
      <c r="BC899" s="258"/>
      <c r="BD899" s="258"/>
    </row>
    <row r="900" spans="1:56" s="1399" customFormat="1" ht="16.5" thickBot="1">
      <c r="A900" s="258"/>
      <c r="B900" s="258"/>
      <c r="C900" s="258"/>
      <c r="D900" s="258"/>
      <c r="E900" s="258"/>
      <c r="F900" s="258"/>
      <c r="G900" s="258"/>
      <c r="H900" s="258"/>
      <c r="I900" s="258"/>
      <c r="J900" s="258"/>
      <c r="K900" s="258"/>
      <c r="L900" s="258"/>
      <c r="M900" s="259"/>
      <c r="N900" s="260"/>
      <c r="O900" s="261"/>
      <c r="P900" s="258"/>
      <c r="Q900" s="261"/>
      <c r="R900" s="261"/>
      <c r="S900" s="261"/>
      <c r="T900" s="261"/>
      <c r="U900" s="259"/>
      <c r="V900" s="261"/>
      <c r="W900" s="261"/>
      <c r="X900" s="261"/>
      <c r="Y900" s="261"/>
      <c r="Z900" s="261"/>
      <c r="AA900" s="261"/>
      <c r="AB900" s="259"/>
      <c r="AC900" s="261"/>
      <c r="AD900" s="261"/>
      <c r="AE900" s="261"/>
      <c r="AF900" s="261"/>
      <c r="AG900" s="261"/>
      <c r="AH900" s="261"/>
      <c r="AI900" s="259"/>
      <c r="AJ900" s="260"/>
      <c r="AK900" s="261"/>
      <c r="AL900" s="258"/>
      <c r="AM900" s="261"/>
      <c r="AN900" s="261"/>
      <c r="AO900" s="261"/>
      <c r="AP900" s="261"/>
      <c r="AQ900" s="258"/>
      <c r="AR900" s="261"/>
      <c r="AS900" s="261"/>
      <c r="AT900" s="261"/>
      <c r="AU900" s="258"/>
      <c r="AV900" s="258"/>
      <c r="AW900" s="119"/>
      <c r="AX900" s="119"/>
      <c r="AY900" s="258"/>
      <c r="AZ900" s="258"/>
      <c r="BA900" s="258"/>
      <c r="BB900" s="258"/>
      <c r="BC900" s="258"/>
      <c r="BD900" s="258"/>
    </row>
    <row r="901" spans="1:56" s="1399" customFormat="1" ht="15.75">
      <c r="A901" s="258"/>
      <c r="B901" s="262"/>
      <c r="C901" s="258"/>
      <c r="D901" s="267" t="s">
        <v>518</v>
      </c>
      <c r="E901" s="268"/>
      <c r="F901" s="268"/>
      <c r="G901" s="268"/>
      <c r="H901" s="268"/>
      <c r="I901" s="268"/>
      <c r="J901" s="268"/>
      <c r="K901" s="268"/>
      <c r="L901" s="269"/>
      <c r="M901" s="259"/>
      <c r="N901" s="260"/>
      <c r="O901" s="277" t="s">
        <v>701</v>
      </c>
      <c r="P901" s="274">
        <f>+IF((+P19+P20)&gt;0,(+P19)/(+P19+P20),0)</f>
        <v>0</v>
      </c>
      <c r="Q901" s="263">
        <v>0</v>
      </c>
      <c r="R901" s="264">
        <v>0</v>
      </c>
      <c r="S901" s="279" t="s">
        <v>703</v>
      </c>
      <c r="T901" s="275">
        <f>+IF((+T19+T20)&gt;0,(+T19)/(+T19+T20),0)</f>
        <v>0</v>
      </c>
      <c r="U901" s="51"/>
      <c r="V901" s="434" t="str">
        <f>+O901</f>
        <v>дълг. ЦК.-дял в нач.салдо</v>
      </c>
      <c r="W901" s="548">
        <f>+IF((+W19+W20)&gt;0,(+W19)/(+W19+W20),0)</f>
        <v>0</v>
      </c>
      <c r="X901" s="549">
        <v>0</v>
      </c>
      <c r="Y901" s="550">
        <v>0</v>
      </c>
      <c r="Z901" s="436" t="str">
        <f>+S901</f>
        <v>дълг. ЦК.-дял в кр.салдо</v>
      </c>
      <c r="AA901" s="551">
        <f>+IF((+AA19+AA20)&gt;0,(+AA19)/(+AA19+AA20),0)</f>
        <v>0</v>
      </c>
      <c r="AB901" s="51"/>
      <c r="AC901" s="283" t="str">
        <f>+V901</f>
        <v>дълг. ЦК.-дял в нач.салдо</v>
      </c>
      <c r="AD901" s="274">
        <f>+IF((+AD19+AD20)&gt;0,(+AD19)/(+AD19+AD20),0)</f>
        <v>0</v>
      </c>
      <c r="AE901" s="263">
        <v>0</v>
      </c>
      <c r="AF901" s="264">
        <v>0</v>
      </c>
      <c r="AG901" s="281" t="str">
        <f>+Z901</f>
        <v>дълг. ЦК.-дял в кр.салдо</v>
      </c>
      <c r="AH901" s="275">
        <f>+IF((+AH19+AH20)&gt;0,(+AH19)/(+AH19+AH20),0)</f>
        <v>0</v>
      </c>
      <c r="AI901" s="259"/>
      <c r="AJ901" s="260"/>
      <c r="AK901" s="277" t="str">
        <f>+AC901</f>
        <v>дълг. ЦК.-дял в нач.салдо</v>
      </c>
      <c r="AL901" s="274">
        <f>+IF((+AL19+AL20)&gt;0,(+AL19)/(+AL19+AL20),0)</f>
        <v>0</v>
      </c>
      <c r="AM901" s="263">
        <v>0</v>
      </c>
      <c r="AN901" s="264">
        <v>0</v>
      </c>
      <c r="AO901" s="279" t="str">
        <f>+AG901</f>
        <v>дълг. ЦК.-дял в кр.салдо</v>
      </c>
      <c r="AP901" s="275">
        <f>+IF((+AP19+AP20)&gt;0,(+AP19)/(+AP19+AP20),0)</f>
        <v>0</v>
      </c>
      <c r="AQ901" s="258"/>
      <c r="AR901" s="261"/>
      <c r="AS901" s="261"/>
      <c r="AT901" s="261"/>
      <c r="AU901" s="258"/>
      <c r="AV901" s="258"/>
      <c r="AW901" s="119"/>
      <c r="AX901" s="119"/>
      <c r="AY901" s="258"/>
      <c r="AZ901" s="258"/>
      <c r="BA901" s="258"/>
      <c r="BB901" s="258"/>
      <c r="BC901" s="258"/>
      <c r="BD901" s="258"/>
    </row>
    <row r="902" spans="1:56" s="1399" customFormat="1" ht="16.5" thickBot="1">
      <c r="A902" s="258"/>
      <c r="B902" s="262"/>
      <c r="C902" s="258"/>
      <c r="D902" s="270" t="s">
        <v>519</v>
      </c>
      <c r="E902" s="271"/>
      <c r="F902" s="271"/>
      <c r="G902" s="271"/>
      <c r="H902" s="271"/>
      <c r="I902" s="271"/>
      <c r="J902" s="271"/>
      <c r="K902" s="271"/>
      <c r="L902" s="272"/>
      <c r="M902" s="259"/>
      <c r="N902" s="260"/>
      <c r="O902" s="278" t="s">
        <v>700</v>
      </c>
      <c r="P902" s="273">
        <f>+IF((+P19+P20)&gt;0,1-P901,0)</f>
        <v>0</v>
      </c>
      <c r="Q902" s="265">
        <v>0</v>
      </c>
      <c r="R902" s="266">
        <v>0</v>
      </c>
      <c r="S902" s="280" t="s">
        <v>702</v>
      </c>
      <c r="T902" s="276">
        <f>+IF((+T19+T20)&gt;0,1-T901,0)</f>
        <v>0</v>
      </c>
      <c r="U902" s="51"/>
      <c r="V902" s="435" t="str">
        <f>+O902</f>
        <v>кратк. ЦК.-дял в нач.салдо</v>
      </c>
      <c r="W902" s="552">
        <f>+IF((+W19+W20)&gt;0,1-W901,0)</f>
        <v>0</v>
      </c>
      <c r="X902" s="553">
        <v>0</v>
      </c>
      <c r="Y902" s="554">
        <v>0</v>
      </c>
      <c r="Z902" s="437" t="str">
        <f>+S902</f>
        <v>кратк. ЦК.-дял в кр.салдо</v>
      </c>
      <c r="AA902" s="555">
        <f>+IF((+AA19+AA20)&gt;0,1-AA901,0)</f>
        <v>0</v>
      </c>
      <c r="AB902" s="51"/>
      <c r="AC902" s="284" t="str">
        <f>+V902</f>
        <v>кратк. ЦК.-дял в нач.салдо</v>
      </c>
      <c r="AD902" s="273">
        <f>+IF((+AD19+AD20)&gt;0,1-AD901,0)</f>
        <v>0</v>
      </c>
      <c r="AE902" s="265">
        <v>0</v>
      </c>
      <c r="AF902" s="266">
        <v>0</v>
      </c>
      <c r="AG902" s="282" t="str">
        <f>+Z902</f>
        <v>кратк. ЦК.-дял в кр.салдо</v>
      </c>
      <c r="AH902" s="276">
        <f>+IF((+AH19+AH20)&gt;0,1-AH901,0)</f>
        <v>0</v>
      </c>
      <c r="AI902" s="259"/>
      <c r="AJ902" s="260"/>
      <c r="AK902" s="278" t="str">
        <f>+AC902</f>
        <v>кратк. ЦК.-дял в нач.салдо</v>
      </c>
      <c r="AL902" s="273">
        <f>+IF((+AL19+AL20)&gt;0,1-AL901,0)</f>
        <v>0</v>
      </c>
      <c r="AM902" s="265">
        <v>0</v>
      </c>
      <c r="AN902" s="266">
        <v>0</v>
      </c>
      <c r="AO902" s="280" t="str">
        <f>+AG902</f>
        <v>кратк. ЦК.-дял в кр.салдо</v>
      </c>
      <c r="AP902" s="276">
        <f>+IF((+AP19+AP20)&gt;0,1-AP901,0)</f>
        <v>0</v>
      </c>
      <c r="AQ902" s="258"/>
      <c r="AR902" s="261"/>
      <c r="AS902" s="261"/>
      <c r="AT902" s="261"/>
      <c r="AU902" s="258"/>
      <c r="AV902" s="258"/>
      <c r="AW902" s="119"/>
      <c r="AX902" s="119"/>
      <c r="AY902" s="258"/>
      <c r="AZ902" s="258"/>
      <c r="BA902" s="258"/>
      <c r="BB902" s="258"/>
      <c r="BC902" s="258"/>
      <c r="BD902" s="258"/>
    </row>
    <row r="903" spans="1:56" s="1399" customFormat="1" ht="16.5" thickBot="1">
      <c r="A903" s="258"/>
      <c r="B903" s="258"/>
      <c r="C903" s="258"/>
      <c r="D903" s="258"/>
      <c r="E903" s="258"/>
      <c r="F903" s="258"/>
      <c r="G903" s="258"/>
      <c r="H903" s="258"/>
      <c r="I903" s="258"/>
      <c r="J903" s="258"/>
      <c r="K903" s="258"/>
      <c r="L903" s="258"/>
      <c r="M903" s="259"/>
      <c r="N903" s="260"/>
      <c r="O903" s="261"/>
      <c r="P903" s="261"/>
      <c r="Q903" s="261"/>
      <c r="R903" s="261"/>
      <c r="S903" s="261"/>
      <c r="T903" s="261"/>
      <c r="U903" s="259"/>
      <c r="V903" s="261"/>
      <c r="W903" s="261"/>
      <c r="X903" s="261"/>
      <c r="Y903" s="261"/>
      <c r="Z903" s="261"/>
      <c r="AA903" s="261"/>
      <c r="AB903" s="259"/>
      <c r="AC903" s="261"/>
      <c r="AD903" s="261"/>
      <c r="AE903" s="261"/>
      <c r="AF903" s="261"/>
      <c r="AG903" s="261"/>
      <c r="AH903" s="261"/>
      <c r="AI903" s="259"/>
      <c r="AJ903" s="260"/>
      <c r="AK903" s="261"/>
      <c r="AL903" s="261"/>
      <c r="AM903" s="261"/>
      <c r="AN903" s="261"/>
      <c r="AO903" s="261"/>
      <c r="AP903" s="261"/>
      <c r="AQ903" s="258"/>
      <c r="AR903" s="261"/>
      <c r="AS903" s="261"/>
      <c r="AT903" s="261"/>
      <c r="AU903" s="258"/>
      <c r="AV903" s="258"/>
      <c r="AW903" s="119"/>
      <c r="AX903" s="119"/>
      <c r="AY903" s="258"/>
      <c r="AZ903" s="258"/>
      <c r="BA903" s="258"/>
      <c r="BB903" s="258"/>
      <c r="BC903" s="258"/>
      <c r="BD903" s="258"/>
    </row>
    <row r="904" spans="1:56" s="1399" customFormat="1" ht="15.75">
      <c r="A904" s="258"/>
      <c r="B904" s="262"/>
      <c r="C904" s="258"/>
      <c r="D904" s="267" t="s">
        <v>175</v>
      </c>
      <c r="E904" s="268"/>
      <c r="F904" s="268"/>
      <c r="G904" s="268"/>
      <c r="H904" s="268"/>
      <c r="I904" s="268"/>
      <c r="J904" s="268"/>
      <c r="K904" s="268"/>
      <c r="L904" s="269"/>
      <c r="M904" s="259"/>
      <c r="N904" s="260"/>
      <c r="O904" s="277" t="s">
        <v>705</v>
      </c>
      <c r="P904" s="274">
        <f>+IF((+P50+P51+P52+P53)&gt;0,(+P50+P51)/(+P50+P51+P52+P53),0)</f>
        <v>0</v>
      </c>
      <c r="Q904" s="263">
        <v>0</v>
      </c>
      <c r="R904" s="264">
        <v>0</v>
      </c>
      <c r="S904" s="279" t="s">
        <v>706</v>
      </c>
      <c r="T904" s="275">
        <f>+IF((+T50+T51+T52+T53)&gt;0,(+T50+T51)/(+T50+T51+T52+T53),0)</f>
        <v>0</v>
      </c>
      <c r="U904" s="51"/>
      <c r="V904" s="434" t="str">
        <f>+O904</f>
        <v>дълг. л-г-дял в нач.салдо</v>
      </c>
      <c r="W904" s="548">
        <f>+IF((+W50+W51+W52+W53)&gt;0,(+W50+W51)/(+W50+W51+W52+W53),0)</f>
        <v>0</v>
      </c>
      <c r="X904" s="549">
        <v>0</v>
      </c>
      <c r="Y904" s="550">
        <v>0</v>
      </c>
      <c r="Z904" s="436" t="str">
        <f>+S904</f>
        <v>дълг. л-г-дял в кр.салдо</v>
      </c>
      <c r="AA904" s="551">
        <f>+IF((+AA50+AA51+AA52+AA53)&gt;0,(+AA50+AA51)/(+AA50+AA51+AA52+AA53),0)</f>
        <v>0</v>
      </c>
      <c r="AB904" s="51"/>
      <c r="AC904" s="283" t="str">
        <f>+V904</f>
        <v>дълг. л-г-дял в нач.салдо</v>
      </c>
      <c r="AD904" s="274">
        <f>+IF((+AD50+AD51+AD52+AD53)&gt;0,(+AD50+AD51)/(+AD50+AD51+AD52+AD53),0)</f>
        <v>0</v>
      </c>
      <c r="AE904" s="263">
        <v>0</v>
      </c>
      <c r="AF904" s="264">
        <v>0</v>
      </c>
      <c r="AG904" s="281" t="str">
        <f>+Z904</f>
        <v>дълг. л-г-дял в кр.салдо</v>
      </c>
      <c r="AH904" s="275">
        <f>+IF((+AH50+AH51+AH52+AH53)&gt;0,(+AH50+AH51)/(+AH50+AH51+AH52+AH53),0)</f>
        <v>0</v>
      </c>
      <c r="AI904" s="259"/>
      <c r="AJ904" s="260"/>
      <c r="AK904" s="277" t="str">
        <f>+AC904</f>
        <v>дълг. л-г-дял в нач.салдо</v>
      </c>
      <c r="AL904" s="274">
        <f>+IF((+AL50+AL51+AL52+AL53)&gt;0,(+AL50+AL51)/(+AL50+AL51+AL52+AL53),0)</f>
        <v>0</v>
      </c>
      <c r="AM904" s="263">
        <v>0</v>
      </c>
      <c r="AN904" s="264">
        <v>0</v>
      </c>
      <c r="AO904" s="279" t="str">
        <f>+AG904</f>
        <v>дълг. л-г-дял в кр.салдо</v>
      </c>
      <c r="AP904" s="275">
        <f>+IF((+AP50+AP51+AP52+AP53)&gt;0,(+AP50+AP51)/(+AP50+AP51+AP52+AP53),0)</f>
        <v>0</v>
      </c>
      <c r="AQ904" s="258"/>
      <c r="AR904" s="261"/>
      <c r="AS904" s="261"/>
      <c r="AT904" s="261"/>
      <c r="AU904" s="258"/>
      <c r="AV904" s="258"/>
      <c r="AW904" s="119"/>
      <c r="AX904" s="119"/>
      <c r="AY904" s="258"/>
      <c r="AZ904" s="258"/>
      <c r="BA904" s="258"/>
      <c r="BB904" s="258"/>
      <c r="BC904" s="258"/>
      <c r="BD904" s="258"/>
    </row>
    <row r="905" spans="1:56" s="1399" customFormat="1" ht="16.5" thickBot="1">
      <c r="A905" s="258"/>
      <c r="B905" s="262"/>
      <c r="C905" s="258"/>
      <c r="D905" s="270" t="s">
        <v>176</v>
      </c>
      <c r="E905" s="271"/>
      <c r="F905" s="271"/>
      <c r="G905" s="271"/>
      <c r="H905" s="271"/>
      <c r="I905" s="271"/>
      <c r="J905" s="271"/>
      <c r="K905" s="271"/>
      <c r="L905" s="272"/>
      <c r="M905" s="259"/>
      <c r="N905" s="260"/>
      <c r="O905" s="278" t="s">
        <v>704</v>
      </c>
      <c r="P905" s="273">
        <f>+IF((+P50+P51+P52+P53)&gt;0,1-P904,0)</f>
        <v>0</v>
      </c>
      <c r="Q905" s="265">
        <v>0</v>
      </c>
      <c r="R905" s="266">
        <v>0</v>
      </c>
      <c r="S905" s="280" t="s">
        <v>707</v>
      </c>
      <c r="T905" s="276">
        <f>+IF((+T50+T51+T52+T53)&gt;0,1-T904,0)</f>
        <v>0</v>
      </c>
      <c r="U905" s="51"/>
      <c r="V905" s="435" t="str">
        <f>+O905</f>
        <v>кратк. л-г-дял в нач.салдо</v>
      </c>
      <c r="W905" s="552">
        <f>+IF((+W50+W51+W52+W53)&gt;0,1-W904,0)</f>
        <v>0</v>
      </c>
      <c r="X905" s="553">
        <v>0</v>
      </c>
      <c r="Y905" s="554">
        <v>0</v>
      </c>
      <c r="Z905" s="437" t="str">
        <f>+S905</f>
        <v>кратк. л-г-дял в кр.салдо</v>
      </c>
      <c r="AA905" s="555">
        <f>+IF((+AA50+AA51+AA52+AA53)&gt;0,1-AA904,0)</f>
        <v>0</v>
      </c>
      <c r="AB905" s="51"/>
      <c r="AC905" s="284" t="str">
        <f>+V905</f>
        <v>кратк. л-г-дял в нач.салдо</v>
      </c>
      <c r="AD905" s="273">
        <f>+IF((+AD50+AD51+AD52+AD53)&gt;0,1-AD904,0)</f>
        <v>0</v>
      </c>
      <c r="AE905" s="265">
        <v>0</v>
      </c>
      <c r="AF905" s="266">
        <v>0</v>
      </c>
      <c r="AG905" s="282" t="str">
        <f>+Z905</f>
        <v>кратк. л-г-дял в кр.салдо</v>
      </c>
      <c r="AH905" s="276">
        <f>+IF((+AH50+AH51+AH52+AH53)&gt;0,1-AH904,0)</f>
        <v>0</v>
      </c>
      <c r="AI905" s="259"/>
      <c r="AJ905" s="260"/>
      <c r="AK905" s="278" t="str">
        <f>+AC905</f>
        <v>кратк. л-г-дял в нач.салдо</v>
      </c>
      <c r="AL905" s="273">
        <f>+IF((+AL50+AL51+AL52+AL53)&gt;0,1-AL904,0)</f>
        <v>0</v>
      </c>
      <c r="AM905" s="265">
        <v>0</v>
      </c>
      <c r="AN905" s="266">
        <v>0</v>
      </c>
      <c r="AO905" s="280" t="str">
        <f>+AG905</f>
        <v>кратк. л-г-дял в кр.салдо</v>
      </c>
      <c r="AP905" s="276">
        <f>+IF((+AP50+AP51+AP52+AP53)&gt;0,1-AP904,0)</f>
        <v>0</v>
      </c>
      <c r="AQ905" s="258"/>
      <c r="AR905" s="261"/>
      <c r="AS905" s="261"/>
      <c r="AT905" s="261"/>
      <c r="AU905" s="258"/>
      <c r="AV905" s="258"/>
      <c r="AW905" s="119"/>
      <c r="AX905" s="119"/>
      <c r="AY905" s="258"/>
      <c r="AZ905" s="258"/>
      <c r="BA905" s="258"/>
      <c r="BB905" s="258"/>
      <c r="BC905" s="258"/>
      <c r="BD905" s="258"/>
    </row>
    <row r="906" spans="1:56" s="1399" customFormat="1" ht="16.5" thickBot="1">
      <c r="A906" s="258"/>
      <c r="B906" s="258"/>
      <c r="C906" s="258"/>
      <c r="D906" s="258"/>
      <c r="E906" s="258"/>
      <c r="F906" s="258"/>
      <c r="G906" s="258"/>
      <c r="H906" s="258"/>
      <c r="I906" s="258"/>
      <c r="J906" s="258"/>
      <c r="K906" s="258"/>
      <c r="L906" s="258"/>
      <c r="M906" s="259"/>
      <c r="N906" s="260"/>
      <c r="O906" s="261"/>
      <c r="P906" s="261"/>
      <c r="Q906" s="261"/>
      <c r="R906" s="261"/>
      <c r="S906" s="261"/>
      <c r="T906" s="261"/>
      <c r="U906" s="259"/>
      <c r="V906" s="261"/>
      <c r="W906" s="261"/>
      <c r="X906" s="261"/>
      <c r="Y906" s="261"/>
      <c r="Z906" s="261"/>
      <c r="AA906" s="261"/>
      <c r="AB906" s="259"/>
      <c r="AC906" s="261"/>
      <c r="AD906" s="261"/>
      <c r="AE906" s="261"/>
      <c r="AF906" s="261"/>
      <c r="AG906" s="261"/>
      <c r="AH906" s="261"/>
      <c r="AI906" s="259"/>
      <c r="AJ906" s="260"/>
      <c r="AK906" s="261"/>
      <c r="AL906" s="261"/>
      <c r="AM906" s="261"/>
      <c r="AN906" s="261"/>
      <c r="AO906" s="261"/>
      <c r="AP906" s="261"/>
      <c r="AQ906" s="258"/>
      <c r="AR906" s="261"/>
      <c r="AS906" s="261"/>
      <c r="AT906" s="261"/>
      <c r="AU906" s="258"/>
      <c r="AV906" s="258"/>
      <c r="AW906" s="119"/>
      <c r="AX906" s="119"/>
      <c r="AY906" s="258"/>
      <c r="AZ906" s="258"/>
      <c r="BA906" s="258"/>
      <c r="BB906" s="258"/>
      <c r="BC906" s="258"/>
      <c r="BD906" s="258"/>
    </row>
    <row r="907" spans="1:56" s="1399" customFormat="1" ht="15.75">
      <c r="A907" s="258"/>
      <c r="B907" s="262"/>
      <c r="C907" s="258"/>
      <c r="D907" s="267" t="s">
        <v>177</v>
      </c>
      <c r="E907" s="268"/>
      <c r="F907" s="268"/>
      <c r="G907" s="268"/>
      <c r="H907" s="268"/>
      <c r="I907" s="268"/>
      <c r="J907" s="268"/>
      <c r="K907" s="268"/>
      <c r="L907" s="269"/>
      <c r="M907" s="259"/>
      <c r="N907" s="260"/>
      <c r="O907" s="277" t="s">
        <v>179</v>
      </c>
      <c r="P907" s="274">
        <f>+IF((+P56+P57+P58+P59)&gt;0,(+P56+P57)/(+P56+P57+P58+P59),0)</f>
        <v>0</v>
      </c>
      <c r="Q907" s="263">
        <v>0</v>
      </c>
      <c r="R907" s="264">
        <v>0</v>
      </c>
      <c r="S907" s="277" t="s">
        <v>181</v>
      </c>
      <c r="T907" s="275">
        <f>+IF((+T56+T57+T58+T59)&gt;0,(+T56+T57)/(+T56+T57+T58+T59),0)</f>
        <v>0</v>
      </c>
      <c r="U907" s="51"/>
      <c r="V907" s="434" t="str">
        <f>+O907</f>
        <v>дълг. т. к-т-дял в нач.салдо</v>
      </c>
      <c r="W907" s="548">
        <f>+IF((+W56+W57+W58+W59)&gt;0,(+W56+W57)/(+W56+W57+W58+W59),0)</f>
        <v>0</v>
      </c>
      <c r="X907" s="549">
        <v>0</v>
      </c>
      <c r="Y907" s="550">
        <v>0</v>
      </c>
      <c r="Z907" s="436" t="str">
        <f>+S907</f>
        <v>дълг. т. к-т-дял в кр.салдо</v>
      </c>
      <c r="AA907" s="551">
        <f>+IF((+AA56+AA57+AA58+AA59)&gt;0,(+AA56+AA57)/(+AA56+AA57+AA58+AA59),0)</f>
        <v>0</v>
      </c>
      <c r="AB907" s="51"/>
      <c r="AC907" s="283" t="str">
        <f>+V907</f>
        <v>дълг. т. к-т-дял в нач.салдо</v>
      </c>
      <c r="AD907" s="274">
        <f>+IF((+AD56+AD57+AD58+AD59)&gt;0,(+AD56+AD57)/(+AD56+AD57+AD58+AD59),0)</f>
        <v>0</v>
      </c>
      <c r="AE907" s="263">
        <v>0</v>
      </c>
      <c r="AF907" s="264">
        <v>0</v>
      </c>
      <c r="AG907" s="281" t="str">
        <f>+Z907</f>
        <v>дълг. т. к-т-дял в кр.салдо</v>
      </c>
      <c r="AH907" s="275">
        <f>+IF((+AH56+AH57+AH58+AH59)&gt;0,(+AH56+AH57)/(+AH56+AH57+AH58+AH59),0)</f>
        <v>0</v>
      </c>
      <c r="AI907" s="259"/>
      <c r="AJ907" s="260"/>
      <c r="AK907" s="277" t="str">
        <f>+AC907</f>
        <v>дълг. т. к-т-дял в нач.салдо</v>
      </c>
      <c r="AL907" s="274">
        <f>+IF((+AL56+AL57+AL58+AL59)&gt;0,(+AL56+AL57)/(+AL56+AL57+AL58+AL59),0)</f>
        <v>0</v>
      </c>
      <c r="AM907" s="263">
        <v>0</v>
      </c>
      <c r="AN907" s="264">
        <v>0</v>
      </c>
      <c r="AO907" s="279" t="str">
        <f>+AG907</f>
        <v>дълг. т. к-т-дял в кр.салдо</v>
      </c>
      <c r="AP907" s="275">
        <f>+IF((+AP56+AP57+AP58+AP59)&gt;0,(+AP56+AP57)/(+AP56+AP57+AP58+AP59),0)</f>
        <v>0</v>
      </c>
      <c r="AQ907" s="258"/>
      <c r="AR907" s="261"/>
      <c r="AS907" s="261"/>
      <c r="AT907" s="261"/>
      <c r="AU907" s="258"/>
      <c r="AV907" s="258"/>
      <c r="AW907" s="119"/>
      <c r="AX907" s="119"/>
      <c r="AY907" s="258"/>
      <c r="AZ907" s="258"/>
      <c r="BA907" s="258"/>
      <c r="BB907" s="258"/>
      <c r="BC907" s="258"/>
      <c r="BD907" s="258"/>
    </row>
    <row r="908" spans="1:56" s="1399" customFormat="1" ht="16.5" thickBot="1">
      <c r="A908" s="258"/>
      <c r="B908" s="262"/>
      <c r="C908" s="258"/>
      <c r="D908" s="270" t="s">
        <v>178</v>
      </c>
      <c r="E908" s="271"/>
      <c r="F908" s="271"/>
      <c r="G908" s="271"/>
      <c r="H908" s="271"/>
      <c r="I908" s="271"/>
      <c r="J908" s="271"/>
      <c r="K908" s="271"/>
      <c r="L908" s="272"/>
      <c r="M908" s="259"/>
      <c r="N908" s="260"/>
      <c r="O908" s="420" t="s">
        <v>180</v>
      </c>
      <c r="P908" s="273">
        <f>+IF((+P56+P57+P58+P59)&gt;0,1-P907,0)</f>
        <v>0</v>
      </c>
      <c r="Q908" s="265">
        <v>0</v>
      </c>
      <c r="R908" s="266">
        <v>0</v>
      </c>
      <c r="S908" s="420" t="s">
        <v>182</v>
      </c>
      <c r="T908" s="276">
        <f>+IF((+T56+T57+T58+T59)&gt;0,1-T907,0)</f>
        <v>0</v>
      </c>
      <c r="U908" s="51"/>
      <c r="V908" s="2184" t="str">
        <f>+O908</f>
        <v>кратк. т. к/т-дял в нач.салдо</v>
      </c>
      <c r="W908" s="552">
        <f>+IF((+W56+W57+W58+W59)&gt;0,1-W907,0)</f>
        <v>0</v>
      </c>
      <c r="X908" s="553">
        <v>0</v>
      </c>
      <c r="Y908" s="554">
        <v>0</v>
      </c>
      <c r="Z908" s="437" t="str">
        <f>+S908</f>
        <v>кратк. т. к/т-дял в кр.салдо</v>
      </c>
      <c r="AA908" s="555">
        <f>+IF((+AA56+AA57+AA58+AA59)&gt;0,1-AA907,0)</f>
        <v>0</v>
      </c>
      <c r="AB908" s="51"/>
      <c r="AC908" s="2185" t="str">
        <f>+V908</f>
        <v>кратк. т. к/т-дял в нач.салдо</v>
      </c>
      <c r="AD908" s="273">
        <f>+IF((+AD56+AD57+AD58+AD59)&gt;0,1-AD907,0)</f>
        <v>0</v>
      </c>
      <c r="AE908" s="265">
        <v>0</v>
      </c>
      <c r="AF908" s="266">
        <v>0</v>
      </c>
      <c r="AG908" s="282" t="str">
        <f>+Z908</f>
        <v>кратк. т. к/т-дял в кр.салдо</v>
      </c>
      <c r="AH908" s="276">
        <f>+IF((+AH56+AH57+AH58+AH59)&gt;0,1-AH907,0)</f>
        <v>0</v>
      </c>
      <c r="AI908" s="259"/>
      <c r="AJ908" s="260"/>
      <c r="AK908" s="2186" t="str">
        <f>+AC908</f>
        <v>кратк. т. к/т-дял в нач.салдо</v>
      </c>
      <c r="AL908" s="273">
        <f>+IF((+AL56+AL57+AL58+AL59)&gt;0,1-AL907,0)</f>
        <v>0</v>
      </c>
      <c r="AM908" s="265">
        <v>0</v>
      </c>
      <c r="AN908" s="266">
        <v>0</v>
      </c>
      <c r="AO908" s="280" t="str">
        <f>+AG908</f>
        <v>кратк. т. к/т-дял в кр.салдо</v>
      </c>
      <c r="AP908" s="276">
        <f>+IF((+AP56+AP57+AP58+AP59)&gt;0,1-AP907,0)</f>
        <v>0</v>
      </c>
      <c r="AQ908" s="258"/>
      <c r="AR908" s="261"/>
      <c r="AS908" s="261"/>
      <c r="AT908" s="261"/>
      <c r="AU908" s="258"/>
      <c r="AV908" s="258"/>
      <c r="AW908" s="119"/>
      <c r="AX908" s="119"/>
      <c r="AY908" s="258"/>
      <c r="AZ908" s="258"/>
      <c r="BA908" s="258"/>
      <c r="BB908" s="258"/>
      <c r="BC908" s="258"/>
      <c r="BD908" s="258"/>
    </row>
    <row r="909" spans="1:56" s="1399" customFormat="1" ht="16.5" thickBot="1">
      <c r="A909" s="258"/>
      <c r="B909" s="258"/>
      <c r="C909" s="258"/>
      <c r="D909" s="258"/>
      <c r="E909" s="258"/>
      <c r="F909" s="258"/>
      <c r="G909" s="258"/>
      <c r="H909" s="258"/>
      <c r="I909" s="258"/>
      <c r="J909" s="258"/>
      <c r="K909" s="258"/>
      <c r="L909" s="258"/>
      <c r="M909" s="259"/>
      <c r="N909" s="260"/>
      <c r="O909" s="261"/>
      <c r="P909" s="261"/>
      <c r="Q909" s="261"/>
      <c r="R909" s="261"/>
      <c r="S909" s="261"/>
      <c r="T909" s="261"/>
      <c r="U909" s="259"/>
      <c r="V909" s="261"/>
      <c r="W909" s="261"/>
      <c r="X909" s="261"/>
      <c r="Y909" s="261"/>
      <c r="Z909" s="261"/>
      <c r="AA909" s="261"/>
      <c r="AB909" s="259"/>
      <c r="AC909" s="261"/>
      <c r="AD909" s="261"/>
      <c r="AE909" s="261"/>
      <c r="AF909" s="261"/>
      <c r="AG909" s="261"/>
      <c r="AH909" s="261"/>
      <c r="AI909" s="259"/>
      <c r="AJ909" s="260"/>
      <c r="AK909" s="261"/>
      <c r="AL909" s="261"/>
      <c r="AM909" s="261"/>
      <c r="AN909" s="261"/>
      <c r="AO909" s="261"/>
      <c r="AP909" s="261"/>
      <c r="AQ909" s="258"/>
      <c r="AR909" s="261"/>
      <c r="AS909" s="261"/>
      <c r="AT909" s="261"/>
      <c r="AU909" s="258"/>
      <c r="AV909" s="258"/>
      <c r="AW909" s="119"/>
      <c r="AX909" s="119"/>
      <c r="AY909" s="258"/>
      <c r="AZ909" s="258"/>
      <c r="BA909" s="258"/>
      <c r="BB909" s="258"/>
      <c r="BC909" s="258"/>
      <c r="BD909" s="258"/>
    </row>
    <row r="910" spans="1:56" s="1399" customFormat="1" ht="15.75">
      <c r="A910" s="258"/>
      <c r="B910" s="262"/>
      <c r="C910" s="258"/>
      <c r="D910" s="267" t="s">
        <v>1981</v>
      </c>
      <c r="E910" s="268"/>
      <c r="F910" s="268"/>
      <c r="G910" s="268"/>
      <c r="H910" s="268"/>
      <c r="I910" s="268"/>
      <c r="J910" s="268"/>
      <c r="K910" s="268"/>
      <c r="L910" s="269"/>
      <c r="M910" s="259"/>
      <c r="N910" s="260"/>
      <c r="O910" s="461" t="s">
        <v>146</v>
      </c>
      <c r="P910" s="463">
        <f>(+'TRIAL-BALANCE'!O149-'TRIAL-BALANCE'!O149)+'TRIAL-BALANCE'!O154+'TRIAL-BALANCE'!O155+'TRIAL-BALANCE'!O229+'TRIAL-BALANCE'!O230+'TRIAL-BALANCE'!O231+'TRIAL-BALANCE'!O249+'TRIAL-BALANCE'!O250++'TRIAL-BALANCE'!O306+'TRIAL-BALANCE'!O307+'TRIAL-BALANCE'!O308+SUM('TRIAL-BALANCE'!O331:O335)+'TRIAL-BALANCE'!O346+'TRIAL-BALANCE'!O347+SUM('TRIAL-BALANCE'!O360:'TRIAL-BALANCE'!O363)+SUM('TRIAL-BALANCE'!O377:'TRIAL-BALANCE'!O379)</f>
        <v>0</v>
      </c>
      <c r="Q910" s="263">
        <v>0</v>
      </c>
      <c r="R910" s="264">
        <v>0</v>
      </c>
      <c r="S910" s="461" t="s">
        <v>148</v>
      </c>
      <c r="T910" s="465">
        <f>(+'TRIAL-BALANCE'!S149-'TRIAL-BALANCE'!S149)+'TRIAL-BALANCE'!S154+'TRIAL-BALANCE'!S155+'TRIAL-BALANCE'!S229+'TRIAL-BALANCE'!S230+'TRIAL-BALANCE'!S231+'TRIAL-BALANCE'!S249+'TRIAL-BALANCE'!S250++'TRIAL-BALANCE'!S306+'TRIAL-BALANCE'!S307+'TRIAL-BALANCE'!S308+SUM('TRIAL-BALANCE'!S331:S335)+'TRIAL-BALANCE'!S346+'TRIAL-BALANCE'!S347+SUM('TRIAL-BALANCE'!S360:'TRIAL-BALANCE'!S363)+SUM('TRIAL-BALANCE'!S377:'TRIAL-BALANCE'!S379)</f>
        <v>0</v>
      </c>
      <c r="U910" s="51"/>
      <c r="V910" s="434" t="str">
        <f>+O910</f>
        <v>вземания за лихви-н. с-до</v>
      </c>
      <c r="W910" s="556">
        <f>+(+'TRIAL-BALANCE'!V149-'TRIAL-BALANCE'!V149)+'TRIAL-BALANCE'!V154+'TRIAL-BALANCE'!V155+'TRIAL-BALANCE'!V229+'TRIAL-BALANCE'!V230+'TRIAL-BALANCE'!V231+'TRIAL-BALANCE'!V249+'TRIAL-BALANCE'!V250++'TRIAL-BALANCE'!V306+'TRIAL-BALANCE'!V307+'TRIAL-BALANCE'!V308+SUM('TRIAL-BALANCE'!V331:V335)+'TRIAL-BALANCE'!V346+'TRIAL-BALANCE'!V347+SUM('TRIAL-BALANCE'!V360:'TRIAL-BALANCE'!V363)+SUM('TRIAL-BALANCE'!V377:'TRIAL-BALANCE'!V379)</f>
        <v>0</v>
      </c>
      <c r="X910" s="549">
        <v>0</v>
      </c>
      <c r="Y910" s="550">
        <v>0</v>
      </c>
      <c r="Z910" s="436" t="str">
        <f>+S910</f>
        <v>вземания за лихви-кр.с-до</v>
      </c>
      <c r="AA910" s="557">
        <f>+(+'TRIAL-BALANCE'!Z149-'TRIAL-BALANCE'!Z149)+'TRIAL-BALANCE'!Z154+'TRIAL-BALANCE'!Z155+'TRIAL-BALANCE'!Z229+'TRIAL-BALANCE'!Z230+'TRIAL-BALANCE'!Z231+'TRIAL-BALANCE'!Z249+'TRIAL-BALANCE'!Z250++'TRIAL-BALANCE'!Z306+'TRIAL-BALANCE'!Z307+'TRIAL-BALANCE'!Z308+SUM('TRIAL-BALANCE'!Z331:Z335)+'TRIAL-BALANCE'!Z346+'TRIAL-BALANCE'!Z347+SUM('TRIAL-BALANCE'!Z360:'TRIAL-BALANCE'!Z363)+SUM('TRIAL-BALANCE'!Z377:'TRIAL-BALANCE'!Z379)</f>
        <v>0</v>
      </c>
      <c r="AB910" s="51"/>
      <c r="AC910" s="283" t="str">
        <f>+V910</f>
        <v>вземания за лихви-н. с-до</v>
      </c>
      <c r="AD910" s="463">
        <f>+(+'TRIAL-BALANCE'!AC149-'TRIAL-BALANCE'!AC149)+'TRIAL-BALANCE'!AC154+'TRIAL-BALANCE'!AC155+'TRIAL-BALANCE'!AC229+'TRIAL-BALANCE'!AC230+'TRIAL-BALANCE'!AC231+'TRIAL-BALANCE'!AC249+'TRIAL-BALANCE'!AC250++'TRIAL-BALANCE'!AC306+'TRIAL-BALANCE'!AC307+'TRIAL-BALANCE'!AC308+SUM('TRIAL-BALANCE'!AC331:AC335)+'TRIAL-BALANCE'!AC346+'TRIAL-BALANCE'!AC347+SUM('TRIAL-BALANCE'!AC360:'TRIAL-BALANCE'!AC363)+SUM('TRIAL-BALANCE'!AC377:'TRIAL-BALANCE'!AC379)</f>
        <v>0</v>
      </c>
      <c r="AE910" s="263">
        <v>0</v>
      </c>
      <c r="AF910" s="264">
        <v>0</v>
      </c>
      <c r="AG910" s="281" t="str">
        <f>+Z910</f>
        <v>вземания за лихви-кр.с-до</v>
      </c>
      <c r="AH910" s="465">
        <f>+(+'TRIAL-BALANCE'!AG149-'TRIAL-BALANCE'!AG149)+'TRIAL-BALANCE'!AG154+'TRIAL-BALANCE'!AG155+'TRIAL-BALANCE'!AG229+'TRIAL-BALANCE'!AG230+'TRIAL-BALANCE'!AG231+'TRIAL-BALANCE'!AG249+'TRIAL-BALANCE'!AG250++'TRIAL-BALANCE'!AG306+'TRIAL-BALANCE'!AG307+'TRIAL-BALANCE'!AG308+SUM('TRIAL-BALANCE'!AG331:AG335)+'TRIAL-BALANCE'!AG346+'TRIAL-BALANCE'!AG347+SUM('TRIAL-BALANCE'!AG360:'TRIAL-BALANCE'!AG363)+SUM('TRIAL-BALANCE'!AG377:'TRIAL-BALANCE'!AG379)</f>
        <v>0</v>
      </c>
      <c r="AI910" s="259"/>
      <c r="AJ910" s="260"/>
      <c r="AK910" s="277" t="str">
        <f>+AC910</f>
        <v>вземания за лихви-н. с-до</v>
      </c>
      <c r="AL910" s="463">
        <f>+(+'TRIAL-BALANCE'!AK149-'TRIAL-BALANCE'!AK149)+'TRIAL-BALANCE'!AK154+'TRIAL-BALANCE'!AK155+'TRIAL-BALANCE'!AK167+'TRIAL-BALANCE'!AK229+'TRIAL-BALANCE'!AK230+'TRIAL-BALANCE'!AK231+'TRIAL-BALANCE'!AK249+'TRIAL-BALANCE'!AK250++'TRIAL-BALANCE'!AK306+'TRIAL-BALANCE'!AK307+'TRIAL-BALANCE'!AK308+SUM('TRIAL-BALANCE'!AK331:AK335)+'TRIAL-BALANCE'!AK346+'TRIAL-BALANCE'!AK347+SUM('TRIAL-BALANCE'!AK360:'TRIAL-BALANCE'!AK363)+SUM('TRIAL-BALANCE'!AK377:'TRIAL-BALANCE'!AK379)</f>
        <v>0</v>
      </c>
      <c r="AM910" s="263">
        <v>0</v>
      </c>
      <c r="AN910" s="264">
        <v>0</v>
      </c>
      <c r="AO910" s="279" t="str">
        <f>+AG910</f>
        <v>вземания за лихви-кр.с-до</v>
      </c>
      <c r="AP910" s="465">
        <f>+(+'TRIAL-BALANCE'!AO149-'TRIAL-BALANCE'!AO149)+'TRIAL-BALANCE'!AO154+'TRIAL-BALANCE'!AO155+'TRIAL-BALANCE'!AO167+'TRIAL-BALANCE'!AO229+'TRIAL-BALANCE'!AO230+'TRIAL-BALANCE'!AO231+'TRIAL-BALANCE'!AO249+'TRIAL-BALANCE'!AO250++'TRIAL-BALANCE'!AO306+'TRIAL-BALANCE'!AO307+'TRIAL-BALANCE'!AO308+SUM('TRIAL-BALANCE'!AO331:AO335)+'TRIAL-BALANCE'!AO346+'TRIAL-BALANCE'!AO347+SUM('TRIAL-BALANCE'!AO360:'TRIAL-BALANCE'!AO363)+SUM('TRIAL-BALANCE'!AO377:'TRIAL-BALANCE'!AO379)</f>
        <v>0</v>
      </c>
      <c r="AQ910" s="258"/>
      <c r="AR910" s="261"/>
      <c r="AS910" s="261"/>
      <c r="AT910" s="261"/>
      <c r="AU910" s="258"/>
      <c r="AV910" s="258"/>
      <c r="AW910" s="119"/>
      <c r="AX910" s="119"/>
      <c r="AY910" s="258"/>
      <c r="AZ910" s="258"/>
      <c r="BA910" s="258"/>
      <c r="BB910" s="258"/>
      <c r="BC910" s="258"/>
      <c r="BD910" s="258"/>
    </row>
    <row r="911" spans="1:56" s="1399" customFormat="1" ht="16.5" thickBot="1">
      <c r="A911" s="258"/>
      <c r="B911" s="262"/>
      <c r="C911" s="258"/>
      <c r="D911" s="270" t="s">
        <v>1983</v>
      </c>
      <c r="E911" s="271"/>
      <c r="F911" s="271"/>
      <c r="G911" s="271"/>
      <c r="H911" s="271"/>
      <c r="I911" s="271"/>
      <c r="J911" s="271"/>
      <c r="K911" s="271"/>
      <c r="L911" s="272"/>
      <c r="M911" s="259"/>
      <c r="N911" s="260"/>
      <c r="O911" s="462" t="s">
        <v>147</v>
      </c>
      <c r="P911" s="464">
        <f>+P22-O23+SUM('TRIAL-BALANCE'!P41:P45)+SUM(P48:P49)+P65+P69+P151+P232+P233+P234+P251+P252</f>
        <v>0</v>
      </c>
      <c r="Q911" s="265">
        <v>0</v>
      </c>
      <c r="R911" s="266">
        <v>0</v>
      </c>
      <c r="S911" s="462" t="s">
        <v>149</v>
      </c>
      <c r="T911" s="466">
        <f>+T22-S23+SUM('TRIAL-BALANCE'!T41:T45)+SUM(T48:T49)+T65+T69+T151+T232+T233+T234+T251+T252</f>
        <v>0</v>
      </c>
      <c r="U911" s="51"/>
      <c r="V911" s="2184" t="str">
        <f>+O911</f>
        <v>задължения за лихви-н. с-до</v>
      </c>
      <c r="W911" s="558">
        <f>+W22-V23+SUM('TRIAL-BALANCE'!W41:W45)+SUM(W48:W49)+W65+W69+W151+W232+W233+W234+W251+W252</f>
        <v>0</v>
      </c>
      <c r="X911" s="553">
        <v>0</v>
      </c>
      <c r="Y911" s="554">
        <v>0</v>
      </c>
      <c r="Z911" s="437" t="str">
        <f>+S911</f>
        <v>задължения за лихви-кр.с-до</v>
      </c>
      <c r="AA911" s="559">
        <f>+AA22-Z23+SUM('TRIAL-BALANCE'!AA41:AA45)+SUM(AA48:AA49)+AA65+AA69+AA151+AA232+AA233+AA234+AA251+AA252</f>
        <v>0</v>
      </c>
      <c r="AB911" s="51"/>
      <c r="AC911" s="2185" t="str">
        <f>+V911</f>
        <v>задължения за лихви-н. с-до</v>
      </c>
      <c r="AD911" s="464">
        <f>+AD22-AC23+SUM('TRIAL-BALANCE'!AD41:AD45)+SUM(AD48:AD49)+AD65+AD69+AD151+AD232+AD233+AD234+AD251+AD252</f>
        <v>0</v>
      </c>
      <c r="AE911" s="265">
        <v>0</v>
      </c>
      <c r="AF911" s="266">
        <v>0</v>
      </c>
      <c r="AG911" s="282" t="str">
        <f>+Z911</f>
        <v>задължения за лихви-кр.с-до</v>
      </c>
      <c r="AH911" s="466">
        <f>+AH22-AG23+SUM('TRIAL-BALANCE'!AH41:AH45)+SUM(AH48:AH49)+AH65+AH69+AH151+AH232+AH233+AH234+AH251+AH252</f>
        <v>0</v>
      </c>
      <c r="AI911" s="259"/>
      <c r="AJ911" s="260"/>
      <c r="AK911" s="2186" t="str">
        <f>+AC911</f>
        <v>задължения за лихви-н. с-до</v>
      </c>
      <c r="AL911" s="464">
        <f>+AL22-AK23+SUM('TRIAL-BALANCE'!AL41:AL45)+SUM(AL48:AL49)+AL65+AL69+AL151+AL232+AL233+AL234+AL251+AL252</f>
        <v>0</v>
      </c>
      <c r="AM911" s="265">
        <v>0</v>
      </c>
      <c r="AN911" s="266">
        <v>0</v>
      </c>
      <c r="AO911" s="280" t="str">
        <f>+AG911</f>
        <v>задължения за лихви-кр.с-до</v>
      </c>
      <c r="AP911" s="466">
        <f>+AP22-AO23+SUM('TRIAL-BALANCE'!AP41:AP45)+SUM(AP48:AP49)+AP65+AP69+AP151+AP232+AP233+AP234+AP251+AP252</f>
        <v>0</v>
      </c>
      <c r="AQ911" s="258"/>
      <c r="AR911" s="261"/>
      <c r="AS911" s="261"/>
      <c r="AT911" s="261"/>
      <c r="AU911" s="258"/>
      <c r="AV911" s="258"/>
      <c r="AW911" s="119"/>
      <c r="AX911" s="119"/>
      <c r="AY911" s="258"/>
      <c r="AZ911" s="258"/>
      <c r="BA911" s="258"/>
      <c r="BB911" s="258"/>
      <c r="BC911" s="258"/>
      <c r="BD911" s="258"/>
    </row>
    <row r="912" spans="1:56" ht="15.75">
      <c r="A912" s="43"/>
      <c r="B912" s="43"/>
      <c r="C912" s="43"/>
      <c r="D912" s="43"/>
      <c r="E912" s="43"/>
      <c r="F912" s="43"/>
      <c r="G912" s="43"/>
      <c r="H912" s="43"/>
      <c r="I912" s="43"/>
      <c r="J912" s="43"/>
      <c r="K912" s="43"/>
      <c r="L912" s="43"/>
      <c r="M912" s="44"/>
      <c r="N912" s="119"/>
      <c r="O912" s="38"/>
      <c r="P912" s="38"/>
      <c r="Q912" s="38"/>
      <c r="R912" s="38"/>
      <c r="S912" s="38"/>
      <c r="T912" s="38"/>
      <c r="U912" s="44"/>
      <c r="V912" s="38"/>
      <c r="W912" s="38"/>
      <c r="X912" s="38"/>
      <c r="Y912" s="38"/>
      <c r="Z912" s="38"/>
      <c r="AA912" s="38"/>
      <c r="AB912" s="44"/>
      <c r="AC912" s="38"/>
      <c r="AD912" s="38"/>
      <c r="AE912" s="38"/>
      <c r="AF912" s="38"/>
      <c r="AG912" s="38"/>
      <c r="AH912" s="38"/>
      <c r="AI912" s="38"/>
      <c r="AJ912" s="38"/>
      <c r="AK912" s="38"/>
      <c r="AL912" s="38"/>
      <c r="AM912" s="38"/>
      <c r="AN912" s="38"/>
      <c r="AO912" s="38"/>
      <c r="AP912" s="38"/>
      <c r="AQ912" s="38"/>
      <c r="AR912" s="261"/>
      <c r="AS912" s="261"/>
      <c r="AT912" s="261"/>
      <c r="AU912" s="43"/>
      <c r="AV912" s="43"/>
      <c r="AW912" s="119"/>
      <c r="AX912" s="119"/>
      <c r="AY912" s="43"/>
      <c r="AZ912" s="43"/>
      <c r="BA912" s="43"/>
      <c r="BB912" s="43"/>
      <c r="BC912" s="43"/>
      <c r="BD912" s="43"/>
    </row>
    <row r="913" spans="1:56" ht="15.75">
      <c r="A913" s="43"/>
      <c r="B913" s="43"/>
      <c r="C913" s="43"/>
      <c r="D913" s="43"/>
      <c r="E913" s="43"/>
      <c r="F913" s="43"/>
      <c r="G913" s="43"/>
      <c r="H913" s="43"/>
      <c r="I913" s="43"/>
      <c r="J913" s="43"/>
      <c r="K913" s="43"/>
      <c r="L913" s="43"/>
      <c r="M913" s="44"/>
      <c r="N913" s="119"/>
      <c r="O913" s="38"/>
      <c r="P913" s="38"/>
      <c r="Q913" s="38"/>
      <c r="R913" s="38"/>
      <c r="S913" s="38"/>
      <c r="T913" s="38"/>
      <c r="U913" s="51"/>
      <c r="V913" s="2193" t="s">
        <v>494</v>
      </c>
      <c r="W913" s="2194" t="s">
        <v>495</v>
      </c>
      <c r="X913" s="2195" t="s">
        <v>496</v>
      </c>
      <c r="Y913" s="2194" t="s">
        <v>497</v>
      </c>
      <c r="Z913" s="2195" t="s">
        <v>2099</v>
      </c>
      <c r="AA913" s="2196" t="s">
        <v>2100</v>
      </c>
      <c r="AB913" s="51"/>
      <c r="AC913" s="38"/>
      <c r="AD913" s="38"/>
      <c r="AE913" s="38"/>
      <c r="AF913" s="38"/>
      <c r="AG913" s="38"/>
      <c r="AH913" s="38"/>
      <c r="AI913" s="38"/>
      <c r="AJ913" s="38"/>
      <c r="AK913" s="38"/>
      <c r="AL913" s="38"/>
      <c r="AM913" s="38"/>
      <c r="AN913" s="38"/>
      <c r="AO913" s="38"/>
      <c r="AP913" s="38"/>
      <c r="AQ913" s="38"/>
      <c r="AR913" s="43"/>
      <c r="AS913" s="43"/>
      <c r="AT913" s="43"/>
      <c r="AU913" s="43"/>
      <c r="AV913" s="43"/>
      <c r="AW913" s="119"/>
      <c r="AX913" s="119"/>
      <c r="AY913" s="43"/>
      <c r="AZ913" s="43"/>
      <c r="BA913" s="43"/>
      <c r="BB913" s="43"/>
      <c r="BC913" s="43"/>
      <c r="BD913" s="43"/>
    </row>
    <row r="914" spans="1:56" ht="15.75">
      <c r="A914" s="43"/>
      <c r="B914" s="43"/>
      <c r="C914" s="43"/>
      <c r="D914" s="43"/>
      <c r="E914" s="43"/>
      <c r="F914" s="43"/>
      <c r="G914" s="43"/>
      <c r="H914" s="43"/>
      <c r="I914" s="43"/>
      <c r="J914" s="43"/>
      <c r="K914" s="43"/>
      <c r="L914" s="43"/>
      <c r="M914" s="44"/>
      <c r="N914" s="119"/>
      <c r="O914" s="38"/>
      <c r="P914" s="38"/>
      <c r="Q914" s="38"/>
      <c r="R914" s="38"/>
      <c r="S914" s="38"/>
      <c r="T914" s="38"/>
      <c r="U914" s="44"/>
      <c r="V914" s="2191">
        <f>+ROUND(V829,2)-ROUND('NF-KSF-TRIAL-BAL-2020'!O829,2)-ROUND('RA-TRIAL-BAL-2020'!O829,2)-ROUND('DES-TRIAL-BAL-2020'!O829,2)-ROUND('DMP-TRIAL-BAL-2020'!O829,2)</f>
        <v>0</v>
      </c>
      <c r="W914" s="2189">
        <f>+ROUND(W829,2)-ROUND('NF-KSF-TRIAL-BAL-2020'!P829,2)-ROUND('RA-TRIAL-BAL-2020'!P829,2)-ROUND('DES-TRIAL-BAL-2020'!P829,2)-ROUND('DMP-TRIAL-BAL-2020'!P829,2)</f>
        <v>0</v>
      </c>
      <c r="X914" s="2190">
        <f>+ROUND(X829,2)-ROUND('NF-KSF-TRIAL-BAL-2020'!Q829,2)-ROUND('RA-TRIAL-BAL-2020'!Q829,2)-ROUND('DES-TRIAL-BAL-2020'!Q829,2)-ROUND('DMP-TRIAL-BAL-2020'!Q829,2)</f>
        <v>0</v>
      </c>
      <c r="Y914" s="2189">
        <f>+ROUND(Y829,2)-ROUND('NF-KSF-TRIAL-BAL-2020'!R829,2)-ROUND('RA-TRIAL-BAL-2020'!R829,2)-ROUND('DES-TRIAL-BAL-2020'!R829,2)-ROUND('DMP-TRIAL-BAL-2020'!R829,2)</f>
        <v>0</v>
      </c>
      <c r="Z914" s="2190">
        <f>+ROUND(Z829,2)-ROUND('NF-KSF-TRIAL-BAL-2020'!S829,2)-ROUND('RA-TRIAL-BAL-2020'!S829,2)-ROUND('DES-TRIAL-BAL-2020'!S829,2)-ROUND('DMP-TRIAL-BAL-2020'!S829,2)</f>
        <v>0</v>
      </c>
      <c r="AA914" s="2192">
        <f>+ROUND(AA829,2)-ROUND('NF-KSF-TRIAL-BAL-2020'!T829,2)-ROUND('RA-TRIAL-BAL-2020'!T829,2)-ROUND('DES-TRIAL-BAL-2020'!T829,2)-ROUND('DMP-TRIAL-BAL-2020'!T829,2)</f>
        <v>0</v>
      </c>
      <c r="AB914" s="44"/>
      <c r="AC914" s="38"/>
      <c r="AD914" s="38"/>
      <c r="AE914" s="38"/>
      <c r="AF914" s="38"/>
      <c r="AG914" s="38"/>
      <c r="AH914" s="38"/>
      <c r="AI914" s="38"/>
      <c r="AJ914" s="38"/>
      <c r="AK914" s="38"/>
      <c r="AL914" s="38"/>
      <c r="AM914" s="38"/>
      <c r="AN914" s="38"/>
      <c r="AO914" s="38"/>
      <c r="AP914" s="38"/>
      <c r="AQ914" s="38"/>
      <c r="AR914" s="261"/>
      <c r="AS914" s="261"/>
      <c r="AT914" s="261"/>
      <c r="AU914" s="43"/>
      <c r="AV914" s="43"/>
      <c r="AW914" s="119"/>
      <c r="AX914" s="119"/>
      <c r="AY914" s="43"/>
      <c r="AZ914" s="43"/>
      <c r="BA914" s="43"/>
      <c r="BB914" s="43"/>
      <c r="BC914" s="43"/>
      <c r="BD914" s="43"/>
    </row>
    <row r="915" spans="1:56" ht="15.75">
      <c r="A915" s="43"/>
      <c r="B915" s="43"/>
      <c r="C915" s="43"/>
      <c r="D915" s="43"/>
      <c r="E915" s="43"/>
      <c r="F915" s="43"/>
      <c r="G915" s="43"/>
      <c r="H915" s="43"/>
      <c r="I915" s="43"/>
      <c r="J915" s="43"/>
      <c r="K915" s="43"/>
      <c r="L915" s="43"/>
      <c r="M915" s="44"/>
      <c r="N915" s="119"/>
      <c r="O915" s="38"/>
      <c r="P915" s="38"/>
      <c r="Q915" s="38"/>
      <c r="R915" s="38"/>
      <c r="S915" s="38"/>
      <c r="T915" s="38"/>
      <c r="U915" s="44"/>
      <c r="V915" s="2197" t="str">
        <f t="shared" ref="V915:AA915" si="463">+IF(+ROUND(V914,2)=0,"O K","НЕРАВНЕНИЕ !")</f>
        <v>O K</v>
      </c>
      <c r="W915" s="2198" t="str">
        <f t="shared" si="463"/>
        <v>O K</v>
      </c>
      <c r="X915" s="2199" t="str">
        <f t="shared" si="463"/>
        <v>O K</v>
      </c>
      <c r="Y915" s="2198" t="str">
        <f t="shared" si="463"/>
        <v>O K</v>
      </c>
      <c r="Z915" s="2199" t="str">
        <f t="shared" si="463"/>
        <v>O K</v>
      </c>
      <c r="AA915" s="2200" t="str">
        <f t="shared" si="463"/>
        <v>O K</v>
      </c>
      <c r="AB915" s="44"/>
      <c r="AC915" s="38"/>
      <c r="AD915" s="38"/>
      <c r="AE915" s="38"/>
      <c r="AF915" s="38"/>
      <c r="AG915" s="38"/>
      <c r="AH915" s="38"/>
      <c r="AI915" s="44"/>
      <c r="AJ915" s="119"/>
      <c r="AK915" s="38"/>
      <c r="AL915" s="38"/>
      <c r="AM915" s="38"/>
      <c r="AN915" s="38"/>
      <c r="AO915" s="38"/>
      <c r="AP915" s="38"/>
      <c r="AQ915" s="43"/>
      <c r="AR915" s="261"/>
      <c r="AS915" s="261"/>
      <c r="AT915" s="261"/>
      <c r="AU915" s="43"/>
      <c r="AV915" s="43"/>
      <c r="AW915" s="119"/>
      <c r="AX915" s="119"/>
      <c r="AY915" s="43"/>
      <c r="AZ915" s="43"/>
      <c r="BA915" s="43"/>
      <c r="BB915" s="43"/>
      <c r="BC915" s="43"/>
      <c r="BD915" s="43"/>
    </row>
    <row r="916" spans="1:56" ht="15.75">
      <c r="A916" s="43"/>
      <c r="B916" s="43"/>
      <c r="C916" s="43"/>
      <c r="D916" s="43"/>
      <c r="E916" s="43"/>
      <c r="F916" s="43"/>
      <c r="G916" s="43"/>
      <c r="H916" s="43"/>
      <c r="I916" s="43"/>
      <c r="J916" s="43"/>
      <c r="K916" s="43"/>
      <c r="L916" s="43"/>
      <c r="M916" s="44"/>
      <c r="N916" s="119"/>
      <c r="O916" s="38"/>
      <c r="P916" s="38"/>
      <c r="Q916" s="38"/>
      <c r="R916" s="38"/>
      <c r="S916" s="38"/>
      <c r="T916" s="38"/>
      <c r="U916" s="44"/>
      <c r="V916" s="38"/>
      <c r="W916" s="38"/>
      <c r="X916" s="38"/>
      <c r="Y916" s="38"/>
      <c r="Z916" s="38"/>
      <c r="AA916" s="38"/>
      <c r="AB916" s="44"/>
      <c r="AC916" s="38"/>
      <c r="AD916" s="38"/>
      <c r="AE916" s="38"/>
      <c r="AF916" s="38"/>
      <c r="AG916" s="38"/>
      <c r="AH916" s="38"/>
      <c r="AI916" s="44"/>
      <c r="AJ916" s="119"/>
      <c r="AK916" s="38"/>
      <c r="AL916" s="38"/>
      <c r="AM916" s="38"/>
      <c r="AN916" s="38"/>
      <c r="AO916" s="38"/>
      <c r="AP916" s="38"/>
      <c r="AQ916" s="43"/>
      <c r="AR916" s="261"/>
      <c r="AS916" s="261"/>
      <c r="AT916" s="261"/>
      <c r="AU916" s="43"/>
      <c r="AV916" s="43"/>
      <c r="AW916" s="119"/>
      <c r="AX916" s="119"/>
      <c r="AY916" s="43"/>
      <c r="AZ916" s="43"/>
      <c r="BA916" s="43"/>
      <c r="BB916" s="43"/>
      <c r="BC916" s="43"/>
      <c r="BD916" s="43"/>
    </row>
    <row r="917" spans="1:56" ht="15.75">
      <c r="A917" s="43"/>
      <c r="B917" s="43"/>
      <c r="C917" s="43"/>
      <c r="D917" s="43"/>
      <c r="E917" s="43"/>
      <c r="F917" s="43"/>
      <c r="G917" s="43"/>
      <c r="H917" s="43"/>
      <c r="I917" s="43"/>
      <c r="J917" s="43"/>
      <c r="K917" s="43"/>
      <c r="L917" s="43"/>
      <c r="M917" s="44"/>
      <c r="N917" s="119"/>
      <c r="O917" s="38"/>
      <c r="P917" s="38"/>
      <c r="Q917" s="38"/>
      <c r="R917" s="38"/>
      <c r="S917" s="38"/>
      <c r="T917" s="38"/>
      <c r="U917" s="44"/>
      <c r="V917" s="38"/>
      <c r="W917" s="38"/>
      <c r="X917" s="38"/>
      <c r="Y917" s="38"/>
      <c r="Z917" s="38"/>
      <c r="AA917" s="38"/>
      <c r="AB917" s="44"/>
      <c r="AC917" s="38"/>
      <c r="AD917" s="38"/>
      <c r="AE917" s="38"/>
      <c r="AF917" s="38"/>
      <c r="AG917" s="38"/>
      <c r="AH917" s="38"/>
      <c r="AI917" s="44"/>
      <c r="AJ917" s="119"/>
      <c r="AK917" s="38"/>
      <c r="AL917" s="38"/>
      <c r="AM917" s="38"/>
      <c r="AN917" s="38"/>
      <c r="AO917" s="38"/>
      <c r="AP917" s="38"/>
      <c r="AQ917" s="43"/>
      <c r="AR917" s="261"/>
      <c r="AS917" s="261"/>
      <c r="AT917" s="261"/>
      <c r="AU917" s="43"/>
      <c r="AV917" s="43"/>
      <c r="AW917" s="119"/>
      <c r="AX917" s="119"/>
      <c r="AY917" s="43"/>
      <c r="AZ917" s="43"/>
      <c r="BA917" s="43"/>
      <c r="BB917" s="43"/>
      <c r="BC917" s="43"/>
      <c r="BD917" s="43"/>
    </row>
    <row r="918" spans="1:56">
      <c r="A918" s="43"/>
      <c r="B918" s="43"/>
      <c r="C918" s="43"/>
      <c r="D918" s="43"/>
      <c r="E918" s="43"/>
      <c r="F918" s="43"/>
      <c r="G918" s="43"/>
      <c r="H918" s="43"/>
      <c r="I918" s="43"/>
      <c r="J918" s="43"/>
      <c r="K918" s="43"/>
      <c r="L918" s="43"/>
      <c r="M918" s="44"/>
      <c r="N918" s="119"/>
      <c r="O918" s="38"/>
      <c r="P918" s="38"/>
      <c r="Q918" s="38"/>
      <c r="R918" s="38"/>
      <c r="S918" s="38"/>
      <c r="T918" s="38"/>
      <c r="U918" s="44"/>
      <c r="V918" s="38"/>
      <c r="W918" s="38"/>
      <c r="X918" s="38"/>
      <c r="Y918" s="38"/>
      <c r="Z918" s="38"/>
      <c r="AA918" s="38"/>
      <c r="AB918" s="44"/>
      <c r="AC918" s="38"/>
      <c r="AD918" s="38"/>
      <c r="AE918" s="38"/>
      <c r="AF918" s="38"/>
      <c r="AG918" s="38"/>
      <c r="AH918" s="38"/>
      <c r="AI918" s="44"/>
      <c r="AJ918" s="119"/>
      <c r="AK918" s="38"/>
      <c r="AL918" s="38"/>
      <c r="AM918" s="38"/>
      <c r="AN918" s="38"/>
      <c r="AO918" s="38"/>
      <c r="AP918" s="38"/>
      <c r="AQ918" s="43"/>
      <c r="AR918" s="38"/>
      <c r="AS918" s="38"/>
      <c r="AT918" s="38"/>
      <c r="AU918" s="43"/>
      <c r="AV918" s="43"/>
      <c r="AW918" s="119"/>
      <c r="AX918" s="119"/>
      <c r="AY918" s="43"/>
      <c r="AZ918" s="43"/>
      <c r="BA918" s="43"/>
      <c r="BB918" s="43"/>
      <c r="BC918" s="43"/>
      <c r="BD918" s="43"/>
    </row>
    <row r="919" spans="1:56">
      <c r="A919" s="43"/>
      <c r="B919" s="43"/>
      <c r="C919" s="43"/>
      <c r="D919" s="43"/>
      <c r="E919" s="43"/>
      <c r="F919" s="43"/>
      <c r="G919" s="43"/>
      <c r="H919" s="43"/>
      <c r="I919" s="43"/>
      <c r="J919" s="43"/>
      <c r="K919" s="43"/>
      <c r="L919" s="43"/>
      <c r="M919" s="44"/>
      <c r="N919" s="119"/>
      <c r="O919" s="38"/>
      <c r="P919" s="38"/>
      <c r="Q919" s="38"/>
      <c r="R919" s="38"/>
      <c r="S919" s="38"/>
      <c r="T919" s="38"/>
      <c r="U919" s="44"/>
      <c r="V919" s="38"/>
      <c r="W919" s="38"/>
      <c r="X919" s="38"/>
      <c r="Y919" s="38"/>
      <c r="Z919" s="38"/>
      <c r="AA919" s="38"/>
      <c r="AB919" s="44"/>
      <c r="AC919" s="38"/>
      <c r="AD919" s="38"/>
      <c r="AE919" s="38"/>
      <c r="AF919" s="38"/>
      <c r="AG919" s="38"/>
      <c r="AH919" s="38"/>
      <c r="AI919" s="44"/>
      <c r="AJ919" s="119"/>
      <c r="AK919" s="38"/>
      <c r="AL919" s="38"/>
      <c r="AM919" s="38"/>
      <c r="AN919" s="38"/>
      <c r="AO919" s="38"/>
      <c r="AP919" s="38"/>
      <c r="AQ919" s="43"/>
      <c r="AR919" s="38"/>
      <c r="AS919" s="38"/>
      <c r="AT919" s="38"/>
      <c r="AU919" s="43"/>
      <c r="AV919" s="43"/>
      <c r="AW919" s="119"/>
      <c r="AX919" s="119"/>
      <c r="AY919" s="43"/>
      <c r="AZ919" s="43"/>
      <c r="BA919" s="43"/>
      <c r="BB919" s="43"/>
      <c r="BC919" s="43"/>
      <c r="BD919" s="43"/>
    </row>
    <row r="920" spans="1:56">
      <c r="A920" s="43"/>
      <c r="B920" s="43"/>
      <c r="C920" s="43"/>
      <c r="D920" s="43"/>
      <c r="E920" s="43"/>
      <c r="F920" s="43"/>
      <c r="G920" s="43"/>
      <c r="H920" s="43"/>
      <c r="I920" s="43"/>
      <c r="J920" s="43"/>
      <c r="K920" s="43"/>
      <c r="L920" s="43"/>
      <c r="M920" s="44"/>
      <c r="N920" s="119"/>
      <c r="O920" s="38"/>
      <c r="P920" s="38"/>
      <c r="Q920" s="38"/>
      <c r="R920" s="38"/>
      <c r="S920" s="38"/>
      <c r="T920" s="38"/>
      <c r="U920" s="44"/>
      <c r="V920" s="38"/>
      <c r="W920" s="38"/>
      <c r="X920" s="38"/>
      <c r="Y920" s="38"/>
      <c r="Z920" s="38"/>
      <c r="AA920" s="38"/>
      <c r="AB920" s="44"/>
      <c r="AC920" s="38"/>
      <c r="AD920" s="38"/>
      <c r="AE920" s="38"/>
      <c r="AF920" s="38"/>
      <c r="AG920" s="38"/>
      <c r="AH920" s="38"/>
      <c r="AI920" s="44"/>
      <c r="AJ920" s="119"/>
      <c r="AK920" s="38"/>
      <c r="AL920" s="38"/>
      <c r="AM920" s="38"/>
      <c r="AN920" s="38"/>
      <c r="AO920" s="38"/>
      <c r="AP920" s="38"/>
      <c r="AQ920" s="43"/>
      <c r="AR920" s="38"/>
      <c r="AS920" s="38"/>
      <c r="AT920" s="38"/>
      <c r="AU920" s="43"/>
      <c r="AV920" s="43"/>
      <c r="AW920" s="119"/>
      <c r="AX920" s="119"/>
      <c r="AY920" s="43"/>
      <c r="AZ920" s="43"/>
      <c r="BA920" s="43"/>
      <c r="BB920" s="43"/>
      <c r="BC920" s="43"/>
      <c r="BD920" s="43"/>
    </row>
    <row r="921" spans="1:56">
      <c r="A921" s="43"/>
      <c r="B921" s="43"/>
      <c r="C921" s="43"/>
      <c r="D921" s="43"/>
      <c r="E921" s="43"/>
      <c r="F921" s="43"/>
      <c r="G921" s="43"/>
      <c r="H921" s="43"/>
      <c r="I921" s="43"/>
      <c r="J921" s="43"/>
      <c r="K921" s="43"/>
      <c r="L921" s="43"/>
      <c r="M921" s="44"/>
      <c r="N921" s="119"/>
      <c r="O921" s="38"/>
      <c r="P921" s="38"/>
      <c r="Q921" s="38"/>
      <c r="R921" s="38"/>
      <c r="S921" s="38"/>
      <c r="T921" s="38"/>
      <c r="U921" s="44"/>
      <c r="V921" s="38"/>
      <c r="W921" s="38"/>
      <c r="X921" s="38"/>
      <c r="Y921" s="38"/>
      <c r="Z921" s="38"/>
      <c r="AA921" s="38"/>
      <c r="AB921" s="44"/>
      <c r="AC921" s="38"/>
      <c r="AD921" s="38"/>
      <c r="AE921" s="38"/>
      <c r="AF921" s="38"/>
      <c r="AG921" s="38"/>
      <c r="AH921" s="38"/>
      <c r="AI921" s="44"/>
      <c r="AJ921" s="119"/>
      <c r="AK921" s="38"/>
      <c r="AL921" s="38"/>
      <c r="AM921" s="38"/>
      <c r="AN921" s="38"/>
      <c r="AO921" s="38"/>
      <c r="AP921" s="38"/>
      <c r="AQ921" s="43"/>
      <c r="AR921" s="38"/>
      <c r="AS921" s="38"/>
      <c r="AT921" s="38"/>
      <c r="AU921" s="43"/>
      <c r="AV921" s="43"/>
      <c r="AW921" s="119"/>
      <c r="AX921" s="119"/>
      <c r="AY921" s="43"/>
      <c r="AZ921" s="43"/>
      <c r="BA921" s="43"/>
      <c r="BB921" s="43"/>
      <c r="BC921" s="43"/>
      <c r="BD921" s="43"/>
    </row>
    <row r="922" spans="1:56">
      <c r="A922" s="43"/>
      <c r="B922" s="43"/>
      <c r="C922" s="43"/>
      <c r="D922" s="43"/>
      <c r="E922" s="43"/>
      <c r="F922" s="43"/>
      <c r="G922" s="43"/>
      <c r="H922" s="43"/>
      <c r="I922" s="43"/>
      <c r="J922" s="43"/>
      <c r="K922" s="43"/>
      <c r="L922" s="43"/>
      <c r="M922" s="44"/>
      <c r="N922" s="119"/>
      <c r="O922" s="38"/>
      <c r="P922" s="38"/>
      <c r="Q922" s="38"/>
      <c r="R922" s="38"/>
      <c r="S922" s="38"/>
      <c r="T922" s="38"/>
      <c r="U922" s="44"/>
      <c r="V922" s="38"/>
      <c r="W922" s="38"/>
      <c r="X922" s="38"/>
      <c r="Y922" s="38"/>
      <c r="Z922" s="38"/>
      <c r="AA922" s="38"/>
      <c r="AB922" s="44"/>
      <c r="AC922" s="38"/>
      <c r="AD922" s="38"/>
      <c r="AE922" s="38"/>
      <c r="AF922" s="38"/>
      <c r="AG922" s="38"/>
      <c r="AH922" s="38"/>
      <c r="AI922" s="44"/>
      <c r="AJ922" s="119"/>
      <c r="AK922" s="38"/>
      <c r="AL922" s="38"/>
      <c r="AM922" s="38"/>
      <c r="AN922" s="38"/>
      <c r="AO922" s="38"/>
      <c r="AP922" s="38"/>
      <c r="AQ922" s="43"/>
      <c r="AR922" s="38"/>
      <c r="AS922" s="38"/>
      <c r="AT922" s="38"/>
      <c r="AU922" s="43"/>
      <c r="AV922" s="43"/>
      <c r="AW922" s="119"/>
      <c r="AX922" s="119"/>
      <c r="AY922" s="43"/>
      <c r="AZ922" s="43"/>
      <c r="BA922" s="43"/>
      <c r="BB922" s="43"/>
      <c r="BC922" s="43"/>
      <c r="BD922" s="43"/>
    </row>
    <row r="923" spans="1:56">
      <c r="A923" s="43"/>
      <c r="B923" s="43"/>
      <c r="C923" s="43"/>
      <c r="D923" s="43"/>
      <c r="E923" s="43"/>
      <c r="F923" s="43"/>
      <c r="G923" s="43"/>
      <c r="H923" s="43"/>
      <c r="I923" s="43"/>
      <c r="J923" s="43"/>
      <c r="K923" s="43"/>
      <c r="L923" s="43"/>
      <c r="M923" s="44"/>
      <c r="N923" s="119"/>
      <c r="O923" s="38"/>
      <c r="P923" s="38"/>
      <c r="Q923" s="38"/>
      <c r="R923" s="38"/>
      <c r="S923" s="38"/>
      <c r="T923" s="38"/>
      <c r="U923" s="44"/>
      <c r="V923" s="38"/>
      <c r="W923" s="38"/>
      <c r="X923" s="38"/>
      <c r="Y923" s="38"/>
      <c r="Z923" s="38"/>
      <c r="AA923" s="38"/>
      <c r="AB923" s="44"/>
      <c r="AC923" s="38"/>
      <c r="AD923" s="38"/>
      <c r="AE923" s="38"/>
      <c r="AF923" s="38"/>
      <c r="AG923" s="38"/>
      <c r="AH923" s="38"/>
      <c r="AI923" s="44"/>
      <c r="AJ923" s="119"/>
      <c r="AK923" s="38"/>
      <c r="AL923" s="38"/>
      <c r="AM923" s="38"/>
      <c r="AN923" s="38"/>
      <c r="AO923" s="38"/>
      <c r="AP923" s="38"/>
      <c r="AQ923" s="43"/>
      <c r="AR923" s="38"/>
      <c r="AS923" s="38"/>
      <c r="AT923" s="38"/>
      <c r="AU923" s="43"/>
      <c r="AV923" s="43"/>
      <c r="AW923" s="119"/>
      <c r="AX923" s="119"/>
      <c r="AY923" s="43"/>
      <c r="AZ923" s="43"/>
      <c r="BA923" s="43"/>
      <c r="BB923" s="43"/>
      <c r="BC923" s="43"/>
      <c r="BD923" s="43"/>
    </row>
    <row r="924" spans="1:56">
      <c r="A924" s="43"/>
      <c r="B924" s="43"/>
      <c r="C924" s="43"/>
      <c r="D924" s="43"/>
      <c r="E924" s="43"/>
      <c r="F924" s="43"/>
      <c r="G924" s="43"/>
      <c r="H924" s="43"/>
      <c r="I924" s="43"/>
      <c r="J924" s="43"/>
      <c r="K924" s="43"/>
      <c r="L924" s="43"/>
      <c r="M924" s="44"/>
      <c r="N924" s="119"/>
      <c r="O924" s="38"/>
      <c r="P924" s="38"/>
      <c r="Q924" s="38"/>
      <c r="R924" s="38"/>
      <c r="S924" s="38"/>
      <c r="T924" s="38"/>
      <c r="U924" s="44"/>
      <c r="V924" s="38"/>
      <c r="W924" s="38"/>
      <c r="X924" s="38"/>
      <c r="Y924" s="38"/>
      <c r="Z924" s="38"/>
      <c r="AA924" s="38"/>
      <c r="AB924" s="44"/>
      <c r="AC924" s="38"/>
      <c r="AD924" s="38"/>
      <c r="AE924" s="38"/>
      <c r="AF924" s="38"/>
      <c r="AG924" s="38"/>
      <c r="AH924" s="38"/>
      <c r="AI924" s="44"/>
      <c r="AJ924" s="119"/>
      <c r="AK924" s="38"/>
      <c r="AL924" s="38"/>
      <c r="AM924" s="38"/>
      <c r="AN924" s="38"/>
      <c r="AO924" s="38"/>
      <c r="AP924" s="38"/>
      <c r="AQ924" s="43"/>
      <c r="AR924" s="38"/>
      <c r="AS924" s="38"/>
      <c r="AT924" s="38"/>
      <c r="AU924" s="43"/>
      <c r="AV924" s="43"/>
      <c r="AW924" s="119"/>
      <c r="AX924" s="119"/>
      <c r="AY924" s="43"/>
      <c r="AZ924" s="43"/>
      <c r="BA924" s="43"/>
      <c r="BB924" s="43"/>
      <c r="BC924" s="43"/>
      <c r="BD924" s="43"/>
    </row>
    <row r="925" spans="1:56">
      <c r="A925" s="43"/>
      <c r="B925" s="43"/>
      <c r="C925" s="43"/>
      <c r="D925" s="43"/>
      <c r="E925" s="43"/>
      <c r="F925" s="43"/>
      <c r="G925" s="43"/>
      <c r="H925" s="43"/>
      <c r="I925" s="43"/>
      <c r="J925" s="43"/>
      <c r="K925" s="43"/>
      <c r="L925" s="43"/>
      <c r="M925" s="44"/>
      <c r="N925" s="119"/>
      <c r="O925" s="38"/>
      <c r="P925" s="38"/>
      <c r="Q925" s="38"/>
      <c r="R925" s="38"/>
      <c r="S925" s="38"/>
      <c r="T925" s="38"/>
      <c r="U925" s="44"/>
      <c r="V925" s="38"/>
      <c r="W925" s="38"/>
      <c r="X925" s="38"/>
      <c r="Y925" s="38"/>
      <c r="Z925" s="38"/>
      <c r="AA925" s="38"/>
      <c r="AB925" s="44"/>
      <c r="AC925" s="38"/>
      <c r="AD925" s="38"/>
      <c r="AE925" s="38"/>
      <c r="AF925" s="38"/>
      <c r="AG925" s="38"/>
      <c r="AH925" s="38"/>
      <c r="AI925" s="44"/>
      <c r="AJ925" s="119"/>
      <c r="AK925" s="38"/>
      <c r="AL925" s="38"/>
      <c r="AM925" s="38"/>
      <c r="AN925" s="38"/>
      <c r="AO925" s="38"/>
      <c r="AP925" s="38"/>
      <c r="AQ925" s="43"/>
      <c r="AR925" s="38"/>
      <c r="AS925" s="38"/>
      <c r="AT925" s="38"/>
      <c r="AU925" s="43"/>
      <c r="AV925" s="43"/>
      <c r="AW925" s="119"/>
      <c r="AX925" s="119"/>
      <c r="AY925" s="43"/>
      <c r="AZ925" s="43"/>
      <c r="BA925" s="43"/>
      <c r="BB925" s="43"/>
      <c r="BC925" s="43"/>
      <c r="BD925" s="43"/>
    </row>
    <row r="926" spans="1:56">
      <c r="A926" s="43"/>
      <c r="B926" s="43"/>
      <c r="C926" s="43"/>
      <c r="D926" s="43"/>
      <c r="E926" s="43"/>
      <c r="F926" s="43"/>
      <c r="G926" s="43"/>
      <c r="H926" s="43"/>
      <c r="I926" s="43"/>
      <c r="J926" s="43"/>
      <c r="K926" s="43"/>
      <c r="L926" s="43"/>
      <c r="M926" s="44"/>
      <c r="N926" s="119"/>
      <c r="O926" s="38"/>
      <c r="P926" s="38"/>
      <c r="Q926" s="38"/>
      <c r="R926" s="38"/>
      <c r="S926" s="38"/>
      <c r="T926" s="38"/>
      <c r="U926" s="44"/>
      <c r="V926" s="38"/>
      <c r="W926" s="38"/>
      <c r="X926" s="38"/>
      <c r="Y926" s="38"/>
      <c r="Z926" s="38"/>
      <c r="AA926" s="38"/>
      <c r="AB926" s="44"/>
      <c r="AC926" s="38"/>
      <c r="AD926" s="38"/>
      <c r="AE926" s="38"/>
      <c r="AF926" s="38"/>
      <c r="AG926" s="38"/>
      <c r="AH926" s="38"/>
      <c r="AI926" s="44"/>
      <c r="AJ926" s="119"/>
      <c r="AK926" s="38"/>
      <c r="AL926" s="38"/>
      <c r="AM926" s="38"/>
      <c r="AN926" s="38"/>
      <c r="AO926" s="38"/>
      <c r="AP926" s="38"/>
      <c r="AQ926" s="43"/>
      <c r="AR926" s="38"/>
      <c r="AS926" s="38"/>
      <c r="AT926" s="38"/>
      <c r="AU926" s="43"/>
      <c r="AV926" s="43"/>
      <c r="AW926" s="119"/>
      <c r="AX926" s="119"/>
      <c r="AY926" s="43"/>
      <c r="AZ926" s="43"/>
      <c r="BA926" s="43"/>
      <c r="BB926" s="43"/>
      <c r="BC926" s="43"/>
      <c r="BD926" s="43"/>
    </row>
    <row r="927" spans="1:56">
      <c r="A927" s="43"/>
      <c r="B927" s="43"/>
      <c r="C927" s="43"/>
      <c r="D927" s="43"/>
      <c r="E927" s="43"/>
      <c r="F927" s="43"/>
      <c r="G927" s="43"/>
      <c r="H927" s="43"/>
      <c r="I927" s="43"/>
      <c r="J927" s="43"/>
      <c r="K927" s="43"/>
      <c r="L927" s="43"/>
      <c r="M927" s="44"/>
      <c r="N927" s="119"/>
      <c r="O927" s="38"/>
      <c r="P927" s="38"/>
      <c r="Q927" s="38"/>
      <c r="R927" s="38"/>
      <c r="S927" s="38"/>
      <c r="T927" s="38"/>
      <c r="U927" s="44"/>
      <c r="V927" s="38"/>
      <c r="W927" s="38"/>
      <c r="X927" s="38"/>
      <c r="Y927" s="38"/>
      <c r="Z927" s="38"/>
      <c r="AA927" s="38"/>
      <c r="AB927" s="44"/>
      <c r="AC927" s="38"/>
      <c r="AD927" s="38"/>
      <c r="AE927" s="38"/>
      <c r="AF927" s="38"/>
      <c r="AG927" s="38"/>
      <c r="AH927" s="38"/>
      <c r="AI927" s="44"/>
      <c r="AJ927" s="119"/>
      <c r="AK927" s="38"/>
      <c r="AL927" s="38"/>
      <c r="AM927" s="38"/>
      <c r="AN927" s="38"/>
      <c r="AO927" s="38"/>
      <c r="AP927" s="38"/>
      <c r="AQ927" s="43"/>
      <c r="AR927" s="38"/>
      <c r="AS927" s="38"/>
      <c r="AT927" s="38"/>
      <c r="AU927" s="43"/>
      <c r="AV927" s="43"/>
      <c r="AW927" s="119"/>
      <c r="AX927" s="119"/>
      <c r="AY927" s="43"/>
      <c r="AZ927" s="43"/>
      <c r="BA927" s="43"/>
      <c r="BB927" s="43"/>
      <c r="BC927" s="43"/>
      <c r="BD927" s="43"/>
    </row>
    <row r="928" spans="1:56">
      <c r="A928" s="43"/>
      <c r="B928" s="43"/>
      <c r="C928" s="43"/>
      <c r="D928" s="43"/>
      <c r="E928" s="43"/>
      <c r="F928" s="43"/>
      <c r="G928" s="43"/>
      <c r="H928" s="43"/>
      <c r="I928" s="43"/>
      <c r="J928" s="43"/>
      <c r="K928" s="43"/>
      <c r="L928" s="43"/>
      <c r="M928" s="44"/>
      <c r="N928" s="119"/>
      <c r="O928" s="38"/>
      <c r="P928" s="38"/>
      <c r="Q928" s="38"/>
      <c r="R928" s="38"/>
      <c r="S928" s="38"/>
      <c r="T928" s="38"/>
      <c r="U928" s="44"/>
      <c r="V928" s="38"/>
      <c r="W928" s="38"/>
      <c r="X928" s="38"/>
      <c r="Y928" s="38"/>
      <c r="Z928" s="38"/>
      <c r="AA928" s="38"/>
      <c r="AB928" s="44"/>
      <c r="AC928" s="38"/>
      <c r="AD928" s="38"/>
      <c r="AE928" s="38"/>
      <c r="AF928" s="38"/>
      <c r="AG928" s="38"/>
      <c r="AH928" s="38"/>
      <c r="AI928" s="44"/>
      <c r="AJ928" s="119"/>
      <c r="AK928" s="38"/>
      <c r="AL928" s="38"/>
      <c r="AM928" s="38"/>
      <c r="AN928" s="38"/>
      <c r="AO928" s="38"/>
      <c r="AP928" s="38"/>
      <c r="AQ928" s="43"/>
      <c r="AR928" s="38"/>
      <c r="AS928" s="38"/>
      <c r="AT928" s="38"/>
      <c r="AU928" s="43"/>
      <c r="AV928" s="43"/>
      <c r="AW928" s="119"/>
      <c r="AX928" s="119"/>
      <c r="AY928" s="43"/>
      <c r="AZ928" s="43"/>
      <c r="BA928" s="43"/>
      <c r="BB928" s="43"/>
      <c r="BC928" s="43"/>
      <c r="BD928" s="43"/>
    </row>
    <row r="929" spans="1:56">
      <c r="A929" s="43"/>
      <c r="B929" s="43"/>
      <c r="C929" s="43"/>
      <c r="D929" s="43"/>
      <c r="E929" s="43"/>
      <c r="F929" s="43"/>
      <c r="G929" s="43"/>
      <c r="H929" s="43"/>
      <c r="I929" s="43"/>
      <c r="J929" s="43"/>
      <c r="K929" s="43"/>
      <c r="L929" s="43"/>
      <c r="M929" s="44"/>
      <c r="N929" s="119"/>
      <c r="O929" s="38"/>
      <c r="P929" s="38"/>
      <c r="Q929" s="38"/>
      <c r="R929" s="38"/>
      <c r="S929" s="38"/>
      <c r="T929" s="38"/>
      <c r="U929" s="44"/>
      <c r="V929" s="38"/>
      <c r="W929" s="38"/>
      <c r="X929" s="38"/>
      <c r="Y929" s="38"/>
      <c r="Z929" s="38"/>
      <c r="AA929" s="38"/>
      <c r="AB929" s="44"/>
      <c r="AC929" s="38"/>
      <c r="AD929" s="38"/>
      <c r="AE929" s="38"/>
      <c r="AF929" s="38"/>
      <c r="AG929" s="38"/>
      <c r="AH929" s="38"/>
      <c r="AI929" s="44"/>
      <c r="AJ929" s="119"/>
      <c r="AK929" s="38"/>
      <c r="AL929" s="38"/>
      <c r="AM929" s="38"/>
      <c r="AN929" s="38"/>
      <c r="AO929" s="38"/>
      <c r="AP929" s="38"/>
      <c r="AQ929" s="43"/>
      <c r="AR929" s="38"/>
      <c r="AS929" s="38"/>
      <c r="AT929" s="38"/>
      <c r="AU929" s="43"/>
      <c r="AV929" s="43"/>
      <c r="AW929" s="119"/>
      <c r="AX929" s="119"/>
      <c r="AY929" s="43"/>
      <c r="AZ929" s="43"/>
      <c r="BA929" s="43"/>
      <c r="BB929" s="43"/>
      <c r="BC929" s="43"/>
      <c r="BD929" s="43"/>
    </row>
    <row r="930" spans="1:56">
      <c r="A930" s="43"/>
      <c r="B930" s="43"/>
      <c r="C930" s="43"/>
      <c r="D930" s="43"/>
      <c r="E930" s="43"/>
      <c r="F930" s="43"/>
      <c r="G930" s="43"/>
      <c r="H930" s="43"/>
      <c r="I930" s="43"/>
      <c r="J930" s="43"/>
      <c r="K930" s="43"/>
      <c r="L930" s="43"/>
      <c r="M930" s="44"/>
      <c r="N930" s="119"/>
      <c r="O930" s="38"/>
      <c r="P930" s="38"/>
      <c r="Q930" s="38"/>
      <c r="R930" s="38"/>
      <c r="S930" s="38"/>
      <c r="T930" s="38"/>
      <c r="U930" s="44"/>
      <c r="V930" s="38"/>
      <c r="W930" s="38"/>
      <c r="X930" s="38"/>
      <c r="Y930" s="38"/>
      <c r="Z930" s="38"/>
      <c r="AA930" s="38"/>
      <c r="AB930" s="44"/>
      <c r="AC930" s="38"/>
      <c r="AD930" s="38"/>
      <c r="AE930" s="38"/>
      <c r="AF930" s="38"/>
      <c r="AG930" s="38"/>
      <c r="AH930" s="38"/>
      <c r="AI930" s="44"/>
      <c r="AJ930" s="119"/>
      <c r="AK930" s="38"/>
      <c r="AL930" s="38"/>
      <c r="AM930" s="38"/>
      <c r="AN930" s="38"/>
      <c r="AO930" s="38"/>
      <c r="AP930" s="38"/>
      <c r="AQ930" s="43"/>
      <c r="AR930" s="38"/>
      <c r="AS930" s="38"/>
      <c r="AT930" s="38"/>
      <c r="AU930" s="43"/>
      <c r="AV930" s="43"/>
      <c r="AW930" s="119"/>
      <c r="AX930" s="119"/>
      <c r="AY930" s="43"/>
      <c r="AZ930" s="43"/>
      <c r="BA930" s="43"/>
      <c r="BB930" s="43"/>
      <c r="BC930" s="43"/>
      <c r="BD930" s="43"/>
    </row>
    <row r="931" spans="1:56">
      <c r="A931" s="43"/>
      <c r="B931" s="43"/>
      <c r="C931" s="43"/>
      <c r="D931" s="43"/>
      <c r="E931" s="43"/>
      <c r="F931" s="43"/>
      <c r="G931" s="43"/>
      <c r="H931" s="43"/>
      <c r="I931" s="43"/>
      <c r="J931" s="43"/>
      <c r="K931" s="43"/>
      <c r="L931" s="43"/>
      <c r="M931" s="44"/>
      <c r="N931" s="119"/>
      <c r="O931" s="38"/>
      <c r="P931" s="38"/>
      <c r="Q931" s="38"/>
      <c r="R931" s="38"/>
      <c r="S931" s="38"/>
      <c r="T931" s="38"/>
      <c r="U931" s="44"/>
      <c r="V931" s="38"/>
      <c r="W931" s="38"/>
      <c r="X931" s="38"/>
      <c r="Y931" s="38"/>
      <c r="Z931" s="38"/>
      <c r="AA931" s="38"/>
      <c r="AB931" s="44"/>
      <c r="AC931" s="38"/>
      <c r="AD931" s="38"/>
      <c r="AE931" s="38"/>
      <c r="AF931" s="38"/>
      <c r="AG931" s="38"/>
      <c r="AH931" s="38"/>
      <c r="AI931" s="44"/>
      <c r="AJ931" s="119"/>
      <c r="AK931" s="38"/>
      <c r="AL931" s="38"/>
      <c r="AM931" s="38"/>
      <c r="AN931" s="38"/>
      <c r="AO931" s="38"/>
      <c r="AP931" s="38"/>
      <c r="AQ931" s="43"/>
      <c r="AR931" s="38"/>
      <c r="AS931" s="38"/>
      <c r="AT931" s="38"/>
      <c r="AU931" s="43"/>
      <c r="AV931" s="43"/>
      <c r="AW931" s="119"/>
      <c r="AX931" s="119"/>
      <c r="AY931" s="43"/>
      <c r="AZ931" s="43"/>
      <c r="BA931" s="43"/>
      <c r="BB931" s="43"/>
      <c r="BC931" s="43"/>
      <c r="BD931" s="43"/>
    </row>
    <row r="932" spans="1:56">
      <c r="A932" s="43"/>
      <c r="B932" s="43"/>
      <c r="C932" s="43"/>
      <c r="D932" s="43"/>
      <c r="E932" s="43"/>
      <c r="F932" s="43"/>
      <c r="G932" s="43"/>
      <c r="H932" s="43"/>
      <c r="I932" s="43"/>
      <c r="J932" s="43"/>
      <c r="K932" s="43"/>
      <c r="L932" s="43"/>
      <c r="M932" s="44"/>
      <c r="N932" s="119"/>
      <c r="O932" s="38"/>
      <c r="P932" s="38"/>
      <c r="Q932" s="38"/>
      <c r="R932" s="38"/>
      <c r="S932" s="38"/>
      <c r="T932" s="38"/>
      <c r="U932" s="44"/>
      <c r="V932" s="38"/>
      <c r="W932" s="38"/>
      <c r="X932" s="38"/>
      <c r="Y932" s="38"/>
      <c r="Z932" s="38"/>
      <c r="AA932" s="38"/>
      <c r="AB932" s="44"/>
      <c r="AC932" s="38"/>
      <c r="AD932" s="38"/>
      <c r="AE932" s="38"/>
      <c r="AF932" s="38"/>
      <c r="AG932" s="38"/>
      <c r="AH932" s="38"/>
      <c r="AI932" s="44"/>
      <c r="AJ932" s="119"/>
      <c r="AK932" s="38"/>
      <c r="AL932" s="38"/>
      <c r="AM932" s="38"/>
      <c r="AN932" s="38"/>
      <c r="AO932" s="38"/>
      <c r="AP932" s="38"/>
      <c r="AQ932" s="43"/>
      <c r="AR932" s="38"/>
      <c r="AS932" s="38"/>
      <c r="AT932" s="38"/>
      <c r="AU932" s="43"/>
      <c r="AV932" s="43"/>
      <c r="AW932" s="119"/>
      <c r="AX932" s="119"/>
      <c r="AY932" s="43"/>
      <c r="AZ932" s="43"/>
      <c r="BA932" s="43"/>
      <c r="BB932" s="43"/>
      <c r="BC932" s="43"/>
      <c r="BD932" s="43"/>
    </row>
    <row r="933" spans="1:56">
      <c r="A933" s="43"/>
      <c r="B933" s="43"/>
      <c r="C933" s="43"/>
      <c r="D933" s="43"/>
      <c r="E933" s="43"/>
      <c r="F933" s="43"/>
      <c r="G933" s="43"/>
      <c r="H933" s="43"/>
      <c r="I933" s="43"/>
      <c r="J933" s="43"/>
      <c r="K933" s="43"/>
      <c r="L933" s="43"/>
      <c r="M933" s="44"/>
      <c r="N933" s="119"/>
      <c r="O933" s="38"/>
      <c r="P933" s="38"/>
      <c r="Q933" s="38"/>
      <c r="R933" s="38"/>
      <c r="S933" s="38"/>
      <c r="T933" s="38"/>
      <c r="U933" s="44"/>
      <c r="V933" s="38"/>
      <c r="W933" s="38"/>
      <c r="X933" s="38"/>
      <c r="Y933" s="38"/>
      <c r="Z933" s="38"/>
      <c r="AA933" s="38"/>
      <c r="AB933" s="44"/>
      <c r="AC933" s="38"/>
      <c r="AD933" s="38"/>
      <c r="AE933" s="38"/>
      <c r="AF933" s="38"/>
      <c r="AG933" s="38"/>
      <c r="AH933" s="38"/>
      <c r="AI933" s="44"/>
      <c r="AJ933" s="119"/>
      <c r="AK933" s="38"/>
      <c r="AL933" s="38"/>
      <c r="AM933" s="38"/>
      <c r="AN933" s="38"/>
      <c r="AO933" s="38"/>
      <c r="AP933" s="38"/>
      <c r="AQ933" s="43"/>
      <c r="AR933" s="38"/>
      <c r="AS933" s="38"/>
      <c r="AT933" s="38"/>
      <c r="AU933" s="43"/>
      <c r="AV933" s="43"/>
      <c r="AW933" s="119"/>
      <c r="AX933" s="119"/>
      <c r="AY933" s="43"/>
      <c r="AZ933" s="43"/>
      <c r="BA933" s="43"/>
      <c r="BB933" s="43"/>
      <c r="BC933" s="43"/>
      <c r="BD933" s="43"/>
    </row>
    <row r="934" spans="1:56">
      <c r="A934" s="43"/>
      <c r="B934" s="43"/>
      <c r="C934" s="43"/>
      <c r="D934" s="43"/>
      <c r="E934" s="43"/>
      <c r="F934" s="43"/>
      <c r="G934" s="43"/>
      <c r="H934" s="43"/>
      <c r="I934" s="43"/>
      <c r="J934" s="43"/>
      <c r="K934" s="43"/>
      <c r="L934" s="43"/>
      <c r="M934" s="44"/>
      <c r="N934" s="119"/>
      <c r="O934" s="38"/>
      <c r="P934" s="38"/>
      <c r="Q934" s="38"/>
      <c r="R934" s="38"/>
      <c r="S934" s="38"/>
      <c r="T934" s="38"/>
      <c r="U934" s="44"/>
      <c r="V934" s="38"/>
      <c r="W934" s="38"/>
      <c r="X934" s="38"/>
      <c r="Y934" s="38"/>
      <c r="Z934" s="38"/>
      <c r="AA934" s="38"/>
      <c r="AB934" s="44"/>
      <c r="AC934" s="38"/>
      <c r="AD934" s="38"/>
      <c r="AE934" s="38"/>
      <c r="AF934" s="38"/>
      <c r="AG934" s="38"/>
      <c r="AH934" s="38"/>
      <c r="AI934" s="44"/>
      <c r="AJ934" s="119"/>
      <c r="AK934" s="38"/>
      <c r="AL934" s="38"/>
      <c r="AM934" s="38"/>
      <c r="AN934" s="38"/>
      <c r="AO934" s="38"/>
      <c r="AP934" s="38"/>
      <c r="AQ934" s="43"/>
      <c r="AR934" s="38"/>
      <c r="AS934" s="38"/>
      <c r="AT934" s="38"/>
      <c r="AU934" s="43"/>
      <c r="AV934" s="43"/>
      <c r="AW934" s="119"/>
      <c r="AX934" s="119"/>
      <c r="AY934" s="43"/>
      <c r="AZ934" s="43"/>
      <c r="BA934" s="43"/>
      <c r="BB934" s="43"/>
      <c r="BC934" s="43"/>
      <c r="BD934" s="43"/>
    </row>
    <row r="935" spans="1:56">
      <c r="A935" s="43"/>
      <c r="B935" s="43"/>
      <c r="C935" s="43"/>
      <c r="D935" s="43"/>
      <c r="E935" s="43"/>
      <c r="F935" s="43"/>
      <c r="G935" s="43"/>
      <c r="H935" s="43"/>
      <c r="I935" s="43"/>
      <c r="J935" s="43"/>
      <c r="K935" s="43"/>
      <c r="L935" s="43"/>
      <c r="M935" s="44"/>
      <c r="N935" s="119"/>
      <c r="O935" s="38"/>
      <c r="P935" s="38"/>
      <c r="Q935" s="38"/>
      <c r="R935" s="38"/>
      <c r="S935" s="38"/>
      <c r="T935" s="38"/>
      <c r="U935" s="44"/>
      <c r="V935" s="38"/>
      <c r="W935" s="38"/>
      <c r="X935" s="38"/>
      <c r="Y935" s="38"/>
      <c r="Z935" s="38"/>
      <c r="AA935" s="38"/>
      <c r="AB935" s="44"/>
      <c r="AC935" s="38"/>
      <c r="AD935" s="38"/>
      <c r="AE935" s="38"/>
      <c r="AF935" s="38"/>
      <c r="AG935" s="38"/>
      <c r="AH935" s="38"/>
      <c r="AI935" s="44"/>
      <c r="AJ935" s="119"/>
      <c r="AK935" s="38"/>
      <c r="AL935" s="38"/>
      <c r="AM935" s="38"/>
      <c r="AN935" s="38"/>
      <c r="AO935" s="38"/>
      <c r="AP935" s="38"/>
      <c r="AQ935" s="43"/>
      <c r="AR935" s="38"/>
      <c r="AS935" s="38"/>
      <c r="AT935" s="38"/>
      <c r="AU935" s="43"/>
      <c r="AV935" s="43"/>
      <c r="AW935" s="119"/>
      <c r="AX935" s="119"/>
      <c r="AY935" s="43"/>
      <c r="AZ935" s="43"/>
      <c r="BA935" s="43"/>
      <c r="BB935" s="43"/>
      <c r="BC935" s="43"/>
      <c r="BD935" s="43"/>
    </row>
    <row r="936" spans="1:56">
      <c r="A936" s="43"/>
      <c r="B936" s="43"/>
      <c r="C936" s="43"/>
      <c r="D936" s="43"/>
      <c r="E936" s="43"/>
      <c r="F936" s="43"/>
      <c r="G936" s="43"/>
      <c r="H936" s="43"/>
      <c r="I936" s="43"/>
      <c r="J936" s="43"/>
      <c r="K936" s="43"/>
      <c r="L936" s="43"/>
      <c r="M936" s="44"/>
      <c r="N936" s="119"/>
      <c r="O936" s="38"/>
      <c r="P936" s="38"/>
      <c r="Q936" s="38"/>
      <c r="R936" s="38"/>
      <c r="S936" s="38"/>
      <c r="T936" s="38"/>
      <c r="U936" s="44"/>
      <c r="V936" s="38"/>
      <c r="W936" s="38"/>
      <c r="X936" s="38"/>
      <c r="Y936" s="38"/>
      <c r="Z936" s="38"/>
      <c r="AA936" s="38"/>
      <c r="AB936" s="44"/>
      <c r="AC936" s="38"/>
      <c r="AD936" s="38"/>
      <c r="AE936" s="38"/>
      <c r="AF936" s="38"/>
      <c r="AG936" s="38"/>
      <c r="AH936" s="38"/>
      <c r="AI936" s="44"/>
      <c r="AJ936" s="119"/>
      <c r="AK936" s="38"/>
      <c r="AL936" s="38"/>
      <c r="AM936" s="38"/>
      <c r="AN936" s="38"/>
      <c r="AO936" s="38"/>
      <c r="AP936" s="38"/>
      <c r="AQ936" s="43"/>
      <c r="AR936" s="38"/>
      <c r="AS936" s="38"/>
      <c r="AT936" s="38"/>
      <c r="AU936" s="43"/>
      <c r="AV936" s="43"/>
      <c r="AW936" s="119"/>
      <c r="AX936" s="119"/>
      <c r="AY936" s="43"/>
      <c r="AZ936" s="43"/>
      <c r="BA936" s="43"/>
      <c r="BB936" s="43"/>
      <c r="BC936" s="43"/>
      <c r="BD936" s="43"/>
    </row>
    <row r="937" spans="1:56">
      <c r="A937" s="43"/>
      <c r="B937" s="43"/>
      <c r="C937" s="43"/>
      <c r="D937" s="43"/>
      <c r="E937" s="43"/>
      <c r="F937" s="43"/>
      <c r="G937" s="43"/>
      <c r="H937" s="43"/>
      <c r="I937" s="43"/>
      <c r="J937" s="43"/>
      <c r="K937" s="43"/>
      <c r="L937" s="43"/>
      <c r="M937" s="44"/>
      <c r="N937" s="119"/>
      <c r="O937" s="38"/>
      <c r="P937" s="38"/>
      <c r="Q937" s="38"/>
      <c r="R937" s="38"/>
      <c r="S937" s="38"/>
      <c r="T937" s="38"/>
      <c r="U937" s="44"/>
      <c r="V937" s="38"/>
      <c r="W937" s="38"/>
      <c r="X937" s="38"/>
      <c r="Y937" s="38"/>
      <c r="Z937" s="38"/>
      <c r="AA937" s="38"/>
      <c r="AB937" s="44"/>
      <c r="AC937" s="38"/>
      <c r="AD937" s="38"/>
      <c r="AE937" s="38"/>
      <c r="AF937" s="38"/>
      <c r="AG937" s="38"/>
      <c r="AH937" s="38"/>
      <c r="AI937" s="44"/>
      <c r="AJ937" s="119"/>
      <c r="AK937" s="38"/>
      <c r="AL937" s="38"/>
      <c r="AM937" s="38"/>
      <c r="AN937" s="38"/>
      <c r="AO937" s="38"/>
      <c r="AP937" s="38"/>
      <c r="AQ937" s="43"/>
      <c r="AR937" s="38"/>
      <c r="AS937" s="38"/>
      <c r="AT937" s="38"/>
      <c r="AU937" s="43"/>
      <c r="AV937" s="43"/>
      <c r="AW937" s="119"/>
      <c r="AX937" s="119"/>
      <c r="AY937" s="43"/>
      <c r="AZ937" s="43"/>
      <c r="BA937" s="43"/>
      <c r="BB937" s="43"/>
      <c r="BC937" s="43"/>
      <c r="BD937" s="43"/>
    </row>
    <row r="938" spans="1:56">
      <c r="A938" s="43"/>
      <c r="B938" s="43"/>
      <c r="C938" s="43"/>
      <c r="D938" s="43"/>
      <c r="E938" s="43"/>
      <c r="F938" s="43"/>
      <c r="G938" s="43"/>
      <c r="H938" s="43"/>
      <c r="I938" s="43"/>
      <c r="J938" s="43"/>
      <c r="K938" s="43"/>
      <c r="L938" s="43"/>
      <c r="M938" s="44"/>
      <c r="N938" s="119"/>
      <c r="O938" s="38"/>
      <c r="P938" s="38"/>
      <c r="Q938" s="38"/>
      <c r="R938" s="38"/>
      <c r="S938" s="38"/>
      <c r="T938" s="38"/>
      <c r="U938" s="44"/>
      <c r="V938" s="38"/>
      <c r="W938" s="38"/>
      <c r="X938" s="38"/>
      <c r="Y938" s="38"/>
      <c r="Z938" s="38"/>
      <c r="AA938" s="38"/>
      <c r="AB938" s="44"/>
      <c r="AC938" s="38"/>
      <c r="AD938" s="38"/>
      <c r="AE938" s="38"/>
      <c r="AF938" s="38"/>
      <c r="AG938" s="38"/>
      <c r="AH938" s="38"/>
      <c r="AI938" s="44"/>
      <c r="AJ938" s="119"/>
      <c r="AK938" s="38"/>
      <c r="AL938" s="38"/>
      <c r="AM938" s="38"/>
      <c r="AN938" s="38"/>
      <c r="AO938" s="38"/>
      <c r="AP938" s="38"/>
      <c r="AQ938" s="43"/>
      <c r="AR938" s="38"/>
      <c r="AS938" s="38"/>
      <c r="AT938" s="38"/>
      <c r="AU938" s="43"/>
      <c r="AV938" s="43"/>
      <c r="AW938" s="119"/>
      <c r="AX938" s="119"/>
      <c r="AY938" s="43"/>
      <c r="AZ938" s="43"/>
      <c r="BA938" s="43"/>
      <c r="BB938" s="43"/>
      <c r="BC938" s="43"/>
      <c r="BD938" s="43"/>
    </row>
    <row r="939" spans="1:56">
      <c r="A939" s="43"/>
      <c r="B939" s="43"/>
      <c r="C939" s="43"/>
      <c r="D939" s="43"/>
      <c r="E939" s="43"/>
      <c r="F939" s="43"/>
      <c r="G939" s="43"/>
      <c r="H939" s="43"/>
      <c r="I939" s="43"/>
      <c r="J939" s="43"/>
      <c r="K939" s="43"/>
      <c r="L939" s="43"/>
      <c r="M939" s="44"/>
      <c r="N939" s="119"/>
      <c r="O939" s="38"/>
      <c r="P939" s="38"/>
      <c r="Q939" s="38"/>
      <c r="R939" s="38"/>
      <c r="S939" s="38"/>
      <c r="T939" s="38"/>
      <c r="U939" s="44"/>
      <c r="V939" s="38"/>
      <c r="W939" s="38"/>
      <c r="X939" s="38"/>
      <c r="Y939" s="38"/>
      <c r="Z939" s="38"/>
      <c r="AA939" s="38"/>
      <c r="AB939" s="44"/>
      <c r="AC939" s="38"/>
      <c r="AD939" s="38"/>
      <c r="AE939" s="38"/>
      <c r="AF939" s="38"/>
      <c r="AG939" s="38"/>
      <c r="AH939" s="38"/>
      <c r="AI939" s="44"/>
      <c r="AJ939" s="119"/>
      <c r="AK939" s="38"/>
      <c r="AL939" s="38"/>
      <c r="AM939" s="38"/>
      <c r="AN939" s="38"/>
      <c r="AO939" s="38"/>
      <c r="AP939" s="38"/>
      <c r="AQ939" s="43"/>
      <c r="AR939" s="38"/>
      <c r="AS939" s="38"/>
      <c r="AT939" s="38"/>
      <c r="AU939" s="43"/>
      <c r="AV939" s="43"/>
      <c r="AW939" s="119"/>
      <c r="AX939" s="119"/>
      <c r="AY939" s="43"/>
      <c r="AZ939" s="43"/>
      <c r="BA939" s="43"/>
      <c r="BB939" s="43"/>
      <c r="BC939" s="43"/>
      <c r="BD939" s="43"/>
    </row>
    <row r="940" spans="1:56">
      <c r="A940" s="43"/>
      <c r="B940" s="43"/>
      <c r="C940" s="43"/>
      <c r="D940" s="43"/>
      <c r="E940" s="43"/>
      <c r="F940" s="43"/>
      <c r="G940" s="43"/>
      <c r="H940" s="43"/>
      <c r="I940" s="43"/>
      <c r="J940" s="43"/>
      <c r="K940" s="43"/>
      <c r="L940" s="43"/>
      <c r="M940" s="44"/>
      <c r="N940" s="119"/>
      <c r="O940" s="38"/>
      <c r="P940" s="38"/>
      <c r="Q940" s="38"/>
      <c r="R940" s="38"/>
      <c r="S940" s="38"/>
      <c r="T940" s="38"/>
      <c r="U940" s="44"/>
      <c r="V940" s="38"/>
      <c r="W940" s="38"/>
      <c r="X940" s="38"/>
      <c r="Y940" s="38"/>
      <c r="Z940" s="38"/>
      <c r="AA940" s="38"/>
      <c r="AB940" s="44"/>
      <c r="AC940" s="38"/>
      <c r="AD940" s="38"/>
      <c r="AE940" s="38"/>
      <c r="AF940" s="38"/>
      <c r="AG940" s="38"/>
      <c r="AH940" s="38"/>
      <c r="AI940" s="44"/>
      <c r="AJ940" s="119"/>
      <c r="AK940" s="38"/>
      <c r="AL940" s="38"/>
      <c r="AM940" s="38"/>
      <c r="AN940" s="38"/>
      <c r="AO940" s="38"/>
      <c r="AP940" s="38"/>
      <c r="AQ940" s="43"/>
      <c r="AR940" s="38"/>
      <c r="AS940" s="38"/>
      <c r="AT940" s="38"/>
      <c r="AU940" s="43"/>
      <c r="AV940" s="43"/>
      <c r="AW940" s="119"/>
      <c r="AX940" s="119"/>
      <c r="AY940" s="43"/>
      <c r="AZ940" s="43"/>
      <c r="BA940" s="43"/>
      <c r="BB940" s="43"/>
      <c r="BC940" s="43"/>
      <c r="BD940" s="43"/>
    </row>
    <row r="941" spans="1:56">
      <c r="A941" s="43"/>
      <c r="B941" s="43"/>
      <c r="C941" s="43"/>
      <c r="D941" s="43"/>
      <c r="E941" s="43"/>
      <c r="F941" s="43"/>
      <c r="G941" s="43"/>
      <c r="H941" s="43"/>
      <c r="I941" s="43"/>
      <c r="J941" s="43"/>
      <c r="K941" s="43"/>
      <c r="L941" s="43"/>
      <c r="M941" s="44"/>
      <c r="N941" s="119"/>
      <c r="O941" s="38"/>
      <c r="P941" s="38"/>
      <c r="Q941" s="38"/>
      <c r="R941" s="38"/>
      <c r="S941" s="38"/>
      <c r="T941" s="38"/>
      <c r="U941" s="44"/>
      <c r="V941" s="38"/>
      <c r="W941" s="38"/>
      <c r="X941" s="38"/>
      <c r="Y941" s="38"/>
      <c r="Z941" s="38"/>
      <c r="AA941" s="38"/>
      <c r="AB941" s="44"/>
      <c r="AC941" s="38"/>
      <c r="AD941" s="38"/>
      <c r="AE941" s="38"/>
      <c r="AF941" s="38"/>
      <c r="AG941" s="38"/>
      <c r="AH941" s="38"/>
      <c r="AI941" s="44"/>
      <c r="AJ941" s="119"/>
      <c r="AK941" s="38"/>
      <c r="AL941" s="38"/>
      <c r="AM941" s="38"/>
      <c r="AN941" s="38"/>
      <c r="AO941" s="38"/>
      <c r="AP941" s="38"/>
      <c r="AQ941" s="43"/>
      <c r="AR941" s="38"/>
      <c r="AS941" s="38"/>
      <c r="AT941" s="38"/>
      <c r="AU941" s="43"/>
      <c r="AV941" s="43"/>
      <c r="AW941" s="119"/>
      <c r="AX941" s="119"/>
      <c r="AY941" s="43"/>
      <c r="AZ941" s="43"/>
      <c r="BA941" s="43"/>
      <c r="BB941" s="43"/>
      <c r="BC941" s="43"/>
      <c r="BD941" s="43"/>
    </row>
    <row r="942" spans="1:56">
      <c r="A942" s="43"/>
      <c r="B942" s="43"/>
      <c r="C942" s="43"/>
      <c r="D942" s="43"/>
      <c r="E942" s="43"/>
      <c r="F942" s="43"/>
      <c r="G942" s="43"/>
      <c r="H942" s="43"/>
      <c r="I942" s="43"/>
      <c r="J942" s="43"/>
      <c r="K942" s="43"/>
      <c r="L942" s="43"/>
      <c r="M942" s="44"/>
      <c r="N942" s="119"/>
      <c r="O942" s="38"/>
      <c r="P942" s="38"/>
      <c r="Q942" s="38"/>
      <c r="R942" s="38"/>
      <c r="S942" s="38"/>
      <c r="T942" s="38"/>
      <c r="U942" s="44"/>
      <c r="V942" s="38"/>
      <c r="W942" s="38"/>
      <c r="X942" s="38"/>
      <c r="Y942" s="38"/>
      <c r="Z942" s="38"/>
      <c r="AA942" s="38"/>
      <c r="AB942" s="44"/>
      <c r="AC942" s="38"/>
      <c r="AD942" s="38"/>
      <c r="AE942" s="38"/>
      <c r="AF942" s="38"/>
      <c r="AG942" s="38"/>
      <c r="AH942" s="38"/>
      <c r="AI942" s="44"/>
      <c r="AJ942" s="119"/>
      <c r="AK942" s="38"/>
      <c r="AL942" s="38"/>
      <c r="AM942" s="38"/>
      <c r="AN942" s="38"/>
      <c r="AO942" s="38"/>
      <c r="AP942" s="38"/>
      <c r="AQ942" s="43"/>
      <c r="AR942" s="38"/>
      <c r="AS942" s="38"/>
      <c r="AT942" s="38"/>
      <c r="AU942" s="43"/>
      <c r="AV942" s="43"/>
      <c r="AW942" s="119"/>
      <c r="AX942" s="119"/>
      <c r="AY942" s="43"/>
      <c r="AZ942" s="43"/>
      <c r="BA942" s="43"/>
      <c r="BB942" s="43"/>
      <c r="BC942" s="43"/>
      <c r="BD942" s="43"/>
    </row>
    <row r="943" spans="1:56">
      <c r="A943" s="43"/>
      <c r="B943" s="43"/>
      <c r="C943" s="43"/>
      <c r="D943" s="43"/>
      <c r="E943" s="43"/>
      <c r="F943" s="43"/>
      <c r="G943" s="43"/>
      <c r="H943" s="43"/>
      <c r="I943" s="43"/>
      <c r="J943" s="43"/>
      <c r="K943" s="43"/>
      <c r="L943" s="43"/>
      <c r="M943" s="44"/>
      <c r="N943" s="119"/>
      <c r="O943" s="38"/>
      <c r="P943" s="38"/>
      <c r="Q943" s="38"/>
      <c r="R943" s="38"/>
      <c r="S943" s="38"/>
      <c r="T943" s="38"/>
      <c r="U943" s="44"/>
      <c r="V943" s="38"/>
      <c r="W943" s="38"/>
      <c r="X943" s="38"/>
      <c r="Y943" s="38"/>
      <c r="Z943" s="38"/>
      <c r="AA943" s="38"/>
      <c r="AB943" s="44"/>
      <c r="AC943" s="38"/>
      <c r="AD943" s="38"/>
      <c r="AE943" s="38"/>
      <c r="AF943" s="38"/>
      <c r="AG943" s="38"/>
      <c r="AH943" s="38"/>
      <c r="AI943" s="44"/>
      <c r="AJ943" s="119"/>
      <c r="AK943" s="38"/>
      <c r="AL943" s="38"/>
      <c r="AM943" s="38"/>
      <c r="AN943" s="38"/>
      <c r="AO943" s="38"/>
      <c r="AP943" s="38"/>
      <c r="AQ943" s="43"/>
      <c r="AR943" s="38"/>
      <c r="AS943" s="38"/>
      <c r="AT943" s="38"/>
      <c r="AU943" s="43"/>
      <c r="AV943" s="43"/>
      <c r="AW943" s="119"/>
      <c r="AX943" s="119"/>
      <c r="AY943" s="43"/>
      <c r="AZ943" s="43"/>
      <c r="BA943" s="43"/>
      <c r="BB943" s="43"/>
      <c r="BC943" s="43"/>
      <c r="BD943" s="43"/>
    </row>
    <row r="944" spans="1:56">
      <c r="A944" s="43"/>
      <c r="B944" s="43"/>
      <c r="C944" s="43"/>
      <c r="D944" s="43"/>
      <c r="E944" s="43"/>
      <c r="F944" s="43"/>
      <c r="G944" s="43"/>
      <c r="H944" s="43"/>
      <c r="I944" s="43"/>
      <c r="J944" s="43"/>
      <c r="K944" s="43"/>
      <c r="L944" s="43"/>
      <c r="M944" s="44"/>
      <c r="N944" s="119"/>
      <c r="O944" s="38"/>
      <c r="P944" s="38"/>
      <c r="Q944" s="38"/>
      <c r="R944" s="38"/>
      <c r="S944" s="38"/>
      <c r="T944" s="38"/>
      <c r="U944" s="44"/>
      <c r="V944" s="38"/>
      <c r="W944" s="38"/>
      <c r="X944" s="38"/>
      <c r="Y944" s="38"/>
      <c r="Z944" s="38"/>
      <c r="AA944" s="38"/>
      <c r="AB944" s="44"/>
      <c r="AC944" s="38"/>
      <c r="AD944" s="38"/>
      <c r="AE944" s="38"/>
      <c r="AF944" s="38"/>
      <c r="AG944" s="38"/>
      <c r="AH944" s="38"/>
      <c r="AI944" s="44"/>
      <c r="AJ944" s="119"/>
      <c r="AK944" s="38"/>
      <c r="AL944" s="38"/>
      <c r="AM944" s="38"/>
      <c r="AN944" s="38"/>
      <c r="AO944" s="38"/>
      <c r="AP944" s="38"/>
      <c r="AQ944" s="43"/>
      <c r="AR944" s="38"/>
      <c r="AS944" s="38"/>
      <c r="AT944" s="38"/>
      <c r="AU944" s="43"/>
      <c r="AV944" s="43"/>
      <c r="AW944" s="119"/>
      <c r="AX944" s="119"/>
      <c r="AY944" s="43"/>
      <c r="AZ944" s="43"/>
      <c r="BA944" s="43"/>
      <c r="BB944" s="43"/>
      <c r="BC944" s="43"/>
      <c r="BD944" s="43"/>
    </row>
    <row r="945" spans="1:56">
      <c r="A945" s="43"/>
      <c r="B945" s="43"/>
      <c r="C945" s="43"/>
      <c r="D945" s="43"/>
      <c r="E945" s="43"/>
      <c r="F945" s="43"/>
      <c r="G945" s="43"/>
      <c r="H945" s="43"/>
      <c r="I945" s="43"/>
      <c r="J945" s="43"/>
      <c r="K945" s="43"/>
      <c r="L945" s="43"/>
      <c r="M945" s="44"/>
      <c r="N945" s="119"/>
      <c r="O945" s="38"/>
      <c r="P945" s="38"/>
      <c r="Q945" s="38"/>
      <c r="R945" s="38"/>
      <c r="S945" s="38"/>
      <c r="T945" s="38"/>
      <c r="U945" s="44"/>
      <c r="V945" s="38"/>
      <c r="W945" s="38"/>
      <c r="X945" s="38"/>
      <c r="Y945" s="38"/>
      <c r="Z945" s="38"/>
      <c r="AA945" s="38"/>
      <c r="AB945" s="44"/>
      <c r="AC945" s="38"/>
      <c r="AD945" s="38"/>
      <c r="AE945" s="38"/>
      <c r="AF945" s="38"/>
      <c r="AG945" s="38"/>
      <c r="AH945" s="38"/>
      <c r="AI945" s="44"/>
      <c r="AJ945" s="119"/>
      <c r="AK945" s="38"/>
      <c r="AL945" s="38"/>
      <c r="AM945" s="38"/>
      <c r="AN945" s="38"/>
      <c r="AO945" s="38"/>
      <c r="AP945" s="38"/>
      <c r="AQ945" s="43"/>
      <c r="AR945" s="38"/>
      <c r="AS945" s="38"/>
      <c r="AT945" s="38"/>
      <c r="AU945" s="43"/>
      <c r="AV945" s="43"/>
      <c r="AW945" s="119"/>
      <c r="AX945" s="119"/>
      <c r="AY945" s="43"/>
      <c r="AZ945" s="43"/>
      <c r="BA945" s="43"/>
      <c r="BB945" s="43"/>
      <c r="BC945" s="43"/>
      <c r="BD945" s="43"/>
    </row>
    <row r="946" spans="1:56">
      <c r="A946" s="43"/>
      <c r="B946" s="43"/>
      <c r="C946" s="43"/>
      <c r="D946" s="43"/>
      <c r="E946" s="43"/>
      <c r="F946" s="43"/>
      <c r="G946" s="43"/>
      <c r="H946" s="43"/>
      <c r="I946" s="43"/>
      <c r="J946" s="43"/>
      <c r="K946" s="43"/>
      <c r="L946" s="43"/>
      <c r="M946" s="44"/>
      <c r="N946" s="119"/>
      <c r="O946" s="38"/>
      <c r="P946" s="38"/>
      <c r="Q946" s="38"/>
      <c r="R946" s="38"/>
      <c r="S946" s="38"/>
      <c r="T946" s="38"/>
      <c r="U946" s="44"/>
      <c r="V946" s="38"/>
      <c r="W946" s="38"/>
      <c r="X946" s="38"/>
      <c r="Y946" s="38"/>
      <c r="Z946" s="38"/>
      <c r="AA946" s="38"/>
      <c r="AB946" s="44"/>
      <c r="AC946" s="38"/>
      <c r="AD946" s="38"/>
      <c r="AE946" s="38"/>
      <c r="AF946" s="38"/>
      <c r="AG946" s="38"/>
      <c r="AH946" s="38"/>
      <c r="AI946" s="44"/>
      <c r="AJ946" s="119"/>
      <c r="AK946" s="38"/>
      <c r="AL946" s="38"/>
      <c r="AM946" s="38"/>
      <c r="AN946" s="38"/>
      <c r="AO946" s="38"/>
      <c r="AP946" s="38"/>
      <c r="AQ946" s="43"/>
      <c r="AR946" s="38"/>
      <c r="AS946" s="38"/>
      <c r="AT946" s="38"/>
      <c r="AU946" s="43"/>
      <c r="AV946" s="43"/>
      <c r="AW946" s="119"/>
      <c r="AX946" s="119"/>
      <c r="AY946" s="43"/>
      <c r="AZ946" s="43"/>
      <c r="BA946" s="43"/>
      <c r="BB946" s="43"/>
      <c r="BC946" s="43"/>
      <c r="BD946" s="43"/>
    </row>
    <row r="947" spans="1:56">
      <c r="A947" s="43"/>
      <c r="B947" s="43"/>
      <c r="C947" s="43"/>
      <c r="D947" s="43"/>
      <c r="E947" s="43"/>
      <c r="F947" s="43"/>
      <c r="G947" s="43"/>
      <c r="H947" s="43"/>
      <c r="I947" s="43"/>
      <c r="J947" s="43"/>
      <c r="K947" s="43"/>
      <c r="L947" s="43"/>
      <c r="M947" s="44"/>
      <c r="N947" s="119"/>
      <c r="O947" s="38"/>
      <c r="P947" s="38"/>
      <c r="Q947" s="38"/>
      <c r="R947" s="38"/>
      <c r="S947" s="38"/>
      <c r="T947" s="38"/>
      <c r="U947" s="44"/>
      <c r="V947" s="38"/>
      <c r="W947" s="38"/>
      <c r="X947" s="38"/>
      <c r="Y947" s="38"/>
      <c r="Z947" s="38"/>
      <c r="AA947" s="38"/>
      <c r="AB947" s="44"/>
      <c r="AC947" s="38"/>
      <c r="AD947" s="38"/>
      <c r="AE947" s="38"/>
      <c r="AF947" s="38"/>
      <c r="AG947" s="38"/>
      <c r="AH947" s="38"/>
      <c r="AI947" s="44"/>
      <c r="AJ947" s="119"/>
      <c r="AK947" s="38"/>
      <c r="AL947" s="38"/>
      <c r="AM947" s="38"/>
      <c r="AN947" s="38"/>
      <c r="AO947" s="38"/>
      <c r="AP947" s="38"/>
      <c r="AQ947" s="43"/>
      <c r="AR947" s="38"/>
      <c r="AS947" s="38"/>
      <c r="AT947" s="38"/>
      <c r="AU947" s="43"/>
      <c r="AV947" s="43"/>
      <c r="AW947" s="119"/>
      <c r="AX947" s="119"/>
      <c r="AY947" s="43"/>
      <c r="AZ947" s="43"/>
      <c r="BA947" s="43"/>
      <c r="BB947" s="43"/>
      <c r="BC947" s="43"/>
      <c r="BD947" s="43"/>
    </row>
    <row r="948" spans="1:56">
      <c r="A948" s="43"/>
      <c r="B948" s="43"/>
      <c r="C948" s="43"/>
      <c r="D948" s="43"/>
      <c r="E948" s="43"/>
      <c r="F948" s="43"/>
      <c r="G948" s="43"/>
      <c r="H948" s="43"/>
      <c r="I948" s="43"/>
      <c r="J948" s="43"/>
      <c r="K948" s="43"/>
      <c r="L948" s="43"/>
      <c r="M948" s="44"/>
      <c r="N948" s="119"/>
      <c r="O948" s="38"/>
      <c r="P948" s="38"/>
      <c r="Q948" s="38"/>
      <c r="R948" s="38"/>
      <c r="S948" s="38"/>
      <c r="T948" s="38"/>
      <c r="U948" s="44"/>
      <c r="V948" s="38"/>
      <c r="W948" s="38"/>
      <c r="X948" s="38"/>
      <c r="Y948" s="38"/>
      <c r="Z948" s="38"/>
      <c r="AA948" s="38"/>
      <c r="AB948" s="44"/>
      <c r="AC948" s="38"/>
      <c r="AD948" s="38"/>
      <c r="AE948" s="38"/>
      <c r="AF948" s="38"/>
      <c r="AG948" s="38"/>
      <c r="AH948" s="38"/>
      <c r="AI948" s="44"/>
      <c r="AJ948" s="119"/>
      <c r="AK948" s="38"/>
      <c r="AL948" s="38"/>
      <c r="AM948" s="38"/>
      <c r="AN948" s="38"/>
      <c r="AO948" s="38"/>
      <c r="AP948" s="38"/>
      <c r="AQ948" s="43"/>
      <c r="AR948" s="38"/>
      <c r="AS948" s="38"/>
      <c r="AT948" s="38"/>
      <c r="AU948" s="43"/>
      <c r="AV948" s="43"/>
      <c r="AW948" s="119"/>
      <c r="AX948" s="119"/>
      <c r="AY948" s="43"/>
      <c r="AZ948" s="43"/>
      <c r="BA948" s="43"/>
      <c r="BB948" s="43"/>
      <c r="BC948" s="43"/>
      <c r="BD948" s="43"/>
    </row>
    <row r="949" spans="1:56">
      <c r="A949" s="43"/>
      <c r="B949" s="43"/>
      <c r="C949" s="43"/>
      <c r="D949" s="43"/>
      <c r="E949" s="43"/>
      <c r="F949" s="43"/>
      <c r="G949" s="43"/>
      <c r="H949" s="43"/>
      <c r="I949" s="43"/>
      <c r="J949" s="43"/>
      <c r="K949" s="43"/>
      <c r="L949" s="43"/>
      <c r="M949" s="44"/>
      <c r="N949" s="119"/>
      <c r="O949" s="38"/>
      <c r="P949" s="38"/>
      <c r="Q949" s="38"/>
      <c r="R949" s="38"/>
      <c r="S949" s="38"/>
      <c r="T949" s="38"/>
      <c r="U949" s="44"/>
      <c r="V949" s="38"/>
      <c r="W949" s="38"/>
      <c r="X949" s="38"/>
      <c r="Y949" s="38"/>
      <c r="Z949" s="38"/>
      <c r="AA949" s="38"/>
      <c r="AB949" s="44"/>
      <c r="AC949" s="38"/>
      <c r="AD949" s="38"/>
      <c r="AE949" s="38"/>
      <c r="AF949" s="38"/>
      <c r="AG949" s="38"/>
      <c r="AH949" s="38"/>
      <c r="AI949" s="44"/>
      <c r="AJ949" s="119"/>
      <c r="AK949" s="38"/>
      <c r="AL949" s="38"/>
      <c r="AM949" s="38"/>
      <c r="AN949" s="38"/>
      <c r="AO949" s="38"/>
      <c r="AP949" s="38"/>
      <c r="AQ949" s="43"/>
      <c r="AR949" s="38"/>
      <c r="AS949" s="38"/>
      <c r="AT949" s="38"/>
      <c r="AU949" s="43"/>
      <c r="AV949" s="43"/>
      <c r="AW949" s="119"/>
      <c r="AX949" s="119"/>
      <c r="AY949" s="43"/>
      <c r="AZ949" s="43"/>
      <c r="BA949" s="43"/>
      <c r="BB949" s="43"/>
      <c r="BC949" s="43"/>
      <c r="BD949" s="43"/>
    </row>
    <row r="950" spans="1:56">
      <c r="A950" s="43"/>
      <c r="B950" s="43"/>
      <c r="C950" s="43"/>
      <c r="D950" s="43"/>
      <c r="E950" s="43"/>
      <c r="F950" s="43"/>
      <c r="G950" s="43"/>
      <c r="H950" s="43"/>
      <c r="I950" s="43"/>
      <c r="J950" s="43"/>
      <c r="K950" s="43"/>
      <c r="L950" s="43"/>
      <c r="M950" s="44"/>
      <c r="N950" s="119"/>
      <c r="O950" s="38"/>
      <c r="P950" s="38"/>
      <c r="Q950" s="38"/>
      <c r="R950" s="38"/>
      <c r="S950" s="38"/>
      <c r="T950" s="38"/>
      <c r="U950" s="44"/>
      <c r="V950" s="38"/>
      <c r="W950" s="38"/>
      <c r="X950" s="38"/>
      <c r="Y950" s="38"/>
      <c r="Z950" s="38"/>
      <c r="AA950" s="38"/>
      <c r="AB950" s="44"/>
      <c r="AC950" s="38"/>
      <c r="AD950" s="38"/>
      <c r="AE950" s="38"/>
      <c r="AF950" s="38"/>
      <c r="AG950" s="38"/>
      <c r="AH950" s="38"/>
      <c r="AI950" s="44"/>
      <c r="AJ950" s="119"/>
      <c r="AK950" s="38"/>
      <c r="AL950" s="38"/>
      <c r="AM950" s="38"/>
      <c r="AN950" s="38"/>
      <c r="AO950" s="38"/>
      <c r="AP950" s="38"/>
      <c r="AQ950" s="43"/>
      <c r="AR950" s="38"/>
      <c r="AS950" s="38"/>
      <c r="AT950" s="38"/>
      <c r="AU950" s="43"/>
      <c r="AV950" s="43"/>
      <c r="AW950" s="119"/>
      <c r="AX950" s="119"/>
      <c r="AY950" s="43"/>
      <c r="AZ950" s="43"/>
      <c r="BA950" s="43"/>
      <c r="BB950" s="43"/>
      <c r="BC950" s="43"/>
      <c r="BD950" s="43"/>
    </row>
    <row r="951" spans="1:56">
      <c r="A951" s="43"/>
      <c r="B951" s="43"/>
      <c r="C951" s="43"/>
      <c r="D951" s="43"/>
      <c r="E951" s="43"/>
      <c r="F951" s="43"/>
      <c r="G951" s="43"/>
      <c r="H951" s="43"/>
      <c r="I951" s="43"/>
      <c r="J951" s="43"/>
      <c r="K951" s="43"/>
      <c r="L951" s="43"/>
      <c r="M951" s="44"/>
      <c r="N951" s="119"/>
      <c r="O951" s="38"/>
      <c r="P951" s="38"/>
      <c r="Q951" s="38"/>
      <c r="R951" s="38"/>
      <c r="S951" s="38"/>
      <c r="T951" s="38"/>
      <c r="U951" s="44"/>
      <c r="V951" s="38"/>
      <c r="W951" s="38"/>
      <c r="X951" s="38"/>
      <c r="Y951" s="38"/>
      <c r="Z951" s="38"/>
      <c r="AA951" s="38"/>
      <c r="AB951" s="44"/>
      <c r="AC951" s="38"/>
      <c r="AD951" s="38"/>
      <c r="AE951" s="38"/>
      <c r="AF951" s="38"/>
      <c r="AG951" s="38"/>
      <c r="AH951" s="38"/>
      <c r="AI951" s="44"/>
      <c r="AJ951" s="119"/>
      <c r="AK951" s="38"/>
      <c r="AL951" s="38"/>
      <c r="AM951" s="38"/>
      <c r="AN951" s="38"/>
      <c r="AO951" s="38"/>
      <c r="AP951" s="38"/>
      <c r="AQ951" s="43"/>
      <c r="AR951" s="38"/>
      <c r="AS951" s="38"/>
      <c r="AT951" s="38"/>
      <c r="AU951" s="43"/>
      <c r="AV951" s="43"/>
      <c r="AW951" s="119"/>
      <c r="AX951" s="119"/>
      <c r="AY951" s="43"/>
      <c r="AZ951" s="43"/>
      <c r="BA951" s="43"/>
      <c r="BB951" s="43"/>
      <c r="BC951" s="43"/>
      <c r="BD951" s="43"/>
    </row>
    <row r="952" spans="1:56">
      <c r="A952" s="43"/>
      <c r="B952" s="43"/>
      <c r="C952" s="43"/>
      <c r="D952" s="43"/>
      <c r="E952" s="43"/>
      <c r="F952" s="43"/>
      <c r="G952" s="43"/>
      <c r="H952" s="43"/>
      <c r="I952" s="43"/>
      <c r="J952" s="43"/>
      <c r="K952" s="43"/>
      <c r="L952" s="43"/>
      <c r="M952" s="44"/>
      <c r="N952" s="119"/>
      <c r="O952" s="38"/>
      <c r="P952" s="38"/>
      <c r="Q952" s="38"/>
      <c r="R952" s="38"/>
      <c r="S952" s="38"/>
      <c r="T952" s="38"/>
      <c r="U952" s="44"/>
      <c r="V952" s="38"/>
      <c r="W952" s="38"/>
      <c r="X952" s="38"/>
      <c r="Y952" s="38"/>
      <c r="Z952" s="38"/>
      <c r="AA952" s="38"/>
      <c r="AB952" s="44"/>
      <c r="AC952" s="38"/>
      <c r="AD952" s="38"/>
      <c r="AE952" s="38"/>
      <c r="AF952" s="38"/>
      <c r="AG952" s="38"/>
      <c r="AH952" s="38"/>
      <c r="AI952" s="44"/>
      <c r="AJ952" s="119"/>
      <c r="AK952" s="38"/>
      <c r="AL952" s="38"/>
      <c r="AM952" s="38"/>
      <c r="AN952" s="38"/>
      <c r="AO952" s="38"/>
      <c r="AP952" s="38"/>
      <c r="AQ952" s="43"/>
      <c r="AR952" s="38"/>
      <c r="AS952" s="38"/>
      <c r="AT952" s="38"/>
      <c r="AU952" s="43"/>
      <c r="AV952" s="43"/>
      <c r="AW952" s="119"/>
      <c r="AX952" s="119"/>
      <c r="AY952" s="43"/>
      <c r="AZ952" s="43"/>
      <c r="BA952" s="43"/>
      <c r="BB952" s="43"/>
      <c r="BC952" s="43"/>
      <c r="BD952" s="43"/>
    </row>
    <row r="953" spans="1:56">
      <c r="A953" s="43"/>
      <c r="B953" s="43"/>
      <c r="C953" s="43"/>
      <c r="D953" s="43"/>
      <c r="E953" s="43"/>
      <c r="F953" s="43"/>
      <c r="G953" s="43"/>
      <c r="H953" s="43"/>
      <c r="I953" s="43"/>
      <c r="J953" s="43"/>
      <c r="K953" s="43"/>
      <c r="L953" s="43"/>
      <c r="M953" s="44"/>
      <c r="N953" s="119"/>
      <c r="O953" s="38"/>
      <c r="P953" s="38"/>
      <c r="Q953" s="38"/>
      <c r="R953" s="38"/>
      <c r="S953" s="38"/>
      <c r="T953" s="38"/>
      <c r="U953" s="44"/>
      <c r="V953" s="38"/>
      <c r="W953" s="38"/>
      <c r="X953" s="38"/>
      <c r="Y953" s="38"/>
      <c r="Z953" s="38"/>
      <c r="AA953" s="38"/>
      <c r="AB953" s="44"/>
      <c r="AC953" s="38"/>
      <c r="AD953" s="38"/>
      <c r="AE953" s="38"/>
      <c r="AF953" s="38"/>
      <c r="AG953" s="38"/>
      <c r="AH953" s="38"/>
      <c r="AI953" s="44"/>
      <c r="AJ953" s="119"/>
      <c r="AK953" s="38"/>
      <c r="AL953" s="38"/>
      <c r="AM953" s="38"/>
      <c r="AN953" s="38"/>
      <c r="AO953" s="38"/>
      <c r="AP953" s="38"/>
      <c r="AQ953" s="43"/>
      <c r="AR953" s="38"/>
      <c r="AS953" s="38"/>
      <c r="AT953" s="38"/>
      <c r="AU953" s="43"/>
      <c r="AV953" s="43"/>
      <c r="AW953" s="119"/>
      <c r="AX953" s="119"/>
      <c r="AY953" s="43"/>
      <c r="AZ953" s="43"/>
      <c r="BA953" s="43"/>
      <c r="BB953" s="43"/>
      <c r="BC953" s="43"/>
      <c r="BD953" s="43"/>
    </row>
    <row r="954" spans="1:56">
      <c r="A954" s="43"/>
      <c r="B954" s="43"/>
      <c r="C954" s="43"/>
      <c r="D954" s="43"/>
      <c r="E954" s="43"/>
      <c r="F954" s="43"/>
      <c r="G954" s="43"/>
      <c r="H954" s="43"/>
      <c r="I954" s="43"/>
      <c r="J954" s="43"/>
      <c r="K954" s="43"/>
      <c r="L954" s="43"/>
      <c r="M954" s="44"/>
      <c r="N954" s="119"/>
      <c r="O954" s="38"/>
      <c r="P954" s="38"/>
      <c r="Q954" s="38"/>
      <c r="R954" s="38"/>
      <c r="S954" s="38"/>
      <c r="T954" s="38"/>
      <c r="U954" s="44"/>
      <c r="V954" s="38"/>
      <c r="W954" s="38"/>
      <c r="X954" s="38"/>
      <c r="Y954" s="38"/>
      <c r="Z954" s="38"/>
      <c r="AA954" s="38"/>
      <c r="AB954" s="44"/>
      <c r="AC954" s="38"/>
      <c r="AD954" s="38"/>
      <c r="AE954" s="38"/>
      <c r="AF954" s="38"/>
      <c r="AG954" s="38"/>
      <c r="AH954" s="38"/>
      <c r="AI954" s="44"/>
      <c r="AJ954" s="119"/>
      <c r="AK954" s="38"/>
      <c r="AL954" s="38"/>
      <c r="AM954" s="38"/>
      <c r="AN954" s="38"/>
      <c r="AO954" s="38"/>
      <c r="AP954" s="38"/>
      <c r="AQ954" s="43"/>
      <c r="AR954" s="38"/>
      <c r="AS954" s="38"/>
      <c r="AT954" s="38"/>
      <c r="AU954" s="43"/>
      <c r="AV954" s="43"/>
      <c r="AW954" s="119"/>
      <c r="AX954" s="119"/>
      <c r="AY954" s="43"/>
      <c r="AZ954" s="43"/>
      <c r="BA954" s="43"/>
      <c r="BB954" s="43"/>
      <c r="BC954" s="43"/>
      <c r="BD954" s="43"/>
    </row>
    <row r="955" spans="1:56">
      <c r="A955" s="43"/>
      <c r="B955" s="43"/>
      <c r="C955" s="43"/>
      <c r="D955" s="43"/>
      <c r="E955" s="43"/>
      <c r="F955" s="43"/>
      <c r="G955" s="43"/>
      <c r="H955" s="43"/>
      <c r="I955" s="43"/>
      <c r="J955" s="43"/>
      <c r="K955" s="43"/>
      <c r="L955" s="43"/>
      <c r="M955" s="44"/>
      <c r="N955" s="119"/>
      <c r="O955" s="38"/>
      <c r="P955" s="38"/>
      <c r="Q955" s="38"/>
      <c r="R955" s="38"/>
      <c r="S955" s="38"/>
      <c r="T955" s="38"/>
      <c r="U955" s="44"/>
      <c r="V955" s="38"/>
      <c r="W955" s="38"/>
      <c r="X955" s="38"/>
      <c r="Y955" s="38"/>
      <c r="Z955" s="38"/>
      <c r="AA955" s="38"/>
      <c r="AB955" s="44"/>
      <c r="AC955" s="38"/>
      <c r="AD955" s="38"/>
      <c r="AE955" s="38"/>
      <c r="AF955" s="38"/>
      <c r="AG955" s="38"/>
      <c r="AH955" s="38"/>
      <c r="AI955" s="44"/>
      <c r="AJ955" s="119"/>
      <c r="AK955" s="38"/>
      <c r="AL955" s="38"/>
      <c r="AM955" s="38"/>
      <c r="AN955" s="38"/>
      <c r="AO955" s="38"/>
      <c r="AP955" s="38"/>
      <c r="AQ955" s="43"/>
      <c r="AR955" s="38"/>
      <c r="AS955" s="38"/>
      <c r="AT955" s="38"/>
      <c r="AU955" s="43"/>
      <c r="AV955" s="43"/>
      <c r="AW955" s="119"/>
      <c r="AX955" s="119"/>
      <c r="AY955" s="43"/>
      <c r="AZ955" s="43"/>
      <c r="BA955" s="43"/>
      <c r="BB955" s="43"/>
      <c r="BC955" s="43"/>
      <c r="BD955" s="43"/>
    </row>
    <row r="956" spans="1:56">
      <c r="A956" s="43"/>
      <c r="B956" s="43"/>
      <c r="C956" s="43"/>
      <c r="D956" s="43"/>
      <c r="E956" s="43"/>
      <c r="F956" s="43"/>
      <c r="G956" s="43"/>
      <c r="H956" s="43"/>
      <c r="I956" s="43"/>
      <c r="J956" s="43"/>
      <c r="K956" s="43"/>
      <c r="L956" s="43"/>
      <c r="M956" s="44"/>
      <c r="N956" s="119"/>
      <c r="O956" s="38"/>
      <c r="P956" s="38"/>
      <c r="Q956" s="38"/>
      <c r="R956" s="38"/>
      <c r="S956" s="38"/>
      <c r="T956" s="38"/>
      <c r="U956" s="44"/>
      <c r="V956" s="38"/>
      <c r="W956" s="38"/>
      <c r="X956" s="38"/>
      <c r="Y956" s="38"/>
      <c r="Z956" s="38"/>
      <c r="AA956" s="38"/>
      <c r="AB956" s="44"/>
      <c r="AC956" s="38"/>
      <c r="AD956" s="38"/>
      <c r="AE956" s="38"/>
      <c r="AF956" s="38"/>
      <c r="AG956" s="38"/>
      <c r="AH956" s="38"/>
      <c r="AI956" s="44"/>
      <c r="AJ956" s="119"/>
      <c r="AK956" s="38"/>
      <c r="AL956" s="38"/>
      <c r="AM956" s="38"/>
      <c r="AN956" s="38"/>
      <c r="AO956" s="38"/>
      <c r="AP956" s="38"/>
      <c r="AQ956" s="43"/>
      <c r="AR956" s="38"/>
      <c r="AS956" s="38"/>
      <c r="AT956" s="38"/>
      <c r="AU956" s="43"/>
      <c r="AV956" s="43"/>
      <c r="AW956" s="119"/>
      <c r="AX956" s="119"/>
      <c r="AY956" s="43"/>
      <c r="AZ956" s="43"/>
      <c r="BA956" s="43"/>
      <c r="BB956" s="43"/>
      <c r="BC956" s="43"/>
      <c r="BD956" s="43"/>
    </row>
    <row r="957" spans="1:56">
      <c r="A957" s="43"/>
      <c r="B957" s="43"/>
      <c r="C957" s="43"/>
      <c r="D957" s="43"/>
      <c r="E957" s="43"/>
      <c r="F957" s="43"/>
      <c r="G957" s="43"/>
      <c r="H957" s="43"/>
      <c r="I957" s="43"/>
      <c r="J957" s="43"/>
      <c r="K957" s="43"/>
      <c r="L957" s="43"/>
      <c r="M957" s="44"/>
      <c r="N957" s="119"/>
      <c r="O957" s="38"/>
      <c r="P957" s="38"/>
      <c r="Q957" s="38"/>
      <c r="R957" s="38"/>
      <c r="S957" s="38"/>
      <c r="T957" s="38"/>
      <c r="U957" s="44"/>
      <c r="V957" s="38"/>
      <c r="W957" s="38"/>
      <c r="X957" s="38"/>
      <c r="Y957" s="38"/>
      <c r="Z957" s="38"/>
      <c r="AA957" s="38"/>
      <c r="AB957" s="44"/>
      <c r="AC957" s="38"/>
      <c r="AD957" s="38"/>
      <c r="AE957" s="38"/>
      <c r="AF957" s="38"/>
      <c r="AG957" s="38"/>
      <c r="AH957" s="38"/>
      <c r="AI957" s="44"/>
      <c r="AJ957" s="119"/>
      <c r="AK957" s="38"/>
      <c r="AL957" s="38"/>
      <c r="AM957" s="38"/>
      <c r="AN957" s="38"/>
      <c r="AO957" s="38"/>
      <c r="AP957" s="38"/>
      <c r="AQ957" s="43"/>
      <c r="AR957" s="38"/>
      <c r="AS957" s="38"/>
      <c r="AT957" s="38"/>
      <c r="AU957" s="43"/>
      <c r="AV957" s="43"/>
      <c r="AW957" s="119"/>
      <c r="AX957" s="119"/>
      <c r="AY957" s="43"/>
      <c r="AZ957" s="43"/>
      <c r="BA957" s="43"/>
      <c r="BB957" s="43"/>
      <c r="BC957" s="43"/>
      <c r="BD957" s="43"/>
    </row>
    <row r="958" spans="1:56">
      <c r="A958" s="43"/>
      <c r="B958" s="43"/>
      <c r="C958" s="43"/>
      <c r="D958" s="43"/>
      <c r="E958" s="43"/>
      <c r="F958" s="43"/>
      <c r="G958" s="43"/>
      <c r="H958" s="43"/>
      <c r="I958" s="43"/>
      <c r="J958" s="43"/>
      <c r="K958" s="43"/>
      <c r="L958" s="43"/>
      <c r="M958" s="44"/>
      <c r="N958" s="119"/>
      <c r="O958" s="38"/>
      <c r="P958" s="38"/>
      <c r="Q958" s="38"/>
      <c r="R958" s="38"/>
      <c r="S958" s="38"/>
      <c r="T958" s="38"/>
      <c r="U958" s="44"/>
      <c r="V958" s="38"/>
      <c r="W958" s="38"/>
      <c r="X958" s="38"/>
      <c r="Y958" s="38"/>
      <c r="Z958" s="38"/>
      <c r="AA958" s="38"/>
      <c r="AB958" s="44"/>
      <c r="AC958" s="38"/>
      <c r="AD958" s="38"/>
      <c r="AE958" s="38"/>
      <c r="AF958" s="38"/>
      <c r="AG958" s="38"/>
      <c r="AH958" s="38"/>
      <c r="AI958" s="44"/>
      <c r="AJ958" s="119"/>
      <c r="AK958" s="38"/>
      <c r="AL958" s="38"/>
      <c r="AM958" s="38"/>
      <c r="AN958" s="38"/>
      <c r="AO958" s="38"/>
      <c r="AP958" s="38"/>
      <c r="AQ958" s="43"/>
      <c r="AR958" s="38"/>
      <c r="AS958" s="38"/>
      <c r="AT958" s="38"/>
      <c r="AU958" s="43"/>
      <c r="AV958" s="43"/>
      <c r="AW958" s="119"/>
      <c r="AX958" s="119"/>
      <c r="AY958" s="43"/>
      <c r="AZ958" s="43"/>
      <c r="BA958" s="43"/>
      <c r="BB958" s="43"/>
      <c r="BC958" s="43"/>
      <c r="BD958" s="43"/>
    </row>
    <row r="959" spans="1:56">
      <c r="A959" s="43"/>
      <c r="B959" s="43"/>
      <c r="C959" s="43"/>
      <c r="D959" s="43"/>
      <c r="E959" s="43"/>
      <c r="F959" s="43"/>
      <c r="G959" s="43"/>
      <c r="H959" s="43"/>
      <c r="I959" s="43"/>
      <c r="J959" s="43"/>
      <c r="K959" s="43"/>
      <c r="L959" s="43"/>
      <c r="M959" s="44"/>
      <c r="N959" s="119"/>
      <c r="O959" s="38"/>
      <c r="P959" s="38"/>
      <c r="Q959" s="38"/>
      <c r="R959" s="38"/>
      <c r="S959" s="38"/>
      <c r="T959" s="38"/>
      <c r="U959" s="44"/>
      <c r="V959" s="38"/>
      <c r="W959" s="38"/>
      <c r="X959" s="38"/>
      <c r="Y959" s="38"/>
      <c r="Z959" s="38"/>
      <c r="AA959" s="38"/>
      <c r="AB959" s="44"/>
      <c r="AC959" s="38"/>
      <c r="AD959" s="38"/>
      <c r="AE959" s="38"/>
      <c r="AF959" s="38"/>
      <c r="AG959" s="38"/>
      <c r="AH959" s="38"/>
      <c r="AI959" s="44"/>
      <c r="AJ959" s="119"/>
      <c r="AK959" s="38"/>
      <c r="AL959" s="38"/>
      <c r="AM959" s="38"/>
      <c r="AN959" s="38"/>
      <c r="AO959" s="38"/>
      <c r="AP959" s="38"/>
      <c r="AQ959" s="43"/>
      <c r="AR959" s="38"/>
      <c r="AS959" s="38"/>
      <c r="AT959" s="38"/>
      <c r="AU959" s="43"/>
      <c r="AV959" s="43"/>
      <c r="AW959" s="119"/>
      <c r="AX959" s="119"/>
      <c r="AY959" s="43"/>
      <c r="AZ959" s="43"/>
      <c r="BA959" s="43"/>
      <c r="BB959" s="43"/>
      <c r="BC959" s="43"/>
      <c r="BD959" s="43"/>
    </row>
    <row r="960" spans="1:56">
      <c r="A960" s="43"/>
      <c r="B960" s="43"/>
      <c r="C960" s="43"/>
      <c r="D960" s="43"/>
      <c r="E960" s="43"/>
      <c r="F960" s="43"/>
      <c r="G960" s="43"/>
      <c r="H960" s="43"/>
      <c r="I960" s="43"/>
      <c r="J960" s="43"/>
      <c r="K960" s="43"/>
      <c r="L960" s="43"/>
      <c r="M960" s="44"/>
      <c r="N960" s="119"/>
      <c r="O960" s="38"/>
      <c r="P960" s="38"/>
      <c r="Q960" s="38"/>
      <c r="R960" s="38"/>
      <c r="S960" s="38"/>
      <c r="T960" s="38"/>
      <c r="U960" s="44"/>
      <c r="V960" s="38"/>
      <c r="W960" s="38"/>
      <c r="X960" s="38"/>
      <c r="Y960" s="38"/>
      <c r="Z960" s="38"/>
      <c r="AA960" s="38"/>
      <c r="AB960" s="44"/>
      <c r="AC960" s="38"/>
      <c r="AD960" s="38"/>
      <c r="AE960" s="38"/>
      <c r="AF960" s="38"/>
      <c r="AG960" s="38"/>
      <c r="AH960" s="38"/>
      <c r="AI960" s="44"/>
      <c r="AJ960" s="119"/>
      <c r="AK960" s="38"/>
      <c r="AL960" s="38"/>
      <c r="AM960" s="38"/>
      <c r="AN960" s="38"/>
      <c r="AO960" s="38"/>
      <c r="AP960" s="38"/>
      <c r="AQ960" s="43"/>
      <c r="AR960" s="38"/>
      <c r="AS960" s="38"/>
      <c r="AT960" s="38"/>
      <c r="AU960" s="43"/>
      <c r="AV960" s="43"/>
      <c r="AW960" s="119"/>
      <c r="AX960" s="119"/>
      <c r="AY960" s="43"/>
      <c r="AZ960" s="43"/>
      <c r="BA960" s="43"/>
      <c r="BB960" s="43"/>
      <c r="BC960" s="43"/>
      <c r="BD960" s="43"/>
    </row>
    <row r="961" spans="1:56">
      <c r="A961" s="43"/>
      <c r="B961" s="43"/>
      <c r="C961" s="43"/>
      <c r="D961" s="43"/>
      <c r="E961" s="43"/>
      <c r="F961" s="43"/>
      <c r="G961" s="43"/>
      <c r="H961" s="43"/>
      <c r="I961" s="43"/>
      <c r="J961" s="43"/>
      <c r="K961" s="43"/>
      <c r="L961" s="43"/>
      <c r="M961" s="44"/>
      <c r="N961" s="119"/>
      <c r="O961" s="38"/>
      <c r="P961" s="38"/>
      <c r="Q961" s="38"/>
      <c r="R961" s="38"/>
      <c r="S961" s="38"/>
      <c r="T961" s="38"/>
      <c r="U961" s="44"/>
      <c r="V961" s="38"/>
      <c r="W961" s="38"/>
      <c r="X961" s="38"/>
      <c r="Y961" s="38"/>
      <c r="Z961" s="38"/>
      <c r="AA961" s="38"/>
      <c r="AB961" s="44"/>
      <c r="AC961" s="38"/>
      <c r="AD961" s="38"/>
      <c r="AE961" s="38"/>
      <c r="AF961" s="38"/>
      <c r="AG961" s="38"/>
      <c r="AH961" s="38"/>
      <c r="AI961" s="44"/>
      <c r="AJ961" s="119"/>
      <c r="AK961" s="38"/>
      <c r="AL961" s="38"/>
      <c r="AM961" s="38"/>
      <c r="AN961" s="38"/>
      <c r="AO961" s="38"/>
      <c r="AP961" s="38"/>
      <c r="AQ961" s="43"/>
      <c r="AR961" s="38"/>
      <c r="AS961" s="38"/>
      <c r="AT961" s="38"/>
      <c r="AU961" s="43"/>
      <c r="AV961" s="43"/>
      <c r="AW961" s="119"/>
      <c r="AX961" s="119"/>
      <c r="AY961" s="43"/>
      <c r="AZ961" s="43"/>
      <c r="BA961" s="43"/>
      <c r="BB961" s="43"/>
      <c r="BC961" s="43"/>
      <c r="BD961" s="43"/>
    </row>
    <row r="962" spans="1:56">
      <c r="A962" s="43"/>
      <c r="B962" s="43"/>
      <c r="C962" s="43"/>
      <c r="D962" s="43"/>
      <c r="E962" s="43"/>
      <c r="F962" s="43"/>
      <c r="G962" s="43"/>
      <c r="H962" s="43"/>
      <c r="I962" s="43"/>
      <c r="J962" s="43"/>
      <c r="K962" s="43"/>
      <c r="L962" s="43"/>
      <c r="M962" s="44"/>
      <c r="N962" s="119"/>
      <c r="O962" s="38"/>
      <c r="P962" s="38"/>
      <c r="Q962" s="38"/>
      <c r="R962" s="38"/>
      <c r="S962" s="38"/>
      <c r="T962" s="38"/>
      <c r="U962" s="44"/>
      <c r="V962" s="38"/>
      <c r="W962" s="38"/>
      <c r="X962" s="38"/>
      <c r="Y962" s="38"/>
      <c r="Z962" s="38"/>
      <c r="AA962" s="38"/>
      <c r="AB962" s="44"/>
      <c r="AC962" s="38"/>
      <c r="AD962" s="38"/>
      <c r="AE962" s="38"/>
      <c r="AF962" s="38"/>
      <c r="AG962" s="38"/>
      <c r="AH962" s="38"/>
      <c r="AI962" s="44"/>
      <c r="AJ962" s="119"/>
      <c r="AK962" s="38"/>
      <c r="AL962" s="38"/>
      <c r="AM962" s="38"/>
      <c r="AN962" s="38"/>
      <c r="AO962" s="38"/>
      <c r="AP962" s="38"/>
      <c r="AQ962" s="43"/>
      <c r="AR962" s="38"/>
      <c r="AS962" s="38"/>
      <c r="AT962" s="38"/>
      <c r="AU962" s="43"/>
      <c r="AV962" s="43"/>
      <c r="AW962" s="119"/>
      <c r="AX962" s="119"/>
      <c r="AY962" s="43"/>
      <c r="AZ962" s="43"/>
      <c r="BA962" s="43"/>
      <c r="BB962" s="43"/>
      <c r="BC962" s="43"/>
      <c r="BD962" s="43"/>
    </row>
    <row r="963" spans="1:56">
      <c r="A963" s="43"/>
      <c r="B963" s="43"/>
      <c r="C963" s="43"/>
      <c r="D963" s="43"/>
      <c r="E963" s="43"/>
      <c r="F963" s="43"/>
      <c r="G963" s="43"/>
      <c r="H963" s="43"/>
      <c r="I963" s="43"/>
      <c r="J963" s="43"/>
      <c r="K963" s="43"/>
      <c r="L963" s="43"/>
      <c r="M963" s="44"/>
      <c r="N963" s="119"/>
      <c r="O963" s="38"/>
      <c r="P963" s="38"/>
      <c r="Q963" s="38"/>
      <c r="R963" s="38"/>
      <c r="S963" s="38"/>
      <c r="T963" s="38"/>
      <c r="U963" s="44"/>
      <c r="V963" s="38"/>
      <c r="W963" s="38"/>
      <c r="X963" s="38"/>
      <c r="Y963" s="38"/>
      <c r="Z963" s="38"/>
      <c r="AA963" s="38"/>
      <c r="AB963" s="44"/>
      <c r="AC963" s="38"/>
      <c r="AD963" s="38"/>
      <c r="AE963" s="38"/>
      <c r="AF963" s="38"/>
      <c r="AG963" s="38"/>
      <c r="AH963" s="38"/>
      <c r="AI963" s="44"/>
      <c r="AJ963" s="119"/>
      <c r="AK963" s="38"/>
      <c r="AL963" s="38"/>
      <c r="AM963" s="38"/>
      <c r="AN963" s="38"/>
      <c r="AO963" s="38"/>
      <c r="AP963" s="38"/>
      <c r="AQ963" s="43"/>
      <c r="AR963" s="38"/>
      <c r="AS963" s="38"/>
      <c r="AT963" s="38"/>
      <c r="AU963" s="43"/>
      <c r="AV963" s="43"/>
      <c r="AW963" s="119"/>
      <c r="AX963" s="119"/>
      <c r="AY963" s="43"/>
      <c r="AZ963" s="43"/>
      <c r="BA963" s="43"/>
      <c r="BB963" s="43"/>
      <c r="BC963" s="43"/>
      <c r="BD963" s="43"/>
    </row>
    <row r="964" spans="1:56">
      <c r="A964" s="43"/>
      <c r="B964" s="43"/>
      <c r="C964" s="43"/>
      <c r="D964" s="43"/>
      <c r="E964" s="43"/>
      <c r="F964" s="43"/>
      <c r="G964" s="43"/>
      <c r="H964" s="43"/>
      <c r="I964" s="43"/>
      <c r="J964" s="43"/>
      <c r="K964" s="43"/>
      <c r="L964" s="43"/>
      <c r="M964" s="44"/>
      <c r="N964" s="119"/>
      <c r="O964" s="38"/>
      <c r="P964" s="38"/>
      <c r="Q964" s="38"/>
      <c r="R964" s="38"/>
      <c r="S964" s="38"/>
      <c r="T964" s="38"/>
      <c r="U964" s="44"/>
      <c r="V964" s="38"/>
      <c r="W964" s="38"/>
      <c r="X964" s="38"/>
      <c r="Y964" s="38"/>
      <c r="Z964" s="38"/>
      <c r="AA964" s="38"/>
      <c r="AB964" s="44"/>
      <c r="AC964" s="38"/>
      <c r="AD964" s="38"/>
      <c r="AE964" s="38"/>
      <c r="AF964" s="38"/>
      <c r="AG964" s="38"/>
      <c r="AH964" s="38"/>
      <c r="AI964" s="44"/>
      <c r="AJ964" s="119"/>
      <c r="AK964" s="38"/>
      <c r="AL964" s="38"/>
      <c r="AM964" s="38"/>
      <c r="AN964" s="38"/>
      <c r="AO964" s="38"/>
      <c r="AP964" s="38"/>
      <c r="AQ964" s="43"/>
      <c r="AR964" s="38"/>
      <c r="AS964" s="38"/>
      <c r="AT964" s="38"/>
      <c r="AU964" s="43"/>
      <c r="AV964" s="43"/>
      <c r="AW964" s="119"/>
      <c r="AX964" s="119"/>
      <c r="AY964" s="43"/>
      <c r="AZ964" s="43"/>
      <c r="BA964" s="43"/>
      <c r="BB964" s="43"/>
      <c r="BC964" s="43"/>
      <c r="BD964" s="43"/>
    </row>
    <row r="965" spans="1:56">
      <c r="A965" s="43"/>
      <c r="B965" s="43"/>
      <c r="C965" s="43"/>
      <c r="D965" s="43"/>
      <c r="E965" s="43"/>
      <c r="F965" s="43"/>
      <c r="G965" s="43"/>
      <c r="H965" s="43"/>
      <c r="I965" s="43"/>
      <c r="J965" s="43"/>
      <c r="K965" s="43"/>
      <c r="L965" s="43"/>
      <c r="M965" s="44"/>
      <c r="N965" s="119"/>
      <c r="O965" s="38"/>
      <c r="P965" s="38"/>
      <c r="Q965" s="38"/>
      <c r="R965" s="38"/>
      <c r="S965" s="38"/>
      <c r="T965" s="38"/>
      <c r="U965" s="44"/>
      <c r="V965" s="38"/>
      <c r="W965" s="38"/>
      <c r="X965" s="38"/>
      <c r="Y965" s="38"/>
      <c r="Z965" s="38"/>
      <c r="AA965" s="38"/>
      <c r="AB965" s="44"/>
      <c r="AC965" s="38"/>
      <c r="AD965" s="38"/>
      <c r="AE965" s="38"/>
      <c r="AF965" s="38"/>
      <c r="AG965" s="38"/>
      <c r="AH965" s="38"/>
      <c r="AI965" s="44"/>
      <c r="AJ965" s="119"/>
      <c r="AK965" s="38"/>
      <c r="AL965" s="38"/>
      <c r="AM965" s="38"/>
      <c r="AN965" s="38"/>
      <c r="AO965" s="38"/>
      <c r="AP965" s="38"/>
      <c r="AQ965" s="43"/>
      <c r="AR965" s="38"/>
      <c r="AS965" s="38"/>
      <c r="AT965" s="38"/>
      <c r="AU965" s="43"/>
      <c r="AV965" s="43"/>
      <c r="AW965" s="119"/>
      <c r="AX965" s="119"/>
      <c r="AY965" s="43"/>
      <c r="AZ965" s="43"/>
      <c r="BA965" s="43"/>
      <c r="BB965" s="43"/>
      <c r="BC965" s="43"/>
      <c r="BD965" s="43"/>
    </row>
    <row r="966" spans="1:56">
      <c r="A966" s="43"/>
      <c r="B966" s="43"/>
      <c r="C966" s="43"/>
      <c r="D966" s="43"/>
      <c r="E966" s="43"/>
      <c r="F966" s="43"/>
      <c r="G966" s="43"/>
      <c r="H966" s="43"/>
      <c r="I966" s="43"/>
      <c r="J966" s="43"/>
      <c r="K966" s="43"/>
      <c r="L966" s="43"/>
      <c r="M966" s="44"/>
      <c r="N966" s="119"/>
      <c r="O966" s="38"/>
      <c r="P966" s="38"/>
      <c r="Q966" s="38"/>
      <c r="R966" s="38"/>
      <c r="S966" s="38"/>
      <c r="T966" s="38"/>
      <c r="U966" s="44"/>
      <c r="V966" s="38"/>
      <c r="W966" s="38"/>
      <c r="X966" s="38"/>
      <c r="Y966" s="38"/>
      <c r="Z966" s="38"/>
      <c r="AA966" s="38"/>
      <c r="AB966" s="44"/>
      <c r="AC966" s="38"/>
      <c r="AD966" s="38"/>
      <c r="AE966" s="38"/>
      <c r="AF966" s="38"/>
      <c r="AG966" s="38"/>
      <c r="AH966" s="38"/>
      <c r="AI966" s="44"/>
      <c r="AJ966" s="119"/>
      <c r="AK966" s="38"/>
      <c r="AL966" s="38"/>
      <c r="AM966" s="38"/>
      <c r="AN966" s="38"/>
      <c r="AO966" s="38"/>
      <c r="AP966" s="38"/>
      <c r="AQ966" s="43"/>
      <c r="AR966" s="38"/>
      <c r="AS966" s="38"/>
      <c r="AT966" s="38"/>
      <c r="AU966" s="43"/>
      <c r="AV966" s="43"/>
      <c r="AW966" s="119"/>
      <c r="AX966" s="119"/>
      <c r="AY966" s="43"/>
      <c r="AZ966" s="43"/>
      <c r="BA966" s="43"/>
      <c r="BB966" s="43"/>
      <c r="BC966" s="43"/>
      <c r="BD966" s="43"/>
    </row>
    <row r="967" spans="1:56">
      <c r="A967" s="43"/>
      <c r="B967" s="43"/>
      <c r="C967" s="43"/>
      <c r="D967" s="43"/>
      <c r="E967" s="43"/>
      <c r="F967" s="43"/>
      <c r="G967" s="43"/>
      <c r="H967" s="43"/>
      <c r="I967" s="43"/>
      <c r="J967" s="43"/>
      <c r="K967" s="43"/>
      <c r="L967" s="43"/>
      <c r="M967" s="44"/>
      <c r="N967" s="119"/>
      <c r="O967" s="38"/>
      <c r="P967" s="38"/>
      <c r="Q967" s="38"/>
      <c r="R967" s="38"/>
      <c r="S967" s="38"/>
      <c r="T967" s="38"/>
      <c r="U967" s="44"/>
      <c r="V967" s="38"/>
      <c r="W967" s="38"/>
      <c r="X967" s="38"/>
      <c r="Y967" s="38"/>
      <c r="Z967" s="38"/>
      <c r="AA967" s="38"/>
      <c r="AB967" s="44"/>
      <c r="AC967" s="38"/>
      <c r="AD967" s="38"/>
      <c r="AE967" s="38"/>
      <c r="AF967" s="38"/>
      <c r="AG967" s="38"/>
      <c r="AH967" s="38"/>
      <c r="AI967" s="44"/>
      <c r="AJ967" s="119"/>
      <c r="AK967" s="38"/>
      <c r="AL967" s="38"/>
      <c r="AM967" s="38"/>
      <c r="AN967" s="38"/>
      <c r="AO967" s="38"/>
      <c r="AP967" s="38"/>
      <c r="AQ967" s="43"/>
      <c r="AR967" s="38"/>
      <c r="AS967" s="38"/>
      <c r="AT967" s="38"/>
      <c r="AU967" s="43"/>
      <c r="AV967" s="43"/>
      <c r="AW967" s="119"/>
      <c r="AX967" s="119"/>
      <c r="AY967" s="43"/>
      <c r="AZ967" s="43"/>
      <c r="BA967" s="43"/>
      <c r="BB967" s="43"/>
      <c r="BC967" s="43"/>
      <c r="BD967" s="43"/>
    </row>
    <row r="968" spans="1:56">
      <c r="A968" s="43"/>
      <c r="B968" s="43"/>
      <c r="C968" s="43"/>
      <c r="D968" s="43"/>
      <c r="E968" s="43"/>
      <c r="F968" s="43"/>
      <c r="G968" s="43"/>
      <c r="H968" s="43"/>
      <c r="I968" s="43"/>
      <c r="J968" s="43"/>
      <c r="K968" s="43"/>
      <c r="L968" s="43"/>
      <c r="M968" s="44"/>
      <c r="N968" s="119"/>
      <c r="O968" s="38"/>
      <c r="P968" s="38"/>
      <c r="Q968" s="38"/>
      <c r="R968" s="38"/>
      <c r="S968" s="38"/>
      <c r="T968" s="38"/>
      <c r="U968" s="44"/>
      <c r="V968" s="38"/>
      <c r="W968" s="38"/>
      <c r="X968" s="38"/>
      <c r="Y968" s="38"/>
      <c r="Z968" s="38"/>
      <c r="AA968" s="38"/>
      <c r="AB968" s="44"/>
      <c r="AC968" s="38"/>
      <c r="AD968" s="38"/>
      <c r="AE968" s="38"/>
      <c r="AF968" s="38"/>
      <c r="AG968" s="38"/>
      <c r="AH968" s="38"/>
      <c r="AI968" s="44"/>
      <c r="AJ968" s="119"/>
      <c r="AK968" s="38"/>
      <c r="AL968" s="38"/>
      <c r="AM968" s="38"/>
      <c r="AN968" s="38"/>
      <c r="AO968" s="38"/>
      <c r="AP968" s="38"/>
      <c r="AQ968" s="43"/>
      <c r="AR968" s="38"/>
      <c r="AS968" s="38"/>
      <c r="AT968" s="38"/>
      <c r="AU968" s="43"/>
      <c r="AV968" s="43"/>
      <c r="AW968" s="119"/>
      <c r="AX968" s="119"/>
      <c r="AY968" s="43"/>
      <c r="AZ968" s="43"/>
      <c r="BA968" s="43"/>
      <c r="BB968" s="43"/>
      <c r="BC968" s="43"/>
      <c r="BD968" s="43"/>
    </row>
    <row r="969" spans="1:56">
      <c r="A969" s="43"/>
      <c r="B969" s="43"/>
      <c r="C969" s="43"/>
      <c r="D969" s="43"/>
      <c r="E969" s="43"/>
      <c r="F969" s="43"/>
      <c r="G969" s="43"/>
      <c r="H969" s="43"/>
      <c r="I969" s="43"/>
      <c r="J969" s="43"/>
      <c r="K969" s="43"/>
      <c r="L969" s="43"/>
      <c r="M969" s="44"/>
      <c r="N969" s="119"/>
      <c r="O969" s="38"/>
      <c r="P969" s="38"/>
      <c r="Q969" s="38"/>
      <c r="R969" s="38"/>
      <c r="S969" s="38"/>
      <c r="T969" s="38"/>
      <c r="U969" s="44"/>
      <c r="V969" s="38"/>
      <c r="W969" s="38"/>
      <c r="X969" s="38"/>
      <c r="Y969" s="38"/>
      <c r="Z969" s="38"/>
      <c r="AA969" s="38"/>
      <c r="AB969" s="44"/>
      <c r="AC969" s="38"/>
      <c r="AD969" s="38"/>
      <c r="AE969" s="38"/>
      <c r="AF969" s="38"/>
      <c r="AG969" s="38"/>
      <c r="AH969" s="38"/>
      <c r="AI969" s="44"/>
      <c r="AJ969" s="119"/>
      <c r="AK969" s="38"/>
      <c r="AL969" s="38"/>
      <c r="AM969" s="38"/>
      <c r="AN969" s="38"/>
      <c r="AO969" s="38"/>
      <c r="AP969" s="38"/>
      <c r="AQ969" s="43"/>
      <c r="AR969" s="38"/>
      <c r="AS969" s="38"/>
      <c r="AT969" s="38"/>
      <c r="AU969" s="43"/>
      <c r="AV969" s="43"/>
      <c r="AW969" s="119"/>
      <c r="AX969" s="119"/>
      <c r="AY969" s="43"/>
      <c r="AZ969" s="43"/>
      <c r="BA969" s="43"/>
      <c r="BB969" s="43"/>
      <c r="BC969" s="43"/>
      <c r="BD969" s="43"/>
    </row>
    <row r="970" spans="1:56">
      <c r="A970" s="43"/>
      <c r="B970" s="43"/>
      <c r="C970" s="43"/>
      <c r="D970" s="43"/>
      <c r="E970" s="43"/>
      <c r="F970" s="43"/>
      <c r="G970" s="43"/>
      <c r="H970" s="43"/>
      <c r="I970" s="43"/>
      <c r="J970" s="43"/>
      <c r="K970" s="43"/>
      <c r="L970" s="43"/>
      <c r="M970" s="44"/>
      <c r="N970" s="119"/>
      <c r="O970" s="38"/>
      <c r="P970" s="38"/>
      <c r="Q970" s="38"/>
      <c r="R970" s="38"/>
      <c r="S970" s="38"/>
      <c r="T970" s="38"/>
      <c r="U970" s="44"/>
      <c r="V970" s="38"/>
      <c r="W970" s="38"/>
      <c r="X970" s="38"/>
      <c r="Y970" s="38"/>
      <c r="Z970" s="38"/>
      <c r="AA970" s="38"/>
      <c r="AB970" s="44"/>
      <c r="AC970" s="38"/>
      <c r="AD970" s="38"/>
      <c r="AE970" s="38"/>
      <c r="AF970" s="38"/>
      <c r="AG970" s="38"/>
      <c r="AH970" s="38"/>
      <c r="AI970" s="44"/>
      <c r="AJ970" s="119"/>
      <c r="AK970" s="38"/>
      <c r="AL970" s="38"/>
      <c r="AM970" s="38"/>
      <c r="AN970" s="38"/>
      <c r="AO970" s="38"/>
      <c r="AP970" s="38"/>
      <c r="AQ970" s="43"/>
      <c r="AR970" s="38"/>
      <c r="AS970" s="38"/>
      <c r="AT970" s="38"/>
      <c r="AU970" s="43"/>
      <c r="AV970" s="43"/>
      <c r="AW970" s="119"/>
      <c r="AX970" s="119"/>
      <c r="AY970" s="43"/>
      <c r="AZ970" s="43"/>
      <c r="BA970" s="43"/>
      <c r="BB970" s="43"/>
      <c r="BC970" s="43"/>
      <c r="BD970" s="43"/>
    </row>
    <row r="971" spans="1:56">
      <c r="A971" s="43"/>
      <c r="B971" s="43"/>
      <c r="C971" s="43"/>
      <c r="D971" s="43"/>
      <c r="E971" s="43"/>
      <c r="F971" s="43"/>
      <c r="G971" s="43"/>
      <c r="H971" s="43"/>
      <c r="I971" s="43"/>
      <c r="J971" s="43"/>
      <c r="K971" s="43"/>
      <c r="L971" s="43"/>
      <c r="M971" s="44"/>
      <c r="N971" s="119"/>
      <c r="O971" s="38"/>
      <c r="P971" s="38"/>
      <c r="Q971" s="38"/>
      <c r="R971" s="38"/>
      <c r="S971" s="38"/>
      <c r="T971" s="38"/>
      <c r="U971" s="44"/>
      <c r="V971" s="38"/>
      <c r="W971" s="38"/>
      <c r="X971" s="38"/>
      <c r="Y971" s="38"/>
      <c r="Z971" s="38"/>
      <c r="AA971" s="38"/>
      <c r="AB971" s="44"/>
      <c r="AC971" s="38"/>
      <c r="AD971" s="38"/>
      <c r="AE971" s="38"/>
      <c r="AF971" s="38"/>
      <c r="AG971" s="38"/>
      <c r="AH971" s="38"/>
      <c r="AI971" s="44"/>
      <c r="AJ971" s="119"/>
      <c r="AK971" s="38"/>
      <c r="AL971" s="38"/>
      <c r="AM971" s="38"/>
      <c r="AN971" s="38"/>
      <c r="AO971" s="38"/>
      <c r="AP971" s="38"/>
      <c r="AQ971" s="43"/>
      <c r="AR971" s="38"/>
      <c r="AS971" s="38"/>
      <c r="AT971" s="38"/>
      <c r="AU971" s="43"/>
      <c r="AV971" s="43"/>
      <c r="AW971" s="119"/>
      <c r="AX971" s="119"/>
      <c r="AY971" s="43"/>
      <c r="AZ971" s="43"/>
      <c r="BA971" s="43"/>
      <c r="BB971" s="43"/>
      <c r="BC971" s="43"/>
      <c r="BD971" s="43"/>
    </row>
    <row r="972" spans="1:56">
      <c r="A972" s="43"/>
      <c r="B972" s="43"/>
      <c r="C972" s="43"/>
      <c r="D972" s="43"/>
      <c r="E972" s="43"/>
      <c r="F972" s="43"/>
      <c r="G972" s="43"/>
      <c r="H972" s="43"/>
      <c r="I972" s="43"/>
      <c r="J972" s="43"/>
      <c r="K972" s="43"/>
      <c r="L972" s="43"/>
      <c r="M972" s="44"/>
      <c r="N972" s="119"/>
      <c r="O972" s="38"/>
      <c r="P972" s="38"/>
      <c r="Q972" s="38"/>
      <c r="R972" s="38"/>
      <c r="S972" s="38"/>
      <c r="T972" s="38"/>
      <c r="U972" s="44"/>
      <c r="V972" s="38"/>
      <c r="W972" s="38"/>
      <c r="X972" s="38"/>
      <c r="Y972" s="38"/>
      <c r="Z972" s="38"/>
      <c r="AA972" s="38"/>
      <c r="AB972" s="44"/>
      <c r="AC972" s="38"/>
      <c r="AD972" s="38"/>
      <c r="AE972" s="38"/>
      <c r="AF972" s="38"/>
      <c r="AG972" s="38"/>
      <c r="AH972" s="38"/>
      <c r="AI972" s="44"/>
      <c r="AJ972" s="119"/>
      <c r="AK972" s="38"/>
      <c r="AL972" s="38"/>
      <c r="AM972" s="38"/>
      <c r="AN972" s="38"/>
      <c r="AO972" s="38"/>
      <c r="AP972" s="38"/>
      <c r="AQ972" s="43"/>
      <c r="AR972" s="38"/>
      <c r="AS972" s="38"/>
      <c r="AT972" s="38"/>
      <c r="AU972" s="43"/>
      <c r="AV972" s="43"/>
      <c r="AW972" s="119"/>
      <c r="AX972" s="119"/>
      <c r="AY972" s="43"/>
      <c r="AZ972" s="43"/>
      <c r="BA972" s="43"/>
      <c r="BB972" s="43"/>
      <c r="BC972" s="43"/>
      <c r="BD972" s="43"/>
    </row>
    <row r="973" spans="1:56">
      <c r="A973" s="43"/>
      <c r="B973" s="43"/>
      <c r="C973" s="43"/>
      <c r="D973" s="43"/>
      <c r="E973" s="43"/>
      <c r="F973" s="43"/>
      <c r="G973" s="43"/>
      <c r="H973" s="43"/>
      <c r="I973" s="43"/>
      <c r="J973" s="43"/>
      <c r="K973" s="43"/>
      <c r="L973" s="43"/>
      <c r="M973" s="44"/>
      <c r="N973" s="119"/>
      <c r="O973" s="38"/>
      <c r="P973" s="38"/>
      <c r="Q973" s="38"/>
      <c r="R973" s="38"/>
      <c r="S973" s="38"/>
      <c r="T973" s="38"/>
      <c r="U973" s="44"/>
      <c r="V973" s="38"/>
      <c r="W973" s="38"/>
      <c r="X973" s="38"/>
      <c r="Y973" s="38"/>
      <c r="Z973" s="38"/>
      <c r="AA973" s="38"/>
      <c r="AB973" s="44"/>
      <c r="AC973" s="38"/>
      <c r="AD973" s="38"/>
      <c r="AE973" s="38"/>
      <c r="AF973" s="38"/>
      <c r="AG973" s="38"/>
      <c r="AH973" s="38"/>
      <c r="AI973" s="44"/>
      <c r="AJ973" s="119"/>
      <c r="AK973" s="38"/>
      <c r="AL973" s="38"/>
      <c r="AM973" s="38"/>
      <c r="AN973" s="38"/>
      <c r="AO973" s="38"/>
      <c r="AP973" s="38"/>
      <c r="AQ973" s="43"/>
      <c r="AR973" s="38"/>
      <c r="AS973" s="38"/>
      <c r="AT973" s="38"/>
      <c r="AU973" s="43"/>
      <c r="AV973" s="43"/>
      <c r="AW973" s="119"/>
      <c r="AX973" s="119"/>
      <c r="AY973" s="43"/>
      <c r="AZ973" s="43"/>
      <c r="BA973" s="43"/>
      <c r="BB973" s="43"/>
      <c r="BC973" s="43"/>
      <c r="BD973" s="43"/>
    </row>
    <row r="974" spans="1:56">
      <c r="A974" s="43"/>
      <c r="B974" s="43"/>
      <c r="C974" s="43"/>
      <c r="D974" s="43"/>
      <c r="E974" s="43"/>
      <c r="F974" s="43"/>
      <c r="G974" s="43"/>
      <c r="H974" s="43"/>
      <c r="I974" s="43"/>
      <c r="J974" s="43"/>
      <c r="K974" s="43"/>
      <c r="L974" s="43"/>
      <c r="M974" s="44"/>
      <c r="N974" s="119"/>
      <c r="O974" s="38"/>
      <c r="P974" s="38"/>
      <c r="Q974" s="38"/>
      <c r="R974" s="38"/>
      <c r="S974" s="38"/>
      <c r="T974" s="38"/>
      <c r="U974" s="44"/>
      <c r="V974" s="38"/>
      <c r="W974" s="38"/>
      <c r="X974" s="38"/>
      <c r="Y974" s="38"/>
      <c r="Z974" s="38"/>
      <c r="AA974" s="38"/>
      <c r="AB974" s="44"/>
      <c r="AC974" s="38"/>
      <c r="AD974" s="38"/>
      <c r="AE974" s="38"/>
      <c r="AF974" s="38"/>
      <c r="AG974" s="38"/>
      <c r="AH974" s="38"/>
      <c r="AI974" s="44"/>
      <c r="AJ974" s="119"/>
      <c r="AK974" s="38"/>
      <c r="AL974" s="38"/>
      <c r="AM974" s="38"/>
      <c r="AN974" s="38"/>
      <c r="AO974" s="38"/>
      <c r="AP974" s="38"/>
      <c r="AQ974" s="43"/>
      <c r="AR974" s="38"/>
      <c r="AS974" s="38"/>
      <c r="AT974" s="38"/>
      <c r="AU974" s="43"/>
      <c r="AV974" s="43"/>
      <c r="AW974" s="119"/>
      <c r="AX974" s="119"/>
      <c r="AY974" s="43"/>
      <c r="AZ974" s="43"/>
      <c r="BA974" s="43"/>
      <c r="BB974" s="43"/>
      <c r="BC974" s="43"/>
      <c r="BD974" s="43"/>
    </row>
    <row r="975" spans="1:56">
      <c r="A975" s="43"/>
      <c r="B975" s="43"/>
      <c r="C975" s="43"/>
      <c r="D975" s="43"/>
      <c r="E975" s="43"/>
      <c r="F975" s="43"/>
      <c r="G975" s="43"/>
      <c r="H975" s="43"/>
      <c r="I975" s="43"/>
      <c r="J975" s="43"/>
      <c r="K975" s="43"/>
      <c r="L975" s="43"/>
      <c r="M975" s="44"/>
      <c r="N975" s="119"/>
      <c r="O975" s="38"/>
      <c r="P975" s="38"/>
      <c r="Q975" s="38"/>
      <c r="R975" s="38"/>
      <c r="S975" s="38"/>
      <c r="T975" s="38"/>
      <c r="U975" s="44"/>
      <c r="V975" s="38"/>
      <c r="W975" s="38"/>
      <c r="X975" s="38"/>
      <c r="Y975" s="38"/>
      <c r="Z975" s="38"/>
      <c r="AA975" s="38"/>
      <c r="AB975" s="44"/>
      <c r="AC975" s="38"/>
      <c r="AD975" s="38"/>
      <c r="AE975" s="38"/>
      <c r="AF975" s="38"/>
      <c r="AG975" s="38"/>
      <c r="AH975" s="38"/>
      <c r="AI975" s="44"/>
      <c r="AJ975" s="119"/>
      <c r="AK975" s="38"/>
      <c r="AL975" s="38"/>
      <c r="AM975" s="38"/>
      <c r="AN975" s="38"/>
      <c r="AO975" s="38"/>
      <c r="AP975" s="38"/>
      <c r="AQ975" s="43"/>
      <c r="AR975" s="38"/>
      <c r="AS975" s="38"/>
      <c r="AT975" s="38"/>
      <c r="AU975" s="43"/>
      <c r="AV975" s="43"/>
      <c r="AW975" s="119"/>
      <c r="AX975" s="119"/>
      <c r="AY975" s="43"/>
      <c r="AZ975" s="43"/>
      <c r="BA975" s="43"/>
      <c r="BB975" s="43"/>
      <c r="BC975" s="43"/>
      <c r="BD975" s="43"/>
    </row>
    <row r="976" spans="1:56">
      <c r="A976" s="43"/>
      <c r="B976" s="43"/>
      <c r="C976" s="43"/>
      <c r="D976" s="43"/>
      <c r="E976" s="43"/>
      <c r="F976" s="43"/>
      <c r="G976" s="43"/>
      <c r="H976" s="43"/>
      <c r="I976" s="43"/>
      <c r="J976" s="43"/>
      <c r="K976" s="43"/>
      <c r="L976" s="43"/>
      <c r="M976" s="44"/>
      <c r="N976" s="119"/>
      <c r="O976" s="38"/>
      <c r="P976" s="38"/>
      <c r="Q976" s="38"/>
      <c r="R976" s="38"/>
      <c r="S976" s="38"/>
      <c r="T976" s="38"/>
      <c r="U976" s="44"/>
      <c r="V976" s="38"/>
      <c r="W976" s="38"/>
      <c r="X976" s="38"/>
      <c r="Y976" s="38"/>
      <c r="Z976" s="38"/>
      <c r="AA976" s="38"/>
      <c r="AB976" s="44"/>
      <c r="AC976" s="38"/>
      <c r="AD976" s="38"/>
      <c r="AE976" s="38"/>
      <c r="AF976" s="38"/>
      <c r="AG976" s="38"/>
      <c r="AH976" s="38"/>
      <c r="AI976" s="44"/>
      <c r="AJ976" s="119"/>
      <c r="AK976" s="38"/>
      <c r="AL976" s="38"/>
      <c r="AM976" s="38"/>
      <c r="AN976" s="38"/>
      <c r="AO976" s="38"/>
      <c r="AP976" s="38"/>
      <c r="AQ976" s="43"/>
      <c r="AR976" s="38"/>
      <c r="AS976" s="38"/>
      <c r="AT976" s="38"/>
      <c r="AU976" s="43"/>
      <c r="AV976" s="43"/>
      <c r="AW976" s="119"/>
      <c r="AX976" s="119"/>
      <c r="AY976" s="43"/>
      <c r="AZ976" s="43"/>
      <c r="BA976" s="43"/>
      <c r="BB976" s="43"/>
      <c r="BC976" s="43"/>
      <c r="BD976" s="43"/>
    </row>
    <row r="977" spans="1:56">
      <c r="A977" s="43"/>
      <c r="B977" s="43"/>
      <c r="C977" s="43"/>
      <c r="D977" s="43"/>
      <c r="E977" s="43"/>
      <c r="F977" s="43"/>
      <c r="G977" s="43"/>
      <c r="H977" s="43"/>
      <c r="I977" s="43"/>
      <c r="J977" s="43"/>
      <c r="K977" s="43"/>
      <c r="L977" s="43"/>
      <c r="M977" s="44"/>
      <c r="N977" s="119"/>
      <c r="O977" s="38"/>
      <c r="P977" s="38"/>
      <c r="Q977" s="38"/>
      <c r="R977" s="38"/>
      <c r="S977" s="38"/>
      <c r="T977" s="38"/>
      <c r="U977" s="44"/>
      <c r="V977" s="38"/>
      <c r="W977" s="38"/>
      <c r="X977" s="38"/>
      <c r="Y977" s="38"/>
      <c r="Z977" s="38"/>
      <c r="AA977" s="38"/>
      <c r="AB977" s="44"/>
      <c r="AC977" s="38"/>
      <c r="AD977" s="38"/>
      <c r="AE977" s="38"/>
      <c r="AF977" s="38"/>
      <c r="AG977" s="38"/>
      <c r="AH977" s="38"/>
      <c r="AI977" s="44"/>
      <c r="AJ977" s="119"/>
      <c r="AK977" s="38"/>
      <c r="AL977" s="38"/>
      <c r="AM977" s="38"/>
      <c r="AN977" s="38"/>
      <c r="AO977" s="38"/>
      <c r="AP977" s="38"/>
      <c r="AQ977" s="43"/>
      <c r="AR977" s="38"/>
      <c r="AS977" s="38"/>
      <c r="AT977" s="38"/>
      <c r="AU977" s="43"/>
      <c r="AV977" s="43"/>
      <c r="AW977" s="119"/>
      <c r="AX977" s="119"/>
      <c r="AY977" s="43"/>
      <c r="AZ977" s="43"/>
      <c r="BA977" s="43"/>
      <c r="BB977" s="43"/>
      <c r="BC977" s="43"/>
      <c r="BD977" s="43"/>
    </row>
    <row r="978" spans="1:56">
      <c r="A978" s="43"/>
      <c r="B978" s="43"/>
      <c r="C978" s="43"/>
      <c r="D978" s="43"/>
      <c r="E978" s="43"/>
      <c r="F978" s="43"/>
      <c r="G978" s="43"/>
      <c r="H978" s="43"/>
      <c r="I978" s="43"/>
      <c r="J978" s="43"/>
      <c r="K978" s="43"/>
      <c r="L978" s="43"/>
      <c r="M978" s="44"/>
      <c r="N978" s="119"/>
      <c r="O978" s="38"/>
      <c r="P978" s="38"/>
      <c r="Q978" s="38"/>
      <c r="R978" s="38"/>
      <c r="S978" s="38"/>
      <c r="T978" s="38"/>
      <c r="U978" s="44"/>
      <c r="V978" s="38"/>
      <c r="W978" s="38"/>
      <c r="X978" s="38"/>
      <c r="Y978" s="38"/>
      <c r="Z978" s="38"/>
      <c r="AA978" s="38"/>
      <c r="AB978" s="44"/>
      <c r="AC978" s="38"/>
      <c r="AD978" s="38"/>
      <c r="AE978" s="38"/>
      <c r="AF978" s="38"/>
      <c r="AG978" s="38"/>
      <c r="AH978" s="38"/>
      <c r="AI978" s="44"/>
      <c r="AJ978" s="119"/>
      <c r="AK978" s="38"/>
      <c r="AL978" s="38"/>
      <c r="AM978" s="38"/>
      <c r="AN978" s="38"/>
      <c r="AO978" s="38"/>
      <c r="AP978" s="38"/>
      <c r="AQ978" s="43"/>
      <c r="AR978" s="38"/>
      <c r="AS978" s="38"/>
      <c r="AT978" s="38"/>
      <c r="AU978" s="43"/>
      <c r="AV978" s="43"/>
      <c r="AW978" s="119"/>
      <c r="AX978" s="119"/>
      <c r="AY978" s="43"/>
      <c r="AZ978" s="43"/>
      <c r="BA978" s="43"/>
      <c r="BB978" s="43"/>
      <c r="BC978" s="43"/>
      <c r="BD978" s="43"/>
    </row>
    <row r="979" spans="1:56">
      <c r="A979" s="43"/>
      <c r="B979" s="43"/>
      <c r="C979" s="43"/>
      <c r="D979" s="43"/>
      <c r="E979" s="43"/>
      <c r="F979" s="43"/>
      <c r="G979" s="43"/>
      <c r="H979" s="43"/>
      <c r="I979" s="43"/>
      <c r="J979" s="43"/>
      <c r="K979" s="43"/>
      <c r="L979" s="43"/>
      <c r="M979" s="44"/>
      <c r="N979" s="119"/>
      <c r="O979" s="38"/>
      <c r="P979" s="38"/>
      <c r="Q979" s="38"/>
      <c r="R979" s="38"/>
      <c r="S979" s="38"/>
      <c r="T979" s="38"/>
      <c r="U979" s="44"/>
      <c r="V979" s="38"/>
      <c r="W979" s="38"/>
      <c r="X979" s="38"/>
      <c r="Y979" s="38"/>
      <c r="Z979" s="38"/>
      <c r="AA979" s="38"/>
      <c r="AB979" s="44"/>
      <c r="AC979" s="38"/>
      <c r="AD979" s="38"/>
      <c r="AE979" s="38"/>
      <c r="AF979" s="38"/>
      <c r="AG979" s="38"/>
      <c r="AH979" s="38"/>
      <c r="AI979" s="44"/>
      <c r="AJ979" s="119"/>
      <c r="AK979" s="38"/>
      <c r="AL979" s="38"/>
      <c r="AM979" s="38"/>
      <c r="AN979" s="38"/>
      <c r="AO979" s="38"/>
      <c r="AP979" s="38"/>
      <c r="AQ979" s="43"/>
      <c r="AR979" s="38"/>
      <c r="AS979" s="38"/>
      <c r="AT979" s="38"/>
      <c r="AU979" s="43"/>
      <c r="AV979" s="43"/>
      <c r="AW979" s="119"/>
      <c r="AX979" s="119"/>
      <c r="AY979" s="43"/>
      <c r="AZ979" s="43"/>
      <c r="BA979" s="43"/>
      <c r="BB979" s="43"/>
      <c r="BC979" s="43"/>
      <c r="BD979" s="43"/>
    </row>
    <row r="980" spans="1:56">
      <c r="A980" s="43"/>
      <c r="B980" s="43"/>
      <c r="C980" s="43"/>
      <c r="D980" s="43"/>
      <c r="E980" s="43"/>
      <c r="F980" s="43"/>
      <c r="G980" s="43"/>
      <c r="H980" s="43"/>
      <c r="I980" s="43"/>
      <c r="J980" s="43"/>
      <c r="K980" s="43"/>
      <c r="L980" s="43"/>
      <c r="M980" s="44"/>
      <c r="N980" s="119"/>
      <c r="O980" s="38"/>
      <c r="P980" s="38"/>
      <c r="Q980" s="38"/>
      <c r="R980" s="38"/>
      <c r="S980" s="38"/>
      <c r="T980" s="38"/>
      <c r="U980" s="44"/>
      <c r="V980" s="38"/>
      <c r="W980" s="38"/>
      <c r="X980" s="38"/>
      <c r="Y980" s="38"/>
      <c r="Z980" s="38"/>
      <c r="AA980" s="38"/>
      <c r="AB980" s="44"/>
      <c r="AC980" s="38"/>
      <c r="AD980" s="38"/>
      <c r="AE980" s="38"/>
      <c r="AF980" s="38"/>
      <c r="AG980" s="38"/>
      <c r="AH980" s="38"/>
      <c r="AI980" s="44"/>
      <c r="AJ980" s="119"/>
      <c r="AK980" s="38"/>
      <c r="AL980" s="38"/>
      <c r="AM980" s="38"/>
      <c r="AN980" s="38"/>
      <c r="AO980" s="38"/>
      <c r="AP980" s="38"/>
      <c r="AQ980" s="43"/>
      <c r="AR980" s="38"/>
      <c r="AS980" s="38"/>
      <c r="AT980" s="38"/>
      <c r="AU980" s="43"/>
      <c r="AV980" s="43"/>
      <c r="AW980" s="119"/>
      <c r="AX980" s="119"/>
      <c r="AY980" s="43"/>
      <c r="AZ980" s="43"/>
      <c r="BA980" s="43"/>
      <c r="BB980" s="43"/>
      <c r="BC980" s="43"/>
      <c r="BD980" s="43"/>
    </row>
    <row r="981" spans="1:56">
      <c r="A981" s="43"/>
      <c r="B981" s="43"/>
      <c r="C981" s="43"/>
      <c r="D981" s="43"/>
      <c r="E981" s="43"/>
      <c r="F981" s="43"/>
      <c r="G981" s="43"/>
      <c r="H981" s="43"/>
      <c r="I981" s="43"/>
      <c r="J981" s="43"/>
      <c r="K981" s="43"/>
      <c r="L981" s="43"/>
      <c r="M981" s="44"/>
      <c r="N981" s="119"/>
      <c r="O981" s="38"/>
      <c r="P981" s="38"/>
      <c r="Q981" s="38"/>
      <c r="R981" s="38"/>
      <c r="S981" s="38"/>
      <c r="T981" s="38"/>
      <c r="U981" s="44"/>
      <c r="V981" s="38"/>
      <c r="W981" s="38"/>
      <c r="X981" s="38"/>
      <c r="Y981" s="38"/>
      <c r="Z981" s="38"/>
      <c r="AA981" s="38"/>
      <c r="AB981" s="44"/>
      <c r="AC981" s="38"/>
      <c r="AD981" s="38"/>
      <c r="AE981" s="38"/>
      <c r="AF981" s="38"/>
      <c r="AG981" s="38"/>
      <c r="AH981" s="38"/>
      <c r="AI981" s="44"/>
      <c r="AJ981" s="119"/>
      <c r="AK981" s="38"/>
      <c r="AL981" s="38"/>
      <c r="AM981" s="38"/>
      <c r="AN981" s="38"/>
      <c r="AO981" s="38"/>
      <c r="AP981" s="38"/>
      <c r="AQ981" s="43"/>
      <c r="AR981" s="38"/>
      <c r="AS981" s="38"/>
      <c r="AT981" s="38"/>
      <c r="AU981" s="43"/>
      <c r="AV981" s="43"/>
      <c r="AW981" s="119"/>
      <c r="AX981" s="119"/>
      <c r="AY981" s="43"/>
      <c r="AZ981" s="43"/>
      <c r="BA981" s="43"/>
      <c r="BB981" s="43"/>
      <c r="BC981" s="43"/>
      <c r="BD981" s="43"/>
    </row>
    <row r="982" spans="1:56">
      <c r="A982" s="43"/>
      <c r="B982" s="43"/>
      <c r="C982" s="43"/>
      <c r="D982" s="43"/>
      <c r="E982" s="43"/>
      <c r="F982" s="43"/>
      <c r="G982" s="43"/>
      <c r="H982" s="43"/>
      <c r="I982" s="43"/>
      <c r="J982" s="43"/>
      <c r="K982" s="43"/>
      <c r="L982" s="43"/>
      <c r="M982" s="44"/>
      <c r="N982" s="119"/>
      <c r="O982" s="38"/>
      <c r="P982" s="38"/>
      <c r="Q982" s="38"/>
      <c r="R982" s="38"/>
      <c r="S982" s="38"/>
      <c r="T982" s="38"/>
      <c r="U982" s="44"/>
      <c r="V982" s="38"/>
      <c r="W982" s="38"/>
      <c r="X982" s="38"/>
      <c r="Y982" s="38"/>
      <c r="Z982" s="38"/>
      <c r="AA982" s="38"/>
      <c r="AB982" s="44"/>
      <c r="AC982" s="38"/>
      <c r="AD982" s="38"/>
      <c r="AE982" s="38"/>
      <c r="AF982" s="38"/>
      <c r="AG982" s="38"/>
      <c r="AH982" s="38"/>
      <c r="AI982" s="44"/>
      <c r="AJ982" s="119"/>
      <c r="AK982" s="38"/>
      <c r="AL982" s="38"/>
      <c r="AM982" s="38"/>
      <c r="AN982" s="38"/>
      <c r="AO982" s="38"/>
      <c r="AP982" s="38"/>
      <c r="AQ982" s="43"/>
      <c r="AR982" s="38"/>
      <c r="AS982" s="38"/>
      <c r="AT982" s="38"/>
      <c r="AU982" s="43"/>
      <c r="AV982" s="43"/>
      <c r="AW982" s="119"/>
      <c r="AX982" s="119"/>
      <c r="AY982" s="43"/>
      <c r="AZ982" s="43"/>
      <c r="BA982" s="43"/>
      <c r="BB982" s="43"/>
      <c r="BC982" s="43"/>
      <c r="BD982" s="43"/>
    </row>
    <row r="983" spans="1:56">
      <c r="A983" s="43"/>
      <c r="B983" s="43"/>
      <c r="C983" s="43"/>
      <c r="D983" s="43"/>
      <c r="E983" s="43"/>
      <c r="F983" s="43"/>
      <c r="G983" s="43"/>
      <c r="H983" s="43"/>
      <c r="I983" s="43"/>
      <c r="J983" s="43"/>
      <c r="K983" s="43"/>
      <c r="L983" s="43"/>
      <c r="M983" s="44"/>
      <c r="N983" s="119"/>
      <c r="O983" s="38"/>
      <c r="P983" s="38"/>
      <c r="Q983" s="38"/>
      <c r="R983" s="38"/>
      <c r="S983" s="38"/>
      <c r="T983" s="38"/>
      <c r="U983" s="44"/>
      <c r="V983" s="38"/>
      <c r="W983" s="38"/>
      <c r="X983" s="38"/>
      <c r="Y983" s="38"/>
      <c r="Z983" s="38"/>
      <c r="AA983" s="38"/>
      <c r="AB983" s="44"/>
      <c r="AC983" s="38"/>
      <c r="AD983" s="38"/>
      <c r="AE983" s="38"/>
      <c r="AF983" s="38"/>
      <c r="AG983" s="38"/>
      <c r="AH983" s="38"/>
      <c r="AI983" s="44"/>
      <c r="AJ983" s="119"/>
      <c r="AK983" s="38"/>
      <c r="AL983" s="38"/>
      <c r="AM983" s="38"/>
      <c r="AN983" s="38"/>
      <c r="AO983" s="38"/>
      <c r="AP983" s="38"/>
      <c r="AQ983" s="43"/>
      <c r="AR983" s="38"/>
      <c r="AS983" s="38"/>
      <c r="AT983" s="38"/>
      <c r="AU983" s="43"/>
      <c r="AV983" s="43"/>
      <c r="AW983" s="119"/>
      <c r="AX983" s="119"/>
      <c r="AY983" s="43"/>
      <c r="AZ983" s="43"/>
      <c r="BA983" s="43"/>
      <c r="BB983" s="43"/>
      <c r="BC983" s="43"/>
      <c r="BD983" s="43"/>
    </row>
    <row r="984" spans="1:56">
      <c r="A984" s="43"/>
      <c r="B984" s="43"/>
      <c r="C984" s="43"/>
      <c r="D984" s="43"/>
      <c r="E984" s="43"/>
      <c r="F984" s="43"/>
      <c r="G984" s="43"/>
      <c r="H984" s="43"/>
      <c r="I984" s="43"/>
      <c r="J984" s="43"/>
      <c r="K984" s="43"/>
      <c r="L984" s="43"/>
      <c r="M984" s="44"/>
      <c r="N984" s="119"/>
      <c r="O984" s="38"/>
      <c r="P984" s="38"/>
      <c r="Q984" s="38"/>
      <c r="R984" s="38"/>
      <c r="S984" s="38"/>
      <c r="T984" s="38"/>
      <c r="U984" s="44"/>
      <c r="V984" s="38"/>
      <c r="W984" s="38"/>
      <c r="X984" s="38"/>
      <c r="Y984" s="38"/>
      <c r="Z984" s="38"/>
      <c r="AA984" s="38"/>
      <c r="AB984" s="44"/>
      <c r="AC984" s="38"/>
      <c r="AD984" s="38"/>
      <c r="AE984" s="38"/>
      <c r="AF984" s="38"/>
      <c r="AG984" s="38"/>
      <c r="AH984" s="38"/>
      <c r="AI984" s="44"/>
      <c r="AJ984" s="119"/>
      <c r="AK984" s="38"/>
      <c r="AL984" s="38"/>
      <c r="AM984" s="38"/>
      <c r="AN984" s="38"/>
      <c r="AO984" s="38"/>
      <c r="AP984" s="38"/>
      <c r="AQ984" s="43"/>
      <c r="AR984" s="38"/>
      <c r="AS984" s="38"/>
      <c r="AT984" s="38"/>
      <c r="AU984" s="43"/>
      <c r="AV984" s="43"/>
      <c r="AW984" s="119"/>
      <c r="AX984" s="119"/>
      <c r="AY984" s="43"/>
      <c r="AZ984" s="43"/>
      <c r="BA984" s="43"/>
      <c r="BB984" s="43"/>
      <c r="BC984" s="43"/>
      <c r="BD984" s="43"/>
    </row>
    <row r="985" spans="1:56">
      <c r="A985" s="43"/>
      <c r="B985" s="43"/>
      <c r="C985" s="43"/>
      <c r="D985" s="43"/>
      <c r="E985" s="43"/>
      <c r="F985" s="43"/>
      <c r="G985" s="43"/>
      <c r="H985" s="43"/>
      <c r="I985" s="43"/>
      <c r="J985" s="43"/>
      <c r="K985" s="43"/>
      <c r="L985" s="43"/>
      <c r="M985" s="44"/>
      <c r="N985" s="119"/>
      <c r="O985" s="38"/>
      <c r="P985" s="38"/>
      <c r="Q985" s="38"/>
      <c r="R985" s="38"/>
      <c r="S985" s="38"/>
      <c r="T985" s="38"/>
      <c r="U985" s="44"/>
      <c r="V985" s="38"/>
      <c r="W985" s="38"/>
      <c r="X985" s="38"/>
      <c r="Y985" s="38"/>
      <c r="Z985" s="38"/>
      <c r="AA985" s="38"/>
      <c r="AB985" s="44"/>
      <c r="AC985" s="38"/>
      <c r="AD985" s="38"/>
      <c r="AE985" s="38"/>
      <c r="AF985" s="38"/>
      <c r="AG985" s="38"/>
      <c r="AH985" s="38"/>
      <c r="AI985" s="44"/>
      <c r="AJ985" s="119"/>
      <c r="AK985" s="38"/>
      <c r="AL985" s="38"/>
      <c r="AM985" s="38"/>
      <c r="AN985" s="38"/>
      <c r="AO985" s="38"/>
      <c r="AP985" s="38"/>
      <c r="AQ985" s="43"/>
      <c r="AR985" s="38"/>
      <c r="AS985" s="38"/>
      <c r="AT985" s="38"/>
      <c r="AU985" s="43"/>
      <c r="AV985" s="43"/>
      <c r="AW985" s="119"/>
      <c r="AX985" s="119"/>
      <c r="AY985" s="43"/>
      <c r="AZ985" s="43"/>
      <c r="BA985" s="43"/>
      <c r="BB985" s="43"/>
      <c r="BC985" s="43"/>
      <c r="BD985" s="43"/>
    </row>
    <row r="986" spans="1:56">
      <c r="A986" s="43"/>
      <c r="B986" s="43"/>
      <c r="C986" s="43"/>
      <c r="D986" s="43"/>
      <c r="E986" s="43"/>
      <c r="F986" s="43"/>
      <c r="G986" s="43"/>
      <c r="H986" s="43"/>
      <c r="I986" s="43"/>
      <c r="J986" s="43"/>
      <c r="K986" s="43"/>
      <c r="L986" s="43"/>
      <c r="M986" s="44"/>
      <c r="N986" s="119"/>
      <c r="O986" s="38"/>
      <c r="P986" s="38"/>
      <c r="Q986" s="38"/>
      <c r="R986" s="38"/>
      <c r="S986" s="38"/>
      <c r="T986" s="38"/>
      <c r="U986" s="44"/>
      <c r="V986" s="38"/>
      <c r="W986" s="38"/>
      <c r="X986" s="38"/>
      <c r="Y986" s="38"/>
      <c r="Z986" s="38"/>
      <c r="AA986" s="38"/>
      <c r="AB986" s="44"/>
      <c r="AC986" s="38"/>
      <c r="AD986" s="38"/>
      <c r="AE986" s="38"/>
      <c r="AF986" s="38"/>
      <c r="AG986" s="38"/>
      <c r="AH986" s="38"/>
      <c r="AI986" s="44"/>
      <c r="AJ986" s="119"/>
      <c r="AK986" s="38"/>
      <c r="AL986" s="38"/>
      <c r="AM986" s="38"/>
      <c r="AN986" s="38"/>
      <c r="AO986" s="38"/>
      <c r="AP986" s="38"/>
      <c r="AQ986" s="43"/>
      <c r="AR986" s="38"/>
      <c r="AS986" s="38"/>
      <c r="AT986" s="38"/>
      <c r="AU986" s="43"/>
      <c r="AV986" s="43"/>
      <c r="AW986" s="119"/>
      <c r="AX986" s="119"/>
      <c r="AY986" s="43"/>
      <c r="AZ986" s="43"/>
      <c r="BA986" s="43"/>
      <c r="BB986" s="43"/>
      <c r="BC986" s="43"/>
      <c r="BD986" s="43"/>
    </row>
    <row r="987" spans="1:56">
      <c r="A987" s="43"/>
      <c r="B987" s="43"/>
      <c r="C987" s="43"/>
      <c r="D987" s="43"/>
      <c r="E987" s="43"/>
      <c r="F987" s="43"/>
      <c r="G987" s="43"/>
      <c r="H987" s="43"/>
      <c r="I987" s="43"/>
      <c r="J987" s="43"/>
      <c r="K987" s="43"/>
      <c r="L987" s="43"/>
      <c r="M987" s="44"/>
      <c r="N987" s="119"/>
      <c r="O987" s="38"/>
      <c r="P987" s="38"/>
      <c r="Q987" s="38"/>
      <c r="R987" s="38"/>
      <c r="S987" s="38"/>
      <c r="T987" s="38"/>
      <c r="U987" s="44"/>
      <c r="V987" s="38"/>
      <c r="W987" s="38"/>
      <c r="X987" s="38"/>
      <c r="Y987" s="38"/>
      <c r="Z987" s="38"/>
      <c r="AA987" s="38"/>
      <c r="AB987" s="44"/>
      <c r="AC987" s="38"/>
      <c r="AD987" s="38"/>
      <c r="AE987" s="38"/>
      <c r="AF987" s="38"/>
      <c r="AG987" s="38"/>
      <c r="AH987" s="38"/>
      <c r="AI987" s="44"/>
      <c r="AJ987" s="119"/>
      <c r="AK987" s="38"/>
      <c r="AL987" s="38"/>
      <c r="AM987" s="38"/>
      <c r="AN987" s="38"/>
      <c r="AO987" s="38"/>
      <c r="AP987" s="38"/>
      <c r="AQ987" s="43"/>
      <c r="AR987" s="38"/>
      <c r="AS987" s="38"/>
      <c r="AT987" s="38"/>
      <c r="AU987" s="43"/>
      <c r="AV987" s="43"/>
      <c r="AW987" s="119"/>
      <c r="AX987" s="119"/>
      <c r="AY987" s="43"/>
      <c r="AZ987" s="43"/>
      <c r="BA987" s="43"/>
      <c r="BB987" s="43"/>
      <c r="BC987" s="43"/>
      <c r="BD987" s="43"/>
    </row>
    <row r="988" spans="1:56">
      <c r="A988" s="43"/>
      <c r="B988" s="43"/>
      <c r="C988" s="43"/>
      <c r="D988" s="43"/>
      <c r="E988" s="43"/>
      <c r="F988" s="43"/>
      <c r="G988" s="43"/>
      <c r="H988" s="43"/>
      <c r="I988" s="43"/>
      <c r="J988" s="43"/>
      <c r="K988" s="43"/>
      <c r="L988" s="43"/>
      <c r="M988" s="44"/>
      <c r="N988" s="119"/>
      <c r="O988" s="38"/>
      <c r="P988" s="38"/>
      <c r="Q988" s="38"/>
      <c r="R988" s="38"/>
      <c r="S988" s="38"/>
      <c r="T988" s="38"/>
      <c r="U988" s="44"/>
      <c r="V988" s="38"/>
      <c r="W988" s="38"/>
      <c r="X988" s="38"/>
      <c r="Y988" s="38"/>
      <c r="Z988" s="38"/>
      <c r="AA988" s="38"/>
      <c r="AB988" s="44"/>
      <c r="AC988" s="38"/>
      <c r="AD988" s="38"/>
      <c r="AE988" s="38"/>
      <c r="AF988" s="38"/>
      <c r="AG988" s="38"/>
      <c r="AH988" s="38"/>
      <c r="AI988" s="44"/>
      <c r="AJ988" s="119"/>
      <c r="AK988" s="38"/>
      <c r="AL988" s="38"/>
      <c r="AM988" s="38"/>
      <c r="AN988" s="38"/>
      <c r="AO988" s="38"/>
      <c r="AP988" s="38"/>
      <c r="AQ988" s="43"/>
      <c r="AR988" s="38"/>
      <c r="AS988" s="38"/>
      <c r="AT988" s="38"/>
      <c r="AU988" s="43"/>
      <c r="AV988" s="43"/>
      <c r="AW988" s="119"/>
      <c r="AX988" s="119"/>
      <c r="AY988" s="43"/>
      <c r="AZ988" s="43"/>
      <c r="BA988" s="43"/>
      <c r="BB988" s="43"/>
      <c r="BC988" s="43"/>
      <c r="BD988" s="43"/>
    </row>
    <row r="989" spans="1:56">
      <c r="A989" s="43"/>
      <c r="B989" s="43"/>
      <c r="C989" s="43"/>
      <c r="D989" s="43"/>
      <c r="E989" s="43"/>
      <c r="F989" s="43"/>
      <c r="G989" s="43"/>
      <c r="H989" s="43"/>
      <c r="I989" s="43"/>
      <c r="J989" s="43"/>
      <c r="K989" s="43"/>
      <c r="L989" s="43"/>
      <c r="M989" s="44"/>
      <c r="N989" s="119"/>
      <c r="O989" s="38"/>
      <c r="P989" s="38"/>
      <c r="Q989" s="38"/>
      <c r="R989" s="38"/>
      <c r="S989" s="38"/>
      <c r="T989" s="38"/>
      <c r="U989" s="44"/>
      <c r="V989" s="38"/>
      <c r="W989" s="38"/>
      <c r="X989" s="38"/>
      <c r="Y989" s="38"/>
      <c r="Z989" s="38"/>
      <c r="AA989" s="38"/>
      <c r="AB989" s="44"/>
      <c r="AC989" s="38"/>
      <c r="AD989" s="38"/>
      <c r="AE989" s="38"/>
      <c r="AF989" s="38"/>
      <c r="AG989" s="38"/>
      <c r="AH989" s="38"/>
      <c r="AI989" s="44"/>
      <c r="AJ989" s="119"/>
      <c r="AK989" s="38"/>
      <c r="AL989" s="38"/>
      <c r="AM989" s="38"/>
      <c r="AN989" s="38"/>
      <c r="AO989" s="38"/>
      <c r="AP989" s="38"/>
      <c r="AQ989" s="43"/>
      <c r="AR989" s="38"/>
      <c r="AS989" s="38"/>
      <c r="AT989" s="38"/>
      <c r="AU989" s="43"/>
      <c r="AV989" s="43"/>
      <c r="AW989" s="119"/>
      <c r="AX989" s="119"/>
      <c r="AY989" s="43"/>
      <c r="AZ989" s="43"/>
      <c r="BA989" s="43"/>
      <c r="BB989" s="43"/>
      <c r="BC989" s="43"/>
      <c r="BD989" s="43"/>
    </row>
    <row r="990" spans="1:56">
      <c r="A990" s="43"/>
      <c r="B990" s="43"/>
      <c r="C990" s="43"/>
      <c r="D990" s="43"/>
      <c r="E990" s="43"/>
      <c r="F990" s="43"/>
      <c r="G990" s="43"/>
      <c r="H990" s="43"/>
      <c r="I990" s="43"/>
      <c r="J990" s="43"/>
      <c r="K990" s="43"/>
      <c r="L990" s="43"/>
      <c r="M990" s="44"/>
      <c r="N990" s="119"/>
      <c r="O990" s="38"/>
      <c r="P990" s="38"/>
      <c r="Q990" s="38"/>
      <c r="R990" s="38"/>
      <c r="S990" s="38"/>
      <c r="T990" s="38"/>
      <c r="U990" s="44"/>
      <c r="V990" s="38"/>
      <c r="W990" s="38"/>
      <c r="X990" s="38"/>
      <c r="Y990" s="38"/>
      <c r="Z990" s="38"/>
      <c r="AA990" s="38"/>
      <c r="AB990" s="44"/>
      <c r="AC990" s="38"/>
      <c r="AD990" s="38"/>
      <c r="AE990" s="38"/>
      <c r="AF990" s="38"/>
      <c r="AG990" s="38"/>
      <c r="AH990" s="38"/>
      <c r="AI990" s="44"/>
      <c r="AJ990" s="119"/>
      <c r="AK990" s="38"/>
      <c r="AL990" s="38"/>
      <c r="AM990" s="38"/>
      <c r="AN990" s="38"/>
      <c r="AO990" s="38"/>
      <c r="AP990" s="38"/>
      <c r="AQ990" s="43"/>
      <c r="AR990" s="38"/>
      <c r="AS990" s="38"/>
      <c r="AT990" s="38"/>
      <c r="AU990" s="43"/>
      <c r="AV990" s="43"/>
      <c r="AW990" s="119"/>
      <c r="AX990" s="119"/>
      <c r="AY990" s="43"/>
      <c r="AZ990" s="43"/>
      <c r="BA990" s="43"/>
      <c r="BB990" s="43"/>
      <c r="BC990" s="43"/>
      <c r="BD990" s="43"/>
    </row>
    <row r="991" spans="1:56">
      <c r="A991" s="43"/>
      <c r="B991" s="43"/>
      <c r="C991" s="43"/>
      <c r="D991" s="43"/>
      <c r="E991" s="43"/>
      <c r="F991" s="43"/>
      <c r="G991" s="43"/>
      <c r="H991" s="43"/>
      <c r="I991" s="43"/>
      <c r="J991" s="43"/>
      <c r="K991" s="43"/>
      <c r="L991" s="43"/>
      <c r="M991" s="44"/>
      <c r="N991" s="119"/>
      <c r="O991" s="38"/>
      <c r="P991" s="38"/>
      <c r="Q991" s="38"/>
      <c r="R991" s="38"/>
      <c r="S991" s="38"/>
      <c r="T991" s="38"/>
      <c r="U991" s="44"/>
      <c r="V991" s="38"/>
      <c r="W991" s="38"/>
      <c r="X991" s="38"/>
      <c r="Y991" s="38"/>
      <c r="Z991" s="38"/>
      <c r="AA991" s="38"/>
      <c r="AB991" s="44"/>
      <c r="AC991" s="38"/>
      <c r="AD991" s="38"/>
      <c r="AE991" s="38"/>
      <c r="AF991" s="38"/>
      <c r="AG991" s="38"/>
      <c r="AH991" s="38"/>
      <c r="AI991" s="44"/>
      <c r="AJ991" s="119"/>
      <c r="AK991" s="38"/>
      <c r="AL991" s="38"/>
      <c r="AM991" s="38"/>
      <c r="AN991" s="38"/>
      <c r="AO991" s="38"/>
      <c r="AP991" s="38"/>
      <c r="AQ991" s="43"/>
      <c r="AR991" s="38"/>
      <c r="AS991" s="38"/>
      <c r="AT991" s="38"/>
      <c r="AU991" s="43"/>
      <c r="AV991" s="43"/>
      <c r="AW991" s="119"/>
      <c r="AX991" s="119"/>
      <c r="AY991" s="43"/>
      <c r="AZ991" s="43"/>
      <c r="BA991" s="43"/>
      <c r="BB991" s="43"/>
      <c r="BC991" s="43"/>
      <c r="BD991" s="43"/>
    </row>
    <row r="992" spans="1:56">
      <c r="A992" s="43"/>
      <c r="B992" s="43"/>
      <c r="C992" s="43"/>
      <c r="D992" s="43"/>
      <c r="E992" s="43"/>
      <c r="F992" s="43"/>
      <c r="G992" s="43"/>
      <c r="H992" s="43"/>
      <c r="I992" s="43"/>
      <c r="J992" s="43"/>
      <c r="K992" s="43"/>
      <c r="L992" s="43"/>
      <c r="M992" s="44"/>
      <c r="N992" s="119"/>
      <c r="O992" s="38"/>
      <c r="P992" s="38"/>
      <c r="Q992" s="38"/>
      <c r="R992" s="38"/>
      <c r="S992" s="38"/>
      <c r="T992" s="38"/>
      <c r="U992" s="44"/>
      <c r="V992" s="38"/>
      <c r="W992" s="38"/>
      <c r="X992" s="38"/>
      <c r="Y992" s="38"/>
      <c r="Z992" s="38"/>
      <c r="AA992" s="38"/>
      <c r="AB992" s="44"/>
      <c r="AC992" s="38"/>
      <c r="AD992" s="38"/>
      <c r="AE992" s="38"/>
      <c r="AF992" s="38"/>
      <c r="AG992" s="38"/>
      <c r="AH992" s="38"/>
      <c r="AI992" s="44"/>
      <c r="AJ992" s="119"/>
      <c r="AK992" s="38"/>
      <c r="AL992" s="38"/>
      <c r="AM992" s="38"/>
      <c r="AN992" s="38"/>
      <c r="AO992" s="38"/>
      <c r="AP992" s="38"/>
      <c r="AQ992" s="43"/>
      <c r="AR992" s="38"/>
      <c r="AS992" s="38"/>
      <c r="AT992" s="38"/>
      <c r="AU992" s="43"/>
      <c r="AV992" s="43"/>
      <c r="AW992" s="119"/>
      <c r="AX992" s="119"/>
      <c r="AY992" s="43"/>
      <c r="AZ992" s="43"/>
      <c r="BA992" s="43"/>
      <c r="BB992" s="43"/>
      <c r="BC992" s="43"/>
      <c r="BD992" s="43"/>
    </row>
    <row r="993" spans="1:56">
      <c r="A993" s="43"/>
      <c r="B993" s="43"/>
      <c r="C993" s="43"/>
      <c r="D993" s="43"/>
      <c r="E993" s="43"/>
      <c r="F993" s="43"/>
      <c r="G993" s="43"/>
      <c r="H993" s="43"/>
      <c r="I993" s="43"/>
      <c r="J993" s="43"/>
      <c r="K993" s="43"/>
      <c r="L993" s="43"/>
      <c r="M993" s="44"/>
      <c r="N993" s="119"/>
      <c r="O993" s="38"/>
      <c r="P993" s="38"/>
      <c r="Q993" s="38"/>
      <c r="R993" s="38"/>
      <c r="S993" s="38"/>
      <c r="T993" s="38"/>
      <c r="U993" s="44"/>
      <c r="V993" s="38"/>
      <c r="W993" s="38"/>
      <c r="X993" s="38"/>
      <c r="Y993" s="38"/>
      <c r="Z993" s="38"/>
      <c r="AA993" s="38"/>
      <c r="AB993" s="44"/>
      <c r="AC993" s="38"/>
      <c r="AD993" s="38"/>
      <c r="AE993" s="38"/>
      <c r="AF993" s="38"/>
      <c r="AG993" s="38"/>
      <c r="AH993" s="38"/>
      <c r="AI993" s="44"/>
      <c r="AJ993" s="119"/>
      <c r="AK993" s="38"/>
      <c r="AL993" s="38"/>
      <c r="AM993" s="38"/>
      <c r="AN993" s="38"/>
      <c r="AO993" s="38"/>
      <c r="AP993" s="38"/>
      <c r="AQ993" s="43"/>
      <c r="AR993" s="38"/>
      <c r="AS993" s="38"/>
      <c r="AT993" s="38"/>
      <c r="AU993" s="43"/>
      <c r="AV993" s="43"/>
      <c r="AW993" s="119"/>
      <c r="AX993" s="119"/>
      <c r="AY993" s="43"/>
      <c r="AZ993" s="43"/>
      <c r="BA993" s="43"/>
      <c r="BB993" s="43"/>
      <c r="BC993" s="43"/>
      <c r="BD993" s="43"/>
    </row>
    <row r="994" spans="1:56">
      <c r="A994" s="43"/>
      <c r="B994" s="43"/>
      <c r="C994" s="43"/>
      <c r="D994" s="43"/>
      <c r="E994" s="43"/>
      <c r="F994" s="43"/>
      <c r="G994" s="43"/>
      <c r="H994" s="43"/>
      <c r="I994" s="43"/>
      <c r="J994" s="43"/>
      <c r="K994" s="43"/>
      <c r="L994" s="43"/>
      <c r="M994" s="44"/>
      <c r="N994" s="119"/>
      <c r="O994" s="38"/>
      <c r="P994" s="38"/>
      <c r="Q994" s="38"/>
      <c r="R994" s="38"/>
      <c r="S994" s="38"/>
      <c r="T994" s="38"/>
      <c r="U994" s="44"/>
      <c r="V994" s="38"/>
      <c r="W994" s="38"/>
      <c r="X994" s="38"/>
      <c r="Y994" s="38"/>
      <c r="Z994" s="38"/>
      <c r="AA994" s="38"/>
      <c r="AB994" s="44"/>
      <c r="AC994" s="38"/>
      <c r="AD994" s="38"/>
      <c r="AE994" s="38"/>
      <c r="AF994" s="38"/>
      <c r="AG994" s="38"/>
      <c r="AH994" s="38"/>
      <c r="AI994" s="44"/>
      <c r="AJ994" s="119"/>
      <c r="AK994" s="38"/>
      <c r="AL994" s="38"/>
      <c r="AM994" s="38"/>
      <c r="AN994" s="38"/>
      <c r="AO994" s="38"/>
      <c r="AP994" s="38"/>
      <c r="AQ994" s="43"/>
      <c r="AR994" s="38"/>
      <c r="AS994" s="38"/>
      <c r="AT994" s="38"/>
      <c r="AU994" s="43"/>
      <c r="AV994" s="43"/>
      <c r="AW994" s="119"/>
      <c r="AX994" s="119"/>
      <c r="AY994" s="43"/>
      <c r="AZ994" s="43"/>
      <c r="BA994" s="43"/>
      <c r="BB994" s="43"/>
      <c r="BC994" s="43"/>
      <c r="BD994" s="43"/>
    </row>
    <row r="995" spans="1:56">
      <c r="A995" s="43"/>
      <c r="B995" s="43"/>
      <c r="C995" s="43"/>
      <c r="D995" s="43"/>
      <c r="E995" s="43"/>
      <c r="F995" s="43"/>
      <c r="G995" s="43"/>
      <c r="H995" s="43"/>
      <c r="I995" s="43"/>
      <c r="J995" s="43"/>
      <c r="K995" s="43"/>
      <c r="L995" s="43"/>
      <c r="M995" s="44"/>
      <c r="N995" s="119"/>
      <c r="O995" s="38"/>
      <c r="P995" s="38"/>
      <c r="Q995" s="38"/>
      <c r="R995" s="38"/>
      <c r="S995" s="38"/>
      <c r="T995" s="38"/>
      <c r="U995" s="44"/>
      <c r="V995" s="38"/>
      <c r="W995" s="38"/>
      <c r="X995" s="38"/>
      <c r="Y995" s="38"/>
      <c r="Z995" s="38"/>
      <c r="AA995" s="38"/>
      <c r="AB995" s="44"/>
      <c r="AC995" s="38"/>
      <c r="AD995" s="38"/>
      <c r="AE995" s="38"/>
      <c r="AF995" s="38"/>
      <c r="AG995" s="38"/>
      <c r="AH995" s="38"/>
      <c r="AI995" s="44"/>
      <c r="AJ995" s="119"/>
      <c r="AK995" s="38"/>
      <c r="AL995" s="38"/>
      <c r="AM995" s="38"/>
      <c r="AN995" s="38"/>
      <c r="AO995" s="38"/>
      <c r="AP995" s="38"/>
      <c r="AQ995" s="43"/>
      <c r="AR995" s="38"/>
      <c r="AS995" s="38"/>
      <c r="AT995" s="38"/>
      <c r="AU995" s="43"/>
      <c r="AV995" s="43"/>
      <c r="AW995" s="119"/>
      <c r="AX995" s="119"/>
      <c r="AY995" s="43"/>
      <c r="AZ995" s="43"/>
      <c r="BA995" s="43"/>
      <c r="BB995" s="43"/>
      <c r="BC995" s="43"/>
      <c r="BD995" s="43"/>
    </row>
    <row r="996" spans="1:56">
      <c r="A996" s="43"/>
      <c r="B996" s="43"/>
      <c r="C996" s="43"/>
      <c r="D996" s="43"/>
      <c r="E996" s="43"/>
      <c r="F996" s="43"/>
      <c r="G996" s="43"/>
      <c r="H996" s="43"/>
      <c r="I996" s="43"/>
      <c r="J996" s="43"/>
      <c r="K996" s="43"/>
      <c r="L996" s="43"/>
      <c r="M996" s="44"/>
      <c r="N996" s="119"/>
      <c r="O996" s="38"/>
      <c r="P996" s="38"/>
      <c r="Q996" s="38"/>
      <c r="R996" s="38"/>
      <c r="S996" s="38"/>
      <c r="T996" s="38"/>
      <c r="U996" s="44"/>
      <c r="V996" s="38"/>
      <c r="W996" s="38"/>
      <c r="X996" s="38"/>
      <c r="Y996" s="38"/>
      <c r="Z996" s="38"/>
      <c r="AA996" s="38"/>
      <c r="AB996" s="44"/>
      <c r="AC996" s="38"/>
      <c r="AD996" s="38"/>
      <c r="AE996" s="38"/>
      <c r="AF996" s="38"/>
      <c r="AG996" s="38"/>
      <c r="AH996" s="38"/>
      <c r="AI996" s="44"/>
      <c r="AJ996" s="119"/>
      <c r="AK996" s="38"/>
      <c r="AL996" s="38"/>
      <c r="AM996" s="38"/>
      <c r="AN996" s="38"/>
      <c r="AO996" s="38"/>
      <c r="AP996" s="38"/>
      <c r="AQ996" s="43"/>
      <c r="AR996" s="38"/>
      <c r="AS996" s="38"/>
      <c r="AT996" s="38"/>
      <c r="AU996" s="43"/>
      <c r="AV996" s="43"/>
      <c r="AW996" s="119"/>
      <c r="AX996" s="119"/>
      <c r="AY996" s="43"/>
      <c r="AZ996" s="43"/>
      <c r="BA996" s="43"/>
      <c r="BB996" s="43"/>
      <c r="BC996" s="43"/>
      <c r="BD996" s="43"/>
    </row>
    <row r="997" spans="1:56">
      <c r="A997" s="43"/>
      <c r="B997" s="43"/>
      <c r="C997" s="43"/>
      <c r="D997" s="43"/>
      <c r="E997" s="43"/>
      <c r="F997" s="43"/>
      <c r="G997" s="43"/>
      <c r="H997" s="43"/>
      <c r="I997" s="43"/>
      <c r="J997" s="43"/>
      <c r="K997" s="43"/>
      <c r="L997" s="43"/>
      <c r="M997" s="44"/>
      <c r="N997" s="119"/>
      <c r="O997" s="38"/>
      <c r="P997" s="38"/>
      <c r="Q997" s="38"/>
      <c r="R997" s="38"/>
      <c r="S997" s="38"/>
      <c r="T997" s="38"/>
      <c r="U997" s="44"/>
      <c r="V997" s="38"/>
      <c r="W997" s="38"/>
      <c r="X997" s="38"/>
      <c r="Y997" s="38"/>
      <c r="Z997" s="38"/>
      <c r="AA997" s="38"/>
      <c r="AB997" s="44"/>
      <c r="AC997" s="38"/>
      <c r="AD997" s="38"/>
      <c r="AE997" s="38"/>
      <c r="AF997" s="38"/>
      <c r="AG997" s="38"/>
      <c r="AH997" s="38"/>
      <c r="AI997" s="44"/>
      <c r="AJ997" s="119"/>
      <c r="AK997" s="38"/>
      <c r="AL997" s="38"/>
      <c r="AM997" s="38"/>
      <c r="AN997" s="38"/>
      <c r="AO997" s="38"/>
      <c r="AP997" s="38"/>
      <c r="AQ997" s="43"/>
      <c r="AR997" s="38"/>
      <c r="AS997" s="38"/>
      <c r="AT997" s="38"/>
      <c r="AU997" s="43"/>
      <c r="AV997" s="43"/>
      <c r="AW997" s="119"/>
      <c r="AX997" s="119"/>
      <c r="AY997" s="43"/>
      <c r="AZ997" s="43"/>
      <c r="BA997" s="43"/>
      <c r="BB997" s="43"/>
      <c r="BC997" s="43"/>
      <c r="BD997" s="43"/>
    </row>
    <row r="998" spans="1:56">
      <c r="A998" s="43"/>
      <c r="B998" s="43"/>
      <c r="C998" s="43"/>
      <c r="D998" s="43"/>
      <c r="E998" s="43"/>
      <c r="F998" s="43"/>
      <c r="G998" s="43"/>
      <c r="H998" s="43"/>
      <c r="I998" s="43"/>
      <c r="J998" s="43"/>
      <c r="K998" s="43"/>
      <c r="L998" s="43"/>
      <c r="M998" s="44"/>
      <c r="N998" s="119"/>
      <c r="O998" s="38"/>
      <c r="P998" s="38"/>
      <c r="Q998" s="38"/>
      <c r="R998" s="38"/>
      <c r="S998" s="38"/>
      <c r="T998" s="38"/>
      <c r="U998" s="44"/>
      <c r="V998" s="38"/>
      <c r="W998" s="38"/>
      <c r="X998" s="38"/>
      <c r="Y998" s="38"/>
      <c r="Z998" s="38"/>
      <c r="AA998" s="38"/>
      <c r="AB998" s="44"/>
      <c r="AC998" s="38"/>
      <c r="AD998" s="38"/>
      <c r="AE998" s="38"/>
      <c r="AF998" s="38"/>
      <c r="AG998" s="38"/>
      <c r="AH998" s="38"/>
      <c r="AI998" s="44"/>
      <c r="AJ998" s="119"/>
      <c r="AK998" s="38"/>
      <c r="AL998" s="38"/>
      <c r="AM998" s="38"/>
      <c r="AN998" s="38"/>
      <c r="AO998" s="38"/>
      <c r="AP998" s="38"/>
      <c r="AQ998" s="43"/>
      <c r="AR998" s="38"/>
      <c r="AS998" s="38"/>
      <c r="AT998" s="38"/>
      <c r="AU998" s="43"/>
      <c r="AV998" s="43"/>
      <c r="AW998" s="119"/>
      <c r="AX998" s="119"/>
      <c r="AY998" s="43"/>
      <c r="AZ998" s="43"/>
      <c r="BA998" s="43"/>
      <c r="BB998" s="43"/>
      <c r="BC998" s="43"/>
      <c r="BD998" s="43"/>
    </row>
    <row r="999" spans="1:56">
      <c r="A999" s="43"/>
      <c r="B999" s="43"/>
      <c r="C999" s="43"/>
      <c r="D999" s="43"/>
      <c r="E999" s="43"/>
      <c r="F999" s="43"/>
      <c r="G999" s="43"/>
      <c r="H999" s="43"/>
      <c r="I999" s="43"/>
      <c r="J999" s="43"/>
      <c r="K999" s="43"/>
      <c r="L999" s="43"/>
      <c r="M999" s="44"/>
      <c r="N999" s="119"/>
      <c r="O999" s="38"/>
      <c r="P999" s="38"/>
      <c r="Q999" s="38"/>
      <c r="R999" s="38"/>
      <c r="S999" s="38"/>
      <c r="T999" s="38"/>
      <c r="U999" s="44"/>
      <c r="V999" s="38"/>
      <c r="W999" s="38"/>
      <c r="X999" s="38"/>
      <c r="Y999" s="38"/>
      <c r="Z999" s="38"/>
      <c r="AA999" s="38"/>
      <c r="AB999" s="44"/>
      <c r="AC999" s="38"/>
      <c r="AD999" s="38"/>
      <c r="AE999" s="38"/>
      <c r="AF999" s="38"/>
      <c r="AG999" s="38"/>
      <c r="AH999" s="38"/>
      <c r="AI999" s="44"/>
      <c r="AJ999" s="119"/>
      <c r="AK999" s="38"/>
      <c r="AL999" s="38"/>
      <c r="AM999" s="38"/>
      <c r="AN999" s="38"/>
      <c r="AO999" s="38"/>
      <c r="AP999" s="38"/>
      <c r="AQ999" s="43"/>
      <c r="AR999" s="38"/>
      <c r="AS999" s="38"/>
      <c r="AT999" s="38"/>
      <c r="AU999" s="43"/>
      <c r="AV999" s="43"/>
      <c r="AW999" s="119"/>
      <c r="AX999" s="119"/>
      <c r="AY999" s="43"/>
      <c r="AZ999" s="43"/>
      <c r="BA999" s="43"/>
      <c r="BB999" s="43"/>
      <c r="BC999" s="43"/>
      <c r="BD999" s="43"/>
    </row>
  </sheetData>
  <sheetProtection password="889B" sheet="1" objects="1" scenarios="1"/>
  <mergeCells count="20">
    <mergeCell ref="B760:J760"/>
    <mergeCell ref="B762:K762"/>
    <mergeCell ref="K10:L10"/>
    <mergeCell ref="H12:K12"/>
    <mergeCell ref="AO6:AP6"/>
    <mergeCell ref="AV8:AX8"/>
    <mergeCell ref="V6:AA7"/>
    <mergeCell ref="O6:T7"/>
    <mergeCell ref="AC6:AH7"/>
    <mergeCell ref="AK6:AM6"/>
    <mergeCell ref="H13:L13"/>
    <mergeCell ref="E2:L2"/>
    <mergeCell ref="C6:E6"/>
    <mergeCell ref="G6:L6"/>
    <mergeCell ref="G8:H8"/>
    <mergeCell ref="J8:L8"/>
    <mergeCell ref="D4:E4"/>
    <mergeCell ref="G4:L4"/>
    <mergeCell ref="A3:C5"/>
    <mergeCell ref="E12:F12"/>
  </mergeCells>
  <phoneticPr fontId="0" type="noConversion"/>
  <conditionalFormatting sqref="AC904:AC905 Q898:S899 AE898:AG899 X898:Z899 O898:O899 V898:V899 AC898:AC899 Q901:S902 AE901:AG902 X901:Z902 O901:O902 V901:V902 AC901:AC902 AE904:AG905 X904:Z905 O904:O905 V904:V905 AK904:AK905 AM901:AO902 AK898:AK899 AK901:AK902 AM904:AO905 AM898:AO899 Q910:S911 Q904:S905 AE907:AG908 X907:Z908 O907:O908 V907:V908 AK907:AK908 AM907:AO908 Q907:S908 AC907:AC908 AE910:AG911 X910:Z911 O910:O911 V910:V911 AK910:AK911 AM910:AO911 AC910:AC911 AR831:AT887 O831:T831 AK831:AP831 V831:AA831 AK72:AN74 AC72:AD74 X72:AA74 X76:AA87 AK76:AN87 V99:AA99 X120:AA121 O120:P121 AC120:AD121 AK120:AN121 AR120:AT121 AR124:AT148 AK124:AN148 O124:P148 X124:AA148 X150:AA150 O150:P150 AC150:AD150 AK150:AN150 AR150:AT150 AR152:AT153 AK152:AN153 AC152:AD153 O152:P153 X152:AA153 X156:AA166 O156:P166 AK156:AN166 AR156:AT166 AR176:AT419 V285:AA293 X467:AA482 O467:P482 AC467:AD482 AK467:AP482 AR467:AT482 AR484:AT493 AK484:AP493 AC484:AD493 O484:P493 X484:AA493 X495:AA496 O495:P496 AC495:AD496 AK495:AP496 AR495:AT496 AR503:AT507 AK503:AP507 AC503:AD507 O503:P507 X503:AA507 X509:AA521 O509:P521 AC509:AD521 AK509:AP521 AR509:AT521 AR525:AT532 AK525:AP532 AC525:AD532 O525:P532 X525:AA532 X534:AA539 O534:P539 AC534:AD539 AK534:AP539 AR534:AT539 AR550:AT553 AK550:AP553 AC550:AD553 O550:P553 X550:AA553 X556:AA559 O556:P559 AC556:AD559 AK556:AP559 AR556:AT559 AR561:AT564 AK561:AP564 AC561:AD564 O561:P564 X561:AA564 X566:AA580 AR566:AT580 AR588:AT589 AK588:AP589 AC588:AD589 O588:P589 X588:AA589 X592:AA593 O592:P593 AC592:AD593 AK592:AP593 AR592:AT593 AR601:AT626 AK601:AP601 AC601:AH601 O601:T601 V601:AA601 V640:AA640 AC640:AF640 AR628:AT649 AR651:AT651 AK651:AN651 AC651:AD651 O651:P651 X651:AA651 V667:AA667 AC667:AF667 AR653:AT677 AR679:AT681 AK679:AP681 AC679:AD681 O679:P681 X679:AA681 X683:AA683 O683:P683 AC683:AD683 AK683:AP683 AR683:AT683 AR686:AT691 AK686:AP691 AC686:AD691 O686:P691 X686:AA691 X693:AA693 O693:P693 AC693:AD693 AK693:AP693 AR693:AT693 AR695:AT697 AK695:AP697 AC695:AD697 O695:P697 X695:AA697 X704:AA705 AK704:AN705 AR704:AT705 AR716:AT719 AK716:AN719 AC716:AD719 O716:P719 X716:AA719 X722:AA729 O722:P729 AC722:AD729 AK722:AN729 AR722:AT729 AR734:AT737 AK734:AN737 AC734:AD737 O734:P737 X734:AA737 X739:AA744 O739:P744 AC739:AD744 AK739:AN744 AR739:AT744 AR753:AT758 AK753:AN758 AC753:AD758 O753:P758 X753:AA758 X764:AA764 O764:P764 AC764:AD764 AK764:AN764 AR764:AT764 AR768:AT770 AK768:AN770 AC768:AD770 O768:P770 X768:AA770 X788:AA789 O788:P789 AC788:AD789 AK788:AN789 AR788:AT789 AR792:AT792 AK792:AN792 AC792:AD792 O792:P792 X792:AA792 X796:AA800 O796:P800 AK796:AN800 AR796:AT800 AR803:AT804 AK803:AP804 AC803:AD804 O803:P804 X803:AA804 X811:AA812 O811:P812 AC811:AD812 AK811:AP812 AR811:AT812 AR815:AT820 AK815:AP820 AC815:AD820 O815:P820 X815:AA820 X421:AA441 O421:P441 AK421:AP441 AR421:AT441 AR444:AT446 AK444:AP446 AC444:AD446 O444:P446 X444:AA446 X448:AA448 O448:P448 AC448:AD448 AK448:AP448 AR448:AT448 AR450:AT460 AK450:AP460 AC450:AD460 O450:P460 X450:AA460 AR13:AT26 V13:AA14 AC628:AD639 AC602:AD626 AC653:AD666 AC641:AD649 O704:P705 AC704:AD705 AK640:AP640 AK667:AP677 AK176:AN186 AK102:AP113 AC94:AF98 AC177:AF177 O566:P580 AC437:AF441 AK566:AP572 O179:R179 X697:Y825 O72:P74 O76:P87 O89:P89 O176:P178 O285:T285 O410:P419 O628:P639 O653:P666 O641:P649 O668:P677 O13:T13 O113:R113 O103:P112 O114:P118 O383:T383 O291:P292 O294:P335 O408:T408 O384:P401 AC566:AD580 O602:P626 AC267:AF270 AC13:AH13 AC70:AH70 AC76:AD87 AC89:AD93 AC113:AH113 AC103:AD112 AC114:AD118 AC124:AD148 AC156:AD166 AC178:AD186 AC188:AD266 AC176:AD176 AC285:AH285 AC271:AD284 AC289:AF290 AC288:AD288 AC293:AF293 AC291:AD292 AC383:AH383 AC294:AD335 AC402:AF407 AC384:AD401 AC410:AD419 AC421:AD436 AC668:AD677 AC796:AD800 O338:P382 AC338:AD382 AC831:AH831 S115 S117 AG115 AG117 O102:T102 O60:R61 AK70:AP70 V70:AA70 AR54:AT118 O90:R93 O70:R70 O62:Q69 O849:R857 O876:R883 O24:R26 O27:Q59 O832:Q848 O858:Q875 O884:Q887 O17:Q23 X54:AA69 X15:AA26 X89:AA93 V113:AA113 X103:AA112 X114:AA118 X176:AA284 V383:AA383 X294:AA382 V408:AA408 X384:AA401 X410:AA419 X628:AA639 X602:AA626 X653:AA666 X641:AA649 X668:AA677 X832:AA887 O99:R99 V102:AA102 AC102:AH102 AC287:AE287 AC847:AF847 AC832:AE846 AC876:AF883 AC884:AE887 AC849:AF857 AC848:AE848 AC858:AE875 O14:R16 AC14:AF26 AC101:AF101 AC286:AF286 AK13:AP13 AK54:AN69 AK89:AN101 AK114:AN118 AK323:AP326 AK322:AO322 AK331:AP336 AK327:AO330 AK338:AP343 AK337:AO337 AK346:AP363 AK344:AO345 AK364:AO367 AK368:AP419 AK576:AP578 AK573:AN575 AK580:AP580 AK579:AN579 AP573:AP580 AP604 AK602:AN626 AP608 AK628:AN639 AK653:AN666 AK641:AN649 AK846:AN846 AK832:AN834 AP832:AP834 AK835:AO836 AK837:AN841 AP837:AP841 AK842:AO845 AK847:AO848 AK868:AO875 AK887:AP887 AK885:AO886 AP846 AK849:AN867 AP858:AP867 AK14:AN26 AK876:AN884 AP884 O180:P284 O287:Q287 O288:P288 O286:P286 AK188:AN284 AK285:AP285 AK289:AP321 AK286:AO288">
    <cfRule type="cellIs" dxfId="3649" priority="2461" stopIfTrue="1" operator="lessThan">
      <formula>0</formula>
    </cfRule>
  </conditionalFormatting>
  <conditionalFormatting sqref="P898:P899 T898:T899 W898:W899 AA898:AA899 AD898:AD899 AH898:AH899 P901:P902 AD901:AD902 T901:T902 W901:W902 AA901:AA902 AH901:AH902 AD904:AD905 T904:T905 W904:W905 AA904:AA905 AH904:AH905 AL904:AL905 AL898:AL899 AP898:AP899 AL901:AL902 AP901:AP902 AP904:AP905 P904:P905 T907:T908 W907:W908 AA907:AA908 AH907:AH908 AL907:AL908 AP907:AP908 P907:P908 AD907:AD908 AA910:AA911 T910:T911 W910:W911 AD910:AD911 AH910:AH911 AL910:AL911 P910:P911 AP910:AP911 AJ10">
    <cfRule type="cellIs" dxfId="3648" priority="2462" stopIfTrue="1" operator="equal">
      <formula>0</formula>
    </cfRule>
  </conditionalFormatting>
  <conditionalFormatting sqref="N888:AH888 O890:AH890 AJ888:AP888 AR890:AT890 AR888:AT888 O829:AH829 AK829:AP829 AR829:AT829">
    <cfRule type="cellIs" dxfId="3647" priority="2463" stopIfTrue="1" operator="lessThan">
      <formula>0</formula>
    </cfRule>
  </conditionalFormatting>
  <conditionalFormatting sqref="O2 Q2 S2 V2 X2 Z2 AC2 AE2 AG2 AK2 AM2 AO2">
    <cfRule type="cellIs" dxfId="3646" priority="2464" stopIfTrue="1" operator="equal">
      <formula>"""O K"""</formula>
    </cfRule>
  </conditionalFormatting>
  <conditionalFormatting sqref="P2 P4 R2 R4 T4 T2">
    <cfRule type="cellIs" dxfId="3645" priority="2465" stopIfTrue="1" operator="equal">
      <formula>"O K"</formula>
    </cfRule>
    <cfRule type="cellIs" dxfId="3644" priority="2466" stopIfTrue="1" operator="notEqual">
      <formula>"O K"</formula>
    </cfRule>
  </conditionalFormatting>
  <conditionalFormatting sqref="AA2 AA4 Y2 Y4 W2 W4">
    <cfRule type="cellIs" dxfId="3643" priority="2467" stopIfTrue="1" operator="equal">
      <formula>"O K"</formula>
    </cfRule>
    <cfRule type="cellIs" dxfId="3642" priority="2468" stopIfTrue="1" operator="notEqual">
      <formula>"O K"</formula>
    </cfRule>
  </conditionalFormatting>
  <conditionalFormatting sqref="AD2 AD4 AF2 AF4 AH2 AH4">
    <cfRule type="cellIs" dxfId="3641" priority="2469" stopIfTrue="1" operator="equal">
      <formula>"O K"</formula>
    </cfRule>
    <cfRule type="cellIs" dxfId="3640" priority="2470" stopIfTrue="1" operator="notEqual">
      <formula>"O K"</formula>
    </cfRule>
  </conditionalFormatting>
  <conditionalFormatting sqref="E12:F12">
    <cfRule type="cellIs" dxfId="3639" priority="2471" stopIfTrue="1" operator="equal">
      <formula>0</formula>
    </cfRule>
  </conditionalFormatting>
  <conditionalFormatting sqref="N10">
    <cfRule type="cellIs" dxfId="3638" priority="2472" stopIfTrue="1" operator="equal">
      <formula>0</formula>
    </cfRule>
  </conditionalFormatting>
  <conditionalFormatting sqref="AL2 AL4 AN2 AN4 AP2 AP4">
    <cfRule type="cellIs" dxfId="3637" priority="2473" stopIfTrue="1" operator="equal">
      <formula>"O K"</formula>
    </cfRule>
    <cfRule type="cellIs" dxfId="3636" priority="2474" stopIfTrue="1" operator="notEqual">
      <formula>"O K"</formula>
    </cfRule>
  </conditionalFormatting>
  <conditionalFormatting sqref="AR10:AT10">
    <cfRule type="cellIs" dxfId="3635" priority="2476" stopIfTrue="1" operator="equal">
      <formula>"ERROR !"</formula>
    </cfRule>
  </conditionalFormatting>
  <conditionalFormatting sqref="V915:Y915">
    <cfRule type="cellIs" dxfId="3634" priority="2477" stopIfTrue="1" operator="notEqual">
      <formula>"O K"</formula>
    </cfRule>
  </conditionalFormatting>
  <conditionalFormatting sqref="AO581:AP587">
    <cfRule type="cellIs" dxfId="3633" priority="2332" stopIfTrue="1" operator="lessThan">
      <formula>0</formula>
    </cfRule>
  </conditionalFormatting>
  <conditionalFormatting sqref="AK187:AN187 AC187:AD187">
    <cfRule type="cellIs" dxfId="3632" priority="2331" stopIfTrue="1" operator="lessThan">
      <formula>0</formula>
    </cfRule>
  </conditionalFormatting>
  <conditionalFormatting sqref="AJ890:AP890">
    <cfRule type="cellIs" dxfId="3631" priority="2330" stopIfTrue="1" operator="lessThan">
      <formula>0</formula>
    </cfRule>
  </conditionalFormatting>
  <conditionalFormatting sqref="Q816:R828">
    <cfRule type="cellIs" dxfId="3630" priority="2315" stopIfTrue="1" operator="lessThan">
      <formula>0</formula>
    </cfRule>
  </conditionalFormatting>
  <conditionalFormatting sqref="Q71:Q77">
    <cfRule type="cellIs" dxfId="3629" priority="2314" stopIfTrue="1" operator="lessThan">
      <formula>0</formula>
    </cfRule>
  </conditionalFormatting>
  <conditionalFormatting sqref="Q78:Q84">
    <cfRule type="cellIs" dxfId="3628" priority="2313" stopIfTrue="1" operator="lessThan">
      <formula>0</formula>
    </cfRule>
  </conditionalFormatting>
  <conditionalFormatting sqref="Q85:Q88">
    <cfRule type="cellIs" dxfId="3627" priority="2312" stopIfTrue="1" operator="lessThan">
      <formula>0</formula>
    </cfRule>
  </conditionalFormatting>
  <conditionalFormatting sqref="Q89">
    <cfRule type="cellIs" dxfId="3626" priority="2311" stopIfTrue="1" operator="lessThan">
      <formula>0</formula>
    </cfRule>
  </conditionalFormatting>
  <conditionalFormatting sqref="Q103">
    <cfRule type="cellIs" dxfId="3625" priority="2310" stopIfTrue="1" operator="lessThan">
      <formula>0</formula>
    </cfRule>
  </conditionalFormatting>
  <conditionalFormatting sqref="Q104:Q107">
    <cfRule type="cellIs" dxfId="3624" priority="2309" stopIfTrue="1" operator="lessThan">
      <formula>0</formula>
    </cfRule>
  </conditionalFormatting>
  <conditionalFormatting sqref="Q108">
    <cfRule type="cellIs" dxfId="3623" priority="2308" stopIfTrue="1" operator="lessThan">
      <formula>0</formula>
    </cfRule>
  </conditionalFormatting>
  <conditionalFormatting sqref="Q112">
    <cfRule type="cellIs" dxfId="3622" priority="2307" stopIfTrue="1" operator="lessThan">
      <formula>0</formula>
    </cfRule>
  </conditionalFormatting>
  <conditionalFormatting sqref="Q109">
    <cfRule type="cellIs" dxfId="3621" priority="2306" stopIfTrue="1" operator="lessThan">
      <formula>0</formula>
    </cfRule>
  </conditionalFormatting>
  <conditionalFormatting sqref="Q110">
    <cfRule type="cellIs" dxfId="3620" priority="2305" stopIfTrue="1" operator="lessThan">
      <formula>0</formula>
    </cfRule>
  </conditionalFormatting>
  <conditionalFormatting sqref="Q111">
    <cfRule type="cellIs" dxfId="3619" priority="2304" stopIfTrue="1" operator="lessThan">
      <formula>0</formula>
    </cfRule>
  </conditionalFormatting>
  <conditionalFormatting sqref="Q115:R115 Q114 Q116:Q118">
    <cfRule type="cellIs" dxfId="3618" priority="2303" stopIfTrue="1" operator="lessThan">
      <formula>0</formula>
    </cfRule>
  </conditionalFormatting>
  <conditionalFormatting sqref="Q120:R121 Q122:Q125 Q119">
    <cfRule type="cellIs" dxfId="3617" priority="2302" stopIfTrue="1" operator="lessThan">
      <formula>0</formula>
    </cfRule>
  </conditionalFormatting>
  <conditionalFormatting sqref="Q126:Q128">
    <cfRule type="cellIs" dxfId="3616" priority="2301" stopIfTrue="1" operator="lessThan">
      <formula>0</formula>
    </cfRule>
  </conditionalFormatting>
  <conditionalFormatting sqref="Q129:Q133">
    <cfRule type="cellIs" dxfId="3615" priority="2300" stopIfTrue="1" operator="lessThan">
      <formula>0</formula>
    </cfRule>
  </conditionalFormatting>
  <conditionalFormatting sqref="Q134:Q140">
    <cfRule type="cellIs" dxfId="3614" priority="2299" stopIfTrue="1" operator="lessThan">
      <formula>0</formula>
    </cfRule>
  </conditionalFormatting>
  <conditionalFormatting sqref="Q141:Q143">
    <cfRule type="cellIs" dxfId="3613" priority="2298" stopIfTrue="1" operator="lessThan">
      <formula>0</formula>
    </cfRule>
  </conditionalFormatting>
  <conditionalFormatting sqref="Q146:Q150">
    <cfRule type="cellIs" dxfId="3612" priority="2297" stopIfTrue="1" operator="lessThan">
      <formula>0</formula>
    </cfRule>
  </conditionalFormatting>
  <conditionalFormatting sqref="Q151:Q157">
    <cfRule type="cellIs" dxfId="3611" priority="2296" stopIfTrue="1" operator="lessThan">
      <formula>0</formula>
    </cfRule>
  </conditionalFormatting>
  <conditionalFormatting sqref="Q160:R160 Q158:Q159">
    <cfRule type="cellIs" dxfId="3610" priority="2295" stopIfTrue="1" operator="lessThan">
      <formula>0</formula>
    </cfRule>
  </conditionalFormatting>
  <conditionalFormatting sqref="Q161:Q165">
    <cfRule type="cellIs" dxfId="3609" priority="2294" stopIfTrue="1" operator="lessThan">
      <formula>0</formula>
    </cfRule>
  </conditionalFormatting>
  <conditionalFormatting sqref="Q166:Q172">
    <cfRule type="cellIs" dxfId="3608" priority="2293" stopIfTrue="1" operator="lessThan">
      <formula>0</formula>
    </cfRule>
  </conditionalFormatting>
  <conditionalFormatting sqref="Q173:Q175">
    <cfRule type="cellIs" dxfId="3607" priority="2292" stopIfTrue="1" operator="lessThan">
      <formula>0</formula>
    </cfRule>
  </conditionalFormatting>
  <conditionalFormatting sqref="Q180:R183 Q184">
    <cfRule type="cellIs" dxfId="3606" priority="2291" stopIfTrue="1" operator="lessThan">
      <formula>0</formula>
    </cfRule>
  </conditionalFormatting>
  <conditionalFormatting sqref="Q191:R191 Q185:Q190">
    <cfRule type="cellIs" dxfId="3605" priority="2290" stopIfTrue="1" operator="lessThan">
      <formula>0</formula>
    </cfRule>
  </conditionalFormatting>
  <conditionalFormatting sqref="Q192:R194">
    <cfRule type="cellIs" dxfId="3604" priority="2289" stopIfTrue="1" operator="lessThan">
      <formula>0</formula>
    </cfRule>
  </conditionalFormatting>
  <conditionalFormatting sqref="Q199:R199 Q195:Q197">
    <cfRule type="cellIs" dxfId="3603" priority="2288" stopIfTrue="1" operator="lessThan">
      <formula>0</formula>
    </cfRule>
  </conditionalFormatting>
  <conditionalFormatting sqref="Q200:R203">
    <cfRule type="cellIs" dxfId="3602" priority="2287" stopIfTrue="1" operator="lessThan">
      <formula>0</formula>
    </cfRule>
  </conditionalFormatting>
  <conditionalFormatting sqref="Q218:R218 Q219:Q221">
    <cfRule type="cellIs" dxfId="3601" priority="2284" stopIfTrue="1" operator="lessThan">
      <formula>0</formula>
    </cfRule>
  </conditionalFormatting>
  <conditionalFormatting sqref="Q222">
    <cfRule type="cellIs" dxfId="3600" priority="2283" stopIfTrue="1" operator="lessThan">
      <formula>0</formula>
    </cfRule>
  </conditionalFormatting>
  <conditionalFormatting sqref="Q232:Q233">
    <cfRule type="cellIs" dxfId="3599" priority="2281" stopIfTrue="1" operator="lessThan">
      <formula>0</formula>
    </cfRule>
  </conditionalFormatting>
  <conditionalFormatting sqref="Q238:Q239">
    <cfRule type="cellIs" dxfId="3598" priority="2280" stopIfTrue="1" operator="lessThan">
      <formula>0</formula>
    </cfRule>
  </conditionalFormatting>
  <conditionalFormatting sqref="Q240:Q243">
    <cfRule type="cellIs" dxfId="3597" priority="2279" stopIfTrue="1" operator="lessThan">
      <formula>0</formula>
    </cfRule>
  </conditionalFormatting>
  <conditionalFormatting sqref="Q248">
    <cfRule type="cellIs" dxfId="3596" priority="2278" stopIfTrue="1" operator="lessThan">
      <formula>0</formula>
    </cfRule>
  </conditionalFormatting>
  <conditionalFormatting sqref="Q261 Q266">
    <cfRule type="cellIs" dxfId="3595" priority="2275" stopIfTrue="1" operator="lessThan">
      <formula>0</formula>
    </cfRule>
  </conditionalFormatting>
  <conditionalFormatting sqref="Q267">
    <cfRule type="cellIs" dxfId="3594" priority="2274" stopIfTrue="1" operator="lessThan">
      <formula>0</formula>
    </cfRule>
  </conditionalFormatting>
  <conditionalFormatting sqref="Q176:R178">
    <cfRule type="cellIs" dxfId="3593" priority="2270" stopIfTrue="1" operator="lessThan">
      <formula>0</formula>
    </cfRule>
  </conditionalFormatting>
  <conditionalFormatting sqref="Q400:R401">
    <cfRule type="cellIs" dxfId="3592" priority="2235" stopIfTrue="1" operator="lessThan">
      <formula>0</formula>
    </cfRule>
  </conditionalFormatting>
  <conditionalFormatting sqref="Q234:Q235">
    <cfRule type="cellIs" dxfId="3591" priority="2151" stopIfTrue="1" operator="lessThan">
      <formula>0</formula>
    </cfRule>
  </conditionalFormatting>
  <conditionalFormatting sqref="Q198">
    <cfRule type="cellIs" dxfId="3590" priority="2166" stopIfTrue="1" operator="lessThan">
      <formula>0</formula>
    </cfRule>
  </conditionalFormatting>
  <conditionalFormatting sqref="Q204:R205">
    <cfRule type="cellIs" dxfId="3589" priority="2165" stopIfTrue="1" operator="lessThan">
      <formula>0</formula>
    </cfRule>
  </conditionalFormatting>
  <conditionalFormatting sqref="Q206:R206">
    <cfRule type="cellIs" dxfId="3588" priority="2164" stopIfTrue="1" operator="lessThan">
      <formula>0</formula>
    </cfRule>
  </conditionalFormatting>
  <conditionalFormatting sqref="Q207:R208">
    <cfRule type="cellIs" dxfId="3587" priority="2163" stopIfTrue="1" operator="lessThan">
      <formula>0</formula>
    </cfRule>
  </conditionalFormatting>
  <conditionalFormatting sqref="Q209:R210">
    <cfRule type="cellIs" dxfId="3586" priority="2162" stopIfTrue="1" operator="lessThan">
      <formula>0</formula>
    </cfRule>
  </conditionalFormatting>
  <conditionalFormatting sqref="Q211:R212">
    <cfRule type="cellIs" dxfId="3585" priority="2161" stopIfTrue="1" operator="lessThan">
      <formula>0</formula>
    </cfRule>
  </conditionalFormatting>
  <conditionalFormatting sqref="Q213:R213">
    <cfRule type="cellIs" dxfId="3584" priority="2160" stopIfTrue="1" operator="lessThan">
      <formula>0</formula>
    </cfRule>
  </conditionalFormatting>
  <conditionalFormatting sqref="Q214:R215">
    <cfRule type="cellIs" dxfId="3583" priority="2159" stopIfTrue="1" operator="lessThan">
      <formula>0</formula>
    </cfRule>
  </conditionalFormatting>
  <conditionalFormatting sqref="Q216:R217">
    <cfRule type="cellIs" dxfId="3582" priority="2158" stopIfTrue="1" operator="lessThan">
      <formula>0</formula>
    </cfRule>
  </conditionalFormatting>
  <conditionalFormatting sqref="Q223:Q224">
    <cfRule type="cellIs" dxfId="3581" priority="2157" stopIfTrue="1" operator="lessThan">
      <formula>0</formula>
    </cfRule>
  </conditionalFormatting>
  <conditionalFormatting sqref="Q225">
    <cfRule type="cellIs" dxfId="3580" priority="2156" stopIfTrue="1" operator="lessThan">
      <formula>0</formula>
    </cfRule>
  </conditionalFormatting>
  <conditionalFormatting sqref="Q226:Q227">
    <cfRule type="cellIs" dxfId="3579" priority="2155" stopIfTrue="1" operator="lessThan">
      <formula>0</formula>
    </cfRule>
  </conditionalFormatting>
  <conditionalFormatting sqref="Q228:Q229">
    <cfRule type="cellIs" dxfId="3578" priority="2153" stopIfTrue="1" operator="lessThan">
      <formula>0</formula>
    </cfRule>
  </conditionalFormatting>
  <conditionalFormatting sqref="Q230:Q231">
    <cfRule type="cellIs" dxfId="3577" priority="2152" stopIfTrue="1" operator="lessThan">
      <formula>0</formula>
    </cfRule>
  </conditionalFormatting>
  <conditionalFormatting sqref="Q236:Q237">
    <cfRule type="cellIs" dxfId="3576" priority="2150" stopIfTrue="1" operator="lessThan">
      <formula>0</formula>
    </cfRule>
  </conditionalFormatting>
  <conditionalFormatting sqref="Q244:Q245">
    <cfRule type="cellIs" dxfId="3575" priority="2149" stopIfTrue="1" operator="lessThan">
      <formula>0</formula>
    </cfRule>
  </conditionalFormatting>
  <conditionalFormatting sqref="Q246:Q247">
    <cfRule type="cellIs" dxfId="3574" priority="2148" stopIfTrue="1" operator="lessThan">
      <formula>0</formula>
    </cfRule>
  </conditionalFormatting>
  <conditionalFormatting sqref="Q249:Q250">
    <cfRule type="cellIs" dxfId="3573" priority="2147" stopIfTrue="1" operator="lessThan">
      <formula>0</formula>
    </cfRule>
  </conditionalFormatting>
  <conditionalFormatting sqref="Q251:Q252">
    <cfRule type="cellIs" dxfId="3572" priority="2146" stopIfTrue="1" operator="lessThan">
      <formula>0</formula>
    </cfRule>
  </conditionalFormatting>
  <conditionalFormatting sqref="Q253:Q254">
    <cfRule type="cellIs" dxfId="3571" priority="2145" stopIfTrue="1" operator="lessThan">
      <formula>0</formula>
    </cfRule>
  </conditionalFormatting>
  <conditionalFormatting sqref="Q255:Q256">
    <cfRule type="cellIs" dxfId="3570" priority="2144" stopIfTrue="1" operator="lessThan">
      <formula>0</formula>
    </cfRule>
  </conditionalFormatting>
  <conditionalFormatting sqref="Q257:Q258">
    <cfRule type="cellIs" dxfId="3569" priority="2143" stopIfTrue="1" operator="lessThan">
      <formula>0</formula>
    </cfRule>
  </conditionalFormatting>
  <conditionalFormatting sqref="Q259:Q260">
    <cfRule type="cellIs" dxfId="3568" priority="2142" stopIfTrue="1" operator="lessThan">
      <formula>0</formula>
    </cfRule>
  </conditionalFormatting>
  <conditionalFormatting sqref="Q262:Q263">
    <cfRule type="cellIs" dxfId="3567" priority="2141" stopIfTrue="1" operator="lessThan">
      <formula>0</formula>
    </cfRule>
  </conditionalFormatting>
  <conditionalFormatting sqref="Q264:Q265">
    <cfRule type="cellIs" dxfId="3566" priority="2140" stopIfTrue="1" operator="lessThan">
      <formula>0</formula>
    </cfRule>
  </conditionalFormatting>
  <conditionalFormatting sqref="Q271:R271">
    <cfRule type="cellIs" dxfId="3565" priority="2137" stopIfTrue="1" operator="lessThan">
      <formula>0</formula>
    </cfRule>
  </conditionalFormatting>
  <conditionalFormatting sqref="Q272:R273">
    <cfRule type="cellIs" dxfId="3564" priority="2136" stopIfTrue="1" operator="lessThan">
      <formula>0</formula>
    </cfRule>
  </conditionalFormatting>
  <conditionalFormatting sqref="Q274:R275">
    <cfRule type="cellIs" dxfId="3563" priority="2135" stopIfTrue="1" operator="lessThan">
      <formula>0</formula>
    </cfRule>
  </conditionalFormatting>
  <conditionalFormatting sqref="Q276:R276">
    <cfRule type="cellIs" dxfId="3562" priority="2134" stopIfTrue="1" operator="lessThan">
      <formula>0</formula>
    </cfRule>
  </conditionalFormatting>
  <conditionalFormatting sqref="Q277:R278">
    <cfRule type="cellIs" dxfId="3561" priority="2133" stopIfTrue="1" operator="lessThan">
      <formula>0</formula>
    </cfRule>
  </conditionalFormatting>
  <conditionalFormatting sqref="Q279:R280">
    <cfRule type="cellIs" dxfId="3560" priority="2132" stopIfTrue="1" operator="lessThan">
      <formula>0</formula>
    </cfRule>
  </conditionalFormatting>
  <conditionalFormatting sqref="Q281:R282">
    <cfRule type="cellIs" dxfId="3559" priority="2131" stopIfTrue="1" operator="lessThan">
      <formula>0</formula>
    </cfRule>
  </conditionalFormatting>
  <conditionalFormatting sqref="Q283:Q284">
    <cfRule type="cellIs" dxfId="3558" priority="2130" stopIfTrue="1" operator="lessThan">
      <formula>0</formula>
    </cfRule>
  </conditionalFormatting>
  <conditionalFormatting sqref="Q294:Q295">
    <cfRule type="cellIs" dxfId="3557" priority="2129" stopIfTrue="1" operator="lessThan">
      <formula>0</formula>
    </cfRule>
  </conditionalFormatting>
  <conditionalFormatting sqref="Q296:Q297">
    <cfRule type="cellIs" dxfId="3556" priority="2128" stopIfTrue="1" operator="lessThan">
      <formula>0</formula>
    </cfRule>
  </conditionalFormatting>
  <conditionalFormatting sqref="Q288">
    <cfRule type="cellIs" dxfId="3555" priority="2127" stopIfTrue="1" operator="lessThan">
      <formula>0</formula>
    </cfRule>
  </conditionalFormatting>
  <conditionalFormatting sqref="Q291:Q292">
    <cfRule type="cellIs" dxfId="3554" priority="2126" stopIfTrue="1" operator="lessThan">
      <formula>0</formula>
    </cfRule>
  </conditionalFormatting>
  <conditionalFormatting sqref="Q298:Q299 Q301">
    <cfRule type="cellIs" dxfId="3553" priority="2125" stopIfTrue="1" operator="lessThan">
      <formula>0</formula>
    </cfRule>
  </conditionalFormatting>
  <conditionalFormatting sqref="Q302:Q305">
    <cfRule type="cellIs" dxfId="3552" priority="2124" stopIfTrue="1" operator="lessThan">
      <formula>0</formula>
    </cfRule>
  </conditionalFormatting>
  <conditionalFormatting sqref="Q300">
    <cfRule type="cellIs" dxfId="3551" priority="2122" stopIfTrue="1" operator="lessThan">
      <formula>0</formula>
    </cfRule>
  </conditionalFormatting>
  <conditionalFormatting sqref="Q306:Q307 Q309">
    <cfRule type="cellIs" dxfId="3550" priority="2121" stopIfTrue="1" operator="lessThan">
      <formula>0</formula>
    </cfRule>
  </conditionalFormatting>
  <conditionalFormatting sqref="Q310:Q313">
    <cfRule type="cellIs" dxfId="3549" priority="2120" stopIfTrue="1" operator="lessThan">
      <formula>0</formula>
    </cfRule>
  </conditionalFormatting>
  <conditionalFormatting sqref="Q308">
    <cfRule type="cellIs" dxfId="3548" priority="2118" stopIfTrue="1" operator="lessThan">
      <formula>0</formula>
    </cfRule>
  </conditionalFormatting>
  <conditionalFormatting sqref="Q314:Q315 Q317">
    <cfRule type="cellIs" dxfId="3547" priority="2117" stopIfTrue="1" operator="lessThan">
      <formula>0</formula>
    </cfRule>
  </conditionalFormatting>
  <conditionalFormatting sqref="Q318:Q321">
    <cfRule type="cellIs" dxfId="3546" priority="2116" stopIfTrue="1" operator="lessThan">
      <formula>0</formula>
    </cfRule>
  </conditionalFormatting>
  <conditionalFormatting sqref="Q316">
    <cfRule type="cellIs" dxfId="3545" priority="2114" stopIfTrue="1" operator="lessThan">
      <formula>0</formula>
    </cfRule>
  </conditionalFormatting>
  <conditionalFormatting sqref="Q322:R322 Q325 Q323">
    <cfRule type="cellIs" dxfId="3544" priority="2113" stopIfTrue="1" operator="lessThan">
      <formula>0</formula>
    </cfRule>
  </conditionalFormatting>
  <conditionalFormatting sqref="Q327:R329 Q326">
    <cfRule type="cellIs" dxfId="3543" priority="2112" stopIfTrue="1" operator="lessThan">
      <formula>0</formula>
    </cfRule>
  </conditionalFormatting>
  <conditionalFormatting sqref="Q324">
    <cfRule type="cellIs" dxfId="3542" priority="2110" stopIfTrue="1" operator="lessThan">
      <formula>0</formula>
    </cfRule>
  </conditionalFormatting>
  <conditionalFormatting sqref="Q330:R330 Q333 Q331">
    <cfRule type="cellIs" dxfId="3541" priority="2109" stopIfTrue="1" operator="lessThan">
      <formula>0</formula>
    </cfRule>
  </conditionalFormatting>
  <conditionalFormatting sqref="Q334:Q335">
    <cfRule type="cellIs" dxfId="3540" priority="2108" stopIfTrue="1" operator="lessThan">
      <formula>0</formula>
    </cfRule>
  </conditionalFormatting>
  <conditionalFormatting sqref="Q332">
    <cfRule type="cellIs" dxfId="3539" priority="2106" stopIfTrue="1" operator="lessThan">
      <formula>0</formula>
    </cfRule>
  </conditionalFormatting>
  <conditionalFormatting sqref="Q338:Q339 Q341">
    <cfRule type="cellIs" dxfId="3538" priority="2105" stopIfTrue="1" operator="lessThan">
      <formula>0</formula>
    </cfRule>
  </conditionalFormatting>
  <conditionalFormatting sqref="Q344:R345 Q342:Q343">
    <cfRule type="cellIs" dxfId="3537" priority="2104" stopIfTrue="1" operator="lessThan">
      <formula>0</formula>
    </cfRule>
  </conditionalFormatting>
  <conditionalFormatting sqref="Q340">
    <cfRule type="cellIs" dxfId="3536" priority="2102" stopIfTrue="1" operator="lessThan">
      <formula>0</formula>
    </cfRule>
  </conditionalFormatting>
  <conditionalFormatting sqref="Q346:Q347 Q349">
    <cfRule type="cellIs" dxfId="3535" priority="2101" stopIfTrue="1" operator="lessThan">
      <formula>0</formula>
    </cfRule>
  </conditionalFormatting>
  <conditionalFormatting sqref="Q350:Q353">
    <cfRule type="cellIs" dxfId="3534" priority="2100" stopIfTrue="1" operator="lessThan">
      <formula>0</formula>
    </cfRule>
  </conditionalFormatting>
  <conditionalFormatting sqref="Q348">
    <cfRule type="cellIs" dxfId="3533" priority="2098" stopIfTrue="1" operator="lessThan">
      <formula>0</formula>
    </cfRule>
  </conditionalFormatting>
  <conditionalFormatting sqref="Q354:Q355 Q357">
    <cfRule type="cellIs" dxfId="3532" priority="2097" stopIfTrue="1" operator="lessThan">
      <formula>0</formula>
    </cfRule>
  </conditionalFormatting>
  <conditionalFormatting sqref="Q358:Q361">
    <cfRule type="cellIs" dxfId="3531" priority="2096" stopIfTrue="1" operator="lessThan">
      <formula>0</formula>
    </cfRule>
  </conditionalFormatting>
  <conditionalFormatting sqref="Q356">
    <cfRule type="cellIs" dxfId="3530" priority="2094" stopIfTrue="1" operator="lessThan">
      <formula>0</formula>
    </cfRule>
  </conditionalFormatting>
  <conditionalFormatting sqref="Q362:Q363 Q365">
    <cfRule type="cellIs" dxfId="3529" priority="2093" stopIfTrue="1" operator="lessThan">
      <formula>0</formula>
    </cfRule>
  </conditionalFormatting>
  <conditionalFormatting sqref="Q366:Q369">
    <cfRule type="cellIs" dxfId="3528" priority="2092" stopIfTrue="1" operator="lessThan">
      <formula>0</formula>
    </cfRule>
  </conditionalFormatting>
  <conditionalFormatting sqref="Q364">
    <cfRule type="cellIs" dxfId="3527" priority="2090" stopIfTrue="1" operator="lessThan">
      <formula>0</formula>
    </cfRule>
  </conditionalFormatting>
  <conditionalFormatting sqref="Q370:Q371 Q373">
    <cfRule type="cellIs" dxfId="3526" priority="2089" stopIfTrue="1" operator="lessThan">
      <formula>0</formula>
    </cfRule>
  </conditionalFormatting>
  <conditionalFormatting sqref="Q374:Q377">
    <cfRule type="cellIs" dxfId="3525" priority="2088" stopIfTrue="1" operator="lessThan">
      <formula>0</formula>
    </cfRule>
  </conditionalFormatting>
  <conditionalFormatting sqref="Q372">
    <cfRule type="cellIs" dxfId="3524" priority="2086" stopIfTrue="1" operator="lessThan">
      <formula>0</formula>
    </cfRule>
  </conditionalFormatting>
  <conditionalFormatting sqref="Q384:R385 Q387:R387">
    <cfRule type="cellIs" dxfId="3523" priority="2085" stopIfTrue="1" operator="lessThan">
      <formula>0</formula>
    </cfRule>
  </conditionalFormatting>
  <conditionalFormatting sqref="Q388:R391">
    <cfRule type="cellIs" dxfId="3522" priority="2084" stopIfTrue="1" operator="lessThan">
      <formula>0</formula>
    </cfRule>
  </conditionalFormatting>
  <conditionalFormatting sqref="R386">
    <cfRule type="cellIs" dxfId="3521" priority="2083" stopIfTrue="1" operator="lessThan">
      <formula>0</formula>
    </cfRule>
  </conditionalFormatting>
  <conditionalFormatting sqref="Q386">
    <cfRule type="cellIs" dxfId="3520" priority="2082" stopIfTrue="1" operator="lessThan">
      <formula>0</formula>
    </cfRule>
  </conditionalFormatting>
  <conditionalFormatting sqref="Q378">
    <cfRule type="cellIs" dxfId="3519" priority="2081" stopIfTrue="1" operator="lessThan">
      <formula>0</formula>
    </cfRule>
  </conditionalFormatting>
  <conditionalFormatting sqref="Q379:Q382">
    <cfRule type="cellIs" dxfId="3518" priority="2080" stopIfTrue="1" operator="lessThan">
      <formula>0</formula>
    </cfRule>
  </conditionalFormatting>
  <conditionalFormatting sqref="Q392:R393 Q395:R395">
    <cfRule type="cellIs" dxfId="3517" priority="2079" stopIfTrue="1" operator="lessThan">
      <formula>0</formula>
    </cfRule>
  </conditionalFormatting>
  <conditionalFormatting sqref="Q396:R399">
    <cfRule type="cellIs" dxfId="3516" priority="2078" stopIfTrue="1" operator="lessThan">
      <formula>0</formula>
    </cfRule>
  </conditionalFormatting>
  <conditionalFormatting sqref="R394">
    <cfRule type="cellIs" dxfId="3515" priority="2077" stopIfTrue="1" operator="lessThan">
      <formula>0</formula>
    </cfRule>
  </conditionalFormatting>
  <conditionalFormatting sqref="Q394">
    <cfRule type="cellIs" dxfId="3514" priority="2076" stopIfTrue="1" operator="lessThan">
      <formula>0</formula>
    </cfRule>
  </conditionalFormatting>
  <conditionalFormatting sqref="Q410:R411 Q413:R413">
    <cfRule type="cellIs" dxfId="3513" priority="2075" stopIfTrue="1" operator="lessThan">
      <formula>0</formula>
    </cfRule>
  </conditionalFormatting>
  <conditionalFormatting sqref="Q414:R414 Q417:R417 Q415:Q416">
    <cfRule type="cellIs" dxfId="3512" priority="2074" stopIfTrue="1" operator="lessThan">
      <formula>0</formula>
    </cfRule>
  </conditionalFormatting>
  <conditionalFormatting sqref="R412">
    <cfRule type="cellIs" dxfId="3511" priority="2073" stopIfTrue="1" operator="lessThan">
      <formula>0</formula>
    </cfRule>
  </conditionalFormatting>
  <conditionalFormatting sqref="Q412">
    <cfRule type="cellIs" dxfId="3510" priority="2072" stopIfTrue="1" operator="lessThan">
      <formula>0</formula>
    </cfRule>
  </conditionalFormatting>
  <conditionalFormatting sqref="Q418:R419 Q421:R421">
    <cfRule type="cellIs" dxfId="3509" priority="2071" stopIfTrue="1" operator="lessThan">
      <formula>0</formula>
    </cfRule>
  </conditionalFormatting>
  <conditionalFormatting sqref="Q422:R425">
    <cfRule type="cellIs" dxfId="3508" priority="2070" stopIfTrue="1" operator="lessThan">
      <formula>0</formula>
    </cfRule>
  </conditionalFormatting>
  <conditionalFormatting sqref="R420">
    <cfRule type="cellIs" dxfId="3507" priority="2069" stopIfTrue="1" operator="lessThan">
      <formula>0</formula>
    </cfRule>
  </conditionalFormatting>
  <conditionalFormatting sqref="Q420">
    <cfRule type="cellIs" dxfId="3506" priority="2068" stopIfTrue="1" operator="lessThan">
      <formula>0</formula>
    </cfRule>
  </conditionalFormatting>
  <conditionalFormatting sqref="Q426:R427 Q429:R429">
    <cfRule type="cellIs" dxfId="3505" priority="2067" stopIfTrue="1" operator="lessThan">
      <formula>0</formula>
    </cfRule>
  </conditionalFormatting>
  <conditionalFormatting sqref="Q430:R433">
    <cfRule type="cellIs" dxfId="3504" priority="2066" stopIfTrue="1" operator="lessThan">
      <formula>0</formula>
    </cfRule>
  </conditionalFormatting>
  <conditionalFormatting sqref="R428">
    <cfRule type="cellIs" dxfId="3503" priority="2065" stopIfTrue="1" operator="lessThan">
      <formula>0</formula>
    </cfRule>
  </conditionalFormatting>
  <conditionalFormatting sqref="Q428">
    <cfRule type="cellIs" dxfId="3502" priority="2064" stopIfTrue="1" operator="lessThan">
      <formula>0</formula>
    </cfRule>
  </conditionalFormatting>
  <conditionalFormatting sqref="Q434:R435 Q437:R437">
    <cfRule type="cellIs" dxfId="3501" priority="2063" stopIfTrue="1" operator="lessThan">
      <formula>0</formula>
    </cfRule>
  </conditionalFormatting>
  <conditionalFormatting sqref="Q438:R441">
    <cfRule type="cellIs" dxfId="3500" priority="2062" stopIfTrue="1" operator="lessThan">
      <formula>0</formula>
    </cfRule>
  </conditionalFormatting>
  <conditionalFormatting sqref="R436">
    <cfRule type="cellIs" dxfId="3499" priority="2061" stopIfTrue="1" operator="lessThan">
      <formula>0</formula>
    </cfRule>
  </conditionalFormatting>
  <conditionalFormatting sqref="Q436">
    <cfRule type="cellIs" dxfId="3498" priority="2060" stopIfTrue="1" operator="lessThan">
      <formula>0</formula>
    </cfRule>
  </conditionalFormatting>
  <conditionalFormatting sqref="Q442:R443 Q445:R445">
    <cfRule type="cellIs" dxfId="3497" priority="2059" stopIfTrue="1" operator="lessThan">
      <formula>0</formula>
    </cfRule>
  </conditionalFormatting>
  <conditionalFormatting sqref="Q446:R449">
    <cfRule type="cellIs" dxfId="3496" priority="2058" stopIfTrue="1" operator="lessThan">
      <formula>0</formula>
    </cfRule>
  </conditionalFormatting>
  <conditionalFormatting sqref="R444">
    <cfRule type="cellIs" dxfId="3495" priority="2057" stopIfTrue="1" operator="lessThan">
      <formula>0</formula>
    </cfRule>
  </conditionalFormatting>
  <conditionalFormatting sqref="Q444">
    <cfRule type="cellIs" dxfId="3494" priority="2056" stopIfTrue="1" operator="lessThan">
      <formula>0</formula>
    </cfRule>
  </conditionalFormatting>
  <conditionalFormatting sqref="Q450:R451 Q453:R453">
    <cfRule type="cellIs" dxfId="3493" priority="2055" stopIfTrue="1" operator="lessThan">
      <formula>0</formula>
    </cfRule>
  </conditionalFormatting>
  <conditionalFormatting sqref="Q454:R457">
    <cfRule type="cellIs" dxfId="3492" priority="2054" stopIfTrue="1" operator="lessThan">
      <formula>0</formula>
    </cfRule>
  </conditionalFormatting>
  <conditionalFormatting sqref="R452">
    <cfRule type="cellIs" dxfId="3491" priority="2053" stopIfTrue="1" operator="lessThan">
      <formula>0</formula>
    </cfRule>
  </conditionalFormatting>
  <conditionalFormatting sqref="Q452">
    <cfRule type="cellIs" dxfId="3490" priority="2052" stopIfTrue="1" operator="lessThan">
      <formula>0</formula>
    </cfRule>
  </conditionalFormatting>
  <conditionalFormatting sqref="Q458:R459 Q461:R461">
    <cfRule type="cellIs" dxfId="3489" priority="2051" stopIfTrue="1" operator="lessThan">
      <formula>0</formula>
    </cfRule>
  </conditionalFormatting>
  <conditionalFormatting sqref="Q462:R465">
    <cfRule type="cellIs" dxfId="3488" priority="2050" stopIfTrue="1" operator="lessThan">
      <formula>0</formula>
    </cfRule>
  </conditionalFormatting>
  <conditionalFormatting sqref="R460">
    <cfRule type="cellIs" dxfId="3487" priority="2049" stopIfTrue="1" operator="lessThan">
      <formula>0</formula>
    </cfRule>
  </conditionalFormatting>
  <conditionalFormatting sqref="Q460">
    <cfRule type="cellIs" dxfId="3486" priority="2048" stopIfTrue="1" operator="lessThan">
      <formula>0</formula>
    </cfRule>
  </conditionalFormatting>
  <conditionalFormatting sqref="Q466:R467 Q469:R469">
    <cfRule type="cellIs" dxfId="3485" priority="2047" stopIfTrue="1" operator="lessThan">
      <formula>0</formula>
    </cfRule>
  </conditionalFormatting>
  <conditionalFormatting sqref="Q470:R473">
    <cfRule type="cellIs" dxfId="3484" priority="2046" stopIfTrue="1" operator="lessThan">
      <formula>0</formula>
    </cfRule>
  </conditionalFormatting>
  <conditionalFormatting sqref="R468">
    <cfRule type="cellIs" dxfId="3483" priority="2045" stopIfTrue="1" operator="lessThan">
      <formula>0</formula>
    </cfRule>
  </conditionalFormatting>
  <conditionalFormatting sqref="Q468">
    <cfRule type="cellIs" dxfId="3482" priority="2044" stopIfTrue="1" operator="lessThan">
      <formula>0</formula>
    </cfRule>
  </conditionalFormatting>
  <conditionalFormatting sqref="Q474:R475 Q477:R477">
    <cfRule type="cellIs" dxfId="3481" priority="2043" stopIfTrue="1" operator="lessThan">
      <formula>0</formula>
    </cfRule>
  </conditionalFormatting>
  <conditionalFormatting sqref="Q478:R481">
    <cfRule type="cellIs" dxfId="3480" priority="2042" stopIfTrue="1" operator="lessThan">
      <formula>0</formula>
    </cfRule>
  </conditionalFormatting>
  <conditionalFormatting sqref="R476">
    <cfRule type="cellIs" dxfId="3479" priority="2041" stopIfTrue="1" operator="lessThan">
      <formula>0</formula>
    </cfRule>
  </conditionalFormatting>
  <conditionalFormatting sqref="Q476">
    <cfRule type="cellIs" dxfId="3478" priority="2040" stopIfTrue="1" operator="lessThan">
      <formula>0</formula>
    </cfRule>
  </conditionalFormatting>
  <conditionalFormatting sqref="Q482:R483 Q485:R485">
    <cfRule type="cellIs" dxfId="3477" priority="2039" stopIfTrue="1" operator="lessThan">
      <formula>0</formula>
    </cfRule>
  </conditionalFormatting>
  <conditionalFormatting sqref="Q486:R489">
    <cfRule type="cellIs" dxfId="3476" priority="2038" stopIfTrue="1" operator="lessThan">
      <formula>0</formula>
    </cfRule>
  </conditionalFormatting>
  <conditionalFormatting sqref="R484">
    <cfRule type="cellIs" dxfId="3475" priority="2037" stopIfTrue="1" operator="lessThan">
      <formula>0</formula>
    </cfRule>
  </conditionalFormatting>
  <conditionalFormatting sqref="Q484">
    <cfRule type="cellIs" dxfId="3474" priority="2036" stopIfTrue="1" operator="lessThan">
      <formula>0</formula>
    </cfRule>
  </conditionalFormatting>
  <conditionalFormatting sqref="Q490:R491 Q493:R493">
    <cfRule type="cellIs" dxfId="3473" priority="2035" stopIfTrue="1" operator="lessThan">
      <formula>0</formula>
    </cfRule>
  </conditionalFormatting>
  <conditionalFormatting sqref="Q494:R497">
    <cfRule type="cellIs" dxfId="3472" priority="2034" stopIfTrue="1" operator="lessThan">
      <formula>0</formula>
    </cfRule>
  </conditionalFormatting>
  <conditionalFormatting sqref="R492">
    <cfRule type="cellIs" dxfId="3471" priority="2033" stopIfTrue="1" operator="lessThan">
      <formula>0</formula>
    </cfRule>
  </conditionalFormatting>
  <conditionalFormatting sqref="Q492">
    <cfRule type="cellIs" dxfId="3470" priority="2032" stopIfTrue="1" operator="lessThan">
      <formula>0</formula>
    </cfRule>
  </conditionalFormatting>
  <conditionalFormatting sqref="Q498:R499 Q501:R501">
    <cfRule type="cellIs" dxfId="3469" priority="2031" stopIfTrue="1" operator="lessThan">
      <formula>0</formula>
    </cfRule>
  </conditionalFormatting>
  <conditionalFormatting sqref="Q502:R505">
    <cfRule type="cellIs" dxfId="3468" priority="2030" stopIfTrue="1" operator="lessThan">
      <formula>0</formula>
    </cfRule>
  </conditionalFormatting>
  <conditionalFormatting sqref="R500">
    <cfRule type="cellIs" dxfId="3467" priority="2029" stopIfTrue="1" operator="lessThan">
      <formula>0</formula>
    </cfRule>
  </conditionalFormatting>
  <conditionalFormatting sqref="Q500">
    <cfRule type="cellIs" dxfId="3466" priority="2028" stopIfTrue="1" operator="lessThan">
      <formula>0</formula>
    </cfRule>
  </conditionalFormatting>
  <conditionalFormatting sqref="Q506:R507 Q509:R509">
    <cfRule type="cellIs" dxfId="3465" priority="2027" stopIfTrue="1" operator="lessThan">
      <formula>0</formula>
    </cfRule>
  </conditionalFormatting>
  <conditionalFormatting sqref="Q510:R513">
    <cfRule type="cellIs" dxfId="3464" priority="2026" stopIfTrue="1" operator="lessThan">
      <formula>0</formula>
    </cfRule>
  </conditionalFormatting>
  <conditionalFormatting sqref="R508">
    <cfRule type="cellIs" dxfId="3463" priority="2025" stopIfTrue="1" operator="lessThan">
      <formula>0</formula>
    </cfRule>
  </conditionalFormatting>
  <conditionalFormatting sqref="Q508">
    <cfRule type="cellIs" dxfId="3462" priority="2024" stopIfTrue="1" operator="lessThan">
      <formula>0</formula>
    </cfRule>
  </conditionalFormatting>
  <conditionalFormatting sqref="Q514:R515 Q517:R517">
    <cfRule type="cellIs" dxfId="3461" priority="2023" stopIfTrue="1" operator="lessThan">
      <formula>0</formula>
    </cfRule>
  </conditionalFormatting>
  <conditionalFormatting sqref="Q518:R521">
    <cfRule type="cellIs" dxfId="3460" priority="2022" stopIfTrue="1" operator="lessThan">
      <formula>0</formula>
    </cfRule>
  </conditionalFormatting>
  <conditionalFormatting sqref="R516">
    <cfRule type="cellIs" dxfId="3459" priority="2021" stopIfTrue="1" operator="lessThan">
      <formula>0</formula>
    </cfRule>
  </conditionalFormatting>
  <conditionalFormatting sqref="Q516">
    <cfRule type="cellIs" dxfId="3458" priority="2020" stopIfTrue="1" operator="lessThan">
      <formula>0</formula>
    </cfRule>
  </conditionalFormatting>
  <conditionalFormatting sqref="Q522:R523 Q525:R525">
    <cfRule type="cellIs" dxfId="3457" priority="2019" stopIfTrue="1" operator="lessThan">
      <formula>0</formula>
    </cfRule>
  </conditionalFormatting>
  <conditionalFormatting sqref="Q526:R529">
    <cfRule type="cellIs" dxfId="3456" priority="2018" stopIfTrue="1" operator="lessThan">
      <formula>0</formula>
    </cfRule>
  </conditionalFormatting>
  <conditionalFormatting sqref="R524">
    <cfRule type="cellIs" dxfId="3455" priority="2017" stopIfTrue="1" operator="lessThan">
      <formula>0</formula>
    </cfRule>
  </conditionalFormatting>
  <conditionalFormatting sqref="Q524">
    <cfRule type="cellIs" dxfId="3454" priority="2016" stopIfTrue="1" operator="lessThan">
      <formula>0</formula>
    </cfRule>
  </conditionalFormatting>
  <conditionalFormatting sqref="Q530:R531 Q533:R533">
    <cfRule type="cellIs" dxfId="3453" priority="2015" stopIfTrue="1" operator="lessThan">
      <formula>0</formula>
    </cfRule>
  </conditionalFormatting>
  <conditionalFormatting sqref="Q534:R537">
    <cfRule type="cellIs" dxfId="3452" priority="2014" stopIfTrue="1" operator="lessThan">
      <formula>0</formula>
    </cfRule>
  </conditionalFormatting>
  <conditionalFormatting sqref="R532">
    <cfRule type="cellIs" dxfId="3451" priority="2013" stopIfTrue="1" operator="lessThan">
      <formula>0</formula>
    </cfRule>
  </conditionalFormatting>
  <conditionalFormatting sqref="Q532">
    <cfRule type="cellIs" dxfId="3450" priority="2012" stopIfTrue="1" operator="lessThan">
      <formula>0</formula>
    </cfRule>
  </conditionalFormatting>
  <conditionalFormatting sqref="Q538:R539 Q541:R541">
    <cfRule type="cellIs" dxfId="3449" priority="2011" stopIfTrue="1" operator="lessThan">
      <formula>0</formula>
    </cfRule>
  </conditionalFormatting>
  <conditionalFormatting sqref="Q542:R545">
    <cfRule type="cellIs" dxfId="3448" priority="2010" stopIfTrue="1" operator="lessThan">
      <formula>0</formula>
    </cfRule>
  </conditionalFormatting>
  <conditionalFormatting sqref="R540">
    <cfRule type="cellIs" dxfId="3447" priority="2009" stopIfTrue="1" operator="lessThan">
      <formula>0</formula>
    </cfRule>
  </conditionalFormatting>
  <conditionalFormatting sqref="Q540">
    <cfRule type="cellIs" dxfId="3446" priority="2008" stopIfTrue="1" operator="lessThan">
      <formula>0</formula>
    </cfRule>
  </conditionalFormatting>
  <conditionalFormatting sqref="Q546:R547 Q549:R549">
    <cfRule type="cellIs" dxfId="3445" priority="2007" stopIfTrue="1" operator="lessThan">
      <formula>0</formula>
    </cfRule>
  </conditionalFormatting>
  <conditionalFormatting sqref="Q550:R553">
    <cfRule type="cellIs" dxfId="3444" priority="2006" stopIfTrue="1" operator="lessThan">
      <formula>0</formula>
    </cfRule>
  </conditionalFormatting>
  <conditionalFormatting sqref="R548">
    <cfRule type="cellIs" dxfId="3443" priority="2005" stopIfTrue="1" operator="lessThan">
      <formula>0</formula>
    </cfRule>
  </conditionalFormatting>
  <conditionalFormatting sqref="Q548">
    <cfRule type="cellIs" dxfId="3442" priority="2004" stopIfTrue="1" operator="lessThan">
      <formula>0</formula>
    </cfRule>
  </conditionalFormatting>
  <conditionalFormatting sqref="Q554:R555 Q557:R557">
    <cfRule type="cellIs" dxfId="3441" priority="2003" stopIfTrue="1" operator="lessThan">
      <formula>0</formula>
    </cfRule>
  </conditionalFormatting>
  <conditionalFormatting sqref="Q558:R561">
    <cfRule type="cellIs" dxfId="3440" priority="2002" stopIfTrue="1" operator="lessThan">
      <formula>0</formula>
    </cfRule>
  </conditionalFormatting>
  <conditionalFormatting sqref="R556">
    <cfRule type="cellIs" dxfId="3439" priority="2001" stopIfTrue="1" operator="lessThan">
      <formula>0</formula>
    </cfRule>
  </conditionalFormatting>
  <conditionalFormatting sqref="Q556">
    <cfRule type="cellIs" dxfId="3438" priority="2000" stopIfTrue="1" operator="lessThan">
      <formula>0</formula>
    </cfRule>
  </conditionalFormatting>
  <conditionalFormatting sqref="Q562:R563 Q565:R565">
    <cfRule type="cellIs" dxfId="3437" priority="1999" stopIfTrue="1" operator="lessThan">
      <formula>0</formula>
    </cfRule>
  </conditionalFormatting>
  <conditionalFormatting sqref="Q566:Q569">
    <cfRule type="cellIs" dxfId="3436" priority="1998" stopIfTrue="1" operator="lessThan">
      <formula>0</formula>
    </cfRule>
  </conditionalFormatting>
  <conditionalFormatting sqref="R564">
    <cfRule type="cellIs" dxfId="3435" priority="1997" stopIfTrue="1" operator="lessThan">
      <formula>0</formula>
    </cfRule>
  </conditionalFormatting>
  <conditionalFormatting sqref="Q564">
    <cfRule type="cellIs" dxfId="3434" priority="1996" stopIfTrue="1" operator="lessThan">
      <formula>0</formula>
    </cfRule>
  </conditionalFormatting>
  <conditionalFormatting sqref="Q570:R570 Q573 Q571">
    <cfRule type="cellIs" dxfId="3433" priority="1995" stopIfTrue="1" operator="lessThan">
      <formula>0</formula>
    </cfRule>
  </conditionalFormatting>
  <conditionalFormatting sqref="Q574:Q577">
    <cfRule type="cellIs" dxfId="3432" priority="1994" stopIfTrue="1" operator="lessThan">
      <formula>0</formula>
    </cfRule>
  </conditionalFormatting>
  <conditionalFormatting sqref="Q572">
    <cfRule type="cellIs" dxfId="3431" priority="1992" stopIfTrue="1" operator="lessThan">
      <formula>0</formula>
    </cfRule>
  </conditionalFormatting>
  <conditionalFormatting sqref="Q581:R581 Q578:Q579">
    <cfRule type="cellIs" dxfId="3430" priority="1991" stopIfTrue="1" operator="lessThan">
      <formula>0</formula>
    </cfRule>
  </conditionalFormatting>
  <conditionalFormatting sqref="Q582:R585">
    <cfRule type="cellIs" dxfId="3429" priority="1990" stopIfTrue="1" operator="lessThan">
      <formula>0</formula>
    </cfRule>
  </conditionalFormatting>
  <conditionalFormatting sqref="Q580">
    <cfRule type="cellIs" dxfId="3428" priority="1988" stopIfTrue="1" operator="lessThan">
      <formula>0</formula>
    </cfRule>
  </conditionalFormatting>
  <conditionalFormatting sqref="Q586:R589">
    <cfRule type="cellIs" dxfId="3427" priority="1987" stopIfTrue="1" operator="lessThan">
      <formula>0</formula>
    </cfRule>
  </conditionalFormatting>
  <conditionalFormatting sqref="Q590:R593">
    <cfRule type="cellIs" dxfId="3426" priority="1986" stopIfTrue="1" operator="lessThan">
      <formula>0</formula>
    </cfRule>
  </conditionalFormatting>
  <conditionalFormatting sqref="Q594:R597">
    <cfRule type="cellIs" dxfId="3425" priority="1985" stopIfTrue="1" operator="lessThan">
      <formula>0</formula>
    </cfRule>
  </conditionalFormatting>
  <conditionalFormatting sqref="Q598:R600">
    <cfRule type="cellIs" dxfId="3424" priority="1984" stopIfTrue="1" operator="lessThan">
      <formula>0</formula>
    </cfRule>
  </conditionalFormatting>
  <conditionalFormatting sqref="Q602:R603 Q604">
    <cfRule type="cellIs" dxfId="3423" priority="1983" stopIfTrue="1" operator="lessThan">
      <formula>0</formula>
    </cfRule>
  </conditionalFormatting>
  <conditionalFormatting sqref="Q605:R607 Q608">
    <cfRule type="cellIs" dxfId="3422" priority="1982" stopIfTrue="1" operator="lessThan">
      <formula>0</formula>
    </cfRule>
  </conditionalFormatting>
  <conditionalFormatting sqref="Q609:R611">
    <cfRule type="cellIs" dxfId="3421" priority="1981" stopIfTrue="1" operator="lessThan">
      <formula>0</formula>
    </cfRule>
  </conditionalFormatting>
  <conditionalFormatting sqref="Q612:R614">
    <cfRule type="cellIs" dxfId="3420" priority="1980" stopIfTrue="1" operator="lessThan">
      <formula>0</formula>
    </cfRule>
  </conditionalFormatting>
  <conditionalFormatting sqref="Q615:R618">
    <cfRule type="cellIs" dxfId="3419" priority="1979" stopIfTrue="1" operator="lessThan">
      <formula>0</formula>
    </cfRule>
  </conditionalFormatting>
  <conditionalFormatting sqref="Q619:R621">
    <cfRule type="cellIs" dxfId="3418" priority="1978" stopIfTrue="1" operator="lessThan">
      <formula>0</formula>
    </cfRule>
  </conditionalFormatting>
  <conditionalFormatting sqref="Q622:R624">
    <cfRule type="cellIs" dxfId="3417" priority="1977" stopIfTrue="1" operator="lessThan">
      <formula>0</formula>
    </cfRule>
  </conditionalFormatting>
  <conditionalFormatting sqref="Q625:R628">
    <cfRule type="cellIs" dxfId="3416" priority="1976" stopIfTrue="1" operator="lessThan">
      <formula>0</formula>
    </cfRule>
  </conditionalFormatting>
  <conditionalFormatting sqref="Q629:R631">
    <cfRule type="cellIs" dxfId="3415" priority="1975" stopIfTrue="1" operator="lessThan">
      <formula>0</formula>
    </cfRule>
  </conditionalFormatting>
  <conditionalFormatting sqref="Q641:R643">
    <cfRule type="cellIs" dxfId="3414" priority="1974" stopIfTrue="1" operator="lessThan">
      <formula>0</formula>
    </cfRule>
  </conditionalFormatting>
  <conditionalFormatting sqref="Q644:R647">
    <cfRule type="cellIs" dxfId="3413" priority="1973" stopIfTrue="1" operator="lessThan">
      <formula>0</formula>
    </cfRule>
  </conditionalFormatting>
  <conditionalFormatting sqref="Q648:R650">
    <cfRule type="cellIs" dxfId="3412" priority="1972" stopIfTrue="1" operator="lessThan">
      <formula>0</formula>
    </cfRule>
  </conditionalFormatting>
  <conditionalFormatting sqref="Q632:R632">
    <cfRule type="cellIs" dxfId="3411" priority="1971" stopIfTrue="1" operator="lessThan">
      <formula>0</formula>
    </cfRule>
  </conditionalFormatting>
  <conditionalFormatting sqref="Q633:R635">
    <cfRule type="cellIs" dxfId="3410" priority="1970" stopIfTrue="1" operator="lessThan">
      <formula>0</formula>
    </cfRule>
  </conditionalFormatting>
  <conditionalFormatting sqref="Q636:R636">
    <cfRule type="cellIs" dxfId="3409" priority="1969" stopIfTrue="1" operator="lessThan">
      <formula>0</formula>
    </cfRule>
  </conditionalFormatting>
  <conditionalFormatting sqref="Q637:R639">
    <cfRule type="cellIs" dxfId="3408" priority="1968" stopIfTrue="1" operator="lessThan">
      <formula>0</formula>
    </cfRule>
  </conditionalFormatting>
  <conditionalFormatting sqref="Q651:R653">
    <cfRule type="cellIs" dxfId="3407" priority="1967" stopIfTrue="1" operator="lessThan">
      <formula>0</formula>
    </cfRule>
  </conditionalFormatting>
  <conditionalFormatting sqref="Q654:R657">
    <cfRule type="cellIs" dxfId="3406" priority="1966" stopIfTrue="1" operator="lessThan">
      <formula>0</formula>
    </cfRule>
  </conditionalFormatting>
  <conditionalFormatting sqref="Q658:R660">
    <cfRule type="cellIs" dxfId="3405" priority="1965" stopIfTrue="1" operator="lessThan">
      <formula>0</formula>
    </cfRule>
  </conditionalFormatting>
  <conditionalFormatting sqref="Q668:R670">
    <cfRule type="cellIs" dxfId="3404" priority="1964" stopIfTrue="1" operator="lessThan">
      <formula>0</formula>
    </cfRule>
  </conditionalFormatting>
  <conditionalFormatting sqref="Q671:R674">
    <cfRule type="cellIs" dxfId="3403" priority="1963" stopIfTrue="1" operator="lessThan">
      <formula>0</formula>
    </cfRule>
  </conditionalFormatting>
  <conditionalFormatting sqref="Q675:R677">
    <cfRule type="cellIs" dxfId="3402" priority="1962" stopIfTrue="1" operator="lessThan">
      <formula>0</formula>
    </cfRule>
  </conditionalFormatting>
  <conditionalFormatting sqref="Q661:R663">
    <cfRule type="cellIs" dxfId="3401" priority="1961" stopIfTrue="1" operator="lessThan">
      <formula>0</formula>
    </cfRule>
  </conditionalFormatting>
  <conditionalFormatting sqref="Q664:R666">
    <cfRule type="cellIs" dxfId="3400" priority="1960" stopIfTrue="1" operator="lessThan">
      <formula>0</formula>
    </cfRule>
  </conditionalFormatting>
  <conditionalFormatting sqref="Q678:R680">
    <cfRule type="cellIs" dxfId="3399" priority="1959" stopIfTrue="1" operator="lessThan">
      <formula>0</formula>
    </cfRule>
  </conditionalFormatting>
  <conditionalFormatting sqref="Q681:R684">
    <cfRule type="cellIs" dxfId="3398" priority="1958" stopIfTrue="1" operator="lessThan">
      <formula>0</formula>
    </cfRule>
  </conditionalFormatting>
  <conditionalFormatting sqref="Q685:R687">
    <cfRule type="cellIs" dxfId="3397" priority="1957" stopIfTrue="1" operator="lessThan">
      <formula>0</formula>
    </cfRule>
  </conditionalFormatting>
  <conditionalFormatting sqref="Q688:R690">
    <cfRule type="cellIs" dxfId="3396" priority="1956" stopIfTrue="1" operator="lessThan">
      <formula>0</formula>
    </cfRule>
  </conditionalFormatting>
  <conditionalFormatting sqref="Q691:R694">
    <cfRule type="cellIs" dxfId="3395" priority="1955" stopIfTrue="1" operator="lessThan">
      <formula>0</formula>
    </cfRule>
  </conditionalFormatting>
  <conditionalFormatting sqref="Q695:R697">
    <cfRule type="cellIs" dxfId="3394" priority="1954" stopIfTrue="1" operator="lessThan">
      <formula>0</formula>
    </cfRule>
  </conditionalFormatting>
  <conditionalFormatting sqref="Q698:R700">
    <cfRule type="cellIs" dxfId="3393" priority="1953" stopIfTrue="1" operator="lessThan">
      <formula>0</formula>
    </cfRule>
  </conditionalFormatting>
  <conditionalFormatting sqref="Q701:R703">
    <cfRule type="cellIs" dxfId="3392" priority="1952" stopIfTrue="1" operator="lessThan">
      <formula>0</formula>
    </cfRule>
  </conditionalFormatting>
  <conditionalFormatting sqref="Q704:R706">
    <cfRule type="cellIs" dxfId="3391" priority="1951" stopIfTrue="1" operator="lessThan">
      <formula>0</formula>
    </cfRule>
  </conditionalFormatting>
  <conditionalFormatting sqref="Q707:R710">
    <cfRule type="cellIs" dxfId="3390" priority="1950" stopIfTrue="1" operator="lessThan">
      <formula>0</formula>
    </cfRule>
  </conditionalFormatting>
  <conditionalFormatting sqref="Q711:R713">
    <cfRule type="cellIs" dxfId="3389" priority="1949" stopIfTrue="1" operator="lessThan">
      <formula>0</formula>
    </cfRule>
  </conditionalFormatting>
  <conditionalFormatting sqref="Q714:R716">
    <cfRule type="cellIs" dxfId="3388" priority="1948" stopIfTrue="1" operator="lessThan">
      <formula>0</formula>
    </cfRule>
  </conditionalFormatting>
  <conditionalFormatting sqref="Q717:R720">
    <cfRule type="cellIs" dxfId="3387" priority="1947" stopIfTrue="1" operator="lessThan">
      <formula>0</formula>
    </cfRule>
  </conditionalFormatting>
  <conditionalFormatting sqref="Q721:R723">
    <cfRule type="cellIs" dxfId="3386" priority="1946" stopIfTrue="1" operator="lessThan">
      <formula>0</formula>
    </cfRule>
  </conditionalFormatting>
  <conditionalFormatting sqref="Q724:R726">
    <cfRule type="cellIs" dxfId="3385" priority="1945" stopIfTrue="1" operator="lessThan">
      <formula>0</formula>
    </cfRule>
  </conditionalFormatting>
  <conditionalFormatting sqref="Q727:R729">
    <cfRule type="cellIs" dxfId="3384" priority="1944" stopIfTrue="1" operator="lessThan">
      <formula>0</formula>
    </cfRule>
  </conditionalFormatting>
  <conditionalFormatting sqref="Q730:R732">
    <cfRule type="cellIs" dxfId="3383" priority="1943" stopIfTrue="1" operator="lessThan">
      <formula>0</formula>
    </cfRule>
  </conditionalFormatting>
  <conditionalFormatting sqref="Q733:R736">
    <cfRule type="cellIs" dxfId="3382" priority="1942" stopIfTrue="1" operator="lessThan">
      <formula>0</formula>
    </cfRule>
  </conditionalFormatting>
  <conditionalFormatting sqref="Q737:R738 Q739">
    <cfRule type="cellIs" dxfId="3381" priority="1941" stopIfTrue="1" operator="lessThan">
      <formula>0</formula>
    </cfRule>
  </conditionalFormatting>
  <conditionalFormatting sqref="Q742:R742 Q740:Q741">
    <cfRule type="cellIs" dxfId="3380" priority="1940" stopIfTrue="1" operator="lessThan">
      <formula>0</formula>
    </cfRule>
  </conditionalFormatting>
  <conditionalFormatting sqref="Q743:R746">
    <cfRule type="cellIs" dxfId="3379" priority="1939" stopIfTrue="1" operator="lessThan">
      <formula>0</formula>
    </cfRule>
  </conditionalFormatting>
  <conditionalFormatting sqref="Q747:R749">
    <cfRule type="cellIs" dxfId="3378" priority="1938" stopIfTrue="1" operator="lessThan">
      <formula>0</formula>
    </cfRule>
  </conditionalFormatting>
  <conditionalFormatting sqref="Q750:R752">
    <cfRule type="cellIs" dxfId="3377" priority="1937" stopIfTrue="1" operator="lessThan">
      <formula>0</formula>
    </cfRule>
  </conditionalFormatting>
  <conditionalFormatting sqref="Q753:R755">
    <cfRule type="cellIs" dxfId="3376" priority="1936" stopIfTrue="1" operator="lessThan">
      <formula>0</formula>
    </cfRule>
  </conditionalFormatting>
  <conditionalFormatting sqref="Q764:R766">
    <cfRule type="cellIs" dxfId="3375" priority="1935" stopIfTrue="1" operator="lessThan">
      <formula>0</formula>
    </cfRule>
  </conditionalFormatting>
  <conditionalFormatting sqref="Q767:R770">
    <cfRule type="cellIs" dxfId="3374" priority="1934" stopIfTrue="1" operator="lessThan">
      <formula>0</formula>
    </cfRule>
  </conditionalFormatting>
  <conditionalFormatting sqref="Q771:R773">
    <cfRule type="cellIs" dxfId="3373" priority="1933" stopIfTrue="1" operator="lessThan">
      <formula>0</formula>
    </cfRule>
  </conditionalFormatting>
  <conditionalFormatting sqref="Q774:R776">
    <cfRule type="cellIs" dxfId="3372" priority="1932" stopIfTrue="1" operator="lessThan">
      <formula>0</formula>
    </cfRule>
  </conditionalFormatting>
  <conditionalFormatting sqref="Q777:R780">
    <cfRule type="cellIs" dxfId="3371" priority="1931" stopIfTrue="1" operator="lessThan">
      <formula>0</formula>
    </cfRule>
  </conditionalFormatting>
  <conditionalFormatting sqref="Q781:R783">
    <cfRule type="cellIs" dxfId="3370" priority="1930" stopIfTrue="1" operator="lessThan">
      <formula>0</formula>
    </cfRule>
  </conditionalFormatting>
  <conditionalFormatting sqref="Q784:R786">
    <cfRule type="cellIs" dxfId="3369" priority="1929" stopIfTrue="1" operator="lessThan">
      <formula>0</formula>
    </cfRule>
  </conditionalFormatting>
  <conditionalFormatting sqref="Q787:R789">
    <cfRule type="cellIs" dxfId="3368" priority="1928" stopIfTrue="1" operator="lessThan">
      <formula>0</formula>
    </cfRule>
  </conditionalFormatting>
  <conditionalFormatting sqref="Q790:R792">
    <cfRule type="cellIs" dxfId="3367" priority="1927" stopIfTrue="1" operator="lessThan">
      <formula>0</formula>
    </cfRule>
  </conditionalFormatting>
  <conditionalFormatting sqref="Q793:R796">
    <cfRule type="cellIs" dxfId="3366" priority="1926" stopIfTrue="1" operator="lessThan">
      <formula>0</formula>
    </cfRule>
  </conditionalFormatting>
  <conditionalFormatting sqref="Q797:R799">
    <cfRule type="cellIs" dxfId="3365" priority="1925" stopIfTrue="1" operator="lessThan">
      <formula>0</formula>
    </cfRule>
  </conditionalFormatting>
  <conditionalFormatting sqref="Q800:R802">
    <cfRule type="cellIs" dxfId="3364" priority="1924" stopIfTrue="1" operator="lessThan">
      <formula>0</formula>
    </cfRule>
  </conditionalFormatting>
  <conditionalFormatting sqref="Q803:R806">
    <cfRule type="cellIs" dxfId="3363" priority="1923" stopIfTrue="1" operator="lessThan">
      <formula>0</formula>
    </cfRule>
  </conditionalFormatting>
  <conditionalFormatting sqref="Q807:R809">
    <cfRule type="cellIs" dxfId="3362" priority="1922" stopIfTrue="1" operator="lessThan">
      <formula>0</formula>
    </cfRule>
  </conditionalFormatting>
  <conditionalFormatting sqref="Q810:R812">
    <cfRule type="cellIs" dxfId="3361" priority="1921" stopIfTrue="1" operator="lessThan">
      <formula>0</formula>
    </cfRule>
  </conditionalFormatting>
  <conditionalFormatting sqref="Q813:R815">
    <cfRule type="cellIs" dxfId="3360" priority="1920" stopIfTrue="1" operator="lessThan">
      <formula>0</formula>
    </cfRule>
  </conditionalFormatting>
  <conditionalFormatting sqref="Q756:R758">
    <cfRule type="cellIs" dxfId="3359" priority="1919" stopIfTrue="1" operator="lessThan">
      <formula>0</formula>
    </cfRule>
  </conditionalFormatting>
  <conditionalFormatting sqref="Q759:R761">
    <cfRule type="cellIs" dxfId="3358" priority="1918" stopIfTrue="1" operator="lessThan">
      <formula>0</formula>
    </cfRule>
  </conditionalFormatting>
  <conditionalFormatting sqref="Q144:Q145">
    <cfRule type="cellIs" dxfId="3357" priority="1916" stopIfTrue="1" operator="lessThan">
      <formula>0</formula>
    </cfRule>
  </conditionalFormatting>
  <conditionalFormatting sqref="Q268:Q270">
    <cfRule type="cellIs" dxfId="3356" priority="1915" stopIfTrue="1" operator="lessThan">
      <formula>0</formula>
    </cfRule>
  </conditionalFormatting>
  <conditionalFormatting sqref="AE71:AF71 AE72:AE75">
    <cfRule type="cellIs" dxfId="3355" priority="1914" stopIfTrue="1" operator="lessThan">
      <formula>0</formula>
    </cfRule>
  </conditionalFormatting>
  <conditionalFormatting sqref="AE76:AE80">
    <cfRule type="cellIs" dxfId="3354" priority="1912" stopIfTrue="1" operator="lessThan">
      <formula>0</formula>
    </cfRule>
  </conditionalFormatting>
  <conditionalFormatting sqref="AE81:AE85">
    <cfRule type="cellIs" dxfId="3353" priority="1911" stopIfTrue="1" operator="lessThan">
      <formula>0</formula>
    </cfRule>
  </conditionalFormatting>
  <conditionalFormatting sqref="AE72:AE90">
    <cfRule type="cellIs" dxfId="3352" priority="1910" stopIfTrue="1" operator="lessThan">
      <formula>0</formula>
    </cfRule>
  </conditionalFormatting>
  <conditionalFormatting sqref="AE91:AE93">
    <cfRule type="cellIs" dxfId="3351" priority="1909" stopIfTrue="1" operator="lessThan">
      <formula>0</formula>
    </cfRule>
  </conditionalFormatting>
  <conditionalFormatting sqref="AE103:AE105">
    <cfRule type="cellIs" dxfId="3350" priority="1908" stopIfTrue="1" operator="lessThan">
      <formula>0</formula>
    </cfRule>
  </conditionalFormatting>
  <conditionalFormatting sqref="AE106:AE108">
    <cfRule type="cellIs" dxfId="3349" priority="1907" stopIfTrue="1" operator="lessThan">
      <formula>0</formula>
    </cfRule>
  </conditionalFormatting>
  <conditionalFormatting sqref="AE109:AE111">
    <cfRule type="cellIs" dxfId="3348" priority="1906" stopIfTrue="1" operator="lessThan">
      <formula>0</formula>
    </cfRule>
  </conditionalFormatting>
  <conditionalFormatting sqref="AE112">
    <cfRule type="cellIs" dxfId="3347" priority="1905" stopIfTrue="1" operator="lessThan">
      <formula>0</formula>
    </cfRule>
  </conditionalFormatting>
  <conditionalFormatting sqref="AE114:AE116">
    <cfRule type="cellIs" dxfId="3346" priority="1904" stopIfTrue="1" operator="lessThan">
      <formula>0</formula>
    </cfRule>
  </conditionalFormatting>
  <conditionalFormatting sqref="AE117:AE119">
    <cfRule type="cellIs" dxfId="3345" priority="1903" stopIfTrue="1" operator="lessThan">
      <formula>0</formula>
    </cfRule>
  </conditionalFormatting>
  <conditionalFormatting sqref="AE120:AF121 AE122">
    <cfRule type="cellIs" dxfId="3344" priority="1902" stopIfTrue="1" operator="lessThan">
      <formula>0</formula>
    </cfRule>
  </conditionalFormatting>
  <conditionalFormatting sqref="AE123">
    <cfRule type="cellIs" dxfId="3343" priority="1901" stopIfTrue="1" operator="lessThan">
      <formula>0</formula>
    </cfRule>
  </conditionalFormatting>
  <conditionalFormatting sqref="AE124:AE126">
    <cfRule type="cellIs" dxfId="3342" priority="1900" stopIfTrue="1" operator="lessThan">
      <formula>0</formula>
    </cfRule>
  </conditionalFormatting>
  <conditionalFormatting sqref="AE127:AE129">
    <cfRule type="cellIs" dxfId="3341" priority="1899" stopIfTrue="1" operator="lessThan">
      <formula>0</formula>
    </cfRule>
  </conditionalFormatting>
  <conditionalFormatting sqref="AE130:AE132">
    <cfRule type="cellIs" dxfId="3340" priority="1898" stopIfTrue="1" operator="lessThan">
      <formula>0</formula>
    </cfRule>
  </conditionalFormatting>
  <conditionalFormatting sqref="AE133">
    <cfRule type="cellIs" dxfId="3339" priority="1897" stopIfTrue="1" operator="lessThan">
      <formula>0</formula>
    </cfRule>
  </conditionalFormatting>
  <conditionalFormatting sqref="AE134:AE136">
    <cfRule type="cellIs" dxfId="3338" priority="1896" stopIfTrue="1" operator="lessThan">
      <formula>0</formula>
    </cfRule>
  </conditionalFormatting>
  <conditionalFormatting sqref="AE137:AE139">
    <cfRule type="cellIs" dxfId="3337" priority="1895" stopIfTrue="1" operator="lessThan">
      <formula>0</formula>
    </cfRule>
  </conditionalFormatting>
  <conditionalFormatting sqref="AE140:AE142">
    <cfRule type="cellIs" dxfId="3336" priority="1894" stopIfTrue="1" operator="lessThan">
      <formula>0</formula>
    </cfRule>
  </conditionalFormatting>
  <conditionalFormatting sqref="AE143">
    <cfRule type="cellIs" dxfId="3335" priority="1893" stopIfTrue="1" operator="lessThan">
      <formula>0</formula>
    </cfRule>
  </conditionalFormatting>
  <conditionalFormatting sqref="AE144:AE146">
    <cfRule type="cellIs" dxfId="3334" priority="1892" stopIfTrue="1" operator="lessThan">
      <formula>0</formula>
    </cfRule>
  </conditionalFormatting>
  <conditionalFormatting sqref="AE147:AE149">
    <cfRule type="cellIs" dxfId="3333" priority="1891" stopIfTrue="1" operator="lessThan">
      <formula>0</formula>
    </cfRule>
  </conditionalFormatting>
  <conditionalFormatting sqref="AE150:AE152">
    <cfRule type="cellIs" dxfId="3332" priority="1890" stopIfTrue="1" operator="lessThan">
      <formula>0</formula>
    </cfRule>
  </conditionalFormatting>
  <conditionalFormatting sqref="AE153">
    <cfRule type="cellIs" dxfId="3331" priority="1889" stopIfTrue="1" operator="lessThan">
      <formula>0</formula>
    </cfRule>
  </conditionalFormatting>
  <conditionalFormatting sqref="AE154:AE156">
    <cfRule type="cellIs" dxfId="3330" priority="1888" stopIfTrue="1" operator="lessThan">
      <formula>0</formula>
    </cfRule>
  </conditionalFormatting>
  <conditionalFormatting sqref="AE157:AE159">
    <cfRule type="cellIs" dxfId="3329" priority="1887" stopIfTrue="1" operator="lessThan">
      <formula>0</formula>
    </cfRule>
  </conditionalFormatting>
  <conditionalFormatting sqref="AE160:AF160 AE161:AE162">
    <cfRule type="cellIs" dxfId="3328" priority="1886" stopIfTrue="1" operator="lessThan">
      <formula>0</formula>
    </cfRule>
  </conditionalFormatting>
  <conditionalFormatting sqref="AE163">
    <cfRule type="cellIs" dxfId="3327" priority="1885" stopIfTrue="1" operator="lessThan">
      <formula>0</formula>
    </cfRule>
  </conditionalFormatting>
  <conditionalFormatting sqref="AE164:AE166">
    <cfRule type="cellIs" dxfId="3326" priority="1884" stopIfTrue="1" operator="lessThan">
      <formula>0</formula>
    </cfRule>
  </conditionalFormatting>
  <conditionalFormatting sqref="AE167:AE169">
    <cfRule type="cellIs" dxfId="3325" priority="1883" stopIfTrue="1" operator="lessThan">
      <formula>0</formula>
    </cfRule>
  </conditionalFormatting>
  <conditionalFormatting sqref="AE170:AE172">
    <cfRule type="cellIs" dxfId="3324" priority="1882" stopIfTrue="1" operator="lessThan">
      <formula>0</formula>
    </cfRule>
  </conditionalFormatting>
  <conditionalFormatting sqref="AE173">
    <cfRule type="cellIs" dxfId="3323" priority="1881" stopIfTrue="1" operator="lessThan">
      <formula>0</formula>
    </cfRule>
  </conditionalFormatting>
  <conditionalFormatting sqref="AE178:AF180">
    <cfRule type="cellIs" dxfId="3322" priority="1880" stopIfTrue="1" operator="lessThan">
      <formula>0</formula>
    </cfRule>
  </conditionalFormatting>
  <conditionalFormatting sqref="AE181:AF183">
    <cfRule type="cellIs" dxfId="3321" priority="1879" stopIfTrue="1" operator="lessThan">
      <formula>0</formula>
    </cfRule>
  </conditionalFormatting>
  <conditionalFormatting sqref="AE184:AE186">
    <cfRule type="cellIs" dxfId="3320" priority="1878" stopIfTrue="1" operator="lessThan">
      <formula>0</formula>
    </cfRule>
  </conditionalFormatting>
  <conditionalFormatting sqref="AE187">
    <cfRule type="cellIs" dxfId="3319" priority="1877" stopIfTrue="1" operator="lessThan">
      <formula>0</formula>
    </cfRule>
  </conditionalFormatting>
  <conditionalFormatting sqref="AE188:AE190">
    <cfRule type="cellIs" dxfId="3318" priority="1876" stopIfTrue="1" operator="lessThan">
      <formula>0</formula>
    </cfRule>
  </conditionalFormatting>
  <conditionalFormatting sqref="AE191:AF193">
    <cfRule type="cellIs" dxfId="3317" priority="1875" stopIfTrue="1" operator="lessThan">
      <formula>0</formula>
    </cfRule>
  </conditionalFormatting>
  <conditionalFormatting sqref="AE194:AF194 AE195:AE196">
    <cfRule type="cellIs" dxfId="3316" priority="1874" stopIfTrue="1" operator="lessThan">
      <formula>0</formula>
    </cfRule>
  </conditionalFormatting>
  <conditionalFormatting sqref="AE197">
    <cfRule type="cellIs" dxfId="3315" priority="1873" stopIfTrue="1" operator="lessThan">
      <formula>0</formula>
    </cfRule>
  </conditionalFormatting>
  <conditionalFormatting sqref="AE199:AF200 AE198">
    <cfRule type="cellIs" dxfId="3314" priority="1872" stopIfTrue="1" operator="lessThan">
      <formula>0</formula>
    </cfRule>
  </conditionalFormatting>
  <conditionalFormatting sqref="AE201:AF203">
    <cfRule type="cellIs" dxfId="3313" priority="1871" stopIfTrue="1" operator="lessThan">
      <formula>0</formula>
    </cfRule>
  </conditionalFormatting>
  <conditionalFormatting sqref="AE204:AF206">
    <cfRule type="cellIs" dxfId="3312" priority="1870" stopIfTrue="1" operator="lessThan">
      <formula>0</formula>
    </cfRule>
  </conditionalFormatting>
  <conditionalFormatting sqref="AE207:AF207">
    <cfRule type="cellIs" dxfId="3311" priority="1869" stopIfTrue="1" operator="lessThan">
      <formula>0</formula>
    </cfRule>
  </conditionalFormatting>
  <conditionalFormatting sqref="AE208:AF210">
    <cfRule type="cellIs" dxfId="3310" priority="1868" stopIfTrue="1" operator="lessThan">
      <formula>0</formula>
    </cfRule>
  </conditionalFormatting>
  <conditionalFormatting sqref="AE211:AF213">
    <cfRule type="cellIs" dxfId="3309" priority="1867" stopIfTrue="1" operator="lessThan">
      <formula>0</formula>
    </cfRule>
  </conditionalFormatting>
  <conditionalFormatting sqref="AE214:AF216">
    <cfRule type="cellIs" dxfId="3308" priority="1866" stopIfTrue="1" operator="lessThan">
      <formula>0</formula>
    </cfRule>
  </conditionalFormatting>
  <conditionalFormatting sqref="AE217:AF217">
    <cfRule type="cellIs" dxfId="3307" priority="1865" stopIfTrue="1" operator="lessThan">
      <formula>0</formula>
    </cfRule>
  </conditionalFormatting>
  <conditionalFormatting sqref="AE218:AF218 AE219:AE220">
    <cfRule type="cellIs" dxfId="3306" priority="1864" stopIfTrue="1" operator="lessThan">
      <formula>0</formula>
    </cfRule>
  </conditionalFormatting>
  <conditionalFormatting sqref="AE221:AE223">
    <cfRule type="cellIs" dxfId="3305" priority="1863" stopIfTrue="1" operator="lessThan">
      <formula>0</formula>
    </cfRule>
  </conditionalFormatting>
  <conditionalFormatting sqref="AE224:AE226">
    <cfRule type="cellIs" dxfId="3304" priority="1862" stopIfTrue="1" operator="lessThan">
      <formula>0</formula>
    </cfRule>
  </conditionalFormatting>
  <conditionalFormatting sqref="AE227">
    <cfRule type="cellIs" dxfId="3303" priority="1861" stopIfTrue="1" operator="lessThan">
      <formula>0</formula>
    </cfRule>
  </conditionalFormatting>
  <conditionalFormatting sqref="AE228:AE230">
    <cfRule type="cellIs" dxfId="3302" priority="1860" stopIfTrue="1" operator="lessThan">
      <formula>0</formula>
    </cfRule>
  </conditionalFormatting>
  <conditionalFormatting sqref="AE231:AE233">
    <cfRule type="cellIs" dxfId="3301" priority="1859" stopIfTrue="1" operator="lessThan">
      <formula>0</formula>
    </cfRule>
  </conditionalFormatting>
  <conditionalFormatting sqref="AE234:AE236">
    <cfRule type="cellIs" dxfId="3300" priority="1858" stopIfTrue="1" operator="lessThan">
      <formula>0</formula>
    </cfRule>
  </conditionalFormatting>
  <conditionalFormatting sqref="AE237">
    <cfRule type="cellIs" dxfId="3299" priority="1857" stopIfTrue="1" operator="lessThan">
      <formula>0</formula>
    </cfRule>
  </conditionalFormatting>
  <conditionalFormatting sqref="AE238:AE240">
    <cfRule type="cellIs" dxfId="3298" priority="1856" stopIfTrue="1" operator="lessThan">
      <formula>0</formula>
    </cfRule>
  </conditionalFormatting>
  <conditionalFormatting sqref="AE241:AE243">
    <cfRule type="cellIs" dxfId="3297" priority="1855" stopIfTrue="1" operator="lessThan">
      <formula>0</formula>
    </cfRule>
  </conditionalFormatting>
  <conditionalFormatting sqref="AE244:AE246">
    <cfRule type="cellIs" dxfId="3296" priority="1854" stopIfTrue="1" operator="lessThan">
      <formula>0</formula>
    </cfRule>
  </conditionalFormatting>
  <conditionalFormatting sqref="AE247">
    <cfRule type="cellIs" dxfId="3295" priority="1853" stopIfTrue="1" operator="lessThan">
      <formula>0</formula>
    </cfRule>
  </conditionalFormatting>
  <conditionalFormatting sqref="AE248:AE250">
    <cfRule type="cellIs" dxfId="3294" priority="1852" stopIfTrue="1" operator="lessThan">
      <formula>0</formula>
    </cfRule>
  </conditionalFormatting>
  <conditionalFormatting sqref="AE251:AE253">
    <cfRule type="cellIs" dxfId="3293" priority="1851" stopIfTrue="1" operator="lessThan">
      <formula>0</formula>
    </cfRule>
  </conditionalFormatting>
  <conditionalFormatting sqref="AE254:AE256">
    <cfRule type="cellIs" dxfId="3292" priority="1850" stopIfTrue="1" operator="lessThan">
      <formula>0</formula>
    </cfRule>
  </conditionalFormatting>
  <conditionalFormatting sqref="AE257">
    <cfRule type="cellIs" dxfId="3291" priority="1849" stopIfTrue="1" operator="lessThan">
      <formula>0</formula>
    </cfRule>
  </conditionalFormatting>
  <conditionalFormatting sqref="AE258:AE260">
    <cfRule type="cellIs" dxfId="3290" priority="1848" stopIfTrue="1" operator="lessThan">
      <formula>0</formula>
    </cfRule>
  </conditionalFormatting>
  <conditionalFormatting sqref="AE261">
    <cfRule type="cellIs" dxfId="3289" priority="1847" stopIfTrue="1" operator="lessThan">
      <formula>0</formula>
    </cfRule>
  </conditionalFormatting>
  <conditionalFormatting sqref="AE262:AE264">
    <cfRule type="cellIs" dxfId="3288" priority="1846" stopIfTrue="1" operator="lessThan">
      <formula>0</formula>
    </cfRule>
  </conditionalFormatting>
  <conditionalFormatting sqref="AE265">
    <cfRule type="cellIs" dxfId="3287" priority="1845" stopIfTrue="1" operator="lessThan">
      <formula>0</formula>
    </cfRule>
  </conditionalFormatting>
  <conditionalFormatting sqref="AE266">
    <cfRule type="cellIs" dxfId="3286" priority="1844" stopIfTrue="1" operator="lessThan">
      <formula>0</formula>
    </cfRule>
  </conditionalFormatting>
  <conditionalFormatting sqref="AE176:AF176 AE174:AE175">
    <cfRule type="cellIs" dxfId="3285" priority="1843" stopIfTrue="1" operator="lessThan">
      <formula>0</formula>
    </cfRule>
  </conditionalFormatting>
  <conditionalFormatting sqref="AE271:AF271">
    <cfRule type="cellIs" dxfId="3284" priority="1842" stopIfTrue="1" operator="lessThan">
      <formula>0</formula>
    </cfRule>
  </conditionalFormatting>
  <conditionalFormatting sqref="AE272:AF274">
    <cfRule type="cellIs" dxfId="3283" priority="1841" stopIfTrue="1" operator="lessThan">
      <formula>0</formula>
    </cfRule>
  </conditionalFormatting>
  <conditionalFormatting sqref="AE275:AF275">
    <cfRule type="cellIs" dxfId="3282" priority="1840" stopIfTrue="1" operator="lessThan">
      <formula>0</formula>
    </cfRule>
  </conditionalFormatting>
  <conditionalFormatting sqref="AE276:AF278">
    <cfRule type="cellIs" dxfId="3281" priority="1839" stopIfTrue="1" operator="lessThan">
      <formula>0</formula>
    </cfRule>
  </conditionalFormatting>
  <conditionalFormatting sqref="AE279:AF279">
    <cfRule type="cellIs" dxfId="3280" priority="1838" stopIfTrue="1" operator="lessThan">
      <formula>0</formula>
    </cfRule>
  </conditionalFormatting>
  <conditionalFormatting sqref="AE280:AF282">
    <cfRule type="cellIs" dxfId="3279" priority="1837" stopIfTrue="1" operator="lessThan">
      <formula>0</formula>
    </cfRule>
  </conditionalFormatting>
  <conditionalFormatting sqref="AE283">
    <cfRule type="cellIs" dxfId="3278" priority="1836" stopIfTrue="1" operator="lessThan">
      <formula>0</formula>
    </cfRule>
  </conditionalFormatting>
  <conditionalFormatting sqref="AE284">
    <cfRule type="cellIs" dxfId="3277" priority="1835" stopIfTrue="1" operator="lessThan">
      <formula>0</formula>
    </cfRule>
  </conditionalFormatting>
  <conditionalFormatting sqref="AE288">
    <cfRule type="cellIs" dxfId="3276" priority="1834" stopIfTrue="1" operator="lessThan">
      <formula>0</formula>
    </cfRule>
  </conditionalFormatting>
  <conditionalFormatting sqref="AE291:AE292">
    <cfRule type="cellIs" dxfId="3275" priority="1833" stopIfTrue="1" operator="lessThan">
      <formula>0</formula>
    </cfRule>
  </conditionalFormatting>
  <conditionalFormatting sqref="AE294:AE296">
    <cfRule type="cellIs" dxfId="3274" priority="1832" stopIfTrue="1" operator="lessThan">
      <formula>0</formula>
    </cfRule>
  </conditionalFormatting>
  <conditionalFormatting sqref="AE297">
    <cfRule type="cellIs" dxfId="3273" priority="1831" stopIfTrue="1" operator="lessThan">
      <formula>0</formula>
    </cfRule>
  </conditionalFormatting>
  <conditionalFormatting sqref="AE298">
    <cfRule type="cellIs" dxfId="3272" priority="1830" stopIfTrue="1" operator="lessThan">
      <formula>0</formula>
    </cfRule>
  </conditionalFormatting>
  <conditionalFormatting sqref="AE299:AE301">
    <cfRule type="cellIs" dxfId="3271" priority="1829" stopIfTrue="1" operator="lessThan">
      <formula>0</formula>
    </cfRule>
  </conditionalFormatting>
  <conditionalFormatting sqref="AE302">
    <cfRule type="cellIs" dxfId="3270" priority="1828" stopIfTrue="1" operator="lessThan">
      <formula>0</formula>
    </cfRule>
  </conditionalFormatting>
  <conditionalFormatting sqref="AE303">
    <cfRule type="cellIs" dxfId="3269" priority="1827" stopIfTrue="1" operator="lessThan">
      <formula>0</formula>
    </cfRule>
  </conditionalFormatting>
  <conditionalFormatting sqref="AE304:AE306">
    <cfRule type="cellIs" dxfId="3268" priority="1826" stopIfTrue="1" operator="lessThan">
      <formula>0</formula>
    </cfRule>
  </conditionalFormatting>
  <conditionalFormatting sqref="AE307">
    <cfRule type="cellIs" dxfId="3267" priority="1825" stopIfTrue="1" operator="lessThan">
      <formula>0</formula>
    </cfRule>
  </conditionalFormatting>
  <conditionalFormatting sqref="AE308">
    <cfRule type="cellIs" dxfId="3266" priority="1824" stopIfTrue="1" operator="lessThan">
      <formula>0</formula>
    </cfRule>
  </conditionalFormatting>
  <conditionalFormatting sqref="AE309:AE311">
    <cfRule type="cellIs" dxfId="3265" priority="1823" stopIfTrue="1" operator="lessThan">
      <formula>0</formula>
    </cfRule>
  </conditionalFormatting>
  <conditionalFormatting sqref="AE312">
    <cfRule type="cellIs" dxfId="3264" priority="1822" stopIfTrue="1" operator="lessThan">
      <formula>0</formula>
    </cfRule>
  </conditionalFormatting>
  <conditionalFormatting sqref="AE313">
    <cfRule type="cellIs" dxfId="3263" priority="1821" stopIfTrue="1" operator="lessThan">
      <formula>0</formula>
    </cfRule>
  </conditionalFormatting>
  <conditionalFormatting sqref="AE314:AE316">
    <cfRule type="cellIs" dxfId="3262" priority="1820" stopIfTrue="1" operator="lessThan">
      <formula>0</formula>
    </cfRule>
  </conditionalFormatting>
  <conditionalFormatting sqref="AE317">
    <cfRule type="cellIs" dxfId="3261" priority="1819" stopIfTrue="1" operator="lessThan">
      <formula>0</formula>
    </cfRule>
  </conditionalFormatting>
  <conditionalFormatting sqref="AE318">
    <cfRule type="cellIs" dxfId="3260" priority="1818" stopIfTrue="1" operator="lessThan">
      <formula>0</formula>
    </cfRule>
  </conditionalFormatting>
  <conditionalFormatting sqref="AE319:AE321">
    <cfRule type="cellIs" dxfId="3259" priority="1817" stopIfTrue="1" operator="lessThan">
      <formula>0</formula>
    </cfRule>
  </conditionalFormatting>
  <conditionalFormatting sqref="AE322:AF322">
    <cfRule type="cellIs" dxfId="3258" priority="1816" stopIfTrue="1" operator="lessThan">
      <formula>0</formula>
    </cfRule>
  </conditionalFormatting>
  <conditionalFormatting sqref="AE323">
    <cfRule type="cellIs" dxfId="3257" priority="1815" stopIfTrue="1" operator="lessThan">
      <formula>0</formula>
    </cfRule>
  </conditionalFormatting>
  <conditionalFormatting sqref="AE324:AE326">
    <cfRule type="cellIs" dxfId="3256" priority="1814" stopIfTrue="1" operator="lessThan">
      <formula>0</formula>
    </cfRule>
  </conditionalFormatting>
  <conditionalFormatting sqref="AE327:AF327">
    <cfRule type="cellIs" dxfId="3255" priority="1813" stopIfTrue="1" operator="lessThan">
      <formula>0</formula>
    </cfRule>
  </conditionalFormatting>
  <conditionalFormatting sqref="AE328:AF328">
    <cfRule type="cellIs" dxfId="3254" priority="1812" stopIfTrue="1" operator="lessThan">
      <formula>0</formula>
    </cfRule>
  </conditionalFormatting>
  <conditionalFormatting sqref="AE329:AF330 AE331">
    <cfRule type="cellIs" dxfId="3253" priority="1811" stopIfTrue="1" operator="lessThan">
      <formula>0</formula>
    </cfRule>
  </conditionalFormatting>
  <conditionalFormatting sqref="AE332">
    <cfRule type="cellIs" dxfId="3252" priority="1810" stopIfTrue="1" operator="lessThan">
      <formula>0</formula>
    </cfRule>
  </conditionalFormatting>
  <conditionalFormatting sqref="AE333">
    <cfRule type="cellIs" dxfId="3251" priority="1809" stopIfTrue="1" operator="lessThan">
      <formula>0</formula>
    </cfRule>
  </conditionalFormatting>
  <conditionalFormatting sqref="AE334:AE335">
    <cfRule type="cellIs" dxfId="3250" priority="1808" stopIfTrue="1" operator="lessThan">
      <formula>0</formula>
    </cfRule>
  </conditionalFormatting>
  <conditionalFormatting sqref="AE338">
    <cfRule type="cellIs" dxfId="3249" priority="1806" stopIfTrue="1" operator="lessThan">
      <formula>0</formula>
    </cfRule>
  </conditionalFormatting>
  <conditionalFormatting sqref="AE339:AE341">
    <cfRule type="cellIs" dxfId="3248" priority="1805" stopIfTrue="1" operator="lessThan">
      <formula>0</formula>
    </cfRule>
  </conditionalFormatting>
  <conditionalFormatting sqref="AE342">
    <cfRule type="cellIs" dxfId="3247" priority="1804" stopIfTrue="1" operator="lessThan">
      <formula>0</formula>
    </cfRule>
  </conditionalFormatting>
  <conditionalFormatting sqref="AE343">
    <cfRule type="cellIs" dxfId="3246" priority="1803" stopIfTrue="1" operator="lessThan">
      <formula>0</formula>
    </cfRule>
  </conditionalFormatting>
  <conditionalFormatting sqref="AE344:AF345 AE346">
    <cfRule type="cellIs" dxfId="3245" priority="1802" stopIfTrue="1" operator="lessThan">
      <formula>0</formula>
    </cfRule>
  </conditionalFormatting>
  <conditionalFormatting sqref="AE347">
    <cfRule type="cellIs" dxfId="3244" priority="1801" stopIfTrue="1" operator="lessThan">
      <formula>0</formula>
    </cfRule>
  </conditionalFormatting>
  <conditionalFormatting sqref="AE348">
    <cfRule type="cellIs" dxfId="3243" priority="1800" stopIfTrue="1" operator="lessThan">
      <formula>0</formula>
    </cfRule>
  </conditionalFormatting>
  <conditionalFormatting sqref="AE349:AE351">
    <cfRule type="cellIs" dxfId="3242" priority="1799" stopIfTrue="1" operator="lessThan">
      <formula>0</formula>
    </cfRule>
  </conditionalFormatting>
  <conditionalFormatting sqref="AE352">
    <cfRule type="cellIs" dxfId="3241" priority="1798" stopIfTrue="1" operator="lessThan">
      <formula>0</formula>
    </cfRule>
  </conditionalFormatting>
  <conditionalFormatting sqref="AE353">
    <cfRule type="cellIs" dxfId="3240" priority="1797" stopIfTrue="1" operator="lessThan">
      <formula>0</formula>
    </cfRule>
  </conditionalFormatting>
  <conditionalFormatting sqref="AE354:AE356">
    <cfRule type="cellIs" dxfId="3239" priority="1796" stopIfTrue="1" operator="lessThan">
      <formula>0</formula>
    </cfRule>
  </conditionalFormatting>
  <conditionalFormatting sqref="AE357">
    <cfRule type="cellIs" dxfId="3238" priority="1795" stopIfTrue="1" operator="lessThan">
      <formula>0</formula>
    </cfRule>
  </conditionalFormatting>
  <conditionalFormatting sqref="AE358">
    <cfRule type="cellIs" dxfId="3237" priority="1794" stopIfTrue="1" operator="lessThan">
      <formula>0</formula>
    </cfRule>
  </conditionalFormatting>
  <conditionalFormatting sqref="AE359">
    <cfRule type="cellIs" dxfId="3236" priority="1793" stopIfTrue="1" operator="lessThan">
      <formula>0</formula>
    </cfRule>
  </conditionalFormatting>
  <conditionalFormatting sqref="AE360:AE362">
    <cfRule type="cellIs" dxfId="3235" priority="1792" stopIfTrue="1" operator="lessThan">
      <formula>0</formula>
    </cfRule>
  </conditionalFormatting>
  <conditionalFormatting sqref="AE363">
    <cfRule type="cellIs" dxfId="3234" priority="1791" stopIfTrue="1" operator="lessThan">
      <formula>0</formula>
    </cfRule>
  </conditionalFormatting>
  <conditionalFormatting sqref="AE364">
    <cfRule type="cellIs" dxfId="3233" priority="1790" stopIfTrue="1" operator="lessThan">
      <formula>0</formula>
    </cfRule>
  </conditionalFormatting>
  <conditionalFormatting sqref="AE365">
    <cfRule type="cellIs" dxfId="3232" priority="1789" stopIfTrue="1" operator="lessThan">
      <formula>0</formula>
    </cfRule>
  </conditionalFormatting>
  <conditionalFormatting sqref="AE366:AE368">
    <cfRule type="cellIs" dxfId="3231" priority="1788" stopIfTrue="1" operator="lessThan">
      <formula>0</formula>
    </cfRule>
  </conditionalFormatting>
  <conditionalFormatting sqref="AE369">
    <cfRule type="cellIs" dxfId="3230" priority="1787" stopIfTrue="1" operator="lessThan">
      <formula>0</formula>
    </cfRule>
  </conditionalFormatting>
  <conditionalFormatting sqref="AE370">
    <cfRule type="cellIs" dxfId="3229" priority="1786" stopIfTrue="1" operator="lessThan">
      <formula>0</formula>
    </cfRule>
  </conditionalFormatting>
  <conditionalFormatting sqref="AE371">
    <cfRule type="cellIs" dxfId="3228" priority="1785" stopIfTrue="1" operator="lessThan">
      <formula>0</formula>
    </cfRule>
  </conditionalFormatting>
  <conditionalFormatting sqref="AE372:AE374">
    <cfRule type="cellIs" dxfId="3227" priority="1784" stopIfTrue="1" operator="lessThan">
      <formula>0</formula>
    </cfRule>
  </conditionalFormatting>
  <conditionalFormatting sqref="AE375">
    <cfRule type="cellIs" dxfId="3226" priority="1783" stopIfTrue="1" operator="lessThan">
      <formula>0</formula>
    </cfRule>
  </conditionalFormatting>
  <conditionalFormatting sqref="AE376">
    <cfRule type="cellIs" dxfId="3225" priority="1782" stopIfTrue="1" operator="lessThan">
      <formula>0</formula>
    </cfRule>
  </conditionalFormatting>
  <conditionalFormatting sqref="AE377">
    <cfRule type="cellIs" dxfId="3224" priority="1781" stopIfTrue="1" operator="lessThan">
      <formula>0</formula>
    </cfRule>
  </conditionalFormatting>
  <conditionalFormatting sqref="AE378:AE380">
    <cfRule type="cellIs" dxfId="3223" priority="1780" stopIfTrue="1" operator="lessThan">
      <formula>0</formula>
    </cfRule>
  </conditionalFormatting>
  <conditionalFormatting sqref="AE381">
    <cfRule type="cellIs" dxfId="3222" priority="1779" stopIfTrue="1" operator="lessThan">
      <formula>0</formula>
    </cfRule>
  </conditionalFormatting>
  <conditionalFormatting sqref="AE382">
    <cfRule type="cellIs" dxfId="3221" priority="1778" stopIfTrue="1" operator="lessThan">
      <formula>0</formula>
    </cfRule>
  </conditionalFormatting>
  <conditionalFormatting sqref="AE384:AF384">
    <cfRule type="cellIs" dxfId="3220" priority="1777" stopIfTrue="1" operator="lessThan">
      <formula>0</formula>
    </cfRule>
  </conditionalFormatting>
  <conditionalFormatting sqref="AE385:AF385">
    <cfRule type="cellIs" dxfId="3219" priority="1776" stopIfTrue="1" operator="lessThan">
      <formula>0</formula>
    </cfRule>
  </conditionalFormatting>
  <conditionalFormatting sqref="AE386:AF388">
    <cfRule type="cellIs" dxfId="3218" priority="1775" stopIfTrue="1" operator="lessThan">
      <formula>0</formula>
    </cfRule>
  </conditionalFormatting>
  <conditionalFormatting sqref="AE389:AF389">
    <cfRule type="cellIs" dxfId="3217" priority="1774" stopIfTrue="1" operator="lessThan">
      <formula>0</formula>
    </cfRule>
  </conditionalFormatting>
  <conditionalFormatting sqref="AE390:AF401">
    <cfRule type="cellIs" dxfId="3216" priority="1773" stopIfTrue="1" operator="lessThan">
      <formula>0</formula>
    </cfRule>
  </conditionalFormatting>
  <conditionalFormatting sqref="AE410:AF414 AE417:AF436 AE415:AE416">
    <cfRule type="cellIs" dxfId="3215" priority="1772" stopIfTrue="1" operator="lessThan">
      <formula>0</formula>
    </cfRule>
  </conditionalFormatting>
  <conditionalFormatting sqref="AE442:AF552 AE556:AF558 AE562:AF565 AE585:AF594 AE598:AF600 AE581:AF581 AE570:AF570 AE566:AE569 AE574:AE580">
    <cfRule type="cellIs" dxfId="3214" priority="1771" stopIfTrue="1" operator="lessThan">
      <formula>0</formula>
    </cfRule>
  </conditionalFormatting>
  <conditionalFormatting sqref="AE553:AF555">
    <cfRule type="cellIs" dxfId="3213" priority="1770" stopIfTrue="1" operator="lessThan">
      <formula>0</formula>
    </cfRule>
  </conditionalFormatting>
  <conditionalFormatting sqref="AE559:AF561">
    <cfRule type="cellIs" dxfId="3212" priority="1769" stopIfTrue="1" operator="lessThan">
      <formula>0</formula>
    </cfRule>
  </conditionalFormatting>
  <conditionalFormatting sqref="AE582:AF584">
    <cfRule type="cellIs" dxfId="3211" priority="1768" stopIfTrue="1" operator="lessThan">
      <formula>0</formula>
    </cfRule>
  </conditionalFormatting>
  <conditionalFormatting sqref="AE571:AE573">
    <cfRule type="cellIs" dxfId="3210" priority="1767" stopIfTrue="1" operator="lessThan">
      <formula>0</formula>
    </cfRule>
  </conditionalFormatting>
  <conditionalFormatting sqref="AE595:AF597">
    <cfRule type="cellIs" dxfId="3209" priority="1766" stopIfTrue="1" operator="lessThan">
      <formula>0</formula>
    </cfRule>
  </conditionalFormatting>
  <conditionalFormatting sqref="AE602:AF603 AE604">
    <cfRule type="cellIs" dxfId="3208" priority="1765" stopIfTrue="1" operator="lessThan">
      <formula>0</formula>
    </cfRule>
  </conditionalFormatting>
  <conditionalFormatting sqref="AE605:AF605">
    <cfRule type="cellIs" dxfId="3207" priority="1764" stopIfTrue="1" operator="lessThan">
      <formula>0</formula>
    </cfRule>
  </conditionalFormatting>
  <conditionalFormatting sqref="AE606:AF607 AE608">
    <cfRule type="cellIs" dxfId="3206" priority="1763" stopIfTrue="1" operator="lessThan">
      <formula>0</formula>
    </cfRule>
  </conditionalFormatting>
  <conditionalFormatting sqref="AE609:AF609">
    <cfRule type="cellIs" dxfId="3205" priority="1762" stopIfTrue="1" operator="lessThan">
      <formula>0</formula>
    </cfRule>
  </conditionalFormatting>
  <conditionalFormatting sqref="AE610:AF612">
    <cfRule type="cellIs" dxfId="3204" priority="1761" stopIfTrue="1" operator="lessThan">
      <formula>0</formula>
    </cfRule>
  </conditionalFormatting>
  <conditionalFormatting sqref="AE613:AF613">
    <cfRule type="cellIs" dxfId="3203" priority="1760" stopIfTrue="1" operator="lessThan">
      <formula>0</formula>
    </cfRule>
  </conditionalFormatting>
  <conditionalFormatting sqref="AE614:AF616">
    <cfRule type="cellIs" dxfId="3202" priority="1759" stopIfTrue="1" operator="lessThan">
      <formula>0</formula>
    </cfRule>
  </conditionalFormatting>
  <conditionalFormatting sqref="AE617:AF617">
    <cfRule type="cellIs" dxfId="3201" priority="1758" stopIfTrue="1" operator="lessThan">
      <formula>0</formula>
    </cfRule>
  </conditionalFormatting>
  <conditionalFormatting sqref="AE618:AF620">
    <cfRule type="cellIs" dxfId="3200" priority="1757" stopIfTrue="1" operator="lessThan">
      <formula>0</formula>
    </cfRule>
  </conditionalFormatting>
  <conditionalFormatting sqref="AE621:AF621">
    <cfRule type="cellIs" dxfId="3199" priority="1756" stopIfTrue="1" operator="lessThan">
      <formula>0</formula>
    </cfRule>
  </conditionalFormatting>
  <conditionalFormatting sqref="AE622:AF624">
    <cfRule type="cellIs" dxfId="3198" priority="1755" stopIfTrue="1" operator="lessThan">
      <formula>0</formula>
    </cfRule>
  </conditionalFormatting>
  <conditionalFormatting sqref="AE625:AF625">
    <cfRule type="cellIs" dxfId="3197" priority="1754" stopIfTrue="1" operator="lessThan">
      <formula>0</formula>
    </cfRule>
  </conditionalFormatting>
  <conditionalFormatting sqref="AE626:AF628">
    <cfRule type="cellIs" dxfId="3196" priority="1753" stopIfTrue="1" operator="lessThan">
      <formula>0</formula>
    </cfRule>
  </conditionalFormatting>
  <conditionalFormatting sqref="AE629:AF629">
    <cfRule type="cellIs" dxfId="3195" priority="1752" stopIfTrue="1" operator="lessThan">
      <formula>0</formula>
    </cfRule>
  </conditionalFormatting>
  <conditionalFormatting sqref="AE630:AF632">
    <cfRule type="cellIs" dxfId="3194" priority="1751" stopIfTrue="1" operator="lessThan">
      <formula>0</formula>
    </cfRule>
  </conditionalFormatting>
  <conditionalFormatting sqref="AE633:AF633">
    <cfRule type="cellIs" dxfId="3193" priority="1750" stopIfTrue="1" operator="lessThan">
      <formula>0</formula>
    </cfRule>
  </conditionalFormatting>
  <conditionalFormatting sqref="AE634:AF636">
    <cfRule type="cellIs" dxfId="3192" priority="1749" stopIfTrue="1" operator="lessThan">
      <formula>0</formula>
    </cfRule>
  </conditionalFormatting>
  <conditionalFormatting sqref="AE637:AF637">
    <cfRule type="cellIs" dxfId="3191" priority="1748" stopIfTrue="1" operator="lessThan">
      <formula>0</formula>
    </cfRule>
  </conditionalFormatting>
  <conditionalFormatting sqref="AE638:AF639">
    <cfRule type="cellIs" dxfId="3190" priority="1747" stopIfTrue="1" operator="lessThan">
      <formula>0</formula>
    </cfRule>
  </conditionalFormatting>
  <conditionalFormatting sqref="AE641:AF641">
    <cfRule type="cellIs" dxfId="3189" priority="1746" stopIfTrue="1" operator="lessThan">
      <formula>0</formula>
    </cfRule>
  </conditionalFormatting>
  <conditionalFormatting sqref="AE642:AF644">
    <cfRule type="cellIs" dxfId="3188" priority="1745" stopIfTrue="1" operator="lessThan">
      <formula>0</formula>
    </cfRule>
  </conditionalFormatting>
  <conditionalFormatting sqref="AE645:AF645">
    <cfRule type="cellIs" dxfId="3187" priority="1744" stopIfTrue="1" operator="lessThan">
      <formula>0</formula>
    </cfRule>
  </conditionalFormatting>
  <conditionalFormatting sqref="AE646:AF648">
    <cfRule type="cellIs" dxfId="3186" priority="1743" stopIfTrue="1" operator="lessThan">
      <formula>0</formula>
    </cfRule>
  </conditionalFormatting>
  <conditionalFormatting sqref="AE649:AF649">
    <cfRule type="cellIs" dxfId="3185" priority="1742" stopIfTrue="1" operator="lessThan">
      <formula>0</formula>
    </cfRule>
  </conditionalFormatting>
  <conditionalFormatting sqref="AE650:AF651">
    <cfRule type="cellIs" dxfId="3184" priority="1741" stopIfTrue="1" operator="lessThan">
      <formula>0</formula>
    </cfRule>
  </conditionalFormatting>
  <conditionalFormatting sqref="AE652:AF652">
    <cfRule type="cellIs" dxfId="3183" priority="1740" stopIfTrue="1" operator="lessThan">
      <formula>0</formula>
    </cfRule>
  </conditionalFormatting>
  <conditionalFormatting sqref="AE653:AF655">
    <cfRule type="cellIs" dxfId="3182" priority="1739" stopIfTrue="1" operator="lessThan">
      <formula>0</formula>
    </cfRule>
  </conditionalFormatting>
  <conditionalFormatting sqref="AE656:AF656">
    <cfRule type="cellIs" dxfId="3181" priority="1738" stopIfTrue="1" operator="lessThan">
      <formula>0</formula>
    </cfRule>
  </conditionalFormatting>
  <conditionalFormatting sqref="AE657:AF659">
    <cfRule type="cellIs" dxfId="3180" priority="1737" stopIfTrue="1" operator="lessThan">
      <formula>0</formula>
    </cfRule>
  </conditionalFormatting>
  <conditionalFormatting sqref="AE660:AF660">
    <cfRule type="cellIs" dxfId="3179" priority="1736" stopIfTrue="1" operator="lessThan">
      <formula>0</formula>
    </cfRule>
  </conditionalFormatting>
  <conditionalFormatting sqref="AE661:AF662">
    <cfRule type="cellIs" dxfId="3178" priority="1735" stopIfTrue="1" operator="lessThan">
      <formula>0</formula>
    </cfRule>
  </conditionalFormatting>
  <conditionalFormatting sqref="AE663:AF663">
    <cfRule type="cellIs" dxfId="3177" priority="1734" stopIfTrue="1" operator="lessThan">
      <formula>0</formula>
    </cfRule>
  </conditionalFormatting>
  <conditionalFormatting sqref="AE664:AF664">
    <cfRule type="cellIs" dxfId="3176" priority="1733" stopIfTrue="1" operator="lessThan">
      <formula>0</formula>
    </cfRule>
  </conditionalFormatting>
  <conditionalFormatting sqref="AE665:AF666">
    <cfRule type="cellIs" dxfId="3175" priority="1732" stopIfTrue="1" operator="lessThan">
      <formula>0</formula>
    </cfRule>
  </conditionalFormatting>
  <conditionalFormatting sqref="AE668:AF668">
    <cfRule type="cellIs" dxfId="3174" priority="1731" stopIfTrue="1" operator="lessThan">
      <formula>0</formula>
    </cfRule>
  </conditionalFormatting>
  <conditionalFormatting sqref="AE669:AF671">
    <cfRule type="cellIs" dxfId="3173" priority="1730" stopIfTrue="1" operator="lessThan">
      <formula>0</formula>
    </cfRule>
  </conditionalFormatting>
  <conditionalFormatting sqref="AE672:AF672">
    <cfRule type="cellIs" dxfId="3172" priority="1729" stopIfTrue="1" operator="lessThan">
      <formula>0</formula>
    </cfRule>
  </conditionalFormatting>
  <conditionalFormatting sqref="AE673:AF675">
    <cfRule type="cellIs" dxfId="3171" priority="1728" stopIfTrue="1" operator="lessThan">
      <formula>0</formula>
    </cfRule>
  </conditionalFormatting>
  <conditionalFormatting sqref="AE676:AF676">
    <cfRule type="cellIs" dxfId="3170" priority="1727" stopIfTrue="1" operator="lessThan">
      <formula>0</formula>
    </cfRule>
  </conditionalFormatting>
  <conditionalFormatting sqref="AE677:AF678">
    <cfRule type="cellIs" dxfId="3169" priority="1726" stopIfTrue="1" operator="lessThan">
      <formula>0</formula>
    </cfRule>
  </conditionalFormatting>
  <conditionalFormatting sqref="AE679:AF679">
    <cfRule type="cellIs" dxfId="3168" priority="1725" stopIfTrue="1" operator="lessThan">
      <formula>0</formula>
    </cfRule>
  </conditionalFormatting>
  <conditionalFormatting sqref="AE680:AF682">
    <cfRule type="cellIs" dxfId="3167" priority="1724" stopIfTrue="1" operator="lessThan">
      <formula>0</formula>
    </cfRule>
  </conditionalFormatting>
  <conditionalFormatting sqref="AE683:AF683">
    <cfRule type="cellIs" dxfId="3166" priority="1723" stopIfTrue="1" operator="lessThan">
      <formula>0</formula>
    </cfRule>
  </conditionalFormatting>
  <conditionalFormatting sqref="AE684:AF686">
    <cfRule type="cellIs" dxfId="3165" priority="1722" stopIfTrue="1" operator="lessThan">
      <formula>0</formula>
    </cfRule>
  </conditionalFormatting>
  <conditionalFormatting sqref="AE687:AF687">
    <cfRule type="cellIs" dxfId="3164" priority="1721" stopIfTrue="1" operator="lessThan">
      <formula>0</formula>
    </cfRule>
  </conditionalFormatting>
  <conditionalFormatting sqref="AE688:AF689">
    <cfRule type="cellIs" dxfId="3163" priority="1720" stopIfTrue="1" operator="lessThan">
      <formula>0</formula>
    </cfRule>
  </conditionalFormatting>
  <conditionalFormatting sqref="AE690:AF690">
    <cfRule type="cellIs" dxfId="3162" priority="1719" stopIfTrue="1" operator="lessThan">
      <formula>0</formula>
    </cfRule>
  </conditionalFormatting>
  <conditionalFormatting sqref="AE691:AF691">
    <cfRule type="cellIs" dxfId="3161" priority="1718" stopIfTrue="1" operator="lessThan">
      <formula>0</formula>
    </cfRule>
  </conditionalFormatting>
  <conditionalFormatting sqref="AE692:AF693">
    <cfRule type="cellIs" dxfId="3160" priority="1717" stopIfTrue="1" operator="lessThan">
      <formula>0</formula>
    </cfRule>
  </conditionalFormatting>
  <conditionalFormatting sqref="AE694:AF694">
    <cfRule type="cellIs" dxfId="3159" priority="1716" stopIfTrue="1" operator="lessThan">
      <formula>0</formula>
    </cfRule>
  </conditionalFormatting>
  <conditionalFormatting sqref="AE695:AF697">
    <cfRule type="cellIs" dxfId="3158" priority="1715" stopIfTrue="1" operator="lessThan">
      <formula>0</formula>
    </cfRule>
  </conditionalFormatting>
  <conditionalFormatting sqref="AE698:AF698">
    <cfRule type="cellIs" dxfId="3157" priority="1714" stopIfTrue="1" operator="lessThan">
      <formula>0</formula>
    </cfRule>
  </conditionalFormatting>
  <conditionalFormatting sqref="AE699:AF701">
    <cfRule type="cellIs" dxfId="3156" priority="1713" stopIfTrue="1" operator="lessThan">
      <formula>0</formula>
    </cfRule>
  </conditionalFormatting>
  <conditionalFormatting sqref="AE702:AF702">
    <cfRule type="cellIs" dxfId="3155" priority="1712" stopIfTrue="1" operator="lessThan">
      <formula>0</formula>
    </cfRule>
  </conditionalFormatting>
  <conditionalFormatting sqref="AE703:AF704">
    <cfRule type="cellIs" dxfId="3154" priority="1711" stopIfTrue="1" operator="lessThan">
      <formula>0</formula>
    </cfRule>
  </conditionalFormatting>
  <conditionalFormatting sqref="AE705:AF705">
    <cfRule type="cellIs" dxfId="3153" priority="1710" stopIfTrue="1" operator="lessThan">
      <formula>0</formula>
    </cfRule>
  </conditionalFormatting>
  <conditionalFormatting sqref="AE706:AF708">
    <cfRule type="cellIs" dxfId="3152" priority="1709" stopIfTrue="1" operator="lessThan">
      <formula>0</formula>
    </cfRule>
  </conditionalFormatting>
  <conditionalFormatting sqref="AE709:AF709">
    <cfRule type="cellIs" dxfId="3151" priority="1708" stopIfTrue="1" operator="lessThan">
      <formula>0</formula>
    </cfRule>
  </conditionalFormatting>
  <conditionalFormatting sqref="AE710:AF712">
    <cfRule type="cellIs" dxfId="3150" priority="1707" stopIfTrue="1" operator="lessThan">
      <formula>0</formula>
    </cfRule>
  </conditionalFormatting>
  <conditionalFormatting sqref="AE713:AF713">
    <cfRule type="cellIs" dxfId="3149" priority="1706" stopIfTrue="1" operator="lessThan">
      <formula>0</formula>
    </cfRule>
  </conditionalFormatting>
  <conditionalFormatting sqref="AE714:AF715">
    <cfRule type="cellIs" dxfId="3148" priority="1705" stopIfTrue="1" operator="lessThan">
      <formula>0</formula>
    </cfRule>
  </conditionalFormatting>
  <conditionalFormatting sqref="AE716:AF716">
    <cfRule type="cellIs" dxfId="3147" priority="1704" stopIfTrue="1" operator="lessThan">
      <formula>0</formula>
    </cfRule>
  </conditionalFormatting>
  <conditionalFormatting sqref="AE717:AF717">
    <cfRule type="cellIs" dxfId="3146" priority="1703" stopIfTrue="1" operator="lessThan">
      <formula>0</formula>
    </cfRule>
  </conditionalFormatting>
  <conditionalFormatting sqref="AE718:AF719">
    <cfRule type="cellIs" dxfId="3145" priority="1702" stopIfTrue="1" operator="lessThan">
      <formula>0</formula>
    </cfRule>
  </conditionalFormatting>
  <conditionalFormatting sqref="AE720:AF720">
    <cfRule type="cellIs" dxfId="3144" priority="1701" stopIfTrue="1" operator="lessThan">
      <formula>0</formula>
    </cfRule>
  </conditionalFormatting>
  <conditionalFormatting sqref="AE721:AF723">
    <cfRule type="cellIs" dxfId="3143" priority="1700" stopIfTrue="1" operator="lessThan">
      <formula>0</formula>
    </cfRule>
  </conditionalFormatting>
  <conditionalFormatting sqref="AE724:AF724">
    <cfRule type="cellIs" dxfId="3142" priority="1699" stopIfTrue="1" operator="lessThan">
      <formula>0</formula>
    </cfRule>
  </conditionalFormatting>
  <conditionalFormatting sqref="AE725:AF727">
    <cfRule type="cellIs" dxfId="3141" priority="1698" stopIfTrue="1" operator="lessThan">
      <formula>0</formula>
    </cfRule>
  </conditionalFormatting>
  <conditionalFormatting sqref="AE728:AF728">
    <cfRule type="cellIs" dxfId="3140" priority="1697" stopIfTrue="1" operator="lessThan">
      <formula>0</formula>
    </cfRule>
  </conditionalFormatting>
  <conditionalFormatting sqref="AE729:AF730">
    <cfRule type="cellIs" dxfId="3139" priority="1696" stopIfTrue="1" operator="lessThan">
      <formula>0</formula>
    </cfRule>
  </conditionalFormatting>
  <conditionalFormatting sqref="AE731:AF731">
    <cfRule type="cellIs" dxfId="3138" priority="1695" stopIfTrue="1" operator="lessThan">
      <formula>0</formula>
    </cfRule>
  </conditionalFormatting>
  <conditionalFormatting sqref="AE732:AF734">
    <cfRule type="cellIs" dxfId="3137" priority="1694" stopIfTrue="1" operator="lessThan">
      <formula>0</formula>
    </cfRule>
  </conditionalFormatting>
  <conditionalFormatting sqref="AE735:AF735">
    <cfRule type="cellIs" dxfId="3136" priority="1693" stopIfTrue="1" operator="lessThan">
      <formula>0</formula>
    </cfRule>
  </conditionalFormatting>
  <conditionalFormatting sqref="AE736:AF738">
    <cfRule type="cellIs" dxfId="3135" priority="1692" stopIfTrue="1" operator="lessThan">
      <formula>0</formula>
    </cfRule>
  </conditionalFormatting>
  <conditionalFormatting sqref="AE739">
    <cfRule type="cellIs" dxfId="3134" priority="1691" stopIfTrue="1" operator="lessThan">
      <formula>0</formula>
    </cfRule>
  </conditionalFormatting>
  <conditionalFormatting sqref="AE740:AE741">
    <cfRule type="cellIs" dxfId="3133" priority="1690" stopIfTrue="1" operator="lessThan">
      <formula>0</formula>
    </cfRule>
  </conditionalFormatting>
  <conditionalFormatting sqref="AE742:AF742">
    <cfRule type="cellIs" dxfId="3132" priority="1689" stopIfTrue="1" operator="lessThan">
      <formula>0</formula>
    </cfRule>
  </conditionalFormatting>
  <conditionalFormatting sqref="AE743:AF743">
    <cfRule type="cellIs" dxfId="3131" priority="1688" stopIfTrue="1" operator="lessThan">
      <formula>0</formula>
    </cfRule>
  </conditionalFormatting>
  <conditionalFormatting sqref="AE744:AF745">
    <cfRule type="cellIs" dxfId="3130" priority="1687" stopIfTrue="1" operator="lessThan">
      <formula>0</formula>
    </cfRule>
  </conditionalFormatting>
  <conditionalFormatting sqref="AE746:AF746">
    <cfRule type="cellIs" dxfId="3129" priority="1686" stopIfTrue="1" operator="lessThan">
      <formula>0</formula>
    </cfRule>
  </conditionalFormatting>
  <conditionalFormatting sqref="AE747:AF749">
    <cfRule type="cellIs" dxfId="3128" priority="1685" stopIfTrue="1" operator="lessThan">
      <formula>0</formula>
    </cfRule>
  </conditionalFormatting>
  <conditionalFormatting sqref="AE750:AF750">
    <cfRule type="cellIs" dxfId="3127" priority="1684" stopIfTrue="1" operator="lessThan">
      <formula>0</formula>
    </cfRule>
  </conditionalFormatting>
  <conditionalFormatting sqref="AE751:AF753">
    <cfRule type="cellIs" dxfId="3126" priority="1683" stopIfTrue="1" operator="lessThan">
      <formula>0</formula>
    </cfRule>
  </conditionalFormatting>
  <conditionalFormatting sqref="AE754:AF754">
    <cfRule type="cellIs" dxfId="3125" priority="1682" stopIfTrue="1" operator="lessThan">
      <formula>0</formula>
    </cfRule>
  </conditionalFormatting>
  <conditionalFormatting sqref="AE755:AF756">
    <cfRule type="cellIs" dxfId="3124" priority="1681" stopIfTrue="1" operator="lessThan">
      <formula>0</formula>
    </cfRule>
  </conditionalFormatting>
  <conditionalFormatting sqref="AE757:AF757">
    <cfRule type="cellIs" dxfId="3123" priority="1680" stopIfTrue="1" operator="lessThan">
      <formula>0</formula>
    </cfRule>
  </conditionalFormatting>
  <conditionalFormatting sqref="AE758:AF758 AE759">
    <cfRule type="cellIs" dxfId="3122" priority="1679" stopIfTrue="1" operator="lessThan">
      <formula>0</formula>
    </cfRule>
  </conditionalFormatting>
  <conditionalFormatting sqref="AE761">
    <cfRule type="cellIs" dxfId="3121" priority="1678" stopIfTrue="1" operator="lessThan">
      <formula>0</formula>
    </cfRule>
  </conditionalFormatting>
  <conditionalFormatting sqref="AE762:AF764">
    <cfRule type="cellIs" dxfId="3120" priority="1677" stopIfTrue="1" operator="lessThan">
      <formula>0</formula>
    </cfRule>
  </conditionalFormatting>
  <conditionalFormatting sqref="AE765:AF765">
    <cfRule type="cellIs" dxfId="3119" priority="1676" stopIfTrue="1" operator="lessThan">
      <formula>0</formula>
    </cfRule>
  </conditionalFormatting>
  <conditionalFormatting sqref="AE766:AF767">
    <cfRule type="cellIs" dxfId="3118" priority="1675" stopIfTrue="1" operator="lessThan">
      <formula>0</formula>
    </cfRule>
  </conditionalFormatting>
  <conditionalFormatting sqref="AE768:AF768">
    <cfRule type="cellIs" dxfId="3117" priority="1674" stopIfTrue="1" operator="lessThan">
      <formula>0</formula>
    </cfRule>
  </conditionalFormatting>
  <conditionalFormatting sqref="AE769:AF769">
    <cfRule type="cellIs" dxfId="3116" priority="1673" stopIfTrue="1" operator="lessThan">
      <formula>0</formula>
    </cfRule>
  </conditionalFormatting>
  <conditionalFormatting sqref="AE770:AF771">
    <cfRule type="cellIs" dxfId="3115" priority="1672" stopIfTrue="1" operator="lessThan">
      <formula>0</formula>
    </cfRule>
  </conditionalFormatting>
  <conditionalFormatting sqref="AE772:AF772">
    <cfRule type="cellIs" dxfId="3114" priority="1671" stopIfTrue="1" operator="lessThan">
      <formula>0</formula>
    </cfRule>
  </conditionalFormatting>
  <conditionalFormatting sqref="AE773:AF775">
    <cfRule type="cellIs" dxfId="3113" priority="1670" stopIfTrue="1" operator="lessThan">
      <formula>0</formula>
    </cfRule>
  </conditionalFormatting>
  <conditionalFormatting sqref="AE776:AF776">
    <cfRule type="cellIs" dxfId="3112" priority="1669" stopIfTrue="1" operator="lessThan">
      <formula>0</formula>
    </cfRule>
  </conditionalFormatting>
  <conditionalFormatting sqref="AE777:AF779">
    <cfRule type="cellIs" dxfId="3111" priority="1668" stopIfTrue="1" operator="lessThan">
      <formula>0</formula>
    </cfRule>
  </conditionalFormatting>
  <conditionalFormatting sqref="AE780:AF780">
    <cfRule type="cellIs" dxfId="3110" priority="1667" stopIfTrue="1" operator="lessThan">
      <formula>0</formula>
    </cfRule>
  </conditionalFormatting>
  <conditionalFormatting sqref="AE781:AF782">
    <cfRule type="cellIs" dxfId="3109" priority="1666" stopIfTrue="1" operator="lessThan">
      <formula>0</formula>
    </cfRule>
  </conditionalFormatting>
  <conditionalFormatting sqref="AE783:AF783">
    <cfRule type="cellIs" dxfId="3108" priority="1665" stopIfTrue="1" operator="lessThan">
      <formula>0</formula>
    </cfRule>
  </conditionalFormatting>
  <conditionalFormatting sqref="AE784:AF786">
    <cfRule type="cellIs" dxfId="3107" priority="1664" stopIfTrue="1" operator="lessThan">
      <formula>0</formula>
    </cfRule>
  </conditionalFormatting>
  <conditionalFormatting sqref="AE787:AF787">
    <cfRule type="cellIs" dxfId="3106" priority="1663" stopIfTrue="1" operator="lessThan">
      <formula>0</formula>
    </cfRule>
  </conditionalFormatting>
  <conditionalFormatting sqref="AE788:AF790">
    <cfRule type="cellIs" dxfId="3105" priority="1662" stopIfTrue="1" operator="lessThan">
      <formula>0</formula>
    </cfRule>
  </conditionalFormatting>
  <conditionalFormatting sqref="AE791:AF791">
    <cfRule type="cellIs" dxfId="3104" priority="1661" stopIfTrue="1" operator="lessThan">
      <formula>0</formula>
    </cfRule>
  </conditionalFormatting>
  <conditionalFormatting sqref="AE792:AF793">
    <cfRule type="cellIs" dxfId="3103" priority="1660" stopIfTrue="1" operator="lessThan">
      <formula>0</formula>
    </cfRule>
  </conditionalFormatting>
  <conditionalFormatting sqref="AE794:AF794">
    <cfRule type="cellIs" dxfId="3102" priority="1659" stopIfTrue="1" operator="lessThan">
      <formula>0</formula>
    </cfRule>
  </conditionalFormatting>
  <conditionalFormatting sqref="AE795:AF795">
    <cfRule type="cellIs" dxfId="3101" priority="1658" stopIfTrue="1" operator="lessThan">
      <formula>0</formula>
    </cfRule>
  </conditionalFormatting>
  <conditionalFormatting sqref="AE796:AF797">
    <cfRule type="cellIs" dxfId="3100" priority="1657" stopIfTrue="1" operator="lessThan">
      <formula>0</formula>
    </cfRule>
  </conditionalFormatting>
  <conditionalFormatting sqref="AE798:AF798">
    <cfRule type="cellIs" dxfId="3099" priority="1656" stopIfTrue="1" operator="lessThan">
      <formula>0</formula>
    </cfRule>
  </conditionalFormatting>
  <conditionalFormatting sqref="AE799:AF801">
    <cfRule type="cellIs" dxfId="3098" priority="1655" stopIfTrue="1" operator="lessThan">
      <formula>0</formula>
    </cfRule>
  </conditionalFormatting>
  <conditionalFormatting sqref="AE802:AF802">
    <cfRule type="cellIs" dxfId="3097" priority="1654" stopIfTrue="1" operator="lessThan">
      <formula>0</formula>
    </cfRule>
  </conditionalFormatting>
  <conditionalFormatting sqref="AE803:AF805">
    <cfRule type="cellIs" dxfId="3096" priority="1653" stopIfTrue="1" operator="lessThan">
      <formula>0</formula>
    </cfRule>
  </conditionalFormatting>
  <conditionalFormatting sqref="AE806:AF806">
    <cfRule type="cellIs" dxfId="3095" priority="1652" stopIfTrue="1" operator="lessThan">
      <formula>0</formula>
    </cfRule>
  </conditionalFormatting>
  <conditionalFormatting sqref="AE807:AF808">
    <cfRule type="cellIs" dxfId="3094" priority="1651" stopIfTrue="1" operator="lessThan">
      <formula>0</formula>
    </cfRule>
  </conditionalFormatting>
  <conditionalFormatting sqref="AE809:AF809">
    <cfRule type="cellIs" dxfId="3093" priority="1650" stopIfTrue="1" operator="lessThan">
      <formula>0</formula>
    </cfRule>
  </conditionalFormatting>
  <conditionalFormatting sqref="AE810:AF812">
    <cfRule type="cellIs" dxfId="3092" priority="1649" stopIfTrue="1" operator="lessThan">
      <formula>0</formula>
    </cfRule>
  </conditionalFormatting>
  <conditionalFormatting sqref="AE813:AF813">
    <cfRule type="cellIs" dxfId="3091" priority="1648" stopIfTrue="1" operator="lessThan">
      <formula>0</formula>
    </cfRule>
  </conditionalFormatting>
  <conditionalFormatting sqref="AE814:AF816">
    <cfRule type="cellIs" dxfId="3090" priority="1647" stopIfTrue="1" operator="lessThan">
      <formula>0</formula>
    </cfRule>
  </conditionalFormatting>
  <conditionalFormatting sqref="AE817:AF817">
    <cfRule type="cellIs" dxfId="3089" priority="1646" stopIfTrue="1" operator="lessThan">
      <formula>0</formula>
    </cfRule>
  </conditionalFormatting>
  <conditionalFormatting sqref="AE818:AF819">
    <cfRule type="cellIs" dxfId="3088" priority="1645" stopIfTrue="1" operator="lessThan">
      <formula>0</formula>
    </cfRule>
  </conditionalFormatting>
  <conditionalFormatting sqref="AE820:AF820">
    <cfRule type="cellIs" dxfId="3087" priority="1644" stopIfTrue="1" operator="lessThan">
      <formula>0</formula>
    </cfRule>
  </conditionalFormatting>
  <conditionalFormatting sqref="AE821:AF821">
    <cfRule type="cellIs" dxfId="3086" priority="1643" stopIfTrue="1" operator="lessThan">
      <formula>0</formula>
    </cfRule>
  </conditionalFormatting>
  <conditionalFormatting sqref="AE822:AF823">
    <cfRule type="cellIs" dxfId="3085" priority="1642" stopIfTrue="1" operator="lessThan">
      <formula>0</formula>
    </cfRule>
  </conditionalFormatting>
  <conditionalFormatting sqref="AE824:AF824">
    <cfRule type="cellIs" dxfId="3084" priority="1641" stopIfTrue="1" operator="lessThan">
      <formula>0</formula>
    </cfRule>
  </conditionalFormatting>
  <conditionalFormatting sqref="AE825:AF825">
    <cfRule type="cellIs" dxfId="3083" priority="1640" stopIfTrue="1" operator="lessThan">
      <formula>0</formula>
    </cfRule>
  </conditionalFormatting>
  <conditionalFormatting sqref="AE826:AF826">
    <cfRule type="cellIs" dxfId="3082" priority="1639" stopIfTrue="1" operator="lessThan">
      <formula>0</formula>
    </cfRule>
  </conditionalFormatting>
  <conditionalFormatting sqref="AE827:AF828">
    <cfRule type="cellIs" dxfId="3081" priority="1638" stopIfTrue="1" operator="lessThan">
      <formula>0</formula>
    </cfRule>
  </conditionalFormatting>
  <conditionalFormatting sqref="O336:P337">
    <cfRule type="cellIs" dxfId="3080" priority="1637" stopIfTrue="1" operator="lessThan">
      <formula>0</formula>
    </cfRule>
  </conditionalFormatting>
  <conditionalFormatting sqref="Q336:Q337">
    <cfRule type="cellIs" dxfId="3079" priority="1636" stopIfTrue="1" operator="lessThan">
      <formula>0</formula>
    </cfRule>
  </conditionalFormatting>
  <conditionalFormatting sqref="AC336:AD337">
    <cfRule type="cellIs" dxfId="3078" priority="1635" stopIfTrue="1" operator="lessThan">
      <formula>0</formula>
    </cfRule>
  </conditionalFormatting>
  <conditionalFormatting sqref="AE336:AE337">
    <cfRule type="cellIs" dxfId="3077" priority="1634" stopIfTrue="1" operator="lessThan">
      <formula>0</formula>
    </cfRule>
  </conditionalFormatting>
  <conditionalFormatting sqref="AC54:AF69">
    <cfRule type="cellIs" dxfId="3076" priority="1631" stopIfTrue="1" operator="lessThan">
      <formula>0</formula>
    </cfRule>
  </conditionalFormatting>
  <conditionalFormatting sqref="AK6:AM6">
    <cfRule type="cellIs" dxfId="3075" priority="1630" stopIfTrue="1" operator="equal">
      <formula>0</formula>
    </cfRule>
  </conditionalFormatting>
  <conditionalFormatting sqref="D4">
    <cfRule type="cellIs" dxfId="3074" priority="1621" stopIfTrue="1" operator="between">
      <formula>1000000000000</formula>
      <formula>9999999999999990</formula>
    </cfRule>
    <cfRule type="cellIs" dxfId="3073" priority="1622" stopIfTrue="1" operator="between">
      <formula>1000000000</formula>
      <formula>999999999999</formula>
    </cfRule>
    <cfRule type="cellIs" dxfId="3072" priority="1623" stopIfTrue="1" operator="between">
      <formula>10000</formula>
      <formula>99999999</formula>
    </cfRule>
    <cfRule type="cellIs" dxfId="3071" priority="1624" stopIfTrue="1" operator="between">
      <formula>10</formula>
      <formula>9999</formula>
    </cfRule>
  </conditionalFormatting>
  <conditionalFormatting sqref="D4">
    <cfRule type="cellIs" dxfId="3070" priority="1620" operator="equal">
      <formula>0</formula>
    </cfRule>
  </conditionalFormatting>
  <conditionalFormatting sqref="A3:C5">
    <cfRule type="cellIs" dxfId="3069" priority="1618" operator="equal">
      <formula>"Код на общински разпоредител с бюджет"</formula>
    </cfRule>
  </conditionalFormatting>
  <conditionalFormatting sqref="AF739:AF740">
    <cfRule type="cellIs" dxfId="3068" priority="1610" stopIfTrue="1" operator="lessThan">
      <formula>0</formula>
    </cfRule>
  </conditionalFormatting>
  <conditionalFormatting sqref="AF759">
    <cfRule type="cellIs" dxfId="3067" priority="1609" stopIfTrue="1" operator="lessThan">
      <formula>0</formula>
    </cfRule>
  </conditionalFormatting>
  <conditionalFormatting sqref="AF761">
    <cfRule type="cellIs" dxfId="3066" priority="1608" stopIfTrue="1" operator="lessThan">
      <formula>0</formula>
    </cfRule>
  </conditionalFormatting>
  <conditionalFormatting sqref="R739">
    <cfRule type="cellIs" dxfId="3065" priority="1607" stopIfTrue="1" operator="lessThan">
      <formula>0</formula>
    </cfRule>
  </conditionalFormatting>
  <conditionalFormatting sqref="R740">
    <cfRule type="cellIs" dxfId="3064" priority="1606" stopIfTrue="1" operator="lessThan">
      <formula>0</formula>
    </cfRule>
  </conditionalFormatting>
  <conditionalFormatting sqref="R741">
    <cfRule type="cellIs" dxfId="3063" priority="1605" stopIfTrue="1" operator="lessThan">
      <formula>0</formula>
    </cfRule>
  </conditionalFormatting>
  <conditionalFormatting sqref="AF741">
    <cfRule type="cellIs" dxfId="3062" priority="1604" stopIfTrue="1" operator="lessThan">
      <formula>0</formula>
    </cfRule>
  </conditionalFormatting>
  <conditionalFormatting sqref="AV13">
    <cfRule type="cellIs" dxfId="3061" priority="1603" operator="notEqual">
      <formula>0</formula>
    </cfRule>
  </conditionalFormatting>
  <conditionalFormatting sqref="AV12">
    <cfRule type="cellIs" dxfId="3060" priority="1602" operator="notEqual">
      <formula>0</formula>
    </cfRule>
  </conditionalFormatting>
  <conditionalFormatting sqref="AV10">
    <cfRule type="cellIs" dxfId="3059" priority="1601" operator="notEqual">
      <formula>0</formula>
    </cfRule>
  </conditionalFormatting>
  <conditionalFormatting sqref="AW13">
    <cfRule type="cellIs" dxfId="3058" priority="1600" operator="notEqual">
      <formula>0</formula>
    </cfRule>
  </conditionalFormatting>
  <conditionalFormatting sqref="AW12">
    <cfRule type="cellIs" dxfId="3057" priority="1599" operator="notEqual">
      <formula>0</formula>
    </cfRule>
  </conditionalFormatting>
  <conditionalFormatting sqref="AW10">
    <cfRule type="cellIs" dxfId="3056" priority="1598" operator="notEqual">
      <formula>0</formula>
    </cfRule>
  </conditionalFormatting>
  <conditionalFormatting sqref="AX13">
    <cfRule type="cellIs" dxfId="3055" priority="1597" operator="notEqual">
      <formula>0</formula>
    </cfRule>
  </conditionalFormatting>
  <conditionalFormatting sqref="AX12">
    <cfRule type="cellIs" dxfId="3054" priority="1596" operator="notEqual">
      <formula>0</formula>
    </cfRule>
  </conditionalFormatting>
  <conditionalFormatting sqref="AX10">
    <cfRule type="cellIs" dxfId="3053" priority="1595" operator="notEqual">
      <formula>0</formula>
    </cfRule>
  </conditionalFormatting>
  <conditionalFormatting sqref="AV8:AX8">
    <cfRule type="cellIs" dxfId="3052" priority="1594" operator="notEqual">
      <formula>0</formula>
    </cfRule>
  </conditionalFormatting>
  <conditionalFormatting sqref="AV16">
    <cfRule type="cellIs" dxfId="3051" priority="1587" operator="equal">
      <formula>1</formula>
    </cfRule>
    <cfRule type="cellIs" dxfId="3050" priority="1588" operator="notEqual">
      <formula>0</formula>
    </cfRule>
  </conditionalFormatting>
  <conditionalFormatting sqref="AV90:AV93">
    <cfRule type="cellIs" dxfId="3049" priority="1585" operator="equal">
      <formula>1</formula>
    </cfRule>
    <cfRule type="cellIs" dxfId="3048" priority="1586" operator="notEqual">
      <formula>0</formula>
    </cfRule>
  </conditionalFormatting>
  <conditionalFormatting sqref="AV179">
    <cfRule type="cellIs" dxfId="3047" priority="1583" operator="equal">
      <formula>1</formula>
    </cfRule>
    <cfRule type="cellIs" dxfId="3046" priority="1584" operator="notEqual">
      <formula>0</formula>
    </cfRule>
  </conditionalFormatting>
  <conditionalFormatting sqref="AV26">
    <cfRule type="cellIs" dxfId="3045" priority="1562" operator="notEqual">
      <formula>0</formula>
    </cfRule>
  </conditionalFormatting>
  <conditionalFormatting sqref="AR27:AT53 X27:AA53 AK27:AN53 AC27:AF53 R27:R53">
    <cfRule type="cellIs" dxfId="3044" priority="1561" stopIfTrue="1" operator="lessThan">
      <formula>0</formula>
    </cfRule>
  </conditionalFormatting>
  <conditionalFormatting sqref="AV27:AV53">
    <cfRule type="cellIs" dxfId="3043" priority="1556" operator="notEqual">
      <formula>0</formula>
    </cfRule>
  </conditionalFormatting>
  <conditionalFormatting sqref="T117">
    <cfRule type="cellIs" dxfId="3042" priority="1516" stopIfTrue="1" operator="lessThan">
      <formula>0</formula>
    </cfRule>
  </conditionalFormatting>
  <conditionalFormatting sqref="T117">
    <cfRule type="expression" dxfId="3041" priority="1513">
      <formula>#REF!&lt;0</formula>
    </cfRule>
    <cfRule type="expression" dxfId="3040" priority="1514">
      <formula>AND($N$4="12",ABS(#REF!+#REF!)&gt;ABS(#REF!+#REF!),#REF!+#REF!&lt;0)</formula>
    </cfRule>
    <cfRule type="expression" dxfId="3039" priority="1515">
      <formula>AND(ABS(#REF!+#REF!)&gt;ABS(#REF!+#REF!),#REF!+#REF!&gt;0)</formula>
    </cfRule>
  </conditionalFormatting>
  <conditionalFormatting sqref="AH115">
    <cfRule type="cellIs" dxfId="3038" priority="1511" stopIfTrue="1" operator="lessThan">
      <formula>0</formula>
    </cfRule>
  </conditionalFormatting>
  <conditionalFormatting sqref="AH115">
    <cfRule type="expression" dxfId="3037" priority="1508">
      <formula>#REF!&lt;0</formula>
    </cfRule>
    <cfRule type="expression" dxfId="3036" priority="1509">
      <formula>AND($N$4="12",ABS(#REF!+#REF!)&gt;ABS(#REF!+#REF!),#REF!+#REF!&lt;0)</formula>
    </cfRule>
    <cfRule type="expression" dxfId="3035" priority="1510">
      <formula>AND(ABS(#REF!+#REF!)&gt;ABS(#REF!+#REF!),#REF!+#REF!&gt;0)</formula>
    </cfRule>
  </conditionalFormatting>
  <conditionalFormatting sqref="AH117">
    <cfRule type="cellIs" dxfId="3034" priority="1507" stopIfTrue="1" operator="lessThan">
      <formula>0</formula>
    </cfRule>
  </conditionalFormatting>
  <conditionalFormatting sqref="AH117">
    <cfRule type="expression" dxfId="3033" priority="1504">
      <formula>#REF!&lt;0</formula>
    </cfRule>
    <cfRule type="expression" dxfId="3032" priority="1505">
      <formula>AND($N$4="12",ABS(#REF!+#REF!)&gt;ABS(#REF!+#REF!),#REF!+#REF!&lt;0)</formula>
    </cfRule>
    <cfRule type="expression" dxfId="3031" priority="1506">
      <formula>AND(ABS(#REF!+#REF!)&gt;ABS(#REF!+#REF!),#REF!+#REF!&gt;0)</formula>
    </cfRule>
  </conditionalFormatting>
  <conditionalFormatting sqref="T115">
    <cfRule type="cellIs" dxfId="3030" priority="1467" stopIfTrue="1" operator="lessThan">
      <formula>0</formula>
    </cfRule>
  </conditionalFormatting>
  <conditionalFormatting sqref="T115">
    <cfRule type="expression" dxfId="3029" priority="1464">
      <formula>#REF!&lt;0</formula>
    </cfRule>
    <cfRule type="expression" dxfId="3028" priority="1465">
      <formula>AND($N$4="12",ABS(#REF!+#REF!)&gt;ABS(#REF!+#REF!),#REF!+#REF!&lt;0)</formula>
    </cfRule>
    <cfRule type="expression" dxfId="3027" priority="1466">
      <formula>AND(ABS(#REF!+#REF!)&gt;ABS(#REF!+#REF!),#REF!+#REF!&gt;0)</formula>
    </cfRule>
  </conditionalFormatting>
  <conditionalFormatting sqref="R56">
    <cfRule type="cellIs" dxfId="3026" priority="1455" stopIfTrue="1" operator="lessThan">
      <formula>0</formula>
    </cfRule>
  </conditionalFormatting>
  <conditionalFormatting sqref="R57:R59">
    <cfRule type="cellIs" dxfId="3025" priority="1450" stopIfTrue="1" operator="lessThan">
      <formula>0</formula>
    </cfRule>
  </conditionalFormatting>
  <conditionalFormatting sqref="R62:R69">
    <cfRule type="cellIs" dxfId="3024" priority="1445" stopIfTrue="1" operator="lessThan">
      <formula>0</formula>
    </cfRule>
  </conditionalFormatting>
  <conditionalFormatting sqref="R114">
    <cfRule type="cellIs" dxfId="3023" priority="1440" stopIfTrue="1" operator="lessThan">
      <formula>0</formula>
    </cfRule>
  </conditionalFormatting>
  <conditionalFormatting sqref="R132:R133">
    <cfRule type="cellIs" dxfId="3022" priority="1405" stopIfTrue="1" operator="lessThan">
      <formula>0</formula>
    </cfRule>
  </conditionalFormatting>
  <conditionalFormatting sqref="R118">
    <cfRule type="cellIs" dxfId="3021" priority="1430" stopIfTrue="1" operator="lessThan">
      <formula>0</formula>
    </cfRule>
  </conditionalFormatting>
  <conditionalFormatting sqref="R122">
    <cfRule type="cellIs" dxfId="3020" priority="1425" stopIfTrue="1" operator="lessThan">
      <formula>0</formula>
    </cfRule>
  </conditionalFormatting>
  <conditionalFormatting sqref="R125">
    <cfRule type="cellIs" dxfId="3019" priority="1420" stopIfTrue="1" operator="lessThan">
      <formula>0</formula>
    </cfRule>
  </conditionalFormatting>
  <conditionalFormatting sqref="R127:R128">
    <cfRule type="cellIs" dxfId="3018" priority="1415" stopIfTrue="1" operator="lessThan">
      <formula>0</formula>
    </cfRule>
  </conditionalFormatting>
  <conditionalFormatting sqref="R130">
    <cfRule type="cellIs" dxfId="3017" priority="1410" stopIfTrue="1" operator="lessThan">
      <formula>0</formula>
    </cfRule>
  </conditionalFormatting>
  <conditionalFormatting sqref="R135">
    <cfRule type="cellIs" dxfId="3016" priority="1400" stopIfTrue="1" operator="lessThan">
      <formula>0</formula>
    </cfRule>
  </conditionalFormatting>
  <conditionalFormatting sqref="R139:R140">
    <cfRule type="cellIs" dxfId="3015" priority="1395" stopIfTrue="1" operator="lessThan">
      <formula>0</formula>
    </cfRule>
  </conditionalFormatting>
  <conditionalFormatting sqref="R142:R143">
    <cfRule type="cellIs" dxfId="3014" priority="1390" stopIfTrue="1" operator="lessThan">
      <formula>0</formula>
    </cfRule>
  </conditionalFormatting>
  <conditionalFormatting sqref="R146">
    <cfRule type="cellIs" dxfId="3013" priority="1385" stopIfTrue="1" operator="lessThan">
      <formula>0</formula>
    </cfRule>
  </conditionalFormatting>
  <conditionalFormatting sqref="R150:R151">
    <cfRule type="cellIs" dxfId="3012" priority="1380" stopIfTrue="1" operator="lessThan">
      <formula>0</formula>
    </cfRule>
  </conditionalFormatting>
  <conditionalFormatting sqref="R173:R175">
    <cfRule type="cellIs" dxfId="3011" priority="1375" stopIfTrue="1" operator="lessThan">
      <formula>0</formula>
    </cfRule>
  </conditionalFormatting>
  <conditionalFormatting sqref="R184">
    <cfRule type="cellIs" dxfId="3010" priority="1370" stopIfTrue="1" operator="lessThan">
      <formula>0</formula>
    </cfRule>
  </conditionalFormatting>
  <conditionalFormatting sqref="R186:R187">
    <cfRule type="cellIs" dxfId="3009" priority="1365" stopIfTrue="1" operator="lessThan">
      <formula>0</formula>
    </cfRule>
  </conditionalFormatting>
  <conditionalFormatting sqref="R190">
    <cfRule type="cellIs" dxfId="3008" priority="1360" stopIfTrue="1" operator="lessThan">
      <formula>0</formula>
    </cfRule>
  </conditionalFormatting>
  <conditionalFormatting sqref="R195">
    <cfRule type="cellIs" dxfId="3007" priority="1355" stopIfTrue="1" operator="lessThan">
      <formula>0</formula>
    </cfRule>
  </conditionalFormatting>
  <conditionalFormatting sqref="R197:R198">
    <cfRule type="cellIs" dxfId="3006" priority="1350" stopIfTrue="1" operator="lessThan">
      <formula>0</formula>
    </cfRule>
  </conditionalFormatting>
  <conditionalFormatting sqref="R220">
    <cfRule type="cellIs" dxfId="3005" priority="1345" stopIfTrue="1" operator="lessThan">
      <formula>0</formula>
    </cfRule>
  </conditionalFormatting>
  <conditionalFormatting sqref="R222">
    <cfRule type="cellIs" dxfId="3004" priority="1340" stopIfTrue="1" operator="lessThan">
      <formula>0</formula>
    </cfRule>
  </conditionalFormatting>
  <conditionalFormatting sqref="R224:R228">
    <cfRule type="cellIs" dxfId="3003" priority="1335" stopIfTrue="1" operator="lessThan">
      <formula>0</formula>
    </cfRule>
  </conditionalFormatting>
  <conditionalFormatting sqref="R232:R235">
    <cfRule type="cellIs" dxfId="3002" priority="1330" stopIfTrue="1" operator="lessThan">
      <formula>0</formula>
    </cfRule>
  </conditionalFormatting>
  <conditionalFormatting sqref="R237:R238">
    <cfRule type="cellIs" dxfId="3001" priority="1325" stopIfTrue="1" operator="lessThan">
      <formula>0</formula>
    </cfRule>
  </conditionalFormatting>
  <conditionalFormatting sqref="R241:R244">
    <cfRule type="cellIs" dxfId="3000" priority="1320" stopIfTrue="1" operator="lessThan">
      <formula>0</formula>
    </cfRule>
  </conditionalFormatting>
  <conditionalFormatting sqref="R251:R252">
    <cfRule type="cellIs" dxfId="2999" priority="1315" stopIfTrue="1" operator="lessThan">
      <formula>0</formula>
    </cfRule>
  </conditionalFormatting>
  <conditionalFormatting sqref="R257:R270">
    <cfRule type="cellIs" dxfId="2998" priority="1310" stopIfTrue="1" operator="lessThan">
      <formula>0</formula>
    </cfRule>
  </conditionalFormatting>
  <conditionalFormatting sqref="R284">
    <cfRule type="cellIs" dxfId="2997" priority="1305" stopIfTrue="1" operator="lessThan">
      <formula>0</formula>
    </cfRule>
  </conditionalFormatting>
  <conditionalFormatting sqref="R337">
    <cfRule type="cellIs" dxfId="2996" priority="1300" stopIfTrue="1" operator="lessThan">
      <formula>0</formula>
    </cfRule>
  </conditionalFormatting>
  <conditionalFormatting sqref="R364:R367">
    <cfRule type="cellIs" dxfId="2995" priority="1295" stopIfTrue="1" operator="lessThan">
      <formula>0</formula>
    </cfRule>
  </conditionalFormatting>
  <conditionalFormatting sqref="R380:R382">
    <cfRule type="cellIs" dxfId="2994" priority="1290" stopIfTrue="1" operator="lessThan">
      <formula>0</formula>
    </cfRule>
  </conditionalFormatting>
  <conditionalFormatting sqref="R416">
    <cfRule type="cellIs" dxfId="2993" priority="1285" stopIfTrue="1" operator="lessThan">
      <formula>0</formula>
    </cfRule>
  </conditionalFormatting>
  <conditionalFormatting sqref="R835:R836">
    <cfRule type="cellIs" dxfId="2992" priority="1260" stopIfTrue="1" operator="lessThan">
      <formula>0</formula>
    </cfRule>
  </conditionalFormatting>
  <conditionalFormatting sqref="R566:R569">
    <cfRule type="cellIs" dxfId="2991" priority="1280" stopIfTrue="1" operator="lessThan">
      <formula>0</formula>
    </cfRule>
  </conditionalFormatting>
  <conditionalFormatting sqref="R842:R845">
    <cfRule type="cellIs" dxfId="2990" priority="1255" stopIfTrue="1" operator="lessThan">
      <formula>0</formula>
    </cfRule>
  </conditionalFormatting>
  <conditionalFormatting sqref="R571:R572">
    <cfRule type="cellIs" dxfId="2989" priority="1275" stopIfTrue="1" operator="lessThan">
      <formula>0</formula>
    </cfRule>
  </conditionalFormatting>
  <conditionalFormatting sqref="R576:R578">
    <cfRule type="cellIs" dxfId="2988" priority="1270" stopIfTrue="1" operator="lessThan">
      <formula>0</formula>
    </cfRule>
  </conditionalFormatting>
  <conditionalFormatting sqref="R580">
    <cfRule type="cellIs" dxfId="2987" priority="1265" stopIfTrue="1" operator="lessThan">
      <formula>0</formula>
    </cfRule>
  </conditionalFormatting>
  <conditionalFormatting sqref="R885:R886">
    <cfRule type="cellIs" dxfId="2986" priority="1240" stopIfTrue="1" operator="lessThan">
      <formula>0</formula>
    </cfRule>
  </conditionalFormatting>
  <conditionalFormatting sqref="R847:R848">
    <cfRule type="cellIs" dxfId="2985" priority="1250" stopIfTrue="1" operator="lessThan">
      <formula>0</formula>
    </cfRule>
  </conditionalFormatting>
  <conditionalFormatting sqref="R868:R875">
    <cfRule type="cellIs" dxfId="2984" priority="1245" stopIfTrue="1" operator="lessThan">
      <formula>0</formula>
    </cfRule>
  </conditionalFormatting>
  <conditionalFormatting sqref="R17">
    <cfRule type="cellIs" dxfId="2983" priority="1231" stopIfTrue="1" operator="lessThan">
      <formula>0</formula>
    </cfRule>
  </conditionalFormatting>
  <conditionalFormatting sqref="R19:R20">
    <cfRule type="cellIs" dxfId="2982" priority="1226" stopIfTrue="1" operator="lessThan">
      <formula>0</formula>
    </cfRule>
  </conditionalFormatting>
  <conditionalFormatting sqref="R22">
    <cfRule type="cellIs" dxfId="2981" priority="1221" stopIfTrue="1" operator="lessThan">
      <formula>0</formula>
    </cfRule>
  </conditionalFormatting>
  <conditionalFormatting sqref="AV17">
    <cfRule type="cellIs" dxfId="2980" priority="1216" operator="notEqual">
      <formula>0</formula>
    </cfRule>
  </conditionalFormatting>
  <conditionalFormatting sqref="AV19:AV20">
    <cfRule type="cellIs" dxfId="2979" priority="1215" operator="notEqual">
      <formula>0</formula>
    </cfRule>
  </conditionalFormatting>
  <conditionalFormatting sqref="AV22">
    <cfRule type="cellIs" dxfId="2978" priority="1214" operator="notEqual">
      <formula>0</formula>
    </cfRule>
  </conditionalFormatting>
  <conditionalFormatting sqref="R54">
    <cfRule type="cellIs" dxfId="2977" priority="1213" stopIfTrue="1" operator="lessThan">
      <formula>0</formula>
    </cfRule>
  </conditionalFormatting>
  <conditionalFormatting sqref="R55">
    <cfRule type="cellIs" dxfId="2976" priority="1201" stopIfTrue="1" operator="lessThan">
      <formula>0</formula>
    </cfRule>
  </conditionalFormatting>
  <conditionalFormatting sqref="R71:R89">
    <cfRule type="cellIs" dxfId="2975" priority="1195" stopIfTrue="1" operator="lessThan">
      <formula>0</formula>
    </cfRule>
  </conditionalFormatting>
  <conditionalFormatting sqref="R103:R112">
    <cfRule type="cellIs" dxfId="2974" priority="1189" stopIfTrue="1" operator="lessThan">
      <formula>0</formula>
    </cfRule>
  </conditionalFormatting>
  <conditionalFormatting sqref="R119">
    <cfRule type="cellIs" dxfId="2973" priority="1183" stopIfTrue="1" operator="lessThan">
      <formula>0</formula>
    </cfRule>
  </conditionalFormatting>
  <conditionalFormatting sqref="R134">
    <cfRule type="cellIs" dxfId="2972" priority="1153" stopIfTrue="1" operator="lessThan">
      <formula>0</formula>
    </cfRule>
  </conditionalFormatting>
  <conditionalFormatting sqref="R123:R124">
    <cfRule type="cellIs" dxfId="2971" priority="1177" stopIfTrue="1" operator="lessThan">
      <formula>0</formula>
    </cfRule>
  </conditionalFormatting>
  <conditionalFormatting sqref="R136">
    <cfRule type="cellIs" dxfId="2970" priority="1147" stopIfTrue="1" operator="lessThan">
      <formula>0</formula>
    </cfRule>
  </conditionalFormatting>
  <conditionalFormatting sqref="R126">
    <cfRule type="cellIs" dxfId="2969" priority="1171" stopIfTrue="1" operator="lessThan">
      <formula>0</formula>
    </cfRule>
  </conditionalFormatting>
  <conditionalFormatting sqref="R137:R138">
    <cfRule type="cellIs" dxfId="2968" priority="1141" stopIfTrue="1" operator="lessThan">
      <formula>0</formula>
    </cfRule>
  </conditionalFormatting>
  <conditionalFormatting sqref="R129">
    <cfRule type="cellIs" dxfId="2967" priority="1165" stopIfTrue="1" operator="lessThan">
      <formula>0</formula>
    </cfRule>
  </conditionalFormatting>
  <conditionalFormatting sqref="R141">
    <cfRule type="cellIs" dxfId="2966" priority="1135" stopIfTrue="1" operator="lessThan">
      <formula>0</formula>
    </cfRule>
  </conditionalFormatting>
  <conditionalFormatting sqref="R131">
    <cfRule type="cellIs" dxfId="2965" priority="1159" stopIfTrue="1" operator="lessThan">
      <formula>0</formula>
    </cfRule>
  </conditionalFormatting>
  <conditionalFormatting sqref="R144:R145">
    <cfRule type="cellIs" dxfId="2964" priority="1129" stopIfTrue="1" operator="lessThan">
      <formula>0</formula>
    </cfRule>
  </conditionalFormatting>
  <conditionalFormatting sqref="R147:R148">
    <cfRule type="cellIs" dxfId="2963" priority="1123" stopIfTrue="1" operator="lessThan">
      <formula>0</formula>
    </cfRule>
  </conditionalFormatting>
  <conditionalFormatting sqref="R149">
    <cfRule type="cellIs" dxfId="2962" priority="1117" stopIfTrue="1" operator="lessThan">
      <formula>0</formula>
    </cfRule>
  </conditionalFormatting>
  <conditionalFormatting sqref="R152:R159">
    <cfRule type="cellIs" dxfId="2961" priority="1111" stopIfTrue="1" operator="lessThan">
      <formula>0</formula>
    </cfRule>
  </conditionalFormatting>
  <conditionalFormatting sqref="R161:R172">
    <cfRule type="cellIs" dxfId="2960" priority="1105" stopIfTrue="1" operator="lessThan">
      <formula>0</formula>
    </cfRule>
  </conditionalFormatting>
  <conditionalFormatting sqref="R185">
    <cfRule type="cellIs" dxfId="2959" priority="1099" stopIfTrue="1" operator="lessThan">
      <formula>0</formula>
    </cfRule>
  </conditionalFormatting>
  <conditionalFormatting sqref="R188:R189">
    <cfRule type="cellIs" dxfId="2958" priority="1093" stopIfTrue="1" operator="lessThan">
      <formula>0</formula>
    </cfRule>
  </conditionalFormatting>
  <conditionalFormatting sqref="R196">
    <cfRule type="cellIs" dxfId="2957" priority="1087" stopIfTrue="1" operator="lessThan">
      <formula>0</formula>
    </cfRule>
  </conditionalFormatting>
  <conditionalFormatting sqref="R219">
    <cfRule type="cellIs" dxfId="2956" priority="1081" stopIfTrue="1" operator="lessThan">
      <formula>0</formula>
    </cfRule>
  </conditionalFormatting>
  <conditionalFormatting sqref="R221">
    <cfRule type="cellIs" dxfId="2955" priority="1075" stopIfTrue="1" operator="lessThan">
      <formula>0</formula>
    </cfRule>
  </conditionalFormatting>
  <conditionalFormatting sqref="R223">
    <cfRule type="cellIs" dxfId="2954" priority="1069" stopIfTrue="1" operator="lessThan">
      <formula>0</formula>
    </cfRule>
  </conditionalFormatting>
  <conditionalFormatting sqref="R229:R231">
    <cfRule type="cellIs" dxfId="2953" priority="1063" stopIfTrue="1" operator="lessThan">
      <formula>0</formula>
    </cfRule>
  </conditionalFormatting>
  <conditionalFormatting sqref="R236">
    <cfRule type="cellIs" dxfId="2952" priority="1057" stopIfTrue="1" operator="lessThan">
      <formula>0</formula>
    </cfRule>
  </conditionalFormatting>
  <conditionalFormatting sqref="R239">
    <cfRule type="cellIs" dxfId="2951" priority="1051" stopIfTrue="1" operator="lessThan">
      <formula>0</formula>
    </cfRule>
  </conditionalFormatting>
  <conditionalFormatting sqref="R240">
    <cfRule type="cellIs" dxfId="2950" priority="1045" stopIfTrue="1" operator="lessThan">
      <formula>0</formula>
    </cfRule>
  </conditionalFormatting>
  <conditionalFormatting sqref="R245:R250">
    <cfRule type="cellIs" dxfId="2949" priority="1039" stopIfTrue="1" operator="lessThan">
      <formula>0</formula>
    </cfRule>
  </conditionalFormatting>
  <conditionalFormatting sqref="R253:R256">
    <cfRule type="cellIs" dxfId="2948" priority="1033" stopIfTrue="1" operator="lessThan">
      <formula>0</formula>
    </cfRule>
  </conditionalFormatting>
  <conditionalFormatting sqref="R283">
    <cfRule type="cellIs" dxfId="2947" priority="1027" stopIfTrue="1" operator="lessThan">
      <formula>0</formula>
    </cfRule>
  </conditionalFormatting>
  <conditionalFormatting sqref="R287:R288">
    <cfRule type="cellIs" dxfId="2946" priority="1021" stopIfTrue="1" operator="lessThan">
      <formula>0</formula>
    </cfRule>
  </conditionalFormatting>
  <conditionalFormatting sqref="R291:R292">
    <cfRule type="cellIs" dxfId="2945" priority="1015" stopIfTrue="1" operator="lessThan">
      <formula>0</formula>
    </cfRule>
  </conditionalFormatting>
  <conditionalFormatting sqref="R294:R321">
    <cfRule type="cellIs" dxfId="2944" priority="1009" stopIfTrue="1" operator="lessThan">
      <formula>0</formula>
    </cfRule>
  </conditionalFormatting>
  <conditionalFormatting sqref="R323:R326">
    <cfRule type="cellIs" dxfId="2943" priority="1003" stopIfTrue="1" operator="lessThan">
      <formula>0</formula>
    </cfRule>
  </conditionalFormatting>
  <conditionalFormatting sqref="R331:R336">
    <cfRule type="cellIs" dxfId="2942" priority="997" stopIfTrue="1" operator="lessThan">
      <formula>0</formula>
    </cfRule>
  </conditionalFormatting>
  <conditionalFormatting sqref="R338:R343">
    <cfRule type="cellIs" dxfId="2941" priority="991" stopIfTrue="1" operator="lessThan">
      <formula>0</formula>
    </cfRule>
  </conditionalFormatting>
  <conditionalFormatting sqref="R346:R363">
    <cfRule type="cellIs" dxfId="2940" priority="985" stopIfTrue="1" operator="lessThan">
      <formula>0</formula>
    </cfRule>
  </conditionalFormatting>
  <conditionalFormatting sqref="R368:R379">
    <cfRule type="cellIs" dxfId="2939" priority="979" stopIfTrue="1" operator="lessThan">
      <formula>0</formula>
    </cfRule>
  </conditionalFormatting>
  <conditionalFormatting sqref="R415">
    <cfRule type="cellIs" dxfId="2938" priority="973" stopIfTrue="1" operator="lessThan">
      <formula>0</formula>
    </cfRule>
  </conditionalFormatting>
  <conditionalFormatting sqref="R573:R575">
    <cfRule type="cellIs" dxfId="2937" priority="967" stopIfTrue="1" operator="lessThan">
      <formula>0</formula>
    </cfRule>
  </conditionalFormatting>
  <conditionalFormatting sqref="R832:R834">
    <cfRule type="cellIs" dxfId="2936" priority="943" stopIfTrue="1" operator="lessThan">
      <formula>0</formula>
    </cfRule>
  </conditionalFormatting>
  <conditionalFormatting sqref="R579">
    <cfRule type="cellIs" dxfId="2935" priority="961" stopIfTrue="1" operator="lessThan">
      <formula>0</formula>
    </cfRule>
  </conditionalFormatting>
  <conditionalFormatting sqref="R837:R841">
    <cfRule type="cellIs" dxfId="2934" priority="937" stopIfTrue="1" operator="lessThan">
      <formula>0</formula>
    </cfRule>
  </conditionalFormatting>
  <conditionalFormatting sqref="R604">
    <cfRule type="cellIs" dxfId="2933" priority="955" stopIfTrue="1" operator="lessThan">
      <formula>0</formula>
    </cfRule>
  </conditionalFormatting>
  <conditionalFormatting sqref="R608">
    <cfRule type="cellIs" dxfId="2932" priority="949" stopIfTrue="1" operator="lessThan">
      <formula>0</formula>
    </cfRule>
  </conditionalFormatting>
  <conditionalFormatting sqref="R846">
    <cfRule type="cellIs" dxfId="2931" priority="931" stopIfTrue="1" operator="lessThan">
      <formula>0</formula>
    </cfRule>
  </conditionalFormatting>
  <conditionalFormatting sqref="R858:R867">
    <cfRule type="cellIs" dxfId="2930" priority="925" stopIfTrue="1" operator="lessThan">
      <formula>0</formula>
    </cfRule>
  </conditionalFormatting>
  <conditionalFormatting sqref="R884">
    <cfRule type="cellIs" dxfId="2929" priority="919" stopIfTrue="1" operator="lessThan">
      <formula>0</formula>
    </cfRule>
  </conditionalFormatting>
  <conditionalFormatting sqref="R887">
    <cfRule type="cellIs" dxfId="2928" priority="913" stopIfTrue="1" operator="lessThan">
      <formula>0</formula>
    </cfRule>
  </conditionalFormatting>
  <conditionalFormatting sqref="R18">
    <cfRule type="cellIs" dxfId="2927" priority="907" stopIfTrue="1" operator="lessThan">
      <formula>0</formula>
    </cfRule>
  </conditionalFormatting>
  <conditionalFormatting sqref="R21">
    <cfRule type="cellIs" dxfId="2926" priority="901" stopIfTrue="1" operator="lessThan">
      <formula>0</formula>
    </cfRule>
  </conditionalFormatting>
  <conditionalFormatting sqref="R23">
    <cfRule type="cellIs" dxfId="2925" priority="895" stopIfTrue="1" operator="lessThan">
      <formula>0</formula>
    </cfRule>
  </conditionalFormatting>
  <conditionalFormatting sqref="AC100:AD100">
    <cfRule type="cellIs" dxfId="2924" priority="862" stopIfTrue="1" operator="lessThan">
      <formula>0</formula>
    </cfRule>
  </conditionalFormatting>
  <conditionalFormatting sqref="AE100">
    <cfRule type="cellIs" dxfId="2923" priority="861" stopIfTrue="1" operator="lessThan">
      <formula>0</formula>
    </cfRule>
  </conditionalFormatting>
  <conditionalFormatting sqref="V15:W69">
    <cfRule type="cellIs" dxfId="2922" priority="889" stopIfTrue="1" operator="lessThan">
      <formula>0</formula>
    </cfRule>
  </conditionalFormatting>
  <conditionalFormatting sqref="V71:W93">
    <cfRule type="cellIs" dxfId="2921" priority="888" stopIfTrue="1" operator="lessThan">
      <formula>0</formula>
    </cfRule>
  </conditionalFormatting>
  <conditionalFormatting sqref="V103:W112">
    <cfRule type="cellIs" dxfId="2920" priority="887" stopIfTrue="1" operator="lessThan">
      <formula>0</formula>
    </cfRule>
  </conditionalFormatting>
  <conditionalFormatting sqref="V114:W284">
    <cfRule type="cellIs" dxfId="2919" priority="886" stopIfTrue="1" operator="lessThan">
      <formula>0</formula>
    </cfRule>
  </conditionalFormatting>
  <conditionalFormatting sqref="V294:W382">
    <cfRule type="cellIs" dxfId="2918" priority="885" stopIfTrue="1" operator="lessThan">
      <formula>0</formula>
    </cfRule>
  </conditionalFormatting>
  <conditionalFormatting sqref="V384:W401">
    <cfRule type="cellIs" dxfId="2917" priority="884" stopIfTrue="1" operator="lessThan">
      <formula>0</formula>
    </cfRule>
  </conditionalFormatting>
  <conditionalFormatting sqref="V410:W600">
    <cfRule type="cellIs" dxfId="2916" priority="883" stopIfTrue="1" operator="lessThan">
      <formula>0</formula>
    </cfRule>
  </conditionalFormatting>
  <conditionalFormatting sqref="V602:W639">
    <cfRule type="cellIs" dxfId="2915" priority="882" stopIfTrue="1" operator="lessThan">
      <formula>0</formula>
    </cfRule>
  </conditionalFormatting>
  <conditionalFormatting sqref="V641:W666">
    <cfRule type="cellIs" dxfId="2914" priority="881" stopIfTrue="1" operator="lessThan">
      <formula>0</formula>
    </cfRule>
  </conditionalFormatting>
  <conditionalFormatting sqref="V668:W828">
    <cfRule type="cellIs" dxfId="2913" priority="880" stopIfTrue="1" operator="lessThan">
      <formula>0</formula>
    </cfRule>
  </conditionalFormatting>
  <conditionalFormatting sqref="V832:W887">
    <cfRule type="cellIs" dxfId="2912" priority="879" stopIfTrue="1" operator="lessThan">
      <formula>0</formula>
    </cfRule>
  </conditionalFormatting>
  <conditionalFormatting sqref="O94:Q98 X94:AA98">
    <cfRule type="cellIs" dxfId="2911" priority="878" stopIfTrue="1" operator="lessThan">
      <formula>0</formula>
    </cfRule>
  </conditionalFormatting>
  <conditionalFormatting sqref="R94:R98">
    <cfRule type="cellIs" dxfId="2910" priority="877" stopIfTrue="1" operator="lessThan">
      <formula>0</formula>
    </cfRule>
  </conditionalFormatting>
  <conditionalFormatting sqref="V94:W98">
    <cfRule type="cellIs" dxfId="2909" priority="872" stopIfTrue="1" operator="lessThan">
      <formula>0</formula>
    </cfRule>
  </conditionalFormatting>
  <conditionalFormatting sqref="O100:Q101 X100:AA101">
    <cfRule type="cellIs" dxfId="2908" priority="871" stopIfTrue="1" operator="lessThan">
      <formula>0</formula>
    </cfRule>
  </conditionalFormatting>
  <conditionalFormatting sqref="R100:R101">
    <cfRule type="cellIs" dxfId="2907" priority="870" stopIfTrue="1" operator="lessThan">
      <formula>0</formula>
    </cfRule>
  </conditionalFormatting>
  <conditionalFormatting sqref="V100:W101">
    <cfRule type="cellIs" dxfId="2906" priority="865" stopIfTrue="1" operator="lessThan">
      <formula>0</formula>
    </cfRule>
  </conditionalFormatting>
  <conditionalFormatting sqref="AC99:AD99">
    <cfRule type="cellIs" dxfId="2905" priority="864" stopIfTrue="1" operator="lessThan">
      <formula>0</formula>
    </cfRule>
  </conditionalFormatting>
  <conditionalFormatting sqref="AE99">
    <cfRule type="cellIs" dxfId="2904" priority="863" stopIfTrue="1" operator="lessThan">
      <formula>0</formula>
    </cfRule>
  </conditionalFormatting>
  <conditionalFormatting sqref="O402:P407 S402:T407 X402:AA407">
    <cfRule type="cellIs" dxfId="2903" priority="860" stopIfTrue="1" operator="lessThan">
      <formula>0</formula>
    </cfRule>
  </conditionalFormatting>
  <conditionalFormatting sqref="Q402:R407">
    <cfRule type="cellIs" dxfId="2902" priority="859" stopIfTrue="1" operator="lessThan">
      <formula>0</formula>
    </cfRule>
  </conditionalFormatting>
  <conditionalFormatting sqref="V402:W407">
    <cfRule type="cellIs" dxfId="2901" priority="858" stopIfTrue="1" operator="lessThan">
      <formula>0</formula>
    </cfRule>
  </conditionalFormatting>
  <conditionalFormatting sqref="O409:P409 S409:T409 X409:AA409">
    <cfRule type="cellIs" dxfId="2900" priority="857" stopIfTrue="1" operator="lessThan">
      <formula>0</formula>
    </cfRule>
  </conditionalFormatting>
  <conditionalFormatting sqref="Q409:R409">
    <cfRule type="cellIs" dxfId="2899" priority="856" stopIfTrue="1" operator="lessThan">
      <formula>0</formula>
    </cfRule>
  </conditionalFormatting>
  <conditionalFormatting sqref="V409:W409">
    <cfRule type="cellIs" dxfId="2898" priority="855" stopIfTrue="1" operator="lessThan">
      <formula>0</formula>
    </cfRule>
  </conditionalFormatting>
  <conditionalFormatting sqref="AC408:AD409">
    <cfRule type="cellIs" dxfId="2897" priority="854" stopIfTrue="1" operator="lessThan">
      <formula>0</formula>
    </cfRule>
  </conditionalFormatting>
  <conditionalFormatting sqref="AE408:AF409">
    <cfRule type="cellIs" dxfId="2896" priority="853" stopIfTrue="1" operator="lessThan">
      <formula>0</formula>
    </cfRule>
  </conditionalFormatting>
  <conditionalFormatting sqref="AV54">
    <cfRule type="cellIs" dxfId="2895" priority="852" operator="notEqual">
      <formula>0</formula>
    </cfRule>
  </conditionalFormatting>
  <conditionalFormatting sqref="AV55">
    <cfRule type="cellIs" dxfId="2894" priority="850" operator="notEqual">
      <formula>0</formula>
    </cfRule>
  </conditionalFormatting>
  <conditionalFormatting sqref="AV56:AV59">
    <cfRule type="cellIs" dxfId="2893" priority="849" operator="notEqual">
      <formula>0</formula>
    </cfRule>
  </conditionalFormatting>
  <conditionalFormatting sqref="AV62:AV69">
    <cfRule type="cellIs" dxfId="2892" priority="848" operator="notEqual">
      <formula>0</formula>
    </cfRule>
  </conditionalFormatting>
  <conditionalFormatting sqref="AV94:AV98">
    <cfRule type="cellIs" dxfId="2891" priority="847" operator="notEqual">
      <formula>0</formula>
    </cfRule>
  </conditionalFormatting>
  <conditionalFormatting sqref="AV100:AV101">
    <cfRule type="cellIs" dxfId="2890" priority="846" operator="notEqual">
      <formula>0</formula>
    </cfRule>
  </conditionalFormatting>
  <conditionalFormatting sqref="AV99">
    <cfRule type="cellIs" dxfId="2889" priority="843" operator="equal">
      <formula>1</formula>
    </cfRule>
    <cfRule type="cellIs" dxfId="2888" priority="844" operator="notEqual">
      <formula>0</formula>
    </cfRule>
  </conditionalFormatting>
  <conditionalFormatting sqref="AV114">
    <cfRule type="cellIs" dxfId="2887" priority="841" operator="notEqual">
      <formula>0</formula>
    </cfRule>
  </conditionalFormatting>
  <conditionalFormatting sqref="AV116">
    <cfRule type="cellIs" dxfId="2886" priority="840" operator="notEqual">
      <formula>0</formula>
    </cfRule>
  </conditionalFormatting>
  <conditionalFormatting sqref="AV118">
    <cfRule type="cellIs" dxfId="2885" priority="839" operator="notEqual">
      <formula>0</formula>
    </cfRule>
  </conditionalFormatting>
  <conditionalFormatting sqref="AV122">
    <cfRule type="cellIs" dxfId="2884" priority="838" operator="notEqual">
      <formula>0</formula>
    </cfRule>
  </conditionalFormatting>
  <conditionalFormatting sqref="AV125">
    <cfRule type="cellIs" dxfId="2883" priority="837" operator="notEqual">
      <formula>0</formula>
    </cfRule>
  </conditionalFormatting>
  <conditionalFormatting sqref="AV127:AV128">
    <cfRule type="cellIs" dxfId="2882" priority="836" operator="notEqual">
      <formula>0</formula>
    </cfRule>
  </conditionalFormatting>
  <conditionalFormatting sqref="AV130">
    <cfRule type="cellIs" dxfId="2881" priority="835" operator="notEqual">
      <formula>0</formula>
    </cfRule>
  </conditionalFormatting>
  <conditionalFormatting sqref="AV132:AV133">
    <cfRule type="cellIs" dxfId="2880" priority="834" operator="notEqual">
      <formula>0</formula>
    </cfRule>
  </conditionalFormatting>
  <conditionalFormatting sqref="AV135">
    <cfRule type="cellIs" dxfId="2879" priority="833" operator="notEqual">
      <formula>0</formula>
    </cfRule>
  </conditionalFormatting>
  <conditionalFormatting sqref="AV139:AV140">
    <cfRule type="cellIs" dxfId="2878" priority="832" operator="notEqual">
      <formula>0</formula>
    </cfRule>
  </conditionalFormatting>
  <conditionalFormatting sqref="AV142:AV143">
    <cfRule type="cellIs" dxfId="2877" priority="831" operator="notEqual">
      <formula>0</formula>
    </cfRule>
  </conditionalFormatting>
  <conditionalFormatting sqref="AV146">
    <cfRule type="cellIs" dxfId="2876" priority="830" operator="notEqual">
      <formula>0</formula>
    </cfRule>
  </conditionalFormatting>
  <conditionalFormatting sqref="AV150:AV151">
    <cfRule type="cellIs" dxfId="2875" priority="829" operator="notEqual">
      <formula>0</formula>
    </cfRule>
  </conditionalFormatting>
  <conditionalFormatting sqref="AV173:AV175">
    <cfRule type="cellIs" dxfId="2874" priority="828" operator="notEqual">
      <formula>0</formula>
    </cfRule>
  </conditionalFormatting>
  <conditionalFormatting sqref="AV184">
    <cfRule type="cellIs" dxfId="2873" priority="827" operator="notEqual">
      <formula>0</formula>
    </cfRule>
  </conditionalFormatting>
  <conditionalFormatting sqref="AV186:AV187">
    <cfRule type="cellIs" dxfId="2872" priority="826" operator="notEqual">
      <formula>0</formula>
    </cfRule>
  </conditionalFormatting>
  <conditionalFormatting sqref="AV190">
    <cfRule type="cellIs" dxfId="2871" priority="825" operator="notEqual">
      <formula>0</formula>
    </cfRule>
  </conditionalFormatting>
  <conditionalFormatting sqref="AV195">
    <cfRule type="cellIs" dxfId="2870" priority="824" operator="notEqual">
      <formula>0</formula>
    </cfRule>
  </conditionalFormatting>
  <conditionalFormatting sqref="AV220">
    <cfRule type="cellIs" dxfId="2869" priority="822" operator="notEqual">
      <formula>0</formula>
    </cfRule>
  </conditionalFormatting>
  <conditionalFormatting sqref="AV222">
    <cfRule type="cellIs" dxfId="2868" priority="821" operator="notEqual">
      <formula>0</formula>
    </cfRule>
  </conditionalFormatting>
  <conditionalFormatting sqref="AV224:AV228">
    <cfRule type="cellIs" dxfId="2867" priority="820" operator="notEqual">
      <formula>0</formula>
    </cfRule>
  </conditionalFormatting>
  <conditionalFormatting sqref="AV232:AV235">
    <cfRule type="cellIs" dxfId="2866" priority="819" operator="notEqual">
      <formula>0</formula>
    </cfRule>
  </conditionalFormatting>
  <conditionalFormatting sqref="AV237:AV238">
    <cfRule type="cellIs" dxfId="2865" priority="818" operator="notEqual">
      <formula>0</formula>
    </cfRule>
  </conditionalFormatting>
  <conditionalFormatting sqref="AV241:AV244">
    <cfRule type="cellIs" dxfId="2864" priority="817" operator="notEqual">
      <formula>0</formula>
    </cfRule>
  </conditionalFormatting>
  <conditionalFormatting sqref="AV251:AV252">
    <cfRule type="cellIs" dxfId="2863" priority="816" operator="notEqual">
      <formula>0</formula>
    </cfRule>
  </conditionalFormatting>
  <conditionalFormatting sqref="AV257:AV270">
    <cfRule type="cellIs" dxfId="2862" priority="815" operator="notEqual">
      <formula>0</formula>
    </cfRule>
  </conditionalFormatting>
  <conditionalFormatting sqref="AV284">
    <cfRule type="cellIs" dxfId="2861" priority="814" operator="notEqual">
      <formula>0</formula>
    </cfRule>
  </conditionalFormatting>
  <conditionalFormatting sqref="AV337">
    <cfRule type="cellIs" dxfId="2860" priority="813" operator="notEqual">
      <formula>0</formula>
    </cfRule>
  </conditionalFormatting>
  <conditionalFormatting sqref="AV364:AV367">
    <cfRule type="cellIs" dxfId="2859" priority="812" operator="notEqual">
      <formula>0</formula>
    </cfRule>
  </conditionalFormatting>
  <conditionalFormatting sqref="AV380:AV382">
    <cfRule type="cellIs" dxfId="2858" priority="811" operator="notEqual">
      <formula>0</formula>
    </cfRule>
  </conditionalFormatting>
  <conditionalFormatting sqref="AV416">
    <cfRule type="cellIs" dxfId="2857" priority="810" operator="notEqual">
      <formula>0</formula>
    </cfRule>
  </conditionalFormatting>
  <conditionalFormatting sqref="AV566:AV569">
    <cfRule type="cellIs" dxfId="2856" priority="809" operator="notEqual">
      <formula>0</formula>
    </cfRule>
  </conditionalFormatting>
  <conditionalFormatting sqref="AV571:AV572">
    <cfRule type="cellIs" dxfId="2855" priority="808" operator="notEqual">
      <formula>0</formula>
    </cfRule>
  </conditionalFormatting>
  <conditionalFormatting sqref="AV576:AV578">
    <cfRule type="cellIs" dxfId="2854" priority="807" operator="notEqual">
      <formula>0</formula>
    </cfRule>
  </conditionalFormatting>
  <conditionalFormatting sqref="AV580">
    <cfRule type="cellIs" dxfId="2853" priority="806" operator="notEqual">
      <formula>0</formula>
    </cfRule>
  </conditionalFormatting>
  <conditionalFormatting sqref="AV835:AV836">
    <cfRule type="cellIs" dxfId="2852" priority="805" operator="notEqual">
      <formula>0</formula>
    </cfRule>
  </conditionalFormatting>
  <conditionalFormatting sqref="AV842:AV845">
    <cfRule type="cellIs" dxfId="2851" priority="804" operator="notEqual">
      <formula>0</formula>
    </cfRule>
  </conditionalFormatting>
  <conditionalFormatting sqref="AV847:AV848">
    <cfRule type="cellIs" dxfId="2850" priority="803" operator="notEqual">
      <formula>0</formula>
    </cfRule>
  </conditionalFormatting>
  <conditionalFormatting sqref="AV868:AV875">
    <cfRule type="cellIs" dxfId="2849" priority="802" operator="notEqual">
      <formula>0</formula>
    </cfRule>
  </conditionalFormatting>
  <conditionalFormatting sqref="AV885:AV886">
    <cfRule type="cellIs" dxfId="2848" priority="801" operator="notEqual">
      <formula>0</formula>
    </cfRule>
  </conditionalFormatting>
  <conditionalFormatting sqref="AV18">
    <cfRule type="cellIs" dxfId="2847" priority="800" operator="notEqual">
      <formula>0</formula>
    </cfRule>
  </conditionalFormatting>
  <conditionalFormatting sqref="AV21">
    <cfRule type="cellIs" dxfId="2846" priority="799" operator="notEqual">
      <formula>0</formula>
    </cfRule>
  </conditionalFormatting>
  <conditionalFormatting sqref="AV23">
    <cfRule type="cellIs" dxfId="2845" priority="798" operator="notEqual">
      <formula>0</formula>
    </cfRule>
  </conditionalFormatting>
  <conditionalFormatting sqref="AV71:AV89">
    <cfRule type="cellIs" dxfId="2844" priority="797" operator="notEqual">
      <formula>0</formula>
    </cfRule>
  </conditionalFormatting>
  <conditionalFormatting sqref="AV103:AV112">
    <cfRule type="cellIs" dxfId="2843" priority="796" operator="notEqual">
      <formula>0</formula>
    </cfRule>
  </conditionalFormatting>
  <conditionalFormatting sqref="AV115">
    <cfRule type="cellIs" dxfId="2842" priority="793" operator="notEqual">
      <formula>0</formula>
    </cfRule>
  </conditionalFormatting>
  <conditionalFormatting sqref="AV117">
    <cfRule type="cellIs" dxfId="2841" priority="792" operator="notEqual">
      <formula>0</formula>
    </cfRule>
  </conditionalFormatting>
  <conditionalFormatting sqref="AV119">
    <cfRule type="cellIs" dxfId="2840" priority="791" operator="notEqual">
      <formula>0</formula>
    </cfRule>
  </conditionalFormatting>
  <conditionalFormatting sqref="AV123:AV124">
    <cfRule type="cellIs" dxfId="2839" priority="790" operator="notEqual">
      <formula>0</formula>
    </cfRule>
  </conditionalFormatting>
  <conditionalFormatting sqref="AV126">
    <cfRule type="cellIs" dxfId="2838" priority="789" operator="notEqual">
      <formula>0</formula>
    </cfRule>
  </conditionalFormatting>
  <conditionalFormatting sqref="AV129">
    <cfRule type="cellIs" dxfId="2837" priority="788" operator="notEqual">
      <formula>0</formula>
    </cfRule>
  </conditionalFormatting>
  <conditionalFormatting sqref="AV131">
    <cfRule type="cellIs" dxfId="2836" priority="787" operator="notEqual">
      <formula>0</formula>
    </cfRule>
  </conditionalFormatting>
  <conditionalFormatting sqref="AV134">
    <cfRule type="cellIs" dxfId="2835" priority="786" operator="notEqual">
      <formula>0</formula>
    </cfRule>
  </conditionalFormatting>
  <conditionalFormatting sqref="AV136:AV138">
    <cfRule type="cellIs" dxfId="2834" priority="785" operator="notEqual">
      <formula>0</formula>
    </cfRule>
  </conditionalFormatting>
  <conditionalFormatting sqref="AV141">
    <cfRule type="cellIs" dxfId="2833" priority="784" operator="notEqual">
      <formula>0</formula>
    </cfRule>
  </conditionalFormatting>
  <conditionalFormatting sqref="AV144:AV145">
    <cfRule type="cellIs" dxfId="2832" priority="783" operator="notEqual">
      <formula>0</formula>
    </cfRule>
  </conditionalFormatting>
  <conditionalFormatting sqref="AV147:AV149">
    <cfRule type="cellIs" dxfId="2831" priority="782" operator="notEqual">
      <formula>0</formula>
    </cfRule>
  </conditionalFormatting>
  <conditionalFormatting sqref="AV152:AV159">
    <cfRule type="cellIs" dxfId="2830" priority="781" operator="notEqual">
      <formula>0</formula>
    </cfRule>
  </conditionalFormatting>
  <conditionalFormatting sqref="AV161:AV172">
    <cfRule type="cellIs" dxfId="2829" priority="780" operator="notEqual">
      <formula>0</formula>
    </cfRule>
  </conditionalFormatting>
  <conditionalFormatting sqref="AV185">
    <cfRule type="cellIs" dxfId="2828" priority="779" operator="notEqual">
      <formula>0</formula>
    </cfRule>
  </conditionalFormatting>
  <conditionalFormatting sqref="AV188:AV189">
    <cfRule type="cellIs" dxfId="2827" priority="778" operator="notEqual">
      <formula>0</formula>
    </cfRule>
  </conditionalFormatting>
  <conditionalFormatting sqref="AV191:AV194">
    <cfRule type="cellIs" dxfId="2826" priority="777" operator="notEqual">
      <formula>0</formula>
    </cfRule>
  </conditionalFormatting>
  <conditionalFormatting sqref="AV196">
    <cfRule type="cellIs" dxfId="2825" priority="776" operator="notEqual">
      <formula>0</formula>
    </cfRule>
  </conditionalFormatting>
  <conditionalFormatting sqref="AV221">
    <cfRule type="cellIs" dxfId="2824" priority="775" operator="notEqual">
      <formula>0</formula>
    </cfRule>
  </conditionalFormatting>
  <conditionalFormatting sqref="AV223">
    <cfRule type="cellIs" dxfId="2823" priority="774" operator="notEqual">
      <formula>0</formula>
    </cfRule>
  </conditionalFormatting>
  <conditionalFormatting sqref="AV229:AV231">
    <cfRule type="cellIs" dxfId="2822" priority="773" operator="notEqual">
      <formula>0</formula>
    </cfRule>
  </conditionalFormatting>
  <conditionalFormatting sqref="AV236">
    <cfRule type="cellIs" dxfId="2821" priority="772" operator="notEqual">
      <formula>0</formula>
    </cfRule>
  </conditionalFormatting>
  <conditionalFormatting sqref="AV239:AV240">
    <cfRule type="cellIs" dxfId="2820" priority="771" operator="notEqual">
      <formula>0</formula>
    </cfRule>
  </conditionalFormatting>
  <conditionalFormatting sqref="AV245:AV250">
    <cfRule type="cellIs" dxfId="2819" priority="770" operator="notEqual">
      <formula>0</formula>
    </cfRule>
  </conditionalFormatting>
  <conditionalFormatting sqref="AV253:AV256">
    <cfRule type="cellIs" dxfId="2818" priority="769" operator="notEqual">
      <formula>0</formula>
    </cfRule>
  </conditionalFormatting>
  <conditionalFormatting sqref="AV283">
    <cfRule type="cellIs" dxfId="2817" priority="768" operator="notEqual">
      <formula>0</formula>
    </cfRule>
  </conditionalFormatting>
  <conditionalFormatting sqref="AV287">
    <cfRule type="cellIs" dxfId="2816" priority="767" operator="notEqual">
      <formula>0</formula>
    </cfRule>
  </conditionalFormatting>
  <conditionalFormatting sqref="AV291:AV292">
    <cfRule type="cellIs" dxfId="2815" priority="766" operator="notEqual">
      <formula>0</formula>
    </cfRule>
  </conditionalFormatting>
  <conditionalFormatting sqref="AV294:AV321">
    <cfRule type="cellIs" dxfId="2814" priority="765" operator="notEqual">
      <formula>0</formula>
    </cfRule>
  </conditionalFormatting>
  <conditionalFormatting sqref="AV323:AV326">
    <cfRule type="cellIs" dxfId="2813" priority="764" operator="notEqual">
      <formula>0</formula>
    </cfRule>
  </conditionalFormatting>
  <conditionalFormatting sqref="AV331:AV336">
    <cfRule type="cellIs" dxfId="2812" priority="763" operator="notEqual">
      <formula>0</formula>
    </cfRule>
  </conditionalFormatting>
  <conditionalFormatting sqref="AV338:AV343">
    <cfRule type="cellIs" dxfId="2811" priority="762" operator="notEqual">
      <formula>0</formula>
    </cfRule>
  </conditionalFormatting>
  <conditionalFormatting sqref="AV346:AV363">
    <cfRule type="cellIs" dxfId="2810" priority="761" operator="notEqual">
      <formula>0</formula>
    </cfRule>
  </conditionalFormatting>
  <conditionalFormatting sqref="AV368:AV379">
    <cfRule type="cellIs" dxfId="2809" priority="760" operator="notEqual">
      <formula>0</formula>
    </cfRule>
  </conditionalFormatting>
  <conditionalFormatting sqref="AV415">
    <cfRule type="cellIs" dxfId="2808" priority="759" operator="notEqual">
      <formula>0</formula>
    </cfRule>
  </conditionalFormatting>
  <conditionalFormatting sqref="AV573:AV575">
    <cfRule type="cellIs" dxfId="2807" priority="758" operator="notEqual">
      <formula>0</formula>
    </cfRule>
  </conditionalFormatting>
  <conditionalFormatting sqref="AV579">
    <cfRule type="cellIs" dxfId="2806" priority="757" operator="notEqual">
      <formula>0</formula>
    </cfRule>
  </conditionalFormatting>
  <conditionalFormatting sqref="AV604">
    <cfRule type="cellIs" dxfId="2805" priority="756" operator="notEqual">
      <formula>0</formula>
    </cfRule>
  </conditionalFormatting>
  <conditionalFormatting sqref="AV608">
    <cfRule type="cellIs" dxfId="2804" priority="755" operator="notEqual">
      <formula>0</formula>
    </cfRule>
  </conditionalFormatting>
  <conditionalFormatting sqref="AV832:AV834">
    <cfRule type="cellIs" dxfId="2803" priority="754" operator="notEqual">
      <formula>0</formula>
    </cfRule>
  </conditionalFormatting>
  <conditionalFormatting sqref="AV837:AV841">
    <cfRule type="cellIs" dxfId="2802" priority="753" operator="notEqual">
      <formula>0</formula>
    </cfRule>
  </conditionalFormatting>
  <conditionalFormatting sqref="AV846">
    <cfRule type="cellIs" dxfId="2801" priority="752" operator="notEqual">
      <formula>0</formula>
    </cfRule>
  </conditionalFormatting>
  <conditionalFormatting sqref="AV858:AV867">
    <cfRule type="cellIs" dxfId="2800" priority="751" operator="notEqual">
      <formula>0</formula>
    </cfRule>
  </conditionalFormatting>
  <conditionalFormatting sqref="AV884">
    <cfRule type="cellIs" dxfId="2799" priority="750" operator="notEqual">
      <formula>0</formula>
    </cfRule>
  </conditionalFormatting>
  <conditionalFormatting sqref="AV887">
    <cfRule type="cellIs" dxfId="2798" priority="749" operator="notEqual">
      <formula>0</formula>
    </cfRule>
  </conditionalFormatting>
  <conditionalFormatting sqref="AV286">
    <cfRule type="cellIs" dxfId="2797" priority="748" operator="notEqual">
      <formula>0</formula>
    </cfRule>
  </conditionalFormatting>
  <conditionalFormatting sqref="S570">
    <cfRule type="cellIs" dxfId="2796" priority="745" stopIfTrue="1" operator="lessThan">
      <formula>0</formula>
    </cfRule>
  </conditionalFormatting>
  <conditionalFormatting sqref="S570">
    <cfRule type="expression" dxfId="2795" priority="744">
      <formula>(#REF!+#REF!)&lt;&gt;(#REF!+#REF!)</formula>
    </cfRule>
  </conditionalFormatting>
  <conditionalFormatting sqref="T570">
    <cfRule type="cellIs" dxfId="2794" priority="743" stopIfTrue="1" operator="lessThan">
      <formula>0</formula>
    </cfRule>
  </conditionalFormatting>
  <conditionalFormatting sqref="T570">
    <cfRule type="expression" dxfId="2793" priority="742">
      <formula>(#REF!+#REF!)&lt;&gt;(#REF!+#REF!)</formula>
    </cfRule>
  </conditionalFormatting>
  <conditionalFormatting sqref="AV570">
    <cfRule type="cellIs" dxfId="2792" priority="741" operator="notEqual">
      <formula>0</formula>
    </cfRule>
  </conditionalFormatting>
  <conditionalFormatting sqref="AV408">
    <cfRule type="cellIs" dxfId="2791" priority="739" operator="equal">
      <formula>1</formula>
    </cfRule>
    <cfRule type="cellIs" dxfId="2790" priority="740" operator="notEqual">
      <formula>0</formula>
    </cfRule>
  </conditionalFormatting>
  <conditionalFormatting sqref="AV640">
    <cfRule type="cellIs" dxfId="2789" priority="737" operator="equal">
      <formula>1</formula>
    </cfRule>
    <cfRule type="cellIs" dxfId="2788" priority="738" operator="notEqual">
      <formula>0</formula>
    </cfRule>
  </conditionalFormatting>
  <conditionalFormatting sqref="AV762:AV763">
    <cfRule type="cellIs" dxfId="2787" priority="733" operator="equal">
      <formula>1</formula>
    </cfRule>
    <cfRule type="cellIs" dxfId="2786" priority="734" operator="notEqual">
      <formula>0</formula>
    </cfRule>
  </conditionalFormatting>
  <conditionalFormatting sqref="AX16">
    <cfRule type="cellIs" dxfId="2785" priority="731" operator="equal">
      <formula>1</formula>
    </cfRule>
    <cfRule type="cellIs" dxfId="2784" priority="732" operator="notEqual">
      <formula>0</formula>
    </cfRule>
  </conditionalFormatting>
  <conditionalFormatting sqref="AX17:AX69">
    <cfRule type="cellIs" dxfId="2783" priority="729" operator="equal">
      <formula>1</formula>
    </cfRule>
    <cfRule type="cellIs" dxfId="2782" priority="730" operator="notEqual">
      <formula>0</formula>
    </cfRule>
  </conditionalFormatting>
  <conditionalFormatting sqref="AX94:AX98">
    <cfRule type="cellIs" dxfId="2781" priority="727" operator="equal">
      <formula>1</formula>
    </cfRule>
    <cfRule type="cellIs" dxfId="2780" priority="728" operator="notEqual">
      <formula>0</formula>
    </cfRule>
  </conditionalFormatting>
  <conditionalFormatting sqref="AX101">
    <cfRule type="cellIs" dxfId="2779" priority="725" operator="equal">
      <formula>1</formula>
    </cfRule>
    <cfRule type="cellIs" dxfId="2778" priority="726" operator="notEqual">
      <formula>0</formula>
    </cfRule>
  </conditionalFormatting>
  <conditionalFormatting sqref="AX177">
    <cfRule type="cellIs" dxfId="2777" priority="723" operator="equal">
      <formula>1</formula>
    </cfRule>
    <cfRule type="cellIs" dxfId="2776" priority="724" operator="notEqual">
      <formula>0</formula>
    </cfRule>
  </conditionalFormatting>
  <conditionalFormatting sqref="AX267:AX270">
    <cfRule type="cellIs" dxfId="2775" priority="721" operator="equal">
      <formula>1</formula>
    </cfRule>
    <cfRule type="cellIs" dxfId="2774" priority="722" operator="notEqual">
      <formula>0</formula>
    </cfRule>
  </conditionalFormatting>
  <conditionalFormatting sqref="AX286">
    <cfRule type="cellIs" dxfId="2773" priority="719" operator="equal">
      <formula>1</formula>
    </cfRule>
    <cfRule type="cellIs" dxfId="2772" priority="720" operator="notEqual">
      <formula>0</formula>
    </cfRule>
  </conditionalFormatting>
  <conditionalFormatting sqref="AX289:AX290">
    <cfRule type="cellIs" dxfId="2771" priority="717" operator="equal">
      <formula>1</formula>
    </cfRule>
    <cfRule type="cellIs" dxfId="2770" priority="718" operator="notEqual">
      <formula>0</formula>
    </cfRule>
  </conditionalFormatting>
  <conditionalFormatting sqref="AX293">
    <cfRule type="cellIs" dxfId="2769" priority="715" operator="equal">
      <formula>1</formula>
    </cfRule>
    <cfRule type="cellIs" dxfId="2768" priority="716" operator="notEqual">
      <formula>0</formula>
    </cfRule>
  </conditionalFormatting>
  <conditionalFormatting sqref="AX402:AX407">
    <cfRule type="cellIs" dxfId="2767" priority="713" operator="equal">
      <formula>1</formula>
    </cfRule>
    <cfRule type="cellIs" dxfId="2766" priority="714" operator="notEqual">
      <formula>0</formula>
    </cfRule>
  </conditionalFormatting>
  <conditionalFormatting sqref="AX437:AX441">
    <cfRule type="cellIs" dxfId="2765" priority="711" operator="equal">
      <formula>1</formula>
    </cfRule>
    <cfRule type="cellIs" dxfId="2764" priority="712" operator="notEqual">
      <formula>0</formula>
    </cfRule>
  </conditionalFormatting>
  <conditionalFormatting sqref="AX640">
    <cfRule type="cellIs" dxfId="2763" priority="709" operator="equal">
      <formula>1</formula>
    </cfRule>
    <cfRule type="cellIs" dxfId="2762" priority="710" operator="notEqual">
      <formula>0</formula>
    </cfRule>
  </conditionalFormatting>
  <conditionalFormatting sqref="AX667">
    <cfRule type="cellIs" dxfId="2761" priority="707" operator="equal">
      <formula>1</formula>
    </cfRule>
    <cfRule type="cellIs" dxfId="2760" priority="708" operator="notEqual">
      <formula>0</formula>
    </cfRule>
  </conditionalFormatting>
  <conditionalFormatting sqref="AX760">
    <cfRule type="cellIs" dxfId="2759" priority="705" operator="equal">
      <formula>1</formula>
    </cfRule>
    <cfRule type="cellIs" dxfId="2758" priority="706" operator="notEqual">
      <formula>0</formula>
    </cfRule>
  </conditionalFormatting>
  <conditionalFormatting sqref="AX847">
    <cfRule type="cellIs" dxfId="2757" priority="703" operator="equal">
      <formula>1</formula>
    </cfRule>
    <cfRule type="cellIs" dxfId="2756" priority="704" operator="notEqual">
      <formula>0</formula>
    </cfRule>
  </conditionalFormatting>
  <conditionalFormatting sqref="AF119">
    <cfRule type="cellIs" dxfId="2755" priority="686" stopIfTrue="1" operator="lessThan">
      <formula>0</formula>
    </cfRule>
  </conditionalFormatting>
  <conditionalFormatting sqref="AF72:AF93">
    <cfRule type="cellIs" dxfId="2754" priority="698" stopIfTrue="1" operator="lessThan">
      <formula>0</formula>
    </cfRule>
  </conditionalFormatting>
  <conditionalFormatting sqref="AF123:AF124">
    <cfRule type="cellIs" dxfId="2753" priority="681" stopIfTrue="1" operator="lessThan">
      <formula>0</formula>
    </cfRule>
  </conditionalFormatting>
  <conditionalFormatting sqref="AF103:AF112">
    <cfRule type="cellIs" dxfId="2752" priority="693" stopIfTrue="1" operator="lessThan">
      <formula>0</formula>
    </cfRule>
  </conditionalFormatting>
  <conditionalFormatting sqref="AX115">
    <cfRule type="cellIs" dxfId="2751" priority="688" operator="notEqual">
      <formula>0</formula>
    </cfRule>
  </conditionalFormatting>
  <conditionalFormatting sqref="AX117">
    <cfRule type="cellIs" dxfId="2750" priority="687" operator="notEqual">
      <formula>0</formula>
    </cfRule>
  </conditionalFormatting>
  <conditionalFormatting sqref="AF126">
    <cfRule type="cellIs" dxfId="2749" priority="676" stopIfTrue="1" operator="lessThan">
      <formula>0</formula>
    </cfRule>
  </conditionalFormatting>
  <conditionalFormatting sqref="AF129">
    <cfRule type="cellIs" dxfId="2748" priority="671" stopIfTrue="1" operator="lessThan">
      <formula>0</formula>
    </cfRule>
  </conditionalFormatting>
  <conditionalFormatting sqref="AF131">
    <cfRule type="cellIs" dxfId="2747" priority="666" stopIfTrue="1" operator="lessThan">
      <formula>0</formula>
    </cfRule>
  </conditionalFormatting>
  <conditionalFormatting sqref="AF134">
    <cfRule type="cellIs" dxfId="2746" priority="661" stopIfTrue="1" operator="lessThan">
      <formula>0</formula>
    </cfRule>
  </conditionalFormatting>
  <conditionalFormatting sqref="AF136:AF138">
    <cfRule type="cellIs" dxfId="2745" priority="656" stopIfTrue="1" operator="lessThan">
      <formula>0</formula>
    </cfRule>
  </conditionalFormatting>
  <conditionalFormatting sqref="AF141">
    <cfRule type="cellIs" dxfId="2744" priority="651" stopIfTrue="1" operator="lessThan">
      <formula>0</formula>
    </cfRule>
  </conditionalFormatting>
  <conditionalFormatting sqref="AF144:AF145">
    <cfRule type="cellIs" dxfId="2743" priority="646" stopIfTrue="1" operator="lessThan">
      <formula>0</formula>
    </cfRule>
  </conditionalFormatting>
  <conditionalFormatting sqref="AF147:AF149">
    <cfRule type="cellIs" dxfId="2742" priority="641" stopIfTrue="1" operator="lessThan">
      <formula>0</formula>
    </cfRule>
  </conditionalFormatting>
  <conditionalFormatting sqref="AF152:AF159">
    <cfRule type="cellIs" dxfId="2741" priority="636" stopIfTrue="1" operator="lessThan">
      <formula>0</formula>
    </cfRule>
  </conditionalFormatting>
  <conditionalFormatting sqref="AF161:AF172">
    <cfRule type="cellIs" dxfId="2740" priority="631" stopIfTrue="1" operator="lessThan">
      <formula>0</formula>
    </cfRule>
  </conditionalFormatting>
  <conditionalFormatting sqref="AF185">
    <cfRule type="cellIs" dxfId="2739" priority="626" stopIfTrue="1" operator="lessThan">
      <formula>0</formula>
    </cfRule>
  </conditionalFormatting>
  <conditionalFormatting sqref="AF188:AF189">
    <cfRule type="cellIs" dxfId="2738" priority="621" stopIfTrue="1" operator="lessThan">
      <formula>0</formula>
    </cfRule>
  </conditionalFormatting>
  <conditionalFormatting sqref="AF196">
    <cfRule type="cellIs" dxfId="2737" priority="616" stopIfTrue="1" operator="lessThan">
      <formula>0</formula>
    </cfRule>
  </conditionalFormatting>
  <conditionalFormatting sqref="AF219">
    <cfRule type="cellIs" dxfId="2736" priority="611" stopIfTrue="1" operator="lessThan">
      <formula>0</formula>
    </cfRule>
  </conditionalFormatting>
  <conditionalFormatting sqref="AF221">
    <cfRule type="cellIs" dxfId="2735" priority="606" stopIfTrue="1" operator="lessThan">
      <formula>0</formula>
    </cfRule>
  </conditionalFormatting>
  <conditionalFormatting sqref="AF223">
    <cfRule type="cellIs" dxfId="2734" priority="601" stopIfTrue="1" operator="lessThan">
      <formula>0</formula>
    </cfRule>
  </conditionalFormatting>
  <conditionalFormatting sqref="AF229:AF231">
    <cfRule type="cellIs" dxfId="2733" priority="596" stopIfTrue="1" operator="lessThan">
      <formula>0</formula>
    </cfRule>
  </conditionalFormatting>
  <conditionalFormatting sqref="AF236">
    <cfRule type="cellIs" dxfId="2732" priority="591" stopIfTrue="1" operator="lessThan">
      <formula>0</formula>
    </cfRule>
  </conditionalFormatting>
  <conditionalFormatting sqref="AF239:AF240">
    <cfRule type="cellIs" dxfId="2731" priority="586" stopIfTrue="1" operator="lessThan">
      <formula>0</formula>
    </cfRule>
  </conditionalFormatting>
  <conditionalFormatting sqref="AF245:AF250">
    <cfRule type="cellIs" dxfId="2730" priority="581" stopIfTrue="1" operator="lessThan">
      <formula>0</formula>
    </cfRule>
  </conditionalFormatting>
  <conditionalFormatting sqref="AF253:AF256">
    <cfRule type="cellIs" dxfId="2729" priority="576" stopIfTrue="1" operator="lessThan">
      <formula>0</formula>
    </cfRule>
  </conditionalFormatting>
  <conditionalFormatting sqref="AF283">
    <cfRule type="cellIs" dxfId="2728" priority="571" stopIfTrue="1" operator="lessThan">
      <formula>0</formula>
    </cfRule>
  </conditionalFormatting>
  <conditionalFormatting sqref="AF287:AF288">
    <cfRule type="cellIs" dxfId="2727" priority="566" stopIfTrue="1" operator="lessThan">
      <formula>0</formula>
    </cfRule>
  </conditionalFormatting>
  <conditionalFormatting sqref="AF291:AF292">
    <cfRule type="cellIs" dxfId="2726" priority="561" stopIfTrue="1" operator="lessThan">
      <formula>0</formula>
    </cfRule>
  </conditionalFormatting>
  <conditionalFormatting sqref="AF294:AF321">
    <cfRule type="cellIs" dxfId="2725" priority="556" stopIfTrue="1" operator="lessThan">
      <formula>0</formula>
    </cfRule>
  </conditionalFormatting>
  <conditionalFormatting sqref="AF323:AF326">
    <cfRule type="cellIs" dxfId="2724" priority="551" stopIfTrue="1" operator="lessThan">
      <formula>0</formula>
    </cfRule>
  </conditionalFormatting>
  <conditionalFormatting sqref="AF331:AF335">
    <cfRule type="cellIs" dxfId="2723" priority="546" stopIfTrue="1" operator="lessThan">
      <formula>0</formula>
    </cfRule>
  </conditionalFormatting>
  <conditionalFormatting sqref="AF336">
    <cfRule type="cellIs" dxfId="2722" priority="541" stopIfTrue="1" operator="lessThan">
      <formula>0</formula>
    </cfRule>
  </conditionalFormatting>
  <conditionalFormatting sqref="AF338:AF343">
    <cfRule type="cellIs" dxfId="2721" priority="536" stopIfTrue="1" operator="lessThan">
      <formula>0</formula>
    </cfRule>
  </conditionalFormatting>
  <conditionalFormatting sqref="AF346:AF363">
    <cfRule type="cellIs" dxfId="2720" priority="531" stopIfTrue="1" operator="lessThan">
      <formula>0</formula>
    </cfRule>
  </conditionalFormatting>
  <conditionalFormatting sqref="AF368:AF379">
    <cfRule type="cellIs" dxfId="2719" priority="526" stopIfTrue="1" operator="lessThan">
      <formula>0</formula>
    </cfRule>
  </conditionalFormatting>
  <conditionalFormatting sqref="AF415">
    <cfRule type="cellIs" dxfId="2718" priority="521" stopIfTrue="1" operator="lessThan">
      <formula>0</formula>
    </cfRule>
  </conditionalFormatting>
  <conditionalFormatting sqref="AF573:AF575">
    <cfRule type="cellIs" dxfId="2717" priority="516" stopIfTrue="1" operator="lessThan">
      <formula>0</formula>
    </cfRule>
  </conditionalFormatting>
  <conditionalFormatting sqref="AF579">
    <cfRule type="cellIs" dxfId="2716" priority="511" stopIfTrue="1" operator="lessThan">
      <formula>0</formula>
    </cfRule>
  </conditionalFormatting>
  <conditionalFormatting sqref="AF604">
    <cfRule type="cellIs" dxfId="2715" priority="506" stopIfTrue="1" operator="lessThan">
      <formula>0</formula>
    </cfRule>
  </conditionalFormatting>
  <conditionalFormatting sqref="AF608">
    <cfRule type="cellIs" dxfId="2714" priority="501" stopIfTrue="1" operator="lessThan">
      <formula>0</formula>
    </cfRule>
  </conditionalFormatting>
  <conditionalFormatting sqref="AF832:AF834">
    <cfRule type="cellIs" dxfId="2713" priority="496" stopIfTrue="1" operator="lessThan">
      <formula>0</formula>
    </cfRule>
  </conditionalFormatting>
  <conditionalFormatting sqref="AF837:AF841">
    <cfRule type="cellIs" dxfId="2712" priority="491" stopIfTrue="1" operator="lessThan">
      <formula>0</formula>
    </cfRule>
  </conditionalFormatting>
  <conditionalFormatting sqref="AF846">
    <cfRule type="cellIs" dxfId="2711" priority="486" stopIfTrue="1" operator="lessThan">
      <formula>0</formula>
    </cfRule>
  </conditionalFormatting>
  <conditionalFormatting sqref="AF858:AF867">
    <cfRule type="cellIs" dxfId="2710" priority="481" stopIfTrue="1" operator="lessThan">
      <formula>0</formula>
    </cfRule>
  </conditionalFormatting>
  <conditionalFormatting sqref="AF884">
    <cfRule type="cellIs" dxfId="2709" priority="476" stopIfTrue="1" operator="lessThan">
      <formula>0</formula>
    </cfRule>
  </conditionalFormatting>
  <conditionalFormatting sqref="AF887">
    <cfRule type="cellIs" dxfId="2708" priority="471" stopIfTrue="1" operator="lessThan">
      <formula>0</formula>
    </cfRule>
  </conditionalFormatting>
  <conditionalFormatting sqref="AG570">
    <cfRule type="cellIs" dxfId="2707" priority="466" stopIfTrue="1" operator="lessThan">
      <formula>0</formula>
    </cfRule>
  </conditionalFormatting>
  <conditionalFormatting sqref="AG570">
    <cfRule type="expression" dxfId="2706" priority="465">
      <formula>(#REF!+#REF!)&lt;&gt;(#REF!+#REF!)</formula>
    </cfRule>
  </conditionalFormatting>
  <conditionalFormatting sqref="AH570">
    <cfRule type="cellIs" dxfId="2705" priority="464" stopIfTrue="1" operator="lessThan">
      <formula>0</formula>
    </cfRule>
  </conditionalFormatting>
  <conditionalFormatting sqref="AH570">
    <cfRule type="expression" dxfId="2704" priority="463">
      <formula>(#REF!+#REF!)&lt;&gt;(#REF!+#REF!)</formula>
    </cfRule>
  </conditionalFormatting>
  <conditionalFormatting sqref="AF99:AF100">
    <cfRule type="cellIs" dxfId="2703" priority="462" stopIfTrue="1" operator="lessThan">
      <formula>0</formula>
    </cfRule>
  </conditionalFormatting>
  <conditionalFormatting sqref="AF122">
    <cfRule type="cellIs" dxfId="2702" priority="442" stopIfTrue="1" operator="lessThan">
      <formula>0</formula>
    </cfRule>
  </conditionalFormatting>
  <conditionalFormatting sqref="AF118">
    <cfRule type="cellIs" dxfId="2701" priority="447" stopIfTrue="1" operator="lessThan">
      <formula>0</formula>
    </cfRule>
  </conditionalFormatting>
  <conditionalFormatting sqref="AF125">
    <cfRule type="cellIs" dxfId="2700" priority="437" stopIfTrue="1" operator="lessThan">
      <formula>0</formula>
    </cfRule>
  </conditionalFormatting>
  <conditionalFormatting sqref="AF127:AF128">
    <cfRule type="cellIs" dxfId="2699" priority="432" stopIfTrue="1" operator="lessThan">
      <formula>0</formula>
    </cfRule>
  </conditionalFormatting>
  <conditionalFormatting sqref="AF130">
    <cfRule type="cellIs" dxfId="2698" priority="427" stopIfTrue="1" operator="lessThan">
      <formula>0</formula>
    </cfRule>
  </conditionalFormatting>
  <conditionalFormatting sqref="AF132:AF133">
    <cfRule type="cellIs" dxfId="2697" priority="422" stopIfTrue="1" operator="lessThan">
      <formula>0</formula>
    </cfRule>
  </conditionalFormatting>
  <conditionalFormatting sqref="AF135">
    <cfRule type="cellIs" dxfId="2696" priority="417" stopIfTrue="1" operator="lessThan">
      <formula>0</formula>
    </cfRule>
  </conditionalFormatting>
  <conditionalFormatting sqref="AF139:AF140">
    <cfRule type="cellIs" dxfId="2695" priority="412" stopIfTrue="1" operator="lessThan">
      <formula>0</formula>
    </cfRule>
  </conditionalFormatting>
  <conditionalFormatting sqref="AF142:AF143">
    <cfRule type="cellIs" dxfId="2694" priority="407" stopIfTrue="1" operator="lessThan">
      <formula>0</formula>
    </cfRule>
  </conditionalFormatting>
  <conditionalFormatting sqref="AF146">
    <cfRule type="cellIs" dxfId="2693" priority="402" stopIfTrue="1" operator="lessThan">
      <formula>0</formula>
    </cfRule>
  </conditionalFormatting>
  <conditionalFormatting sqref="AF150:AF151">
    <cfRule type="cellIs" dxfId="2692" priority="397" stopIfTrue="1" operator="lessThan">
      <formula>0</formula>
    </cfRule>
  </conditionalFormatting>
  <conditionalFormatting sqref="AF173:AF175">
    <cfRule type="cellIs" dxfId="2691" priority="392" stopIfTrue="1" operator="lessThan">
      <formula>0</formula>
    </cfRule>
  </conditionalFormatting>
  <conditionalFormatting sqref="AF184">
    <cfRule type="cellIs" dxfId="2690" priority="387" stopIfTrue="1" operator="lessThan">
      <formula>0</formula>
    </cfRule>
  </conditionalFormatting>
  <conditionalFormatting sqref="AF186:AF187">
    <cfRule type="cellIs" dxfId="2689" priority="382" stopIfTrue="1" operator="lessThan">
      <formula>0</formula>
    </cfRule>
  </conditionalFormatting>
  <conditionalFormatting sqref="AF190">
    <cfRule type="cellIs" dxfId="2688" priority="377" stopIfTrue="1" operator="lessThan">
      <formula>0</formula>
    </cfRule>
  </conditionalFormatting>
  <conditionalFormatting sqref="AF195">
    <cfRule type="cellIs" dxfId="2687" priority="372" stopIfTrue="1" operator="lessThan">
      <formula>0</formula>
    </cfRule>
  </conditionalFormatting>
  <conditionalFormatting sqref="AF197:AF198">
    <cfRule type="cellIs" dxfId="2686" priority="367" stopIfTrue="1" operator="lessThan">
      <formula>0</formula>
    </cfRule>
  </conditionalFormatting>
  <conditionalFormatting sqref="AF220">
    <cfRule type="cellIs" dxfId="2685" priority="362" stopIfTrue="1" operator="lessThan">
      <formula>0</formula>
    </cfRule>
  </conditionalFormatting>
  <conditionalFormatting sqref="AF222">
    <cfRule type="cellIs" dxfId="2684" priority="357" stopIfTrue="1" operator="lessThan">
      <formula>0</formula>
    </cfRule>
  </conditionalFormatting>
  <conditionalFormatting sqref="AF224:AF228">
    <cfRule type="cellIs" dxfId="2683" priority="352" stopIfTrue="1" operator="lessThan">
      <formula>0</formula>
    </cfRule>
  </conditionalFormatting>
  <conditionalFormatting sqref="AF232:AF235">
    <cfRule type="cellIs" dxfId="2682" priority="347" stopIfTrue="1" operator="lessThan">
      <formula>0</formula>
    </cfRule>
  </conditionalFormatting>
  <conditionalFormatting sqref="AF237:AF238">
    <cfRule type="cellIs" dxfId="2681" priority="342" stopIfTrue="1" operator="lessThan">
      <formula>0</formula>
    </cfRule>
  </conditionalFormatting>
  <conditionalFormatting sqref="AF241:AF244">
    <cfRule type="cellIs" dxfId="2680" priority="337" stopIfTrue="1" operator="lessThan">
      <formula>0</formula>
    </cfRule>
  </conditionalFormatting>
  <conditionalFormatting sqref="AF251:AF252">
    <cfRule type="cellIs" dxfId="2679" priority="332" stopIfTrue="1" operator="lessThan">
      <formula>0</formula>
    </cfRule>
  </conditionalFormatting>
  <conditionalFormatting sqref="AF257:AF266">
    <cfRule type="cellIs" dxfId="2678" priority="327" stopIfTrue="1" operator="lessThan">
      <formula>0</formula>
    </cfRule>
  </conditionalFormatting>
  <conditionalFormatting sqref="AF284">
    <cfRule type="cellIs" dxfId="2677" priority="322" stopIfTrue="1" operator="lessThan">
      <formula>0</formula>
    </cfRule>
  </conditionalFormatting>
  <conditionalFormatting sqref="AF337">
    <cfRule type="cellIs" dxfId="2676" priority="317" stopIfTrue="1" operator="lessThan">
      <formula>0</formula>
    </cfRule>
  </conditionalFormatting>
  <conditionalFormatting sqref="AF364:AF367">
    <cfRule type="cellIs" dxfId="2675" priority="312" stopIfTrue="1" operator="lessThan">
      <formula>0</formula>
    </cfRule>
  </conditionalFormatting>
  <conditionalFormatting sqref="AF380:AF382">
    <cfRule type="cellIs" dxfId="2674" priority="307" stopIfTrue="1" operator="lessThan">
      <formula>0</formula>
    </cfRule>
  </conditionalFormatting>
  <conditionalFormatting sqref="AF416">
    <cfRule type="cellIs" dxfId="2673" priority="302" stopIfTrue="1" operator="lessThan">
      <formula>0</formula>
    </cfRule>
  </conditionalFormatting>
  <conditionalFormatting sqref="AF566:AF569">
    <cfRule type="cellIs" dxfId="2672" priority="297" stopIfTrue="1" operator="lessThan">
      <formula>0</formula>
    </cfRule>
  </conditionalFormatting>
  <conditionalFormatting sqref="AF571:AF572">
    <cfRule type="cellIs" dxfId="2671" priority="292" stopIfTrue="1" operator="lessThan">
      <formula>0</formula>
    </cfRule>
  </conditionalFormatting>
  <conditionalFormatting sqref="AF576:AF578">
    <cfRule type="cellIs" dxfId="2670" priority="287" stopIfTrue="1" operator="lessThan">
      <formula>0</formula>
    </cfRule>
  </conditionalFormatting>
  <conditionalFormatting sqref="AF580">
    <cfRule type="cellIs" dxfId="2669" priority="282" stopIfTrue="1" operator="lessThan">
      <formula>0</formula>
    </cfRule>
  </conditionalFormatting>
  <conditionalFormatting sqref="AF835:AF836">
    <cfRule type="cellIs" dxfId="2668" priority="277" stopIfTrue="1" operator="lessThan">
      <formula>0</formula>
    </cfRule>
  </conditionalFormatting>
  <conditionalFormatting sqref="AF842:AF845">
    <cfRule type="cellIs" dxfId="2667" priority="272" stopIfTrue="1" operator="lessThan">
      <formula>0</formula>
    </cfRule>
  </conditionalFormatting>
  <conditionalFormatting sqref="AF848">
    <cfRule type="cellIs" dxfId="2666" priority="267" stopIfTrue="1" operator="lessThan">
      <formula>0</formula>
    </cfRule>
  </conditionalFormatting>
  <conditionalFormatting sqref="AF868:AF875">
    <cfRule type="cellIs" dxfId="2665" priority="262" stopIfTrue="1" operator="lessThan">
      <formula>0</formula>
    </cfRule>
  </conditionalFormatting>
  <conditionalFormatting sqref="AF885:AF886">
    <cfRule type="cellIs" dxfId="2664" priority="257" stopIfTrue="1" operator="lessThan">
      <formula>0</formula>
    </cfRule>
  </conditionalFormatting>
  <conditionalFormatting sqref="AX71">
    <cfRule type="cellIs" dxfId="2663" priority="251" operator="notEqual">
      <formula>0</formula>
    </cfRule>
  </conditionalFormatting>
  <conditionalFormatting sqref="AX72:AX89">
    <cfRule type="cellIs" dxfId="2662" priority="250" operator="notEqual">
      <formula>0</formula>
    </cfRule>
  </conditionalFormatting>
  <conditionalFormatting sqref="AX103:AX112">
    <cfRule type="cellIs" dxfId="2661" priority="249" operator="notEqual">
      <formula>0</formula>
    </cfRule>
  </conditionalFormatting>
  <conditionalFormatting sqref="AX119">
    <cfRule type="cellIs" dxfId="2660" priority="248" operator="notEqual">
      <formula>0</formula>
    </cfRule>
  </conditionalFormatting>
  <conditionalFormatting sqref="AX123:AX124">
    <cfRule type="cellIs" dxfId="2659" priority="247" operator="notEqual">
      <formula>0</formula>
    </cfRule>
  </conditionalFormatting>
  <conditionalFormatting sqref="AX126">
    <cfRule type="cellIs" dxfId="2658" priority="246" operator="notEqual">
      <formula>0</formula>
    </cfRule>
  </conditionalFormatting>
  <conditionalFormatting sqref="AX129">
    <cfRule type="cellIs" dxfId="2657" priority="245" operator="notEqual">
      <formula>0</formula>
    </cfRule>
  </conditionalFormatting>
  <conditionalFormatting sqref="AX131">
    <cfRule type="cellIs" dxfId="2656" priority="244" operator="notEqual">
      <formula>0</formula>
    </cfRule>
  </conditionalFormatting>
  <conditionalFormatting sqref="AX134">
    <cfRule type="cellIs" dxfId="2655" priority="243" operator="notEqual">
      <formula>0</formula>
    </cfRule>
  </conditionalFormatting>
  <conditionalFormatting sqref="AX136:AX138">
    <cfRule type="cellIs" dxfId="2654" priority="242" operator="notEqual">
      <formula>0</formula>
    </cfRule>
  </conditionalFormatting>
  <conditionalFormatting sqref="AX141">
    <cfRule type="cellIs" dxfId="2653" priority="241" operator="notEqual">
      <formula>0</formula>
    </cfRule>
  </conditionalFormatting>
  <conditionalFormatting sqref="AX144:AX145">
    <cfRule type="cellIs" dxfId="2652" priority="240" operator="notEqual">
      <formula>0</formula>
    </cfRule>
  </conditionalFormatting>
  <conditionalFormatting sqref="AX147:AX149">
    <cfRule type="cellIs" dxfId="2651" priority="239" operator="notEqual">
      <formula>0</formula>
    </cfRule>
  </conditionalFormatting>
  <conditionalFormatting sqref="AX152:AX159">
    <cfRule type="cellIs" dxfId="2650" priority="238" operator="notEqual">
      <formula>0</formula>
    </cfRule>
  </conditionalFormatting>
  <conditionalFormatting sqref="AX161:AX172">
    <cfRule type="cellIs" dxfId="2649" priority="237" operator="notEqual">
      <formula>0</formula>
    </cfRule>
  </conditionalFormatting>
  <conditionalFormatting sqref="AX185">
    <cfRule type="cellIs" dxfId="2648" priority="236" operator="notEqual">
      <formula>0</formula>
    </cfRule>
  </conditionalFormatting>
  <conditionalFormatting sqref="AX188:AX189">
    <cfRule type="cellIs" dxfId="2647" priority="235" operator="notEqual">
      <formula>0</formula>
    </cfRule>
  </conditionalFormatting>
  <conditionalFormatting sqref="AX196">
    <cfRule type="cellIs" dxfId="2646" priority="234" operator="notEqual">
      <formula>0</formula>
    </cfRule>
  </conditionalFormatting>
  <conditionalFormatting sqref="AX221">
    <cfRule type="cellIs" dxfId="2645" priority="233" operator="notEqual">
      <formula>0</formula>
    </cfRule>
  </conditionalFormatting>
  <conditionalFormatting sqref="AX223">
    <cfRule type="cellIs" dxfId="2644" priority="232" operator="notEqual">
      <formula>0</formula>
    </cfRule>
  </conditionalFormatting>
  <conditionalFormatting sqref="AX229:AX231">
    <cfRule type="cellIs" dxfId="2643" priority="231" operator="notEqual">
      <formula>0</formula>
    </cfRule>
  </conditionalFormatting>
  <conditionalFormatting sqref="AX236">
    <cfRule type="cellIs" dxfId="2642" priority="230" operator="notEqual">
      <formula>0</formula>
    </cfRule>
  </conditionalFormatting>
  <conditionalFormatting sqref="AX239:AX240">
    <cfRule type="cellIs" dxfId="2641" priority="229" operator="notEqual">
      <formula>0</formula>
    </cfRule>
  </conditionalFormatting>
  <conditionalFormatting sqref="AX245:AX250">
    <cfRule type="cellIs" dxfId="2640" priority="228" operator="notEqual">
      <formula>0</formula>
    </cfRule>
  </conditionalFormatting>
  <conditionalFormatting sqref="AX253:AX256">
    <cfRule type="cellIs" dxfId="2639" priority="227" operator="notEqual">
      <formula>0</formula>
    </cfRule>
  </conditionalFormatting>
  <conditionalFormatting sqref="AX283">
    <cfRule type="cellIs" dxfId="2638" priority="226" operator="notEqual">
      <formula>0</formula>
    </cfRule>
  </conditionalFormatting>
  <conditionalFormatting sqref="AX287:AX288">
    <cfRule type="cellIs" dxfId="2637" priority="225" operator="notEqual">
      <formula>0</formula>
    </cfRule>
  </conditionalFormatting>
  <conditionalFormatting sqref="AX291:AX292">
    <cfRule type="cellIs" dxfId="2636" priority="224" operator="notEqual">
      <formula>0</formula>
    </cfRule>
  </conditionalFormatting>
  <conditionalFormatting sqref="AX294:AX321">
    <cfRule type="cellIs" dxfId="2635" priority="223" operator="notEqual">
      <formula>0</formula>
    </cfRule>
  </conditionalFormatting>
  <conditionalFormatting sqref="AX323:AX326">
    <cfRule type="cellIs" dxfId="2634" priority="222" operator="notEqual">
      <formula>0</formula>
    </cfRule>
  </conditionalFormatting>
  <conditionalFormatting sqref="AX331:AX336">
    <cfRule type="cellIs" dxfId="2633" priority="221" operator="notEqual">
      <formula>0</formula>
    </cfRule>
  </conditionalFormatting>
  <conditionalFormatting sqref="AX338:AX343">
    <cfRule type="cellIs" dxfId="2632" priority="220" operator="notEqual">
      <formula>0</formula>
    </cfRule>
  </conditionalFormatting>
  <conditionalFormatting sqref="AX346:AX362">
    <cfRule type="cellIs" dxfId="2631" priority="219" operator="notEqual">
      <formula>0</formula>
    </cfRule>
  </conditionalFormatting>
  <conditionalFormatting sqref="AX368:AX379">
    <cfRule type="cellIs" dxfId="2630" priority="218" operator="notEqual">
      <formula>0</formula>
    </cfRule>
  </conditionalFormatting>
  <conditionalFormatting sqref="AX415">
    <cfRule type="cellIs" dxfId="2629" priority="217" operator="notEqual">
      <formula>0</formula>
    </cfRule>
  </conditionalFormatting>
  <conditionalFormatting sqref="AX570">
    <cfRule type="cellIs" dxfId="2628" priority="216" operator="notEqual">
      <formula>0</formula>
    </cfRule>
  </conditionalFormatting>
  <conditionalFormatting sqref="AX573:AX575">
    <cfRule type="cellIs" dxfId="2627" priority="215" operator="notEqual">
      <formula>0</formula>
    </cfRule>
  </conditionalFormatting>
  <conditionalFormatting sqref="AX579">
    <cfRule type="cellIs" dxfId="2626" priority="214" operator="notEqual">
      <formula>0</formula>
    </cfRule>
  </conditionalFormatting>
  <conditionalFormatting sqref="AX604">
    <cfRule type="cellIs" dxfId="2625" priority="213" operator="notEqual">
      <formula>0</formula>
    </cfRule>
  </conditionalFormatting>
  <conditionalFormatting sqref="AX608">
    <cfRule type="cellIs" dxfId="2624" priority="212" operator="notEqual">
      <formula>0</formula>
    </cfRule>
  </conditionalFormatting>
  <conditionalFormatting sqref="AX832:AX834">
    <cfRule type="cellIs" dxfId="2623" priority="211" operator="notEqual">
      <formula>0</formula>
    </cfRule>
  </conditionalFormatting>
  <conditionalFormatting sqref="AX837:AX841">
    <cfRule type="cellIs" dxfId="2622" priority="210" operator="notEqual">
      <formula>0</formula>
    </cfRule>
  </conditionalFormatting>
  <conditionalFormatting sqref="AX846">
    <cfRule type="cellIs" dxfId="2621" priority="209" operator="notEqual">
      <formula>0</formula>
    </cfRule>
  </conditionalFormatting>
  <conditionalFormatting sqref="AX858:AX867">
    <cfRule type="cellIs" dxfId="2620" priority="208" operator="notEqual">
      <formula>0</formula>
    </cfRule>
  </conditionalFormatting>
  <conditionalFormatting sqref="AX884">
    <cfRule type="cellIs" dxfId="2619" priority="207" operator="notEqual">
      <formula>0</formula>
    </cfRule>
  </conditionalFormatting>
  <conditionalFormatting sqref="AX887">
    <cfRule type="cellIs" dxfId="2618" priority="206" operator="notEqual">
      <formula>0</formula>
    </cfRule>
  </conditionalFormatting>
  <conditionalFormatting sqref="AX90:AX93">
    <cfRule type="cellIs" dxfId="2617" priority="205" operator="notEqual">
      <formula>0</formula>
    </cfRule>
  </conditionalFormatting>
  <conditionalFormatting sqref="AX100">
    <cfRule type="cellIs" dxfId="2616" priority="204" operator="notEqual">
      <formula>0</formula>
    </cfRule>
  </conditionalFormatting>
  <conditionalFormatting sqref="AX99">
    <cfRule type="cellIs" dxfId="2615" priority="203" operator="notEqual">
      <formula>0</formula>
    </cfRule>
  </conditionalFormatting>
  <conditionalFormatting sqref="AX114">
    <cfRule type="cellIs" dxfId="2614" priority="202" operator="notEqual">
      <formula>0</formula>
    </cfRule>
  </conditionalFormatting>
  <conditionalFormatting sqref="AX116">
    <cfRule type="cellIs" dxfId="2613" priority="201" operator="notEqual">
      <formula>0</formula>
    </cfRule>
  </conditionalFormatting>
  <conditionalFormatting sqref="AX118">
    <cfRule type="cellIs" dxfId="2612" priority="200" operator="notEqual">
      <formula>0</formula>
    </cfRule>
  </conditionalFormatting>
  <conditionalFormatting sqref="AX122">
    <cfRule type="cellIs" dxfId="2611" priority="199" operator="notEqual">
      <formula>0</formula>
    </cfRule>
  </conditionalFormatting>
  <conditionalFormatting sqref="AX125">
    <cfRule type="cellIs" dxfId="2610" priority="198" operator="notEqual">
      <formula>0</formula>
    </cfRule>
  </conditionalFormatting>
  <conditionalFormatting sqref="AX127:AX128">
    <cfRule type="cellIs" dxfId="2609" priority="197" operator="notEqual">
      <formula>0</formula>
    </cfRule>
  </conditionalFormatting>
  <conditionalFormatting sqref="AX130">
    <cfRule type="cellIs" dxfId="2608" priority="196" operator="notEqual">
      <formula>0</formula>
    </cfRule>
  </conditionalFormatting>
  <conditionalFormatting sqref="AX132:AX133">
    <cfRule type="cellIs" dxfId="2607" priority="195" operator="notEqual">
      <formula>0</formula>
    </cfRule>
  </conditionalFormatting>
  <conditionalFormatting sqref="AX135">
    <cfRule type="cellIs" dxfId="2606" priority="194" operator="notEqual">
      <formula>0</formula>
    </cfRule>
  </conditionalFormatting>
  <conditionalFormatting sqref="AX139:AX140">
    <cfRule type="cellIs" dxfId="2605" priority="193" operator="notEqual">
      <formula>0</formula>
    </cfRule>
  </conditionalFormatting>
  <conditionalFormatting sqref="AX142:AX143">
    <cfRule type="cellIs" dxfId="2604" priority="192" operator="notEqual">
      <formula>0</formula>
    </cfRule>
  </conditionalFormatting>
  <conditionalFormatting sqref="AX146">
    <cfRule type="cellIs" dxfId="2603" priority="191" operator="notEqual">
      <formula>0</formula>
    </cfRule>
  </conditionalFormatting>
  <conditionalFormatting sqref="AX150:AX151">
    <cfRule type="cellIs" dxfId="2602" priority="190" operator="notEqual">
      <formula>0</formula>
    </cfRule>
  </conditionalFormatting>
  <conditionalFormatting sqref="AX173:AX175">
    <cfRule type="cellIs" dxfId="2601" priority="189" operator="notEqual">
      <formula>0</formula>
    </cfRule>
  </conditionalFormatting>
  <conditionalFormatting sqref="AX184">
    <cfRule type="cellIs" dxfId="2600" priority="188" operator="notEqual">
      <formula>0</formula>
    </cfRule>
  </conditionalFormatting>
  <conditionalFormatting sqref="AX186:AX187">
    <cfRule type="cellIs" dxfId="2599" priority="187" operator="notEqual">
      <formula>0</formula>
    </cfRule>
  </conditionalFormatting>
  <conditionalFormatting sqref="AX190">
    <cfRule type="cellIs" dxfId="2598" priority="186" operator="notEqual">
      <formula>0</formula>
    </cfRule>
  </conditionalFormatting>
  <conditionalFormatting sqref="AX195">
    <cfRule type="cellIs" dxfId="2597" priority="185" operator="notEqual">
      <formula>0</formula>
    </cfRule>
  </conditionalFormatting>
  <conditionalFormatting sqref="AX197:AX198">
    <cfRule type="cellIs" dxfId="2596" priority="184" operator="notEqual">
      <formula>0</formula>
    </cfRule>
  </conditionalFormatting>
  <conditionalFormatting sqref="AX220">
    <cfRule type="cellIs" dxfId="2595" priority="183" operator="notEqual">
      <formula>0</formula>
    </cfRule>
  </conditionalFormatting>
  <conditionalFormatting sqref="AV219">
    <cfRule type="cellIs" dxfId="2594" priority="182" operator="notEqual">
      <formula>0</formula>
    </cfRule>
  </conditionalFormatting>
  <conditionalFormatting sqref="AX219">
    <cfRule type="cellIs" dxfId="2593" priority="181" operator="notEqual">
      <formula>0</formula>
    </cfRule>
  </conditionalFormatting>
  <conditionalFormatting sqref="AX222">
    <cfRule type="cellIs" dxfId="2592" priority="180" operator="notEqual">
      <formula>0</formula>
    </cfRule>
  </conditionalFormatting>
  <conditionalFormatting sqref="AX224:AX228">
    <cfRule type="cellIs" dxfId="2591" priority="179" operator="notEqual">
      <formula>0</formula>
    </cfRule>
  </conditionalFormatting>
  <conditionalFormatting sqref="AX232:AX235">
    <cfRule type="cellIs" dxfId="2590" priority="178" operator="notEqual">
      <formula>0</formula>
    </cfRule>
  </conditionalFormatting>
  <conditionalFormatting sqref="AX237:AX238">
    <cfRule type="cellIs" dxfId="2589" priority="177" operator="notEqual">
      <formula>0</formula>
    </cfRule>
  </conditionalFormatting>
  <conditionalFormatting sqref="AX241:AX244">
    <cfRule type="cellIs" dxfId="2588" priority="176" operator="notEqual">
      <formula>0</formula>
    </cfRule>
  </conditionalFormatting>
  <conditionalFormatting sqref="AX251:AX252">
    <cfRule type="cellIs" dxfId="2587" priority="175" operator="notEqual">
      <formula>0</formula>
    </cfRule>
  </conditionalFormatting>
  <conditionalFormatting sqref="AX257:AX266">
    <cfRule type="cellIs" dxfId="2586" priority="174" operator="notEqual">
      <formula>0</formula>
    </cfRule>
  </conditionalFormatting>
  <conditionalFormatting sqref="AX284">
    <cfRule type="cellIs" dxfId="2585" priority="173" operator="notEqual">
      <formula>0</formula>
    </cfRule>
  </conditionalFormatting>
  <conditionalFormatting sqref="AX337">
    <cfRule type="cellIs" dxfId="2584" priority="172" operator="notEqual">
      <formula>0</formula>
    </cfRule>
  </conditionalFormatting>
  <conditionalFormatting sqref="AX364:AX367">
    <cfRule type="cellIs" dxfId="2583" priority="171" operator="notEqual">
      <formula>0</formula>
    </cfRule>
  </conditionalFormatting>
  <conditionalFormatting sqref="AX363">
    <cfRule type="cellIs" dxfId="2582" priority="170" operator="notEqual">
      <formula>0</formula>
    </cfRule>
  </conditionalFormatting>
  <conditionalFormatting sqref="AX380:AX382">
    <cfRule type="cellIs" dxfId="2581" priority="169" operator="notEqual">
      <formula>0</formula>
    </cfRule>
  </conditionalFormatting>
  <conditionalFormatting sqref="AX416">
    <cfRule type="cellIs" dxfId="2580" priority="168" operator="notEqual">
      <formula>0</formula>
    </cfRule>
  </conditionalFormatting>
  <conditionalFormatting sqref="AX566:AX569">
    <cfRule type="cellIs" dxfId="2579" priority="167" operator="notEqual">
      <formula>0</formula>
    </cfRule>
  </conditionalFormatting>
  <conditionalFormatting sqref="AX571:AX572">
    <cfRule type="cellIs" dxfId="2578" priority="166" operator="notEqual">
      <formula>0</formula>
    </cfRule>
  </conditionalFormatting>
  <conditionalFormatting sqref="AX576:AX578">
    <cfRule type="cellIs" dxfId="2577" priority="165" operator="notEqual">
      <formula>0</formula>
    </cfRule>
  </conditionalFormatting>
  <conditionalFormatting sqref="AX580">
    <cfRule type="cellIs" dxfId="2576" priority="164" operator="notEqual">
      <formula>0</formula>
    </cfRule>
  </conditionalFormatting>
  <conditionalFormatting sqref="AX835:AX836">
    <cfRule type="cellIs" dxfId="2575" priority="163" operator="notEqual">
      <formula>0</formula>
    </cfRule>
  </conditionalFormatting>
  <conditionalFormatting sqref="AX842:AX845">
    <cfRule type="cellIs" dxfId="2574" priority="162" operator="notEqual">
      <formula>0</formula>
    </cfRule>
  </conditionalFormatting>
  <conditionalFormatting sqref="AX848">
    <cfRule type="cellIs" dxfId="2573" priority="161" operator="notEqual">
      <formula>0</formula>
    </cfRule>
  </conditionalFormatting>
  <conditionalFormatting sqref="AX868:AX875">
    <cfRule type="cellIs" dxfId="2572" priority="160" operator="notEqual">
      <formula>0</formula>
    </cfRule>
  </conditionalFormatting>
  <conditionalFormatting sqref="AX885:AX886">
    <cfRule type="cellIs" dxfId="2571" priority="159" operator="notEqual">
      <formula>0</formula>
    </cfRule>
  </conditionalFormatting>
  <conditionalFormatting sqref="H13:L13">
    <cfRule type="cellIs" dxfId="2570" priority="158" operator="notEqual">
      <formula>0</formula>
    </cfRule>
  </conditionalFormatting>
  <conditionalFormatting sqref="S76:T87 S89:T93 S14:T70 S72:T74">
    <cfRule type="cellIs" dxfId="2569" priority="157" stopIfTrue="1" operator="lessThan">
      <formula>0</formula>
    </cfRule>
  </conditionalFormatting>
  <conditionalFormatting sqref="S94:T101">
    <cfRule type="cellIs" dxfId="2568" priority="156" stopIfTrue="1" operator="lessThan">
      <formula>0</formula>
    </cfRule>
  </conditionalFormatting>
  <conditionalFormatting sqref="S103:T114">
    <cfRule type="cellIs" dxfId="2567" priority="155" stopIfTrue="1" operator="lessThan">
      <formula>0</formula>
    </cfRule>
  </conditionalFormatting>
  <conditionalFormatting sqref="S116:T116">
    <cfRule type="cellIs" dxfId="2566" priority="154" stopIfTrue="1" operator="lessThan">
      <formula>0</formula>
    </cfRule>
  </conditionalFormatting>
  <conditionalFormatting sqref="S156:T166 S152:T153 S150:T150 S124:T148 S120:T121 S118:T118 S176:T284">
    <cfRule type="cellIs" dxfId="2565" priority="153" stopIfTrue="1" operator="lessThan">
      <formula>0</formula>
    </cfRule>
  </conditionalFormatting>
  <conditionalFormatting sqref="T286 S338:T382 S291:T292 T289:T290 S294:T335 T293">
    <cfRule type="cellIs" dxfId="2564" priority="152" stopIfTrue="1" operator="lessThan">
      <formula>0</formula>
    </cfRule>
  </conditionalFormatting>
  <conditionalFormatting sqref="S336:T337">
    <cfRule type="cellIs" dxfId="2563" priority="151" stopIfTrue="1" operator="lessThan">
      <formula>0</formula>
    </cfRule>
  </conditionalFormatting>
  <conditionalFormatting sqref="S384:T401">
    <cfRule type="cellIs" dxfId="2562" priority="150" stopIfTrue="1" operator="lessThan">
      <formula>0</formula>
    </cfRule>
  </conditionalFormatting>
  <conditionalFormatting sqref="S410:T419 S566:T569 S450:T460 S448:T448 S444:T446 S421:T441 S561:T564 S556:T559 S550:T553 S534:T539 S525:T532 S509:T521 S503:T507 S495:T496 S484:T493 S467:T482">
    <cfRule type="cellIs" dxfId="2561" priority="149" stopIfTrue="1" operator="lessThan">
      <formula>0</formula>
    </cfRule>
  </conditionalFormatting>
  <conditionalFormatting sqref="S571:T579 S592:T593 S588:T589">
    <cfRule type="cellIs" dxfId="2560" priority="148" stopIfTrue="1" operator="lessThan">
      <formula>0</formula>
    </cfRule>
  </conditionalFormatting>
  <conditionalFormatting sqref="S581:T587 T580">
    <cfRule type="cellIs" dxfId="2559" priority="147" stopIfTrue="1" operator="lessThan">
      <formula>0</formula>
    </cfRule>
  </conditionalFormatting>
  <conditionalFormatting sqref="S580">
    <cfRule type="cellIs" dxfId="2558" priority="146" stopIfTrue="1" operator="lessThan">
      <formula>0</formula>
    </cfRule>
  </conditionalFormatting>
  <conditionalFormatting sqref="S628:T649 S651:T651 S753:T758 S739:T744 S734:T737 S722:T729 S716:T719 S695:T697 S693:T693 S686:T691 S683:T683 S679:T681 S815:T820 S811:T812 S803:T804 S796:T800 S792:T792 S788:T789 S768:T770 S764:T764 S602:T626 S653:T677">
    <cfRule type="cellIs" dxfId="2557" priority="145" stopIfTrue="1" operator="lessThan">
      <formula>0</formula>
    </cfRule>
  </conditionalFormatting>
  <conditionalFormatting sqref="S832:T887">
    <cfRule type="cellIs" dxfId="2556" priority="144" stopIfTrue="1" operator="lessThan">
      <formula>0</formula>
    </cfRule>
  </conditionalFormatting>
  <conditionalFormatting sqref="AG14:AH45">
    <cfRule type="cellIs" dxfId="2555" priority="143" stopIfTrue="1" operator="lessThan">
      <formula>0</formula>
    </cfRule>
  </conditionalFormatting>
  <conditionalFormatting sqref="AG46:AH69">
    <cfRule type="cellIs" dxfId="2554" priority="142" stopIfTrue="1" operator="lessThan">
      <formula>0</formula>
    </cfRule>
  </conditionalFormatting>
  <conditionalFormatting sqref="AG72:AH74 AG76:AH87 AG89:AH101">
    <cfRule type="cellIs" dxfId="2553" priority="141" stopIfTrue="1" operator="lessThan">
      <formula>0</formula>
    </cfRule>
  </conditionalFormatting>
  <conditionalFormatting sqref="AG103:AH112">
    <cfRule type="cellIs" dxfId="2552" priority="140" stopIfTrue="1" operator="lessThan">
      <formula>0</formula>
    </cfRule>
  </conditionalFormatting>
  <conditionalFormatting sqref="AG114:AH114">
    <cfRule type="cellIs" dxfId="2551" priority="139" stopIfTrue="1" operator="lessThan">
      <formula>0</formula>
    </cfRule>
  </conditionalFormatting>
  <conditionalFormatting sqref="AG116:AH116">
    <cfRule type="cellIs" dxfId="2550" priority="138" stopIfTrue="1" operator="lessThan">
      <formula>0</formula>
    </cfRule>
  </conditionalFormatting>
  <conditionalFormatting sqref="AG118:AH118 AG120:AH121 AG152:AH153 AG150:AH150 AG124:AH148 AG156:AH166 AG176:AH186 AG188:AH284">
    <cfRule type="cellIs" dxfId="2549" priority="137" stopIfTrue="1" operator="lessThan">
      <formula>0</formula>
    </cfRule>
  </conditionalFormatting>
  <conditionalFormatting sqref="AG187:AH187">
    <cfRule type="cellIs" dxfId="2548" priority="136" stopIfTrue="1" operator="lessThan">
      <formula>0</formula>
    </cfRule>
  </conditionalFormatting>
  <conditionalFormatting sqref="AG286:AH335 AG338:AH382">
    <cfRule type="cellIs" dxfId="2547" priority="135" stopIfTrue="1" operator="lessThan">
      <formula>0</formula>
    </cfRule>
  </conditionalFormatting>
  <conditionalFormatting sqref="AG336:AH337">
    <cfRule type="cellIs" dxfId="2546" priority="134" stopIfTrue="1" operator="lessThan">
      <formula>0</formula>
    </cfRule>
  </conditionalFormatting>
  <conditionalFormatting sqref="AG832:AH887">
    <cfRule type="cellIs" dxfId="2545" priority="126" stopIfTrue="1" operator="lessThan">
      <formula>0</formula>
    </cfRule>
  </conditionalFormatting>
  <conditionalFormatting sqref="AG384:AH409">
    <cfRule type="cellIs" dxfId="2544" priority="132" stopIfTrue="1" operator="lessThan">
      <formula>0</formula>
    </cfRule>
  </conditionalFormatting>
  <conditionalFormatting sqref="AG410:AH419 AG421:AH441 AG566:AH569 AG450:AH460 AG448:AH448 AG444:AH446 AG561:AH564 AG556:AH559 AG550:AH553 AG534:AH539 AG525:AH532 AG509:AH521 AG503:AH507 AG495:AH496 AG484:AH493 AG467:AH482">
    <cfRule type="cellIs" dxfId="2543" priority="131" stopIfTrue="1" operator="lessThan">
      <formula>0</formula>
    </cfRule>
  </conditionalFormatting>
  <conditionalFormatting sqref="AG571:AH579 AG592:AH593 AG588:AH589">
    <cfRule type="cellIs" dxfId="2542" priority="130" stopIfTrue="1" operator="lessThan">
      <formula>0</formula>
    </cfRule>
  </conditionalFormatting>
  <conditionalFormatting sqref="AG581:AH587 AH580">
    <cfRule type="cellIs" dxfId="2541" priority="129" stopIfTrue="1" operator="lessThan">
      <formula>0</formula>
    </cfRule>
  </conditionalFormatting>
  <conditionalFormatting sqref="AG580">
    <cfRule type="cellIs" dxfId="2540" priority="128" stopIfTrue="1" operator="lessThan">
      <formula>0</formula>
    </cfRule>
  </conditionalFormatting>
  <conditionalFormatting sqref="AG602:AH626 AG651:AH651 AG628:AH649 AG693:AH693 AG686:AH691 AG683:AH683 AG679:AH681 AG653:AH677 AG716:AH719 AG695:AH697 AG739:AH744 AG734:AH737 AG722:AH729 AG768:AH770 AG764:AH764 AG753:AH758 AG792:AH792 AG788:AH789 AG815:AH820 AG811:AH812 AG803:AH804 AG796:AH800">
    <cfRule type="cellIs" dxfId="2539" priority="127" stopIfTrue="1" operator="lessThan">
      <formula>0</formula>
    </cfRule>
  </conditionalFormatting>
  <conditionalFormatting sqref="AR44:AT828">
    <cfRule type="cellIs" dxfId="2538" priority="125" stopIfTrue="1" operator="notEqual">
      <formula>0</formula>
    </cfRule>
  </conditionalFormatting>
  <conditionalFormatting sqref="AR832:AT887">
    <cfRule type="cellIs" dxfId="2537" priority="124" stopIfTrue="1" operator="notEqual">
      <formula>0</formula>
    </cfRule>
  </conditionalFormatting>
  <conditionalFormatting sqref="AP94:AP101 AO71:AO93">
    <cfRule type="cellIs" dxfId="2536" priority="122" stopIfTrue="1" operator="lessThan">
      <formula>0</formula>
    </cfRule>
  </conditionalFormatting>
  <conditionalFormatting sqref="AP322">
    <cfRule type="cellIs" dxfId="2535" priority="120" stopIfTrue="1" operator="lessThan">
      <formula>0</formula>
    </cfRule>
  </conditionalFormatting>
  <conditionalFormatting sqref="AP327:AP330">
    <cfRule type="cellIs" dxfId="2534" priority="119" stopIfTrue="1" operator="lessThan">
      <formula>0</formula>
    </cfRule>
  </conditionalFormatting>
  <conditionalFormatting sqref="AP337">
    <cfRule type="cellIs" dxfId="2533" priority="118" stopIfTrue="1" operator="lessThan">
      <formula>0</formula>
    </cfRule>
  </conditionalFormatting>
  <conditionalFormatting sqref="AP344:AP345">
    <cfRule type="cellIs" dxfId="2532" priority="117" stopIfTrue="1" operator="lessThan">
      <formula>0</formula>
    </cfRule>
  </conditionalFormatting>
  <conditionalFormatting sqref="AP364:AP367">
    <cfRule type="cellIs" dxfId="2531" priority="116" stopIfTrue="1" operator="lessThan">
      <formula>0</formula>
    </cfRule>
  </conditionalFormatting>
  <conditionalFormatting sqref="AP71:AP93">
    <cfRule type="cellIs" dxfId="2530" priority="115" stopIfTrue="1" operator="lessThan">
      <formula>0</formula>
    </cfRule>
  </conditionalFormatting>
  <conditionalFormatting sqref="AO94:AO101">
    <cfRule type="cellIs" dxfId="2529" priority="114" stopIfTrue="1" operator="lessThan">
      <formula>0</formula>
    </cfRule>
  </conditionalFormatting>
  <conditionalFormatting sqref="AO16:AP16 AO19:AO20 AP18 AO22 AP21 AO26:AO53 AP23 AO56:AO59 AP54:AP55 AO62:AO69 AO17">
    <cfRule type="cellIs" dxfId="2528" priority="113" stopIfTrue="1" operator="lessThan">
      <formula>0</formula>
    </cfRule>
  </conditionalFormatting>
  <conditionalFormatting sqref="AO14:AO15">
    <cfRule type="cellIs" dxfId="2527" priority="112" stopIfTrue="1" operator="lessThan">
      <formula>0</formula>
    </cfRule>
  </conditionalFormatting>
  <conditionalFormatting sqref="AO18">
    <cfRule type="cellIs" dxfId="2526" priority="111" stopIfTrue="1" operator="lessThan">
      <formula>0</formula>
    </cfRule>
  </conditionalFormatting>
  <conditionalFormatting sqref="AO21">
    <cfRule type="cellIs" dxfId="2525" priority="110" stopIfTrue="1" operator="lessThan">
      <formula>0</formula>
    </cfRule>
  </conditionalFormatting>
  <conditionalFormatting sqref="AO23:AO25">
    <cfRule type="cellIs" dxfId="2524" priority="109" stopIfTrue="1" operator="lessThan">
      <formula>0</formula>
    </cfRule>
  </conditionalFormatting>
  <conditionalFormatting sqref="AO54:AO55">
    <cfRule type="cellIs" dxfId="2523" priority="108" stopIfTrue="1" operator="lessThan">
      <formula>0</formula>
    </cfRule>
  </conditionalFormatting>
  <conditionalFormatting sqref="AO60:AO61">
    <cfRule type="cellIs" dxfId="2522" priority="107" stopIfTrue="1" operator="lessThan">
      <formula>0</formula>
    </cfRule>
  </conditionalFormatting>
  <conditionalFormatting sqref="AP14:AP15">
    <cfRule type="cellIs" dxfId="2521" priority="106" stopIfTrue="1" operator="lessThan">
      <formula>0</formula>
    </cfRule>
  </conditionalFormatting>
  <conditionalFormatting sqref="AP17">
    <cfRule type="cellIs" dxfId="2520" priority="105" stopIfTrue="1" operator="lessThan">
      <formula>0</formula>
    </cfRule>
  </conditionalFormatting>
  <conditionalFormatting sqref="AP19:AP20">
    <cfRule type="cellIs" dxfId="2519" priority="104" stopIfTrue="1" operator="lessThan">
      <formula>0</formula>
    </cfRule>
  </conditionalFormatting>
  <conditionalFormatting sqref="AP22">
    <cfRule type="cellIs" dxfId="2518" priority="103" stopIfTrue="1" operator="lessThan">
      <formula>0</formula>
    </cfRule>
  </conditionalFormatting>
  <conditionalFormatting sqref="AP24:AP53">
    <cfRule type="cellIs" dxfId="2517" priority="102" stopIfTrue="1" operator="lessThan">
      <formula>0</formula>
    </cfRule>
  </conditionalFormatting>
  <conditionalFormatting sqref="AP56:AP69">
    <cfRule type="cellIs" dxfId="2516" priority="101" stopIfTrue="1" operator="lessThan">
      <formula>0</formula>
    </cfRule>
  </conditionalFormatting>
  <conditionalFormatting sqref="AP124 AO150 AP152:AP153 AP156:AP159 AP185 AP188:AP189 AO118:AP118 AO114 AP126 AO125 AP129 AO127:AO128 AP131 AO130 AP134 AO132:AO133 AP136:AP138 AO135 AP141 AO139:AO140 AP144:AP145 AO142:AO143 AP147:AP148 AO146 AP161:AP166 AO184 AO186 AP196 AO190 AP219 AO197 AP221 AO220 AP223 AO222 AP229:AP231 AO224:AO228 AP236 AO232:AO235 AP239:AP240 AO237:AO238 AP245:AP250 AO241:AO244 AP253:AP256 AO251:AO252 AP283 AO257:AO266 AO284 AO116 AO195">
    <cfRule type="cellIs" dxfId="2515" priority="100" stopIfTrue="1" operator="lessThan">
      <formula>0</formula>
    </cfRule>
  </conditionalFormatting>
  <conditionalFormatting sqref="AO187">
    <cfRule type="cellIs" dxfId="2514" priority="99" stopIfTrue="1" operator="lessThan">
      <formula>0</formula>
    </cfRule>
  </conditionalFormatting>
  <conditionalFormatting sqref="AP116">
    <cfRule type="cellIs" dxfId="2513" priority="98" stopIfTrue="1" operator="lessThan">
      <formula>0</formula>
    </cfRule>
  </conditionalFormatting>
  <conditionalFormatting sqref="AP115">
    <cfRule type="cellIs" dxfId="2512" priority="97" stopIfTrue="1" operator="lessThan">
      <formula>0</formula>
    </cfRule>
  </conditionalFormatting>
  <conditionalFormatting sqref="AP117">
    <cfRule type="cellIs" dxfId="2511" priority="96" stopIfTrue="1" operator="lessThan">
      <formula>0</formula>
    </cfRule>
  </conditionalFormatting>
  <conditionalFormatting sqref="AP114">
    <cfRule type="cellIs" dxfId="2510" priority="95" stopIfTrue="1" operator="lessThan">
      <formula>0</formula>
    </cfRule>
  </conditionalFormatting>
  <conditionalFormatting sqref="AP120:AP122">
    <cfRule type="cellIs" dxfId="2509" priority="94" stopIfTrue="1" operator="lessThan">
      <formula>0</formula>
    </cfRule>
  </conditionalFormatting>
  <conditionalFormatting sqref="AP125">
    <cfRule type="cellIs" dxfId="2508" priority="93" stopIfTrue="1" operator="lessThan">
      <formula>0</formula>
    </cfRule>
  </conditionalFormatting>
  <conditionalFormatting sqref="AP127:AP128">
    <cfRule type="cellIs" dxfId="2507" priority="92" stopIfTrue="1" operator="lessThan">
      <formula>0</formula>
    </cfRule>
  </conditionalFormatting>
  <conditionalFormatting sqref="AP130">
    <cfRule type="cellIs" dxfId="2506" priority="91" stopIfTrue="1" operator="lessThan">
      <formula>0</formula>
    </cfRule>
  </conditionalFormatting>
  <conditionalFormatting sqref="AP132:AP133">
    <cfRule type="cellIs" dxfId="2505" priority="90" stopIfTrue="1" operator="lessThan">
      <formula>0</formula>
    </cfRule>
  </conditionalFormatting>
  <conditionalFormatting sqref="AP135">
    <cfRule type="cellIs" dxfId="2504" priority="89" stopIfTrue="1" operator="lessThan">
      <formula>0</formula>
    </cfRule>
  </conditionalFormatting>
  <conditionalFormatting sqref="AP139:AP140">
    <cfRule type="cellIs" dxfId="2503" priority="88" stopIfTrue="1" operator="lessThan">
      <formula>0</formula>
    </cfRule>
  </conditionalFormatting>
  <conditionalFormatting sqref="AP142:AP143">
    <cfRule type="cellIs" dxfId="2502" priority="87" stopIfTrue="1" operator="lessThan">
      <formula>0</formula>
    </cfRule>
  </conditionalFormatting>
  <conditionalFormatting sqref="AP146">
    <cfRule type="cellIs" dxfId="2501" priority="86" stopIfTrue="1" operator="lessThan">
      <formula>0</formula>
    </cfRule>
  </conditionalFormatting>
  <conditionalFormatting sqref="AP150:AP151">
    <cfRule type="cellIs" dxfId="2500" priority="85" stopIfTrue="1" operator="lessThan">
      <formula>0</formula>
    </cfRule>
  </conditionalFormatting>
  <conditionalFormatting sqref="AP160">
    <cfRule type="cellIs" dxfId="2499" priority="84" stopIfTrue="1" operator="lessThan">
      <formula>0</formula>
    </cfRule>
  </conditionalFormatting>
  <conditionalFormatting sqref="AP173:AP184">
    <cfRule type="cellIs" dxfId="2498" priority="83" stopIfTrue="1" operator="lessThan">
      <formula>0</formula>
    </cfRule>
  </conditionalFormatting>
  <conditionalFormatting sqref="AP186:AP187">
    <cfRule type="cellIs" dxfId="2497" priority="82" stopIfTrue="1" operator="lessThan">
      <formula>0</formula>
    </cfRule>
  </conditionalFormatting>
  <conditionalFormatting sqref="AP190:AP195">
    <cfRule type="cellIs" dxfId="2496" priority="81" stopIfTrue="1" operator="lessThan">
      <formula>0</formula>
    </cfRule>
  </conditionalFormatting>
  <conditionalFormatting sqref="AP197:AP218">
    <cfRule type="cellIs" dxfId="2495" priority="80" stopIfTrue="1" operator="lessThan">
      <formula>0</formula>
    </cfRule>
  </conditionalFormatting>
  <conditionalFormatting sqref="AP220">
    <cfRule type="cellIs" dxfId="2494" priority="79" stopIfTrue="1" operator="lessThan">
      <formula>0</formula>
    </cfRule>
  </conditionalFormatting>
  <conditionalFormatting sqref="AP222">
    <cfRule type="cellIs" dxfId="2493" priority="78" stopIfTrue="1" operator="lessThan">
      <formula>0</formula>
    </cfRule>
  </conditionalFormatting>
  <conditionalFormatting sqref="AP224:AP228">
    <cfRule type="cellIs" dxfId="2492" priority="77" stopIfTrue="1" operator="lessThan">
      <formula>0</formula>
    </cfRule>
  </conditionalFormatting>
  <conditionalFormatting sqref="AP232:AP235">
    <cfRule type="cellIs" dxfId="2491" priority="76" stopIfTrue="1" operator="lessThan">
      <formula>0</formula>
    </cfRule>
  </conditionalFormatting>
  <conditionalFormatting sqref="AP237:AP238">
    <cfRule type="cellIs" dxfId="2490" priority="75" stopIfTrue="1" operator="lessThan">
      <formula>0</formula>
    </cfRule>
  </conditionalFormatting>
  <conditionalFormatting sqref="AP241:AP244">
    <cfRule type="cellIs" dxfId="2489" priority="74" stopIfTrue="1" operator="lessThan">
      <formula>0</formula>
    </cfRule>
  </conditionalFormatting>
  <conditionalFormatting sqref="AP251:AP252">
    <cfRule type="cellIs" dxfId="2488" priority="73" stopIfTrue="1" operator="lessThan">
      <formula>0</formula>
    </cfRule>
  </conditionalFormatting>
  <conditionalFormatting sqref="AP257:AP282">
    <cfRule type="cellIs" dxfId="2487" priority="72" stopIfTrue="1" operator="lessThan">
      <formula>0</formula>
    </cfRule>
  </conditionalFormatting>
  <conditionalFormatting sqref="AP284">
    <cfRule type="cellIs" dxfId="2486" priority="71" stopIfTrue="1" operator="lessThan">
      <formula>0</formula>
    </cfRule>
  </conditionalFormatting>
  <conditionalFormatting sqref="AO115">
    <cfRule type="cellIs" dxfId="2485" priority="70" stopIfTrue="1" operator="lessThan">
      <formula>0</formula>
    </cfRule>
  </conditionalFormatting>
  <conditionalFormatting sqref="AO117">
    <cfRule type="cellIs" dxfId="2484" priority="69" stopIfTrue="1" operator="lessThan">
      <formula>0</formula>
    </cfRule>
  </conditionalFormatting>
  <conditionalFormatting sqref="AO119:AO121">
    <cfRule type="cellIs" dxfId="2483" priority="68" stopIfTrue="1" operator="lessThan">
      <formula>0</formula>
    </cfRule>
  </conditionalFormatting>
  <conditionalFormatting sqref="AO123:AO124">
    <cfRule type="cellIs" dxfId="2482" priority="67" stopIfTrue="1" operator="lessThan">
      <formula>0</formula>
    </cfRule>
  </conditionalFormatting>
  <conditionalFormatting sqref="AO126">
    <cfRule type="cellIs" dxfId="2481" priority="66" stopIfTrue="1" operator="lessThan">
      <formula>0</formula>
    </cfRule>
  </conditionalFormatting>
  <conditionalFormatting sqref="AO129">
    <cfRule type="cellIs" dxfId="2480" priority="65" stopIfTrue="1" operator="lessThan">
      <formula>0</formula>
    </cfRule>
  </conditionalFormatting>
  <conditionalFormatting sqref="AO131">
    <cfRule type="cellIs" dxfId="2479" priority="64" stopIfTrue="1" operator="lessThan">
      <formula>0</formula>
    </cfRule>
  </conditionalFormatting>
  <conditionalFormatting sqref="AO134">
    <cfRule type="cellIs" dxfId="2478" priority="63" stopIfTrue="1" operator="lessThan">
      <formula>0</formula>
    </cfRule>
  </conditionalFormatting>
  <conditionalFormatting sqref="AO136:AO138">
    <cfRule type="cellIs" dxfId="2477" priority="62" stopIfTrue="1" operator="lessThan">
      <formula>0</formula>
    </cfRule>
  </conditionalFormatting>
  <conditionalFormatting sqref="AO141">
    <cfRule type="cellIs" dxfId="2476" priority="61" stopIfTrue="1" operator="lessThan">
      <formula>0</formula>
    </cfRule>
  </conditionalFormatting>
  <conditionalFormatting sqref="AO144:AO145">
    <cfRule type="cellIs" dxfId="2475" priority="60" stopIfTrue="1" operator="lessThan">
      <formula>0</formula>
    </cfRule>
  </conditionalFormatting>
  <conditionalFormatting sqref="AO147:AO149">
    <cfRule type="cellIs" dxfId="2474" priority="59" stopIfTrue="1" operator="lessThan">
      <formula>0</formula>
    </cfRule>
  </conditionalFormatting>
  <conditionalFormatting sqref="AO152:AO172">
    <cfRule type="cellIs" dxfId="2473" priority="58" stopIfTrue="1" operator="lessThan">
      <formula>0</formula>
    </cfRule>
  </conditionalFormatting>
  <conditionalFormatting sqref="AO176:AO183">
    <cfRule type="cellIs" dxfId="2472" priority="57" stopIfTrue="1" operator="lessThan">
      <formula>0</formula>
    </cfRule>
  </conditionalFormatting>
  <conditionalFormatting sqref="AO185">
    <cfRule type="cellIs" dxfId="2471" priority="56" stopIfTrue="1" operator="lessThan">
      <formula>0</formula>
    </cfRule>
  </conditionalFormatting>
  <conditionalFormatting sqref="AO188:AO189">
    <cfRule type="cellIs" dxfId="2470" priority="55" stopIfTrue="1" operator="lessThan">
      <formula>0</formula>
    </cfRule>
  </conditionalFormatting>
  <conditionalFormatting sqref="AO191:AO194">
    <cfRule type="cellIs" dxfId="2469" priority="54" stopIfTrue="1" operator="lessThan">
      <formula>0</formula>
    </cfRule>
  </conditionalFormatting>
  <conditionalFormatting sqref="AO196">
    <cfRule type="cellIs" dxfId="2468" priority="53" stopIfTrue="1" operator="lessThan">
      <formula>0</formula>
    </cfRule>
  </conditionalFormatting>
  <conditionalFormatting sqref="AO199:AO219">
    <cfRule type="cellIs" dxfId="2467" priority="52" stopIfTrue="1" operator="lessThan">
      <formula>0</formula>
    </cfRule>
  </conditionalFormatting>
  <conditionalFormatting sqref="AO221">
    <cfRule type="cellIs" dxfId="2466" priority="51" stopIfTrue="1" operator="lessThan">
      <formula>0</formula>
    </cfRule>
  </conditionalFormatting>
  <conditionalFormatting sqref="AO223">
    <cfRule type="cellIs" dxfId="2465" priority="50" stopIfTrue="1" operator="lessThan">
      <formula>0</formula>
    </cfRule>
  </conditionalFormatting>
  <conditionalFormatting sqref="AO229:AO231">
    <cfRule type="cellIs" dxfId="2464" priority="49" stopIfTrue="1" operator="lessThan">
      <formula>0</formula>
    </cfRule>
  </conditionalFormatting>
  <conditionalFormatting sqref="AO236">
    <cfRule type="cellIs" dxfId="2463" priority="48" stopIfTrue="1" operator="lessThan">
      <formula>0</formula>
    </cfRule>
  </conditionalFormatting>
  <conditionalFormatting sqref="AO239:AO240">
    <cfRule type="cellIs" dxfId="2462" priority="47" stopIfTrue="1" operator="lessThan">
      <formula>0</formula>
    </cfRule>
  </conditionalFormatting>
  <conditionalFormatting sqref="AO245:AO250">
    <cfRule type="cellIs" dxfId="2461" priority="46" stopIfTrue="1" operator="lessThan">
      <formula>0</formula>
    </cfRule>
  </conditionalFormatting>
  <conditionalFormatting sqref="AO253:AO256">
    <cfRule type="cellIs" dxfId="2460" priority="45" stopIfTrue="1" operator="lessThan">
      <formula>0</formula>
    </cfRule>
  </conditionalFormatting>
  <conditionalFormatting sqref="AO267:AO283">
    <cfRule type="cellIs" dxfId="2459" priority="44" stopIfTrue="1" operator="lessThan">
      <formula>0</formula>
    </cfRule>
  </conditionalFormatting>
  <conditionalFormatting sqref="Z915">
    <cfRule type="cellIs" dxfId="2458" priority="41" stopIfTrue="1" operator="notEqual">
      <formula>"O K"</formula>
    </cfRule>
  </conditionalFormatting>
  <conditionalFormatting sqref="AA915">
    <cfRule type="cellIs" dxfId="2457" priority="40" stopIfTrue="1" operator="notEqual">
      <formula>"O K"</formula>
    </cfRule>
  </conditionalFormatting>
  <conditionalFormatting sqref="S287:T287">
    <cfRule type="cellIs" dxfId="2456" priority="39" stopIfTrue="1" operator="lessThan">
      <formula>0</formula>
    </cfRule>
  </conditionalFormatting>
  <conditionalFormatting sqref="S288:T288">
    <cfRule type="cellIs" dxfId="2455" priority="38" stopIfTrue="1" operator="lessThan">
      <formula>0</formula>
    </cfRule>
  </conditionalFormatting>
  <conditionalFormatting sqref="Q286">
    <cfRule type="cellIs" dxfId="2454" priority="37" stopIfTrue="1" operator="lessThan">
      <formula>0</formula>
    </cfRule>
  </conditionalFormatting>
  <conditionalFormatting sqref="R286">
    <cfRule type="cellIs" dxfId="2453" priority="36" stopIfTrue="1" operator="lessThan">
      <formula>0</formula>
    </cfRule>
  </conditionalFormatting>
  <conditionalFormatting sqref="O289:P290">
    <cfRule type="cellIs" dxfId="2452" priority="35" stopIfTrue="1" operator="lessThan">
      <formula>0</formula>
    </cfRule>
  </conditionalFormatting>
  <conditionalFormatting sqref="Q289:Q290">
    <cfRule type="cellIs" dxfId="2451" priority="34" stopIfTrue="1" operator="lessThan">
      <formula>0</formula>
    </cfRule>
  </conditionalFormatting>
  <conditionalFormatting sqref="R289:R290">
    <cfRule type="cellIs" dxfId="2450" priority="33" stopIfTrue="1" operator="lessThan">
      <formula>0</formula>
    </cfRule>
  </conditionalFormatting>
  <conditionalFormatting sqref="O293:P293">
    <cfRule type="cellIs" dxfId="2449" priority="32" stopIfTrue="1" operator="lessThan">
      <formula>0</formula>
    </cfRule>
  </conditionalFormatting>
  <conditionalFormatting sqref="Q293">
    <cfRule type="cellIs" dxfId="2448" priority="31" stopIfTrue="1" operator="lessThan">
      <formula>0</formula>
    </cfRule>
  </conditionalFormatting>
  <conditionalFormatting sqref="R293">
    <cfRule type="cellIs" dxfId="2447" priority="30" stopIfTrue="1" operator="lessThan">
      <formula>0</formula>
    </cfRule>
  </conditionalFormatting>
  <conditionalFormatting sqref="P640">
    <cfRule type="cellIs" dxfId="2446" priority="29" stopIfTrue="1" operator="lessThan">
      <formula>0</formula>
    </cfRule>
  </conditionalFormatting>
  <conditionalFormatting sqref="Q640">
    <cfRule type="cellIs" dxfId="2445" priority="28" stopIfTrue="1" operator="lessThan">
      <formula>0</formula>
    </cfRule>
  </conditionalFormatting>
  <conditionalFormatting sqref="R640">
    <cfRule type="cellIs" dxfId="2444" priority="27" stopIfTrue="1" operator="lessThan">
      <formula>0</formula>
    </cfRule>
  </conditionalFormatting>
  <conditionalFormatting sqref="O640">
    <cfRule type="cellIs" dxfId="2443" priority="26" stopIfTrue="1" operator="lessThan">
      <formula>0</formula>
    </cfRule>
  </conditionalFormatting>
  <conditionalFormatting sqref="P667">
    <cfRule type="cellIs" dxfId="2442" priority="25" stopIfTrue="1" operator="lessThan">
      <formula>0</formula>
    </cfRule>
  </conditionalFormatting>
  <conditionalFormatting sqref="Q667">
    <cfRule type="cellIs" dxfId="2441" priority="24" stopIfTrue="1" operator="lessThan">
      <formula>0</formula>
    </cfRule>
  </conditionalFormatting>
  <conditionalFormatting sqref="R667">
    <cfRule type="cellIs" dxfId="2440" priority="23" stopIfTrue="1" operator="lessThan">
      <formula>0</formula>
    </cfRule>
  </conditionalFormatting>
  <conditionalFormatting sqref="O667">
    <cfRule type="cellIs" dxfId="2439" priority="22" stopIfTrue="1" operator="lessThan">
      <formula>0</formula>
    </cfRule>
  </conditionalFormatting>
  <conditionalFormatting sqref="S286">
    <cfRule type="cellIs" dxfId="2438" priority="21" stopIfTrue="1" operator="lessThan">
      <formula>0</formula>
    </cfRule>
  </conditionalFormatting>
  <conditionalFormatting sqref="S289:S290">
    <cfRule type="cellIs" dxfId="2437" priority="20" stopIfTrue="1" operator="lessThan">
      <formula>0</formula>
    </cfRule>
  </conditionalFormatting>
  <conditionalFormatting sqref="S293">
    <cfRule type="cellIs" dxfId="2436" priority="19" stopIfTrue="1" operator="lessThan">
      <formula>0</formula>
    </cfRule>
  </conditionalFormatting>
  <conditionalFormatting sqref="AV198">
    <cfRule type="cellIs" dxfId="2435" priority="17" operator="notEqual">
      <formula>0</formula>
    </cfRule>
  </conditionalFormatting>
  <conditionalFormatting sqref="AV197">
    <cfRule type="cellIs" dxfId="2434" priority="16" operator="notEqual">
      <formula>0</formula>
    </cfRule>
  </conditionalFormatting>
  <conditionalFormatting sqref="AP287:AP288">
    <cfRule type="cellIs" dxfId="2433" priority="14" stopIfTrue="1" operator="lessThan">
      <formula>0</formula>
    </cfRule>
  </conditionalFormatting>
  <conditionalFormatting sqref="AP286">
    <cfRule type="cellIs" dxfId="2432" priority="13" stopIfTrue="1" operator="lessThan">
      <formula>0</formula>
    </cfRule>
  </conditionalFormatting>
  <conditionalFormatting sqref="AV288">
    <cfRule type="cellIs" dxfId="2431" priority="12" operator="notEqual">
      <formula>0</formula>
    </cfRule>
  </conditionalFormatting>
  <conditionalFormatting sqref="AV667">
    <cfRule type="cellIs" dxfId="2430" priority="10" operator="equal">
      <formula>1</formula>
    </cfRule>
    <cfRule type="cellIs" dxfId="2429" priority="11" operator="notEqual">
      <formula>0</formula>
    </cfRule>
  </conditionalFormatting>
  <conditionalFormatting sqref="AV289:AV290">
    <cfRule type="cellIs" dxfId="2428" priority="9" operator="notEqual">
      <formula>0</formula>
    </cfRule>
  </conditionalFormatting>
  <conditionalFormatting sqref="AV293">
    <cfRule type="cellIs" dxfId="2427" priority="8" operator="notEqual">
      <formula>0</formula>
    </cfRule>
  </conditionalFormatting>
  <conditionalFormatting sqref="AO198">
    <cfRule type="cellIs" dxfId="2426" priority="7" stopIfTrue="1" operator="lessThan">
      <formula>0</formula>
    </cfRule>
  </conditionalFormatting>
  <conditionalFormatting sqref="R117">
    <cfRule type="cellIs" dxfId="2425" priority="6" stopIfTrue="1" operator="lessThan">
      <formula>0</formula>
    </cfRule>
  </conditionalFormatting>
  <conditionalFormatting sqref="R116">
    <cfRule type="cellIs" dxfId="2424" priority="5" stopIfTrue="1" operator="lessThan">
      <formula>0</formula>
    </cfRule>
  </conditionalFormatting>
  <conditionalFormatting sqref="AF115">
    <cfRule type="cellIs" dxfId="2423" priority="4" stopIfTrue="1" operator="lessThan">
      <formula>0</formula>
    </cfRule>
  </conditionalFormatting>
  <conditionalFormatting sqref="AF114">
    <cfRule type="cellIs" dxfId="2422" priority="3" stopIfTrue="1" operator="lessThan">
      <formula>0</formula>
    </cfRule>
  </conditionalFormatting>
  <conditionalFormatting sqref="AF117">
    <cfRule type="cellIs" dxfId="2421" priority="2" stopIfTrue="1" operator="lessThan">
      <formula>0</formula>
    </cfRule>
  </conditionalFormatting>
  <conditionalFormatting sqref="AF116">
    <cfRule type="cellIs" dxfId="2420" priority="1" stopIfTrue="1" operator="lessThan">
      <formula>0</formula>
    </cfRule>
  </conditionalFormatting>
  <dataValidations count="2">
    <dataValidation type="list" allowBlank="1" showInputMessage="1" showErrorMessage="1" sqref="H12:K12">
      <formula1>$AZ$14:$AZ$30</formula1>
    </dataValidation>
    <dataValidation type="whole" allowBlank="1" showInputMessage="1" showErrorMessage="1" sqref="D4">
      <formula1>1</formula1>
      <formula2>9999999999999990</formula2>
    </dataValidation>
  </dataValidations>
  <pageMargins left="0.24" right="0.24" top="0.43" bottom="0.35" header="0.23" footer="0.24"/>
  <pageSetup paperSize="9" scale="75" orientation="portrait" horizontalDpi="4294967292" r:id="rId1"/>
  <headerFooter alignWithMargins="0">
    <oddHeader>&amp;C&amp;"Times New Roman CYR,Bold"&amp;12- &amp;P / &amp;N -</oddHeader>
  </headerFooter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00FF00"/>
  </sheetPr>
  <dimension ref="A1:O39"/>
  <sheetViews>
    <sheetView topLeftCell="A37" zoomScaleNormal="100" workbookViewId="0">
      <selection activeCell="E62" sqref="E62"/>
    </sheetView>
  </sheetViews>
  <sheetFormatPr defaultRowHeight="12.75"/>
  <cols>
    <col min="1" max="1" width="6.140625" style="1392" customWidth="1"/>
    <col min="2" max="2" width="8.7109375" style="1392" customWidth="1"/>
    <col min="3" max="3" width="9.7109375" style="1392" customWidth="1"/>
    <col min="4" max="4" width="9.42578125" style="1392" customWidth="1"/>
    <col min="5" max="5" width="9.140625" style="1392"/>
    <col min="6" max="6" width="9.85546875" style="1392" customWidth="1"/>
    <col min="7" max="7" width="9" style="1392" customWidth="1"/>
    <col min="8" max="8" width="8.140625" style="1392" customWidth="1"/>
    <col min="9" max="9" width="10.7109375" style="1392" customWidth="1"/>
    <col min="10" max="10" width="1.140625" style="1392" customWidth="1"/>
    <col min="11" max="11" width="11.140625" style="1392" customWidth="1"/>
    <col min="12" max="12" width="12" style="1392" customWidth="1"/>
    <col min="13" max="13" width="2.28515625" style="1395" customWidth="1"/>
    <col min="14" max="14" width="24.7109375" style="1392" customWidth="1"/>
    <col min="15" max="16384" width="9.140625" style="1392"/>
  </cols>
  <sheetData>
    <row r="1" spans="1:15" ht="2.25" customHeight="1">
      <c r="A1" s="53"/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45"/>
      <c r="N1" s="43"/>
      <c r="O1" s="43"/>
    </row>
    <row r="2" spans="1:15" ht="18" customHeight="1">
      <c r="A2" s="445" t="s">
        <v>257</v>
      </c>
      <c r="B2" s="202"/>
      <c r="C2" s="203"/>
      <c r="D2" s="202"/>
      <c r="E2" s="2448" t="str">
        <f>+'TRIAL-BALANCE'!E2:L2</f>
        <v>ОУ "ПРОФЕСОР МАРИН ДРИНОВ"</v>
      </c>
      <c r="F2" s="2449"/>
      <c r="G2" s="2449"/>
      <c r="H2" s="2449"/>
      <c r="I2" s="2449"/>
      <c r="J2" s="2449"/>
      <c r="K2" s="2449"/>
      <c r="L2" s="2450"/>
      <c r="M2" s="46"/>
      <c r="N2" s="43"/>
      <c r="O2" s="43"/>
    </row>
    <row r="3" spans="1:15" ht="3.75" customHeight="1">
      <c r="A3" s="2459" t="str">
        <f>+IF('Local-&amp;-SSF'!E6&gt;0,"Код на общински разпоредител с бюджет","код от Регистъра на бюдж. организации в СЕБРА")</f>
        <v>код от Регистъра на бюдж. организации в СЕБРА</v>
      </c>
      <c r="B3" s="2459"/>
      <c r="C3" s="2459"/>
      <c r="D3" s="1918"/>
      <c r="E3" s="1918"/>
      <c r="F3" s="1918"/>
      <c r="G3" s="1918"/>
      <c r="H3" s="1918"/>
      <c r="I3" s="1918"/>
      <c r="J3" s="1918"/>
      <c r="K3" s="1918"/>
      <c r="L3" s="1918"/>
      <c r="M3" s="45"/>
      <c r="N3" s="43"/>
      <c r="O3" s="43"/>
    </row>
    <row r="4" spans="1:15" ht="16.5" customHeight="1">
      <c r="A4" s="2459"/>
      <c r="B4" s="2459"/>
      <c r="C4" s="2459"/>
      <c r="D4" s="2460">
        <f>+'TRIAL-BALANCE'!D4:E4</f>
        <v>0</v>
      </c>
      <c r="E4" s="2461"/>
      <c r="F4" s="1919" t="s">
        <v>1949</v>
      </c>
      <c r="G4" s="2462">
        <f>+'TRIAL-BALANCE'!G4:L4</f>
        <v>0</v>
      </c>
      <c r="H4" s="2463"/>
      <c r="I4" s="2463"/>
      <c r="J4" s="2463"/>
      <c r="K4" s="2463"/>
      <c r="L4" s="2464"/>
      <c r="M4" s="47"/>
      <c r="N4" s="43"/>
      <c r="O4" s="43"/>
    </row>
    <row r="5" spans="1:15" ht="3.75" customHeight="1">
      <c r="A5" s="2459"/>
      <c r="B5" s="2459"/>
      <c r="C5" s="2459"/>
      <c r="D5" s="1918"/>
      <c r="E5" s="1918"/>
      <c r="F5" s="1918"/>
      <c r="G5" s="1918"/>
      <c r="H5" s="1918"/>
      <c r="I5" s="1918"/>
      <c r="J5" s="1918"/>
      <c r="K5" s="1918"/>
      <c r="L5" s="1918"/>
      <c r="M5" s="45"/>
      <c r="N5" s="43"/>
      <c r="O5" s="43"/>
    </row>
    <row r="6" spans="1:15" ht="18" customHeight="1">
      <c r="A6" s="452" t="s">
        <v>792</v>
      </c>
      <c r="B6" s="202"/>
      <c r="C6" s="2451">
        <f>+'TRIAL-BALANCE'!C6:E6</f>
        <v>341731</v>
      </c>
      <c r="D6" s="2452"/>
      <c r="E6" s="2453"/>
      <c r="F6" s="448" t="s">
        <v>534</v>
      </c>
      <c r="G6" s="2454" t="str">
        <f>+'TRIAL-BALANCE'!G6:L6</f>
        <v xml:space="preserve">                              </v>
      </c>
      <c r="H6" s="2455"/>
      <c r="I6" s="2455"/>
      <c r="J6" s="2455"/>
      <c r="K6" s="2455"/>
      <c r="L6" s="2456"/>
      <c r="M6" s="48"/>
      <c r="N6" s="43"/>
      <c r="O6" s="43"/>
    </row>
    <row r="7" spans="1:15" ht="3.75" customHeight="1">
      <c r="A7" s="446"/>
      <c r="B7" s="45"/>
      <c r="C7" s="45"/>
      <c r="D7" s="45"/>
      <c r="E7" s="45"/>
      <c r="F7" s="45"/>
      <c r="G7" s="45"/>
      <c r="H7" s="45"/>
      <c r="I7" s="45"/>
      <c r="J7" s="45"/>
      <c r="K7" s="45"/>
      <c r="L7" s="45"/>
      <c r="M7" s="45"/>
      <c r="N7" s="43"/>
      <c r="O7" s="43"/>
    </row>
    <row r="8" spans="1:15" ht="18" customHeight="1">
      <c r="A8" s="447" t="s">
        <v>258</v>
      </c>
      <c r="B8" s="206"/>
      <c r="C8" s="1056">
        <f>+'TRIAL-BALANCE'!C8</f>
        <v>0</v>
      </c>
      <c r="D8" s="207" t="s">
        <v>1137</v>
      </c>
      <c r="E8" s="964">
        <f>+'TRIAL-BALANCE'!E8</f>
        <v>2020</v>
      </c>
      <c r="F8" s="443" t="s">
        <v>1204</v>
      </c>
      <c r="G8" s="2457" t="str">
        <f>+'TRIAL-BALANCE'!G8:H8</f>
        <v xml:space="preserve">;                             </v>
      </c>
      <c r="H8" s="2458"/>
      <c r="I8" s="1269" t="s">
        <v>1206</v>
      </c>
      <c r="J8" s="2454">
        <f>+'TRIAL-BALANCE'!J8:L8</f>
        <v>0</v>
      </c>
      <c r="K8" s="2455"/>
      <c r="L8" s="2456"/>
      <c r="M8" s="48"/>
      <c r="N8" s="43"/>
      <c r="O8" s="43"/>
    </row>
    <row r="9" spans="1:15" ht="3.75" customHeight="1">
      <c r="A9" s="446"/>
      <c r="B9" s="45"/>
      <c r="C9" s="45"/>
      <c r="D9" s="45"/>
      <c r="E9" s="45"/>
      <c r="F9" s="45"/>
      <c r="G9" s="45"/>
      <c r="H9" s="45"/>
      <c r="I9" s="45"/>
      <c r="J9" s="45"/>
      <c r="K9" s="45"/>
      <c r="L9" s="45"/>
      <c r="M9" s="45"/>
      <c r="N9" s="43"/>
      <c r="O9" s="43"/>
    </row>
    <row r="10" spans="1:15" ht="18" customHeight="1">
      <c r="A10" s="207" t="s">
        <v>259</v>
      </c>
      <c r="B10" s="49"/>
      <c r="C10" s="965" t="str">
        <f>+'TRIAL-BALANCE'!C10</f>
        <v>/с б о р е н/</v>
      </c>
      <c r="D10" s="207" t="s">
        <v>261</v>
      </c>
      <c r="E10" s="49"/>
      <c r="F10" s="966" t="str">
        <f>+'TRIAL-BALANCE'!F10</f>
        <v>/СБОРНА/</v>
      </c>
      <c r="G10" s="207" t="s">
        <v>380</v>
      </c>
      <c r="H10" s="449"/>
      <c r="I10" s="49"/>
      <c r="J10" s="49"/>
      <c r="K10" s="2446">
        <f>+'TRIAL-BALANCE'!K10:L10</f>
        <v>0</v>
      </c>
      <c r="L10" s="2447"/>
      <c r="M10" s="48"/>
      <c r="N10" s="43"/>
      <c r="O10" s="43"/>
    </row>
    <row r="11" spans="1:15" ht="3.75" customHeight="1">
      <c r="A11" s="53"/>
      <c r="B11" s="45"/>
      <c r="C11" s="45"/>
      <c r="D11" s="45"/>
      <c r="E11" s="45"/>
      <c r="F11" s="45"/>
      <c r="G11" s="45"/>
      <c r="H11" s="45"/>
      <c r="I11" s="45"/>
      <c r="J11" s="45"/>
      <c r="K11" s="45"/>
      <c r="L11" s="45"/>
      <c r="M11" s="45"/>
      <c r="N11" s="43"/>
      <c r="O11" s="43"/>
    </row>
    <row r="12" spans="1:15">
      <c r="A12" s="43"/>
      <c r="B12" s="43"/>
      <c r="C12" s="43"/>
      <c r="D12" s="43"/>
      <c r="E12" s="43"/>
      <c r="F12" s="43"/>
      <c r="G12" s="43"/>
      <c r="H12" s="43"/>
      <c r="I12" s="43"/>
      <c r="J12" s="43"/>
      <c r="K12" s="43"/>
      <c r="L12" s="43"/>
      <c r="M12" s="44"/>
      <c r="N12" s="43"/>
      <c r="O12" s="43"/>
    </row>
    <row r="13" spans="1:15" ht="15.75">
      <c r="A13" s="1407" t="s">
        <v>1267</v>
      </c>
      <c r="B13" s="1408"/>
      <c r="C13" s="1408"/>
      <c r="D13" s="1408"/>
      <c r="E13" s="1408"/>
      <c r="F13" s="1409" t="str">
        <f>+'TRIAL-BALANCE'!H12</f>
        <v>31 март 2020 г.</v>
      </c>
      <c r="G13" s="1408"/>
      <c r="H13" s="1410"/>
      <c r="I13" s="1411" t="s">
        <v>1151</v>
      </c>
      <c r="J13" s="1412"/>
      <c r="K13" s="1413"/>
      <c r="L13" s="1414"/>
      <c r="M13" s="51" t="s">
        <v>265</v>
      </c>
      <c r="N13" s="1415" t="s">
        <v>1268</v>
      </c>
      <c r="O13" s="43"/>
    </row>
    <row r="14" spans="1:15" ht="15.75">
      <c r="A14" s="988"/>
      <c r="B14" s="981"/>
      <c r="C14" s="982"/>
      <c r="D14" s="982"/>
      <c r="E14" s="982"/>
      <c r="F14" s="982"/>
      <c r="G14" s="982"/>
      <c r="H14" s="982"/>
      <c r="I14" s="982"/>
      <c r="J14" s="982"/>
      <c r="K14" s="982"/>
      <c r="L14" s="989"/>
      <c r="M14" s="51"/>
      <c r="N14" s="994"/>
      <c r="O14" s="43"/>
    </row>
    <row r="15" spans="1:15" ht="15.75">
      <c r="A15" s="1000" t="s">
        <v>1986</v>
      </c>
      <c r="B15" s="984"/>
      <c r="C15" s="985"/>
      <c r="D15" s="985"/>
      <c r="E15" s="985"/>
      <c r="F15" s="985"/>
      <c r="G15" s="985"/>
      <c r="H15" s="985"/>
      <c r="I15" s="985"/>
      <c r="J15" s="985"/>
      <c r="K15" s="985"/>
      <c r="L15" s="990"/>
      <c r="M15" s="51" t="s">
        <v>265</v>
      </c>
      <c r="N15" s="1021"/>
      <c r="O15" s="43"/>
    </row>
    <row r="16" spans="1:15" ht="15.75">
      <c r="A16" s="991"/>
      <c r="B16" s="971"/>
      <c r="C16" s="610"/>
      <c r="D16" s="610"/>
      <c r="E16" s="610"/>
      <c r="F16" s="610"/>
      <c r="G16" s="987"/>
      <c r="H16" s="987"/>
      <c r="I16" s="987"/>
      <c r="J16" s="610"/>
      <c r="K16" s="610"/>
      <c r="L16" s="992"/>
      <c r="M16" s="51"/>
      <c r="N16" s="1022"/>
      <c r="O16" s="43"/>
    </row>
    <row r="17" spans="1:15" ht="15.75">
      <c r="A17" s="999" t="s">
        <v>1987</v>
      </c>
      <c r="B17" s="973"/>
      <c r="C17" s="609"/>
      <c r="D17" s="609"/>
      <c r="E17" s="609"/>
      <c r="F17" s="609"/>
      <c r="G17" s="609"/>
      <c r="H17" s="609"/>
      <c r="I17" s="609"/>
      <c r="J17" s="609"/>
      <c r="K17" s="609"/>
      <c r="L17" s="993"/>
      <c r="M17" s="51"/>
      <c r="N17" s="1023">
        <f>+SUM(N18:N21)</f>
        <v>0</v>
      </c>
      <c r="O17" s="43"/>
    </row>
    <row r="18" spans="1:15" ht="15.75">
      <c r="A18" s="1003"/>
      <c r="B18" s="1004"/>
      <c r="C18" s="1014"/>
      <c r="D18" s="1006" t="s">
        <v>1154</v>
      </c>
      <c r="E18" s="1007"/>
      <c r="F18" s="1007"/>
      <c r="G18" s="1007"/>
      <c r="H18" s="1007"/>
      <c r="I18" s="1007"/>
      <c r="J18" s="1007"/>
      <c r="K18" s="1007"/>
      <c r="L18" s="1008"/>
      <c r="M18" s="51"/>
      <c r="N18" s="1024"/>
      <c r="O18" s="43"/>
    </row>
    <row r="19" spans="1:15" ht="15.75">
      <c r="A19" s="1001" t="s">
        <v>1155</v>
      </c>
      <c r="B19" s="1002"/>
      <c r="C19" s="1015"/>
      <c r="D19" s="1009" t="s">
        <v>1153</v>
      </c>
      <c r="E19" s="573"/>
      <c r="F19" s="573"/>
      <c r="G19" s="573"/>
      <c r="H19" s="573"/>
      <c r="I19" s="573"/>
      <c r="J19" s="573"/>
      <c r="K19" s="573"/>
      <c r="L19" s="1010"/>
      <c r="M19" s="51"/>
      <c r="N19" s="1025"/>
      <c r="O19" s="43"/>
    </row>
    <row r="20" spans="1:15" ht="15.75">
      <c r="A20" s="1001"/>
      <c r="B20" s="1002"/>
      <c r="C20" s="1015"/>
      <c r="D20" s="1009" t="s">
        <v>1152</v>
      </c>
      <c r="E20" s="573"/>
      <c r="F20" s="573"/>
      <c r="G20" s="573"/>
      <c r="H20" s="573"/>
      <c r="I20" s="573"/>
      <c r="J20" s="573"/>
      <c r="K20" s="573"/>
      <c r="L20" s="1010"/>
      <c r="M20" s="51"/>
      <c r="N20" s="1025"/>
      <c r="O20" s="43"/>
    </row>
    <row r="21" spans="1:15" ht="15.75">
      <c r="A21" s="988"/>
      <c r="B21" s="1005"/>
      <c r="C21" s="1016"/>
      <c r="D21" s="1011" t="s">
        <v>1180</v>
      </c>
      <c r="E21" s="1012"/>
      <c r="F21" s="1012"/>
      <c r="G21" s="1012"/>
      <c r="H21" s="1012"/>
      <c r="I21" s="1012"/>
      <c r="J21" s="1012"/>
      <c r="K21" s="1012"/>
      <c r="L21" s="1013"/>
      <c r="M21" s="51"/>
      <c r="N21" s="1026"/>
      <c r="O21" s="43"/>
    </row>
    <row r="22" spans="1:15" ht="15.75">
      <c r="A22" s="991"/>
      <c r="B22" s="971"/>
      <c r="C22" s="610"/>
      <c r="D22" s="610"/>
      <c r="E22" s="610"/>
      <c r="F22" s="610"/>
      <c r="G22" s="982"/>
      <c r="H22" s="982"/>
      <c r="I22" s="982"/>
      <c r="J22" s="610"/>
      <c r="K22" s="610"/>
      <c r="L22" s="992"/>
      <c r="M22" s="51"/>
      <c r="N22" s="1022"/>
      <c r="O22" s="43"/>
    </row>
    <row r="23" spans="1:15" ht="15.75">
      <c r="A23" s="998" t="s">
        <v>1988</v>
      </c>
      <c r="B23" s="995"/>
      <c r="C23" s="996"/>
      <c r="D23" s="996"/>
      <c r="E23" s="996"/>
      <c r="F23" s="996"/>
      <c r="G23" s="996"/>
      <c r="H23" s="996"/>
      <c r="I23" s="996"/>
      <c r="J23" s="996"/>
      <c r="K23" s="996"/>
      <c r="L23" s="997"/>
      <c r="M23" s="51"/>
      <c r="N23" s="1027"/>
      <c r="O23" s="43"/>
    </row>
    <row r="24" spans="1:15" ht="15.75">
      <c r="A24" s="988"/>
      <c r="B24" s="981"/>
      <c r="C24" s="982"/>
      <c r="D24" s="982"/>
      <c r="E24" s="982"/>
      <c r="F24" s="982"/>
      <c r="G24" s="982"/>
      <c r="H24" s="982"/>
      <c r="I24" s="982"/>
      <c r="J24" s="982"/>
      <c r="K24" s="982"/>
      <c r="L24" s="989"/>
      <c r="M24" s="51"/>
      <c r="N24" s="1028"/>
      <c r="O24" s="43"/>
    </row>
    <row r="25" spans="1:15" ht="16.5" thickBot="1">
      <c r="A25" s="1017" t="s">
        <v>1156</v>
      </c>
      <c r="B25" s="1018"/>
      <c r="C25" s="1019"/>
      <c r="D25" s="1019"/>
      <c r="E25" s="1019"/>
      <c r="F25" s="1019"/>
      <c r="G25" s="1019"/>
      <c r="H25" s="1019"/>
      <c r="I25" s="1019"/>
      <c r="J25" s="1019"/>
      <c r="K25" s="1019"/>
      <c r="L25" s="1020"/>
      <c r="M25" s="51"/>
      <c r="N25" s="1029">
        <f>++ROUND(N15+N17+N23,2)</f>
        <v>0</v>
      </c>
      <c r="O25" s="43"/>
    </row>
    <row r="26" spans="1:15" ht="13.5" thickTop="1">
      <c r="A26" s="43"/>
      <c r="B26" s="43"/>
      <c r="C26" s="43"/>
      <c r="D26" s="43"/>
      <c r="E26" s="43"/>
      <c r="F26" s="43"/>
      <c r="G26" s="43"/>
      <c r="H26" s="43"/>
      <c r="I26" s="43"/>
      <c r="J26" s="43"/>
      <c r="K26" s="43"/>
      <c r="L26" s="43"/>
      <c r="M26" s="44"/>
      <c r="N26" s="43"/>
      <c r="O26" s="43"/>
    </row>
    <row r="27" spans="1:15" ht="15.75">
      <c r="A27" s="43"/>
      <c r="B27" s="1171" t="s">
        <v>1157</v>
      </c>
      <c r="C27" s="1172"/>
      <c r="D27" s="1172"/>
      <c r="E27" s="1172"/>
      <c r="F27" s="1172"/>
      <c r="G27" s="1172"/>
      <c r="H27" s="1172"/>
      <c r="I27" s="1172"/>
      <c r="J27" s="1172"/>
      <c r="K27" s="1172"/>
      <c r="L27" s="1173"/>
      <c r="M27" s="44"/>
      <c r="N27" s="2445" t="str">
        <f>+IF(AND(Status!K4="ДА",+'TRIAL-BALANCE'!AM13&lt;&gt;0,+'TRIAL-BALANCE'!AN13&lt;&gt;0,OR('Cash-deficit'!N15="",'Cash-deficit'!N18="",'Cash-deficit'!N19="",'Cash-deficit'!N20="",'Cash-deficit'!N21="",'Cash-deficit'!N23="")),"Непопълнен ред в таблица 'Cash-deficit'!",0)</f>
        <v>Непопълнен ред в таблица 'Cash-deficit'!</v>
      </c>
      <c r="O27" s="43"/>
    </row>
    <row r="28" spans="1:15" ht="15.75">
      <c r="A28" s="43"/>
      <c r="B28" s="1174" t="s">
        <v>1158</v>
      </c>
      <c r="C28" s="1175"/>
      <c r="D28" s="1175"/>
      <c r="E28" s="1175"/>
      <c r="F28" s="1175"/>
      <c r="G28" s="1175"/>
      <c r="H28" s="1175"/>
      <c r="I28" s="1175"/>
      <c r="J28" s="1175"/>
      <c r="K28" s="1175"/>
      <c r="L28" s="1176"/>
      <c r="M28" s="44"/>
      <c r="N28" s="2445"/>
      <c r="O28" s="43"/>
    </row>
    <row r="29" spans="1:15" ht="15.75">
      <c r="A29" s="43"/>
      <c r="B29" s="1177" t="s">
        <v>1159</v>
      </c>
      <c r="C29" s="912"/>
      <c r="D29" s="912"/>
      <c r="E29" s="912"/>
      <c r="F29" s="912"/>
      <c r="G29" s="912"/>
      <c r="H29" s="912"/>
      <c r="I29" s="912"/>
      <c r="J29" s="912"/>
      <c r="K29" s="912"/>
      <c r="L29" s="1178"/>
      <c r="M29" s="44"/>
      <c r="N29" s="43"/>
      <c r="O29" s="43"/>
    </row>
    <row r="30" spans="1:15" ht="15.75">
      <c r="A30" s="43"/>
      <c r="B30" s="1920" t="s">
        <v>1951</v>
      </c>
      <c r="C30" s="1921"/>
      <c r="D30" s="1921"/>
      <c r="E30" s="1921"/>
      <c r="F30" s="1921"/>
      <c r="G30" s="1921"/>
      <c r="H30" s="1921"/>
      <c r="I30" s="1921"/>
      <c r="J30" s="1921"/>
      <c r="K30" s="1921"/>
      <c r="L30" s="1922"/>
      <c r="M30" s="44"/>
      <c r="N30" s="43"/>
      <c r="O30" s="43"/>
    </row>
    <row r="31" spans="1:15" ht="15.75">
      <c r="A31" s="43"/>
      <c r="B31" s="1923" t="s">
        <v>1962</v>
      </c>
      <c r="C31" s="1924"/>
      <c r="D31" s="1924"/>
      <c r="E31" s="1924"/>
      <c r="F31" s="1924"/>
      <c r="G31" s="1924"/>
      <c r="H31" s="1924"/>
      <c r="I31" s="1924"/>
      <c r="J31" s="1924"/>
      <c r="K31" s="1924"/>
      <c r="L31" s="1925"/>
      <c r="M31" s="44"/>
      <c r="N31" s="43"/>
      <c r="O31" s="43"/>
    </row>
    <row r="32" spans="1:15" ht="15.75">
      <c r="A32" s="43"/>
      <c r="B32" s="1923" t="s">
        <v>1953</v>
      </c>
      <c r="C32" s="1924"/>
      <c r="D32" s="1924"/>
      <c r="E32" s="1924"/>
      <c r="F32" s="1924"/>
      <c r="G32" s="1924"/>
      <c r="H32" s="1924"/>
      <c r="I32" s="1924"/>
      <c r="J32" s="1924"/>
      <c r="K32" s="1924"/>
      <c r="L32" s="1925"/>
      <c r="M32" s="44"/>
      <c r="N32" s="43"/>
      <c r="O32" s="43"/>
    </row>
    <row r="33" spans="1:15" ht="15.75">
      <c r="A33" s="43"/>
      <c r="B33" s="1923" t="s">
        <v>1952</v>
      </c>
      <c r="C33" s="1924"/>
      <c r="D33" s="1924"/>
      <c r="E33" s="1924"/>
      <c r="F33" s="1924"/>
      <c r="G33" s="1924"/>
      <c r="H33" s="1924"/>
      <c r="I33" s="1924"/>
      <c r="J33" s="1924"/>
      <c r="K33" s="1924"/>
      <c r="L33" s="1925"/>
      <c r="M33" s="44"/>
      <c r="N33" s="43"/>
      <c r="O33" s="43"/>
    </row>
    <row r="34" spans="1:15" ht="15.75">
      <c r="A34" s="43"/>
      <c r="B34" s="1923" t="s">
        <v>1944</v>
      </c>
      <c r="C34" s="1924"/>
      <c r="D34" s="1924"/>
      <c r="E34" s="1926" t="s">
        <v>1943</v>
      </c>
      <c r="F34" s="1924"/>
      <c r="G34" s="1924"/>
      <c r="H34" s="1924"/>
      <c r="I34" s="1924"/>
      <c r="J34" s="1924"/>
      <c r="K34" s="1927" t="s">
        <v>1945</v>
      </c>
      <c r="L34" s="1925"/>
      <c r="M34" s="44"/>
      <c r="N34" s="43"/>
      <c r="O34" s="43"/>
    </row>
    <row r="35" spans="1:15" ht="15.75">
      <c r="A35" s="43"/>
      <c r="B35" s="1928" t="s">
        <v>1946</v>
      </c>
      <c r="C35" s="1929"/>
      <c r="D35" s="1929"/>
      <c r="E35" s="1929"/>
      <c r="F35" s="1929"/>
      <c r="G35" s="1930"/>
      <c r="H35" s="1931"/>
      <c r="I35" s="1931"/>
      <c r="J35" s="1931"/>
      <c r="K35" s="1931"/>
      <c r="L35" s="1932"/>
      <c r="M35" s="44"/>
      <c r="N35" s="43"/>
      <c r="O35" s="43"/>
    </row>
    <row r="36" spans="1:15" ht="15.75">
      <c r="A36" s="43"/>
      <c r="B36" s="1171" t="s">
        <v>1947</v>
      </c>
      <c r="C36" s="1172"/>
      <c r="D36" s="1172"/>
      <c r="E36" s="1172"/>
      <c r="F36" s="1172"/>
      <c r="G36" s="1172"/>
      <c r="H36" s="1172"/>
      <c r="I36" s="1172"/>
      <c r="J36" s="1172"/>
      <c r="K36" s="1172"/>
      <c r="L36" s="1173"/>
      <c r="M36" s="44"/>
      <c r="N36" s="43"/>
      <c r="O36" s="43"/>
    </row>
    <row r="37" spans="1:15" ht="15.75">
      <c r="A37" s="43"/>
      <c r="B37" s="1174" t="s">
        <v>1948</v>
      </c>
      <c r="C37" s="1175"/>
      <c r="D37" s="1175"/>
      <c r="E37" s="1175"/>
      <c r="F37" s="1175"/>
      <c r="G37" s="1175"/>
      <c r="H37" s="1175"/>
      <c r="I37" s="1175"/>
      <c r="J37" s="1175"/>
      <c r="K37" s="1175"/>
      <c r="L37" s="1176"/>
      <c r="M37" s="44"/>
      <c r="N37" s="43"/>
      <c r="O37" s="43"/>
    </row>
    <row r="38" spans="1:15" ht="15.75">
      <c r="A38" s="43"/>
      <c r="B38" s="1177" t="s">
        <v>1509</v>
      </c>
      <c r="C38" s="912"/>
      <c r="D38" s="912"/>
      <c r="E38" s="912"/>
      <c r="F38" s="912"/>
      <c r="G38" s="912"/>
      <c r="H38" s="912"/>
      <c r="I38" s="912"/>
      <c r="J38" s="912"/>
      <c r="K38" s="912"/>
      <c r="L38" s="1178"/>
      <c r="M38" s="44"/>
      <c r="N38" s="43"/>
      <c r="O38" s="43"/>
    </row>
    <row r="39" spans="1:15">
      <c r="A39" s="43"/>
      <c r="B39" s="43"/>
      <c r="C39" s="43"/>
      <c r="D39" s="43"/>
      <c r="E39" s="43"/>
      <c r="F39" s="43"/>
      <c r="G39" s="43"/>
      <c r="H39" s="43"/>
      <c r="I39" s="43"/>
      <c r="J39" s="43"/>
      <c r="K39" s="43"/>
      <c r="L39" s="43"/>
      <c r="M39" s="44"/>
      <c r="N39" s="43"/>
      <c r="O39" s="43"/>
    </row>
  </sheetData>
  <sheetProtection password="889B" sheet="1" objects="1" scenarios="1"/>
  <mergeCells count="10">
    <mergeCell ref="N27:N28"/>
    <mergeCell ref="K10:L10"/>
    <mergeCell ref="E2:L2"/>
    <mergeCell ref="C6:E6"/>
    <mergeCell ref="G6:L6"/>
    <mergeCell ref="G8:H8"/>
    <mergeCell ref="J8:L8"/>
    <mergeCell ref="A3:C5"/>
    <mergeCell ref="D4:E4"/>
    <mergeCell ref="G4:L4"/>
  </mergeCells>
  <conditionalFormatting sqref="E2:L2 C6:E6 G6:L6 C8 C10 K10:L10 F10">
    <cfRule type="cellIs" dxfId="2419" priority="52" stopIfTrue="1" operator="equal">
      <formula>0</formula>
    </cfRule>
  </conditionalFormatting>
  <conditionalFormatting sqref="G8:H8">
    <cfRule type="cellIs" dxfId="2418" priority="46" stopIfTrue="1" operator="equal">
      <formula>0</formula>
    </cfRule>
  </conditionalFormatting>
  <conditionalFormatting sqref="J8:L8">
    <cfRule type="cellIs" dxfId="2417" priority="45" stopIfTrue="1" operator="equal">
      <formula>0</formula>
    </cfRule>
  </conditionalFormatting>
  <conditionalFormatting sqref="C8 E2:L2">
    <cfRule type="cellIs" dxfId="2416" priority="44" stopIfTrue="1" operator="equal">
      <formula>0</formula>
    </cfRule>
  </conditionalFormatting>
  <conditionalFormatting sqref="N27">
    <cfRule type="cellIs" dxfId="2415" priority="43" operator="equal">
      <formula>"Непопълнен ред в таблица 'Cash-deficit'!"</formula>
    </cfRule>
  </conditionalFormatting>
  <conditionalFormatting sqref="D4">
    <cfRule type="cellIs" dxfId="2414" priority="4" stopIfTrue="1" operator="between">
      <formula>1000000000000</formula>
      <formula>9999999999999990</formula>
    </cfRule>
    <cfRule type="cellIs" dxfId="2413" priority="5" stopIfTrue="1" operator="between">
      <formula>1000000000</formula>
      <formula>999999999999</formula>
    </cfRule>
    <cfRule type="cellIs" dxfId="2412" priority="6" stopIfTrue="1" operator="between">
      <formula>10000</formula>
      <formula>99999999</formula>
    </cfRule>
    <cfRule type="cellIs" dxfId="2411" priority="7" stopIfTrue="1" operator="between">
      <formula>10</formula>
      <formula>9999</formula>
    </cfRule>
  </conditionalFormatting>
  <conditionalFormatting sqref="D4">
    <cfRule type="cellIs" dxfId="2410" priority="3" operator="equal">
      <formula>0</formula>
    </cfRule>
  </conditionalFormatting>
  <conditionalFormatting sqref="A3:C5">
    <cfRule type="cellIs" dxfId="2409" priority="2" operator="equal">
      <formula>"Код на общински разпоредител с бюджет"</formula>
    </cfRule>
  </conditionalFormatting>
  <conditionalFormatting sqref="G4:L4">
    <cfRule type="cellIs" dxfId="2408" priority="1" operator="equal">
      <formula>0</formula>
    </cfRule>
  </conditionalFormatting>
  <dataValidations count="1">
    <dataValidation type="whole" allowBlank="1" showInputMessage="1" showErrorMessage="1" sqref="D4:E4">
      <formula1>0</formula1>
      <formula2>9999999999999990</formula2>
    </dataValidation>
  </dataValidations>
  <pageMargins left="0.15748031496062992" right="0.23622047244094491" top="1.1023622047244095" bottom="0.19685039370078741" header="0.74803149606299213" footer="0.19685039370078741"/>
  <pageSetup paperSize="9" scale="76" orientation="portrait" horizontalDpi="4294967292" r:id="rId1"/>
  <headerFooter alignWithMargins="0">
    <oddHeader>&amp;C&amp;"Times New Roman CYR,Bold"&amp;12- &amp;P / &amp;N -</oddHeader>
  </headerFooter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>
  <dimension ref="A1:AJ109"/>
  <sheetViews>
    <sheetView zoomScaleNormal="10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2.75"/>
  <cols>
    <col min="1" max="1" width="61" style="1397" customWidth="1"/>
    <col min="2" max="2" width="6.28515625" style="1397" customWidth="1"/>
    <col min="3" max="3" width="0.85546875" style="1397" customWidth="1"/>
    <col min="4" max="5" width="18.28515625" style="1397" customWidth="1"/>
    <col min="6" max="6" width="1" style="1397" customWidth="1"/>
    <col min="7" max="8" width="18.28515625" style="1397" customWidth="1"/>
    <col min="9" max="9" width="1" style="1397" customWidth="1"/>
    <col min="10" max="11" width="18.28515625" style="1397" customWidth="1"/>
    <col min="12" max="12" width="1" style="1397" customWidth="1"/>
    <col min="13" max="14" width="18.28515625" style="1397" customWidth="1"/>
    <col min="15" max="16384" width="9.140625" style="1397"/>
  </cols>
  <sheetData>
    <row r="1" spans="1:26" ht="16.5" customHeight="1">
      <c r="A1" s="2467" t="str">
        <f>+'TRIAL-BALANCE'!E2</f>
        <v>ОУ "ПРОФЕСОР МАРИН ДРИНОВ"</v>
      </c>
      <c r="B1" s="2468"/>
      <c r="C1" s="2468"/>
      <c r="D1" s="2469"/>
      <c r="E1" s="148" t="s">
        <v>1954</v>
      </c>
      <c r="F1" s="149"/>
      <c r="G1" s="2465">
        <f>+'TRIAL-BALANCE'!C6</f>
        <v>341731</v>
      </c>
      <c r="H1" s="2466"/>
      <c r="I1" s="149"/>
      <c r="J1" s="150" t="s">
        <v>258</v>
      </c>
      <c r="K1" s="1742">
        <f>+'TRIAL-BALANCE'!C8</f>
        <v>0</v>
      </c>
      <c r="L1" s="149"/>
      <c r="M1" s="153" t="s">
        <v>1207</v>
      </c>
      <c r="N1" s="1267">
        <f>+'TRIAL-BALANCE'!H8</f>
        <v>0</v>
      </c>
      <c r="O1" s="152"/>
      <c r="P1" s="152"/>
      <c r="Q1" s="152"/>
      <c r="R1" s="152"/>
      <c r="S1" s="152"/>
      <c r="T1" s="152"/>
      <c r="U1" s="152"/>
      <c r="V1" s="152"/>
      <c r="W1" s="152"/>
      <c r="X1" s="152"/>
      <c r="Y1" s="152"/>
      <c r="Z1" s="152"/>
    </row>
    <row r="2" spans="1:26" ht="14.25" customHeight="1">
      <c r="A2" s="2488" t="s">
        <v>1085</v>
      </c>
      <c r="B2" s="2489"/>
      <c r="C2" s="2489"/>
      <c r="D2" s="2490"/>
      <c r="E2" s="151"/>
      <c r="F2" s="149"/>
      <c r="G2" s="151"/>
      <c r="H2" s="151"/>
      <c r="I2" s="149"/>
      <c r="J2" s="1268"/>
      <c r="K2" s="151"/>
      <c r="L2" s="149"/>
      <c r="M2" s="151"/>
      <c r="N2" s="151"/>
      <c r="O2" s="152"/>
      <c r="P2" s="152"/>
      <c r="Q2" s="152"/>
      <c r="R2" s="152"/>
      <c r="S2" s="152"/>
      <c r="T2" s="152"/>
      <c r="U2" s="152"/>
      <c r="V2" s="152"/>
      <c r="W2" s="152"/>
      <c r="X2" s="152"/>
      <c r="Y2" s="152"/>
      <c r="Z2" s="152"/>
    </row>
    <row r="3" spans="1:26" ht="19.5" customHeight="1">
      <c r="A3" s="2470">
        <f>+'TRIAL-BALANCE'!G4</f>
        <v>0</v>
      </c>
      <c r="B3" s="2471"/>
      <c r="C3" s="2471"/>
      <c r="D3" s="2472"/>
      <c r="E3" s="1268" t="s">
        <v>2103</v>
      </c>
      <c r="F3" s="151"/>
      <c r="G3" s="2475">
        <f>+'TRIAL-BALANCE'!J8</f>
        <v>0</v>
      </c>
      <c r="H3" s="2476"/>
      <c r="I3" s="149"/>
      <c r="J3" s="2209" t="s">
        <v>2102</v>
      </c>
      <c r="K3" s="2475" t="str">
        <f>+'TRIAL-BALANCE'!G6</f>
        <v xml:space="preserve">                              </v>
      </c>
      <c r="L3" s="2491"/>
      <c r="M3" s="2491"/>
      <c r="N3" s="2476"/>
      <c r="O3" s="152"/>
      <c r="P3" s="152"/>
      <c r="Q3" s="152"/>
      <c r="R3" s="152"/>
      <c r="S3" s="152"/>
      <c r="T3" s="152"/>
      <c r="U3" s="152"/>
      <c r="V3" s="152"/>
      <c r="W3" s="152"/>
      <c r="X3" s="152"/>
      <c r="Y3" s="152"/>
      <c r="Z3" s="152"/>
    </row>
    <row r="4" spans="1:26" ht="15" customHeight="1">
      <c r="A4" s="149"/>
      <c r="B4" s="149"/>
      <c r="C4" s="149"/>
      <c r="D4" s="149"/>
      <c r="E4" s="154"/>
      <c r="F4" s="149"/>
      <c r="G4" s="154"/>
      <c r="H4" s="155"/>
      <c r="I4" s="149"/>
      <c r="J4" s="151"/>
      <c r="K4" s="153"/>
      <c r="L4" s="149"/>
      <c r="M4" s="151"/>
      <c r="N4" s="151"/>
      <c r="O4" s="152"/>
      <c r="P4" s="152"/>
      <c r="Q4" s="152"/>
      <c r="R4" s="152"/>
      <c r="S4" s="152"/>
      <c r="T4" s="152"/>
      <c r="U4" s="152"/>
      <c r="V4" s="152"/>
      <c r="W4" s="152"/>
      <c r="X4" s="152"/>
      <c r="Y4" s="152"/>
      <c r="Z4" s="152"/>
    </row>
    <row r="5" spans="1:26" ht="18.75" customHeight="1">
      <c r="A5" s="1574" t="s">
        <v>209</v>
      </c>
      <c r="B5" s="156"/>
      <c r="C5" s="208"/>
      <c r="D5" s="209"/>
      <c r="E5" s="210" t="str">
        <f>+'TRIAL-BALANCE'!H12</f>
        <v>31 март 2020 г.</v>
      </c>
      <c r="F5" s="210"/>
      <c r="G5" s="209"/>
      <c r="H5" s="1741" t="str">
        <f>+A1</f>
        <v>ОУ "ПРОФЕСОР МАРИН ДРИНОВ"</v>
      </c>
      <c r="I5" s="158"/>
      <c r="J5" s="157"/>
      <c r="K5" s="157"/>
      <c r="L5" s="159"/>
      <c r="M5" s="211" t="str">
        <f>+'TRIAL-BALANCE'!F10</f>
        <v>/СБОРНА/</v>
      </c>
      <c r="N5" s="1647" t="s">
        <v>1294</v>
      </c>
      <c r="O5" s="152"/>
      <c r="P5" s="152"/>
      <c r="Q5" s="152"/>
      <c r="R5" s="152"/>
      <c r="S5" s="152"/>
      <c r="T5" s="152"/>
      <c r="U5" s="152"/>
      <c r="V5" s="152"/>
      <c r="W5" s="152"/>
      <c r="X5" s="152"/>
      <c r="Y5" s="152"/>
      <c r="Z5" s="152"/>
    </row>
    <row r="6" spans="1:26" ht="15.75" customHeight="1" thickBot="1">
      <c r="A6" s="160"/>
      <c r="B6" s="161"/>
      <c r="C6" s="154"/>
      <c r="D6" s="162"/>
      <c r="E6" s="163"/>
      <c r="F6" s="154"/>
      <c r="G6" s="163"/>
      <c r="H6" s="151"/>
      <c r="I6" s="154"/>
      <c r="J6" s="151"/>
      <c r="K6" s="151"/>
      <c r="L6" s="154"/>
      <c r="M6" s="160"/>
      <c r="N6" s="151"/>
      <c r="O6" s="152"/>
      <c r="P6" s="152"/>
      <c r="Q6" s="152"/>
      <c r="R6" s="152"/>
      <c r="S6" s="152"/>
      <c r="T6" s="152"/>
      <c r="U6" s="152"/>
      <c r="V6" s="152"/>
      <c r="W6" s="152"/>
      <c r="X6" s="152"/>
      <c r="Y6" s="152"/>
      <c r="Z6" s="152"/>
    </row>
    <row r="7" spans="1:26" ht="12.75" customHeight="1" thickTop="1">
      <c r="A7" s="1061"/>
      <c r="B7" s="2482" t="s">
        <v>2191</v>
      </c>
      <c r="C7" s="164"/>
      <c r="D7" s="165" t="s">
        <v>978</v>
      </c>
      <c r="E7" s="166"/>
      <c r="F7" s="164"/>
      <c r="G7" s="167" t="s">
        <v>1273</v>
      </c>
      <c r="H7" s="166"/>
      <c r="I7" s="164"/>
      <c r="J7" s="165" t="s">
        <v>708</v>
      </c>
      <c r="K7" s="168"/>
      <c r="L7" s="164"/>
      <c r="M7" s="2496" t="s">
        <v>398</v>
      </c>
      <c r="N7" s="2497"/>
      <c r="O7" s="152"/>
      <c r="P7" s="152"/>
      <c r="Q7" s="152"/>
      <c r="R7" s="152"/>
      <c r="S7" s="152"/>
      <c r="T7" s="152"/>
      <c r="U7" s="152"/>
      <c r="V7" s="152"/>
      <c r="W7" s="152"/>
      <c r="X7" s="152"/>
      <c r="Y7" s="152"/>
      <c r="Z7" s="152"/>
    </row>
    <row r="8" spans="1:26" ht="14.25" customHeight="1" thickBot="1">
      <c r="A8" s="2473" t="s">
        <v>564</v>
      </c>
      <c r="B8" s="2483"/>
      <c r="C8" s="164"/>
      <c r="D8" s="1416" t="s">
        <v>1274</v>
      </c>
      <c r="E8" s="169"/>
      <c r="F8" s="164"/>
      <c r="G8" s="1417" t="s">
        <v>264</v>
      </c>
      <c r="H8" s="169"/>
      <c r="I8" s="164" t="s">
        <v>265</v>
      </c>
      <c r="J8" s="1648" t="s">
        <v>2101</v>
      </c>
      <c r="K8" s="1418"/>
      <c r="L8" s="164"/>
      <c r="M8" s="2498"/>
      <c r="N8" s="2499"/>
      <c r="O8" s="152"/>
      <c r="P8" s="152"/>
      <c r="Q8" s="152"/>
      <c r="R8" s="152"/>
      <c r="S8" s="152"/>
      <c r="T8" s="152"/>
      <c r="U8" s="152"/>
      <c r="V8" s="152"/>
      <c r="W8" s="152"/>
      <c r="X8" s="152"/>
      <c r="Y8" s="152"/>
      <c r="Z8" s="152"/>
    </row>
    <row r="9" spans="1:26" ht="30.75" customHeight="1" thickBot="1">
      <c r="A9" s="2474"/>
      <c r="B9" s="2484"/>
      <c r="C9" s="154"/>
      <c r="D9" s="1064" t="s">
        <v>565</v>
      </c>
      <c r="E9" s="1065" t="s">
        <v>566</v>
      </c>
      <c r="F9" s="154"/>
      <c r="G9" s="1064" t="s">
        <v>565</v>
      </c>
      <c r="H9" s="1065" t="s">
        <v>566</v>
      </c>
      <c r="I9" s="154"/>
      <c r="J9" s="1064" t="s">
        <v>565</v>
      </c>
      <c r="K9" s="1065" t="s">
        <v>566</v>
      </c>
      <c r="L9" s="154"/>
      <c r="M9" s="1064" t="s">
        <v>565</v>
      </c>
      <c r="N9" s="1065" t="s">
        <v>566</v>
      </c>
      <c r="O9" s="152"/>
      <c r="P9" s="152"/>
      <c r="Q9" s="152"/>
      <c r="R9" s="152"/>
      <c r="S9" s="152"/>
      <c r="T9" s="152"/>
      <c r="U9" s="152"/>
      <c r="V9" s="152"/>
      <c r="W9" s="152"/>
      <c r="X9" s="152"/>
      <c r="Y9" s="152"/>
      <c r="Z9" s="152"/>
    </row>
    <row r="10" spans="1:26" ht="15" customHeight="1" thickBot="1">
      <c r="A10" s="1062" t="s">
        <v>150</v>
      </c>
      <c r="B10" s="1063" t="s">
        <v>151</v>
      </c>
      <c r="C10" s="154"/>
      <c r="D10" s="1066">
        <v>1</v>
      </c>
      <c r="E10" s="1067">
        <v>2</v>
      </c>
      <c r="F10" s="154"/>
      <c r="G10" s="1066">
        <v>3</v>
      </c>
      <c r="H10" s="1067">
        <v>4</v>
      </c>
      <c r="I10" s="154"/>
      <c r="J10" s="1066">
        <v>5</v>
      </c>
      <c r="K10" s="1067">
        <v>6</v>
      </c>
      <c r="L10" s="154"/>
      <c r="M10" s="1066">
        <v>7</v>
      </c>
      <c r="N10" s="1067">
        <v>8</v>
      </c>
      <c r="O10" s="152"/>
      <c r="P10" s="152"/>
      <c r="Q10" s="152"/>
      <c r="R10" s="152"/>
      <c r="S10" s="152"/>
      <c r="T10" s="152"/>
      <c r="U10" s="152"/>
      <c r="V10" s="152"/>
      <c r="W10" s="152"/>
      <c r="X10" s="152"/>
      <c r="Y10" s="152"/>
      <c r="Z10" s="152"/>
    </row>
    <row r="11" spans="1:26" ht="28.5" customHeight="1">
      <c r="A11" s="467" t="s">
        <v>1258</v>
      </c>
      <c r="B11" s="171"/>
      <c r="C11" s="154"/>
      <c r="D11" s="256" t="str">
        <f>+IF(D76=0," ","НЕРАВНЕНИЕ !")</f>
        <v xml:space="preserve"> </v>
      </c>
      <c r="E11" s="468" t="str">
        <f>+IF(E76=0," ","НЕРАВНЕНИЕ !")</f>
        <v xml:space="preserve"> </v>
      </c>
      <c r="F11" s="214"/>
      <c r="G11" s="256" t="str">
        <f>+IF(G76=0," ","НЕРАВНЕНИЕ !")</f>
        <v xml:space="preserve"> </v>
      </c>
      <c r="H11" s="468" t="str">
        <f>+IF(H76=0," ","НЕРАВНЕНИЕ !")</f>
        <v xml:space="preserve"> </v>
      </c>
      <c r="I11" s="214"/>
      <c r="J11" s="256" t="str">
        <f>+IF(J76=0," ","НЕРАВНЕНИЕ !")</f>
        <v xml:space="preserve"> </v>
      </c>
      <c r="K11" s="468" t="str">
        <f>+IF(K76=0," ","НЕРАВНЕНИЕ !")</f>
        <v xml:space="preserve"> </v>
      </c>
      <c r="L11" s="214"/>
      <c r="M11" s="256" t="str">
        <f>+IF(M76=0," ","НЕРАВНЕНИЕ !")</f>
        <v xml:space="preserve"> </v>
      </c>
      <c r="N11" s="468" t="str">
        <f>+IF(N76=0," ","НЕРАВНЕНИЕ !")</f>
        <v xml:space="preserve"> </v>
      </c>
      <c r="O11" s="152"/>
      <c r="P11" s="152"/>
      <c r="Q11" s="152"/>
      <c r="R11" s="152"/>
      <c r="S11" s="152"/>
      <c r="T11" s="152"/>
      <c r="U11" s="152"/>
      <c r="V11" s="152"/>
      <c r="W11" s="152"/>
      <c r="X11" s="152"/>
      <c r="Y11" s="152"/>
      <c r="Z11" s="152"/>
    </row>
    <row r="12" spans="1:26" ht="15.75">
      <c r="A12" s="1388" t="s">
        <v>170</v>
      </c>
      <c r="B12" s="470">
        <v>1061</v>
      </c>
      <c r="C12" s="154"/>
      <c r="D12" s="513">
        <v>0</v>
      </c>
      <c r="E12" s="471">
        <v>0</v>
      </c>
      <c r="F12" s="214"/>
      <c r="G12" s="513">
        <v>0</v>
      </c>
      <c r="H12" s="471">
        <v>0</v>
      </c>
      <c r="I12" s="214"/>
      <c r="J12" s="513">
        <v>0</v>
      </c>
      <c r="K12" s="471">
        <v>0</v>
      </c>
      <c r="L12" s="214"/>
      <c r="M12" s="472">
        <f>+D12+G12+J12</f>
        <v>0</v>
      </c>
      <c r="N12" s="473">
        <f>+E12+H12+K12</f>
        <v>0</v>
      </c>
      <c r="O12" s="152"/>
      <c r="P12" s="152"/>
      <c r="Q12" s="152"/>
      <c r="R12" s="152"/>
      <c r="S12" s="152"/>
      <c r="T12" s="152"/>
      <c r="U12" s="152"/>
      <c r="V12" s="152"/>
      <c r="W12" s="152"/>
      <c r="X12" s="152"/>
      <c r="Y12" s="152"/>
      <c r="Z12" s="152"/>
    </row>
    <row r="13" spans="1:26" ht="15.75">
      <c r="A13" s="1389" t="s">
        <v>171</v>
      </c>
      <c r="B13" s="475">
        <v>1062</v>
      </c>
      <c r="C13" s="154"/>
      <c r="D13" s="514">
        <v>0</v>
      </c>
      <c r="E13" s="476">
        <v>0</v>
      </c>
      <c r="F13" s="214"/>
      <c r="G13" s="514">
        <v>0</v>
      </c>
      <c r="H13" s="476">
        <v>0</v>
      </c>
      <c r="I13" s="214"/>
      <c r="J13" s="477">
        <v>0</v>
      </c>
      <c r="K13" s="476">
        <v>0</v>
      </c>
      <c r="L13" s="214"/>
      <c r="M13" s="478">
        <f>+D13+G13+J13</f>
        <v>0</v>
      </c>
      <c r="N13" s="479">
        <f>+E13+H13+K13</f>
        <v>0</v>
      </c>
      <c r="O13" s="152"/>
      <c r="P13" s="152"/>
      <c r="Q13" s="152"/>
      <c r="R13" s="152"/>
      <c r="S13" s="152"/>
      <c r="T13" s="152"/>
      <c r="U13" s="152"/>
      <c r="V13" s="152"/>
      <c r="W13" s="152"/>
      <c r="X13" s="152"/>
      <c r="Y13" s="152"/>
      <c r="Z13" s="152"/>
    </row>
    <row r="14" spans="1:26" ht="15.75">
      <c r="A14" s="1390" t="s">
        <v>1259</v>
      </c>
      <c r="B14" s="178">
        <v>1060</v>
      </c>
      <c r="C14" s="154"/>
      <c r="D14" s="215">
        <f>+D12+D13</f>
        <v>0</v>
      </c>
      <c r="E14" s="216">
        <f>+E12+E13</f>
        <v>0</v>
      </c>
      <c r="F14" s="214"/>
      <c r="G14" s="215">
        <f>+G12+G13</f>
        <v>0</v>
      </c>
      <c r="H14" s="216">
        <f>+H12+H13</f>
        <v>0</v>
      </c>
      <c r="I14" s="214"/>
      <c r="J14" s="215">
        <f>+J12+J13</f>
        <v>0</v>
      </c>
      <c r="K14" s="216">
        <f>+K12+K13</f>
        <v>0</v>
      </c>
      <c r="L14" s="214"/>
      <c r="M14" s="215">
        <f>+M12+M13</f>
        <v>0</v>
      </c>
      <c r="N14" s="216">
        <f>+N12+N13</f>
        <v>0</v>
      </c>
      <c r="O14" s="152"/>
      <c r="P14" s="152"/>
      <c r="Q14" s="152"/>
      <c r="R14" s="152"/>
      <c r="S14" s="152"/>
      <c r="T14" s="152"/>
      <c r="U14" s="152"/>
      <c r="V14" s="152"/>
      <c r="W14" s="152"/>
      <c r="X14" s="152"/>
      <c r="Y14" s="152"/>
      <c r="Z14" s="152"/>
    </row>
    <row r="15" spans="1:26" ht="30" customHeight="1">
      <c r="A15" s="467" t="s">
        <v>1984</v>
      </c>
      <c r="B15" s="171"/>
      <c r="C15" s="154"/>
      <c r="D15" s="256" t="str">
        <f>+IF(D78=0," ","НЕРАВНЕНИЕ !")</f>
        <v xml:space="preserve"> </v>
      </c>
      <c r="E15" s="468" t="str">
        <f>+IF(E78=0," ","НЕРАВНЕНИЕ !")</f>
        <v xml:space="preserve"> </v>
      </c>
      <c r="F15" s="214"/>
      <c r="G15" s="256" t="str">
        <f>+IF(G78=0," ","НЕРАВНЕНИЕ !")</f>
        <v xml:space="preserve"> </v>
      </c>
      <c r="H15" s="468" t="str">
        <f>+IF(H78=0," ","НЕРАВНЕНИЕ !")</f>
        <v xml:space="preserve"> </v>
      </c>
      <c r="I15" s="214"/>
      <c r="J15" s="256" t="str">
        <f>+IF(J78=0," ","НЕРАВНЕНИЕ !")</f>
        <v xml:space="preserve"> </v>
      </c>
      <c r="K15" s="468" t="str">
        <f>+IF(K78=0," ","НЕРАВНЕНИЕ !")</f>
        <v xml:space="preserve"> </v>
      </c>
      <c r="L15" s="214"/>
      <c r="M15" s="256" t="str">
        <f>+IF(M78=0," ","НЕРАВНЕНИЕ !")</f>
        <v xml:space="preserve"> </v>
      </c>
      <c r="N15" s="468" t="str">
        <f>+IF(N78=0," ","НЕРАВНЕНИЕ !")</f>
        <v xml:space="preserve"> </v>
      </c>
      <c r="O15" s="152"/>
      <c r="P15" s="152"/>
      <c r="Q15" s="152"/>
      <c r="R15" s="152"/>
      <c r="S15" s="152"/>
      <c r="T15" s="152"/>
      <c r="U15" s="152"/>
      <c r="V15" s="152"/>
      <c r="W15" s="152"/>
      <c r="X15" s="152"/>
      <c r="Y15" s="152"/>
      <c r="Z15" s="152"/>
    </row>
    <row r="16" spans="1:26" ht="15.75">
      <c r="A16" s="2060" t="s">
        <v>1982</v>
      </c>
      <c r="B16" s="470">
        <v>1071</v>
      </c>
      <c r="C16" s="154"/>
      <c r="D16" s="496">
        <v>0</v>
      </c>
      <c r="E16" s="471">
        <v>0</v>
      </c>
      <c r="F16" s="214"/>
      <c r="G16" s="496">
        <v>0</v>
      </c>
      <c r="H16" s="471">
        <v>0</v>
      </c>
      <c r="I16" s="214"/>
      <c r="J16" s="496">
        <v>0</v>
      </c>
      <c r="K16" s="471">
        <v>0</v>
      </c>
      <c r="L16" s="214"/>
      <c r="M16" s="472">
        <f t="shared" ref="M16:N21" si="0">+D16+G16+J16</f>
        <v>0</v>
      </c>
      <c r="N16" s="473">
        <f t="shared" si="0"/>
        <v>0</v>
      </c>
      <c r="O16" s="152"/>
      <c r="P16" s="152"/>
      <c r="Q16" s="152"/>
      <c r="R16" s="152"/>
      <c r="S16" s="152"/>
      <c r="T16" s="152"/>
      <c r="U16" s="152"/>
      <c r="V16" s="152"/>
      <c r="W16" s="152"/>
      <c r="X16" s="152"/>
      <c r="Y16" s="152"/>
      <c r="Z16" s="152"/>
    </row>
    <row r="17" spans="1:26" ht="15.75">
      <c r="A17" s="1391" t="s">
        <v>173</v>
      </c>
      <c r="B17" s="483">
        <v>1072</v>
      </c>
      <c r="C17" s="154"/>
      <c r="D17" s="484">
        <v>0</v>
      </c>
      <c r="E17" s="485">
        <v>0</v>
      </c>
      <c r="F17" s="214"/>
      <c r="G17" s="484">
        <v>0</v>
      </c>
      <c r="H17" s="485">
        <v>0</v>
      </c>
      <c r="I17" s="214"/>
      <c r="J17" s="484">
        <v>0</v>
      </c>
      <c r="K17" s="485">
        <v>0</v>
      </c>
      <c r="L17" s="214"/>
      <c r="M17" s="486">
        <f t="shared" si="0"/>
        <v>0</v>
      </c>
      <c r="N17" s="487">
        <f t="shared" si="0"/>
        <v>0</v>
      </c>
      <c r="O17" s="152"/>
      <c r="P17" s="152"/>
      <c r="Q17" s="152"/>
      <c r="R17" s="152"/>
      <c r="S17" s="152"/>
      <c r="T17" s="152"/>
      <c r="U17" s="152"/>
      <c r="V17" s="152"/>
      <c r="W17" s="152"/>
      <c r="X17" s="152"/>
      <c r="Y17" s="152"/>
      <c r="Z17" s="152"/>
    </row>
    <row r="18" spans="1:26" ht="15.75">
      <c r="A18" s="1391" t="s">
        <v>408</v>
      </c>
      <c r="B18" s="483">
        <v>1073</v>
      </c>
      <c r="C18" s="154"/>
      <c r="D18" s="484">
        <v>0</v>
      </c>
      <c r="E18" s="485">
        <v>0</v>
      </c>
      <c r="F18" s="214"/>
      <c r="G18" s="484">
        <v>0</v>
      </c>
      <c r="H18" s="485">
        <v>0</v>
      </c>
      <c r="I18" s="214"/>
      <c r="J18" s="484">
        <v>0</v>
      </c>
      <c r="K18" s="485">
        <v>0</v>
      </c>
      <c r="L18" s="214"/>
      <c r="M18" s="486">
        <f t="shared" si="0"/>
        <v>0</v>
      </c>
      <c r="N18" s="487">
        <f t="shared" si="0"/>
        <v>0</v>
      </c>
      <c r="O18" s="152"/>
      <c r="P18" s="152"/>
      <c r="Q18" s="152"/>
      <c r="R18" s="152"/>
      <c r="S18" s="152"/>
      <c r="T18" s="152"/>
      <c r="U18" s="152"/>
      <c r="V18" s="152"/>
      <c r="W18" s="152"/>
      <c r="X18" s="152"/>
      <c r="Y18" s="152"/>
      <c r="Z18" s="152"/>
    </row>
    <row r="19" spans="1:26" ht="15.75">
      <c r="A19" s="1391" t="s">
        <v>409</v>
      </c>
      <c r="B19" s="483">
        <v>1074</v>
      </c>
      <c r="C19" s="154"/>
      <c r="D19" s="484">
        <v>0</v>
      </c>
      <c r="E19" s="485">
        <v>0</v>
      </c>
      <c r="F19" s="214"/>
      <c r="G19" s="484">
        <v>0</v>
      </c>
      <c r="H19" s="485">
        <v>0</v>
      </c>
      <c r="I19" s="214"/>
      <c r="J19" s="484">
        <v>0</v>
      </c>
      <c r="K19" s="485">
        <v>0</v>
      </c>
      <c r="L19" s="214"/>
      <c r="M19" s="486">
        <f t="shared" si="0"/>
        <v>0</v>
      </c>
      <c r="N19" s="487">
        <f t="shared" si="0"/>
        <v>0</v>
      </c>
      <c r="O19" s="152"/>
      <c r="P19" s="152"/>
      <c r="Q19" s="152"/>
      <c r="R19" s="152"/>
      <c r="S19" s="152"/>
      <c r="T19" s="152"/>
      <c r="U19" s="152"/>
      <c r="V19" s="152"/>
      <c r="W19" s="152"/>
      <c r="X19" s="152"/>
      <c r="Y19" s="152"/>
      <c r="Z19" s="152"/>
    </row>
    <row r="20" spans="1:26" ht="15.75">
      <c r="A20" s="1391" t="s">
        <v>410</v>
      </c>
      <c r="B20" s="483">
        <v>1075</v>
      </c>
      <c r="C20" s="154"/>
      <c r="D20" s="488">
        <v>0</v>
      </c>
      <c r="E20" s="489">
        <v>0</v>
      </c>
      <c r="F20" s="214"/>
      <c r="G20" s="488">
        <v>0</v>
      </c>
      <c r="H20" s="489">
        <v>0</v>
      </c>
      <c r="I20" s="214"/>
      <c r="J20" s="488">
        <v>0</v>
      </c>
      <c r="K20" s="489">
        <v>0</v>
      </c>
      <c r="L20" s="214"/>
      <c r="M20" s="486">
        <f t="shared" si="0"/>
        <v>0</v>
      </c>
      <c r="N20" s="487">
        <f t="shared" si="0"/>
        <v>0</v>
      </c>
      <c r="O20" s="152"/>
      <c r="P20" s="152"/>
      <c r="Q20" s="152"/>
      <c r="R20" s="152"/>
      <c r="S20" s="152"/>
      <c r="T20" s="152"/>
      <c r="U20" s="152"/>
      <c r="V20" s="152"/>
      <c r="W20" s="152"/>
      <c r="X20" s="152"/>
      <c r="Y20" s="152"/>
      <c r="Z20" s="152"/>
    </row>
    <row r="21" spans="1:26" ht="15.75">
      <c r="A21" s="1389" t="s">
        <v>411</v>
      </c>
      <c r="B21" s="475">
        <v>1076</v>
      </c>
      <c r="C21" s="154"/>
      <c r="D21" s="477">
        <v>0</v>
      </c>
      <c r="E21" s="476">
        <v>0</v>
      </c>
      <c r="F21" s="214"/>
      <c r="G21" s="477">
        <v>0</v>
      </c>
      <c r="H21" s="476">
        <v>0</v>
      </c>
      <c r="I21" s="214"/>
      <c r="J21" s="477">
        <v>0</v>
      </c>
      <c r="K21" s="476">
        <v>0</v>
      </c>
      <c r="L21" s="214"/>
      <c r="M21" s="478">
        <f t="shared" si="0"/>
        <v>0</v>
      </c>
      <c r="N21" s="479">
        <f t="shared" si="0"/>
        <v>0</v>
      </c>
      <c r="O21" s="152"/>
      <c r="P21" s="152"/>
      <c r="Q21" s="152"/>
      <c r="R21" s="152"/>
      <c r="S21" s="152"/>
      <c r="T21" s="152"/>
      <c r="U21" s="152"/>
      <c r="V21" s="152"/>
      <c r="W21" s="152"/>
      <c r="X21" s="152"/>
      <c r="Y21" s="152"/>
      <c r="Z21" s="152"/>
    </row>
    <row r="22" spans="1:26" ht="15.75">
      <c r="A22" s="1390" t="s">
        <v>1985</v>
      </c>
      <c r="B22" s="178">
        <v>1070</v>
      </c>
      <c r="C22" s="154"/>
      <c r="D22" s="215">
        <f>+D16+D17+D18+D19+D20+D21</f>
        <v>0</v>
      </c>
      <c r="E22" s="216">
        <f>+E16+E17+E18+E19+E20+E21</f>
        <v>0</v>
      </c>
      <c r="F22" s="214"/>
      <c r="G22" s="215">
        <f>+G16+G17+G18+G19+G20+G21</f>
        <v>0</v>
      </c>
      <c r="H22" s="216">
        <f>+H16+H17+H18+H19+H20+H21</f>
        <v>0</v>
      </c>
      <c r="I22" s="214"/>
      <c r="J22" s="215">
        <f>+J16+J17+J18+J19+J20+J21</f>
        <v>0</v>
      </c>
      <c r="K22" s="216">
        <f>+K16+K17+K18+K19+K20+K21</f>
        <v>0</v>
      </c>
      <c r="L22" s="214"/>
      <c r="M22" s="215">
        <f>+M16+M17+M18+M19+M20+M21</f>
        <v>0</v>
      </c>
      <c r="N22" s="216">
        <f>+N16+N17+N18+N19+N20+N21</f>
        <v>0</v>
      </c>
      <c r="O22" s="152"/>
      <c r="P22" s="152"/>
      <c r="Q22" s="152"/>
      <c r="R22" s="152"/>
      <c r="S22" s="152"/>
      <c r="T22" s="152"/>
      <c r="U22" s="152"/>
      <c r="V22" s="152"/>
      <c r="W22" s="152"/>
      <c r="X22" s="152"/>
      <c r="Y22" s="152"/>
      <c r="Z22" s="152"/>
    </row>
    <row r="23" spans="1:26" ht="29.25" customHeight="1">
      <c r="A23" s="467" t="s">
        <v>1260</v>
      </c>
      <c r="B23" s="171"/>
      <c r="C23" s="154"/>
      <c r="D23" s="256" t="str">
        <f>+IF(D80=0," ","НЕРАВНЕНИЕ !")</f>
        <v xml:space="preserve"> </v>
      </c>
      <c r="E23" s="468" t="str">
        <f>+IF(E80=0," ","НЕРАВНЕНИЕ !")</f>
        <v xml:space="preserve"> </v>
      </c>
      <c r="F23" s="214"/>
      <c r="G23" s="256" t="str">
        <f>+IF(G80=0," ","НЕРАВНЕНИЕ !")</f>
        <v xml:space="preserve"> </v>
      </c>
      <c r="H23" s="468" t="str">
        <f>+IF(H80=0," ","НЕРАВНЕНИЕ !")</f>
        <v xml:space="preserve"> </v>
      </c>
      <c r="I23" s="214"/>
      <c r="J23" s="256" t="str">
        <f>+IF(J80=0," ","НЕРАВНЕНИЕ !")</f>
        <v xml:space="preserve"> </v>
      </c>
      <c r="K23" s="468" t="str">
        <f>+IF(K80=0," ","НЕРАВНЕНИЕ !")</f>
        <v xml:space="preserve"> </v>
      </c>
      <c r="L23" s="214"/>
      <c r="M23" s="256" t="str">
        <f>+IF(M80=0," ","НЕРАВНЕНИЕ !")</f>
        <v xml:space="preserve"> </v>
      </c>
      <c r="N23" s="468" t="str">
        <f>+IF(N80=0," ","НЕРАВНЕНИЕ !")</f>
        <v xml:space="preserve"> </v>
      </c>
      <c r="O23" s="152"/>
      <c r="P23" s="152"/>
      <c r="Q23" s="152"/>
      <c r="R23" s="152"/>
      <c r="S23" s="152"/>
      <c r="T23" s="152"/>
      <c r="U23" s="152"/>
      <c r="V23" s="152"/>
      <c r="W23" s="152"/>
      <c r="X23" s="152"/>
      <c r="Y23" s="152"/>
      <c r="Z23" s="152"/>
    </row>
    <row r="24" spans="1:26" ht="15.75">
      <c r="A24" s="2060" t="s">
        <v>1982</v>
      </c>
      <c r="B24" s="470">
        <v>1081</v>
      </c>
      <c r="C24" s="154"/>
      <c r="D24" s="496">
        <v>0</v>
      </c>
      <c r="E24" s="2061">
        <v>0</v>
      </c>
      <c r="F24" s="214"/>
      <c r="G24" s="496">
        <v>0</v>
      </c>
      <c r="H24" s="2061">
        <v>0</v>
      </c>
      <c r="I24" s="214"/>
      <c r="J24" s="496">
        <v>0</v>
      </c>
      <c r="K24" s="2061">
        <v>0</v>
      </c>
      <c r="L24" s="214"/>
      <c r="M24" s="472">
        <f t="shared" ref="M24:N29" si="1">+D24+G24+J24</f>
        <v>0</v>
      </c>
      <c r="N24" s="473">
        <f t="shared" si="1"/>
        <v>0</v>
      </c>
      <c r="O24" s="152"/>
      <c r="P24" s="152"/>
      <c r="Q24" s="152"/>
      <c r="R24" s="152"/>
      <c r="S24" s="152"/>
      <c r="T24" s="152"/>
      <c r="U24" s="152"/>
      <c r="V24" s="152"/>
      <c r="W24" s="152"/>
      <c r="X24" s="152"/>
      <c r="Y24" s="152"/>
      <c r="Z24" s="152"/>
    </row>
    <row r="25" spans="1:26" ht="15.75">
      <c r="A25" s="1391" t="s">
        <v>173</v>
      </c>
      <c r="B25" s="483">
        <v>1082</v>
      </c>
      <c r="C25" s="154"/>
      <c r="D25" s="484">
        <v>0</v>
      </c>
      <c r="E25" s="511">
        <v>0</v>
      </c>
      <c r="F25" s="214"/>
      <c r="G25" s="484">
        <v>0</v>
      </c>
      <c r="H25" s="511">
        <v>0</v>
      </c>
      <c r="I25" s="214"/>
      <c r="J25" s="484">
        <v>0</v>
      </c>
      <c r="K25" s="511">
        <v>0</v>
      </c>
      <c r="L25" s="214"/>
      <c r="M25" s="486">
        <f t="shared" si="1"/>
        <v>0</v>
      </c>
      <c r="N25" s="487">
        <f t="shared" si="1"/>
        <v>0</v>
      </c>
      <c r="O25" s="152"/>
      <c r="P25" s="152"/>
      <c r="Q25" s="152"/>
      <c r="R25" s="152"/>
      <c r="S25" s="152"/>
      <c r="T25" s="152"/>
      <c r="U25" s="152"/>
      <c r="V25" s="152"/>
      <c r="W25" s="152"/>
      <c r="X25" s="152"/>
      <c r="Y25" s="152"/>
      <c r="Z25" s="152"/>
    </row>
    <row r="26" spans="1:26" ht="15.75">
      <c r="A26" s="1391" t="s">
        <v>408</v>
      </c>
      <c r="B26" s="483">
        <v>1083</v>
      </c>
      <c r="C26" s="154"/>
      <c r="D26" s="484">
        <v>0</v>
      </c>
      <c r="E26" s="511">
        <v>0</v>
      </c>
      <c r="F26" s="214"/>
      <c r="G26" s="484">
        <v>0</v>
      </c>
      <c r="H26" s="511">
        <v>0</v>
      </c>
      <c r="I26" s="214"/>
      <c r="J26" s="484">
        <v>0</v>
      </c>
      <c r="K26" s="511">
        <v>0</v>
      </c>
      <c r="L26" s="214"/>
      <c r="M26" s="486">
        <f t="shared" si="1"/>
        <v>0</v>
      </c>
      <c r="N26" s="487">
        <f t="shared" si="1"/>
        <v>0</v>
      </c>
      <c r="O26" s="152"/>
      <c r="P26" s="152"/>
      <c r="Q26" s="152"/>
      <c r="R26" s="152"/>
      <c r="S26" s="152"/>
      <c r="T26" s="152"/>
      <c r="U26" s="152"/>
      <c r="V26" s="152"/>
      <c r="W26" s="152"/>
      <c r="X26" s="152"/>
      <c r="Y26" s="152"/>
      <c r="Z26" s="152"/>
    </row>
    <row r="27" spans="1:26" ht="15.75">
      <c r="A27" s="1391" t="s">
        <v>409</v>
      </c>
      <c r="B27" s="483">
        <v>1084</v>
      </c>
      <c r="C27" s="154"/>
      <c r="D27" s="484">
        <v>0</v>
      </c>
      <c r="E27" s="511">
        <v>0</v>
      </c>
      <c r="F27" s="214"/>
      <c r="G27" s="484">
        <v>0</v>
      </c>
      <c r="H27" s="511">
        <v>0</v>
      </c>
      <c r="I27" s="214"/>
      <c r="J27" s="484">
        <v>0</v>
      </c>
      <c r="K27" s="511">
        <v>0</v>
      </c>
      <c r="L27" s="214"/>
      <c r="M27" s="486">
        <f t="shared" si="1"/>
        <v>0</v>
      </c>
      <c r="N27" s="487">
        <f t="shared" si="1"/>
        <v>0</v>
      </c>
      <c r="O27" s="152"/>
      <c r="P27" s="152"/>
      <c r="Q27" s="152"/>
      <c r="R27" s="152"/>
      <c r="S27" s="152"/>
      <c r="T27" s="152"/>
      <c r="U27" s="152"/>
      <c r="V27" s="152"/>
      <c r="W27" s="152"/>
      <c r="X27" s="152"/>
      <c r="Y27" s="152"/>
      <c r="Z27" s="152"/>
    </row>
    <row r="28" spans="1:26" ht="15.75">
      <c r="A28" s="1391" t="s">
        <v>410</v>
      </c>
      <c r="B28" s="483">
        <v>1085</v>
      </c>
      <c r="C28" s="154"/>
      <c r="D28" s="488">
        <v>0</v>
      </c>
      <c r="E28" s="489">
        <v>0</v>
      </c>
      <c r="F28" s="214"/>
      <c r="G28" s="488">
        <v>0</v>
      </c>
      <c r="H28" s="489">
        <v>0</v>
      </c>
      <c r="I28" s="214"/>
      <c r="J28" s="488">
        <v>0</v>
      </c>
      <c r="K28" s="489">
        <v>0</v>
      </c>
      <c r="L28" s="214"/>
      <c r="M28" s="486">
        <f t="shared" si="1"/>
        <v>0</v>
      </c>
      <c r="N28" s="487">
        <f t="shared" si="1"/>
        <v>0</v>
      </c>
      <c r="O28" s="152"/>
      <c r="P28" s="152"/>
      <c r="Q28" s="152"/>
      <c r="R28" s="152"/>
      <c r="S28" s="152"/>
      <c r="T28" s="152"/>
      <c r="U28" s="152"/>
      <c r="V28" s="152"/>
      <c r="W28" s="152"/>
      <c r="X28" s="152"/>
      <c r="Y28" s="152"/>
      <c r="Z28" s="152"/>
    </row>
    <row r="29" spans="1:26" ht="15.75">
      <c r="A29" s="1389" t="s">
        <v>411</v>
      </c>
      <c r="B29" s="475">
        <v>1086</v>
      </c>
      <c r="C29" s="154"/>
      <c r="D29" s="484">
        <v>0</v>
      </c>
      <c r="E29" s="512">
        <v>0</v>
      </c>
      <c r="F29" s="214"/>
      <c r="G29" s="484">
        <v>0</v>
      </c>
      <c r="H29" s="512">
        <v>0</v>
      </c>
      <c r="I29" s="214"/>
      <c r="J29" s="484">
        <v>0</v>
      </c>
      <c r="K29" s="512">
        <v>0</v>
      </c>
      <c r="L29" s="214"/>
      <c r="M29" s="478">
        <f t="shared" si="1"/>
        <v>0</v>
      </c>
      <c r="N29" s="479">
        <f t="shared" si="1"/>
        <v>0</v>
      </c>
      <c r="O29" s="152"/>
      <c r="P29" s="152"/>
      <c r="Q29" s="152"/>
      <c r="R29" s="152"/>
      <c r="S29" s="152"/>
      <c r="T29" s="152"/>
      <c r="U29" s="152"/>
      <c r="V29" s="152"/>
      <c r="W29" s="152"/>
      <c r="X29" s="152"/>
      <c r="Y29" s="152"/>
      <c r="Z29" s="152"/>
    </row>
    <row r="30" spans="1:26" ht="15.75">
      <c r="A30" s="1390" t="s">
        <v>1261</v>
      </c>
      <c r="B30" s="178">
        <v>1080</v>
      </c>
      <c r="C30" s="154"/>
      <c r="D30" s="215">
        <f>+D24+D25+D26+D27+D28+D29</f>
        <v>0</v>
      </c>
      <c r="E30" s="216">
        <f>+E24+E25+E26+E27+E28+E29</f>
        <v>0</v>
      </c>
      <c r="F30" s="214"/>
      <c r="G30" s="215">
        <f>+G24+G25+G26+G27+G28+G29</f>
        <v>0</v>
      </c>
      <c r="H30" s="216">
        <f>+H24+H25+H26+H27+H28+H29</f>
        <v>0</v>
      </c>
      <c r="I30" s="214"/>
      <c r="J30" s="215">
        <f>+J24+J25+J26+J27+J28+J29</f>
        <v>0</v>
      </c>
      <c r="K30" s="216">
        <f>+K24+K25+K26+K27+K28+K29</f>
        <v>0</v>
      </c>
      <c r="L30" s="214"/>
      <c r="M30" s="215">
        <f>+M24+M25+M26+M27+M28+M29</f>
        <v>0</v>
      </c>
      <c r="N30" s="216">
        <f>+N24+N25+N26+N27+N28+N29</f>
        <v>0</v>
      </c>
      <c r="O30" s="152"/>
      <c r="P30" s="152"/>
      <c r="Q30" s="152"/>
      <c r="R30" s="152"/>
      <c r="S30" s="152"/>
      <c r="T30" s="152"/>
      <c r="U30" s="152"/>
      <c r="V30" s="152"/>
      <c r="W30" s="152"/>
      <c r="X30" s="152"/>
      <c r="Y30" s="152"/>
      <c r="Z30" s="152"/>
    </row>
    <row r="31" spans="1:26" ht="3" customHeight="1">
      <c r="A31" s="172"/>
      <c r="B31" s="173"/>
      <c r="C31" s="154"/>
      <c r="D31" s="212"/>
      <c r="E31" s="213"/>
      <c r="F31" s="214"/>
      <c r="G31" s="212"/>
      <c r="H31" s="213"/>
      <c r="I31" s="214"/>
      <c r="J31" s="212"/>
      <c r="K31" s="213"/>
      <c r="L31" s="214"/>
      <c r="M31" s="212"/>
      <c r="N31" s="213"/>
      <c r="O31" s="152"/>
      <c r="P31" s="152"/>
      <c r="Q31" s="152"/>
      <c r="R31" s="152"/>
      <c r="S31" s="152"/>
      <c r="T31" s="152"/>
      <c r="U31" s="152"/>
      <c r="V31" s="152"/>
      <c r="W31" s="152"/>
      <c r="X31" s="152"/>
      <c r="Y31" s="152"/>
      <c r="Z31" s="152"/>
    </row>
    <row r="32" spans="1:26" ht="16.5" thickBot="1">
      <c r="A32" s="1068" t="s">
        <v>210</v>
      </c>
      <c r="B32" s="251">
        <v>1200</v>
      </c>
      <c r="C32" s="154"/>
      <c r="D32" s="222">
        <f>+D14+D22+D30</f>
        <v>0</v>
      </c>
      <c r="E32" s="223">
        <f>+E14+E22+E30</f>
        <v>0</v>
      </c>
      <c r="F32" s="214"/>
      <c r="G32" s="222">
        <f>+G14+G22+G30</f>
        <v>0</v>
      </c>
      <c r="H32" s="223">
        <f>+H14+H22+H30</f>
        <v>0</v>
      </c>
      <c r="I32" s="214"/>
      <c r="J32" s="222">
        <f>+J14+J22+J30</f>
        <v>0</v>
      </c>
      <c r="K32" s="223">
        <f>+K14+K22+K30</f>
        <v>0</v>
      </c>
      <c r="L32" s="214"/>
      <c r="M32" s="222">
        <f>+M14+M22+M30</f>
        <v>0</v>
      </c>
      <c r="N32" s="223">
        <f>+N14+N22+N30</f>
        <v>0</v>
      </c>
      <c r="O32" s="152"/>
      <c r="P32" s="152"/>
      <c r="Q32" s="152"/>
      <c r="R32" s="152"/>
      <c r="S32" s="152"/>
      <c r="T32" s="152"/>
      <c r="U32" s="152"/>
      <c r="V32" s="152"/>
      <c r="W32" s="152"/>
      <c r="X32" s="152"/>
      <c r="Y32" s="152"/>
      <c r="Z32" s="152"/>
    </row>
    <row r="33" spans="1:26" ht="15.75" customHeight="1" thickTop="1">
      <c r="A33" s="191"/>
      <c r="B33" s="181"/>
      <c r="C33" s="164"/>
      <c r="D33" s="217"/>
      <c r="E33" s="217"/>
      <c r="F33" s="218"/>
      <c r="G33" s="217"/>
      <c r="H33" s="217"/>
      <c r="I33" s="218"/>
      <c r="J33" s="217"/>
      <c r="K33" s="217"/>
      <c r="L33" s="218"/>
      <c r="M33" s="217"/>
      <c r="N33" s="217"/>
      <c r="O33" s="152"/>
      <c r="P33" s="152"/>
      <c r="Q33" s="152"/>
      <c r="R33" s="152"/>
      <c r="S33" s="152"/>
      <c r="T33" s="152"/>
      <c r="U33" s="152"/>
      <c r="V33" s="152"/>
      <c r="W33" s="152"/>
      <c r="X33" s="152"/>
      <c r="Y33" s="152"/>
      <c r="Z33" s="152"/>
    </row>
    <row r="34" spans="1:26" ht="3.75" customHeight="1" thickBot="1">
      <c r="A34" s="191"/>
      <c r="B34" s="181"/>
      <c r="C34" s="154"/>
      <c r="D34" s="217"/>
      <c r="E34" s="217"/>
      <c r="F34" s="214"/>
      <c r="G34" s="217"/>
      <c r="H34" s="217"/>
      <c r="I34" s="214"/>
      <c r="J34" s="217"/>
      <c r="K34" s="217"/>
      <c r="L34" s="214"/>
      <c r="M34" s="217"/>
      <c r="N34" s="217"/>
      <c r="O34" s="152"/>
      <c r="P34" s="152"/>
      <c r="Q34" s="152"/>
      <c r="R34" s="152"/>
      <c r="S34" s="152"/>
      <c r="T34" s="152"/>
      <c r="U34" s="152"/>
      <c r="V34" s="152"/>
      <c r="W34" s="152"/>
      <c r="X34" s="152"/>
      <c r="Y34" s="152"/>
      <c r="Z34" s="152"/>
    </row>
    <row r="35" spans="1:26" ht="13.5" customHeight="1" thickTop="1">
      <c r="A35" s="1649"/>
      <c r="B35" s="2485" t="s">
        <v>2191</v>
      </c>
      <c r="C35" s="164"/>
      <c r="D35" s="165" t="s">
        <v>978</v>
      </c>
      <c r="E35" s="166"/>
      <c r="F35" s="218"/>
      <c r="G35" s="167" t="s">
        <v>1273</v>
      </c>
      <c r="H35" s="166"/>
      <c r="I35" s="218"/>
      <c r="J35" s="165" t="s">
        <v>708</v>
      </c>
      <c r="K35" s="168"/>
      <c r="L35" s="218"/>
      <c r="M35" s="2492" t="s">
        <v>398</v>
      </c>
      <c r="N35" s="2493"/>
      <c r="O35" s="152"/>
      <c r="P35" s="152"/>
      <c r="Q35" s="152"/>
      <c r="R35" s="152"/>
      <c r="S35" s="152"/>
      <c r="T35" s="152"/>
      <c r="U35" s="152"/>
      <c r="V35" s="152"/>
      <c r="W35" s="152"/>
      <c r="X35" s="152"/>
      <c r="Y35" s="152"/>
      <c r="Z35" s="152"/>
    </row>
    <row r="36" spans="1:26" ht="12" customHeight="1" thickBot="1">
      <c r="A36" s="1650" t="s">
        <v>559</v>
      </c>
      <c r="B36" s="2486"/>
      <c r="C36" s="164"/>
      <c r="D36" s="1416" t="s">
        <v>1274</v>
      </c>
      <c r="E36" s="169"/>
      <c r="F36" s="218"/>
      <c r="G36" s="1417" t="s">
        <v>264</v>
      </c>
      <c r="H36" s="169"/>
      <c r="I36" s="218" t="s">
        <v>265</v>
      </c>
      <c r="J36" s="1648" t="s">
        <v>2101</v>
      </c>
      <c r="K36" s="1418"/>
      <c r="L36" s="218"/>
      <c r="M36" s="2494"/>
      <c r="N36" s="2495"/>
      <c r="O36" s="152"/>
      <c r="P36" s="152"/>
      <c r="Q36" s="152"/>
      <c r="R36" s="152"/>
      <c r="S36" s="152"/>
      <c r="T36" s="152"/>
      <c r="U36" s="152"/>
      <c r="V36" s="152"/>
      <c r="W36" s="152"/>
      <c r="X36" s="152"/>
      <c r="Y36" s="152"/>
      <c r="Z36" s="152"/>
    </row>
    <row r="37" spans="1:26" ht="28.5" customHeight="1" thickBot="1">
      <c r="A37" s="1651" t="s">
        <v>197</v>
      </c>
      <c r="B37" s="2487"/>
      <c r="C37" s="154"/>
      <c r="D37" s="1654" t="s">
        <v>565</v>
      </c>
      <c r="E37" s="1656" t="s">
        <v>566</v>
      </c>
      <c r="F37" s="214"/>
      <c r="G37" s="1654" t="s">
        <v>565</v>
      </c>
      <c r="H37" s="1656" t="s">
        <v>566</v>
      </c>
      <c r="I37" s="214"/>
      <c r="J37" s="1654" t="s">
        <v>565</v>
      </c>
      <c r="K37" s="1656" t="s">
        <v>566</v>
      </c>
      <c r="L37" s="214"/>
      <c r="M37" s="1654" t="s">
        <v>565</v>
      </c>
      <c r="N37" s="1656" t="s">
        <v>566</v>
      </c>
      <c r="O37" s="152"/>
      <c r="P37" s="152"/>
      <c r="Q37" s="152"/>
      <c r="R37" s="152"/>
      <c r="S37" s="152"/>
      <c r="T37" s="152"/>
      <c r="U37" s="152"/>
      <c r="V37" s="152"/>
      <c r="W37" s="152"/>
      <c r="X37" s="152"/>
      <c r="Y37" s="152"/>
      <c r="Z37" s="152"/>
    </row>
    <row r="38" spans="1:26" ht="15" customHeight="1" thickBot="1">
      <c r="A38" s="1652" t="s">
        <v>150</v>
      </c>
      <c r="B38" s="1653" t="s">
        <v>151</v>
      </c>
      <c r="C38" s="154"/>
      <c r="D38" s="1655">
        <v>1</v>
      </c>
      <c r="E38" s="1657">
        <v>2</v>
      </c>
      <c r="F38" s="221"/>
      <c r="G38" s="1655">
        <v>3</v>
      </c>
      <c r="H38" s="1657">
        <v>4</v>
      </c>
      <c r="I38" s="221"/>
      <c r="J38" s="1655">
        <v>5</v>
      </c>
      <c r="K38" s="1657">
        <v>6</v>
      </c>
      <c r="L38" s="221"/>
      <c r="M38" s="1655">
        <v>7</v>
      </c>
      <c r="N38" s="1657">
        <v>8</v>
      </c>
      <c r="O38" s="152"/>
      <c r="P38" s="152"/>
      <c r="Q38" s="152"/>
      <c r="R38" s="152"/>
      <c r="S38" s="152"/>
      <c r="T38" s="152"/>
      <c r="U38" s="152"/>
      <c r="V38" s="152"/>
      <c r="W38" s="152"/>
      <c r="X38" s="152"/>
      <c r="Y38" s="152"/>
      <c r="Z38" s="152"/>
    </row>
    <row r="39" spans="1:26" ht="14.25" customHeight="1">
      <c r="A39" s="170"/>
      <c r="B39" s="185"/>
      <c r="C39" s="154"/>
      <c r="D39" s="256" t="str">
        <f>+IF(D82=0," ","НЕРАВНЕНИЕ !")</f>
        <v xml:space="preserve"> </v>
      </c>
      <c r="E39" s="257" t="str">
        <f>+IF(E82=0," ","НЕРАВНЕНИЕ !")</f>
        <v xml:space="preserve"> </v>
      </c>
      <c r="F39" s="214"/>
      <c r="G39" s="256" t="str">
        <f>+IF(G82=0," ","НЕРАВНЕНИЕ !")</f>
        <v xml:space="preserve"> </v>
      </c>
      <c r="H39" s="257" t="str">
        <f>+IF(H82=0," ","НЕРАВНЕНИЕ !")</f>
        <v xml:space="preserve"> </v>
      </c>
      <c r="I39" s="214"/>
      <c r="J39" s="256" t="str">
        <f>+IF(J82=0," ","НЕРАВНЕНИЕ !")</f>
        <v xml:space="preserve"> </v>
      </c>
      <c r="K39" s="257" t="str">
        <f>+IF(K82=0," ","НЕРАВНЕНИЕ !")</f>
        <v xml:space="preserve"> </v>
      </c>
      <c r="L39" s="214"/>
      <c r="M39" s="256" t="str">
        <f>+IF(M82=0," ","НЕРАВНЕНИЕ !")</f>
        <v xml:space="preserve"> </v>
      </c>
      <c r="N39" s="257" t="str">
        <f>+IF(N82=0," ","НЕРАВНЕНИЕ !")</f>
        <v xml:space="preserve"> </v>
      </c>
      <c r="O39" s="152"/>
      <c r="P39" s="152"/>
      <c r="Q39" s="152"/>
      <c r="R39" s="152"/>
      <c r="S39" s="152"/>
      <c r="T39" s="152"/>
      <c r="U39" s="152"/>
      <c r="V39" s="152"/>
      <c r="W39" s="152"/>
      <c r="X39" s="152"/>
      <c r="Y39" s="152"/>
      <c r="Z39" s="152"/>
    </row>
    <row r="40" spans="1:26" ht="30" customHeight="1">
      <c r="A40" s="490" t="s">
        <v>1262</v>
      </c>
      <c r="B40" s="185"/>
      <c r="C40" s="154"/>
      <c r="D40" s="311"/>
      <c r="E40" s="493"/>
      <c r="F40" s="214"/>
      <c r="G40" s="311"/>
      <c r="H40" s="493"/>
      <c r="I40" s="214"/>
      <c r="J40" s="311"/>
      <c r="K40" s="493"/>
      <c r="L40" s="214"/>
      <c r="M40" s="311"/>
      <c r="N40" s="493"/>
      <c r="O40" s="152"/>
      <c r="P40" s="152"/>
      <c r="Q40" s="152"/>
      <c r="R40" s="152"/>
      <c r="S40" s="152"/>
      <c r="T40" s="152"/>
      <c r="U40" s="152"/>
      <c r="V40" s="152"/>
      <c r="W40" s="152"/>
      <c r="X40" s="152"/>
      <c r="Y40" s="152"/>
      <c r="Z40" s="152"/>
    </row>
    <row r="41" spans="1:26" ht="15.75">
      <c r="A41" s="469" t="s">
        <v>693</v>
      </c>
      <c r="B41" s="491">
        <v>1511</v>
      </c>
      <c r="C41" s="154"/>
      <c r="D41" s="496">
        <v>0</v>
      </c>
      <c r="E41" s="497">
        <v>0</v>
      </c>
      <c r="F41" s="214"/>
      <c r="G41" s="480">
        <v>0</v>
      </c>
      <c r="H41" s="498">
        <v>0</v>
      </c>
      <c r="I41" s="214"/>
      <c r="J41" s="480">
        <v>0</v>
      </c>
      <c r="K41" s="498">
        <v>0</v>
      </c>
      <c r="L41" s="214"/>
      <c r="M41" s="472">
        <f t="shared" ref="M41:N46" si="2">+D41+G41+J41</f>
        <v>0</v>
      </c>
      <c r="N41" s="494">
        <f t="shared" si="2"/>
        <v>0</v>
      </c>
      <c r="O41" s="152"/>
      <c r="P41" s="152"/>
      <c r="Q41" s="152"/>
      <c r="R41" s="152"/>
      <c r="S41" s="152"/>
      <c r="T41" s="152"/>
      <c r="U41" s="152"/>
      <c r="V41" s="152"/>
      <c r="W41" s="152"/>
      <c r="X41" s="152"/>
      <c r="Y41" s="152"/>
      <c r="Z41" s="152"/>
    </row>
    <row r="42" spans="1:26" ht="15.75">
      <c r="A42" s="474" t="s">
        <v>694</v>
      </c>
      <c r="B42" s="492">
        <v>1521</v>
      </c>
      <c r="C42" s="154"/>
      <c r="D42" s="477">
        <v>0</v>
      </c>
      <c r="E42" s="499">
        <v>0</v>
      </c>
      <c r="F42" s="214"/>
      <c r="G42" s="500">
        <v>0</v>
      </c>
      <c r="H42" s="501">
        <v>0</v>
      </c>
      <c r="I42" s="214"/>
      <c r="J42" s="500">
        <v>0</v>
      </c>
      <c r="K42" s="501">
        <v>0</v>
      </c>
      <c r="L42" s="214"/>
      <c r="M42" s="478">
        <f>+D42+G42+J42</f>
        <v>0</v>
      </c>
      <c r="N42" s="495">
        <f>+E42+H42+K42</f>
        <v>0</v>
      </c>
      <c r="O42" s="152"/>
      <c r="P42" s="152"/>
      <c r="Q42" s="152"/>
      <c r="R42" s="152"/>
      <c r="S42" s="152"/>
      <c r="T42" s="152"/>
      <c r="U42" s="152"/>
      <c r="V42" s="152"/>
      <c r="W42" s="152"/>
      <c r="X42" s="152"/>
      <c r="Y42" s="152"/>
      <c r="Z42" s="152"/>
    </row>
    <row r="43" spans="1:26" ht="15.75">
      <c r="A43" s="177" t="s">
        <v>2082</v>
      </c>
      <c r="B43" s="186">
        <v>1530</v>
      </c>
      <c r="C43" s="154"/>
      <c r="D43" s="215">
        <f>+D41+D42</f>
        <v>0</v>
      </c>
      <c r="E43" s="220">
        <f>+E41+E42</f>
        <v>0</v>
      </c>
      <c r="F43" s="214"/>
      <c r="G43" s="215">
        <f>+G41+G42</f>
        <v>0</v>
      </c>
      <c r="H43" s="220">
        <f>+H41+H42</f>
        <v>0</v>
      </c>
      <c r="I43" s="214"/>
      <c r="J43" s="215">
        <f>+J41+J42</f>
        <v>0</v>
      </c>
      <c r="K43" s="220">
        <f>+K41+K42</f>
        <v>0</v>
      </c>
      <c r="L43" s="214"/>
      <c r="M43" s="215">
        <f>+M41+M42</f>
        <v>0</v>
      </c>
      <c r="N43" s="220">
        <f>+N41+N42</f>
        <v>0</v>
      </c>
      <c r="O43" s="152"/>
      <c r="P43" s="152"/>
      <c r="Q43" s="152"/>
      <c r="R43" s="152"/>
      <c r="S43" s="152"/>
      <c r="T43" s="152"/>
      <c r="U43" s="152"/>
      <c r="V43" s="152"/>
      <c r="W43" s="152"/>
      <c r="X43" s="152"/>
      <c r="Y43" s="152"/>
      <c r="Z43" s="152"/>
    </row>
    <row r="44" spans="1:26" ht="31.5" customHeight="1">
      <c r="A44" s="502" t="s">
        <v>1263</v>
      </c>
      <c r="B44" s="185"/>
      <c r="C44" s="154"/>
      <c r="D44" s="503" t="str">
        <f>+IF(D84=0," ","НЕРАВНЕНИЕ !")</f>
        <v xml:space="preserve"> </v>
      </c>
      <c r="E44" s="504" t="str">
        <f>+IF(E84=0," ","НЕРАВНЕНИЕ !")</f>
        <v xml:space="preserve"> </v>
      </c>
      <c r="F44" s="214"/>
      <c r="G44" s="505" t="str">
        <f>+IF(G84=0," ","НЕРАВНЕНИЕ !")</f>
        <v xml:space="preserve"> </v>
      </c>
      <c r="H44" s="506" t="str">
        <f>+IF(H84=0," ","НЕРАВНЕНИЕ !")</f>
        <v xml:space="preserve"> </v>
      </c>
      <c r="I44" s="214"/>
      <c r="J44" s="505" t="str">
        <f>+IF(J84=0," ","НЕРАВНЕНИЕ !")</f>
        <v xml:space="preserve"> </v>
      </c>
      <c r="K44" s="506" t="str">
        <f>+IF(K84=0," ","НЕРАВНЕНИЕ !")</f>
        <v xml:space="preserve"> </v>
      </c>
      <c r="L44" s="214"/>
      <c r="M44" s="505" t="str">
        <f>+IF(M84=0," ","НЕРАВНЕНИЕ !")</f>
        <v xml:space="preserve"> </v>
      </c>
      <c r="N44" s="506" t="str">
        <f>+IF(N84=0," ","НЕРАВНЕНИЕ !")</f>
        <v xml:space="preserve"> </v>
      </c>
      <c r="O44" s="152"/>
      <c r="P44" s="152"/>
      <c r="Q44" s="152"/>
      <c r="R44" s="152"/>
      <c r="S44" s="152"/>
      <c r="T44" s="152"/>
      <c r="U44" s="152"/>
      <c r="V44" s="152"/>
      <c r="W44" s="152"/>
      <c r="X44" s="152"/>
      <c r="Y44" s="152"/>
      <c r="Z44" s="152"/>
    </row>
    <row r="45" spans="1:26" ht="15.75">
      <c r="A45" s="469" t="s">
        <v>693</v>
      </c>
      <c r="B45" s="491">
        <v>2511</v>
      </c>
      <c r="C45" s="154"/>
      <c r="D45" s="496">
        <v>0</v>
      </c>
      <c r="E45" s="497">
        <v>0</v>
      </c>
      <c r="F45" s="214"/>
      <c r="G45" s="480">
        <v>0</v>
      </c>
      <c r="H45" s="498">
        <v>0</v>
      </c>
      <c r="I45" s="214"/>
      <c r="J45" s="480">
        <v>0</v>
      </c>
      <c r="K45" s="498">
        <v>0</v>
      </c>
      <c r="L45" s="214"/>
      <c r="M45" s="472">
        <f t="shared" si="2"/>
        <v>0</v>
      </c>
      <c r="N45" s="494">
        <f t="shared" si="2"/>
        <v>0</v>
      </c>
      <c r="O45" s="152"/>
      <c r="P45" s="152"/>
      <c r="Q45" s="152"/>
      <c r="R45" s="152"/>
      <c r="S45" s="152"/>
      <c r="T45" s="152"/>
      <c r="U45" s="152"/>
      <c r="V45" s="152"/>
      <c r="W45" s="152"/>
      <c r="X45" s="152"/>
      <c r="Y45" s="152"/>
      <c r="Z45" s="152"/>
    </row>
    <row r="46" spans="1:26" ht="15.75">
      <c r="A46" s="474" t="s">
        <v>694</v>
      </c>
      <c r="B46" s="492">
        <v>2521</v>
      </c>
      <c r="C46" s="154"/>
      <c r="D46" s="477">
        <v>0</v>
      </c>
      <c r="E46" s="499">
        <v>0</v>
      </c>
      <c r="F46" s="214"/>
      <c r="G46" s="500">
        <v>0</v>
      </c>
      <c r="H46" s="501">
        <v>0</v>
      </c>
      <c r="I46" s="214"/>
      <c r="J46" s="500">
        <v>0</v>
      </c>
      <c r="K46" s="501">
        <v>0</v>
      </c>
      <c r="L46" s="214"/>
      <c r="M46" s="478">
        <f t="shared" si="2"/>
        <v>0</v>
      </c>
      <c r="N46" s="495">
        <f t="shared" si="2"/>
        <v>0</v>
      </c>
      <c r="O46" s="152"/>
      <c r="P46" s="152"/>
      <c r="Q46" s="152"/>
      <c r="R46" s="152"/>
      <c r="S46" s="152"/>
      <c r="T46" s="152"/>
      <c r="U46" s="152"/>
      <c r="V46" s="152"/>
      <c r="W46" s="152"/>
      <c r="X46" s="152"/>
      <c r="Y46" s="152"/>
      <c r="Z46" s="152"/>
    </row>
    <row r="47" spans="1:26" ht="15.75">
      <c r="A47" s="177" t="s">
        <v>2083</v>
      </c>
      <c r="B47" s="186">
        <v>2530</v>
      </c>
      <c r="C47" s="154"/>
      <c r="D47" s="215">
        <f>+D45+D46</f>
        <v>0</v>
      </c>
      <c r="E47" s="220">
        <f>+E45+E46</f>
        <v>0</v>
      </c>
      <c r="F47" s="214"/>
      <c r="G47" s="215">
        <f>+G45+G46</f>
        <v>0</v>
      </c>
      <c r="H47" s="220">
        <f>+H45+H46</f>
        <v>0</v>
      </c>
      <c r="I47" s="214"/>
      <c r="J47" s="215">
        <f>+J45+J46</f>
        <v>0</v>
      </c>
      <c r="K47" s="220">
        <f>+K45+K46</f>
        <v>0</v>
      </c>
      <c r="L47" s="214"/>
      <c r="M47" s="215">
        <f>+M45+M46</f>
        <v>0</v>
      </c>
      <c r="N47" s="220">
        <f>+N45+N46</f>
        <v>0</v>
      </c>
      <c r="O47" s="152"/>
      <c r="P47" s="152"/>
      <c r="Q47" s="152"/>
      <c r="R47" s="152"/>
      <c r="S47" s="152"/>
      <c r="T47" s="152"/>
      <c r="U47" s="152"/>
      <c r="V47" s="152"/>
      <c r="W47" s="152"/>
      <c r="X47" s="152"/>
      <c r="Y47" s="152"/>
      <c r="Z47" s="152"/>
    </row>
    <row r="48" spans="1:26" ht="31.5" customHeight="1">
      <c r="A48" s="502" t="s">
        <v>2031</v>
      </c>
      <c r="B48" s="185"/>
      <c r="C48" s="154"/>
      <c r="D48" s="503" t="str">
        <f>+IF(D86=0," ","НЕРАВНЕНИЕ !")</f>
        <v xml:space="preserve"> </v>
      </c>
      <c r="E48" s="504" t="str">
        <f>+IF(E86=0," ","НЕРАВНЕНИЕ !")</f>
        <v xml:space="preserve"> </v>
      </c>
      <c r="F48" s="214"/>
      <c r="G48" s="503" t="str">
        <f>+IF(G86=0," ","НЕРАВНЕНИЕ !")</f>
        <v xml:space="preserve"> </v>
      </c>
      <c r="H48" s="504" t="str">
        <f>+IF(H86=0," ","НЕРАВНЕНИЕ !")</f>
        <v xml:space="preserve"> </v>
      </c>
      <c r="I48" s="214"/>
      <c r="J48" s="505" t="str">
        <f>+IF(J86=0," ","НЕРАВНЕНИЕ !")</f>
        <v xml:space="preserve"> </v>
      </c>
      <c r="K48" s="506" t="str">
        <f>+IF(K86=0," ","НЕРАВНЕНИЕ !")</f>
        <v xml:space="preserve"> </v>
      </c>
      <c r="L48" s="214"/>
      <c r="M48" s="505" t="str">
        <f>+IF(M86=0," ","НЕРАВНЕНИЕ !")</f>
        <v xml:space="preserve"> </v>
      </c>
      <c r="N48" s="506" t="str">
        <f>+IF(N86=0," ","НЕРАВНЕНИЕ !")</f>
        <v xml:space="preserve"> </v>
      </c>
      <c r="O48" s="152"/>
      <c r="P48" s="152"/>
      <c r="Q48" s="152"/>
      <c r="R48" s="152"/>
      <c r="S48" s="152"/>
      <c r="T48" s="152"/>
      <c r="U48" s="152"/>
      <c r="V48" s="152"/>
      <c r="W48" s="152"/>
      <c r="X48" s="152"/>
      <c r="Y48" s="152"/>
      <c r="Z48" s="152"/>
    </row>
    <row r="49" spans="1:26" ht="15.75">
      <c r="A49" s="469" t="s">
        <v>207</v>
      </c>
      <c r="B49" s="491">
        <v>3513</v>
      </c>
      <c r="C49" s="154"/>
      <c r="D49" s="496">
        <v>0</v>
      </c>
      <c r="E49" s="497">
        <v>0</v>
      </c>
      <c r="F49" s="214"/>
      <c r="G49" s="496">
        <v>0</v>
      </c>
      <c r="H49" s="497">
        <v>0</v>
      </c>
      <c r="I49" s="214"/>
      <c r="J49" s="480">
        <v>0</v>
      </c>
      <c r="K49" s="498">
        <v>0</v>
      </c>
      <c r="L49" s="214"/>
      <c r="M49" s="472">
        <f>+D49+G49+J49</f>
        <v>0</v>
      </c>
      <c r="N49" s="494">
        <f>+E49+H49+K49</f>
        <v>0</v>
      </c>
      <c r="O49" s="152"/>
      <c r="P49" s="152"/>
      <c r="Q49" s="152"/>
      <c r="R49" s="152"/>
      <c r="S49" s="152"/>
      <c r="T49" s="152"/>
      <c r="U49" s="152"/>
      <c r="V49" s="152"/>
      <c r="W49" s="152"/>
      <c r="X49" s="152"/>
      <c r="Y49" s="152"/>
      <c r="Z49" s="152"/>
    </row>
    <row r="50" spans="1:26" ht="15.75">
      <c r="A50" s="474" t="s">
        <v>208</v>
      </c>
      <c r="B50" s="492">
        <v>3521</v>
      </c>
      <c r="C50" s="154"/>
      <c r="D50" s="477">
        <v>0</v>
      </c>
      <c r="E50" s="499">
        <v>0</v>
      </c>
      <c r="F50" s="214"/>
      <c r="G50" s="477">
        <v>0</v>
      </c>
      <c r="H50" s="499">
        <v>0</v>
      </c>
      <c r="I50" s="214"/>
      <c r="J50" s="500">
        <v>0</v>
      </c>
      <c r="K50" s="501">
        <v>0</v>
      </c>
      <c r="L50" s="214"/>
      <c r="M50" s="478">
        <f>+D50+G50+J50</f>
        <v>0</v>
      </c>
      <c r="N50" s="495">
        <f>+E50+H50+K50</f>
        <v>0</v>
      </c>
      <c r="O50" s="152"/>
      <c r="P50" s="152"/>
      <c r="Q50" s="152"/>
      <c r="R50" s="152"/>
      <c r="S50" s="152"/>
      <c r="T50" s="152"/>
      <c r="U50" s="152"/>
      <c r="V50" s="152"/>
      <c r="W50" s="152"/>
      <c r="X50" s="152"/>
      <c r="Y50" s="152"/>
      <c r="Z50" s="152"/>
    </row>
    <row r="51" spans="1:26" ht="15.75">
      <c r="A51" s="177" t="s">
        <v>1264</v>
      </c>
      <c r="B51" s="186">
        <v>3530</v>
      </c>
      <c r="C51" s="154"/>
      <c r="D51" s="215">
        <f>+D49+D50</f>
        <v>0</v>
      </c>
      <c r="E51" s="220">
        <f>+E49+E50</f>
        <v>0</v>
      </c>
      <c r="F51" s="214"/>
      <c r="G51" s="215">
        <f>+G49+G50</f>
        <v>0</v>
      </c>
      <c r="H51" s="220">
        <f>+H49+H50</f>
        <v>0</v>
      </c>
      <c r="I51" s="214"/>
      <c r="J51" s="215">
        <f>+J49+J50</f>
        <v>0</v>
      </c>
      <c r="K51" s="220">
        <f>+K49+K50</f>
        <v>0</v>
      </c>
      <c r="L51" s="214"/>
      <c r="M51" s="215">
        <f>+M49+M50</f>
        <v>0</v>
      </c>
      <c r="N51" s="220">
        <f>+N49+N50</f>
        <v>0</v>
      </c>
      <c r="O51" s="152"/>
      <c r="P51" s="152"/>
      <c r="Q51" s="152"/>
      <c r="R51" s="152"/>
      <c r="S51" s="152"/>
      <c r="T51" s="152"/>
      <c r="U51" s="152"/>
      <c r="V51" s="152"/>
      <c r="W51" s="152"/>
      <c r="X51" s="152"/>
      <c r="Y51" s="152"/>
      <c r="Z51" s="152"/>
    </row>
    <row r="52" spans="1:26" ht="31.5" customHeight="1">
      <c r="A52" s="502" t="s">
        <v>1265</v>
      </c>
      <c r="B52" s="185"/>
      <c r="C52" s="154"/>
      <c r="D52" s="503" t="str">
        <f>+IF(D88=0," ","НЕРАВНЕНИЕ !")</f>
        <v xml:space="preserve"> </v>
      </c>
      <c r="E52" s="504" t="str">
        <f>+IF(E88=0," ","НЕРАВНЕНИЕ !")</f>
        <v xml:space="preserve"> </v>
      </c>
      <c r="F52" s="214"/>
      <c r="G52" s="503" t="str">
        <f>+IF(G88=0," ","НЕРАВНЕНИЕ !")</f>
        <v xml:space="preserve"> </v>
      </c>
      <c r="H52" s="504" t="str">
        <f>+IF(H88=0," ","НЕРАВНЕНИЕ !")</f>
        <v xml:space="preserve"> </v>
      </c>
      <c r="I52" s="214"/>
      <c r="J52" s="505" t="str">
        <f>+IF(J88=0," ","НЕРАВНЕНИЕ !")</f>
        <v xml:space="preserve"> </v>
      </c>
      <c r="K52" s="506" t="str">
        <f>+IF(K88=0," ","НЕРАВНЕНИЕ !")</f>
        <v xml:space="preserve"> </v>
      </c>
      <c r="L52" s="214"/>
      <c r="M52" s="505" t="str">
        <f>+IF(M88=0," ","НЕРАВНЕНИЕ !")</f>
        <v xml:space="preserve"> </v>
      </c>
      <c r="N52" s="506" t="str">
        <f>+IF(N88=0," ","НЕРАВНЕНИЕ !")</f>
        <v xml:space="preserve"> </v>
      </c>
      <c r="O52" s="152"/>
      <c r="P52" s="152"/>
      <c r="Q52" s="152"/>
      <c r="R52" s="152"/>
      <c r="S52" s="152"/>
      <c r="T52" s="152"/>
      <c r="U52" s="152"/>
      <c r="V52" s="152"/>
      <c r="W52" s="152"/>
      <c r="X52" s="152"/>
      <c r="Y52" s="152"/>
      <c r="Z52" s="152"/>
    </row>
    <row r="53" spans="1:26" ht="15.75">
      <c r="A53" s="469" t="s">
        <v>267</v>
      </c>
      <c r="B53" s="491">
        <v>3813</v>
      </c>
      <c r="C53" s="154"/>
      <c r="D53" s="496">
        <v>0</v>
      </c>
      <c r="E53" s="497">
        <v>0</v>
      </c>
      <c r="F53" s="214"/>
      <c r="G53" s="496">
        <v>0</v>
      </c>
      <c r="H53" s="497">
        <v>0</v>
      </c>
      <c r="I53" s="214"/>
      <c r="J53" s="480">
        <v>0</v>
      </c>
      <c r="K53" s="498">
        <v>0</v>
      </c>
      <c r="L53" s="214"/>
      <c r="M53" s="472">
        <f t="shared" ref="M53:N55" si="3">+D53+G53+J53</f>
        <v>0</v>
      </c>
      <c r="N53" s="494">
        <f t="shared" si="3"/>
        <v>0</v>
      </c>
      <c r="O53" s="152"/>
      <c r="P53" s="152"/>
      <c r="Q53" s="152"/>
      <c r="R53" s="152"/>
      <c r="S53" s="152"/>
      <c r="T53" s="152"/>
      <c r="U53" s="152"/>
      <c r="V53" s="152"/>
      <c r="W53" s="152"/>
      <c r="X53" s="152"/>
      <c r="Y53" s="152"/>
      <c r="Z53" s="152"/>
    </row>
    <row r="54" spans="1:26" ht="15.75">
      <c r="A54" s="482" t="s">
        <v>795</v>
      </c>
      <c r="B54" s="507">
        <v>3821</v>
      </c>
      <c r="C54" s="154"/>
      <c r="D54" s="484">
        <v>0</v>
      </c>
      <c r="E54" s="508">
        <v>0</v>
      </c>
      <c r="F54" s="214"/>
      <c r="G54" s="484">
        <v>0</v>
      </c>
      <c r="H54" s="508">
        <v>0</v>
      </c>
      <c r="I54" s="214"/>
      <c r="J54" s="488">
        <v>0</v>
      </c>
      <c r="K54" s="1807">
        <v>0</v>
      </c>
      <c r="L54" s="214"/>
      <c r="M54" s="486">
        <f t="shared" si="3"/>
        <v>0</v>
      </c>
      <c r="N54" s="509">
        <f t="shared" si="3"/>
        <v>0</v>
      </c>
      <c r="O54" s="152"/>
      <c r="P54" s="152"/>
      <c r="Q54" s="152"/>
      <c r="R54" s="152"/>
      <c r="S54" s="152"/>
      <c r="T54" s="152"/>
      <c r="U54" s="152"/>
      <c r="V54" s="152"/>
      <c r="W54" s="152"/>
      <c r="X54" s="152"/>
      <c r="Y54" s="152"/>
      <c r="Z54" s="152"/>
    </row>
    <row r="55" spans="1:26" ht="15.75">
      <c r="A55" s="474" t="s">
        <v>174</v>
      </c>
      <c r="B55" s="492">
        <v>3829</v>
      </c>
      <c r="C55" s="154"/>
      <c r="D55" s="477">
        <v>0</v>
      </c>
      <c r="E55" s="510">
        <v>0</v>
      </c>
      <c r="F55" s="214"/>
      <c r="G55" s="477">
        <v>0</v>
      </c>
      <c r="H55" s="510">
        <v>0</v>
      </c>
      <c r="I55" s="214"/>
      <c r="J55" s="500">
        <v>0</v>
      </c>
      <c r="K55" s="501">
        <v>0</v>
      </c>
      <c r="L55" s="214"/>
      <c r="M55" s="478">
        <f t="shared" si="3"/>
        <v>0</v>
      </c>
      <c r="N55" s="495">
        <f t="shared" si="3"/>
        <v>0</v>
      </c>
      <c r="O55" s="152"/>
      <c r="P55" s="152"/>
      <c r="Q55" s="152"/>
      <c r="R55" s="152"/>
      <c r="S55" s="152"/>
      <c r="T55" s="152"/>
      <c r="U55" s="152"/>
      <c r="V55" s="152"/>
      <c r="W55" s="152"/>
      <c r="X55" s="152"/>
      <c r="Y55" s="152"/>
      <c r="Z55" s="152"/>
    </row>
    <row r="56" spans="1:26" ht="15.75">
      <c r="A56" s="177" t="s">
        <v>1266</v>
      </c>
      <c r="B56" s="186">
        <v>3830</v>
      </c>
      <c r="C56" s="154"/>
      <c r="D56" s="215">
        <f>+SUM(D53:D55)</f>
        <v>0</v>
      </c>
      <c r="E56" s="220">
        <f>+SUM(E53:E55)</f>
        <v>0</v>
      </c>
      <c r="F56" s="214"/>
      <c r="G56" s="215">
        <f>+SUM(G53:G55)</f>
        <v>0</v>
      </c>
      <c r="H56" s="220">
        <f>+SUM(H53:H55)</f>
        <v>0</v>
      </c>
      <c r="I56" s="214"/>
      <c r="J56" s="215">
        <f>+SUM(J53:J55)</f>
        <v>0</v>
      </c>
      <c r="K56" s="220">
        <f>+SUM(K53:K55)</f>
        <v>0</v>
      </c>
      <c r="L56" s="214"/>
      <c r="M56" s="215">
        <f>+SUM(M53:M55)</f>
        <v>0</v>
      </c>
      <c r="N56" s="220">
        <f>+SUM(N53:N55)</f>
        <v>0</v>
      </c>
      <c r="O56" s="152"/>
      <c r="P56" s="152"/>
      <c r="Q56" s="152"/>
      <c r="R56" s="152"/>
      <c r="S56" s="152"/>
      <c r="T56" s="152"/>
      <c r="U56" s="152"/>
      <c r="V56" s="152"/>
      <c r="W56" s="152"/>
      <c r="X56" s="152"/>
      <c r="Y56" s="152"/>
      <c r="Z56" s="152"/>
    </row>
    <row r="57" spans="1:26" ht="24" customHeight="1">
      <c r="A57" s="2169" t="s">
        <v>1860</v>
      </c>
      <c r="B57" s="171"/>
      <c r="C57" s="154"/>
      <c r="D57" s="256" t="str">
        <f>+IF(D90=0," ","НЕРАВНЕНИЕ !")</f>
        <v xml:space="preserve"> </v>
      </c>
      <c r="E57" s="468" t="str">
        <f>+IF(E90=0," ","НЕРАВНЕНИЕ !")</f>
        <v xml:space="preserve"> </v>
      </c>
      <c r="F57" s="214"/>
      <c r="G57" s="256" t="str">
        <f>+IF(G90=0," ","НЕРАВНЕНИЕ !")</f>
        <v xml:space="preserve"> </v>
      </c>
      <c r="H57" s="468" t="str">
        <f>+IF(H90=0," ","НЕРАВНЕНИЕ !")</f>
        <v xml:space="preserve"> </v>
      </c>
      <c r="I57" s="214"/>
      <c r="J57" s="256" t="str">
        <f>+IF(J90=0," ","НЕРАВНЕНИЕ !")</f>
        <v xml:space="preserve"> </v>
      </c>
      <c r="K57" s="468" t="str">
        <f>+IF(K90=0," ","НЕРАВНЕНИЕ !")</f>
        <v xml:space="preserve"> </v>
      </c>
      <c r="L57" s="214"/>
      <c r="M57" s="256" t="str">
        <f>+IF(M90=0," ","НЕРАВНЕНИЕ !")</f>
        <v xml:space="preserve"> </v>
      </c>
      <c r="N57" s="468" t="str">
        <f>+IF(N90=0," ","НЕРАВНЕНИЕ !")</f>
        <v xml:space="preserve"> </v>
      </c>
      <c r="O57" s="152"/>
      <c r="P57" s="152"/>
      <c r="Q57" s="152"/>
      <c r="R57" s="152"/>
      <c r="S57" s="152"/>
      <c r="T57" s="152"/>
      <c r="U57" s="152"/>
      <c r="V57" s="152"/>
      <c r="W57" s="152"/>
      <c r="X57" s="152"/>
      <c r="Y57" s="152"/>
      <c r="Z57" s="152"/>
    </row>
    <row r="58" spans="1:26" ht="15.75">
      <c r="A58" s="2060" t="s">
        <v>368</v>
      </c>
      <c r="B58" s="470">
        <v>3991</v>
      </c>
      <c r="C58" s="154"/>
      <c r="D58" s="480">
        <v>0</v>
      </c>
      <c r="E58" s="481">
        <v>0</v>
      </c>
      <c r="F58" s="214"/>
      <c r="G58" s="480">
        <v>0</v>
      </c>
      <c r="H58" s="481">
        <v>0</v>
      </c>
      <c r="I58" s="214"/>
      <c r="J58" s="480">
        <v>0</v>
      </c>
      <c r="K58" s="481">
        <v>0</v>
      </c>
      <c r="L58" s="214"/>
      <c r="M58" s="472">
        <f t="shared" ref="M58:M66" si="4">+D58+G58+J58</f>
        <v>0</v>
      </c>
      <c r="N58" s="473">
        <f t="shared" ref="N58:N66" si="5">+E58+H58+K58</f>
        <v>0</v>
      </c>
      <c r="O58" s="152"/>
      <c r="P58" s="152"/>
      <c r="Q58" s="152"/>
      <c r="R58" s="152"/>
      <c r="S58" s="152"/>
      <c r="T58" s="152"/>
      <c r="U58" s="152"/>
      <c r="V58" s="152"/>
      <c r="W58" s="152"/>
      <c r="X58" s="152"/>
      <c r="Y58" s="152"/>
      <c r="Z58" s="152"/>
    </row>
    <row r="59" spans="1:26" ht="15.75">
      <c r="A59" s="334" t="s">
        <v>422</v>
      </c>
      <c r="B59" s="483">
        <f>1+B58</f>
        <v>3992</v>
      </c>
      <c r="C59" s="154"/>
      <c r="D59" s="484">
        <v>0</v>
      </c>
      <c r="E59" s="511">
        <v>0</v>
      </c>
      <c r="F59" s="214"/>
      <c r="G59" s="484">
        <v>0</v>
      </c>
      <c r="H59" s="511">
        <v>0</v>
      </c>
      <c r="I59" s="214"/>
      <c r="J59" s="484">
        <v>0</v>
      </c>
      <c r="K59" s="511">
        <v>0</v>
      </c>
      <c r="L59" s="214"/>
      <c r="M59" s="486">
        <f t="shared" si="4"/>
        <v>0</v>
      </c>
      <c r="N59" s="487">
        <f t="shared" si="5"/>
        <v>0</v>
      </c>
      <c r="O59" s="152"/>
      <c r="P59" s="152"/>
      <c r="Q59" s="152"/>
      <c r="R59" s="152"/>
      <c r="S59" s="152"/>
      <c r="T59" s="152"/>
      <c r="U59" s="152"/>
      <c r="V59" s="152"/>
      <c r="W59" s="152"/>
      <c r="X59" s="152"/>
      <c r="Y59" s="152"/>
      <c r="Z59" s="152"/>
    </row>
    <row r="60" spans="1:26" ht="15.75">
      <c r="A60" s="334" t="s">
        <v>423</v>
      </c>
      <c r="B60" s="483">
        <f t="shared" ref="B60:B66" si="6">1+B59</f>
        <v>3993</v>
      </c>
      <c r="C60" s="154"/>
      <c r="D60" s="484">
        <v>0</v>
      </c>
      <c r="E60" s="511">
        <v>0</v>
      </c>
      <c r="F60" s="214"/>
      <c r="G60" s="484">
        <v>0</v>
      </c>
      <c r="H60" s="511">
        <v>0</v>
      </c>
      <c r="I60" s="214"/>
      <c r="J60" s="484">
        <v>0</v>
      </c>
      <c r="K60" s="511">
        <v>0</v>
      </c>
      <c r="L60" s="214"/>
      <c r="M60" s="486">
        <f t="shared" si="4"/>
        <v>0</v>
      </c>
      <c r="N60" s="487">
        <f t="shared" si="5"/>
        <v>0</v>
      </c>
      <c r="O60" s="152"/>
      <c r="P60" s="152"/>
      <c r="Q60" s="152"/>
      <c r="R60" s="152"/>
      <c r="S60" s="152"/>
      <c r="T60" s="152"/>
      <c r="U60" s="152"/>
      <c r="V60" s="152"/>
      <c r="W60" s="152"/>
      <c r="X60" s="152"/>
      <c r="Y60" s="152"/>
      <c r="Z60" s="152"/>
    </row>
    <row r="61" spans="1:26" ht="15.75">
      <c r="A61" s="334" t="s">
        <v>369</v>
      </c>
      <c r="B61" s="483">
        <f t="shared" si="6"/>
        <v>3994</v>
      </c>
      <c r="C61" s="154"/>
      <c r="D61" s="484">
        <v>0</v>
      </c>
      <c r="E61" s="511">
        <v>0</v>
      </c>
      <c r="F61" s="214"/>
      <c r="G61" s="484">
        <v>0</v>
      </c>
      <c r="H61" s="511">
        <v>0</v>
      </c>
      <c r="I61" s="214"/>
      <c r="J61" s="484">
        <v>0</v>
      </c>
      <c r="K61" s="511">
        <v>0</v>
      </c>
      <c r="L61" s="214"/>
      <c r="M61" s="486">
        <f t="shared" si="4"/>
        <v>0</v>
      </c>
      <c r="N61" s="487">
        <f t="shared" si="5"/>
        <v>0</v>
      </c>
      <c r="O61" s="152"/>
      <c r="P61" s="152"/>
      <c r="Q61" s="152"/>
      <c r="R61" s="152"/>
      <c r="S61" s="152"/>
      <c r="T61" s="152"/>
      <c r="U61" s="152"/>
      <c r="V61" s="152"/>
      <c r="W61" s="152"/>
      <c r="X61" s="152"/>
      <c r="Y61" s="152"/>
      <c r="Z61" s="152"/>
    </row>
    <row r="62" spans="1:26" ht="15.75">
      <c r="A62" s="334" t="s">
        <v>424</v>
      </c>
      <c r="B62" s="483">
        <f t="shared" si="6"/>
        <v>3995</v>
      </c>
      <c r="C62" s="154"/>
      <c r="D62" s="488">
        <v>0</v>
      </c>
      <c r="E62" s="489">
        <v>0</v>
      </c>
      <c r="F62" s="214"/>
      <c r="G62" s="488">
        <v>0</v>
      </c>
      <c r="H62" s="489">
        <v>0</v>
      </c>
      <c r="I62" s="214"/>
      <c r="J62" s="488">
        <v>0</v>
      </c>
      <c r="K62" s="489">
        <v>0</v>
      </c>
      <c r="L62" s="214"/>
      <c r="M62" s="486">
        <f t="shared" si="4"/>
        <v>0</v>
      </c>
      <c r="N62" s="487">
        <f t="shared" si="5"/>
        <v>0</v>
      </c>
      <c r="O62" s="152"/>
      <c r="P62" s="152"/>
      <c r="Q62" s="152"/>
      <c r="R62" s="152"/>
      <c r="S62" s="152"/>
      <c r="T62" s="152"/>
      <c r="U62" s="152"/>
      <c r="V62" s="152"/>
      <c r="W62" s="152"/>
      <c r="X62" s="152"/>
      <c r="Y62" s="152"/>
      <c r="Z62" s="152"/>
    </row>
    <row r="63" spans="1:26" ht="15.75">
      <c r="A63" s="687" t="s">
        <v>1015</v>
      </c>
      <c r="B63" s="483">
        <f t="shared" si="6"/>
        <v>3996</v>
      </c>
      <c r="C63" s="154"/>
      <c r="D63" s="488">
        <v>0</v>
      </c>
      <c r="E63" s="489">
        <v>0</v>
      </c>
      <c r="F63" s="214"/>
      <c r="G63" s="488">
        <v>0</v>
      </c>
      <c r="H63" s="489">
        <v>0</v>
      </c>
      <c r="I63" s="214"/>
      <c r="J63" s="488">
        <v>0</v>
      </c>
      <c r="K63" s="489">
        <v>0</v>
      </c>
      <c r="L63" s="214"/>
      <c r="M63" s="486">
        <f t="shared" ref="M63:N65" si="7">+D63+G63+J63</f>
        <v>0</v>
      </c>
      <c r="N63" s="487">
        <f t="shared" si="7"/>
        <v>0</v>
      </c>
      <c r="O63" s="152"/>
      <c r="P63" s="152"/>
      <c r="Q63" s="152"/>
      <c r="R63" s="152"/>
      <c r="S63" s="152"/>
      <c r="T63" s="152"/>
      <c r="U63" s="152"/>
      <c r="V63" s="152"/>
      <c r="W63" s="152"/>
      <c r="X63" s="152"/>
      <c r="Y63" s="152"/>
      <c r="Z63" s="152"/>
    </row>
    <row r="64" spans="1:26" ht="15.75">
      <c r="A64" s="687" t="s">
        <v>425</v>
      </c>
      <c r="B64" s="483">
        <f t="shared" si="6"/>
        <v>3997</v>
      </c>
      <c r="C64" s="154"/>
      <c r="D64" s="488">
        <v>0</v>
      </c>
      <c r="E64" s="489">
        <v>0</v>
      </c>
      <c r="F64" s="214"/>
      <c r="G64" s="488">
        <v>0</v>
      </c>
      <c r="H64" s="489">
        <v>0</v>
      </c>
      <c r="I64" s="214"/>
      <c r="J64" s="488">
        <v>0</v>
      </c>
      <c r="K64" s="489">
        <v>0</v>
      </c>
      <c r="L64" s="214"/>
      <c r="M64" s="486">
        <f t="shared" si="7"/>
        <v>0</v>
      </c>
      <c r="N64" s="487">
        <f t="shared" si="7"/>
        <v>0</v>
      </c>
      <c r="O64" s="152"/>
      <c r="P64" s="152"/>
      <c r="Q64" s="152"/>
      <c r="R64" s="152"/>
      <c r="S64" s="152"/>
      <c r="T64" s="152"/>
      <c r="U64" s="152"/>
      <c r="V64" s="152"/>
      <c r="W64" s="152"/>
      <c r="X64" s="152"/>
      <c r="Y64" s="152"/>
      <c r="Z64" s="152"/>
    </row>
    <row r="65" spans="1:36" ht="15.75">
      <c r="A65" s="687" t="s">
        <v>1861</v>
      </c>
      <c r="B65" s="483">
        <f t="shared" si="6"/>
        <v>3998</v>
      </c>
      <c r="C65" s="154"/>
      <c r="D65" s="488">
        <v>0</v>
      </c>
      <c r="E65" s="489">
        <v>0</v>
      </c>
      <c r="F65" s="214"/>
      <c r="G65" s="488">
        <v>0</v>
      </c>
      <c r="H65" s="489">
        <v>0</v>
      </c>
      <c r="I65" s="214"/>
      <c r="J65" s="488">
        <v>0</v>
      </c>
      <c r="K65" s="489">
        <v>0</v>
      </c>
      <c r="L65" s="214"/>
      <c r="M65" s="486">
        <f t="shared" si="7"/>
        <v>0</v>
      </c>
      <c r="N65" s="487">
        <f t="shared" si="7"/>
        <v>0</v>
      </c>
      <c r="O65" s="152"/>
      <c r="P65" s="152"/>
      <c r="Q65" s="152"/>
      <c r="R65" s="152"/>
      <c r="S65" s="152"/>
      <c r="T65" s="152"/>
      <c r="U65" s="152"/>
      <c r="V65" s="152"/>
      <c r="W65" s="152"/>
      <c r="X65" s="152"/>
      <c r="Y65" s="152"/>
      <c r="Z65" s="152"/>
    </row>
    <row r="66" spans="1:36" ht="15.75">
      <c r="A66" s="336" t="s">
        <v>426</v>
      </c>
      <c r="B66" s="475">
        <f t="shared" si="6"/>
        <v>3999</v>
      </c>
      <c r="C66" s="154"/>
      <c r="D66" s="486">
        <f>+ROUND(+'TRIAL-BALANCE'!P274-'TRIAL-BALANCE'!O274,2)-SUM(D58:D65)</f>
        <v>0</v>
      </c>
      <c r="E66" s="1880">
        <f>+ROUND(+'TRIAL-BALANCE'!T274-'TRIAL-BALANCE'!S274,2)-SUM(E58:E65)</f>
        <v>0</v>
      </c>
      <c r="F66" s="214"/>
      <c r="G66" s="486">
        <f>+ROUND(+'TRIAL-BALANCE'!W274-'TRIAL-BALANCE'!V274,2)-SUM(G58:G65)</f>
        <v>0</v>
      </c>
      <c r="H66" s="1880">
        <f>+ROUND(+'TRIAL-BALANCE'!AA274-'TRIAL-BALANCE'!Z274,2)-SUM(H58:H65)</f>
        <v>0</v>
      </c>
      <c r="I66" s="214"/>
      <c r="J66" s="486">
        <f>+ROUND(+'TRIAL-BALANCE'!AD274-'TRIAL-BALANCE'!AC274,2)-SUM(J58:J65)</f>
        <v>0</v>
      </c>
      <c r="K66" s="1880">
        <f>+ROUND(+'TRIAL-BALANCE'!AH274-'TRIAL-BALANCE'!AG274,2)-SUM(K58:K65)</f>
        <v>0</v>
      </c>
      <c r="L66" s="214"/>
      <c r="M66" s="478">
        <f t="shared" si="4"/>
        <v>0</v>
      </c>
      <c r="N66" s="479">
        <f t="shared" si="5"/>
        <v>0</v>
      </c>
      <c r="O66" s="152"/>
      <c r="P66" s="152"/>
      <c r="Q66" s="152"/>
      <c r="R66" s="152"/>
      <c r="S66" s="152"/>
      <c r="T66" s="152"/>
      <c r="U66" s="152"/>
      <c r="V66" s="152"/>
      <c r="W66" s="152"/>
      <c r="X66" s="152"/>
      <c r="Y66" s="152"/>
      <c r="Z66" s="152"/>
    </row>
    <row r="67" spans="1:36" ht="15.75">
      <c r="A67" s="1390" t="s">
        <v>1862</v>
      </c>
      <c r="B67" s="178">
        <v>3990</v>
      </c>
      <c r="C67" s="154"/>
      <c r="D67" s="215">
        <f>+D58+D59+D60+D61+D62+D66</f>
        <v>0</v>
      </c>
      <c r="E67" s="216">
        <f>+E58+E59+E60+E61+E62+E66</f>
        <v>0</v>
      </c>
      <c r="F67" s="214"/>
      <c r="G67" s="215">
        <f>+G58+G59+G60+G61+G62+G66</f>
        <v>0</v>
      </c>
      <c r="H67" s="216">
        <f>+H58+H59+H60+H61+H62+H66</f>
        <v>0</v>
      </c>
      <c r="I67" s="214"/>
      <c r="J67" s="215">
        <f>+J58+J59+J60+J61+J62+J66</f>
        <v>0</v>
      </c>
      <c r="K67" s="216">
        <f>+K58+K59+K60+K61+K62+K66</f>
        <v>0</v>
      </c>
      <c r="L67" s="214"/>
      <c r="M67" s="215">
        <f>SUM(M58:M66)</f>
        <v>0</v>
      </c>
      <c r="N67" s="216">
        <f>SUM(N58:N66)</f>
        <v>0</v>
      </c>
      <c r="O67" s="152"/>
      <c r="P67" s="152"/>
      <c r="Q67" s="152"/>
      <c r="R67" s="152"/>
      <c r="S67" s="152"/>
      <c r="T67" s="152"/>
      <c r="U67" s="152"/>
      <c r="V67" s="152"/>
      <c r="W67" s="152"/>
      <c r="X67" s="152"/>
      <c r="Y67" s="152"/>
      <c r="Z67" s="152"/>
    </row>
    <row r="68" spans="1:36" ht="3.75" customHeight="1">
      <c r="A68" s="172"/>
      <c r="B68" s="187"/>
      <c r="C68" s="154"/>
      <c r="D68" s="212"/>
      <c r="E68" s="219"/>
      <c r="F68" s="214"/>
      <c r="G68" s="212"/>
      <c r="H68" s="219"/>
      <c r="I68" s="214"/>
      <c r="J68" s="212"/>
      <c r="K68" s="219"/>
      <c r="L68" s="214"/>
      <c r="M68" s="212"/>
      <c r="N68" s="219"/>
      <c r="O68" s="152"/>
      <c r="P68" s="152"/>
      <c r="Q68" s="152"/>
      <c r="R68" s="152"/>
      <c r="S68" s="152"/>
      <c r="T68" s="152"/>
      <c r="U68" s="152"/>
      <c r="V68" s="152"/>
      <c r="W68" s="152"/>
      <c r="X68" s="152"/>
      <c r="Y68" s="152"/>
      <c r="Z68" s="152"/>
    </row>
    <row r="69" spans="1:36" ht="16.5" thickBot="1">
      <c r="A69" s="1658" t="s">
        <v>1858</v>
      </c>
      <c r="B69" s="1659">
        <v>4000</v>
      </c>
      <c r="C69" s="154"/>
      <c r="D69" s="222">
        <f>+D43+D47+D51+D56+D67</f>
        <v>0</v>
      </c>
      <c r="E69" s="252">
        <f>+E43+E47+E51+E56+E67</f>
        <v>0</v>
      </c>
      <c r="F69" s="214"/>
      <c r="G69" s="222">
        <f>+G43+G47+G51+G56+G67</f>
        <v>0</v>
      </c>
      <c r="H69" s="252">
        <f>+H43+H47+H51+H56+H67</f>
        <v>0</v>
      </c>
      <c r="I69" s="214"/>
      <c r="J69" s="222">
        <f>+J43+J47+J51+J56+J67</f>
        <v>0</v>
      </c>
      <c r="K69" s="252">
        <f>+K43+K47+K51+K56+K67</f>
        <v>0</v>
      </c>
      <c r="L69" s="214"/>
      <c r="M69" s="222">
        <f>+M43+M47+M51+M56+M67</f>
        <v>0</v>
      </c>
      <c r="N69" s="252">
        <f>+N43+N47+N51+N56+N67</f>
        <v>0</v>
      </c>
      <c r="O69" s="152"/>
      <c r="P69" s="152"/>
      <c r="Q69" s="152"/>
      <c r="R69" s="152"/>
      <c r="S69" s="152"/>
      <c r="T69" s="152"/>
      <c r="U69" s="152"/>
      <c r="V69" s="152"/>
      <c r="W69" s="152"/>
      <c r="X69" s="152"/>
      <c r="Y69" s="152"/>
      <c r="Z69" s="152"/>
    </row>
    <row r="70" spans="1:36" ht="3.75" customHeight="1" thickTop="1">
      <c r="A70" s="191"/>
      <c r="B70" s="164"/>
      <c r="C70" s="154"/>
      <c r="D70" s="182"/>
      <c r="E70" s="151"/>
      <c r="F70" s="154"/>
      <c r="G70" s="151"/>
      <c r="H70" s="151"/>
      <c r="I70" s="154"/>
      <c r="J70" s="151"/>
      <c r="K70" s="151"/>
      <c r="L70" s="154"/>
      <c r="M70" s="151"/>
      <c r="N70" s="151"/>
      <c r="O70" s="152"/>
      <c r="P70" s="152"/>
      <c r="Q70" s="152"/>
      <c r="R70" s="152"/>
      <c r="S70" s="152"/>
      <c r="T70" s="152"/>
      <c r="U70" s="152"/>
      <c r="V70" s="152"/>
      <c r="W70" s="152"/>
      <c r="X70" s="152"/>
      <c r="Y70" s="152"/>
      <c r="Z70" s="152"/>
    </row>
    <row r="71" spans="1:36" ht="21.75" customHeight="1">
      <c r="A71" s="191"/>
      <c r="B71" s="164"/>
      <c r="C71" s="154"/>
      <c r="D71" s="182"/>
      <c r="E71" s="151"/>
      <c r="F71" s="154"/>
      <c r="G71" s="151"/>
      <c r="H71" s="151"/>
      <c r="I71" s="154"/>
      <c r="J71" s="151"/>
      <c r="K71" s="151"/>
      <c r="L71" s="154"/>
      <c r="M71" s="151"/>
      <c r="N71" s="151"/>
      <c r="O71" s="152"/>
      <c r="P71" s="152"/>
      <c r="Q71" s="152"/>
      <c r="R71" s="152"/>
      <c r="S71" s="152"/>
      <c r="T71" s="152"/>
      <c r="U71" s="152"/>
      <c r="V71" s="152"/>
      <c r="W71" s="152"/>
      <c r="X71" s="152"/>
      <c r="Y71" s="152"/>
      <c r="Z71" s="152"/>
    </row>
    <row r="72" spans="1:36" ht="18" customHeight="1">
      <c r="A72" s="148" t="s">
        <v>1995</v>
      </c>
      <c r="B72" s="192"/>
      <c r="C72" s="154"/>
      <c r="D72" s="2095">
        <f>+'TRIAL-BALANCE'!K10</f>
        <v>0</v>
      </c>
      <c r="E72" s="148" t="s">
        <v>797</v>
      </c>
      <c r="F72" s="154"/>
      <c r="G72" s="148"/>
      <c r="H72" s="457"/>
      <c r="I72" s="457"/>
      <c r="J72" s="457"/>
      <c r="K72" s="148" t="s">
        <v>796</v>
      </c>
      <c r="L72" s="154"/>
      <c r="M72" s="197"/>
      <c r="N72" s="197"/>
      <c r="O72" s="152"/>
      <c r="P72" s="152"/>
      <c r="Q72" s="152"/>
      <c r="R72" s="152"/>
      <c r="S72" s="152"/>
      <c r="T72" s="152"/>
      <c r="U72" s="152"/>
      <c r="V72" s="152"/>
      <c r="W72" s="152"/>
      <c r="X72" s="152"/>
      <c r="Y72" s="152"/>
      <c r="Z72" s="152"/>
    </row>
    <row r="73" spans="1:36" ht="15.75" customHeight="1">
      <c r="A73" s="458"/>
      <c r="B73" s="459"/>
      <c r="C73" s="164"/>
      <c r="D73" s="459"/>
      <c r="E73" s="460"/>
      <c r="F73" s="164"/>
      <c r="G73" s="209"/>
      <c r="H73" s="2479"/>
      <c r="I73" s="2480"/>
      <c r="J73" s="2481"/>
      <c r="K73" s="209"/>
      <c r="L73" s="164"/>
      <c r="M73" s="2477"/>
      <c r="N73" s="2478"/>
      <c r="O73" s="152"/>
      <c r="P73" s="152"/>
      <c r="Q73" s="152"/>
      <c r="R73" s="152"/>
      <c r="S73" s="152"/>
      <c r="T73" s="152"/>
      <c r="U73" s="152"/>
      <c r="V73" s="152"/>
      <c r="W73" s="152"/>
      <c r="X73" s="152"/>
      <c r="Y73" s="152"/>
      <c r="Z73" s="152"/>
    </row>
    <row r="74" spans="1:36" ht="15.75" customHeight="1">
      <c r="A74" s="458"/>
      <c r="B74" s="458"/>
      <c r="C74" s="458"/>
      <c r="D74" s="458"/>
      <c r="E74" s="458"/>
      <c r="F74" s="458"/>
      <c r="G74" s="458"/>
      <c r="H74" s="2128" t="s">
        <v>2032</v>
      </c>
      <c r="I74" s="458"/>
      <c r="J74" s="458"/>
      <c r="K74" s="458"/>
      <c r="L74" s="458"/>
      <c r="M74" s="2128" t="s">
        <v>2033</v>
      </c>
      <c r="N74" s="458"/>
      <c r="O74" s="152"/>
      <c r="P74" s="152"/>
      <c r="Q74" s="152"/>
      <c r="R74" s="152"/>
      <c r="S74" s="152"/>
      <c r="T74" s="152"/>
      <c r="U74" s="152"/>
      <c r="V74" s="152"/>
      <c r="W74" s="152"/>
      <c r="X74" s="152"/>
      <c r="Y74" s="152"/>
      <c r="Z74" s="152"/>
    </row>
    <row r="75" spans="1:36" ht="15.75">
      <c r="A75" s="152"/>
      <c r="B75" s="152"/>
      <c r="C75" s="198"/>
      <c r="D75" s="152"/>
      <c r="E75" s="152"/>
      <c r="F75" s="198"/>
      <c r="G75" s="152"/>
      <c r="H75" s="152"/>
      <c r="I75" s="198"/>
      <c r="J75" s="152"/>
      <c r="K75" s="152"/>
      <c r="L75" s="198"/>
      <c r="M75" s="152"/>
      <c r="N75" s="152"/>
      <c r="O75" s="152"/>
      <c r="P75" s="152"/>
      <c r="Q75" s="152"/>
      <c r="R75" s="152"/>
      <c r="S75" s="152"/>
      <c r="T75" s="152"/>
      <c r="U75" s="152"/>
      <c r="V75" s="152"/>
      <c r="W75" s="152"/>
      <c r="X75" s="152"/>
      <c r="Y75" s="152"/>
      <c r="Z75" s="152"/>
    </row>
    <row r="76" spans="1:36" s="1392" customFormat="1" ht="15.75">
      <c r="A76" s="1660" t="s">
        <v>900</v>
      </c>
      <c r="B76" s="1661"/>
      <c r="C76" s="198"/>
      <c r="D76" s="1662">
        <f>+ROUND(+D14-SUM('TRIAL-BALANCE'!P364:P367)-SUM('TRIAL-BALANCE'!P380:P382),2)</f>
        <v>0</v>
      </c>
      <c r="E76" s="1663">
        <f>+ROUND(+E14-SUM('TRIAL-BALANCE'!T364:T367)-SUM('TRIAL-BALANCE'!T380:T382),2)</f>
        <v>0</v>
      </c>
      <c r="F76" s="253"/>
      <c r="G76" s="1662">
        <f>+ROUND(+G14-SUM('TRIAL-BALANCE'!W364:W367)-SUM('TRIAL-BALANCE'!W380:W382),2)</f>
        <v>0</v>
      </c>
      <c r="H76" s="1663">
        <f>+ROUND(+H14-SUM('TRIAL-BALANCE'!AA364:AA367)-SUM('TRIAL-BALANCE'!AA380:AA382),2)</f>
        <v>0</v>
      </c>
      <c r="I76" s="253"/>
      <c r="J76" s="1662">
        <f>+ROUND(+J14-SUM('TRIAL-BALANCE'!AD364:AD367)-SUM('TRIAL-BALANCE'!AD380:AD382),2)</f>
        <v>0</v>
      </c>
      <c r="K76" s="1663">
        <f>+ROUND(+K14-SUM('TRIAL-BALANCE'!AH364:AH367)-SUM('TRIAL-BALANCE'!AH380:AH382),2)</f>
        <v>0</v>
      </c>
      <c r="L76" s="253"/>
      <c r="M76" s="1662">
        <f>+ROUND(+D76+G76+J76,2)</f>
        <v>0</v>
      </c>
      <c r="N76" s="1663">
        <f>+ROUND(+E76+H76+K76,2)</f>
        <v>0</v>
      </c>
      <c r="O76" s="152"/>
      <c r="P76" s="152"/>
      <c r="Q76" s="152"/>
      <c r="R76" s="152"/>
      <c r="S76" s="152"/>
      <c r="T76" s="152"/>
      <c r="U76" s="152"/>
      <c r="V76" s="152"/>
      <c r="W76" s="152"/>
      <c r="X76" s="152"/>
      <c r="Y76" s="152"/>
      <c r="Z76" s="152"/>
      <c r="AA76" s="1397"/>
      <c r="AB76" s="1397"/>
      <c r="AC76" s="1397"/>
      <c r="AD76" s="1397"/>
      <c r="AE76" s="1397"/>
      <c r="AF76" s="1397"/>
      <c r="AG76" s="1397"/>
      <c r="AH76" s="1397"/>
      <c r="AI76" s="1397"/>
      <c r="AJ76" s="1397"/>
    </row>
    <row r="77" spans="1:36" s="1392" customFormat="1" ht="7.5" customHeight="1">
      <c r="A77" s="43"/>
      <c r="B77" s="43"/>
      <c r="C77" s="43"/>
      <c r="D77" s="43"/>
      <c r="E77" s="43"/>
      <c r="F77" s="43"/>
      <c r="G77" s="43"/>
      <c r="H77" s="43"/>
      <c r="I77" s="43"/>
      <c r="J77" s="43"/>
      <c r="K77" s="43"/>
      <c r="L77" s="43"/>
      <c r="M77" s="43"/>
      <c r="N77" s="43"/>
      <c r="O77" s="152"/>
      <c r="P77" s="152"/>
      <c r="Q77" s="152"/>
      <c r="R77" s="152"/>
      <c r="S77" s="152"/>
      <c r="T77" s="152"/>
      <c r="U77" s="152"/>
      <c r="V77" s="152"/>
      <c r="W77" s="152"/>
      <c r="X77" s="152"/>
      <c r="Y77" s="152"/>
      <c r="Z77" s="152"/>
      <c r="AA77" s="1397"/>
      <c r="AB77" s="1397"/>
      <c r="AC77" s="1397"/>
      <c r="AD77" s="1397"/>
      <c r="AE77" s="1397"/>
      <c r="AF77" s="1397"/>
      <c r="AG77" s="1397"/>
      <c r="AH77" s="1397"/>
      <c r="AI77" s="1397"/>
      <c r="AJ77" s="1397"/>
    </row>
    <row r="78" spans="1:36" s="1392" customFormat="1" ht="15.75">
      <c r="A78" s="1660" t="s">
        <v>2030</v>
      </c>
      <c r="B78" s="1661"/>
      <c r="C78" s="198"/>
      <c r="D78" s="1662">
        <f>+ROUND(+D22-'TRIAL-BALANCE'!P261-'TRIAL-BALANCE'!P262-'TRIAL-BALANCE'!P263-'TRIAL-BALANCE'!P264-'TRIAL-BALANCE'!P265,2)</f>
        <v>0</v>
      </c>
      <c r="E78" s="1663">
        <f>+ROUND(+E22-'TRIAL-BALANCE'!T261-'TRIAL-BALANCE'!T262-'TRIAL-BALANCE'!T263-'TRIAL-BALANCE'!T264-'TRIAL-BALANCE'!T265,2)</f>
        <v>0</v>
      </c>
      <c r="F78" s="253"/>
      <c r="G78" s="1662">
        <f>+ROUND(+G22-'TRIAL-BALANCE'!W261-'TRIAL-BALANCE'!W262-'TRIAL-BALANCE'!W263-'TRIAL-BALANCE'!W264-'TRIAL-BALANCE'!W265,2)</f>
        <v>0</v>
      </c>
      <c r="H78" s="1663">
        <f>+ROUND(+H22-'TRIAL-BALANCE'!AA261-'TRIAL-BALANCE'!AA262-'TRIAL-BALANCE'!AA263-'TRIAL-BALANCE'!AA264-'TRIAL-BALANCE'!AA265,2)</f>
        <v>0</v>
      </c>
      <c r="I78" s="253"/>
      <c r="J78" s="1662">
        <f>+ROUND(+J22-'TRIAL-BALANCE'!AD261-'TRIAL-BALANCE'!AD262-'TRIAL-BALANCE'!AD263-'TRIAL-BALANCE'!AD264-'TRIAL-BALANCE'!AD265,2)</f>
        <v>0</v>
      </c>
      <c r="K78" s="1663">
        <f>+ROUND(+K22-'TRIAL-BALANCE'!AH261-'TRIAL-BALANCE'!AH262-'TRIAL-BALANCE'!AH263-'TRIAL-BALANCE'!AH264-'TRIAL-BALANCE'!AH265,2)</f>
        <v>0</v>
      </c>
      <c r="L78" s="253"/>
      <c r="M78" s="1662">
        <f>+ROUND(+D78+G78+J78,2)</f>
        <v>0</v>
      </c>
      <c r="N78" s="1663">
        <f>+ROUND(+E78+H78+K78,2)</f>
        <v>0</v>
      </c>
      <c r="O78" s="152"/>
      <c r="P78" s="152"/>
      <c r="Q78" s="152"/>
      <c r="R78" s="152"/>
      <c r="S78" s="152"/>
      <c r="T78" s="152"/>
      <c r="U78" s="152"/>
      <c r="V78" s="152"/>
      <c r="W78" s="152"/>
      <c r="X78" s="152"/>
      <c r="Y78" s="152"/>
      <c r="Z78" s="152"/>
      <c r="AA78" s="1397"/>
      <c r="AB78" s="1397"/>
      <c r="AC78" s="1397"/>
      <c r="AD78" s="1397"/>
      <c r="AE78" s="1397"/>
      <c r="AF78" s="1397"/>
      <c r="AG78" s="1397"/>
      <c r="AH78" s="1397"/>
      <c r="AI78" s="1397"/>
      <c r="AJ78" s="1397"/>
    </row>
    <row r="79" spans="1:36" s="1392" customFormat="1" ht="7.5" customHeight="1">
      <c r="A79" s="43"/>
      <c r="B79" s="43"/>
      <c r="C79" s="43"/>
      <c r="D79" s="43"/>
      <c r="E79" s="43"/>
      <c r="F79" s="43"/>
      <c r="G79" s="43"/>
      <c r="H79" s="43"/>
      <c r="I79" s="43"/>
      <c r="J79" s="43"/>
      <c r="K79" s="43"/>
      <c r="L79" s="43"/>
      <c r="M79" s="43"/>
      <c r="N79" s="43"/>
      <c r="O79" s="152"/>
      <c r="P79" s="152"/>
      <c r="Q79" s="152"/>
      <c r="R79" s="152"/>
      <c r="S79" s="152"/>
      <c r="T79" s="152"/>
      <c r="U79" s="152"/>
      <c r="V79" s="152"/>
      <c r="W79" s="152"/>
      <c r="X79" s="152"/>
      <c r="Y79" s="152"/>
      <c r="Z79" s="152"/>
      <c r="AA79" s="1397"/>
      <c r="AB79" s="1397"/>
      <c r="AC79" s="1397"/>
      <c r="AD79" s="1397"/>
      <c r="AE79" s="1397"/>
      <c r="AF79" s="1397"/>
      <c r="AG79" s="1397"/>
      <c r="AH79" s="1397"/>
      <c r="AI79" s="1397"/>
      <c r="AJ79" s="1397"/>
    </row>
    <row r="80" spans="1:36" s="1392" customFormat="1" ht="15.75">
      <c r="A80" s="1660" t="s">
        <v>211</v>
      </c>
      <c r="B80" s="1661"/>
      <c r="C80" s="198"/>
      <c r="D80" s="1662">
        <f>+ROUND(+D30-(+'TRIAL-BALANCE'!O271+'TRIAL-BALANCE'!O272+'TRIAL-BALANCE'!O273-'TRIAL-BALANCE'!P271-'TRIAL-BALANCE'!P272-'TRIAL-BALANCE'!P273),2)</f>
        <v>0</v>
      </c>
      <c r="E80" s="1663">
        <f>+ROUND(+E30-(+'TRIAL-BALANCE'!S271+'TRIAL-BALANCE'!S272+'TRIAL-BALANCE'!S273-'TRIAL-BALANCE'!T271-'TRIAL-BALANCE'!T272-'TRIAL-BALANCE'!T273),2)</f>
        <v>0</v>
      </c>
      <c r="F80" s="253"/>
      <c r="G80" s="1662">
        <f>+ROUND(+G30-(+'TRIAL-BALANCE'!V271+'TRIAL-BALANCE'!V272+'TRIAL-BALANCE'!V273-'TRIAL-BALANCE'!W271-'TRIAL-BALANCE'!W272-'TRIAL-BALANCE'!W273),2)</f>
        <v>0</v>
      </c>
      <c r="H80" s="1663">
        <f>+ROUND(+H30-(+'TRIAL-BALANCE'!Z271+'TRIAL-BALANCE'!Z272+'TRIAL-BALANCE'!Z273-'TRIAL-BALANCE'!AA271-'TRIAL-BALANCE'!AA272-'TRIAL-BALANCE'!AA273),2)</f>
        <v>0</v>
      </c>
      <c r="I80" s="253"/>
      <c r="J80" s="1662">
        <f>+ROUND(+J30-(+'TRIAL-BALANCE'!AC271+'TRIAL-BALANCE'!AC272+'TRIAL-BALANCE'!AC273-'TRIAL-BALANCE'!AD271-'TRIAL-BALANCE'!AD272-'TRIAL-BALANCE'!AD273),2)</f>
        <v>0</v>
      </c>
      <c r="K80" s="1663">
        <f>+ROUND(+K30-(+'TRIAL-BALANCE'!AG271+'TRIAL-BALANCE'!AG272+'TRIAL-BALANCE'!AG273-'TRIAL-BALANCE'!AH271-'TRIAL-BALANCE'!AH272-'TRIAL-BALANCE'!AH273),2)</f>
        <v>0</v>
      </c>
      <c r="L80" s="253"/>
      <c r="M80" s="1662">
        <f>+ROUND(+D80+G80+J80,2)</f>
        <v>0</v>
      </c>
      <c r="N80" s="1663">
        <f>+ROUND(+E80+H80+K80,2)</f>
        <v>0</v>
      </c>
      <c r="O80" s="152"/>
      <c r="P80" s="152"/>
      <c r="Q80" s="152"/>
      <c r="R80" s="152"/>
      <c r="S80" s="152"/>
      <c r="T80" s="152"/>
      <c r="U80" s="152"/>
      <c r="V80" s="152"/>
      <c r="W80" s="152"/>
      <c r="X80" s="152"/>
      <c r="Y80" s="152"/>
      <c r="Z80" s="152"/>
      <c r="AA80" s="1397"/>
      <c r="AB80" s="1397"/>
      <c r="AC80" s="1397"/>
      <c r="AD80" s="1397"/>
      <c r="AE80" s="1397"/>
      <c r="AF80" s="1397"/>
      <c r="AG80" s="1397"/>
      <c r="AH80" s="1397"/>
      <c r="AI80" s="1397"/>
      <c r="AJ80" s="1397"/>
    </row>
    <row r="81" spans="1:36" s="1392" customFormat="1" ht="7.5" customHeight="1">
      <c r="A81" s="43"/>
      <c r="B81" s="43"/>
      <c r="C81" s="43"/>
      <c r="D81" s="254"/>
      <c r="E81" s="254"/>
      <c r="F81" s="254"/>
      <c r="G81" s="254"/>
      <c r="H81" s="254"/>
      <c r="I81" s="254"/>
      <c r="J81" s="254"/>
      <c r="K81" s="254"/>
      <c r="L81" s="254"/>
      <c r="M81" s="254"/>
      <c r="N81" s="254"/>
      <c r="O81" s="152"/>
      <c r="P81" s="152"/>
      <c r="Q81" s="152"/>
      <c r="R81" s="152"/>
      <c r="S81" s="152"/>
      <c r="T81" s="152"/>
      <c r="U81" s="152"/>
      <c r="V81" s="152"/>
      <c r="W81" s="152"/>
      <c r="X81" s="152"/>
      <c r="Y81" s="152"/>
      <c r="Z81" s="152"/>
      <c r="AA81" s="1397"/>
      <c r="AB81" s="1397"/>
      <c r="AC81" s="1397"/>
      <c r="AD81" s="1397"/>
      <c r="AE81" s="1397"/>
      <c r="AF81" s="1397"/>
      <c r="AG81" s="1397"/>
      <c r="AH81" s="1397"/>
      <c r="AI81" s="1397"/>
      <c r="AJ81" s="1397"/>
    </row>
    <row r="82" spans="1:36" s="1392" customFormat="1" ht="15.75">
      <c r="A82" s="1660" t="s">
        <v>2084</v>
      </c>
      <c r="B82" s="1661"/>
      <c r="C82" s="198"/>
      <c r="D82" s="1662">
        <f>+ROUND(+D43-SUM('TRIAL-BALANCE'!O25-'TRIAL-BALANCE'!P25),2)</f>
        <v>0</v>
      </c>
      <c r="E82" s="1663">
        <f>+ROUND(+E43-SUM(+'TRIAL-BALANCE'!S25-'TRIAL-BALANCE'!T25),2)</f>
        <v>0</v>
      </c>
      <c r="F82" s="253"/>
      <c r="G82" s="1662">
        <f>+ROUND(+G43-SUM('TRIAL-BALANCE'!V25-'TRIAL-BALANCE'!W25),2)</f>
        <v>0</v>
      </c>
      <c r="H82" s="1663">
        <f>+ROUND(+H43-SUM(+'TRIAL-BALANCE'!Z25-'TRIAL-BALANCE'!AA25),2)</f>
        <v>0</v>
      </c>
      <c r="I82" s="253"/>
      <c r="J82" s="1662">
        <f>+ROUND(+J43-SUM('TRIAL-BALANCE'!AC25-'TRIAL-BALANCE'!AD25),2)</f>
        <v>0</v>
      </c>
      <c r="K82" s="1663">
        <f>+ROUND(+K43-SUM(+'TRIAL-BALANCE'!AG25-'TRIAL-BALANCE'!AH25),2)</f>
        <v>0</v>
      </c>
      <c r="L82" s="253"/>
      <c r="M82" s="1662">
        <f>+ROUND(+D82+G82+J82,2)</f>
        <v>0</v>
      </c>
      <c r="N82" s="1663">
        <f>+ROUND(+E82+H82+K82,2)</f>
        <v>0</v>
      </c>
      <c r="O82" s="152"/>
      <c r="P82" s="152"/>
      <c r="Q82" s="152"/>
      <c r="R82" s="152"/>
      <c r="S82" s="152"/>
      <c r="T82" s="152"/>
      <c r="U82" s="152"/>
      <c r="V82" s="152"/>
      <c r="W82" s="152"/>
      <c r="X82" s="152"/>
      <c r="Y82" s="152"/>
      <c r="Z82" s="152"/>
      <c r="AA82" s="1397"/>
      <c r="AB82" s="1397"/>
      <c r="AC82" s="1397"/>
      <c r="AD82" s="1397"/>
      <c r="AE82" s="1397"/>
      <c r="AF82" s="1397"/>
      <c r="AG82" s="1397"/>
      <c r="AH82" s="1397"/>
      <c r="AI82" s="1397"/>
      <c r="AJ82" s="1397"/>
    </row>
    <row r="83" spans="1:36" s="1392" customFormat="1" ht="7.5" customHeight="1">
      <c r="A83" s="43"/>
      <c r="B83" s="43"/>
      <c r="C83" s="43"/>
      <c r="D83" s="254"/>
      <c r="E83" s="254"/>
      <c r="F83" s="254"/>
      <c r="G83" s="254"/>
      <c r="H83" s="254"/>
      <c r="I83" s="254"/>
      <c r="J83" s="254"/>
      <c r="K83" s="254"/>
      <c r="L83" s="254"/>
      <c r="M83" s="254"/>
      <c r="N83" s="254"/>
      <c r="O83" s="152"/>
      <c r="P83" s="152"/>
      <c r="Q83" s="152"/>
      <c r="R83" s="152"/>
      <c r="S83" s="152"/>
      <c r="T83" s="152"/>
      <c r="U83" s="152"/>
      <c r="V83" s="152"/>
      <c r="W83" s="152"/>
      <c r="X83" s="152"/>
      <c r="Y83" s="152"/>
      <c r="Z83" s="152"/>
      <c r="AA83" s="1397"/>
      <c r="AB83" s="1397"/>
      <c r="AC83" s="1397"/>
      <c r="AD83" s="1397"/>
      <c r="AE83" s="1397"/>
      <c r="AF83" s="1397"/>
      <c r="AG83" s="1397"/>
      <c r="AH83" s="1397"/>
      <c r="AI83" s="1397"/>
      <c r="AJ83" s="1397"/>
    </row>
    <row r="84" spans="1:36" s="1392" customFormat="1" ht="15.75">
      <c r="A84" s="1660" t="s">
        <v>2085</v>
      </c>
      <c r="B84" s="1661"/>
      <c r="C84" s="198"/>
      <c r="D84" s="1662">
        <f>+ROUND(+D47-'TRIAL-BALANCE'!O21,2)</f>
        <v>0</v>
      </c>
      <c r="E84" s="1663">
        <f>+ROUND(+E47-'TRIAL-BALANCE'!S21,2)</f>
        <v>0</v>
      </c>
      <c r="F84" s="253"/>
      <c r="G84" s="1662">
        <f>+ROUND(+G47-'TRIAL-BALANCE'!V21,2)</f>
        <v>0</v>
      </c>
      <c r="H84" s="1663">
        <f>+ROUND(+H47-'TRIAL-BALANCE'!Z21,2)</f>
        <v>0</v>
      </c>
      <c r="I84" s="253"/>
      <c r="J84" s="1662">
        <f>+ROUND(+J47-'TRIAL-BALANCE'!AC21,2)</f>
        <v>0</v>
      </c>
      <c r="K84" s="1663">
        <f>+ROUND(+K47-'TRIAL-BALANCE'!AG21,2)</f>
        <v>0</v>
      </c>
      <c r="L84" s="253"/>
      <c r="M84" s="1662">
        <f>+ROUND(+D84+G84+J84,2)</f>
        <v>0</v>
      </c>
      <c r="N84" s="1663">
        <f>+ROUND(+E84+H84+K84,2)</f>
        <v>0</v>
      </c>
      <c r="O84" s="152"/>
      <c r="P84" s="152"/>
      <c r="Q84" s="152"/>
      <c r="R84" s="152"/>
      <c r="S84" s="152"/>
      <c r="T84" s="152"/>
      <c r="U84" s="152"/>
      <c r="V84" s="152"/>
      <c r="W84" s="152"/>
      <c r="X84" s="152"/>
      <c r="Y84" s="152"/>
      <c r="Z84" s="152"/>
      <c r="AA84" s="1397"/>
      <c r="AB84" s="1397"/>
      <c r="AC84" s="1397"/>
      <c r="AD84" s="1397"/>
      <c r="AE84" s="1397"/>
      <c r="AF84" s="1397"/>
      <c r="AG84" s="1397"/>
      <c r="AH84" s="1397"/>
      <c r="AI84" s="1397"/>
      <c r="AJ84" s="1397"/>
    </row>
    <row r="85" spans="1:36" s="1392" customFormat="1" ht="7.5" customHeight="1">
      <c r="A85" s="43"/>
      <c r="B85" s="43"/>
      <c r="C85" s="43"/>
      <c r="D85" s="254"/>
      <c r="E85" s="254"/>
      <c r="F85" s="254"/>
      <c r="G85" s="254"/>
      <c r="H85" s="254"/>
      <c r="I85" s="254"/>
      <c r="J85" s="254"/>
      <c r="K85" s="254"/>
      <c r="L85" s="254"/>
      <c r="M85" s="254"/>
      <c r="N85" s="254"/>
      <c r="O85" s="152"/>
      <c r="P85" s="152"/>
      <c r="Q85" s="152"/>
      <c r="R85" s="152"/>
      <c r="S85" s="152"/>
      <c r="T85" s="152"/>
      <c r="U85" s="152"/>
      <c r="V85" s="152"/>
      <c r="W85" s="152"/>
      <c r="X85" s="152"/>
      <c r="Y85" s="152"/>
      <c r="Z85" s="152"/>
      <c r="AA85" s="1397"/>
      <c r="AB85" s="1397"/>
      <c r="AC85" s="1397"/>
      <c r="AD85" s="1397"/>
      <c r="AE85" s="1397"/>
      <c r="AF85" s="1397"/>
      <c r="AG85" s="1397"/>
      <c r="AH85" s="1397"/>
      <c r="AI85" s="1397"/>
      <c r="AJ85" s="1397"/>
    </row>
    <row r="86" spans="1:36" s="1392" customFormat="1" ht="15.75">
      <c r="A86" s="1660" t="s">
        <v>901</v>
      </c>
      <c r="B86" s="1661"/>
      <c r="C86" s="198"/>
      <c r="D86" s="1662">
        <f>+ROUND(+D51-'TRIAL-BALANCE'!O54-'TRIAL-BALANCE'!O55,2)</f>
        <v>0</v>
      </c>
      <c r="E86" s="1663">
        <f>+ROUND(+E51-'TRIAL-BALANCE'!S54-'TRIAL-BALANCE'!S55,2)</f>
        <v>0</v>
      </c>
      <c r="F86" s="253"/>
      <c r="G86" s="1662">
        <f>+ROUND(+G51-'TRIAL-BALANCE'!V54-'TRIAL-BALANCE'!V55,2)</f>
        <v>0</v>
      </c>
      <c r="H86" s="1663">
        <f>+ROUND(+H51-'TRIAL-BALANCE'!Z54-'TRIAL-BALANCE'!Z55,2)</f>
        <v>0</v>
      </c>
      <c r="I86" s="253"/>
      <c r="J86" s="1662">
        <f>+ROUND(+J51-'TRIAL-BALANCE'!AC54-'TRIAL-BALANCE'!AC55,2)</f>
        <v>0</v>
      </c>
      <c r="K86" s="1663">
        <f>+ROUND(+K51-'TRIAL-BALANCE'!AG54-'TRIAL-BALANCE'!AG55,2)</f>
        <v>0</v>
      </c>
      <c r="L86" s="253"/>
      <c r="M86" s="1662">
        <f>+ROUND(+D86+G86+J86,2)</f>
        <v>0</v>
      </c>
      <c r="N86" s="1663">
        <f>+ROUND(+E86+H86+K86,2)</f>
        <v>0</v>
      </c>
      <c r="O86" s="152"/>
      <c r="P86" s="152"/>
      <c r="Q86" s="152"/>
      <c r="R86" s="152"/>
      <c r="S86" s="152"/>
      <c r="T86" s="152"/>
      <c r="U86" s="152"/>
      <c r="V86" s="152"/>
      <c r="W86" s="152"/>
      <c r="X86" s="152"/>
      <c r="Y86" s="152"/>
      <c r="Z86" s="152"/>
      <c r="AA86" s="1397"/>
      <c r="AB86" s="1397"/>
      <c r="AC86" s="1397"/>
      <c r="AD86" s="1397"/>
      <c r="AE86" s="1397"/>
      <c r="AF86" s="1397"/>
      <c r="AG86" s="1397"/>
      <c r="AH86" s="1397"/>
      <c r="AI86" s="1397"/>
      <c r="AJ86" s="1397"/>
    </row>
    <row r="87" spans="1:36" s="1392" customFormat="1" ht="7.5" customHeight="1">
      <c r="A87" s="43"/>
      <c r="B87" s="43"/>
      <c r="C87" s="43"/>
      <c r="D87" s="254"/>
      <c r="E87" s="254"/>
      <c r="F87" s="254"/>
      <c r="G87" s="254"/>
      <c r="H87" s="254"/>
      <c r="I87" s="254"/>
      <c r="J87" s="254"/>
      <c r="K87" s="254"/>
      <c r="L87" s="254"/>
      <c r="M87" s="254"/>
      <c r="N87" s="254"/>
      <c r="O87" s="152"/>
      <c r="P87" s="152"/>
      <c r="Q87" s="152"/>
      <c r="R87" s="152"/>
      <c r="S87" s="152"/>
      <c r="T87" s="152"/>
      <c r="U87" s="152"/>
      <c r="V87" s="152"/>
      <c r="W87" s="152"/>
      <c r="X87" s="152"/>
      <c r="Y87" s="152"/>
      <c r="Z87" s="152"/>
      <c r="AA87" s="1397"/>
      <c r="AB87" s="1397"/>
      <c r="AC87" s="1397"/>
      <c r="AD87" s="1397"/>
      <c r="AE87" s="1397"/>
      <c r="AF87" s="1397"/>
      <c r="AG87" s="1397"/>
      <c r="AH87" s="1397"/>
      <c r="AI87" s="1397"/>
      <c r="AJ87" s="1397"/>
    </row>
    <row r="88" spans="1:36" s="1392" customFormat="1" ht="15.75">
      <c r="A88" s="1660" t="s">
        <v>266</v>
      </c>
      <c r="B88" s="1661"/>
      <c r="C88" s="198"/>
      <c r="D88" s="1662">
        <f>+ROUND(+D56-('TRIAL-BALANCE'!O60+'TRIAL-BALANCE'!O61-'TRIAL-BALANCE'!P60-'TRIAL-BALANCE'!P61),2)</f>
        <v>0</v>
      </c>
      <c r="E88" s="1663">
        <f>+ROUND(+E56-('TRIAL-BALANCE'!S60+'TRIAL-BALANCE'!S61-'TRIAL-BALANCE'!T60-'TRIAL-BALANCE'!T61),2)</f>
        <v>0</v>
      </c>
      <c r="F88" s="253"/>
      <c r="G88" s="1662">
        <f>+ROUND(+G56-('TRIAL-BALANCE'!V60+'TRIAL-BALANCE'!V61-'TRIAL-BALANCE'!W60-'TRIAL-BALANCE'!W61),2)</f>
        <v>0</v>
      </c>
      <c r="H88" s="1663">
        <f>+ROUND(+H56-('TRIAL-BALANCE'!Z60+'TRIAL-BALANCE'!Z61-'TRIAL-BALANCE'!AA60-'TRIAL-BALANCE'!AA61),2)</f>
        <v>0</v>
      </c>
      <c r="I88" s="253"/>
      <c r="J88" s="1662">
        <f>+ROUND(+J56-('TRIAL-BALANCE'!AC60+'TRIAL-BALANCE'!AC61-'TRIAL-BALANCE'!AD60-'TRIAL-BALANCE'!AD61),2)</f>
        <v>0</v>
      </c>
      <c r="K88" s="1663">
        <f>+ROUND(+K56-('TRIAL-BALANCE'!AG60+'TRIAL-BALANCE'!AG61-'TRIAL-BALANCE'!AH60-'TRIAL-BALANCE'!AH61),2)</f>
        <v>0</v>
      </c>
      <c r="L88" s="253"/>
      <c r="M88" s="1662">
        <f>+ROUND(+D88+G88+J88,2)</f>
        <v>0</v>
      </c>
      <c r="N88" s="1663">
        <f>+ROUND(+E88+H88+K88,2)</f>
        <v>0</v>
      </c>
      <c r="O88" s="152"/>
      <c r="P88" s="152"/>
      <c r="Q88" s="152"/>
      <c r="R88" s="152"/>
      <c r="S88" s="152"/>
      <c r="T88" s="152"/>
      <c r="U88" s="152"/>
      <c r="V88" s="152"/>
      <c r="W88" s="152"/>
      <c r="X88" s="152"/>
      <c r="Y88" s="152"/>
      <c r="Z88" s="152"/>
      <c r="AA88" s="1397"/>
      <c r="AB88" s="1397"/>
      <c r="AC88" s="1397"/>
      <c r="AD88" s="1397"/>
      <c r="AE88" s="1397"/>
      <c r="AF88" s="1397"/>
      <c r="AG88" s="1397"/>
      <c r="AH88" s="1397"/>
      <c r="AI88" s="1397"/>
      <c r="AJ88" s="1397"/>
    </row>
    <row r="89" spans="1:36" s="1392" customFormat="1" ht="7.5" customHeight="1">
      <c r="A89" s="43"/>
      <c r="B89" s="43"/>
      <c r="C89" s="43"/>
      <c r="D89" s="43"/>
      <c r="E89" s="43"/>
      <c r="F89" s="43"/>
      <c r="G89" s="43"/>
      <c r="H89" s="43"/>
      <c r="I89" s="43"/>
      <c r="J89" s="43"/>
      <c r="K89" s="43"/>
      <c r="L89" s="43"/>
      <c r="M89" s="43"/>
      <c r="N89" s="43"/>
      <c r="O89" s="152"/>
      <c r="P89" s="152"/>
      <c r="Q89" s="152"/>
      <c r="R89" s="152"/>
      <c r="S89" s="152"/>
      <c r="T89" s="152"/>
      <c r="U89" s="152"/>
      <c r="V89" s="152"/>
      <c r="W89" s="152"/>
      <c r="X89" s="152"/>
      <c r="Y89" s="152"/>
      <c r="Z89" s="152"/>
      <c r="AA89" s="1397"/>
      <c r="AB89" s="1397"/>
      <c r="AC89" s="1397"/>
      <c r="AD89" s="1397"/>
      <c r="AE89" s="1397"/>
      <c r="AF89" s="1397"/>
      <c r="AG89" s="1397"/>
      <c r="AH89" s="1397"/>
      <c r="AI89" s="1397"/>
      <c r="AJ89" s="1397"/>
    </row>
    <row r="90" spans="1:36" s="1392" customFormat="1" ht="15.75">
      <c r="A90" s="1660" t="s">
        <v>1859</v>
      </c>
      <c r="B90" s="1661"/>
      <c r="C90" s="198"/>
      <c r="D90" s="1662">
        <f>+ROUND(+D67,2)-ROUND(+'TRIAL-BALANCE'!P274-'TRIAL-BALANCE'!O274,2)</f>
        <v>0</v>
      </c>
      <c r="E90" s="1663">
        <f>+ROUND(+E67,2)-ROUND(+'TRIAL-BALANCE'!T274-'TRIAL-BALANCE'!S274,2)</f>
        <v>0</v>
      </c>
      <c r="F90" s="253"/>
      <c r="G90" s="1662">
        <f>+ROUND(+G67,2)-ROUND(+'TRIAL-BALANCE'!W274-'TRIAL-BALANCE'!V274,2)</f>
        <v>0</v>
      </c>
      <c r="H90" s="1663">
        <f>+ROUND(+H67,2)-ROUND(+'TRIAL-BALANCE'!AA274-'TRIAL-BALANCE'!Z274,2)</f>
        <v>0</v>
      </c>
      <c r="I90" s="253"/>
      <c r="J90" s="1662">
        <f>+ROUND(+J67,2)-ROUND(+'TRIAL-BALANCE'!AD274-'TRIAL-BALANCE'!AC274,2)</f>
        <v>0</v>
      </c>
      <c r="K90" s="1663">
        <f>+ROUND(+K67,2)-ROUND(+'TRIAL-BALANCE'!AH274-'TRIAL-BALANCE'!AG274,2)</f>
        <v>0</v>
      </c>
      <c r="L90" s="253"/>
      <c r="M90" s="1662">
        <f>+ROUND(+D90+G90+J90,2)</f>
        <v>0</v>
      </c>
      <c r="N90" s="1663">
        <f>+ROUND(+E90+H90+K90,2)</f>
        <v>0</v>
      </c>
      <c r="O90" s="152"/>
      <c r="P90" s="152"/>
      <c r="Q90" s="152"/>
      <c r="R90" s="152"/>
      <c r="S90" s="152"/>
      <c r="T90" s="152"/>
      <c r="U90" s="152"/>
      <c r="V90" s="152"/>
      <c r="W90" s="152"/>
      <c r="X90" s="152"/>
      <c r="Y90" s="152"/>
      <c r="Z90" s="152"/>
      <c r="AA90" s="1397"/>
      <c r="AB90" s="1397"/>
      <c r="AC90" s="1397"/>
      <c r="AD90" s="1397"/>
      <c r="AE90" s="1397"/>
      <c r="AF90" s="1397"/>
      <c r="AG90" s="1397"/>
      <c r="AH90" s="1397"/>
      <c r="AI90" s="1397"/>
      <c r="AJ90" s="1397"/>
    </row>
    <row r="91" spans="1:36">
      <c r="A91" s="152"/>
      <c r="B91" s="152"/>
      <c r="C91" s="152"/>
      <c r="D91" s="152"/>
      <c r="E91" s="152"/>
      <c r="F91" s="152"/>
      <c r="G91" s="152"/>
      <c r="H91" s="152"/>
      <c r="I91" s="152"/>
      <c r="J91" s="152"/>
      <c r="K91" s="152"/>
      <c r="L91" s="152"/>
      <c r="M91" s="152"/>
      <c r="N91" s="152"/>
      <c r="O91" s="152"/>
      <c r="P91" s="152"/>
      <c r="Q91" s="152"/>
      <c r="R91" s="152"/>
      <c r="S91" s="152"/>
      <c r="T91" s="152"/>
      <c r="U91" s="152"/>
      <c r="V91" s="152"/>
      <c r="W91" s="152"/>
      <c r="X91" s="152"/>
      <c r="Y91" s="152"/>
      <c r="Z91" s="152"/>
    </row>
    <row r="92" spans="1:36" ht="15.75" customHeight="1">
      <c r="A92" s="152"/>
      <c r="B92" s="152"/>
      <c r="C92" s="152"/>
      <c r="D92" s="152"/>
      <c r="E92" s="152"/>
      <c r="F92" s="152"/>
      <c r="G92" s="152"/>
      <c r="H92" s="152"/>
      <c r="I92" s="152"/>
      <c r="J92" s="152"/>
      <c r="K92" s="152"/>
      <c r="L92" s="152"/>
      <c r="M92" s="152"/>
      <c r="N92" s="152"/>
      <c r="O92" s="152"/>
      <c r="P92" s="152"/>
      <c r="Q92" s="152"/>
      <c r="R92" s="152"/>
      <c r="S92" s="152"/>
      <c r="T92" s="152"/>
      <c r="U92" s="152"/>
      <c r="V92" s="152"/>
      <c r="W92" s="152"/>
      <c r="X92" s="152"/>
      <c r="Y92" s="152"/>
      <c r="Z92" s="152"/>
    </row>
    <row r="93" spans="1:36">
      <c r="A93" s="152"/>
      <c r="B93" s="152"/>
      <c r="C93" s="152"/>
      <c r="D93" s="152"/>
      <c r="E93" s="152"/>
      <c r="F93" s="152"/>
      <c r="G93" s="152"/>
      <c r="H93" s="152"/>
      <c r="I93" s="152"/>
      <c r="J93" s="152"/>
      <c r="K93" s="152"/>
      <c r="L93" s="152"/>
      <c r="M93" s="152"/>
      <c r="N93" s="152"/>
      <c r="O93" s="152"/>
      <c r="P93" s="152"/>
      <c r="Q93" s="152"/>
      <c r="R93" s="152"/>
      <c r="S93" s="152"/>
      <c r="T93" s="152"/>
      <c r="U93" s="152"/>
      <c r="V93" s="152"/>
      <c r="W93" s="152"/>
      <c r="X93" s="152"/>
      <c r="Y93" s="152"/>
      <c r="Z93" s="152"/>
    </row>
    <row r="94" spans="1:36">
      <c r="A94" s="152"/>
      <c r="B94" s="152"/>
      <c r="C94" s="152"/>
      <c r="D94" s="152"/>
      <c r="E94" s="152"/>
      <c r="F94" s="152"/>
      <c r="G94" s="152"/>
      <c r="H94" s="152"/>
      <c r="I94" s="152"/>
      <c r="J94" s="152"/>
      <c r="K94" s="152"/>
      <c r="L94" s="152"/>
      <c r="M94" s="152"/>
      <c r="N94" s="152"/>
      <c r="O94" s="152"/>
      <c r="P94" s="152"/>
      <c r="Q94" s="152"/>
      <c r="R94" s="152"/>
      <c r="S94" s="152"/>
      <c r="T94" s="152"/>
      <c r="U94" s="152"/>
      <c r="V94" s="152"/>
      <c r="W94" s="152"/>
      <c r="X94" s="152"/>
      <c r="Y94" s="152"/>
      <c r="Z94" s="152"/>
    </row>
    <row r="95" spans="1:36">
      <c r="A95" s="152"/>
      <c r="B95" s="152"/>
      <c r="C95" s="152"/>
      <c r="D95" s="152"/>
      <c r="E95" s="152"/>
      <c r="F95" s="152"/>
      <c r="G95" s="152"/>
      <c r="H95" s="152"/>
      <c r="I95" s="152"/>
      <c r="J95" s="152"/>
      <c r="K95" s="152"/>
      <c r="L95" s="152"/>
      <c r="M95" s="152"/>
      <c r="N95" s="152"/>
      <c r="O95" s="152"/>
      <c r="P95" s="152"/>
      <c r="Q95" s="152"/>
      <c r="R95" s="152"/>
      <c r="S95" s="152"/>
      <c r="T95" s="152"/>
      <c r="U95" s="152"/>
      <c r="V95" s="152"/>
      <c r="W95" s="152"/>
      <c r="X95" s="152"/>
      <c r="Y95" s="152"/>
      <c r="Z95" s="152"/>
    </row>
    <row r="96" spans="1:36">
      <c r="A96" s="152"/>
      <c r="B96" s="152"/>
      <c r="C96" s="152"/>
      <c r="D96" s="152"/>
      <c r="E96" s="152"/>
      <c r="F96" s="152"/>
      <c r="G96" s="152"/>
      <c r="H96" s="152"/>
      <c r="I96" s="152"/>
      <c r="J96" s="152"/>
      <c r="K96" s="152"/>
      <c r="L96" s="152"/>
      <c r="M96" s="152"/>
      <c r="N96" s="152"/>
      <c r="O96" s="152"/>
      <c r="P96" s="152"/>
      <c r="Q96" s="152"/>
      <c r="R96" s="152"/>
      <c r="S96" s="152"/>
      <c r="T96" s="152"/>
      <c r="U96" s="152"/>
      <c r="V96" s="152"/>
      <c r="W96" s="152"/>
      <c r="X96" s="152"/>
      <c r="Y96" s="152"/>
      <c r="Z96" s="152"/>
    </row>
    <row r="97" spans="1:26">
      <c r="A97" s="152"/>
      <c r="B97" s="152"/>
      <c r="C97" s="152"/>
      <c r="D97" s="152"/>
      <c r="E97" s="152"/>
      <c r="F97" s="152"/>
      <c r="G97" s="152"/>
      <c r="H97" s="152"/>
      <c r="I97" s="152"/>
      <c r="J97" s="152"/>
      <c r="K97" s="152"/>
      <c r="L97" s="152"/>
      <c r="M97" s="152"/>
      <c r="N97" s="152"/>
      <c r="O97" s="152"/>
      <c r="P97" s="152"/>
      <c r="Q97" s="152"/>
      <c r="R97" s="152"/>
      <c r="S97" s="152"/>
      <c r="T97" s="152"/>
      <c r="U97" s="152"/>
      <c r="V97" s="152"/>
      <c r="W97" s="152"/>
      <c r="X97" s="152"/>
      <c r="Y97" s="152"/>
      <c r="Z97" s="152"/>
    </row>
    <row r="98" spans="1:26">
      <c r="A98" s="152"/>
      <c r="B98" s="152"/>
      <c r="C98" s="152"/>
      <c r="D98" s="152"/>
      <c r="E98" s="152"/>
      <c r="F98" s="152"/>
      <c r="G98" s="152"/>
      <c r="H98" s="152"/>
      <c r="I98" s="152"/>
      <c r="J98" s="152"/>
      <c r="K98" s="152"/>
      <c r="L98" s="152"/>
      <c r="M98" s="152"/>
      <c r="N98" s="152"/>
      <c r="O98" s="152"/>
      <c r="P98" s="152"/>
      <c r="Q98" s="152"/>
      <c r="R98" s="152"/>
      <c r="S98" s="152"/>
      <c r="T98" s="152"/>
      <c r="U98" s="152"/>
      <c r="V98" s="152"/>
      <c r="W98" s="152"/>
      <c r="X98" s="152"/>
      <c r="Y98" s="152"/>
      <c r="Z98" s="152"/>
    </row>
    <row r="99" spans="1:26">
      <c r="A99" s="152"/>
      <c r="B99" s="152"/>
      <c r="C99" s="152"/>
      <c r="D99" s="152"/>
      <c r="E99" s="152"/>
      <c r="F99" s="152"/>
      <c r="G99" s="152"/>
      <c r="H99" s="152"/>
      <c r="I99" s="152"/>
      <c r="J99" s="152"/>
      <c r="K99" s="152"/>
      <c r="L99" s="152"/>
      <c r="M99" s="152"/>
      <c r="N99" s="152"/>
      <c r="O99" s="152"/>
      <c r="P99" s="152"/>
      <c r="Q99" s="152"/>
      <c r="R99" s="152"/>
      <c r="S99" s="152"/>
      <c r="T99" s="152"/>
      <c r="U99" s="152"/>
      <c r="V99" s="152"/>
      <c r="W99" s="152"/>
      <c r="X99" s="152"/>
      <c r="Y99" s="152"/>
      <c r="Z99" s="152"/>
    </row>
    <row r="100" spans="1:26">
      <c r="A100" s="152"/>
      <c r="B100" s="152"/>
      <c r="C100" s="152"/>
      <c r="D100" s="152"/>
      <c r="E100" s="152"/>
      <c r="F100" s="152"/>
      <c r="G100" s="152"/>
      <c r="H100" s="152"/>
      <c r="I100" s="152"/>
      <c r="J100" s="152"/>
      <c r="K100" s="152"/>
      <c r="L100" s="152"/>
      <c r="M100" s="152"/>
      <c r="N100" s="152"/>
      <c r="O100" s="152"/>
      <c r="P100" s="152"/>
      <c r="Q100" s="152"/>
      <c r="R100" s="152"/>
      <c r="S100" s="152"/>
      <c r="T100" s="152"/>
      <c r="U100" s="152"/>
      <c r="V100" s="152"/>
      <c r="W100" s="152"/>
      <c r="X100" s="152"/>
      <c r="Y100" s="152"/>
      <c r="Z100" s="152"/>
    </row>
    <row r="101" spans="1:26">
      <c r="A101" s="152"/>
      <c r="B101" s="152"/>
      <c r="C101" s="152"/>
      <c r="D101" s="152"/>
      <c r="E101" s="152"/>
      <c r="F101" s="152"/>
      <c r="G101" s="152"/>
      <c r="H101" s="152"/>
      <c r="I101" s="152"/>
      <c r="J101" s="152"/>
      <c r="K101" s="152"/>
      <c r="L101" s="152"/>
      <c r="M101" s="152"/>
      <c r="N101" s="152"/>
      <c r="O101" s="152"/>
      <c r="P101" s="152"/>
      <c r="Q101" s="152"/>
      <c r="R101" s="152"/>
      <c r="S101" s="152"/>
      <c r="T101" s="152"/>
      <c r="U101" s="152"/>
      <c r="V101" s="152"/>
      <c r="W101" s="152"/>
      <c r="X101" s="152"/>
      <c r="Y101" s="152"/>
      <c r="Z101" s="152"/>
    </row>
    <row r="102" spans="1:26">
      <c r="A102" s="152"/>
      <c r="B102" s="152"/>
      <c r="C102" s="152"/>
      <c r="D102" s="152"/>
      <c r="E102" s="152"/>
      <c r="F102" s="152"/>
      <c r="G102" s="152"/>
      <c r="H102" s="152"/>
      <c r="I102" s="152"/>
      <c r="J102" s="152"/>
      <c r="K102" s="152"/>
      <c r="L102" s="152"/>
      <c r="M102" s="152"/>
      <c r="N102" s="152"/>
      <c r="O102" s="152"/>
      <c r="P102" s="152"/>
      <c r="Q102" s="152"/>
      <c r="R102" s="152"/>
      <c r="S102" s="152"/>
      <c r="T102" s="152"/>
      <c r="U102" s="152"/>
      <c r="V102" s="152"/>
      <c r="W102" s="152"/>
      <c r="X102" s="152"/>
      <c r="Y102" s="152"/>
      <c r="Z102" s="152"/>
    </row>
    <row r="103" spans="1:26">
      <c r="A103" s="152"/>
      <c r="B103" s="152"/>
      <c r="C103" s="152"/>
      <c r="D103" s="152"/>
      <c r="E103" s="152"/>
      <c r="F103" s="152"/>
      <c r="G103" s="152"/>
      <c r="H103" s="152"/>
      <c r="I103" s="152"/>
      <c r="J103" s="152"/>
      <c r="K103" s="152"/>
      <c r="L103" s="152"/>
      <c r="M103" s="152"/>
      <c r="N103" s="152"/>
      <c r="O103" s="152"/>
      <c r="P103" s="152"/>
      <c r="Q103" s="152"/>
      <c r="R103" s="152"/>
      <c r="S103" s="152"/>
      <c r="T103" s="152"/>
      <c r="U103" s="152"/>
      <c r="V103" s="152"/>
      <c r="W103" s="152"/>
      <c r="X103" s="152"/>
      <c r="Y103" s="152"/>
      <c r="Z103" s="152"/>
    </row>
    <row r="104" spans="1:26">
      <c r="A104" s="152"/>
      <c r="B104" s="152"/>
      <c r="C104" s="152"/>
      <c r="D104" s="152"/>
      <c r="E104" s="152"/>
      <c r="F104" s="152"/>
      <c r="G104" s="152"/>
      <c r="H104" s="152"/>
      <c r="I104" s="152"/>
      <c r="J104" s="152"/>
      <c r="K104" s="152"/>
      <c r="L104" s="152"/>
      <c r="M104" s="152"/>
      <c r="N104" s="152"/>
      <c r="O104" s="152"/>
      <c r="P104" s="152"/>
      <c r="Q104" s="152"/>
      <c r="R104" s="152"/>
      <c r="S104" s="152"/>
      <c r="T104" s="152"/>
      <c r="U104" s="152"/>
      <c r="V104" s="152"/>
      <c r="W104" s="152"/>
      <c r="X104" s="152"/>
      <c r="Y104" s="152"/>
      <c r="Z104" s="152"/>
    </row>
    <row r="105" spans="1:26">
      <c r="A105" s="152"/>
      <c r="B105" s="152"/>
      <c r="C105" s="152"/>
      <c r="D105" s="152"/>
      <c r="E105" s="152"/>
      <c r="F105" s="152"/>
      <c r="G105" s="152"/>
      <c r="H105" s="152"/>
      <c r="I105" s="152"/>
      <c r="J105" s="152"/>
      <c r="K105" s="152"/>
      <c r="L105" s="152"/>
      <c r="M105" s="152"/>
      <c r="N105" s="152"/>
      <c r="O105" s="152"/>
      <c r="P105" s="152"/>
      <c r="Q105" s="152"/>
      <c r="R105" s="152"/>
      <c r="S105" s="152"/>
      <c r="T105" s="152"/>
      <c r="U105" s="152"/>
      <c r="V105" s="152"/>
      <c r="W105" s="152"/>
      <c r="X105" s="152"/>
      <c r="Y105" s="152"/>
      <c r="Z105" s="152"/>
    </row>
    <row r="106" spans="1:26">
      <c r="A106" s="152"/>
      <c r="B106" s="152"/>
      <c r="C106" s="152"/>
      <c r="D106" s="152"/>
      <c r="E106" s="152"/>
      <c r="F106" s="152"/>
      <c r="G106" s="152"/>
      <c r="H106" s="152"/>
      <c r="I106" s="152"/>
      <c r="J106" s="152"/>
      <c r="K106" s="152"/>
      <c r="L106" s="152"/>
      <c r="M106" s="152"/>
      <c r="N106" s="152"/>
      <c r="O106" s="152"/>
      <c r="P106" s="152"/>
      <c r="Q106" s="152"/>
      <c r="R106" s="152"/>
      <c r="S106" s="152"/>
      <c r="T106" s="152"/>
      <c r="U106" s="152"/>
      <c r="V106" s="152"/>
      <c r="W106" s="152"/>
      <c r="X106" s="152"/>
      <c r="Y106" s="152"/>
      <c r="Z106" s="152"/>
    </row>
    <row r="107" spans="1:26">
      <c r="A107" s="152"/>
      <c r="B107" s="152"/>
      <c r="C107" s="152"/>
      <c r="D107" s="152"/>
      <c r="E107" s="152"/>
      <c r="F107" s="152"/>
      <c r="G107" s="152"/>
      <c r="H107" s="152"/>
      <c r="I107" s="152"/>
      <c r="J107" s="152"/>
      <c r="K107" s="152"/>
      <c r="L107" s="152"/>
      <c r="M107" s="152"/>
      <c r="N107" s="152"/>
      <c r="O107" s="152"/>
      <c r="P107" s="152"/>
      <c r="Q107" s="152"/>
      <c r="R107" s="152"/>
      <c r="S107" s="152"/>
      <c r="T107" s="152"/>
      <c r="U107" s="152"/>
      <c r="V107" s="152"/>
      <c r="W107" s="152"/>
      <c r="X107" s="152"/>
      <c r="Y107" s="152"/>
      <c r="Z107" s="152"/>
    </row>
    <row r="108" spans="1:26">
      <c r="A108" s="152"/>
      <c r="B108" s="152"/>
      <c r="C108" s="152"/>
      <c r="D108" s="152"/>
      <c r="E108" s="152"/>
      <c r="F108" s="152"/>
      <c r="G108" s="152"/>
      <c r="H108" s="152"/>
      <c r="I108" s="152"/>
      <c r="J108" s="152"/>
      <c r="K108" s="152"/>
      <c r="L108" s="152"/>
      <c r="M108" s="152"/>
      <c r="N108" s="152"/>
      <c r="O108" s="152"/>
      <c r="P108" s="152"/>
      <c r="Q108" s="152"/>
      <c r="R108" s="152"/>
      <c r="S108" s="152"/>
      <c r="T108" s="152"/>
      <c r="U108" s="152"/>
      <c r="V108" s="152"/>
      <c r="W108" s="152"/>
      <c r="X108" s="152"/>
      <c r="Y108" s="152"/>
      <c r="Z108" s="152"/>
    </row>
    <row r="109" spans="1:26">
      <c r="A109" s="152"/>
      <c r="B109" s="152"/>
      <c r="C109" s="152"/>
      <c r="D109" s="152"/>
      <c r="E109" s="152"/>
      <c r="F109" s="152"/>
      <c r="G109" s="152"/>
      <c r="H109" s="152"/>
      <c r="I109" s="152"/>
      <c r="J109" s="152"/>
      <c r="K109" s="152"/>
      <c r="L109" s="152"/>
      <c r="M109" s="152"/>
      <c r="N109" s="152"/>
      <c r="O109" s="152"/>
      <c r="P109" s="152"/>
      <c r="Q109" s="152"/>
      <c r="R109" s="152"/>
      <c r="S109" s="152"/>
      <c r="T109" s="152"/>
      <c r="U109" s="152"/>
      <c r="V109" s="152"/>
      <c r="W109" s="152"/>
      <c r="X109" s="152"/>
      <c r="Y109" s="152"/>
      <c r="Z109" s="152"/>
    </row>
  </sheetData>
  <sheetProtection password="889B" sheet="1" objects="1" scenarios="1"/>
  <mergeCells count="13">
    <mergeCell ref="K3:N3"/>
    <mergeCell ref="M35:N36"/>
    <mergeCell ref="M7:N8"/>
    <mergeCell ref="G1:H1"/>
    <mergeCell ref="A1:D1"/>
    <mergeCell ref="A3:D3"/>
    <mergeCell ref="A8:A9"/>
    <mergeCell ref="G3:H3"/>
    <mergeCell ref="M73:N73"/>
    <mergeCell ref="H73:J73"/>
    <mergeCell ref="B7:B9"/>
    <mergeCell ref="B35:B37"/>
    <mergeCell ref="A2:D2"/>
  </mergeCells>
  <phoneticPr fontId="0" type="noConversion"/>
  <conditionalFormatting sqref="D72 A1:D1 A3:D3 G1:H1 G3:H3 H5 M5 N1 K1">
    <cfRule type="cellIs" dxfId="2407" priority="5" stopIfTrue="1" operator="equal">
      <formula>0</formula>
    </cfRule>
  </conditionalFormatting>
  <conditionalFormatting sqref="M48:N48 G11:H11 J11:K11 M11:N11 D15:E15 G15:H15 J15:K15 M15:N15 D39:E39 G39:H39 J39:K39 M39:N39 D44:E44 G44:H44 J44:K44 M44:N44 D48:E48 G48:H48 J48:K48 D11:E11 M52:N52 D52:E52 G52:H52 J52:K52 D23:E23 G23:H23 J23:K23 M23:N23">
    <cfRule type="cellIs" dxfId="2406" priority="6" stopIfTrue="1" operator="equal">
      <formula>"НЕРАВНЕНИЕ !"</formula>
    </cfRule>
  </conditionalFormatting>
  <conditionalFormatting sqref="E5">
    <cfRule type="cellIs" dxfId="2405" priority="7" stopIfTrue="1" operator="equal">
      <formula>0</formula>
    </cfRule>
  </conditionalFormatting>
  <conditionalFormatting sqref="K3">
    <cfRule type="cellIs" dxfId="2404" priority="4" stopIfTrue="1" operator="equal">
      <formula>0</formula>
    </cfRule>
  </conditionalFormatting>
  <conditionalFormatting sqref="D57:E57 G57:H57 J57:K57 M57:N57">
    <cfRule type="cellIs" dxfId="2403" priority="3" stopIfTrue="1" operator="equal">
      <formula>"НЕРАВНЕНИЕ !"</formula>
    </cfRule>
  </conditionalFormatting>
  <dataValidations disablePrompts="1" xWindow="477" yWindow="341" count="2">
    <dataValidation type="custom" allowBlank="1" showInputMessage="1" showErrorMessage="1" error="Въведи сумата със знак &quot;минус&quot;" prompt="Въведи сумата със знак &quot;минус&quot;" sqref="D55:E55 G55:H55">
      <formula1>D55&lt;=0</formula1>
    </dataValidation>
    <dataValidation type="custom" allowBlank="1" showInputMessage="1" showErrorMessage="1" error="Въведи сумата със знак &quot;плюс&quot;" prompt="Въведи сумата със знак &quot;плюс&quot;" sqref="J21:K21 J12 G12:H13 D12:E13 G21:H21 D45:E46 J16:K19 G49:H50 G16:H19 D16:E19 D49:E50 D21:E21">
      <formula1>D12&gt;=0</formula1>
    </dataValidation>
  </dataValidations>
  <pageMargins left="0.15748031496062992" right="0.15748031496062992" top="0.55118110236220474" bottom="0.19685039370078741" header="0.35433070866141736" footer="0.15748031496062992"/>
  <pageSetup paperSize="9" scale="67" orientation="landscape" horizontalDpi="1200" r:id="rId1"/>
  <headerFooter alignWithMargins="0">
    <oddHeader>&amp;C&amp;"Times New Roman,Bold"&amp;12- &amp;P / &amp;N -</oddHeader>
  </headerFooter>
  <rowBreaks count="1" manualBreakCount="1">
    <brk id="32" max="13" man="1"/>
  </rowBreaks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000099"/>
  </sheetPr>
  <dimension ref="A1:Z673"/>
  <sheetViews>
    <sheetView zoomScale="90" zoomScaleNormal="90" workbookViewId="0"/>
  </sheetViews>
  <sheetFormatPr defaultRowHeight="15"/>
  <cols>
    <col min="1" max="1" width="6.140625" style="1392" customWidth="1"/>
    <col min="2" max="2" width="8.7109375" style="1392" customWidth="1"/>
    <col min="3" max="3" width="9.7109375" style="1392" customWidth="1"/>
    <col min="4" max="4" width="9.42578125" style="1392" customWidth="1"/>
    <col min="5" max="5" width="9.140625" style="1392"/>
    <col min="6" max="6" width="10.140625" style="1392" customWidth="1"/>
    <col min="7" max="7" width="9" style="1392" customWidth="1"/>
    <col min="8" max="8" width="8.140625" style="1392" customWidth="1"/>
    <col min="9" max="9" width="10.7109375" style="1392" customWidth="1"/>
    <col min="10" max="10" width="1.140625" style="1392" customWidth="1"/>
    <col min="11" max="11" width="11.140625" style="1392" customWidth="1"/>
    <col min="12" max="12" width="12" style="1392" customWidth="1"/>
    <col min="13" max="13" width="0.85546875" style="1395" customWidth="1"/>
    <col min="14" max="14" width="7.28515625" style="1396" customWidth="1"/>
    <col min="15" max="16" width="34" style="1393" customWidth="1"/>
    <col min="17" max="17" width="1.85546875" style="1392" customWidth="1"/>
    <col min="18" max="19" width="32.42578125" style="1393" customWidth="1"/>
    <col min="20" max="21" width="9" style="1393" customWidth="1"/>
    <col min="22" max="23" width="9" style="1392" customWidth="1"/>
    <col min="24" max="25" width="9" style="1393" customWidth="1"/>
    <col min="26" max="27" width="9" style="1392" customWidth="1"/>
    <col min="28" max="16384" width="9.140625" style="1392"/>
  </cols>
  <sheetData>
    <row r="1" spans="1:26" ht="2.25" customHeight="1">
      <c r="A1" s="53"/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45"/>
      <c r="N1" s="201"/>
      <c r="O1" s="17"/>
      <c r="P1" s="17"/>
      <c r="Q1" s="43"/>
      <c r="R1" s="17"/>
      <c r="S1" s="17"/>
      <c r="T1" s="17"/>
      <c r="U1" s="17"/>
      <c r="V1" s="43"/>
      <c r="W1" s="43"/>
      <c r="X1" s="17"/>
      <c r="Y1" s="17"/>
      <c r="Z1" s="43"/>
    </row>
    <row r="2" spans="1:26" ht="18" customHeight="1">
      <c r="A2" s="450" t="s">
        <v>257</v>
      </c>
      <c r="B2" s="202"/>
      <c r="C2" s="203"/>
      <c r="D2" s="202"/>
      <c r="E2" s="2517" t="str">
        <f>+'TRIAL-BALANCE'!E2:L2</f>
        <v>ОУ "ПРОФЕСОР МАРИН ДРИНОВ"</v>
      </c>
      <c r="F2" s="2518"/>
      <c r="G2" s="2518"/>
      <c r="H2" s="2518"/>
      <c r="I2" s="2518"/>
      <c r="J2" s="2518"/>
      <c r="K2" s="2518"/>
      <c r="L2" s="2519"/>
      <c r="M2" s="46"/>
      <c r="N2" s="204"/>
      <c r="O2" s="1207" t="str">
        <f>+IF(+COUNTIF(O64:O81,"O K")=15,"O K","ГРЕШКА - превишава нач. ДТ с/до")</f>
        <v>O K</v>
      </c>
      <c r="P2" s="1208" t="str">
        <f>+IF(+COUNTIF(P64:P81,"O K")=15,"O K","ГРЕШКА - превишава нач. КТ с/до")</f>
        <v>O K</v>
      </c>
      <c r="Q2" s="43"/>
      <c r="R2" s="1207" t="str">
        <f>+IF(+COUNTIF(R64:R81,"O K")=15,"O K","ГРЕШКА - превишава кр. ДТ с/до")</f>
        <v>O K</v>
      </c>
      <c r="S2" s="1208" t="str">
        <f>+IF(+COUNTIF(S64:S81,"O K")=15,"O K","ГРЕШКА - превишава кр. КТ с/до")</f>
        <v>O K</v>
      </c>
      <c r="T2" s="43"/>
      <c r="U2" s="43"/>
      <c r="V2" s="43"/>
      <c r="W2" s="43"/>
      <c r="X2" s="43"/>
      <c r="Y2" s="43"/>
      <c r="Z2" s="43"/>
    </row>
    <row r="3" spans="1:26" ht="3.75" customHeight="1">
      <c r="A3" s="2459" t="str">
        <f>+IF('Local-&amp;-SSF'!E6&gt;0,"Код на общински разпоредител с бюджет","код от Регистъра на бюдж. организации в СЕБРА")</f>
        <v>код от Регистъра на бюдж. организации в СЕБРА</v>
      </c>
      <c r="B3" s="2459"/>
      <c r="C3" s="2459"/>
      <c r="D3" s="1918"/>
      <c r="E3" s="1918"/>
      <c r="F3" s="1918"/>
      <c r="G3" s="1918"/>
      <c r="H3" s="1918"/>
      <c r="I3" s="1918"/>
      <c r="J3" s="1918"/>
      <c r="K3" s="1918"/>
      <c r="L3" s="1918"/>
      <c r="M3" s="45"/>
      <c r="N3" s="201"/>
      <c r="O3" s="17"/>
      <c r="P3" s="17"/>
      <c r="Q3" s="43"/>
      <c r="R3" s="17"/>
      <c r="S3" s="17"/>
      <c r="T3" s="43"/>
      <c r="U3" s="43"/>
      <c r="V3" s="43"/>
      <c r="W3" s="43"/>
      <c r="X3" s="43"/>
      <c r="Y3" s="43"/>
      <c r="Z3" s="43"/>
    </row>
    <row r="4" spans="1:26" ht="16.5" customHeight="1">
      <c r="A4" s="2459"/>
      <c r="B4" s="2459"/>
      <c r="C4" s="2459"/>
      <c r="D4" s="2460">
        <f>+'TRIAL-BALANCE'!D4:E4</f>
        <v>0</v>
      </c>
      <c r="E4" s="2461"/>
      <c r="F4" s="1919" t="s">
        <v>1950</v>
      </c>
      <c r="G4" s="2462">
        <f>+'TRIAL-BALANCE'!G4:L4</f>
        <v>0</v>
      </c>
      <c r="H4" s="2463"/>
      <c r="I4" s="2463"/>
      <c r="J4" s="2463"/>
      <c r="K4" s="2463"/>
      <c r="L4" s="2464"/>
      <c r="M4" s="47"/>
      <c r="N4" s="204"/>
      <c r="O4" s="1422" t="str">
        <f>+IF(ROUND(P34,2)=0,"O K","НЕРАВНЕНИЕ м/у Дт и Кт!")</f>
        <v>O K</v>
      </c>
      <c r="P4" s="1425" t="str">
        <f>+IF(ROUND(P34,2)=0,"O K",P34)</f>
        <v>O K</v>
      </c>
      <c r="Q4" s="43"/>
      <c r="R4" s="1422" t="str">
        <f>+IF(ROUND(S34,2)=0,"O K","НЕРАВНЕНИЕ м/у Дт и Кт!")</f>
        <v>O K</v>
      </c>
      <c r="S4" s="1425" t="str">
        <f>+IF(ROUND(S34,2)=0,"O K",S34)</f>
        <v>O K</v>
      </c>
      <c r="T4" s="43"/>
      <c r="U4" s="43"/>
      <c r="V4" s="43"/>
      <c r="W4" s="43"/>
      <c r="X4" s="43"/>
      <c r="Y4" s="43"/>
      <c r="Z4" s="43"/>
    </row>
    <row r="5" spans="1:26" ht="3.75" customHeight="1">
      <c r="A5" s="2459"/>
      <c r="B5" s="2459"/>
      <c r="C5" s="2459"/>
      <c r="D5" s="1918"/>
      <c r="E5" s="1918"/>
      <c r="F5" s="1918"/>
      <c r="G5" s="1918"/>
      <c r="H5" s="1918"/>
      <c r="I5" s="1918"/>
      <c r="J5" s="1918"/>
      <c r="K5" s="1918"/>
      <c r="L5" s="1918"/>
      <c r="M5" s="45"/>
      <c r="N5" s="204"/>
      <c r="O5" s="204"/>
      <c r="P5" s="204"/>
      <c r="Q5" s="43"/>
      <c r="R5" s="204"/>
      <c r="S5" s="204"/>
      <c r="T5" s="43"/>
      <c r="U5" s="43"/>
      <c r="V5" s="43"/>
      <c r="W5" s="43"/>
      <c r="X5" s="43"/>
      <c r="Y5" s="43"/>
      <c r="Z5" s="43"/>
    </row>
    <row r="6" spans="1:26" ht="18" customHeight="1">
      <c r="A6" s="452" t="s">
        <v>792</v>
      </c>
      <c r="B6" s="202"/>
      <c r="C6" s="2451">
        <f>+'TRIAL-BALANCE'!C6:E6</f>
        <v>341731</v>
      </c>
      <c r="D6" s="2452"/>
      <c r="E6" s="2453"/>
      <c r="F6" s="448" t="s">
        <v>431</v>
      </c>
      <c r="G6" s="2454" t="str">
        <f>+'TRIAL-BALANCE'!G6:L6</f>
        <v xml:space="preserve">                              </v>
      </c>
      <c r="H6" s="2455"/>
      <c r="I6" s="2455"/>
      <c r="J6" s="2455"/>
      <c r="K6" s="2455"/>
      <c r="L6" s="2456"/>
      <c r="M6" s="48"/>
      <c r="N6" s="204"/>
      <c r="O6" s="1426" t="str">
        <f>+IF(+AND(Status!K4="ДА",+ROUND(P51,2)-ROUND(P53,2)&lt;&gt;0),"сумите за елиминиране не са равни!","O K")</f>
        <v>O K</v>
      </c>
      <c r="P6" s="1427" t="str">
        <f>+IF(+AND(Status!K4="ДА",+ROUND(P55,2)-ROUND(P57,2)&lt;&gt;0),"сумите за елиминиране не са равни!","O K")</f>
        <v>O K</v>
      </c>
      <c r="Q6" s="43"/>
      <c r="R6" s="1426" t="str">
        <f>+IF(+AND(Status!K4="ДА",+ROUND(S51,2)-ROUND(S53,2)&lt;&gt;0),"сумите за елиминиране не са равни!","O K")</f>
        <v>O K</v>
      </c>
      <c r="S6" s="1427" t="str">
        <f>+IF(+AND(Status!K4="ДА",+ROUND(S55,2)-ROUND(S57,2)&lt;&gt;0),"сумите за елиминиране не са равни!","O K")</f>
        <v>O K</v>
      </c>
      <c r="T6" s="43"/>
      <c r="U6" s="43"/>
      <c r="V6" s="43"/>
      <c r="W6" s="43"/>
      <c r="X6" s="43"/>
      <c r="Y6" s="43"/>
      <c r="Z6" s="43"/>
    </row>
    <row r="7" spans="1:26" ht="3.75" customHeight="1" thickBot="1">
      <c r="A7" s="451"/>
      <c r="B7" s="45"/>
      <c r="C7" s="45"/>
      <c r="D7" s="45"/>
      <c r="E7" s="45"/>
      <c r="F7" s="45"/>
      <c r="G7" s="45"/>
      <c r="H7" s="45"/>
      <c r="I7" s="45"/>
      <c r="J7" s="45"/>
      <c r="K7" s="45"/>
      <c r="L7" s="45"/>
      <c r="M7" s="45"/>
      <c r="N7" s="43"/>
      <c r="O7" s="43"/>
      <c r="P7" s="43"/>
      <c r="Q7" s="43"/>
      <c r="R7" s="43"/>
      <c r="S7" s="43"/>
      <c r="T7" s="43"/>
      <c r="U7" s="43"/>
      <c r="V7" s="43"/>
      <c r="W7" s="43"/>
      <c r="X7" s="43"/>
      <c r="Y7" s="43"/>
      <c r="Z7" s="43"/>
    </row>
    <row r="8" spans="1:26" ht="18" customHeight="1" thickTop="1">
      <c r="A8" s="452" t="s">
        <v>258</v>
      </c>
      <c r="B8" s="206"/>
      <c r="C8" s="1056">
        <f>+'TRIAL-BALANCE'!C8</f>
        <v>0</v>
      </c>
      <c r="D8" s="207" t="s">
        <v>1137</v>
      </c>
      <c r="E8" s="964">
        <f>+'TRIAL-BALANCE'!E8</f>
        <v>2020</v>
      </c>
      <c r="F8" s="1296" t="s">
        <v>1204</v>
      </c>
      <c r="G8" s="2457" t="str">
        <f>+'TRIAL-BALANCE'!G8:H8</f>
        <v xml:space="preserve">;                             </v>
      </c>
      <c r="H8" s="2458"/>
      <c r="I8" s="1297" t="s">
        <v>1206</v>
      </c>
      <c r="J8" s="2454">
        <f>+'TRIAL-BALANCE'!J8:L8</f>
        <v>0</v>
      </c>
      <c r="K8" s="2455"/>
      <c r="L8" s="2456"/>
      <c r="M8" s="48"/>
      <c r="N8" s="1563" t="s">
        <v>378</v>
      </c>
      <c r="O8" s="1179" t="s">
        <v>1186</v>
      </c>
      <c r="P8" s="1113"/>
      <c r="Q8" s="43"/>
      <c r="R8" s="1179" t="s">
        <v>1187</v>
      </c>
      <c r="S8" s="1113"/>
      <c r="T8" s="43"/>
      <c r="U8" s="43"/>
      <c r="V8" s="43"/>
      <c r="W8" s="43"/>
      <c r="X8" s="43"/>
      <c r="Y8" s="43"/>
      <c r="Z8" s="43"/>
    </row>
    <row r="9" spans="1:26" ht="3.75" customHeight="1">
      <c r="A9" s="451"/>
      <c r="B9" s="45"/>
      <c r="C9" s="45"/>
      <c r="D9" s="45"/>
      <c r="E9" s="45"/>
      <c r="F9" s="45"/>
      <c r="G9" s="45"/>
      <c r="H9" s="45"/>
      <c r="I9" s="45"/>
      <c r="J9" s="45"/>
      <c r="K9" s="45"/>
      <c r="L9" s="45"/>
      <c r="M9" s="45"/>
      <c r="N9" s="913"/>
      <c r="O9" s="22"/>
      <c r="P9" s="25"/>
      <c r="Q9" s="43"/>
      <c r="R9" s="22"/>
      <c r="S9" s="25"/>
      <c r="T9" s="43"/>
      <c r="U9" s="43"/>
      <c r="V9" s="43"/>
      <c r="W9" s="43"/>
      <c r="X9" s="43"/>
      <c r="Y9" s="43"/>
      <c r="Z9" s="43"/>
    </row>
    <row r="10" spans="1:26" ht="18" customHeight="1">
      <c r="A10" s="453" t="s">
        <v>259</v>
      </c>
      <c r="B10" s="49"/>
      <c r="C10" s="965" t="str">
        <f>+'TRIAL-BALANCE'!C10</f>
        <v>/с б о р е н/</v>
      </c>
      <c r="D10" s="454" t="s">
        <v>430</v>
      </c>
      <c r="E10" s="49"/>
      <c r="F10" s="966" t="str">
        <f>+'TRIAL-BALANCE'!F10</f>
        <v>/СБОРНА/</v>
      </c>
      <c r="G10" s="207" t="s">
        <v>380</v>
      </c>
      <c r="H10" s="449"/>
      <c r="I10" s="49"/>
      <c r="J10" s="49"/>
      <c r="K10" s="2514">
        <f>+'TRIAL-BALANCE'!K10:L10</f>
        <v>0</v>
      </c>
      <c r="L10" s="2515"/>
      <c r="M10" s="48"/>
      <c r="N10" s="1564">
        <f>+$C8</f>
        <v>0</v>
      </c>
      <c r="O10" s="950" t="s">
        <v>1290</v>
      </c>
      <c r="P10" s="146"/>
      <c r="Q10" s="43"/>
      <c r="R10" s="950" t="s">
        <v>1188</v>
      </c>
      <c r="S10" s="146"/>
      <c r="T10" s="43"/>
      <c r="U10" s="43"/>
      <c r="V10" s="43"/>
      <c r="W10" s="43"/>
      <c r="X10" s="43"/>
      <c r="Y10" s="43"/>
      <c r="Z10" s="43"/>
    </row>
    <row r="11" spans="1:26" ht="3.75" customHeight="1">
      <c r="A11" s="53"/>
      <c r="B11" s="45"/>
      <c r="C11" s="45"/>
      <c r="D11" s="45"/>
      <c r="E11" s="45"/>
      <c r="F11" s="45"/>
      <c r="G11" s="45"/>
      <c r="H11" s="45"/>
      <c r="I11" s="45"/>
      <c r="J11" s="45"/>
      <c r="K11" s="45"/>
      <c r="L11" s="45"/>
      <c r="M11" s="45"/>
      <c r="N11" s="969"/>
      <c r="O11" s="371"/>
      <c r="P11" s="136"/>
      <c r="Q11" s="43"/>
      <c r="R11" s="371"/>
      <c r="S11" s="136"/>
      <c r="T11" s="43"/>
      <c r="U11" s="43"/>
      <c r="V11" s="43"/>
      <c r="W11" s="43"/>
      <c r="X11" s="43"/>
      <c r="Y11" s="43"/>
      <c r="Z11" s="43"/>
    </row>
    <row r="12" spans="1:26" ht="19.5" customHeight="1">
      <c r="A12" s="1431" t="s">
        <v>1182</v>
      </c>
      <c r="B12" s="1069"/>
      <c r="C12" s="1433"/>
      <c r="D12" s="1071"/>
      <c r="E12" s="1434"/>
      <c r="F12" s="1434"/>
      <c r="G12" s="1435" t="s">
        <v>1003</v>
      </c>
      <c r="H12" s="2516" t="str">
        <f>+'TRIAL-BALANCE'!H12:K12</f>
        <v>31 март 2020 г.</v>
      </c>
      <c r="I12" s="2516"/>
      <c r="J12" s="2516"/>
      <c r="K12" s="2516"/>
      <c r="L12" s="1436" t="str">
        <f>+'TRIAL-BALANCE'!L12</f>
        <v xml:space="preserve"> (в левове)</v>
      </c>
      <c r="M12" s="50"/>
      <c r="N12" s="1575" t="s">
        <v>162</v>
      </c>
      <c r="O12" s="1059" t="s">
        <v>370</v>
      </c>
      <c r="P12" s="1060" t="s">
        <v>371</v>
      </c>
      <c r="Q12" s="43"/>
      <c r="R12" s="1059" t="s">
        <v>370</v>
      </c>
      <c r="S12" s="1060" t="s">
        <v>371</v>
      </c>
      <c r="T12" s="43"/>
      <c r="U12" s="43"/>
      <c r="V12" s="43"/>
      <c r="W12" s="43"/>
      <c r="X12" s="43"/>
      <c r="Y12" s="43"/>
      <c r="Z12" s="43"/>
    </row>
    <row r="13" spans="1:26" ht="15.75">
      <c r="A13" s="1582" t="s">
        <v>1181</v>
      </c>
      <c r="B13" s="1583"/>
      <c r="C13" s="1584"/>
      <c r="D13" s="1584"/>
      <c r="E13" s="1584"/>
      <c r="F13" s="1584"/>
      <c r="G13" s="1584"/>
      <c r="H13" s="1584"/>
      <c r="I13" s="1584"/>
      <c r="J13" s="1584"/>
      <c r="K13" s="1584"/>
      <c r="L13" s="1585"/>
      <c r="M13" s="49"/>
      <c r="N13" s="1771"/>
      <c r="O13" s="1772" t="s">
        <v>1452</v>
      </c>
      <c r="P13" s="1770"/>
      <c r="Q13" s="1770"/>
      <c r="R13" s="1770"/>
      <c r="S13" s="1773"/>
      <c r="T13" s="43"/>
      <c r="U13" s="38"/>
      <c r="V13" s="43"/>
      <c r="W13" s="43"/>
      <c r="X13" s="38"/>
      <c r="Y13" s="38"/>
      <c r="Z13" s="43"/>
    </row>
    <row r="14" spans="1:26" ht="15.75" customHeight="1">
      <c r="A14" s="85">
        <v>4501</v>
      </c>
      <c r="B14" s="976" t="s">
        <v>226</v>
      </c>
      <c r="C14" s="85"/>
      <c r="D14" s="1291"/>
      <c r="E14" s="1291"/>
      <c r="F14" s="1291"/>
      <c r="G14" s="1291"/>
      <c r="H14" s="1291"/>
      <c r="I14" s="1291"/>
      <c r="J14" s="1291"/>
      <c r="K14" s="1291"/>
      <c r="L14" s="1292"/>
      <c r="M14" s="51" t="s">
        <v>265</v>
      </c>
      <c r="N14" s="113">
        <f>+A14</f>
        <v>4501</v>
      </c>
      <c r="O14" s="593"/>
      <c r="P14" s="1419"/>
      <c r="Q14" s="43"/>
      <c r="R14" s="593"/>
      <c r="S14" s="1419"/>
      <c r="T14" s="43"/>
      <c r="U14" s="38"/>
      <c r="V14" s="43"/>
      <c r="W14" s="43"/>
      <c r="X14" s="38"/>
      <c r="Y14" s="38"/>
      <c r="Z14" s="43"/>
    </row>
    <row r="15" spans="1:26" ht="15.75" customHeight="1">
      <c r="A15" s="88">
        <v>4502</v>
      </c>
      <c r="B15" s="1033" t="s">
        <v>227</v>
      </c>
      <c r="C15" s="88"/>
      <c r="D15" s="1195"/>
      <c r="E15" s="1195"/>
      <c r="F15" s="1195"/>
      <c r="G15" s="1195"/>
      <c r="H15" s="1195"/>
      <c r="I15" s="1195"/>
      <c r="J15" s="1195"/>
      <c r="K15" s="1195"/>
      <c r="L15" s="590"/>
      <c r="M15" s="51" t="s">
        <v>265</v>
      </c>
      <c r="N15" s="113">
        <f>+A15</f>
        <v>4502</v>
      </c>
      <c r="O15" s="593"/>
      <c r="P15" s="1419"/>
      <c r="Q15" s="43"/>
      <c r="R15" s="593"/>
      <c r="S15" s="1419"/>
      <c r="T15" s="38"/>
      <c r="U15" s="38"/>
      <c r="V15" s="43"/>
      <c r="W15" s="43"/>
      <c r="X15" s="38"/>
      <c r="Y15" s="38"/>
      <c r="Z15" s="43"/>
    </row>
    <row r="16" spans="1:26" ht="15.75" customHeight="1">
      <c r="A16" s="88">
        <v>4503</v>
      </c>
      <c r="B16" s="1033" t="s">
        <v>228</v>
      </c>
      <c r="C16" s="88"/>
      <c r="D16" s="1195"/>
      <c r="E16" s="1195"/>
      <c r="F16" s="1195"/>
      <c r="G16" s="1195"/>
      <c r="H16" s="1195"/>
      <c r="I16" s="1195"/>
      <c r="J16" s="1195"/>
      <c r="K16" s="1195"/>
      <c r="L16" s="590"/>
      <c r="M16" s="51" t="s">
        <v>265</v>
      </c>
      <c r="N16" s="113">
        <f>+A16</f>
        <v>4503</v>
      </c>
      <c r="O16" s="593"/>
      <c r="P16" s="1419"/>
      <c r="Q16" s="43"/>
      <c r="R16" s="593"/>
      <c r="S16" s="1419"/>
      <c r="T16" s="38"/>
      <c r="U16" s="38"/>
      <c r="V16" s="43"/>
      <c r="W16" s="43"/>
      <c r="X16" s="38"/>
      <c r="Y16" s="38"/>
      <c r="Z16" s="43"/>
    </row>
    <row r="17" spans="1:26" ht="15.75" customHeight="1">
      <c r="A17" s="1185" t="s">
        <v>1184</v>
      </c>
      <c r="B17" s="1187" t="s">
        <v>1185</v>
      </c>
      <c r="C17" s="1196"/>
      <c r="D17" s="1196"/>
      <c r="E17" s="1196"/>
      <c r="F17" s="1196"/>
      <c r="G17" s="1196"/>
      <c r="H17" s="1196"/>
      <c r="I17" s="1196"/>
      <c r="J17" s="1196"/>
      <c r="K17" s="1196"/>
      <c r="L17" s="1186"/>
      <c r="M17" s="51" t="s">
        <v>265</v>
      </c>
      <c r="N17" s="611" t="str">
        <f t="shared" ref="N17:N31" si="0">+A17</f>
        <v>46XX</v>
      </c>
      <c r="O17" s="1188"/>
      <c r="P17" s="1420"/>
      <c r="Q17" s="43"/>
      <c r="R17" s="1188"/>
      <c r="S17" s="1420"/>
      <c r="T17" s="38"/>
      <c r="U17" s="38"/>
      <c r="V17" s="43"/>
      <c r="W17" s="43"/>
      <c r="X17" s="38"/>
      <c r="Y17" s="38"/>
      <c r="Z17" s="43"/>
    </row>
    <row r="18" spans="1:26" ht="15.75" customHeight="1">
      <c r="A18" s="88">
        <v>4659</v>
      </c>
      <c r="B18" s="378" t="s">
        <v>884</v>
      </c>
      <c r="C18" s="88"/>
      <c r="D18" s="1197"/>
      <c r="E18" s="1197"/>
      <c r="F18" s="1197"/>
      <c r="G18" s="1197"/>
      <c r="H18" s="1197"/>
      <c r="I18" s="1197"/>
      <c r="J18" s="1197"/>
      <c r="K18" s="1197"/>
      <c r="L18" s="590"/>
      <c r="M18" s="51" t="s">
        <v>265</v>
      </c>
      <c r="N18" s="113">
        <f>+A18</f>
        <v>4659</v>
      </c>
      <c r="O18" s="593"/>
      <c r="P18" s="1419"/>
      <c r="Q18" s="43"/>
      <c r="R18" s="593"/>
      <c r="S18" s="1419"/>
      <c r="T18" s="38"/>
      <c r="U18" s="38"/>
      <c r="V18" s="43"/>
      <c r="W18" s="43"/>
      <c r="X18" s="43"/>
      <c r="Y18" s="43"/>
      <c r="Z18" s="43"/>
    </row>
    <row r="19" spans="1:26" ht="15.75" customHeight="1">
      <c r="A19" s="88">
        <v>4672</v>
      </c>
      <c r="B19" s="1034" t="s">
        <v>886</v>
      </c>
      <c r="C19" s="88"/>
      <c r="D19" s="1197"/>
      <c r="E19" s="1197"/>
      <c r="F19" s="1197"/>
      <c r="G19" s="1197"/>
      <c r="H19" s="1197"/>
      <c r="I19" s="1197"/>
      <c r="J19" s="1197"/>
      <c r="K19" s="1197"/>
      <c r="L19" s="590"/>
      <c r="M19" s="51" t="s">
        <v>265</v>
      </c>
      <c r="N19" s="113">
        <f t="shared" si="0"/>
        <v>4672</v>
      </c>
      <c r="O19" s="593"/>
      <c r="P19" s="1419"/>
      <c r="Q19" s="43"/>
      <c r="R19" s="593"/>
      <c r="S19" s="1419"/>
      <c r="T19" s="38"/>
      <c r="U19" s="38"/>
      <c r="V19" s="43"/>
      <c r="W19" s="43"/>
      <c r="X19" s="43"/>
      <c r="Y19" s="43"/>
      <c r="Z19" s="43"/>
    </row>
    <row r="20" spans="1:26" ht="15.75">
      <c r="A20" s="88">
        <v>4674</v>
      </c>
      <c r="B20" s="1034" t="s">
        <v>887</v>
      </c>
      <c r="C20" s="88"/>
      <c r="D20" s="1033"/>
      <c r="E20" s="1033"/>
      <c r="F20" s="1033"/>
      <c r="G20" s="1033"/>
      <c r="H20" s="1033"/>
      <c r="I20" s="1033"/>
      <c r="J20" s="1033"/>
      <c r="K20" s="1033"/>
      <c r="L20" s="574"/>
      <c r="M20" s="51" t="s">
        <v>265</v>
      </c>
      <c r="N20" s="113">
        <f t="shared" si="0"/>
        <v>4674</v>
      </c>
      <c r="O20" s="593"/>
      <c r="P20" s="1419"/>
      <c r="Q20" s="43"/>
      <c r="R20" s="593"/>
      <c r="S20" s="1419"/>
      <c r="T20" s="38"/>
      <c r="U20" s="38"/>
      <c r="V20" s="43"/>
      <c r="W20" s="43"/>
      <c r="X20" s="43"/>
      <c r="Y20" s="43"/>
      <c r="Z20" s="43"/>
    </row>
    <row r="21" spans="1:26" ht="15.75">
      <c r="A21" s="88">
        <v>4675</v>
      </c>
      <c r="B21" s="378" t="s">
        <v>888</v>
      </c>
      <c r="C21" s="88"/>
      <c r="D21" s="1197"/>
      <c r="E21" s="1197"/>
      <c r="F21" s="1197"/>
      <c r="G21" s="1197"/>
      <c r="H21" s="1197"/>
      <c r="I21" s="1033"/>
      <c r="J21" s="1033"/>
      <c r="K21" s="1033"/>
      <c r="L21" s="574"/>
      <c r="M21" s="51"/>
      <c r="N21" s="113">
        <f t="shared" si="0"/>
        <v>4675</v>
      </c>
      <c r="O21" s="593"/>
      <c r="P21" s="1419"/>
      <c r="Q21" s="43"/>
      <c r="R21" s="593"/>
      <c r="S21" s="1419"/>
      <c r="T21" s="38"/>
      <c r="U21" s="38"/>
      <c r="V21" s="43"/>
      <c r="W21" s="43"/>
      <c r="X21" s="43"/>
      <c r="Y21" s="43"/>
      <c r="Z21" s="43"/>
    </row>
    <row r="22" spans="1:26" ht="15.75">
      <c r="A22" s="88">
        <v>4679</v>
      </c>
      <c r="B22" s="1034" t="s">
        <v>889</v>
      </c>
      <c r="C22" s="88"/>
      <c r="D22" s="1033"/>
      <c r="E22" s="1033"/>
      <c r="F22" s="1033"/>
      <c r="G22" s="1033"/>
      <c r="H22" s="1033"/>
      <c r="I22" s="1033"/>
      <c r="J22" s="1033"/>
      <c r="K22" s="1033"/>
      <c r="L22" s="574"/>
      <c r="M22" s="51" t="s">
        <v>265</v>
      </c>
      <c r="N22" s="113">
        <f t="shared" si="0"/>
        <v>4679</v>
      </c>
      <c r="O22" s="593"/>
      <c r="P22" s="1419"/>
      <c r="Q22" s="43"/>
      <c r="R22" s="593"/>
      <c r="S22" s="1419"/>
      <c r="T22" s="38"/>
      <c r="U22" s="38"/>
      <c r="V22" s="43"/>
      <c r="W22" s="43"/>
      <c r="X22" s="43"/>
      <c r="Y22" s="43"/>
      <c r="Z22" s="43"/>
    </row>
    <row r="23" spans="1:26" ht="15.75">
      <c r="A23" s="88">
        <v>4682</v>
      </c>
      <c r="B23" s="1034" t="s">
        <v>890</v>
      </c>
      <c r="C23" s="88"/>
      <c r="D23" s="1033"/>
      <c r="E23" s="1033"/>
      <c r="F23" s="1033"/>
      <c r="G23" s="1033"/>
      <c r="H23" s="1033"/>
      <c r="I23" s="1033"/>
      <c r="J23" s="1033"/>
      <c r="K23" s="1033"/>
      <c r="L23" s="574"/>
      <c r="M23" s="51" t="s">
        <v>265</v>
      </c>
      <c r="N23" s="113">
        <f t="shared" si="0"/>
        <v>4682</v>
      </c>
      <c r="O23" s="593"/>
      <c r="P23" s="1419"/>
      <c r="Q23" s="43"/>
      <c r="R23" s="593"/>
      <c r="S23" s="1419"/>
      <c r="T23" s="38"/>
      <c r="U23" s="38"/>
      <c r="V23" s="43"/>
      <c r="W23" s="43"/>
      <c r="X23" s="43"/>
      <c r="Y23" s="43"/>
      <c r="Z23" s="43"/>
    </row>
    <row r="24" spans="1:26" ht="15.75">
      <c r="A24" s="88">
        <v>4684</v>
      </c>
      <c r="B24" s="1034" t="s">
        <v>891</v>
      </c>
      <c r="C24" s="88"/>
      <c r="D24" s="1033"/>
      <c r="E24" s="1033"/>
      <c r="F24" s="1033"/>
      <c r="G24" s="1033"/>
      <c r="H24" s="1033"/>
      <c r="I24" s="1033"/>
      <c r="J24" s="1033"/>
      <c r="K24" s="1033"/>
      <c r="L24" s="574"/>
      <c r="M24" s="51" t="s">
        <v>265</v>
      </c>
      <c r="N24" s="113">
        <f t="shared" si="0"/>
        <v>4684</v>
      </c>
      <c r="O24" s="593"/>
      <c r="P24" s="1419"/>
      <c r="Q24" s="43"/>
      <c r="R24" s="593"/>
      <c r="S24" s="1419"/>
      <c r="T24" s="38"/>
      <c r="U24" s="38"/>
      <c r="V24" s="43"/>
      <c r="W24" s="43"/>
      <c r="X24" s="43"/>
      <c r="Y24" s="43"/>
      <c r="Z24" s="43"/>
    </row>
    <row r="25" spans="1:26" ht="15.75" customHeight="1">
      <c r="A25" s="88">
        <v>4685</v>
      </c>
      <c r="B25" s="1034" t="s">
        <v>892</v>
      </c>
      <c r="C25" s="88"/>
      <c r="D25" s="1197"/>
      <c r="E25" s="1197"/>
      <c r="F25" s="1197"/>
      <c r="G25" s="1197"/>
      <c r="H25" s="1197"/>
      <c r="I25" s="1197"/>
      <c r="J25" s="1197"/>
      <c r="K25" s="1197"/>
      <c r="L25" s="590"/>
      <c r="M25" s="51" t="s">
        <v>265</v>
      </c>
      <c r="N25" s="113">
        <f t="shared" si="0"/>
        <v>4685</v>
      </c>
      <c r="O25" s="593"/>
      <c r="P25" s="1419"/>
      <c r="Q25" s="43"/>
      <c r="R25" s="593"/>
      <c r="S25" s="1419"/>
      <c r="T25" s="38"/>
      <c r="U25" s="38"/>
      <c r="V25" s="43"/>
      <c r="W25" s="43"/>
      <c r="X25" s="43"/>
      <c r="Y25" s="43"/>
      <c r="Z25" s="43"/>
    </row>
    <row r="26" spans="1:26" ht="15.75">
      <c r="A26" s="88">
        <v>4691</v>
      </c>
      <c r="B26" s="1034" t="s">
        <v>893</v>
      </c>
      <c r="C26" s="88"/>
      <c r="D26" s="1033"/>
      <c r="E26" s="1033"/>
      <c r="F26" s="1033"/>
      <c r="G26" s="1033"/>
      <c r="H26" s="1033"/>
      <c r="I26" s="1033"/>
      <c r="J26" s="1033"/>
      <c r="K26" s="1033"/>
      <c r="L26" s="574"/>
      <c r="M26" s="51" t="s">
        <v>265</v>
      </c>
      <c r="N26" s="113">
        <f t="shared" si="0"/>
        <v>4691</v>
      </c>
      <c r="O26" s="593"/>
      <c r="P26" s="1205">
        <v>0</v>
      </c>
      <c r="Q26" s="43"/>
      <c r="R26" s="593"/>
      <c r="S26" s="1205">
        <v>0</v>
      </c>
      <c r="T26" s="38"/>
      <c r="U26" s="38"/>
      <c r="V26" s="43"/>
      <c r="W26" s="43"/>
      <c r="X26" s="43"/>
      <c r="Y26" s="43"/>
      <c r="Z26" s="43"/>
    </row>
    <row r="27" spans="1:26" ht="15.75">
      <c r="A27" s="88">
        <v>4692</v>
      </c>
      <c r="B27" s="1034" t="s">
        <v>894</v>
      </c>
      <c r="C27" s="88"/>
      <c r="D27" s="1033"/>
      <c r="E27" s="1033"/>
      <c r="F27" s="1033"/>
      <c r="G27" s="1033"/>
      <c r="H27" s="1033"/>
      <c r="I27" s="1033"/>
      <c r="J27" s="1033"/>
      <c r="K27" s="1033"/>
      <c r="L27" s="574"/>
      <c r="M27" s="51" t="s">
        <v>265</v>
      </c>
      <c r="N27" s="113">
        <f t="shared" si="0"/>
        <v>4692</v>
      </c>
      <c r="O27" s="1204">
        <v>0</v>
      </c>
      <c r="P27" s="1419"/>
      <c r="Q27" s="43"/>
      <c r="R27" s="1204">
        <v>0</v>
      </c>
      <c r="S27" s="1419"/>
      <c r="T27" s="38"/>
      <c r="U27" s="38"/>
      <c r="V27" s="43"/>
      <c r="W27" s="43"/>
      <c r="X27" s="43"/>
      <c r="Y27" s="43"/>
      <c r="Z27" s="43"/>
    </row>
    <row r="28" spans="1:26" ht="15.75">
      <c r="A28" s="88">
        <v>4693</v>
      </c>
      <c r="B28" s="1034" t="s">
        <v>895</v>
      </c>
      <c r="C28" s="88"/>
      <c r="D28" s="1033"/>
      <c r="E28" s="1033"/>
      <c r="F28" s="1033"/>
      <c r="G28" s="1033"/>
      <c r="H28" s="1033"/>
      <c r="I28" s="1033"/>
      <c r="J28" s="1033"/>
      <c r="K28" s="1033"/>
      <c r="L28" s="574"/>
      <c r="M28" s="51" t="s">
        <v>265</v>
      </c>
      <c r="N28" s="113">
        <f t="shared" si="0"/>
        <v>4693</v>
      </c>
      <c r="O28" s="581"/>
      <c r="P28" s="1205">
        <v>0</v>
      </c>
      <c r="Q28" s="43"/>
      <c r="R28" s="593"/>
      <c r="S28" s="1205">
        <v>0</v>
      </c>
      <c r="T28" s="38"/>
      <c r="U28" s="38"/>
      <c r="V28" s="43"/>
      <c r="W28" s="43"/>
      <c r="X28" s="43"/>
      <c r="Y28" s="43"/>
      <c r="Z28" s="43"/>
    </row>
    <row r="29" spans="1:26" ht="15.75">
      <c r="A29" s="88">
        <v>4694</v>
      </c>
      <c r="B29" s="1034" t="s">
        <v>268</v>
      </c>
      <c r="C29" s="88"/>
      <c r="D29" s="1033"/>
      <c r="E29" s="1033"/>
      <c r="F29" s="1033"/>
      <c r="G29" s="1033"/>
      <c r="H29" s="1033"/>
      <c r="I29" s="1033"/>
      <c r="J29" s="1033"/>
      <c r="K29" s="1033"/>
      <c r="L29" s="574"/>
      <c r="M29" s="51" t="s">
        <v>265</v>
      </c>
      <c r="N29" s="113">
        <f t="shared" si="0"/>
        <v>4694</v>
      </c>
      <c r="O29" s="1204">
        <v>0</v>
      </c>
      <c r="P29" s="1419"/>
      <c r="Q29" s="43"/>
      <c r="R29" s="1204">
        <v>0</v>
      </c>
      <c r="S29" s="1419"/>
      <c r="T29" s="38"/>
      <c r="U29" s="38"/>
      <c r="V29" s="43"/>
      <c r="W29" s="43"/>
      <c r="X29" s="43"/>
      <c r="Y29" s="43"/>
      <c r="Z29" s="43"/>
    </row>
    <row r="30" spans="1:26" ht="15.75">
      <c r="A30" s="88">
        <v>4695</v>
      </c>
      <c r="B30" s="1034" t="s">
        <v>269</v>
      </c>
      <c r="C30" s="88"/>
      <c r="D30" s="1033"/>
      <c r="E30" s="1033"/>
      <c r="F30" s="1033"/>
      <c r="G30" s="1033"/>
      <c r="H30" s="1033"/>
      <c r="I30" s="1033"/>
      <c r="J30" s="1033"/>
      <c r="K30" s="1033"/>
      <c r="L30" s="574"/>
      <c r="M30" s="51" t="s">
        <v>265</v>
      </c>
      <c r="N30" s="113">
        <f t="shared" si="0"/>
        <v>4695</v>
      </c>
      <c r="O30" s="581"/>
      <c r="P30" s="1205">
        <v>0</v>
      </c>
      <c r="Q30" s="43"/>
      <c r="R30" s="593"/>
      <c r="S30" s="1205">
        <v>0</v>
      </c>
      <c r="T30" s="38"/>
      <c r="U30" s="38"/>
      <c r="V30" s="43"/>
      <c r="W30" s="43"/>
      <c r="X30" s="43"/>
      <c r="Y30" s="43"/>
      <c r="Z30" s="43"/>
    </row>
    <row r="31" spans="1:26" ht="15.75">
      <c r="A31" s="88">
        <v>4696</v>
      </c>
      <c r="B31" s="1034" t="s">
        <v>270</v>
      </c>
      <c r="C31" s="88"/>
      <c r="D31" s="1033"/>
      <c r="E31" s="1033"/>
      <c r="F31" s="1033"/>
      <c r="G31" s="1033"/>
      <c r="H31" s="1033"/>
      <c r="I31" s="1033"/>
      <c r="J31" s="1033"/>
      <c r="K31" s="1033"/>
      <c r="L31" s="574"/>
      <c r="M31" s="51" t="s">
        <v>265</v>
      </c>
      <c r="N31" s="116">
        <f t="shared" si="0"/>
        <v>4696</v>
      </c>
      <c r="O31" s="1204">
        <v>0</v>
      </c>
      <c r="P31" s="1419"/>
      <c r="Q31" s="43"/>
      <c r="R31" s="1204">
        <v>0</v>
      </c>
      <c r="S31" s="1419"/>
      <c r="T31" s="38"/>
      <c r="U31" s="38"/>
      <c r="V31" s="43"/>
      <c r="W31" s="43"/>
      <c r="X31" s="43"/>
      <c r="Y31" s="43"/>
      <c r="Z31" s="43"/>
    </row>
    <row r="32" spans="1:26" ht="16.5" thickBot="1">
      <c r="A32" s="1307" t="s">
        <v>1183</v>
      </c>
      <c r="B32" s="1308"/>
      <c r="C32" s="1309"/>
      <c r="D32" s="1309"/>
      <c r="E32" s="1309"/>
      <c r="F32" s="1309"/>
      <c r="G32" s="1309"/>
      <c r="H32" s="1309"/>
      <c r="I32" s="1309"/>
      <c r="J32" s="1309"/>
      <c r="K32" s="1309"/>
      <c r="L32" s="1310"/>
      <c r="M32" s="51" t="s">
        <v>265</v>
      </c>
      <c r="N32" s="1437" t="s">
        <v>665</v>
      </c>
      <c r="O32" s="1192">
        <f>+ROUND(+SUM(O14:O31),2)</f>
        <v>0</v>
      </c>
      <c r="P32" s="1194">
        <f>+ROUND(+SUM(P14:P31),2)</f>
        <v>0</v>
      </c>
      <c r="Q32" s="43"/>
      <c r="R32" s="1192">
        <f>+ROUND(+SUM(R14:R31),2)</f>
        <v>0</v>
      </c>
      <c r="S32" s="1194">
        <f>+ROUND(+SUM(S14:S31),2)</f>
        <v>0</v>
      </c>
      <c r="T32" s="38"/>
      <c r="U32" s="38"/>
      <c r="V32" s="43"/>
      <c r="W32" s="43"/>
      <c r="X32" s="43"/>
      <c r="Y32" s="43"/>
      <c r="Z32" s="43"/>
    </row>
    <row r="33" spans="1:26" ht="21" customHeight="1" thickTop="1">
      <c r="A33" s="43"/>
      <c r="B33" s="43"/>
      <c r="C33" s="43"/>
      <c r="D33" s="43"/>
      <c r="E33" s="43"/>
      <c r="F33" s="43"/>
      <c r="G33" s="43"/>
      <c r="H33" s="43"/>
      <c r="I33" s="43"/>
      <c r="J33" s="43"/>
      <c r="K33" s="43"/>
      <c r="L33" s="43"/>
      <c r="M33" s="44"/>
      <c r="N33" s="119"/>
      <c r="O33" s="38"/>
      <c r="P33" s="38"/>
      <c r="Q33" s="43"/>
      <c r="R33" s="38"/>
      <c r="S33" s="38"/>
      <c r="T33" s="38"/>
      <c r="U33" s="38"/>
      <c r="V33" s="43"/>
      <c r="W33" s="43"/>
      <c r="X33" s="38"/>
      <c r="Y33" s="38"/>
      <c r="Z33" s="43"/>
    </row>
    <row r="34" spans="1:26" ht="20.25" customHeight="1">
      <c r="A34" s="43"/>
      <c r="B34" s="43"/>
      <c r="C34" s="43"/>
      <c r="D34" s="1697" t="s">
        <v>1279</v>
      </c>
      <c r="E34" s="1698"/>
      <c r="F34" s="1698"/>
      <c r="G34" s="1698"/>
      <c r="H34" s="1699"/>
      <c r="I34" s="1700"/>
      <c r="J34" s="43"/>
      <c r="K34" s="43"/>
      <c r="L34" s="43"/>
      <c r="M34" s="44"/>
      <c r="N34" s="119"/>
      <c r="O34" s="1430">
        <f>+IF(+AND(Status!K4="ДА",+ROUND(P34,2)&lt;&gt;0),"НЕРАВНЕНИЕ м/у Дт и Кт!",0)</f>
        <v>0</v>
      </c>
      <c r="P34" s="1421">
        <f>+IF(+AND(Status!K4="ДА",+ROUND(+O32-P32,2)&lt;&gt;0),+ROUND(+O37+O38+O43+O44-O40-O41-O46-O47,2),0)</f>
        <v>0</v>
      </c>
      <c r="Q34" s="43"/>
      <c r="R34" s="1430">
        <f>+IF(+AND(Status!K4="ДА",+ROUND(S34,2)&lt;&gt;0),"НЕРАВНЕНИЕ м/у Дт и Кт!",0)</f>
        <v>0</v>
      </c>
      <c r="S34" s="1421">
        <f>+IF(+AND(Status!K4="ДА",+ROUND(+R32-S32,2)&lt;&gt;0),+ROUND(+R37+R38+R43+R44-R40-R41-R46-R47,2),0)</f>
        <v>0</v>
      </c>
      <c r="T34" s="38"/>
      <c r="U34" s="38"/>
      <c r="V34" s="43"/>
      <c r="W34" s="43"/>
      <c r="X34" s="38"/>
      <c r="Y34" s="38"/>
      <c r="Z34" s="43"/>
    </row>
    <row r="35" spans="1:26" ht="20.25" customHeight="1">
      <c r="A35" s="43"/>
      <c r="B35" s="43"/>
      <c r="C35" s="43"/>
      <c r="D35" s="1701" t="s">
        <v>1304</v>
      </c>
      <c r="E35" s="1702"/>
      <c r="F35" s="1702"/>
      <c r="G35" s="1702"/>
      <c r="H35" s="1702"/>
      <c r="I35" s="1703"/>
      <c r="J35" s="43"/>
      <c r="K35" s="43"/>
      <c r="L35" s="43"/>
      <c r="M35" s="44"/>
      <c r="N35" s="119"/>
      <c r="O35" s="1428">
        <f>+IF(+AND(Status!K4="ДА",+ROUND(+O37+O38+O43+O44-O40-O41-O46-O47,2)&lt;&gt;0),"направи корекции",0)</f>
        <v>0</v>
      </c>
      <c r="P35" s="1429">
        <f>+IF(+AND(Status!K4="ДА",+ROUND(+O37+O38+O43+O44-O40-O41-O46-O47,2)&lt;&gt;0),"за равняване на Дт и Кт салда",0)</f>
        <v>0</v>
      </c>
      <c r="Q35" s="43"/>
      <c r="R35" s="1428">
        <f>+IF(+AND(Status!K4="ДА",+ROUND(+R37+R38+R43+R44-R40-R41-R46-R47,2)&lt;&gt;0),"направи корекции",0)</f>
        <v>0</v>
      </c>
      <c r="S35" s="1429">
        <f>+IF(+AND(Status!K4="ДА",+ROUND(+R37+R38+R43+R44-R40-R41-R46-R47,2)&lt;&gt;0),"за равняване на Дт и Кт салда",0)</f>
        <v>0</v>
      </c>
      <c r="T35" s="38"/>
      <c r="U35" s="38"/>
      <c r="V35" s="43"/>
      <c r="W35" s="43"/>
      <c r="X35" s="38"/>
      <c r="Y35" s="38"/>
      <c r="Z35" s="43"/>
    </row>
    <row r="36" spans="1:26" ht="21" customHeight="1">
      <c r="A36" s="43"/>
      <c r="B36" s="43"/>
      <c r="C36" s="43"/>
      <c r="D36" s="43"/>
      <c r="E36" s="43"/>
      <c r="F36" s="43"/>
      <c r="G36" s="43"/>
      <c r="H36" s="43"/>
      <c r="I36" s="43"/>
      <c r="J36" s="43"/>
      <c r="K36" s="43"/>
      <c r="L36" s="43"/>
      <c r="M36" s="44"/>
      <c r="N36" s="119"/>
      <c r="O36" s="38"/>
      <c r="P36" s="38"/>
      <c r="Q36" s="43"/>
      <c r="R36" s="38"/>
      <c r="S36" s="38"/>
      <c r="T36" s="38"/>
      <c r="U36" s="38"/>
      <c r="V36" s="43"/>
      <c r="W36" s="43"/>
      <c r="X36" s="38"/>
      <c r="Y36" s="38"/>
      <c r="Z36" s="43"/>
    </row>
    <row r="37" spans="1:26" ht="16.5" customHeight="1">
      <c r="A37" s="43"/>
      <c r="B37" s="1251" t="s">
        <v>1291</v>
      </c>
      <c r="C37" s="1252"/>
      <c r="D37" s="1252"/>
      <c r="E37" s="1253"/>
      <c r="F37" s="1252"/>
      <c r="G37" s="1253"/>
      <c r="H37" s="1253"/>
      <c r="I37" s="1253"/>
      <c r="J37" s="1253"/>
      <c r="K37" s="1254"/>
      <c r="L37" s="1255"/>
      <c r="M37" s="44"/>
      <c r="N37" s="119"/>
      <c r="O37" s="1382">
        <f>+ROUND(+O17,2)</f>
        <v>0</v>
      </c>
      <c r="P37" s="1726"/>
      <c r="Q37" s="43"/>
      <c r="R37" s="1382">
        <f>+ROUND(+R17,2)</f>
        <v>0</v>
      </c>
      <c r="S37" s="1726"/>
      <c r="T37" s="38"/>
      <c r="U37" s="38"/>
      <c r="V37" s="43"/>
      <c r="W37" s="43"/>
      <c r="X37" s="38"/>
      <c r="Y37" s="38"/>
      <c r="Z37" s="43"/>
    </row>
    <row r="38" spans="1:26" s="1393" customFormat="1" ht="15.75">
      <c r="A38" s="1338"/>
      <c r="B38" s="1728"/>
      <c r="C38" s="1727" t="s">
        <v>1347</v>
      </c>
      <c r="D38" s="1727"/>
      <c r="E38" s="1727"/>
      <c r="F38" s="1727"/>
      <c r="G38" s="1727"/>
      <c r="H38" s="1727"/>
      <c r="I38" s="1727"/>
      <c r="J38" s="1727"/>
      <c r="K38" s="1727"/>
      <c r="L38" s="2148"/>
      <c r="M38" s="44"/>
      <c r="N38" s="1344"/>
      <c r="O38" s="1375"/>
      <c r="P38" s="1726"/>
      <c r="Q38" s="43"/>
      <c r="R38" s="1375"/>
      <c r="S38" s="1726"/>
      <c r="T38" s="38"/>
      <c r="U38" s="38"/>
      <c r="V38" s="38"/>
      <c r="W38" s="43"/>
      <c r="X38" s="43"/>
      <c r="Y38" s="38"/>
      <c r="Z38" s="38"/>
    </row>
    <row r="39" spans="1:26" ht="3.75" customHeight="1">
      <c r="A39" s="43"/>
      <c r="B39" s="43"/>
      <c r="C39" s="43"/>
      <c r="D39" s="43"/>
      <c r="E39" s="43"/>
      <c r="F39" s="43"/>
      <c r="G39" s="43"/>
      <c r="H39" s="43"/>
      <c r="I39" s="43"/>
      <c r="J39" s="43"/>
      <c r="K39" s="43"/>
      <c r="L39" s="43"/>
      <c r="M39" s="44"/>
      <c r="N39" s="119"/>
      <c r="O39" s="38"/>
      <c r="P39" s="1726"/>
      <c r="Q39" s="43"/>
      <c r="R39" s="38"/>
      <c r="S39" s="1726"/>
      <c r="T39" s="38"/>
      <c r="U39" s="38"/>
      <c r="V39" s="43"/>
      <c r="W39" s="43"/>
      <c r="X39" s="38"/>
      <c r="Y39" s="38"/>
      <c r="Z39" s="43"/>
    </row>
    <row r="40" spans="1:26" ht="15.75">
      <c r="A40" s="43"/>
      <c r="B40" s="1256" t="s">
        <v>1215</v>
      </c>
      <c r="C40" s="1252"/>
      <c r="D40" s="1252"/>
      <c r="E40" s="1253"/>
      <c r="F40" s="1252"/>
      <c r="G40" s="1253"/>
      <c r="H40" s="1253"/>
      <c r="I40" s="1253"/>
      <c r="J40" s="1253"/>
      <c r="K40" s="1254"/>
      <c r="L40" s="1255"/>
      <c r="M40" s="44"/>
      <c r="N40" s="119"/>
      <c r="O40" s="1383">
        <f>+ROUND(+P17,2)</f>
        <v>0</v>
      </c>
      <c r="P40" s="1726"/>
      <c r="Q40" s="43"/>
      <c r="R40" s="1383">
        <f>+ROUND(+S17,2)</f>
        <v>0</v>
      </c>
      <c r="S40" s="1726"/>
      <c r="T40" s="38"/>
      <c r="U40" s="38"/>
      <c r="V40" s="43"/>
      <c r="W40" s="43"/>
      <c r="X40" s="38"/>
      <c r="Y40" s="38"/>
      <c r="Z40" s="43"/>
    </row>
    <row r="41" spans="1:26" s="1393" customFormat="1" ht="15.75">
      <c r="A41" s="1338"/>
      <c r="B41" s="1728"/>
      <c r="C41" s="1727" t="s">
        <v>1347</v>
      </c>
      <c r="D41" s="1727"/>
      <c r="E41" s="1727"/>
      <c r="F41" s="1727"/>
      <c r="G41" s="1727"/>
      <c r="H41" s="1727"/>
      <c r="I41" s="1727"/>
      <c r="J41" s="1727"/>
      <c r="K41" s="1727"/>
      <c r="L41" s="2148"/>
      <c r="M41" s="44"/>
      <c r="N41" s="1344"/>
      <c r="O41" s="1375"/>
      <c r="P41" s="1726"/>
      <c r="Q41" s="43"/>
      <c r="R41" s="1375"/>
      <c r="S41" s="1726"/>
      <c r="T41" s="38"/>
      <c r="U41" s="38"/>
      <c r="V41" s="38"/>
      <c r="W41" s="43"/>
      <c r="X41" s="43"/>
      <c r="Y41" s="38"/>
      <c r="Z41" s="38"/>
    </row>
    <row r="42" spans="1:26" ht="8.25" customHeight="1">
      <c r="A42" s="43"/>
      <c r="B42" s="43"/>
      <c r="C42" s="43"/>
      <c r="D42" s="43"/>
      <c r="E42" s="43"/>
      <c r="F42" s="43"/>
      <c r="G42" s="43"/>
      <c r="H42" s="43"/>
      <c r="I42" s="43"/>
      <c r="J42" s="43"/>
      <c r="K42" s="43"/>
      <c r="L42" s="43"/>
      <c r="M42" s="44"/>
      <c r="N42" s="119"/>
      <c r="O42" s="38"/>
      <c r="P42" s="1726"/>
      <c r="Q42" s="43"/>
      <c r="R42" s="38"/>
      <c r="S42" s="1726"/>
      <c r="T42" s="38"/>
      <c r="U42" s="38"/>
      <c r="V42" s="43"/>
      <c r="W42" s="43"/>
      <c r="X42" s="38"/>
      <c r="Y42" s="38"/>
      <c r="Z42" s="43"/>
    </row>
    <row r="43" spans="1:26" ht="15.75">
      <c r="A43" s="43"/>
      <c r="B43" s="1251" t="s">
        <v>1216</v>
      </c>
      <c r="C43" s="1252"/>
      <c r="D43" s="1252"/>
      <c r="E43" s="1253"/>
      <c r="F43" s="1252"/>
      <c r="G43" s="1253"/>
      <c r="H43" s="1253"/>
      <c r="I43" s="1253"/>
      <c r="J43" s="1253"/>
      <c r="K43" s="1254"/>
      <c r="L43" s="1255"/>
      <c r="M43" s="44"/>
      <c r="N43" s="119"/>
      <c r="O43" s="1382">
        <f>+ROUND(+SUM(O14:O16)+SUM(O18:O31),2)</f>
        <v>0</v>
      </c>
      <c r="P43" s="1726"/>
      <c r="Q43" s="43"/>
      <c r="R43" s="1382">
        <f>+ROUND(+SUM(R14:R16)+SUM(R18:R31),2)</f>
        <v>0</v>
      </c>
      <c r="S43" s="1726"/>
      <c r="T43" s="38"/>
      <c r="U43" s="38"/>
      <c r="V43" s="43"/>
      <c r="W43" s="43"/>
      <c r="X43" s="38"/>
      <c r="Y43" s="38"/>
      <c r="Z43" s="43"/>
    </row>
    <row r="44" spans="1:26" s="1393" customFormat="1" ht="15.75">
      <c r="A44" s="1338"/>
      <c r="B44" s="1728"/>
      <c r="C44" s="1727" t="s">
        <v>1347</v>
      </c>
      <c r="D44" s="1727"/>
      <c r="E44" s="1727"/>
      <c r="F44" s="1727"/>
      <c r="G44" s="1727"/>
      <c r="H44" s="1727"/>
      <c r="I44" s="1727"/>
      <c r="J44" s="1727"/>
      <c r="K44" s="1727"/>
      <c r="L44" s="2148"/>
      <c r="M44" s="44"/>
      <c r="N44" s="1344"/>
      <c r="O44" s="1375"/>
      <c r="P44" s="1726"/>
      <c r="Q44" s="43"/>
      <c r="R44" s="1375"/>
      <c r="S44" s="1726"/>
      <c r="T44" s="38"/>
      <c r="U44" s="38"/>
      <c r="V44" s="38"/>
      <c r="W44" s="43"/>
      <c r="X44" s="43"/>
      <c r="Y44" s="38"/>
      <c r="Z44" s="38"/>
    </row>
    <row r="45" spans="1:26" ht="3.75" customHeight="1">
      <c r="A45" s="43"/>
      <c r="B45" s="43"/>
      <c r="C45" s="43"/>
      <c r="D45" s="43"/>
      <c r="E45" s="43"/>
      <c r="F45" s="43"/>
      <c r="G45" s="43"/>
      <c r="H45" s="43"/>
      <c r="I45" s="43"/>
      <c r="J45" s="43"/>
      <c r="K45" s="43"/>
      <c r="L45" s="43"/>
      <c r="M45" s="44"/>
      <c r="N45" s="119"/>
      <c r="O45" s="38"/>
      <c r="P45" s="1726"/>
      <c r="Q45" s="43"/>
      <c r="R45" s="38"/>
      <c r="S45" s="1726"/>
      <c r="T45" s="38"/>
      <c r="U45" s="38"/>
      <c r="V45" s="43"/>
      <c r="W45" s="43"/>
      <c r="X45" s="38"/>
      <c r="Y45" s="38"/>
      <c r="Z45" s="43"/>
    </row>
    <row r="46" spans="1:26" ht="15.75">
      <c r="A46" s="43"/>
      <c r="B46" s="1256" t="s">
        <v>1217</v>
      </c>
      <c r="C46" s="1252"/>
      <c r="D46" s="1252"/>
      <c r="E46" s="1253"/>
      <c r="F46" s="1252"/>
      <c r="G46" s="1253"/>
      <c r="H46" s="1253"/>
      <c r="I46" s="1253"/>
      <c r="J46" s="1253"/>
      <c r="K46" s="1254"/>
      <c r="L46" s="1255"/>
      <c r="M46" s="44"/>
      <c r="N46" s="119"/>
      <c r="O46" s="1383">
        <f>+ROUND(+SUM(P14:P16)+SUM(P18:P31),2)</f>
        <v>0</v>
      </c>
      <c r="P46" s="1726"/>
      <c r="Q46" s="43"/>
      <c r="R46" s="1383">
        <f>+ROUND(+SUM(S14:S16)+SUM(S18:S31),2)</f>
        <v>0</v>
      </c>
      <c r="S46" s="1726"/>
      <c r="T46" s="38"/>
      <c r="U46" s="38"/>
      <c r="V46" s="43"/>
      <c r="W46" s="43"/>
      <c r="X46" s="38"/>
      <c r="Y46" s="38"/>
      <c r="Z46" s="43"/>
    </row>
    <row r="47" spans="1:26" s="1393" customFormat="1" ht="15.75">
      <c r="A47" s="1338"/>
      <c r="B47" s="1728"/>
      <c r="C47" s="1727" t="s">
        <v>1347</v>
      </c>
      <c r="D47" s="1727"/>
      <c r="E47" s="1727"/>
      <c r="F47" s="1727"/>
      <c r="G47" s="1727"/>
      <c r="H47" s="1727"/>
      <c r="I47" s="1727"/>
      <c r="J47" s="1727"/>
      <c r="K47" s="1727"/>
      <c r="L47" s="2148"/>
      <c r="M47" s="44"/>
      <c r="N47" s="1344"/>
      <c r="O47" s="1375"/>
      <c r="P47" s="1726"/>
      <c r="Q47" s="43"/>
      <c r="R47" s="1375"/>
      <c r="S47" s="1726"/>
      <c r="T47" s="38"/>
      <c r="U47" s="38"/>
      <c r="V47" s="38"/>
      <c r="W47" s="43"/>
      <c r="X47" s="43"/>
      <c r="Y47" s="38"/>
      <c r="Z47" s="38"/>
    </row>
    <row r="48" spans="1:26">
      <c r="A48" s="43"/>
      <c r="B48" s="43"/>
      <c r="C48" s="43"/>
      <c r="D48" s="43"/>
      <c r="E48" s="43"/>
      <c r="F48" s="43"/>
      <c r="G48" s="43"/>
      <c r="H48" s="43"/>
      <c r="I48" s="43"/>
      <c r="J48" s="43"/>
      <c r="K48" s="43"/>
      <c r="L48" s="43"/>
      <c r="M48" s="43"/>
      <c r="N48" s="43"/>
      <c r="O48" s="43"/>
      <c r="P48" s="43"/>
      <c r="Q48" s="43"/>
      <c r="R48" s="43"/>
      <c r="S48" s="1345"/>
      <c r="T48" s="38"/>
      <c r="U48" s="38"/>
      <c r="V48" s="43"/>
      <c r="W48" s="43"/>
      <c r="X48" s="38"/>
      <c r="Y48" s="38"/>
      <c r="Z48" s="43"/>
    </row>
    <row r="49" spans="1:26" ht="8.25" customHeight="1">
      <c r="A49" s="43"/>
      <c r="B49" s="43"/>
      <c r="C49" s="43"/>
      <c r="D49" s="43"/>
      <c r="E49" s="43"/>
      <c r="F49" s="43"/>
      <c r="G49" s="43"/>
      <c r="H49" s="43"/>
      <c r="I49" s="43"/>
      <c r="J49" s="43"/>
      <c r="K49" s="43"/>
      <c r="L49" s="43"/>
      <c r="M49" s="44"/>
      <c r="N49" s="119"/>
      <c r="O49" s="38"/>
      <c r="P49" s="38"/>
      <c r="Q49" s="43"/>
      <c r="R49" s="38"/>
      <c r="S49" s="38"/>
      <c r="T49" s="38"/>
      <c r="U49" s="38"/>
      <c r="V49" s="43"/>
      <c r="W49" s="43"/>
      <c r="X49" s="38"/>
      <c r="Y49" s="38"/>
      <c r="Z49" s="43"/>
    </row>
    <row r="50" spans="1:26" ht="16.5" customHeight="1">
      <c r="A50" s="43"/>
      <c r="B50" s="43"/>
      <c r="C50" s="43"/>
      <c r="D50" s="43"/>
      <c r="E50" s="43"/>
      <c r="F50" s="43"/>
      <c r="G50" s="43"/>
      <c r="H50" s="43"/>
      <c r="I50" s="43"/>
      <c r="J50" s="43"/>
      <c r="K50" s="43"/>
      <c r="L50" s="43"/>
      <c r="M50" s="44"/>
      <c r="N50" s="119"/>
      <c r="O50" s="38"/>
      <c r="P50" s="38"/>
      <c r="Q50" s="43"/>
      <c r="R50" s="38"/>
      <c r="S50" s="38"/>
      <c r="T50" s="38"/>
      <c r="U50" s="38"/>
      <c r="V50" s="43"/>
      <c r="W50" s="43"/>
      <c r="X50" s="38"/>
      <c r="Y50" s="38"/>
      <c r="Z50" s="43"/>
    </row>
    <row r="51" spans="1:26" ht="16.5" customHeight="1" thickBot="1">
      <c r="A51" s="43"/>
      <c r="B51" s="1251" t="s">
        <v>1214</v>
      </c>
      <c r="C51" s="1252"/>
      <c r="D51" s="1252"/>
      <c r="E51" s="1253"/>
      <c r="F51" s="1252"/>
      <c r="G51" s="1253"/>
      <c r="H51" s="1253"/>
      <c r="I51" s="1253"/>
      <c r="J51" s="1253"/>
      <c r="K51" s="1254"/>
      <c r="L51" s="1255"/>
      <c r="M51" s="44"/>
      <c r="N51" s="119"/>
      <c r="O51" s="2510" t="s">
        <v>1218</v>
      </c>
      <c r="P51" s="1206">
        <f>+ROUND(+SUM(O37:O38),2)</f>
        <v>0</v>
      </c>
      <c r="Q51" s="43"/>
      <c r="R51" s="2510" t="s">
        <v>1280</v>
      </c>
      <c r="S51" s="1206">
        <f>+ROUND(+SUM(R37:R38),2)</f>
        <v>0</v>
      </c>
      <c r="T51" s="38"/>
      <c r="U51" s="38"/>
      <c r="V51" s="43"/>
      <c r="W51" s="43"/>
      <c r="X51" s="38"/>
      <c r="Y51" s="38"/>
      <c r="Z51" s="43"/>
    </row>
    <row r="52" spans="1:26" ht="3.75" customHeight="1" thickTop="1">
      <c r="A52" s="43"/>
      <c r="B52" s="43"/>
      <c r="C52" s="43"/>
      <c r="D52" s="43"/>
      <c r="E52" s="43"/>
      <c r="F52" s="43"/>
      <c r="G52" s="43"/>
      <c r="H52" s="43"/>
      <c r="I52" s="43"/>
      <c r="J52" s="43"/>
      <c r="K52" s="43"/>
      <c r="L52" s="43"/>
      <c r="M52" s="44"/>
      <c r="N52" s="119"/>
      <c r="O52" s="2511"/>
      <c r="P52" s="38"/>
      <c r="Q52" s="43"/>
      <c r="R52" s="2511"/>
      <c r="S52" s="38"/>
      <c r="T52" s="38"/>
      <c r="U52" s="38"/>
      <c r="V52" s="43"/>
      <c r="W52" s="43"/>
      <c r="X52" s="38"/>
      <c r="Y52" s="38"/>
      <c r="Z52" s="43"/>
    </row>
    <row r="53" spans="1:26" ht="16.5" thickBot="1">
      <c r="A53" s="43"/>
      <c r="B53" s="1256" t="s">
        <v>1215</v>
      </c>
      <c r="C53" s="1252"/>
      <c r="D53" s="1252"/>
      <c r="E53" s="1253"/>
      <c r="F53" s="1252"/>
      <c r="G53" s="1253"/>
      <c r="H53" s="1253"/>
      <c r="I53" s="1253"/>
      <c r="J53" s="1253"/>
      <c r="K53" s="1254"/>
      <c r="L53" s="1255"/>
      <c r="M53" s="44"/>
      <c r="N53" s="119"/>
      <c r="O53" s="2511"/>
      <c r="P53" s="1432">
        <f>+ROUND(+SUM(O40:O41),2)</f>
        <v>0</v>
      </c>
      <c r="Q53" s="43"/>
      <c r="R53" s="2511"/>
      <c r="S53" s="1432">
        <f>+ROUND(+SUM(R40:R41),2)</f>
        <v>0</v>
      </c>
      <c r="T53" s="38"/>
      <c r="U53" s="38"/>
      <c r="V53" s="43"/>
      <c r="W53" s="43"/>
      <c r="X53" s="38"/>
      <c r="Y53" s="38"/>
      <c r="Z53" s="43"/>
    </row>
    <row r="54" spans="1:26" ht="8.25" customHeight="1" thickTop="1">
      <c r="A54" s="43"/>
      <c r="B54" s="43"/>
      <c r="C54" s="43"/>
      <c r="D54" s="43"/>
      <c r="E54" s="43"/>
      <c r="F54" s="43"/>
      <c r="G54" s="43"/>
      <c r="H54" s="43"/>
      <c r="I54" s="43"/>
      <c r="J54" s="43"/>
      <c r="K54" s="43"/>
      <c r="L54" s="43"/>
      <c r="M54" s="44"/>
      <c r="N54" s="119"/>
      <c r="O54" s="2511"/>
      <c r="P54" s="38"/>
      <c r="Q54" s="43"/>
      <c r="R54" s="2511"/>
      <c r="S54" s="38"/>
      <c r="T54" s="38"/>
      <c r="U54" s="38"/>
      <c r="V54" s="43"/>
      <c r="W54" s="43"/>
      <c r="X54" s="38"/>
      <c r="Y54" s="38"/>
      <c r="Z54" s="43"/>
    </row>
    <row r="55" spans="1:26" ht="16.5" thickBot="1">
      <c r="A55" s="43"/>
      <c r="B55" s="1251" t="s">
        <v>1216</v>
      </c>
      <c r="C55" s="1252"/>
      <c r="D55" s="1252"/>
      <c r="E55" s="1253"/>
      <c r="F55" s="1252"/>
      <c r="G55" s="1253"/>
      <c r="H55" s="1253"/>
      <c r="I55" s="1253"/>
      <c r="J55" s="1253"/>
      <c r="K55" s="1254"/>
      <c r="L55" s="1255"/>
      <c r="M55" s="44"/>
      <c r="N55" s="119"/>
      <c r="O55" s="2511"/>
      <c r="P55" s="1206">
        <f>+ROUND(+SUM(O43:O44),2)</f>
        <v>0</v>
      </c>
      <c r="Q55" s="43"/>
      <c r="R55" s="2511"/>
      <c r="S55" s="1206">
        <f>+ROUND(+SUM(R43:R44),2)</f>
        <v>0</v>
      </c>
      <c r="T55" s="38"/>
      <c r="U55" s="38"/>
      <c r="V55" s="43"/>
      <c r="W55" s="43"/>
      <c r="X55" s="38"/>
      <c r="Y55" s="38"/>
      <c r="Z55" s="43"/>
    </row>
    <row r="56" spans="1:26" ht="3.75" customHeight="1" thickTop="1">
      <c r="A56" s="43"/>
      <c r="B56" s="43"/>
      <c r="C56" s="43"/>
      <c r="D56" s="43"/>
      <c r="E56" s="43"/>
      <c r="F56" s="43"/>
      <c r="G56" s="43"/>
      <c r="H56" s="43"/>
      <c r="I56" s="43"/>
      <c r="J56" s="43"/>
      <c r="K56" s="43"/>
      <c r="L56" s="43"/>
      <c r="M56" s="44"/>
      <c r="N56" s="119"/>
      <c r="O56" s="2511"/>
      <c r="P56" s="38"/>
      <c r="Q56" s="43"/>
      <c r="R56" s="2511"/>
      <c r="S56" s="38"/>
      <c r="T56" s="38"/>
      <c r="U56" s="38"/>
      <c r="V56" s="43"/>
      <c r="W56" s="43"/>
      <c r="X56" s="38"/>
      <c r="Y56" s="38"/>
      <c r="Z56" s="43"/>
    </row>
    <row r="57" spans="1:26" ht="16.5" thickBot="1">
      <c r="A57" s="43"/>
      <c r="B57" s="1256" t="s">
        <v>1217</v>
      </c>
      <c r="C57" s="1252"/>
      <c r="D57" s="1252"/>
      <c r="E57" s="1253"/>
      <c r="F57" s="1252"/>
      <c r="G57" s="1253"/>
      <c r="H57" s="1253"/>
      <c r="I57" s="1253"/>
      <c r="J57" s="1253"/>
      <c r="K57" s="1254"/>
      <c r="L57" s="1255"/>
      <c r="M57" s="44"/>
      <c r="N57" s="119"/>
      <c r="O57" s="2512"/>
      <c r="P57" s="1432">
        <f>+ROUND(+SUM(O46:O47),2)</f>
        <v>0</v>
      </c>
      <c r="Q57" s="43"/>
      <c r="R57" s="2512"/>
      <c r="S57" s="1432">
        <f>+ROUND(+SUM(R46:R47),2)</f>
        <v>0</v>
      </c>
      <c r="T57" s="38"/>
      <c r="U57" s="38"/>
      <c r="V57" s="43"/>
      <c r="W57" s="43"/>
      <c r="X57" s="38"/>
      <c r="Y57" s="38"/>
      <c r="Z57" s="43"/>
    </row>
    <row r="58" spans="1:26" ht="15.75" thickTop="1">
      <c r="A58" s="43"/>
      <c r="B58" s="43"/>
      <c r="C58" s="43"/>
      <c r="D58" s="43"/>
      <c r="E58" s="43"/>
      <c r="F58" s="43"/>
      <c r="G58" s="43"/>
      <c r="H58" s="43"/>
      <c r="I58" s="43"/>
      <c r="J58" s="43"/>
      <c r="K58" s="43"/>
      <c r="L58" s="43"/>
      <c r="M58" s="43"/>
      <c r="N58" s="43"/>
      <c r="O58" s="43"/>
      <c r="P58" s="43"/>
      <c r="Q58" s="43"/>
      <c r="R58" s="43"/>
      <c r="S58" s="43"/>
      <c r="T58" s="38"/>
      <c r="U58" s="38"/>
      <c r="V58" s="43"/>
      <c r="W58" s="43"/>
      <c r="X58" s="38"/>
      <c r="Y58" s="38"/>
      <c r="Z58" s="43"/>
    </row>
    <row r="59" spans="1:26">
      <c r="A59" s="43"/>
      <c r="B59" s="43"/>
      <c r="C59" s="43"/>
      <c r="D59" s="43"/>
      <c r="E59" s="43"/>
      <c r="F59" s="43"/>
      <c r="G59" s="43"/>
      <c r="H59" s="43"/>
      <c r="I59" s="43"/>
      <c r="J59" s="43"/>
      <c r="K59" s="43"/>
      <c r="L59" s="43"/>
      <c r="M59" s="43"/>
      <c r="N59" s="43"/>
      <c r="O59" s="2513">
        <f>+IF(+AND(Status!K4="ДА",+ROUND(P51,2)-ROUND(P53,2)&lt;&gt;0),"ГРЕШКА! - сумите за елиминиране от шифри 0075 и 0528 следва да са равни!",0)</f>
        <v>0</v>
      </c>
      <c r="P59" s="2513"/>
      <c r="Q59" s="43"/>
      <c r="R59" s="2513">
        <f>+IF(+AND(Status!K4="ДА",+ROUND(S51,2)-ROUND(S53,2)&lt;&gt;0),"ГРЕШКА! - сумите за елиминиране от шифри 0075 и 0528 следва да са равни!",0)</f>
        <v>0</v>
      </c>
      <c r="S59" s="2513"/>
      <c r="T59" s="38"/>
      <c r="U59" s="38"/>
      <c r="V59" s="43"/>
      <c r="W59" s="43"/>
      <c r="X59" s="38"/>
      <c r="Y59" s="38"/>
      <c r="Z59" s="43"/>
    </row>
    <row r="60" spans="1:26" ht="4.5" customHeight="1">
      <c r="A60" s="43"/>
      <c r="B60" s="43"/>
      <c r="C60" s="43"/>
      <c r="D60" s="43"/>
      <c r="E60" s="43"/>
      <c r="F60" s="43"/>
      <c r="G60" s="43"/>
      <c r="H60" s="43"/>
      <c r="I60" s="43"/>
      <c r="J60" s="43"/>
      <c r="K60" s="43"/>
      <c r="L60" s="43"/>
      <c r="M60" s="43"/>
      <c r="N60" s="43"/>
      <c r="O60" s="607"/>
      <c r="P60" s="43"/>
      <c r="Q60" s="43"/>
      <c r="R60" s="607"/>
      <c r="S60" s="43"/>
      <c r="T60" s="38"/>
      <c r="U60" s="38"/>
      <c r="V60" s="43"/>
      <c r="W60" s="43"/>
      <c r="X60" s="38"/>
      <c r="Y60" s="38"/>
      <c r="Z60" s="43"/>
    </row>
    <row r="61" spans="1:26">
      <c r="A61" s="43"/>
      <c r="B61" s="43"/>
      <c r="C61" s="43"/>
      <c r="D61" s="43"/>
      <c r="E61" s="43"/>
      <c r="F61" s="43"/>
      <c r="G61" s="43"/>
      <c r="H61" s="43"/>
      <c r="I61" s="43"/>
      <c r="J61" s="43"/>
      <c r="K61" s="43"/>
      <c r="L61" s="43"/>
      <c r="M61" s="43"/>
      <c r="N61" s="43"/>
      <c r="O61" s="2513">
        <f>+IF(AND(Status!K4="ДА",+ROUND(P55,2)-ROUND(P57,2)&lt;&gt;0),"ГРЕШКА! - сумите за елиминиране от шифри 0076 и 0529 следва да са равни!",0)</f>
        <v>0</v>
      </c>
      <c r="P61" s="2513"/>
      <c r="Q61" s="43"/>
      <c r="R61" s="2513">
        <f>+IF(AND(Status!K4="ДА",+ROUND(S55,2)-ROUND(S57,2)&lt;&gt;0),"ГРЕШКА! - сумите за елиминиране от шифри 0076 и 0529 следва да са равни!",0)</f>
        <v>0</v>
      </c>
      <c r="S61" s="2513"/>
      <c r="T61" s="38"/>
      <c r="U61" s="38"/>
      <c r="V61" s="43"/>
      <c r="W61" s="43"/>
      <c r="X61" s="38"/>
      <c r="Y61" s="38"/>
      <c r="Z61" s="43"/>
    </row>
    <row r="62" spans="1:26">
      <c r="A62" s="43"/>
      <c r="B62" s="43"/>
      <c r="C62" s="43"/>
      <c r="D62" s="43"/>
      <c r="E62" s="43"/>
      <c r="F62" s="43"/>
      <c r="G62" s="43"/>
      <c r="H62" s="43"/>
      <c r="I62" s="43"/>
      <c r="J62" s="43"/>
      <c r="K62" s="43"/>
      <c r="L62" s="43"/>
      <c r="M62" s="43"/>
      <c r="N62" s="43"/>
      <c r="O62" s="1381"/>
      <c r="P62" s="1380"/>
      <c r="Q62" s="43"/>
      <c r="R62" s="43"/>
      <c r="S62" s="43"/>
      <c r="T62" s="38"/>
      <c r="U62" s="38"/>
      <c r="V62" s="43"/>
      <c r="W62" s="43"/>
      <c r="X62" s="38"/>
      <c r="Y62" s="38"/>
      <c r="Z62" s="43"/>
    </row>
    <row r="63" spans="1:26" ht="15.75">
      <c r="A63" s="43"/>
      <c r="B63" s="1280" t="s">
        <v>1189</v>
      </c>
      <c r="C63" s="1271"/>
      <c r="D63" s="1271"/>
      <c r="E63" s="1271"/>
      <c r="F63" s="1281"/>
      <c r="G63" s="43"/>
      <c r="H63" s="43"/>
      <c r="I63" s="43"/>
      <c r="J63" s="43"/>
      <c r="K63" s="43"/>
      <c r="L63" s="43"/>
      <c r="M63" s="44"/>
      <c r="N63" s="1193"/>
      <c r="O63" s="1424" t="s">
        <v>1275</v>
      </c>
      <c r="P63" s="1424" t="s">
        <v>1276</v>
      </c>
      <c r="Q63" s="607"/>
      <c r="R63" s="1424" t="s">
        <v>1277</v>
      </c>
      <c r="S63" s="1424" t="s">
        <v>1278</v>
      </c>
      <c r="T63" s="38"/>
      <c r="U63" s="38"/>
      <c r="V63" s="43"/>
      <c r="W63" s="43"/>
      <c r="X63" s="38"/>
      <c r="Y63" s="38"/>
      <c r="Z63" s="43"/>
    </row>
    <row r="64" spans="1:26" ht="15.75">
      <c r="A64" s="43"/>
      <c r="B64" s="1743" t="s">
        <v>1441</v>
      </c>
      <c r="C64" s="1744"/>
      <c r="D64" s="1744"/>
      <c r="E64" s="1744"/>
      <c r="F64" s="1745"/>
      <c r="G64" s="1744"/>
      <c r="H64" s="1744"/>
      <c r="I64" s="1744"/>
      <c r="J64" s="1744"/>
      <c r="K64" s="1746"/>
      <c r="L64" s="43"/>
      <c r="M64" s="44"/>
      <c r="N64" s="1198">
        <f>+'TRIAL-BALANCE'!A177</f>
        <v>4501</v>
      </c>
      <c r="O64" s="1189" t="str">
        <f>+IF(O14&gt;+ROUND('TRIAL-BALANCE'!O177+'TRIAL-BALANCE'!V177,2),"ГРЕШКА - превишава нач. ДТ с/до", "O K")</f>
        <v>O K</v>
      </c>
      <c r="P64" s="1189" t="str">
        <f>+IF(P14&gt;+ROUND('TRIAL-BALANCE'!P177+'TRIAL-BALANCE'!W177,2),"ГРЕШКА - превишава нач. КТ с/до", "O K")</f>
        <v>O K</v>
      </c>
      <c r="Q64" s="43"/>
      <c r="R64" s="1282" t="str">
        <f>+IF(R14&gt;+ROUND('TRIAL-BALANCE'!S177+'TRIAL-BALANCE'!Z177,2),"ГРЕШКА - превишава кр. ДТ с/до", "O K")</f>
        <v>O K</v>
      </c>
      <c r="S64" s="1282" t="str">
        <f>+IF(S14&gt;+ROUND('TRIAL-BALANCE'!T177+'TRIAL-BALANCE'!AA177,2),"ГРЕШКА - превишава кр. КТ с/до", "O K")</f>
        <v>O K</v>
      </c>
      <c r="T64" s="38"/>
      <c r="U64" s="38"/>
      <c r="V64" s="43"/>
      <c r="W64" s="43"/>
      <c r="X64" s="38"/>
      <c r="Y64" s="38"/>
      <c r="Z64" s="43"/>
    </row>
    <row r="65" spans="1:26" ht="15.75">
      <c r="A65" s="43"/>
      <c r="B65" s="1171" t="s">
        <v>1312</v>
      </c>
      <c r="C65" s="1271"/>
      <c r="D65" s="1271"/>
      <c r="E65" s="1271"/>
      <c r="F65" s="1272"/>
      <c r="G65" s="1271"/>
      <c r="H65" s="1271"/>
      <c r="I65" s="1271"/>
      <c r="J65" s="1271"/>
      <c r="K65" s="1273"/>
      <c r="L65" s="43"/>
      <c r="M65" s="44"/>
      <c r="N65" s="1199">
        <f>+'TRIAL-BALANCE'!A178</f>
        <v>4502</v>
      </c>
      <c r="O65" s="1190" t="str">
        <f>+IF(O15&gt;+ROUND('TRIAL-BALANCE'!O178+'TRIAL-BALANCE'!AC178,2),"ГРЕШКА - превишава нач. ДТ с/до", "O K")</f>
        <v>O K</v>
      </c>
      <c r="P65" s="1190" t="str">
        <f>+IF(P15&gt;+ROUND('TRIAL-BALANCE'!P178+'TRIAL-BALANCE'!AD178,2),"ГРЕШКА - превишава нач. КТ с/до", "O K")</f>
        <v>O K</v>
      </c>
      <c r="Q65" s="43"/>
      <c r="R65" s="1283" t="str">
        <f>+IF(R15&gt;+ROUND('TRIAL-BALANCE'!S178+'TRIAL-BALANCE'!AG178,2),"ГРЕШКА - превишава кр. ДТ с/до", "O K")</f>
        <v>O K</v>
      </c>
      <c r="S65" s="1283" t="str">
        <f>+IF(S15&gt;+ROUND('TRIAL-BALANCE'!T178+'TRIAL-BALANCE'!AH178,2),"ГРЕШКА - превишава кр. КТ с/до", "O K")</f>
        <v>O K</v>
      </c>
      <c r="T65" s="38"/>
      <c r="U65" s="38"/>
      <c r="V65" s="43"/>
      <c r="W65" s="43"/>
      <c r="X65" s="38"/>
      <c r="Y65" s="38"/>
      <c r="Z65" s="43"/>
    </row>
    <row r="66" spans="1:26" ht="15.75">
      <c r="A66" s="43"/>
      <c r="B66" s="1174" t="s">
        <v>1313</v>
      </c>
      <c r="C66" s="1274"/>
      <c r="D66" s="1274"/>
      <c r="E66" s="1274"/>
      <c r="F66" s="1278"/>
      <c r="G66" s="1274"/>
      <c r="H66" s="1274"/>
      <c r="I66" s="1274"/>
      <c r="J66" s="1274"/>
      <c r="K66" s="1275"/>
      <c r="L66" s="43"/>
      <c r="M66" s="44"/>
      <c r="N66" s="1199">
        <f>+'TRIAL-BALANCE'!A179</f>
        <v>4503</v>
      </c>
      <c r="O66" s="1190" t="str">
        <f>+IF(O16&gt;+ROUND('TRIAL-BALANCE'!V179+'TRIAL-BALANCE'!AC179,2),"ГРЕШКА - превишава нач. ДТ с/до", "O K")</f>
        <v>O K</v>
      </c>
      <c r="P66" s="1190" t="str">
        <f>+IF(P16&gt;+ROUND('TRIAL-BALANCE'!W179+'TRIAL-BALANCE'!AD179,2),"ГРЕШКА - превишава нач. КТ с/до", "O K")</f>
        <v>O K</v>
      </c>
      <c r="Q66" s="43"/>
      <c r="R66" s="1283" t="str">
        <f>+IF(R16&gt;+ROUND('TRIAL-BALANCE'!Z179+'TRIAL-BALANCE'!AG179,2),"ГРЕШКА - превишава кр. ДТ с/до", "O K")</f>
        <v>O K</v>
      </c>
      <c r="S66" s="1283" t="str">
        <f>+IF(S16&gt;+ROUND('TRIAL-BALANCE'!AA179+'TRIAL-BALANCE'!AH179,2),"ГРЕШКА - превишава кр. КТ с/до", "O K")</f>
        <v>O K</v>
      </c>
      <c r="T66" s="38"/>
      <c r="U66" s="38"/>
      <c r="V66" s="43"/>
      <c r="W66" s="43"/>
      <c r="X66" s="38"/>
      <c r="Y66" s="38"/>
      <c r="Z66" s="43"/>
    </row>
    <row r="67" spans="1:26" ht="15.75">
      <c r="A67" s="43"/>
      <c r="B67" s="1174" t="s">
        <v>1314</v>
      </c>
      <c r="C67" s="1274"/>
      <c r="D67" s="1274"/>
      <c r="E67" s="1274"/>
      <c r="F67" s="1278"/>
      <c r="G67" s="1274"/>
      <c r="H67" s="1274"/>
      <c r="I67" s="1274"/>
      <c r="J67" s="1274"/>
      <c r="K67" s="1275"/>
      <c r="L67" s="43"/>
      <c r="M67" s="44"/>
      <c r="N67" s="1200" t="str">
        <f>+N17</f>
        <v>46XX</v>
      </c>
      <c r="O67" s="1190" t="str">
        <f>+IF(O17&gt;+ROUND('BALANCE-SHEET-2020-leva'!E44+'BALANCE-SHEET-2020-leva'!H44+'BALANCE-SHEET-2020-leva'!K44-'TRIAL-BALANCE'!O200-'TRIAL-BALANCE'!V200-'TRIAL-BALANCE'!AC200,2),"ГРЕШКА - превишава нач. ДТ с/до", "O K")</f>
        <v>O K</v>
      </c>
      <c r="P67" s="1190" t="str">
        <f>+IF(P17&gt;+ROUND('BALANCE-SHEET-2020-leva'!E81+'BALANCE-SHEET-2020-leva'!H81+'BALANCE-SHEET-2020-leva'!K81-'TRIAL-BALANCE'!P200-'TRIAL-BALANCE'!W200-'TRIAL-BALANCE'!AD200,2),"ГРЕШКА - превишава нач. КТ с/до", "O K")</f>
        <v>O K</v>
      </c>
      <c r="Q67" s="43"/>
      <c r="R67" s="1283" t="str">
        <f>+IF(R17&gt;+ROUND('BALANCE-SHEET-2020-leva'!D44+'BALANCE-SHEET-2020-leva'!G44+'BALANCE-SHEET-2020-leva'!J44-'TRIAL-BALANCE'!S200-'TRIAL-BALANCE'!Z200-'TRIAL-BALANCE'!AG200,2),"ГРЕШКА - превишава кр. ДТ с/до", "O K")</f>
        <v>O K</v>
      </c>
      <c r="S67" s="1283" t="str">
        <f>+IF(S17&gt;+ROUND('BALANCE-SHEET-2020-leva'!D81+'BALANCE-SHEET-2020-leva'!G81+'BALANCE-SHEET-2020-leva'!J81-'TRIAL-BALANCE'!T200-'TRIAL-BALANCE'!AA200-'TRIAL-BALANCE'!AH200,2),"ГРЕШКА - превишава кр. КТ с/до", "O K")</f>
        <v>O K</v>
      </c>
      <c r="T67" s="38"/>
      <c r="U67" s="38"/>
      <c r="V67" s="43"/>
      <c r="W67" s="43"/>
      <c r="X67" s="38"/>
      <c r="Y67" s="38"/>
      <c r="Z67" s="43"/>
    </row>
    <row r="68" spans="1:26" ht="15.75">
      <c r="A68" s="43"/>
      <c r="B68" s="1174" t="s">
        <v>1315</v>
      </c>
      <c r="C68" s="1274"/>
      <c r="D68" s="1274"/>
      <c r="E68" s="1274"/>
      <c r="F68" s="1278"/>
      <c r="G68" s="1274"/>
      <c r="H68" s="1274"/>
      <c r="I68" s="1274"/>
      <c r="J68" s="1274"/>
      <c r="K68" s="1275"/>
      <c r="L68" s="43"/>
      <c r="M68" s="44"/>
      <c r="N68" s="1199">
        <f>+'TRIAL-BALANCE'!A210</f>
        <v>4659</v>
      </c>
      <c r="O68" s="1190" t="str">
        <f>+IF(O18&gt;+ROUND(+'TRIAL-BALANCE'!O210+'TRIAL-BALANCE'!V210+'TRIAL-BALANCE'!AC210,2),"ГРЕШКА - превишава нач. ДТ с/до", "O K")</f>
        <v>O K</v>
      </c>
      <c r="P68" s="1190" t="str">
        <f>+IF(P18&gt;+ROUND(+'TRIAL-BALANCE'!P210+'TRIAL-BALANCE'!W210+'TRIAL-BALANCE'!AD210,2),"ГРЕШКА - превишава нач. КТ с/до", "O K")</f>
        <v>O K</v>
      </c>
      <c r="Q68" s="43"/>
      <c r="R68" s="1283" t="str">
        <f>+IF(R18&gt;+ROUND(+'TRIAL-BALANCE'!S210+'TRIAL-BALANCE'!Z210+'TRIAL-BALANCE'!AG210,2),"ГРЕШКА - превишава кр. ДТ с/до", "O K")</f>
        <v>O K</v>
      </c>
      <c r="S68" s="1283" t="str">
        <f>+IF(S18&gt;+ROUND(+'TRIAL-BALANCE'!T210+'TRIAL-BALANCE'!AA210+'TRIAL-BALANCE'!AH210,2),"ГРЕШКА - превишава кр. КТ с/до", "O K")</f>
        <v>O K</v>
      </c>
      <c r="T68" s="38"/>
      <c r="U68" s="38"/>
      <c r="V68" s="43"/>
      <c r="W68" s="43"/>
      <c r="X68" s="38"/>
      <c r="Y68" s="38"/>
      <c r="Z68" s="43"/>
    </row>
    <row r="69" spans="1:26" ht="15.75">
      <c r="A69" s="43"/>
      <c r="B69" s="1174" t="s">
        <v>1316</v>
      </c>
      <c r="C69" s="1274"/>
      <c r="D69" s="1274"/>
      <c r="E69" s="1274"/>
      <c r="F69" s="1278"/>
      <c r="G69" s="1274"/>
      <c r="H69" s="1274"/>
      <c r="I69" s="1274"/>
      <c r="J69" s="1274"/>
      <c r="K69" s="1275"/>
      <c r="L69" s="43"/>
      <c r="M69" s="44"/>
      <c r="N69" s="1199">
        <f>+'TRIAL-BALANCE'!A212</f>
        <v>4672</v>
      </c>
      <c r="O69" s="1190" t="str">
        <f>+IF(O19&gt;+ROUND(+'TRIAL-BALANCE'!O212+'TRIAL-BALANCE'!V212+'TRIAL-BALANCE'!AC212,2),"ГРЕШКА - превишава нач. ДТ с/до", "O K")</f>
        <v>O K</v>
      </c>
      <c r="P69" s="1190" t="str">
        <f>+IF(P19&gt;+ROUND(+'TRIAL-BALANCE'!P212+'TRIAL-BALANCE'!W212+'TRIAL-BALANCE'!AD212,2),"ГРЕШКА - превишава нач. КТ с/до", "O K")</f>
        <v>O K</v>
      </c>
      <c r="Q69" s="43"/>
      <c r="R69" s="1283" t="str">
        <f>+IF(R19&gt;+ROUND(+'TRIAL-BALANCE'!S212+'TRIAL-BALANCE'!Z212+'TRIAL-BALANCE'!AG212,2),"ГРЕШКА - превишава кр. ДТ с/до", "O K")</f>
        <v>O K</v>
      </c>
      <c r="S69" s="1283" t="str">
        <f>+IF(S19&gt;+ROUND(+'TRIAL-BALANCE'!T212+'TRIAL-BALANCE'!AA212+'TRIAL-BALANCE'!AH212,2),"ГРЕШКА - превишава кр. КТ с/до", "O K")</f>
        <v>O K</v>
      </c>
      <c r="T69" s="38"/>
      <c r="U69" s="38"/>
      <c r="V69" s="43"/>
      <c r="W69" s="43"/>
      <c r="X69" s="38"/>
      <c r="Y69" s="38"/>
      <c r="Z69" s="43"/>
    </row>
    <row r="70" spans="1:26" ht="15.75">
      <c r="A70" s="43"/>
      <c r="B70" s="1174" t="s">
        <v>1354</v>
      </c>
      <c r="C70" s="1274"/>
      <c r="D70" s="1274"/>
      <c r="E70" s="1274"/>
      <c r="F70" s="1278"/>
      <c r="G70" s="1274"/>
      <c r="H70" s="1274"/>
      <c r="I70" s="1274"/>
      <c r="J70" s="1274"/>
      <c r="K70" s="1275"/>
      <c r="L70" s="43"/>
      <c r="M70" s="44"/>
      <c r="N70" s="1199">
        <f>+'TRIAL-BALANCE'!A213</f>
        <v>4674</v>
      </c>
      <c r="O70" s="1190" t="str">
        <f>+IF(O20&gt;+ROUND(+'TRIAL-BALANCE'!O213+'TRIAL-BALANCE'!V213+'TRIAL-BALANCE'!AC213,2),"ГРЕШКА - превишава нач. ДТ с/до", "O K")</f>
        <v>O K</v>
      </c>
      <c r="P70" s="1190" t="str">
        <f>+IF(P20&gt;+ROUND(+'TRIAL-BALANCE'!P213+'TRIAL-BALANCE'!W213+'TRIAL-BALANCE'!AD213,2),"ГРЕШКА - превишава нач. КТ с/до", "O K")</f>
        <v>O K</v>
      </c>
      <c r="Q70" s="43"/>
      <c r="R70" s="1283" t="str">
        <f>+IF(R20&gt;+ROUND(+'TRIAL-BALANCE'!S213+'TRIAL-BALANCE'!Z213+'TRIAL-BALANCE'!AG213,2),"ГРЕШКА - превишава кр. ДТ с/до", "O K")</f>
        <v>O K</v>
      </c>
      <c r="S70" s="1283" t="str">
        <f>+IF(S20&gt;+ROUND(+'TRIAL-BALANCE'!T213+'TRIAL-BALANCE'!AA213+'TRIAL-BALANCE'!AH213,2),"ГРЕШКА - превишава кр. КТ с/до", "O K")</f>
        <v>O K</v>
      </c>
      <c r="T70" s="38"/>
      <c r="U70" s="38"/>
      <c r="V70" s="43"/>
      <c r="W70" s="43"/>
      <c r="X70" s="38"/>
      <c r="Y70" s="38"/>
      <c r="Z70" s="43"/>
    </row>
    <row r="71" spans="1:26" ht="15.75">
      <c r="A71" s="43"/>
      <c r="B71" s="1174" t="s">
        <v>1355</v>
      </c>
      <c r="C71" s="1274"/>
      <c r="D71" s="1274"/>
      <c r="E71" s="1274"/>
      <c r="F71" s="1274"/>
      <c r="G71" s="1274"/>
      <c r="H71" s="1274"/>
      <c r="I71" s="1274"/>
      <c r="J71" s="1274"/>
      <c r="K71" s="1275"/>
      <c r="L71" s="43"/>
      <c r="M71" s="44"/>
      <c r="N71" s="1199">
        <f>+'TRIAL-BALANCE'!A214</f>
        <v>4675</v>
      </c>
      <c r="O71" s="1190" t="str">
        <f>+IF(O21&gt;+ROUND(+'TRIAL-BALANCE'!O214+'TRIAL-BALANCE'!V214+'TRIAL-BALANCE'!AC214,2),"ГРЕШКА - превишава нач. ДТ с/до", "O K")</f>
        <v>O K</v>
      </c>
      <c r="P71" s="1190" t="str">
        <f>+IF(P21&gt;+ROUND(+'TRIAL-BALANCE'!P214+'TRIAL-BALANCE'!W214+'TRIAL-BALANCE'!AD214,2),"ГРЕШКА - превишава нач. КТ с/до", "O K")</f>
        <v>O K</v>
      </c>
      <c r="Q71" s="43"/>
      <c r="R71" s="1283" t="str">
        <f>+IF(R21&gt;+ROUND(+'TRIAL-BALANCE'!S214+'TRIAL-BALANCE'!Z214+'TRIAL-BALANCE'!AG214,2),"ГРЕШКА - превишава кр. ДТ с/до", "O K")</f>
        <v>O K</v>
      </c>
      <c r="S71" s="1283" t="str">
        <f>+IF(S21&gt;+ROUND(+'TRIAL-BALANCE'!T214+'TRIAL-BALANCE'!AA214+'TRIAL-BALANCE'!AH214,2),"ГРЕШКА - превишава кр. КТ с/до", "O K")</f>
        <v>O K</v>
      </c>
      <c r="T71" s="38"/>
      <c r="U71" s="38"/>
      <c r="V71" s="43"/>
      <c r="W71" s="43"/>
      <c r="X71" s="38"/>
      <c r="Y71" s="38"/>
      <c r="Z71" s="43"/>
    </row>
    <row r="72" spans="1:26" ht="15.75">
      <c r="A72" s="43"/>
      <c r="B72" s="1279" t="s">
        <v>1317</v>
      </c>
      <c r="C72" s="1274"/>
      <c r="D72" s="1274"/>
      <c r="E72" s="1274"/>
      <c r="F72" s="1274"/>
      <c r="G72" s="1274"/>
      <c r="H72" s="1274"/>
      <c r="I72" s="1274"/>
      <c r="J72" s="1274"/>
      <c r="K72" s="1275"/>
      <c r="L72" s="43"/>
      <c r="M72" s="44"/>
      <c r="N72" s="1199">
        <f>+'TRIAL-BALANCE'!A215</f>
        <v>4679</v>
      </c>
      <c r="O72" s="1190" t="str">
        <f>+IF(O22&gt;+ROUND(+'TRIAL-BALANCE'!O215+'TRIAL-BALANCE'!V215+'TRIAL-BALANCE'!AC215,2),"ГРЕШКА - превишава нач. ДТ с/до", "O K")</f>
        <v>O K</v>
      </c>
      <c r="P72" s="1190" t="str">
        <f>+IF(P22&gt;+ROUND(+'TRIAL-BALANCE'!P215+'TRIAL-BALANCE'!W215+'TRIAL-BALANCE'!AD215,2),"ГРЕШКА - превишава нач. КТ с/до", "O K")</f>
        <v>O K</v>
      </c>
      <c r="Q72" s="43"/>
      <c r="R72" s="1283" t="str">
        <f>+IF(R22&gt;+ROUND(+'TRIAL-BALANCE'!S215+'TRIAL-BALANCE'!Z215+'TRIAL-BALANCE'!AG215,2),"ГРЕШКА - превишава кр. ДТ с/до", "O K")</f>
        <v>O K</v>
      </c>
      <c r="S72" s="1283" t="str">
        <f>+IF(S22&gt;+ROUND(+'TRIAL-BALANCE'!T215+'TRIAL-BALANCE'!AA215+'TRIAL-BALANCE'!AH215,2),"ГРЕШКА - превишава кр. КТ с/до", "O K")</f>
        <v>O K</v>
      </c>
      <c r="T72" s="38"/>
      <c r="U72" s="38"/>
      <c r="V72" s="43"/>
      <c r="W72" s="43"/>
      <c r="X72" s="38"/>
      <c r="Y72" s="38"/>
      <c r="Z72" s="43"/>
    </row>
    <row r="73" spans="1:26" ht="15.75">
      <c r="A73" s="43"/>
      <c r="B73" s="1174" t="s">
        <v>1318</v>
      </c>
      <c r="C73" s="1274"/>
      <c r="D73" s="1274"/>
      <c r="E73" s="1274"/>
      <c r="F73" s="1274"/>
      <c r="G73" s="1274"/>
      <c r="H73" s="1274"/>
      <c r="I73" s="1274"/>
      <c r="J73" s="1274"/>
      <c r="K73" s="1275"/>
      <c r="L73" s="43"/>
      <c r="M73" s="44"/>
      <c r="N73" s="1199">
        <f>+'TRIAL-BALANCE'!A216</f>
        <v>4682</v>
      </c>
      <c r="O73" s="1190" t="str">
        <f>+IF(O23&gt;+ROUND(+'TRIAL-BALANCE'!O216+'TRIAL-BALANCE'!V216+'TRIAL-BALANCE'!AC216,2),"ГРЕШКА - превишава нач. ДТ с/до", "O K")</f>
        <v>O K</v>
      </c>
      <c r="P73" s="1190" t="str">
        <f>+IF(P23&gt;+ROUND(+'TRIAL-BALANCE'!P216+'TRIAL-BALANCE'!W216+'TRIAL-BALANCE'!AD216,2),"ГРЕШКА - превишава нач. КТ с/до", "O K")</f>
        <v>O K</v>
      </c>
      <c r="Q73" s="43"/>
      <c r="R73" s="1283" t="str">
        <f>+IF(R23&gt;+ROUND(+'TRIAL-BALANCE'!S216+'TRIAL-BALANCE'!Z216+'TRIAL-BALANCE'!AG216,2),"ГРЕШКА - превишава кр. ДТ с/до", "O K")</f>
        <v>O K</v>
      </c>
      <c r="S73" s="1283" t="str">
        <f>+IF(S23&gt;+ROUND(+'TRIAL-BALANCE'!T216+'TRIAL-BALANCE'!AA216+'TRIAL-BALANCE'!AH216,2),"ГРЕШКА - превишава кр. КТ с/до", "O K")</f>
        <v>O K</v>
      </c>
      <c r="T73" s="38"/>
      <c r="U73" s="38"/>
      <c r="V73" s="43"/>
      <c r="W73" s="43"/>
      <c r="X73" s="38"/>
      <c r="Y73" s="38"/>
      <c r="Z73" s="43"/>
    </row>
    <row r="74" spans="1:26" ht="15.75">
      <c r="A74" s="43"/>
      <c r="B74" s="1174" t="s">
        <v>1319</v>
      </c>
      <c r="C74" s="1274"/>
      <c r="D74" s="1274"/>
      <c r="E74" s="1274"/>
      <c r="F74" s="1274"/>
      <c r="G74" s="1274"/>
      <c r="H74" s="1274"/>
      <c r="I74" s="1274"/>
      <c r="J74" s="1274"/>
      <c r="K74" s="1275"/>
      <c r="L74" s="43"/>
      <c r="M74" s="44"/>
      <c r="N74" s="1199">
        <f>+'TRIAL-BALANCE'!A217</f>
        <v>4684</v>
      </c>
      <c r="O74" s="1190" t="str">
        <f>+IF(O24&gt;+ROUND(+'TRIAL-BALANCE'!O217+'TRIAL-BALANCE'!V217+'TRIAL-BALANCE'!AC217,2),"ГРЕШКА - превишава нач. ДТ с/до", "O K")</f>
        <v>O K</v>
      </c>
      <c r="P74" s="1190" t="str">
        <f>+IF(P24&gt;+ROUND(+'TRIAL-BALANCE'!P217+'TRIAL-BALANCE'!W217+'TRIAL-BALANCE'!AD217,2),"ГРЕШКА - превишава нач. КТ с/до", "O K")</f>
        <v>O K</v>
      </c>
      <c r="Q74" s="43"/>
      <c r="R74" s="1283" t="str">
        <f>+IF(R24&gt;+ROUND(+'TRIAL-BALANCE'!S217+'TRIAL-BALANCE'!Z217+'TRIAL-BALANCE'!AG217,2),"ГРЕШКА - превишава кр. ДТ с/до", "O K")</f>
        <v>O K</v>
      </c>
      <c r="S74" s="1283" t="str">
        <f>+IF(S24&gt;+ROUND(+'TRIAL-BALANCE'!T217+'TRIAL-BALANCE'!AA217+'TRIAL-BALANCE'!AH217,2),"ГРЕШКА - превишава кр. КТ с/до", "O K")</f>
        <v>O K</v>
      </c>
      <c r="T74" s="38"/>
      <c r="U74" s="38"/>
      <c r="V74" s="43"/>
      <c r="W74" s="43"/>
      <c r="X74" s="38"/>
      <c r="Y74" s="38"/>
      <c r="Z74" s="43"/>
    </row>
    <row r="75" spans="1:26" ht="15.75">
      <c r="A75" s="43"/>
      <c r="B75" s="1177" t="s">
        <v>1353</v>
      </c>
      <c r="C75" s="1276"/>
      <c r="D75" s="1276"/>
      <c r="E75" s="1276"/>
      <c r="F75" s="1276"/>
      <c r="G75" s="1276"/>
      <c r="H75" s="1276"/>
      <c r="I75" s="1276"/>
      <c r="J75" s="1276"/>
      <c r="K75" s="1277"/>
      <c r="L75" s="43"/>
      <c r="M75" s="44"/>
      <c r="N75" s="1199">
        <f>+'TRIAL-BALANCE'!A218</f>
        <v>4685</v>
      </c>
      <c r="O75" s="1190" t="str">
        <f>+IF(O25&gt;+ROUND(+'TRIAL-BALANCE'!O218+'TRIAL-BALANCE'!V218+'TRIAL-BALANCE'!AC218,2),"ГРЕШКА - превишава нач. ДТ с/до", "O K")</f>
        <v>O K</v>
      </c>
      <c r="P75" s="1190" t="str">
        <f>+IF(P25&gt;+ROUND(+'TRIAL-BALANCE'!P218+'TRIAL-BALANCE'!W218+'TRIAL-BALANCE'!AD218,2),"ГРЕШКА - превишава нач. КТ с/до", "O K")</f>
        <v>O K</v>
      </c>
      <c r="Q75" s="43"/>
      <c r="R75" s="1283" t="str">
        <f>+IF(R25&gt;+ROUND(+'TRIAL-BALANCE'!S218+'TRIAL-BALANCE'!Z218+'TRIAL-BALANCE'!AG218,2),"ГРЕШКА - превишава кр. ДТ с/до", "O K")</f>
        <v>O K</v>
      </c>
      <c r="S75" s="1283" t="str">
        <f>+IF(S25&gt;+ROUND(+'TRIAL-BALANCE'!T218+'TRIAL-BALANCE'!AA218+'TRIAL-BALANCE'!AH218,2),"ГРЕШКА - превишава кр. КТ с/до", "O K")</f>
        <v>O K</v>
      </c>
      <c r="T75" s="38"/>
      <c r="U75" s="38"/>
      <c r="V75" s="43"/>
      <c r="W75" s="43"/>
      <c r="X75" s="38"/>
      <c r="Y75" s="38"/>
      <c r="Z75" s="43"/>
    </row>
    <row r="76" spans="1:26" ht="15.75">
      <c r="A76" s="43"/>
      <c r="B76" s="1171" t="s">
        <v>1320</v>
      </c>
      <c r="C76" s="1271"/>
      <c r="D76" s="1271"/>
      <c r="E76" s="1271"/>
      <c r="F76" s="1271"/>
      <c r="G76" s="1271"/>
      <c r="H76" s="1271"/>
      <c r="I76" s="1271"/>
      <c r="J76" s="1271"/>
      <c r="K76" s="1273"/>
      <c r="L76" s="43"/>
      <c r="M76" s="44"/>
      <c r="N76" s="1199">
        <f>+'TRIAL-BALANCE'!A219</f>
        <v>4691</v>
      </c>
      <c r="O76" s="1190" t="str">
        <f>+IF(O26&gt;+ROUND(+'TRIAL-BALANCE'!O219+'TRIAL-BALANCE'!V219+'TRIAL-BALANCE'!AC219,2),"ГРЕШКА - превишава нач. ДТ с/до", "O K")</f>
        <v>O K</v>
      </c>
      <c r="P76" s="1202">
        <v>0</v>
      </c>
      <c r="Q76" s="43"/>
      <c r="R76" s="1284" t="str">
        <f>+IF(R26&gt;+ROUND(+'TRIAL-BALANCE'!S219+'TRIAL-BALANCE'!Z219+'TRIAL-BALANCE'!AG219,2),"ГРЕШКА - превишава кр. ДТ с/до", "O K")</f>
        <v>O K</v>
      </c>
      <c r="S76" s="1202">
        <v>0</v>
      </c>
      <c r="T76" s="38"/>
      <c r="U76" s="38"/>
      <c r="V76" s="43"/>
      <c r="W76" s="43"/>
      <c r="X76" s="38"/>
      <c r="Y76" s="38"/>
      <c r="Z76" s="43"/>
    </row>
    <row r="77" spans="1:26" ht="15.75">
      <c r="A77" s="43"/>
      <c r="B77" s="1174" t="s">
        <v>1321</v>
      </c>
      <c r="C77" s="1274"/>
      <c r="D77" s="1274"/>
      <c r="E77" s="1274"/>
      <c r="F77" s="1274"/>
      <c r="G77" s="1274"/>
      <c r="H77" s="1274"/>
      <c r="I77" s="1274"/>
      <c r="J77" s="1274"/>
      <c r="K77" s="1275"/>
      <c r="L77" s="43"/>
      <c r="M77" s="44"/>
      <c r="N77" s="1199">
        <f>+'TRIAL-BALANCE'!A220</f>
        <v>4692</v>
      </c>
      <c r="O77" s="1202">
        <v>0</v>
      </c>
      <c r="P77" s="1190" t="str">
        <f>+IF(P27&gt;+ROUND(+'TRIAL-BALANCE'!P220+'TRIAL-BALANCE'!W220+'TRIAL-BALANCE'!AD220,2),"ГРЕШКА - превишава нач. КТ с/до", "O K")</f>
        <v>O K</v>
      </c>
      <c r="Q77" s="43"/>
      <c r="R77" s="1202">
        <v>0</v>
      </c>
      <c r="S77" s="1284" t="str">
        <f>+IF(S27&gt;+ROUND(+'TRIAL-BALANCE'!T220+'TRIAL-BALANCE'!AA220+'TRIAL-BALANCE'!AH220,2),"ГРЕШКА - превишава кр. КТ с/до", "O K")</f>
        <v>O K</v>
      </c>
      <c r="T77" s="38"/>
      <c r="U77" s="38"/>
      <c r="V77" s="43"/>
      <c r="W77" s="43"/>
      <c r="X77" s="38"/>
      <c r="Y77" s="38"/>
      <c r="Z77" s="43"/>
    </row>
    <row r="78" spans="1:26" ht="15.75">
      <c r="A78" s="43"/>
      <c r="B78" s="1174" t="s">
        <v>1322</v>
      </c>
      <c r="C78" s="1274"/>
      <c r="D78" s="1274"/>
      <c r="E78" s="1274"/>
      <c r="F78" s="1278"/>
      <c r="G78" s="1274"/>
      <c r="H78" s="1274"/>
      <c r="I78" s="1274"/>
      <c r="J78" s="1274"/>
      <c r="K78" s="1275"/>
      <c r="L78" s="43"/>
      <c r="M78" s="44"/>
      <c r="N78" s="1199">
        <f>+'TRIAL-BALANCE'!A221</f>
        <v>4693</v>
      </c>
      <c r="O78" s="1190" t="str">
        <f>+IF(O28&gt;+ROUND(+'TRIAL-BALANCE'!O221+'TRIAL-BALANCE'!V221+'TRIAL-BALANCE'!AC221,2),"ГРЕШКА - превишава нач. ДТ с/до", "O K")</f>
        <v>O K</v>
      </c>
      <c r="P78" s="1202">
        <v>0</v>
      </c>
      <c r="Q78" s="43"/>
      <c r="R78" s="1284" t="str">
        <f>+IF(R28&gt;+ROUND(+'TRIAL-BALANCE'!S221+'TRIAL-BALANCE'!Z221+'TRIAL-BALANCE'!AG221,2),"ГРЕШКА - превишава кр. ДТ с/до", "O K")</f>
        <v>O K</v>
      </c>
      <c r="S78" s="1202">
        <v>0</v>
      </c>
      <c r="T78" s="38"/>
      <c r="U78" s="38"/>
      <c r="V78" s="43"/>
      <c r="W78" s="43"/>
      <c r="X78" s="38"/>
      <c r="Y78" s="38"/>
      <c r="Z78" s="43"/>
    </row>
    <row r="79" spans="1:26" ht="15.75">
      <c r="A79" s="43"/>
      <c r="B79" s="1174" t="s">
        <v>1323</v>
      </c>
      <c r="C79" s="1274"/>
      <c r="D79" s="1274"/>
      <c r="E79" s="1274"/>
      <c r="F79" s="1274"/>
      <c r="G79" s="1274"/>
      <c r="H79" s="1274"/>
      <c r="I79" s="1274"/>
      <c r="J79" s="1274"/>
      <c r="K79" s="1275"/>
      <c r="L79" s="43"/>
      <c r="M79" s="44"/>
      <c r="N79" s="1199">
        <f>+'TRIAL-BALANCE'!A222</f>
        <v>4694</v>
      </c>
      <c r="O79" s="1202">
        <v>0</v>
      </c>
      <c r="P79" s="1190" t="str">
        <f>+IF(P29&gt;+ROUND(+'TRIAL-BALANCE'!P222+'TRIAL-BALANCE'!W222+'TRIAL-BALANCE'!AD222,2),"ГРЕШКА - превишава нач. КТ с/до", "O K")</f>
        <v>O K</v>
      </c>
      <c r="Q79" s="43"/>
      <c r="R79" s="1202">
        <v>0</v>
      </c>
      <c r="S79" s="1284" t="str">
        <f>+IF(S29&gt;+ROUND(+'TRIAL-BALANCE'!T222+'TRIAL-BALANCE'!AA222+'TRIAL-BALANCE'!AH222,2),"ГРЕШКА - превишава кр. КТ с/до", "O K")</f>
        <v>O K</v>
      </c>
      <c r="T79" s="38"/>
      <c r="U79" s="38"/>
      <c r="V79" s="43"/>
      <c r="W79" s="43"/>
      <c r="X79" s="38"/>
      <c r="Y79" s="38"/>
      <c r="Z79" s="43"/>
    </row>
    <row r="80" spans="1:26" ht="15.75">
      <c r="A80" s="607" t="s">
        <v>265</v>
      </c>
      <c r="B80" s="1174" t="s">
        <v>1324</v>
      </c>
      <c r="C80" s="1274"/>
      <c r="D80" s="1274"/>
      <c r="E80" s="1274"/>
      <c r="F80" s="1274"/>
      <c r="G80" s="1274"/>
      <c r="H80" s="1274"/>
      <c r="I80" s="1274"/>
      <c r="J80" s="1274"/>
      <c r="K80" s="1275"/>
      <c r="L80" s="43"/>
      <c r="M80" s="44"/>
      <c r="N80" s="1199">
        <f>+'TRIAL-BALANCE'!A223</f>
        <v>4695</v>
      </c>
      <c r="O80" s="1190" t="str">
        <f>+IF(O30&gt;+ROUND(+'TRIAL-BALANCE'!O223+'TRIAL-BALANCE'!V223+'TRIAL-BALANCE'!AC223,2),"ГРЕШКА - превишава нач. ДТ с/до", "O K")</f>
        <v>O K</v>
      </c>
      <c r="P80" s="1202">
        <v>0</v>
      </c>
      <c r="Q80" s="43"/>
      <c r="R80" s="1284" t="str">
        <f>+IF(R30&gt;+ROUND(+'TRIAL-BALANCE'!S223+'TRIAL-BALANCE'!Z223+'TRIAL-BALANCE'!AG223,2),"ГРЕШКА - превишава кр. ДТ с/до", "O K")</f>
        <v>O K</v>
      </c>
      <c r="S80" s="1202">
        <v>0</v>
      </c>
      <c r="T80" s="38"/>
      <c r="U80" s="38"/>
      <c r="V80" s="43"/>
      <c r="W80" s="43"/>
      <c r="X80" s="38"/>
      <c r="Y80" s="38"/>
      <c r="Z80" s="43"/>
    </row>
    <row r="81" spans="1:26" ht="15.75">
      <c r="A81" s="43"/>
      <c r="B81" s="1174" t="s">
        <v>1325</v>
      </c>
      <c r="C81" s="1274"/>
      <c r="D81" s="1274"/>
      <c r="E81" s="1274"/>
      <c r="F81" s="1278"/>
      <c r="G81" s="1274"/>
      <c r="H81" s="1274"/>
      <c r="I81" s="1274"/>
      <c r="J81" s="1274"/>
      <c r="K81" s="1275"/>
      <c r="L81" s="43"/>
      <c r="M81" s="44"/>
      <c r="N81" s="1201">
        <f>+'TRIAL-BALANCE'!A224</f>
        <v>4696</v>
      </c>
      <c r="O81" s="1203">
        <v>0</v>
      </c>
      <c r="P81" s="1191" t="str">
        <f>+IF(P31&gt;+ROUND(+'TRIAL-BALANCE'!P224+'TRIAL-BALANCE'!W224+'TRIAL-BALANCE'!AD224,2),"ГРЕШКА - превишава нач. КТ с/до", "O K")</f>
        <v>O K</v>
      </c>
      <c r="Q81" s="43"/>
      <c r="R81" s="1203">
        <v>0</v>
      </c>
      <c r="S81" s="1285" t="str">
        <f>+IF(S31&gt;+ROUND(+'TRIAL-BALANCE'!T224+'TRIAL-BALANCE'!AA224+'TRIAL-BALANCE'!AH224,2),"ГРЕШКА - превишава кр. КТ с/до", "O K")</f>
        <v>O K</v>
      </c>
      <c r="T81" s="38"/>
      <c r="U81" s="38"/>
      <c r="V81" s="43"/>
      <c r="W81" s="43"/>
      <c r="X81" s="38"/>
      <c r="Y81" s="38"/>
      <c r="Z81" s="43"/>
    </row>
    <row r="82" spans="1:26" ht="16.5" thickBot="1">
      <c r="A82" s="43"/>
      <c r="B82" s="1174" t="s">
        <v>1219</v>
      </c>
      <c r="C82" s="1274"/>
      <c r="D82" s="1274"/>
      <c r="E82" s="1274"/>
      <c r="F82" s="1274"/>
      <c r="G82" s="1274"/>
      <c r="H82" s="1274"/>
      <c r="I82" s="1274"/>
      <c r="J82" s="1274"/>
      <c r="K82" s="1275"/>
      <c r="L82" s="43"/>
      <c r="M82" s="44"/>
      <c r="N82" s="43"/>
      <c r="O82" s="1423" t="s">
        <v>1275</v>
      </c>
      <c r="P82" s="1423" t="s">
        <v>1276</v>
      </c>
      <c r="Q82" s="607"/>
      <c r="R82" s="1423" t="s">
        <v>1277</v>
      </c>
      <c r="S82" s="1423" t="s">
        <v>1278</v>
      </c>
      <c r="T82" s="38"/>
      <c r="U82" s="38"/>
      <c r="V82" s="43"/>
      <c r="W82" s="43"/>
      <c r="X82" s="38"/>
      <c r="Y82" s="38"/>
      <c r="Z82" s="43"/>
    </row>
    <row r="83" spans="1:26" ht="16.5" thickTop="1">
      <c r="A83" s="43"/>
      <c r="B83" s="1174" t="s">
        <v>1221</v>
      </c>
      <c r="C83" s="1274"/>
      <c r="D83" s="1274"/>
      <c r="E83" s="1274"/>
      <c r="F83" s="1274"/>
      <c r="G83" s="1274"/>
      <c r="H83" s="1274"/>
      <c r="I83" s="1274"/>
      <c r="J83" s="1274"/>
      <c r="K83" s="1275"/>
      <c r="L83" s="43"/>
      <c r="M83" s="44"/>
      <c r="N83" s="119"/>
      <c r="O83" s="38"/>
      <c r="P83" s="38"/>
      <c r="Q83" s="43"/>
      <c r="R83" s="38"/>
      <c r="S83" s="38"/>
      <c r="T83" s="38"/>
      <c r="U83" s="38"/>
      <c r="V83" s="43"/>
      <c r="W83" s="43"/>
      <c r="X83" s="38"/>
      <c r="Y83" s="38"/>
      <c r="Z83" s="43"/>
    </row>
    <row r="84" spans="1:26" ht="15.75">
      <c r="A84" s="43"/>
      <c r="B84" s="1174" t="s">
        <v>1350</v>
      </c>
      <c r="C84" s="1274"/>
      <c r="D84" s="1274"/>
      <c r="E84" s="1274"/>
      <c r="F84" s="1274"/>
      <c r="G84" s="1274"/>
      <c r="H84" s="1274"/>
      <c r="I84" s="1274"/>
      <c r="J84" s="1274"/>
      <c r="K84" s="1275"/>
      <c r="L84" s="43"/>
      <c r="M84" s="44"/>
      <c r="N84" s="119"/>
      <c r="O84" s="38"/>
      <c r="P84" s="38"/>
      <c r="Q84" s="43"/>
      <c r="R84" s="38"/>
      <c r="S84" s="38"/>
      <c r="T84" s="38"/>
      <c r="U84" s="38"/>
      <c r="V84" s="43"/>
      <c r="W84" s="43"/>
      <c r="X84" s="38"/>
      <c r="Y84" s="38"/>
      <c r="Z84" s="43"/>
    </row>
    <row r="85" spans="1:26" ht="15.75">
      <c r="A85" s="43"/>
      <c r="B85" s="1174" t="s">
        <v>1351</v>
      </c>
      <c r="C85" s="1274"/>
      <c r="D85" s="1274"/>
      <c r="E85" s="1274"/>
      <c r="F85" s="1274"/>
      <c r="G85" s="1274"/>
      <c r="H85" s="1274"/>
      <c r="I85" s="1274"/>
      <c r="J85" s="1274"/>
      <c r="K85" s="1275"/>
      <c r="L85" s="43"/>
      <c r="M85" s="44"/>
      <c r="N85" s="119"/>
      <c r="O85" s="43"/>
      <c r="P85" s="38"/>
      <c r="Q85" s="43"/>
      <c r="R85" s="38"/>
      <c r="S85" s="38"/>
      <c r="T85" s="38"/>
      <c r="U85" s="38"/>
      <c r="V85" s="43"/>
      <c r="W85" s="43"/>
      <c r="X85" s="38"/>
      <c r="Y85" s="38"/>
      <c r="Z85" s="43"/>
    </row>
    <row r="86" spans="1:26" ht="15.75">
      <c r="A86" s="43"/>
      <c r="B86" s="1174" t="s">
        <v>1222</v>
      </c>
      <c r="C86" s="1274"/>
      <c r="D86" s="1274"/>
      <c r="E86" s="1274"/>
      <c r="F86" s="1274"/>
      <c r="G86" s="1274"/>
      <c r="H86" s="1274"/>
      <c r="I86" s="1274"/>
      <c r="J86" s="1274"/>
      <c r="K86" s="1275"/>
      <c r="L86" s="43"/>
      <c r="M86" s="44"/>
      <c r="N86" s="119"/>
      <c r="O86" s="43"/>
      <c r="P86" s="38"/>
      <c r="Q86" s="43"/>
      <c r="R86" s="38"/>
      <c r="S86" s="38"/>
      <c r="T86" s="38"/>
      <c r="U86" s="38"/>
      <c r="V86" s="43"/>
      <c r="W86" s="43"/>
      <c r="X86" s="38"/>
      <c r="Y86" s="38"/>
      <c r="Z86" s="43"/>
    </row>
    <row r="87" spans="1:26" ht="15.75">
      <c r="A87" s="43"/>
      <c r="B87" s="1174" t="s">
        <v>1352</v>
      </c>
      <c r="C87" s="1274"/>
      <c r="D87" s="1274"/>
      <c r="E87" s="1274"/>
      <c r="F87" s="1274"/>
      <c r="G87" s="1274"/>
      <c r="H87" s="1274"/>
      <c r="I87" s="1274"/>
      <c r="J87" s="1274"/>
      <c r="K87" s="1275"/>
      <c r="L87" s="43"/>
      <c r="M87" s="44"/>
      <c r="N87" s="119"/>
      <c r="O87" s="43"/>
      <c r="P87" s="38"/>
      <c r="Q87" s="43"/>
      <c r="R87" s="38"/>
      <c r="S87" s="38"/>
      <c r="T87" s="38"/>
      <c r="U87" s="38"/>
      <c r="V87" s="43"/>
      <c r="W87" s="43"/>
      <c r="X87" s="38"/>
      <c r="Y87" s="38"/>
      <c r="Z87" s="43"/>
    </row>
    <row r="88" spans="1:26" ht="15.75">
      <c r="A88" s="43"/>
      <c r="B88" s="1174" t="s">
        <v>1220</v>
      </c>
      <c r="C88" s="1274"/>
      <c r="D88" s="1274"/>
      <c r="E88" s="1274"/>
      <c r="F88" s="1274"/>
      <c r="G88" s="1274"/>
      <c r="H88" s="1274"/>
      <c r="I88" s="1274"/>
      <c r="J88" s="1274"/>
      <c r="K88" s="1275"/>
      <c r="L88" s="43"/>
      <c r="M88" s="44"/>
      <c r="N88" s="119"/>
      <c r="O88" s="43"/>
      <c r="P88" s="38"/>
      <c r="Q88" s="43"/>
      <c r="R88" s="38"/>
      <c r="S88" s="38"/>
      <c r="T88" s="38"/>
      <c r="U88" s="38"/>
      <c r="V88" s="43"/>
      <c r="W88" s="43"/>
      <c r="X88" s="38"/>
      <c r="Y88" s="38"/>
      <c r="Z88" s="43"/>
    </row>
    <row r="89" spans="1:26" ht="15.75">
      <c r="A89" s="43"/>
      <c r="B89" s="1174" t="s">
        <v>1326</v>
      </c>
      <c r="C89" s="1274"/>
      <c r="D89" s="1274"/>
      <c r="E89" s="1274"/>
      <c r="F89" s="1274"/>
      <c r="G89" s="1274"/>
      <c r="H89" s="1274"/>
      <c r="I89" s="1274"/>
      <c r="J89" s="1274"/>
      <c r="K89" s="1275"/>
      <c r="L89" s="43"/>
      <c r="M89" s="44"/>
      <c r="N89" s="119"/>
      <c r="O89" s="43"/>
      <c r="P89" s="38"/>
      <c r="Q89" s="43"/>
      <c r="R89" s="38"/>
      <c r="S89" s="38"/>
      <c r="T89" s="38"/>
      <c r="U89" s="38"/>
      <c r="V89" s="43"/>
      <c r="W89" s="43"/>
      <c r="X89" s="38"/>
      <c r="Y89" s="38"/>
      <c r="Z89" s="43"/>
    </row>
    <row r="90" spans="1:26" ht="15.75">
      <c r="A90" s="43"/>
      <c r="B90" s="1174" t="s">
        <v>1469</v>
      </c>
      <c r="C90" s="1274"/>
      <c r="D90" s="1274"/>
      <c r="E90" s="1274"/>
      <c r="F90" s="1274"/>
      <c r="G90" s="1274"/>
      <c r="H90" s="1274"/>
      <c r="I90" s="1274"/>
      <c r="J90" s="1274"/>
      <c r="K90" s="1275"/>
      <c r="L90" s="43"/>
      <c r="M90" s="44"/>
      <c r="N90" s="119"/>
      <c r="O90" s="43"/>
      <c r="P90" s="38"/>
      <c r="Q90" s="43"/>
      <c r="R90" s="38"/>
      <c r="S90" s="38"/>
      <c r="T90" s="38"/>
      <c r="U90" s="38"/>
      <c r="V90" s="43"/>
      <c r="W90" s="43"/>
      <c r="X90" s="38"/>
      <c r="Y90" s="38"/>
      <c r="Z90" s="43"/>
    </row>
    <row r="91" spans="1:26" ht="15.75">
      <c r="A91" s="43"/>
      <c r="B91" s="1174" t="s">
        <v>1470</v>
      </c>
      <c r="C91" s="1274"/>
      <c r="D91" s="1274"/>
      <c r="E91" s="1274"/>
      <c r="F91" s="1274"/>
      <c r="G91" s="1274"/>
      <c r="H91" s="1274"/>
      <c r="I91" s="1274"/>
      <c r="J91" s="1274"/>
      <c r="K91" s="1275"/>
      <c r="L91" s="43"/>
      <c r="M91" s="44"/>
      <c r="N91" s="119"/>
      <c r="O91" s="43"/>
      <c r="P91" s="38"/>
      <c r="Q91" s="43"/>
      <c r="R91" s="38"/>
      <c r="S91" s="38"/>
      <c r="T91" s="38"/>
      <c r="U91" s="38"/>
      <c r="V91" s="43"/>
      <c r="W91" s="43"/>
      <c r="X91" s="38"/>
      <c r="Y91" s="38"/>
      <c r="Z91" s="43"/>
    </row>
    <row r="92" spans="1:26" ht="15.75">
      <c r="A92" s="43"/>
      <c r="B92" s="1174" t="s">
        <v>1471</v>
      </c>
      <c r="C92" s="1274"/>
      <c r="D92" s="1274"/>
      <c r="E92" s="1274"/>
      <c r="F92" s="1274"/>
      <c r="G92" s="1274"/>
      <c r="H92" s="1274"/>
      <c r="I92" s="1274"/>
      <c r="J92" s="1274"/>
      <c r="K92" s="1275"/>
      <c r="L92" s="43"/>
      <c r="M92" s="44"/>
      <c r="N92" s="119"/>
      <c r="O92" s="38"/>
      <c r="P92" s="38"/>
      <c r="Q92" s="43"/>
      <c r="R92" s="38"/>
      <c r="S92" s="38"/>
      <c r="T92" s="38"/>
      <c r="U92" s="38"/>
      <c r="V92" s="43"/>
      <c r="W92" s="43"/>
      <c r="X92" s="38"/>
      <c r="Y92" s="38"/>
      <c r="Z92" s="43"/>
    </row>
    <row r="93" spans="1:26" ht="15.75">
      <c r="A93" s="43"/>
      <c r="B93" s="1174" t="s">
        <v>1472</v>
      </c>
      <c r="C93" s="1274"/>
      <c r="D93" s="1274"/>
      <c r="E93" s="1274"/>
      <c r="F93" s="1274"/>
      <c r="G93" s="1274"/>
      <c r="H93" s="1274"/>
      <c r="I93" s="1274"/>
      <c r="J93" s="1274"/>
      <c r="K93" s="1275"/>
      <c r="L93" s="43"/>
      <c r="M93" s="44"/>
      <c r="N93" s="119"/>
      <c r="O93" s="38"/>
      <c r="P93" s="38"/>
      <c r="Q93" s="43"/>
      <c r="R93" s="38"/>
      <c r="S93" s="38"/>
      <c r="T93" s="38"/>
      <c r="U93" s="38"/>
      <c r="V93" s="43"/>
      <c r="W93" s="43"/>
      <c r="X93" s="38"/>
      <c r="Y93" s="38"/>
      <c r="Z93" s="43"/>
    </row>
    <row r="94" spans="1:26" ht="15.75">
      <c r="A94" s="43"/>
      <c r="B94" s="1174" t="s">
        <v>1473</v>
      </c>
      <c r="C94" s="1274"/>
      <c r="D94" s="1274"/>
      <c r="E94" s="1274"/>
      <c r="F94" s="1274"/>
      <c r="G94" s="1274"/>
      <c r="H94" s="1274"/>
      <c r="I94" s="1274"/>
      <c r="J94" s="1274"/>
      <c r="K94" s="1275"/>
      <c r="L94" s="43"/>
      <c r="M94" s="44"/>
      <c r="N94" s="119"/>
      <c r="O94" s="38"/>
      <c r="P94" s="38"/>
      <c r="Q94" s="43"/>
      <c r="R94" s="38"/>
      <c r="S94" s="38"/>
      <c r="T94" s="38"/>
      <c r="U94" s="38"/>
      <c r="V94" s="43"/>
      <c r="W94" s="43"/>
      <c r="X94" s="38"/>
      <c r="Y94" s="38"/>
      <c r="Z94" s="43"/>
    </row>
    <row r="95" spans="1:26" ht="15.75">
      <c r="A95" s="43"/>
      <c r="B95" s="1174" t="s">
        <v>1474</v>
      </c>
      <c r="C95" s="1274"/>
      <c r="D95" s="1274"/>
      <c r="E95" s="1274"/>
      <c r="F95" s="1274"/>
      <c r="G95" s="1274"/>
      <c r="H95" s="1274"/>
      <c r="I95" s="1274"/>
      <c r="J95" s="1274"/>
      <c r="K95" s="1275"/>
      <c r="L95" s="43"/>
      <c r="M95" s="44"/>
      <c r="N95" s="119"/>
      <c r="O95" s="38"/>
      <c r="P95" s="38"/>
      <c r="Q95" s="43"/>
      <c r="R95" s="38"/>
      <c r="S95" s="38"/>
      <c r="T95" s="38"/>
      <c r="U95" s="38"/>
      <c r="V95" s="43"/>
      <c r="W95" s="43"/>
      <c r="X95" s="38"/>
      <c r="Y95" s="38"/>
      <c r="Z95" s="43"/>
    </row>
    <row r="96" spans="1:26" ht="15.75">
      <c r="A96" s="43"/>
      <c r="B96" s="1174" t="s">
        <v>1475</v>
      </c>
      <c r="C96" s="1274"/>
      <c r="D96" s="1274"/>
      <c r="E96" s="1274"/>
      <c r="F96" s="1274"/>
      <c r="G96" s="1274"/>
      <c r="H96" s="1274"/>
      <c r="I96" s="1274"/>
      <c r="J96" s="1274"/>
      <c r="K96" s="1275"/>
      <c r="L96" s="43"/>
      <c r="M96" s="44"/>
      <c r="N96" s="119"/>
      <c r="O96" s="38"/>
      <c r="P96" s="38"/>
      <c r="Q96" s="43"/>
      <c r="R96" s="38"/>
      <c r="S96" s="38"/>
      <c r="T96" s="38"/>
      <c r="U96" s="38"/>
      <c r="V96" s="43"/>
      <c r="W96" s="43"/>
      <c r="X96" s="38"/>
      <c r="Y96" s="38"/>
      <c r="Z96" s="43"/>
    </row>
    <row r="97" spans="1:26" ht="15.75">
      <c r="A97" s="43"/>
      <c r="B97" s="1174" t="s">
        <v>1476</v>
      </c>
      <c r="C97" s="1274"/>
      <c r="D97" s="1274"/>
      <c r="E97" s="1274"/>
      <c r="F97" s="1274"/>
      <c r="G97" s="1274"/>
      <c r="H97" s="1274"/>
      <c r="I97" s="1274"/>
      <c r="J97" s="1274"/>
      <c r="K97" s="1275"/>
      <c r="L97" s="43"/>
      <c r="M97" s="44"/>
      <c r="N97" s="119"/>
      <c r="O97" s="38"/>
      <c r="P97" s="38"/>
      <c r="Q97" s="43"/>
      <c r="R97" s="38"/>
      <c r="S97" s="38"/>
      <c r="T97" s="38"/>
      <c r="U97" s="38"/>
      <c r="V97" s="43"/>
      <c r="W97" s="43"/>
      <c r="X97" s="38"/>
      <c r="Y97" s="38"/>
      <c r="Z97" s="43"/>
    </row>
    <row r="98" spans="1:26" ht="15.75">
      <c r="A98" s="43"/>
      <c r="B98" s="1174" t="s">
        <v>1477</v>
      </c>
      <c r="C98" s="1274"/>
      <c r="D98" s="1274"/>
      <c r="E98" s="1274"/>
      <c r="F98" s="1274"/>
      <c r="G98" s="1274"/>
      <c r="H98" s="1274"/>
      <c r="I98" s="1274"/>
      <c r="J98" s="1274"/>
      <c r="K98" s="1275"/>
      <c r="L98" s="43"/>
      <c r="M98" s="44"/>
      <c r="N98" s="119"/>
      <c r="O98" s="38"/>
      <c r="P98" s="38"/>
      <c r="Q98" s="43"/>
      <c r="R98" s="38"/>
      <c r="S98" s="38"/>
      <c r="T98" s="38"/>
      <c r="U98" s="38"/>
      <c r="V98" s="43"/>
      <c r="W98" s="43"/>
      <c r="X98" s="38"/>
      <c r="Y98" s="38"/>
      <c r="Z98" s="43"/>
    </row>
    <row r="99" spans="1:26" ht="15.75">
      <c r="A99" s="43"/>
      <c r="B99" s="1174" t="s">
        <v>1447</v>
      </c>
      <c r="C99" s="1274"/>
      <c r="D99" s="1274"/>
      <c r="E99" s="1274"/>
      <c r="F99" s="1274"/>
      <c r="G99" s="1274"/>
      <c r="H99" s="1274"/>
      <c r="I99" s="1274"/>
      <c r="J99" s="1274"/>
      <c r="K99" s="1275"/>
      <c r="L99" s="43"/>
      <c r="M99" s="44"/>
      <c r="N99" s="119"/>
      <c r="O99" s="38"/>
      <c r="P99" s="38"/>
      <c r="Q99" s="43"/>
      <c r="R99" s="38"/>
      <c r="S99" s="38"/>
      <c r="T99" s="38"/>
      <c r="U99" s="38"/>
      <c r="V99" s="43"/>
      <c r="W99" s="43"/>
      <c r="X99" s="38"/>
      <c r="Y99" s="38"/>
      <c r="Z99" s="43"/>
    </row>
    <row r="100" spans="1:26" ht="15.75">
      <c r="A100" s="43"/>
      <c r="B100" s="1174" t="s">
        <v>1448</v>
      </c>
      <c r="C100" s="1274"/>
      <c r="D100" s="1274"/>
      <c r="E100" s="1274"/>
      <c r="F100" s="1274"/>
      <c r="G100" s="1274"/>
      <c r="H100" s="1274"/>
      <c r="I100" s="1274"/>
      <c r="J100" s="1274"/>
      <c r="K100" s="1275"/>
      <c r="L100" s="43"/>
      <c r="M100" s="44"/>
      <c r="N100" s="119"/>
      <c r="O100" s="38"/>
      <c r="P100" s="38"/>
      <c r="Q100" s="43"/>
      <c r="R100" s="38"/>
      <c r="S100" s="38"/>
      <c r="T100" s="38"/>
      <c r="U100" s="38"/>
      <c r="V100" s="43"/>
      <c r="W100" s="43"/>
      <c r="X100" s="38"/>
      <c r="Y100" s="38"/>
      <c r="Z100" s="43"/>
    </row>
    <row r="101" spans="1:26" ht="15.75">
      <c r="A101" s="43"/>
      <c r="B101" s="1174" t="s">
        <v>1478</v>
      </c>
      <c r="C101" s="1274"/>
      <c r="D101" s="1274"/>
      <c r="E101" s="1274"/>
      <c r="F101" s="1274"/>
      <c r="G101" s="1274"/>
      <c r="H101" s="1274"/>
      <c r="I101" s="1274"/>
      <c r="J101" s="1274"/>
      <c r="K101" s="1275"/>
      <c r="L101" s="43"/>
      <c r="M101" s="44"/>
      <c r="N101" s="119"/>
      <c r="O101" s="38"/>
      <c r="P101" s="38"/>
      <c r="Q101" s="43"/>
      <c r="R101" s="38"/>
      <c r="S101" s="38"/>
      <c r="T101" s="38"/>
      <c r="U101" s="38"/>
      <c r="V101" s="43"/>
      <c r="W101" s="43"/>
      <c r="X101" s="38"/>
      <c r="Y101" s="38"/>
      <c r="Z101" s="43"/>
    </row>
    <row r="102" spans="1:26" ht="15.75">
      <c r="A102" s="43"/>
      <c r="B102" s="1174" t="s">
        <v>1327</v>
      </c>
      <c r="C102" s="1274"/>
      <c r="D102" s="1274"/>
      <c r="E102" s="1274"/>
      <c r="F102" s="1274"/>
      <c r="G102" s="1274"/>
      <c r="H102" s="1274"/>
      <c r="I102" s="1274"/>
      <c r="J102" s="1274"/>
      <c r="K102" s="1275"/>
      <c r="L102" s="43"/>
      <c r="M102" s="44"/>
      <c r="N102" s="119"/>
      <c r="O102" s="38"/>
      <c r="P102" s="38"/>
      <c r="Q102" s="43"/>
      <c r="R102" s="38"/>
      <c r="S102" s="38"/>
      <c r="T102" s="38"/>
      <c r="U102" s="38"/>
      <c r="V102" s="43"/>
      <c r="W102" s="43"/>
      <c r="X102" s="38"/>
      <c r="Y102" s="38"/>
      <c r="Z102" s="43"/>
    </row>
    <row r="103" spans="1:26" ht="15.75">
      <c r="A103" s="43"/>
      <c r="B103" s="1174" t="s">
        <v>1479</v>
      </c>
      <c r="C103" s="1274"/>
      <c r="D103" s="1274"/>
      <c r="E103" s="1274"/>
      <c r="F103" s="1274"/>
      <c r="G103" s="1274"/>
      <c r="H103" s="1274"/>
      <c r="I103" s="1274"/>
      <c r="J103" s="1274"/>
      <c r="K103" s="1275"/>
      <c r="L103" s="43"/>
      <c r="M103" s="44"/>
      <c r="N103" s="119"/>
      <c r="O103" s="38"/>
      <c r="P103" s="38"/>
      <c r="Q103" s="43"/>
      <c r="R103" s="38"/>
      <c r="S103" s="38"/>
      <c r="T103" s="38"/>
      <c r="U103" s="38"/>
      <c r="V103" s="43"/>
      <c r="W103" s="43"/>
      <c r="X103" s="38"/>
      <c r="Y103" s="38"/>
      <c r="Z103" s="43"/>
    </row>
    <row r="104" spans="1:26" ht="15.75">
      <c r="A104" s="43"/>
      <c r="B104" s="1174" t="s">
        <v>1480</v>
      </c>
      <c r="C104" s="1274"/>
      <c r="D104" s="1274"/>
      <c r="E104" s="1274"/>
      <c r="F104" s="1274"/>
      <c r="G104" s="1274"/>
      <c r="H104" s="1274"/>
      <c r="I104" s="1274"/>
      <c r="J104" s="1274"/>
      <c r="K104" s="1275"/>
      <c r="L104" s="43"/>
      <c r="M104" s="44"/>
      <c r="N104" s="119"/>
      <c r="O104" s="38"/>
      <c r="P104" s="38"/>
      <c r="Q104" s="43"/>
      <c r="R104" s="38"/>
      <c r="S104" s="38"/>
      <c r="T104" s="38"/>
      <c r="U104" s="38"/>
      <c r="V104" s="43"/>
      <c r="W104" s="43"/>
      <c r="X104" s="38"/>
      <c r="Y104" s="38"/>
      <c r="Z104" s="43"/>
    </row>
    <row r="105" spans="1:26" ht="15.75">
      <c r="A105" s="43"/>
      <c r="B105" s="1174" t="s">
        <v>1481</v>
      </c>
      <c r="C105" s="1274"/>
      <c r="D105" s="1274"/>
      <c r="E105" s="1274"/>
      <c r="F105" s="1274"/>
      <c r="G105" s="1274"/>
      <c r="H105" s="1274"/>
      <c r="I105" s="1274"/>
      <c r="J105" s="1274"/>
      <c r="K105" s="1275"/>
      <c r="L105" s="43"/>
      <c r="M105" s="44"/>
      <c r="N105" s="119"/>
      <c r="O105" s="38"/>
      <c r="P105" s="38"/>
      <c r="Q105" s="43"/>
      <c r="R105" s="38"/>
      <c r="S105" s="38"/>
      <c r="T105" s="38"/>
      <c r="U105" s="38"/>
      <c r="V105" s="43"/>
      <c r="W105" s="43"/>
      <c r="X105" s="38"/>
      <c r="Y105" s="38"/>
      <c r="Z105" s="43"/>
    </row>
    <row r="106" spans="1:26" ht="15.75">
      <c r="A106" s="43"/>
      <c r="B106" s="1174" t="s">
        <v>1482</v>
      </c>
      <c r="C106" s="1274"/>
      <c r="D106" s="1274"/>
      <c r="E106" s="1274"/>
      <c r="F106" s="1274"/>
      <c r="G106" s="1274"/>
      <c r="H106" s="1274"/>
      <c r="I106" s="1274"/>
      <c r="J106" s="1274"/>
      <c r="K106" s="1275"/>
      <c r="L106" s="43"/>
      <c r="M106" s="44"/>
      <c r="N106" s="119"/>
      <c r="O106" s="38"/>
      <c r="P106" s="38"/>
      <c r="Q106" s="43"/>
      <c r="R106" s="38"/>
      <c r="S106" s="38"/>
      <c r="T106" s="38"/>
      <c r="U106" s="38"/>
      <c r="V106" s="43"/>
      <c r="W106" s="43"/>
      <c r="X106" s="38"/>
      <c r="Y106" s="38"/>
      <c r="Z106" s="43"/>
    </row>
    <row r="107" spans="1:26" ht="15.75">
      <c r="A107" s="43"/>
      <c r="B107" s="1174" t="s">
        <v>1349</v>
      </c>
      <c r="C107" s="1274"/>
      <c r="D107" s="1274"/>
      <c r="E107" s="1274"/>
      <c r="F107" s="1274"/>
      <c r="G107" s="1274"/>
      <c r="H107" s="1274"/>
      <c r="I107" s="1274"/>
      <c r="J107" s="1274"/>
      <c r="K107" s="1275"/>
      <c r="L107" s="43"/>
      <c r="M107" s="44"/>
      <c r="N107" s="119"/>
      <c r="O107" s="38"/>
      <c r="P107" s="38"/>
      <c r="Q107" s="43"/>
      <c r="R107" s="38"/>
      <c r="S107" s="38"/>
      <c r="T107" s="38"/>
      <c r="U107" s="38"/>
      <c r="V107" s="43"/>
      <c r="W107" s="43"/>
      <c r="X107" s="38"/>
      <c r="Y107" s="38"/>
      <c r="Z107" s="43"/>
    </row>
    <row r="108" spans="1:26" ht="15.75">
      <c r="A108" s="43"/>
      <c r="B108" s="1174" t="s">
        <v>1329</v>
      </c>
      <c r="C108" s="1274"/>
      <c r="D108" s="1274"/>
      <c r="E108" s="1274"/>
      <c r="F108" s="1274"/>
      <c r="G108" s="1274"/>
      <c r="H108" s="1274"/>
      <c r="I108" s="1274"/>
      <c r="J108" s="1274"/>
      <c r="K108" s="1275"/>
      <c r="L108" s="43"/>
      <c r="M108" s="44"/>
      <c r="N108" s="119"/>
      <c r="O108" s="38"/>
      <c r="P108" s="38"/>
      <c r="Q108" s="43"/>
      <c r="R108" s="38"/>
      <c r="S108" s="38"/>
      <c r="T108" s="38"/>
      <c r="U108" s="38"/>
      <c r="V108" s="43"/>
      <c r="W108" s="43"/>
      <c r="X108" s="38"/>
      <c r="Y108" s="38"/>
      <c r="Z108" s="43"/>
    </row>
    <row r="109" spans="1:26" ht="15.75">
      <c r="A109" s="43"/>
      <c r="B109" s="1174" t="s">
        <v>1308</v>
      </c>
      <c r="C109" s="1274"/>
      <c r="D109" s="1274"/>
      <c r="E109" s="1274"/>
      <c r="F109" s="1274"/>
      <c r="G109" s="1274"/>
      <c r="H109" s="1274"/>
      <c r="I109" s="1274"/>
      <c r="J109" s="1274"/>
      <c r="K109" s="1275"/>
      <c r="L109" s="43"/>
      <c r="M109" s="44"/>
      <c r="N109" s="119"/>
      <c r="O109" s="38"/>
      <c r="P109" s="38"/>
      <c r="Q109" s="43"/>
      <c r="R109" s="38"/>
      <c r="S109" s="38"/>
      <c r="T109" s="38"/>
      <c r="U109" s="38"/>
      <c r="V109" s="43"/>
      <c r="W109" s="43"/>
      <c r="X109" s="38"/>
      <c r="Y109" s="38"/>
      <c r="Z109" s="43"/>
    </row>
    <row r="110" spans="1:26" ht="15.75">
      <c r="A110" s="43"/>
      <c r="B110" s="1174" t="s">
        <v>1309</v>
      </c>
      <c r="C110" s="1274"/>
      <c r="D110" s="1274"/>
      <c r="E110" s="1274"/>
      <c r="F110" s="1274"/>
      <c r="G110" s="1274"/>
      <c r="H110" s="1274"/>
      <c r="I110" s="1274"/>
      <c r="J110" s="1274"/>
      <c r="K110" s="1275"/>
      <c r="L110" s="43"/>
      <c r="M110" s="44"/>
      <c r="N110" s="119"/>
      <c r="O110" s="38"/>
      <c r="P110" s="38"/>
      <c r="Q110" s="43"/>
      <c r="R110" s="38"/>
      <c r="S110" s="38"/>
      <c r="T110" s="38"/>
      <c r="U110" s="38"/>
      <c r="V110" s="43"/>
      <c r="W110" s="43"/>
      <c r="X110" s="38"/>
      <c r="Y110" s="38"/>
      <c r="Z110" s="43"/>
    </row>
    <row r="111" spans="1:26" ht="15.75">
      <c r="A111" s="43"/>
      <c r="B111" s="1177" t="s">
        <v>1310</v>
      </c>
      <c r="C111" s="1276"/>
      <c r="D111" s="1276"/>
      <c r="E111" s="1276"/>
      <c r="F111" s="1276"/>
      <c r="G111" s="1276"/>
      <c r="H111" s="1276"/>
      <c r="I111" s="1276"/>
      <c r="J111" s="1276"/>
      <c r="K111" s="1277"/>
      <c r="L111" s="43"/>
      <c r="M111" s="44"/>
      <c r="N111" s="119"/>
      <c r="O111" s="38"/>
      <c r="P111" s="38"/>
      <c r="Q111" s="43"/>
      <c r="R111" s="38"/>
      <c r="S111" s="38"/>
      <c r="T111" s="38"/>
      <c r="U111" s="38"/>
      <c r="V111" s="43"/>
      <c r="W111" s="43"/>
      <c r="X111" s="38"/>
      <c r="Y111" s="38"/>
      <c r="Z111" s="43"/>
    </row>
    <row r="112" spans="1:26" ht="15.75">
      <c r="A112" s="43"/>
      <c r="B112" s="1174" t="s">
        <v>1330</v>
      </c>
      <c r="C112" s="1274"/>
      <c r="D112" s="1274"/>
      <c r="E112" s="1274"/>
      <c r="F112" s="1278"/>
      <c r="G112" s="1274"/>
      <c r="H112" s="1274"/>
      <c r="I112" s="1274"/>
      <c r="J112" s="1274"/>
      <c r="K112" s="1275"/>
      <c r="L112" s="43"/>
      <c r="M112" s="44"/>
      <c r="N112" s="119"/>
      <c r="O112" s="38"/>
      <c r="P112" s="38"/>
      <c r="Q112" s="43"/>
      <c r="R112" s="38"/>
      <c r="S112" s="38"/>
      <c r="T112" s="38"/>
      <c r="U112" s="38"/>
      <c r="V112" s="43"/>
      <c r="W112" s="43"/>
      <c r="X112" s="38"/>
      <c r="Y112" s="38"/>
      <c r="Z112" s="43"/>
    </row>
    <row r="113" spans="1:26" ht="15.75">
      <c r="A113" s="43"/>
      <c r="B113" s="1174" t="s">
        <v>1331</v>
      </c>
      <c r="C113" s="1274"/>
      <c r="D113" s="1274"/>
      <c r="E113" s="1274"/>
      <c r="F113" s="1278"/>
      <c r="G113" s="1274"/>
      <c r="H113" s="1274"/>
      <c r="I113" s="1274"/>
      <c r="J113" s="1274"/>
      <c r="K113" s="1275"/>
      <c r="L113" s="43"/>
      <c r="M113" s="44"/>
      <c r="N113" s="119"/>
      <c r="O113" s="38"/>
      <c r="P113" s="38"/>
      <c r="Q113" s="43"/>
      <c r="R113" s="38"/>
      <c r="S113" s="38"/>
      <c r="T113" s="38"/>
      <c r="U113" s="38"/>
      <c r="V113" s="43"/>
      <c r="W113" s="43"/>
      <c r="X113" s="38"/>
      <c r="Y113" s="38"/>
      <c r="Z113" s="43"/>
    </row>
    <row r="114" spans="1:26" ht="15.75">
      <c r="A114" s="43"/>
      <c r="B114" s="1174" t="s">
        <v>1332</v>
      </c>
      <c r="C114" s="1274"/>
      <c r="D114" s="1274"/>
      <c r="E114" s="1274"/>
      <c r="F114" s="1278"/>
      <c r="G114" s="1274"/>
      <c r="H114" s="1274"/>
      <c r="I114" s="1274"/>
      <c r="J114" s="1274"/>
      <c r="K114" s="1275"/>
      <c r="L114" s="43"/>
      <c r="M114" s="44"/>
      <c r="N114" s="119"/>
      <c r="O114" s="38"/>
      <c r="P114" s="38"/>
      <c r="Q114" s="43"/>
      <c r="R114" s="38"/>
      <c r="S114" s="38"/>
      <c r="T114" s="38"/>
      <c r="U114" s="38"/>
      <c r="V114" s="43"/>
      <c r="W114" s="43"/>
      <c r="X114" s="38"/>
      <c r="Y114" s="38"/>
      <c r="Z114" s="43"/>
    </row>
    <row r="115" spans="1:26" ht="15.75">
      <c r="A115" s="43"/>
      <c r="B115" s="1174" t="s">
        <v>1333</v>
      </c>
      <c r="C115" s="1274"/>
      <c r="D115" s="1274"/>
      <c r="E115" s="1274"/>
      <c r="F115" s="1278"/>
      <c r="G115" s="1274"/>
      <c r="H115" s="1274"/>
      <c r="I115" s="1274"/>
      <c r="J115" s="1274"/>
      <c r="K115" s="1275"/>
      <c r="L115" s="43"/>
      <c r="M115" s="44"/>
      <c r="N115" s="119"/>
      <c r="O115" s="38"/>
      <c r="P115" s="38"/>
      <c r="Q115" s="43"/>
      <c r="R115" s="38"/>
      <c r="S115" s="38"/>
      <c r="T115" s="38"/>
      <c r="U115" s="38"/>
      <c r="V115" s="43"/>
      <c r="W115" s="43"/>
      <c r="X115" s="38"/>
      <c r="Y115" s="38"/>
      <c r="Z115" s="43"/>
    </row>
    <row r="116" spans="1:26" ht="15.75">
      <c r="A116" s="43"/>
      <c r="B116" s="1174" t="s">
        <v>1483</v>
      </c>
      <c r="C116" s="1274"/>
      <c r="D116" s="1274"/>
      <c r="E116" s="1274"/>
      <c r="F116" s="1278"/>
      <c r="G116" s="1274"/>
      <c r="H116" s="1274"/>
      <c r="I116" s="1274"/>
      <c r="J116" s="1274"/>
      <c r="K116" s="1275"/>
      <c r="L116" s="43"/>
      <c r="M116" s="44"/>
      <c r="N116" s="119"/>
      <c r="O116" s="38"/>
      <c r="P116" s="38"/>
      <c r="Q116" s="43"/>
      <c r="R116" s="38"/>
      <c r="S116" s="38"/>
      <c r="T116" s="38"/>
      <c r="U116" s="38"/>
      <c r="V116" s="43"/>
      <c r="W116" s="43"/>
      <c r="X116" s="38"/>
      <c r="Y116" s="38"/>
      <c r="Z116" s="43"/>
    </row>
    <row r="117" spans="1:26" ht="15.75">
      <c r="A117" s="43"/>
      <c r="B117" s="1174" t="s">
        <v>1941</v>
      </c>
      <c r="C117" s="1274"/>
      <c r="D117" s="1274"/>
      <c r="E117" s="1274"/>
      <c r="F117" s="1278"/>
      <c r="G117" s="1274"/>
      <c r="H117" s="1274"/>
      <c r="I117" s="1274"/>
      <c r="J117" s="1274"/>
      <c r="K117" s="1275"/>
      <c r="L117" s="43"/>
      <c r="M117" s="44"/>
      <c r="N117" s="119"/>
      <c r="O117" s="38"/>
      <c r="P117" s="38"/>
      <c r="Q117" s="43"/>
      <c r="R117" s="38"/>
      <c r="S117" s="38"/>
      <c r="T117" s="38"/>
      <c r="U117" s="38"/>
      <c r="V117" s="43"/>
      <c r="W117" s="43"/>
      <c r="X117" s="38"/>
      <c r="Y117" s="38"/>
      <c r="Z117" s="43"/>
    </row>
    <row r="118" spans="1:26" ht="15.75">
      <c r="A118" s="43"/>
      <c r="B118" s="1174" t="s">
        <v>1484</v>
      </c>
      <c r="C118" s="1274"/>
      <c r="D118" s="1274"/>
      <c r="E118" s="1274"/>
      <c r="F118" s="1278"/>
      <c r="G118" s="1274"/>
      <c r="H118" s="1274"/>
      <c r="I118" s="1274"/>
      <c r="J118" s="1274"/>
      <c r="K118" s="1275"/>
      <c r="L118" s="43"/>
      <c r="M118" s="44"/>
      <c r="N118" s="119"/>
      <c r="O118" s="38"/>
      <c r="P118" s="38"/>
      <c r="Q118" s="43"/>
      <c r="R118" s="38"/>
      <c r="S118" s="38"/>
      <c r="T118" s="38"/>
      <c r="U118" s="38"/>
      <c r="V118" s="43"/>
      <c r="W118" s="43"/>
      <c r="X118" s="38"/>
      <c r="Y118" s="38"/>
      <c r="Z118" s="43"/>
    </row>
    <row r="119" spans="1:26" ht="15.75">
      <c r="A119" s="43"/>
      <c r="B119" s="1174" t="s">
        <v>1485</v>
      </c>
      <c r="C119" s="1274"/>
      <c r="D119" s="1274"/>
      <c r="E119" s="1274"/>
      <c r="F119" s="1278"/>
      <c r="G119" s="1274"/>
      <c r="H119" s="1274"/>
      <c r="I119" s="1274"/>
      <c r="J119" s="1274"/>
      <c r="K119" s="1275"/>
      <c r="L119" s="43"/>
      <c r="M119" s="44"/>
      <c r="N119" s="119"/>
      <c r="O119" s="38"/>
      <c r="P119" s="38"/>
      <c r="Q119" s="43"/>
      <c r="R119" s="38"/>
      <c r="S119" s="38"/>
      <c r="T119" s="38"/>
      <c r="U119" s="38"/>
      <c r="V119" s="43"/>
      <c r="W119" s="43"/>
      <c r="X119" s="38"/>
      <c r="Y119" s="38"/>
      <c r="Z119" s="43"/>
    </row>
    <row r="120" spans="1:26" ht="15.75">
      <c r="A120" s="43"/>
      <c r="B120" s="1174" t="s">
        <v>1486</v>
      </c>
      <c r="C120" s="1274"/>
      <c r="D120" s="1274"/>
      <c r="E120" s="1274"/>
      <c r="F120" s="1278"/>
      <c r="G120" s="1274"/>
      <c r="H120" s="1274"/>
      <c r="I120" s="1274"/>
      <c r="J120" s="1274"/>
      <c r="K120" s="1275"/>
      <c r="L120" s="43"/>
      <c r="M120" s="44"/>
      <c r="N120" s="119"/>
      <c r="O120" s="38"/>
      <c r="P120" s="38"/>
      <c r="Q120" s="43"/>
      <c r="R120" s="38"/>
      <c r="S120" s="38"/>
      <c r="T120" s="38"/>
      <c r="U120" s="38"/>
      <c r="V120" s="43"/>
      <c r="W120" s="43"/>
      <c r="X120" s="38"/>
      <c r="Y120" s="38"/>
      <c r="Z120" s="43"/>
    </row>
    <row r="121" spans="1:26" ht="15.75">
      <c r="A121" s="43"/>
      <c r="B121" s="1174" t="s">
        <v>1488</v>
      </c>
      <c r="C121" s="1274"/>
      <c r="D121" s="1274"/>
      <c r="E121" s="1274"/>
      <c r="F121" s="1278"/>
      <c r="G121" s="1274"/>
      <c r="H121" s="1274"/>
      <c r="I121" s="1274"/>
      <c r="J121" s="1274"/>
      <c r="K121" s="1275"/>
      <c r="L121" s="43"/>
      <c r="M121" s="44"/>
      <c r="N121" s="119"/>
      <c r="O121" s="38"/>
      <c r="P121" s="38"/>
      <c r="Q121" s="43"/>
      <c r="R121" s="38"/>
      <c r="S121" s="38"/>
      <c r="T121" s="38"/>
      <c r="U121" s="38"/>
      <c r="V121" s="43"/>
      <c r="W121" s="43"/>
      <c r="X121" s="38"/>
      <c r="Y121" s="38"/>
      <c r="Z121" s="43"/>
    </row>
    <row r="122" spans="1:26" ht="15.75">
      <c r="A122" s="43"/>
      <c r="B122" s="1174" t="s">
        <v>1487</v>
      </c>
      <c r="C122" s="1274"/>
      <c r="D122" s="1274"/>
      <c r="E122" s="1274"/>
      <c r="F122" s="1278"/>
      <c r="G122" s="1274"/>
      <c r="H122" s="1274"/>
      <c r="I122" s="1274"/>
      <c r="J122" s="1274"/>
      <c r="K122" s="1275"/>
      <c r="L122" s="43"/>
      <c r="M122" s="44"/>
      <c r="N122" s="119"/>
      <c r="O122" s="38"/>
      <c r="P122" s="38"/>
      <c r="Q122" s="43"/>
      <c r="R122" s="38"/>
      <c r="S122" s="38"/>
      <c r="T122" s="38"/>
      <c r="U122" s="38"/>
      <c r="V122" s="43"/>
      <c r="W122" s="43"/>
      <c r="X122" s="38"/>
      <c r="Y122" s="38"/>
      <c r="Z122" s="43"/>
    </row>
    <row r="123" spans="1:26" ht="15.75">
      <c r="A123" s="43"/>
      <c r="B123" s="1174" t="s">
        <v>1489</v>
      </c>
      <c r="C123" s="1274"/>
      <c r="D123" s="1274"/>
      <c r="E123" s="1274"/>
      <c r="F123" s="1278"/>
      <c r="G123" s="1274"/>
      <c r="H123" s="1274"/>
      <c r="I123" s="1274"/>
      <c r="J123" s="1274"/>
      <c r="K123" s="1275"/>
      <c r="L123" s="43"/>
      <c r="M123" s="44"/>
      <c r="N123" s="119"/>
      <c r="O123" s="38"/>
      <c r="P123" s="38"/>
      <c r="Q123" s="43"/>
      <c r="R123" s="38"/>
      <c r="S123" s="38"/>
      <c r="T123" s="38"/>
      <c r="U123" s="38"/>
      <c r="V123" s="43"/>
      <c r="W123" s="43"/>
      <c r="X123" s="38"/>
      <c r="Y123" s="38"/>
      <c r="Z123" s="43"/>
    </row>
    <row r="124" spans="1:26" ht="15.75">
      <c r="A124" s="43"/>
      <c r="B124" s="1174" t="s">
        <v>1491</v>
      </c>
      <c r="C124" s="1274"/>
      <c r="D124" s="1274"/>
      <c r="E124" s="1274"/>
      <c r="F124" s="1278"/>
      <c r="G124" s="1274"/>
      <c r="H124" s="1274"/>
      <c r="I124" s="1274"/>
      <c r="J124" s="1274"/>
      <c r="K124" s="1275"/>
      <c r="L124" s="43"/>
      <c r="M124" s="44"/>
      <c r="N124" s="119"/>
      <c r="O124" s="38"/>
      <c r="P124" s="38"/>
      <c r="Q124" s="43"/>
      <c r="R124" s="38"/>
      <c r="S124" s="38"/>
      <c r="T124" s="38"/>
      <c r="U124" s="38"/>
      <c r="V124" s="43"/>
      <c r="W124" s="43"/>
      <c r="X124" s="38"/>
      <c r="Y124" s="38"/>
      <c r="Z124" s="43"/>
    </row>
    <row r="125" spans="1:26" ht="15.75">
      <c r="A125" s="43"/>
      <c r="B125" s="1174" t="s">
        <v>1490</v>
      </c>
      <c r="C125" s="1274"/>
      <c r="D125" s="1274"/>
      <c r="E125" s="1274"/>
      <c r="F125" s="1278"/>
      <c r="G125" s="1274"/>
      <c r="H125" s="1274"/>
      <c r="I125" s="1274"/>
      <c r="J125" s="1274"/>
      <c r="K125" s="1275"/>
      <c r="L125" s="43"/>
      <c r="M125" s="44"/>
      <c r="N125" s="119"/>
      <c r="O125" s="38"/>
      <c r="P125" s="38"/>
      <c r="Q125" s="43"/>
      <c r="R125" s="38"/>
      <c r="S125" s="38"/>
      <c r="T125" s="38"/>
      <c r="U125" s="38"/>
      <c r="V125" s="43"/>
      <c r="W125" s="43"/>
      <c r="X125" s="38"/>
      <c r="Y125" s="38"/>
      <c r="Z125" s="43"/>
    </row>
    <row r="126" spans="1:26" ht="15.75">
      <c r="A126" s="43"/>
      <c r="B126" s="2502" t="s">
        <v>1959</v>
      </c>
      <c r="C126" s="2503"/>
      <c r="D126" s="2503"/>
      <c r="E126" s="1274" t="s">
        <v>1886</v>
      </c>
      <c r="F126" s="1278"/>
      <c r="G126" s="1274"/>
      <c r="H126" s="1274"/>
      <c r="I126" s="1274"/>
      <c r="J126" s="1274"/>
      <c r="K126" s="1275"/>
      <c r="L126" s="43"/>
      <c r="M126" s="44"/>
      <c r="N126" s="119"/>
      <c r="O126" s="38"/>
      <c r="P126" s="38"/>
      <c r="Q126" s="43"/>
      <c r="R126" s="38"/>
      <c r="S126" s="38"/>
      <c r="T126" s="38"/>
      <c r="U126" s="38"/>
      <c r="V126" s="43"/>
      <c r="W126" s="43"/>
      <c r="X126" s="38"/>
      <c r="Y126" s="38"/>
      <c r="Z126" s="43"/>
    </row>
    <row r="127" spans="1:26" ht="15.75">
      <c r="A127" s="43"/>
      <c r="B127" s="1174" t="s">
        <v>1885</v>
      </c>
      <c r="C127" s="1274"/>
      <c r="D127" s="1274"/>
      <c r="E127" s="1274"/>
      <c r="F127" s="1278"/>
      <c r="G127" s="1274"/>
      <c r="H127" s="1274"/>
      <c r="I127" s="1274"/>
      <c r="J127" s="1274"/>
      <c r="K127" s="1275"/>
      <c r="L127" s="43"/>
      <c r="M127" s="44"/>
      <c r="N127" s="119"/>
      <c r="O127" s="38"/>
      <c r="P127" s="38"/>
      <c r="Q127" s="43"/>
      <c r="R127" s="38"/>
      <c r="S127" s="38"/>
      <c r="T127" s="38"/>
      <c r="U127" s="38"/>
      <c r="V127" s="43"/>
      <c r="W127" s="43"/>
      <c r="X127" s="38"/>
      <c r="Y127" s="38"/>
      <c r="Z127" s="43"/>
    </row>
    <row r="128" spans="1:26" ht="15.75">
      <c r="A128" s="43"/>
      <c r="B128" s="1174" t="s">
        <v>1887</v>
      </c>
      <c r="C128" s="1274"/>
      <c r="D128" s="1274"/>
      <c r="E128" s="1274"/>
      <c r="F128" s="1278"/>
      <c r="G128" s="1274"/>
      <c r="H128" s="1274"/>
      <c r="I128" s="1274"/>
      <c r="J128" s="1274"/>
      <c r="K128" s="1275"/>
      <c r="L128" s="43"/>
      <c r="M128" s="44"/>
      <c r="N128" s="119"/>
      <c r="O128" s="38"/>
      <c r="P128" s="38"/>
      <c r="Q128" s="43"/>
      <c r="R128" s="38"/>
      <c r="S128" s="38"/>
      <c r="T128" s="38"/>
      <c r="U128" s="38"/>
      <c r="V128" s="43"/>
      <c r="W128" s="43"/>
      <c r="X128" s="38"/>
      <c r="Y128" s="38"/>
      <c r="Z128" s="43"/>
    </row>
    <row r="129" spans="1:26" ht="15.75">
      <c r="A129" s="43"/>
      <c r="B129" s="1174" t="s">
        <v>1889</v>
      </c>
      <c r="C129" s="1274"/>
      <c r="D129" s="2504" t="s">
        <v>1958</v>
      </c>
      <c r="E129" s="2505"/>
      <c r="F129" s="2505"/>
      <c r="G129" s="1274" t="s">
        <v>1888</v>
      </c>
      <c r="H129" s="1274"/>
      <c r="I129" s="1274"/>
      <c r="J129" s="1274"/>
      <c r="K129" s="1275"/>
      <c r="L129" s="43"/>
      <c r="M129" s="44"/>
      <c r="N129" s="119"/>
      <c r="O129" s="38"/>
      <c r="P129" s="38"/>
      <c r="Q129" s="43"/>
      <c r="R129" s="38"/>
      <c r="S129" s="38"/>
      <c r="T129" s="38"/>
      <c r="U129" s="38"/>
      <c r="V129" s="43"/>
      <c r="W129" s="43"/>
      <c r="X129" s="38"/>
      <c r="Y129" s="38"/>
      <c r="Z129" s="43"/>
    </row>
    <row r="130" spans="1:26" ht="15.75">
      <c r="A130" s="43"/>
      <c r="B130" s="1174" t="s">
        <v>1492</v>
      </c>
      <c r="C130" s="1274"/>
      <c r="D130" s="1274"/>
      <c r="E130" s="1274"/>
      <c r="F130" s="1278"/>
      <c r="G130" s="1274"/>
      <c r="H130" s="1274"/>
      <c r="I130" s="1274"/>
      <c r="J130" s="1274"/>
      <c r="K130" s="1275"/>
      <c r="L130" s="43"/>
      <c r="M130" s="44"/>
      <c r="N130" s="119"/>
      <c r="O130" s="38"/>
      <c r="P130" s="38"/>
      <c r="Q130" s="43"/>
      <c r="R130" s="38"/>
      <c r="S130" s="38"/>
      <c r="T130" s="38"/>
      <c r="U130" s="38"/>
      <c r="V130" s="43"/>
      <c r="W130" s="43"/>
      <c r="X130" s="38"/>
      <c r="Y130" s="38"/>
      <c r="Z130" s="43"/>
    </row>
    <row r="131" spans="1:26" ht="15.75">
      <c r="A131" s="43"/>
      <c r="B131" s="1174" t="s">
        <v>1493</v>
      </c>
      <c r="C131" s="1274"/>
      <c r="D131" s="1274"/>
      <c r="E131" s="1274"/>
      <c r="F131" s="1278"/>
      <c r="G131" s="1274"/>
      <c r="H131" s="1274"/>
      <c r="I131" s="1274"/>
      <c r="J131" s="1274"/>
      <c r="K131" s="1275"/>
      <c r="L131" s="43"/>
      <c r="M131" s="44"/>
      <c r="N131" s="119"/>
      <c r="O131" s="38"/>
      <c r="P131" s="38"/>
      <c r="Q131" s="43"/>
      <c r="R131" s="38"/>
      <c r="S131" s="38"/>
      <c r="T131" s="38"/>
      <c r="U131" s="38"/>
      <c r="V131" s="43"/>
      <c r="W131" s="43"/>
      <c r="X131" s="38"/>
      <c r="Y131" s="38"/>
      <c r="Z131" s="43"/>
    </row>
    <row r="132" spans="1:26" ht="15.75">
      <c r="A132" s="43"/>
      <c r="B132" s="1174" t="s">
        <v>1502</v>
      </c>
      <c r="C132" s="1274"/>
      <c r="D132" s="1274"/>
      <c r="E132" s="1274"/>
      <c r="F132" s="1278"/>
      <c r="G132" s="1274"/>
      <c r="H132" s="1274"/>
      <c r="I132" s="1274"/>
      <c r="J132" s="1274"/>
      <c r="K132" s="1275"/>
      <c r="L132" s="43"/>
      <c r="M132" s="44"/>
      <c r="N132" s="119"/>
      <c r="O132" s="38"/>
      <c r="P132" s="38"/>
      <c r="Q132" s="43"/>
      <c r="R132" s="38"/>
      <c r="S132" s="38"/>
      <c r="T132" s="38"/>
      <c r="U132" s="38"/>
      <c r="V132" s="43"/>
      <c r="W132" s="43"/>
      <c r="X132" s="38"/>
      <c r="Y132" s="38"/>
      <c r="Z132" s="43"/>
    </row>
    <row r="133" spans="1:26" ht="15.75">
      <c r="A133" s="43"/>
      <c r="B133" s="1177" t="s">
        <v>1494</v>
      </c>
      <c r="C133" s="1276"/>
      <c r="D133" s="1276"/>
      <c r="E133" s="1276"/>
      <c r="F133" s="1806"/>
      <c r="G133" s="1276"/>
      <c r="H133" s="1276"/>
      <c r="I133" s="1276"/>
      <c r="J133" s="1276"/>
      <c r="K133" s="1277"/>
      <c r="L133" s="43"/>
      <c r="M133" s="44"/>
      <c r="N133" s="119"/>
      <c r="O133" s="38"/>
      <c r="P133" s="38"/>
      <c r="Q133" s="43"/>
      <c r="R133" s="38"/>
      <c r="S133" s="38"/>
      <c r="T133" s="38"/>
      <c r="U133" s="38"/>
      <c r="V133" s="43"/>
      <c r="W133" s="43"/>
      <c r="X133" s="38"/>
      <c r="Y133" s="38"/>
      <c r="Z133" s="43"/>
    </row>
    <row r="134" spans="1:26" ht="15.75">
      <c r="A134" s="43"/>
      <c r="B134" s="1174" t="s">
        <v>1503</v>
      </c>
      <c r="C134" s="1274"/>
      <c r="D134" s="1274"/>
      <c r="E134" s="1274"/>
      <c r="F134" s="1274"/>
      <c r="G134" s="1274"/>
      <c r="H134" s="1274"/>
      <c r="I134" s="1274"/>
      <c r="J134" s="1274"/>
      <c r="K134" s="1275"/>
      <c r="L134" s="43"/>
      <c r="M134" s="44"/>
      <c r="N134" s="119"/>
      <c r="O134" s="38"/>
      <c r="P134" s="38"/>
      <c r="Q134" s="43"/>
      <c r="R134" s="38"/>
      <c r="S134" s="38"/>
      <c r="T134" s="38"/>
      <c r="U134" s="38"/>
      <c r="V134" s="43"/>
      <c r="W134" s="43"/>
      <c r="X134" s="38"/>
      <c r="Y134" s="38"/>
      <c r="Z134" s="43"/>
    </row>
    <row r="135" spans="1:26" ht="15.75">
      <c r="A135" s="43"/>
      <c r="B135" s="1174" t="s">
        <v>1504</v>
      </c>
      <c r="C135" s="1274"/>
      <c r="D135" s="1274"/>
      <c r="E135" s="1274"/>
      <c r="F135" s="1274"/>
      <c r="G135" s="1274"/>
      <c r="H135" s="1274"/>
      <c r="I135" s="1274"/>
      <c r="J135" s="1274"/>
      <c r="K135" s="1275"/>
      <c r="L135" s="43"/>
      <c r="M135" s="44"/>
      <c r="N135" s="119"/>
      <c r="O135" s="38"/>
      <c r="P135" s="38"/>
      <c r="Q135" s="43"/>
      <c r="R135" s="38"/>
      <c r="S135" s="38"/>
      <c r="T135" s="38"/>
      <c r="U135" s="38"/>
      <c r="V135" s="43"/>
      <c r="W135" s="43"/>
      <c r="X135" s="38"/>
      <c r="Y135" s="38"/>
      <c r="Z135" s="43"/>
    </row>
    <row r="136" spans="1:26" ht="15.75">
      <c r="A136" s="43"/>
      <c r="B136" s="1174" t="s">
        <v>1505</v>
      </c>
      <c r="C136" s="1274"/>
      <c r="D136" s="1274"/>
      <c r="E136" s="1274"/>
      <c r="F136" s="1274"/>
      <c r="G136" s="1274"/>
      <c r="H136" s="1274"/>
      <c r="I136" s="1274"/>
      <c r="J136" s="1274"/>
      <c r="K136" s="1275"/>
      <c r="L136" s="43"/>
      <c r="M136" s="44"/>
      <c r="N136" s="119"/>
      <c r="O136" s="38"/>
      <c r="P136" s="38"/>
      <c r="Q136" s="43"/>
      <c r="R136" s="38"/>
      <c r="S136" s="38"/>
      <c r="T136" s="38"/>
      <c r="U136" s="38"/>
      <c r="V136" s="43"/>
      <c r="W136" s="43"/>
      <c r="X136" s="38"/>
      <c r="Y136" s="38"/>
      <c r="Z136" s="43"/>
    </row>
    <row r="137" spans="1:26" ht="15.75">
      <c r="A137" s="43"/>
      <c r="B137" s="1174" t="s">
        <v>1940</v>
      </c>
      <c r="C137" s="1274"/>
      <c r="D137" s="1274"/>
      <c r="E137" s="1274"/>
      <c r="F137" s="1274"/>
      <c r="G137" s="1274"/>
      <c r="H137" s="1274"/>
      <c r="I137" s="1274"/>
      <c r="J137" s="1274"/>
      <c r="K137" s="1275"/>
      <c r="L137" s="43"/>
      <c r="M137" s="44"/>
      <c r="N137" s="119"/>
      <c r="O137" s="38"/>
      <c r="P137" s="38"/>
      <c r="Q137" s="43"/>
      <c r="R137" s="38"/>
      <c r="S137" s="38"/>
      <c r="T137" s="38"/>
      <c r="U137" s="38"/>
      <c r="V137" s="43"/>
      <c r="W137" s="43"/>
      <c r="X137" s="38"/>
      <c r="Y137" s="38"/>
      <c r="Z137" s="43"/>
    </row>
    <row r="138" spans="1:26" ht="15.75">
      <c r="A138" s="43"/>
      <c r="B138" s="1174" t="s">
        <v>1507</v>
      </c>
      <c r="C138" s="1274"/>
      <c r="D138" s="1274"/>
      <c r="E138" s="1274"/>
      <c r="F138" s="1274"/>
      <c r="G138" s="1274"/>
      <c r="H138" s="1274"/>
      <c r="I138" s="1274"/>
      <c r="J138" s="1274"/>
      <c r="K138" s="1275"/>
      <c r="L138" s="43"/>
      <c r="M138" s="44"/>
      <c r="N138" s="119"/>
      <c r="O138" s="38"/>
      <c r="P138" s="38"/>
      <c r="Q138" s="43"/>
      <c r="R138" s="38"/>
      <c r="S138" s="38"/>
      <c r="T138" s="38"/>
      <c r="U138" s="38"/>
      <c r="V138" s="43"/>
      <c r="W138" s="43"/>
      <c r="X138" s="38"/>
      <c r="Y138" s="38"/>
      <c r="Z138" s="43"/>
    </row>
    <row r="139" spans="1:26" ht="15.75">
      <c r="A139" s="43"/>
      <c r="B139" s="1174" t="s">
        <v>1508</v>
      </c>
      <c r="C139" s="1274"/>
      <c r="D139" s="1274"/>
      <c r="E139" s="1274"/>
      <c r="F139" s="1274"/>
      <c r="G139" s="1274"/>
      <c r="H139" s="1274"/>
      <c r="I139" s="1274"/>
      <c r="J139" s="1274"/>
      <c r="K139" s="1275"/>
      <c r="L139" s="43"/>
      <c r="M139" s="44"/>
      <c r="N139" s="119"/>
      <c r="O139" s="38"/>
      <c r="P139" s="38"/>
      <c r="Q139" s="43"/>
      <c r="R139" s="38"/>
      <c r="S139" s="38"/>
      <c r="T139" s="38"/>
      <c r="U139" s="38"/>
      <c r="V139" s="43"/>
      <c r="W139" s="43"/>
      <c r="X139" s="38"/>
      <c r="Y139" s="38"/>
      <c r="Z139" s="43"/>
    </row>
    <row r="140" spans="1:26" ht="15.75">
      <c r="A140" s="43"/>
      <c r="B140" s="1174" t="s">
        <v>1311</v>
      </c>
      <c r="C140" s="1274"/>
      <c r="D140" s="1274"/>
      <c r="E140" s="1274"/>
      <c r="F140" s="1274"/>
      <c r="G140" s="1274"/>
      <c r="H140" s="1274"/>
      <c r="I140" s="1274"/>
      <c r="J140" s="1274"/>
      <c r="K140" s="1275"/>
      <c r="L140" s="43"/>
      <c r="M140" s="44"/>
      <c r="N140" s="119"/>
      <c r="O140" s="38"/>
      <c r="P140" s="38"/>
      <c r="Q140" s="43"/>
      <c r="R140" s="38"/>
      <c r="S140" s="38"/>
      <c r="T140" s="38"/>
      <c r="U140" s="38"/>
      <c r="V140" s="43"/>
      <c r="W140" s="43"/>
      <c r="X140" s="38"/>
      <c r="Y140" s="38"/>
      <c r="Z140" s="43"/>
    </row>
    <row r="141" spans="1:26" ht="15.75">
      <c r="A141" s="43"/>
      <c r="B141" s="1174" t="s">
        <v>1306</v>
      </c>
      <c r="C141" s="1274"/>
      <c r="D141" s="1274"/>
      <c r="E141" s="1274"/>
      <c r="F141" s="1274"/>
      <c r="G141" s="1274"/>
      <c r="H141" s="1274"/>
      <c r="I141" s="1274"/>
      <c r="J141" s="1274"/>
      <c r="K141" s="1275"/>
      <c r="L141" s="43"/>
      <c r="M141" s="44"/>
      <c r="N141" s="119"/>
      <c r="O141" s="38"/>
      <c r="P141" s="38"/>
      <c r="Q141" s="43"/>
      <c r="R141" s="38"/>
      <c r="S141" s="38"/>
      <c r="T141" s="38"/>
      <c r="U141" s="38"/>
      <c r="V141" s="43"/>
      <c r="W141" s="43"/>
      <c r="X141" s="38"/>
      <c r="Y141" s="38"/>
      <c r="Z141" s="43"/>
    </row>
    <row r="142" spans="1:26" ht="15.75">
      <c r="A142" s="43"/>
      <c r="B142" s="1177" t="s">
        <v>1307</v>
      </c>
      <c r="C142" s="1276"/>
      <c r="D142" s="1276"/>
      <c r="E142" s="1276"/>
      <c r="F142" s="1276"/>
      <c r="G142" s="1276"/>
      <c r="H142" s="1276"/>
      <c r="I142" s="1276"/>
      <c r="J142" s="1276"/>
      <c r="K142" s="1277"/>
      <c r="L142" s="43"/>
      <c r="M142" s="44"/>
      <c r="N142" s="119"/>
      <c r="O142" s="38"/>
      <c r="P142" s="38"/>
      <c r="Q142" s="43"/>
      <c r="R142" s="38"/>
      <c r="S142" s="38"/>
      <c r="T142" s="38"/>
      <c r="U142" s="38"/>
      <c r="V142" s="43"/>
      <c r="W142" s="43"/>
      <c r="X142" s="38"/>
      <c r="Y142" s="38"/>
      <c r="Z142" s="43"/>
    </row>
    <row r="143" spans="1:26" ht="15.75">
      <c r="A143" s="43"/>
      <c r="B143" s="1174" t="s">
        <v>1495</v>
      </c>
      <c r="C143" s="1274"/>
      <c r="D143" s="1274"/>
      <c r="E143" s="1274"/>
      <c r="F143" s="1278"/>
      <c r="G143" s="1274"/>
      <c r="H143" s="1274"/>
      <c r="I143" s="1274"/>
      <c r="J143" s="1274"/>
      <c r="K143" s="1275"/>
      <c r="L143" s="43"/>
      <c r="M143" s="44"/>
      <c r="N143" s="119"/>
      <c r="O143" s="38"/>
      <c r="P143" s="38"/>
      <c r="Q143" s="43"/>
      <c r="R143" s="38"/>
      <c r="S143" s="38"/>
      <c r="T143" s="38"/>
      <c r="U143" s="38"/>
      <c r="V143" s="43"/>
      <c r="W143" s="43"/>
      <c r="X143" s="38"/>
      <c r="Y143" s="38"/>
      <c r="Z143" s="43"/>
    </row>
    <row r="144" spans="1:26" ht="15.75">
      <c r="A144" s="43"/>
      <c r="B144" s="1174" t="s">
        <v>1496</v>
      </c>
      <c r="C144" s="1274"/>
      <c r="D144" s="1274"/>
      <c r="E144" s="1274"/>
      <c r="F144" s="1274"/>
      <c r="G144" s="1274"/>
      <c r="H144" s="1274"/>
      <c r="I144" s="1274"/>
      <c r="J144" s="1274"/>
      <c r="K144" s="1275"/>
      <c r="L144" s="43"/>
      <c r="M144" s="44"/>
      <c r="N144" s="119"/>
      <c r="O144" s="38"/>
      <c r="P144" s="38"/>
      <c r="Q144" s="43"/>
      <c r="R144" s="38"/>
      <c r="S144" s="38"/>
      <c r="T144" s="38"/>
      <c r="U144" s="38"/>
      <c r="V144" s="43"/>
      <c r="W144" s="43"/>
      <c r="X144" s="38"/>
      <c r="Y144" s="38"/>
      <c r="Z144" s="43"/>
    </row>
    <row r="145" spans="1:26" ht="15.75">
      <c r="A145" s="43"/>
      <c r="B145" s="1174" t="s">
        <v>1497</v>
      </c>
      <c r="C145" s="1274"/>
      <c r="D145" s="1274"/>
      <c r="E145" s="1274"/>
      <c r="F145" s="1274"/>
      <c r="G145" s="1274"/>
      <c r="H145" s="1274"/>
      <c r="I145" s="1274"/>
      <c r="J145" s="1274"/>
      <c r="K145" s="1275"/>
      <c r="L145" s="43"/>
      <c r="M145" s="44"/>
      <c r="N145" s="119"/>
      <c r="O145" s="38"/>
      <c r="P145" s="38"/>
      <c r="Q145" s="43"/>
      <c r="R145" s="38"/>
      <c r="S145" s="38"/>
      <c r="T145" s="38"/>
      <c r="U145" s="38"/>
      <c r="V145" s="43"/>
      <c r="W145" s="43"/>
      <c r="X145" s="38"/>
      <c r="Y145" s="38"/>
      <c r="Z145" s="43"/>
    </row>
    <row r="146" spans="1:26" ht="15.75">
      <c r="A146" s="43"/>
      <c r="B146" s="1174" t="s">
        <v>1334</v>
      </c>
      <c r="C146" s="1274"/>
      <c r="D146" s="1274"/>
      <c r="E146" s="1274"/>
      <c r="F146" s="1274"/>
      <c r="G146" s="1274"/>
      <c r="H146" s="1274"/>
      <c r="I146" s="1274"/>
      <c r="J146" s="1274"/>
      <c r="K146" s="1275"/>
      <c r="L146" s="43"/>
      <c r="M146" s="44"/>
      <c r="N146" s="119"/>
      <c r="O146" s="38"/>
      <c r="P146" s="38"/>
      <c r="Q146" s="43"/>
      <c r="R146" s="38"/>
      <c r="S146" s="38"/>
      <c r="T146" s="38"/>
      <c r="U146" s="38"/>
      <c r="V146" s="43"/>
      <c r="W146" s="43"/>
      <c r="X146" s="38"/>
      <c r="Y146" s="38"/>
      <c r="Z146" s="43"/>
    </row>
    <row r="147" spans="1:26" ht="15.75">
      <c r="A147" s="43"/>
      <c r="B147" s="1174" t="s">
        <v>1498</v>
      </c>
      <c r="C147" s="1274"/>
      <c r="D147" s="1274"/>
      <c r="E147" s="1274"/>
      <c r="F147" s="1274"/>
      <c r="G147" s="1274"/>
      <c r="H147" s="1274"/>
      <c r="I147" s="1274"/>
      <c r="J147" s="1274"/>
      <c r="K147" s="1275"/>
      <c r="L147" s="43"/>
      <c r="M147" s="44"/>
      <c r="N147" s="119"/>
      <c r="O147" s="38"/>
      <c r="P147" s="38"/>
      <c r="Q147" s="43"/>
      <c r="R147" s="38"/>
      <c r="S147" s="38"/>
      <c r="T147" s="38"/>
      <c r="U147" s="38"/>
      <c r="V147" s="43"/>
      <c r="W147" s="43"/>
      <c r="X147" s="38"/>
      <c r="Y147" s="38"/>
      <c r="Z147" s="43"/>
    </row>
    <row r="148" spans="1:26" ht="15.75">
      <c r="A148" s="43"/>
      <c r="B148" s="1174" t="s">
        <v>1499</v>
      </c>
      <c r="C148" s="1274"/>
      <c r="D148" s="1274"/>
      <c r="E148" s="1274"/>
      <c r="F148" s="1274"/>
      <c r="G148" s="1274"/>
      <c r="H148" s="1274"/>
      <c r="I148" s="1274"/>
      <c r="J148" s="1274"/>
      <c r="K148" s="1275"/>
      <c r="L148" s="43"/>
      <c r="M148" s="44"/>
      <c r="N148" s="119"/>
      <c r="O148" s="38"/>
      <c r="P148" s="38"/>
      <c r="Q148" s="43"/>
      <c r="R148" s="38"/>
      <c r="S148" s="38"/>
      <c r="T148" s="38"/>
      <c r="U148" s="38"/>
      <c r="V148" s="43"/>
      <c r="W148" s="43"/>
      <c r="X148" s="38"/>
      <c r="Y148" s="38"/>
      <c r="Z148" s="43"/>
    </row>
    <row r="149" spans="1:26" ht="15.75">
      <c r="A149" s="43"/>
      <c r="B149" s="1174" t="s">
        <v>1500</v>
      </c>
      <c r="C149" s="1274"/>
      <c r="D149" s="1274"/>
      <c r="E149" s="1274"/>
      <c r="F149" s="1274"/>
      <c r="G149" s="1274"/>
      <c r="H149" s="1274"/>
      <c r="I149" s="1274"/>
      <c r="J149" s="1274"/>
      <c r="K149" s="1275"/>
      <c r="L149" s="43"/>
      <c r="M149" s="44"/>
      <c r="N149" s="119"/>
      <c r="O149" s="38"/>
      <c r="P149" s="38"/>
      <c r="Q149" s="43"/>
      <c r="R149" s="38"/>
      <c r="S149" s="38"/>
      <c r="T149" s="38"/>
      <c r="U149" s="38"/>
      <c r="V149" s="43"/>
      <c r="W149" s="43"/>
      <c r="X149" s="38"/>
      <c r="Y149" s="38"/>
      <c r="Z149" s="43"/>
    </row>
    <row r="150" spans="1:26" ht="15.75">
      <c r="A150" s="43"/>
      <c r="B150" s="1174" t="s">
        <v>1501</v>
      </c>
      <c r="C150" s="1274"/>
      <c r="D150" s="1274"/>
      <c r="E150" s="1274"/>
      <c r="F150" s="1274"/>
      <c r="G150" s="1274"/>
      <c r="H150" s="1274"/>
      <c r="I150" s="1274"/>
      <c r="J150" s="1274"/>
      <c r="K150" s="1275"/>
      <c r="L150" s="43"/>
      <c r="M150" s="44"/>
      <c r="N150" s="119"/>
      <c r="O150" s="38"/>
      <c r="P150" s="38"/>
      <c r="Q150" s="43"/>
      <c r="R150" s="38"/>
      <c r="S150" s="38"/>
      <c r="T150" s="38"/>
      <c r="U150" s="38"/>
      <c r="V150" s="43"/>
      <c r="W150" s="43"/>
      <c r="X150" s="38"/>
      <c r="Y150" s="38"/>
      <c r="Z150" s="43"/>
    </row>
    <row r="151" spans="1:26" ht="15.75">
      <c r="A151" s="43"/>
      <c r="B151" s="1755" t="s">
        <v>1506</v>
      </c>
      <c r="C151" s="1756"/>
      <c r="D151" s="1756"/>
      <c r="E151" s="1756"/>
      <c r="F151" s="1757"/>
      <c r="G151" s="1756"/>
      <c r="H151" s="1756"/>
      <c r="I151" s="1756"/>
      <c r="J151" s="1756"/>
      <c r="K151" s="1758"/>
      <c r="L151" s="43"/>
      <c r="M151" s="44"/>
      <c r="N151" s="119"/>
      <c r="O151" s="38"/>
      <c r="P151" s="38"/>
      <c r="Q151" s="43"/>
      <c r="R151" s="38"/>
      <c r="S151" s="38"/>
      <c r="T151" s="38"/>
      <c r="U151" s="38"/>
      <c r="V151" s="43"/>
      <c r="W151" s="43"/>
      <c r="X151" s="38"/>
      <c r="Y151" s="38"/>
      <c r="Z151" s="43"/>
    </row>
    <row r="152" spans="1:26" ht="15.75">
      <c r="A152" s="43"/>
      <c r="B152" s="1759" t="s">
        <v>1881</v>
      </c>
      <c r="C152" s="1760"/>
      <c r="D152" s="2506">
        <f>+E8</f>
        <v>2020</v>
      </c>
      <c r="E152" s="2506"/>
      <c r="F152" s="2506"/>
      <c r="G152" s="1760" t="s">
        <v>1882</v>
      </c>
      <c r="H152" s="1760"/>
      <c r="I152" s="1760"/>
      <c r="J152" s="1760"/>
      <c r="K152" s="1761"/>
      <c r="L152" s="43"/>
      <c r="M152" s="44"/>
      <c r="N152" s="119"/>
      <c r="O152" s="38"/>
      <c r="P152" s="38"/>
      <c r="Q152" s="43"/>
      <c r="R152" s="38"/>
      <c r="S152" s="38"/>
      <c r="T152" s="38"/>
      <c r="U152" s="38"/>
      <c r="V152" s="43"/>
      <c r="W152" s="43"/>
      <c r="X152" s="38"/>
      <c r="Y152" s="38"/>
      <c r="Z152" s="43"/>
    </row>
    <row r="153" spans="1:26" ht="15.75">
      <c r="A153" s="43"/>
      <c r="B153" s="1759" t="s">
        <v>1449</v>
      </c>
      <c r="C153" s="1760"/>
      <c r="D153" s="1760"/>
      <c r="E153" s="1760"/>
      <c r="F153" s="1760"/>
      <c r="G153" s="1760"/>
      <c r="H153" s="1760"/>
      <c r="I153" s="1760"/>
      <c r="J153" s="1760"/>
      <c r="K153" s="1761"/>
      <c r="L153" s="43"/>
      <c r="M153" s="44"/>
      <c r="N153" s="119"/>
      <c r="O153" s="38"/>
      <c r="P153" s="38"/>
      <c r="Q153" s="43"/>
      <c r="R153" s="38"/>
      <c r="S153" s="38"/>
      <c r="T153" s="38"/>
      <c r="U153" s="38"/>
      <c r="V153" s="43"/>
      <c r="W153" s="43"/>
      <c r="X153" s="38"/>
      <c r="Y153" s="38"/>
      <c r="Z153" s="43"/>
    </row>
    <row r="154" spans="1:26" ht="15.75">
      <c r="A154" s="43"/>
      <c r="B154" s="1759" t="s">
        <v>1450</v>
      </c>
      <c r="C154" s="1760"/>
      <c r="D154" s="1760"/>
      <c r="E154" s="1760"/>
      <c r="F154" s="1760"/>
      <c r="G154" s="1760"/>
      <c r="H154" s="1760"/>
      <c r="I154" s="1760"/>
      <c r="J154" s="1760"/>
      <c r="K154" s="1761"/>
      <c r="L154" s="43"/>
      <c r="M154" s="44"/>
      <c r="N154" s="119"/>
      <c r="O154" s="38"/>
      <c r="P154" s="38"/>
      <c r="Q154" s="43"/>
      <c r="R154" s="38"/>
      <c r="S154" s="38"/>
      <c r="T154" s="38"/>
      <c r="U154" s="38"/>
      <c r="V154" s="43"/>
      <c r="W154" s="43"/>
      <c r="X154" s="38"/>
      <c r="Y154" s="38"/>
      <c r="Z154" s="43"/>
    </row>
    <row r="155" spans="1:26" ht="15.75">
      <c r="A155" s="43"/>
      <c r="B155" s="1759" t="s">
        <v>1451</v>
      </c>
      <c r="C155" s="1760"/>
      <c r="D155" s="1760"/>
      <c r="E155" s="1760"/>
      <c r="F155" s="1760"/>
      <c r="G155" s="1760"/>
      <c r="H155" s="1760"/>
      <c r="I155" s="1760"/>
      <c r="J155" s="1760"/>
      <c r="K155" s="1761"/>
      <c r="L155" s="43"/>
      <c r="M155" s="44"/>
      <c r="N155" s="119"/>
      <c r="O155" s="38"/>
      <c r="P155" s="38"/>
      <c r="Q155" s="43"/>
      <c r="R155" s="38"/>
      <c r="S155" s="38"/>
      <c r="T155" s="38"/>
      <c r="U155" s="38"/>
      <c r="V155" s="43"/>
      <c r="W155" s="43"/>
      <c r="X155" s="38"/>
      <c r="Y155" s="38"/>
      <c r="Z155" s="43"/>
    </row>
    <row r="156" spans="1:26" ht="15.75">
      <c r="A156" s="43"/>
      <c r="B156" s="1759" t="s">
        <v>1883</v>
      </c>
      <c r="C156" s="1760"/>
      <c r="D156" s="1760"/>
      <c r="E156" s="1760"/>
      <c r="F156" s="1760"/>
      <c r="G156" s="1760"/>
      <c r="H156" s="2507" t="s">
        <v>1960</v>
      </c>
      <c r="I156" s="2508"/>
      <c r="J156" s="2508"/>
      <c r="K156" s="2509"/>
      <c r="L156" s="43"/>
      <c r="M156" s="44"/>
      <c r="N156" s="119"/>
      <c r="O156" s="38"/>
      <c r="P156" s="38"/>
      <c r="Q156" s="43"/>
      <c r="R156" s="38"/>
      <c r="S156" s="38"/>
      <c r="T156" s="38"/>
      <c r="U156" s="38"/>
      <c r="V156" s="43"/>
      <c r="W156" s="43"/>
      <c r="X156" s="38"/>
      <c r="Y156" s="38"/>
      <c r="Z156" s="43"/>
    </row>
    <row r="157" spans="1:26" ht="4.5" customHeight="1">
      <c r="A157" s="43"/>
      <c r="B157" s="1759"/>
      <c r="C157" s="1760"/>
      <c r="D157" s="1760"/>
      <c r="E157" s="1760"/>
      <c r="F157" s="1760"/>
      <c r="G157" s="1760"/>
      <c r="H157" s="1760"/>
      <c r="I157" s="1760"/>
      <c r="J157" s="1760"/>
      <c r="K157" s="1761"/>
      <c r="L157" s="43"/>
      <c r="M157" s="44"/>
      <c r="N157" s="119"/>
      <c r="O157" s="38"/>
      <c r="P157" s="38"/>
      <c r="Q157" s="43"/>
      <c r="R157" s="38"/>
      <c r="S157" s="38"/>
      <c r="T157" s="38"/>
      <c r="U157" s="38"/>
      <c r="V157" s="43"/>
      <c r="W157" s="43"/>
      <c r="X157" s="38"/>
      <c r="Y157" s="38"/>
      <c r="Z157" s="43"/>
    </row>
    <row r="158" spans="1:26" ht="15.75">
      <c r="A158" s="43"/>
      <c r="B158" s="1762" t="s">
        <v>1884</v>
      </c>
      <c r="C158" s="1763"/>
      <c r="D158" s="1763"/>
      <c r="E158" s="1763"/>
      <c r="F158" s="1764"/>
      <c r="G158" s="2500" t="s">
        <v>1957</v>
      </c>
      <c r="H158" s="2501"/>
      <c r="I158" s="2501"/>
      <c r="J158" s="1763"/>
      <c r="K158" s="1765"/>
      <c r="L158" s="43"/>
      <c r="M158" s="44"/>
      <c r="N158" s="119"/>
      <c r="O158" s="38"/>
      <c r="P158" s="38"/>
      <c r="Q158" s="43"/>
      <c r="R158" s="38"/>
      <c r="S158" s="38"/>
      <c r="T158" s="38"/>
      <c r="U158" s="38"/>
      <c r="V158" s="43"/>
      <c r="W158" s="43"/>
      <c r="X158" s="38"/>
      <c r="Y158" s="38"/>
      <c r="Z158" s="43"/>
    </row>
    <row r="159" spans="1:26" ht="15.75">
      <c r="A159" s="43"/>
      <c r="B159" s="1766" t="s">
        <v>1190</v>
      </c>
      <c r="C159" s="1748"/>
      <c r="D159" s="1748"/>
      <c r="E159" s="1748"/>
      <c r="F159" s="1748"/>
      <c r="G159" s="1748"/>
      <c r="H159" s="1748"/>
      <c r="I159" s="1748"/>
      <c r="J159" s="1748"/>
      <c r="K159" s="1750"/>
      <c r="L159" s="43"/>
      <c r="M159" s="44"/>
      <c r="N159" s="119"/>
      <c r="O159" s="38"/>
      <c r="P159" s="38"/>
      <c r="Q159" s="43"/>
      <c r="R159" s="38"/>
      <c r="S159" s="38"/>
      <c r="T159" s="38"/>
      <c r="U159" s="38"/>
      <c r="V159" s="43"/>
      <c r="W159" s="43"/>
      <c r="X159" s="38"/>
      <c r="Y159" s="38"/>
      <c r="Z159" s="43"/>
    </row>
    <row r="160" spans="1:26" ht="15.75">
      <c r="A160" s="43"/>
      <c r="B160" s="1766" t="s">
        <v>1224</v>
      </c>
      <c r="C160" s="1748"/>
      <c r="D160" s="1748"/>
      <c r="E160" s="1748"/>
      <c r="F160" s="1748"/>
      <c r="G160" s="1748"/>
      <c r="H160" s="1748"/>
      <c r="I160" s="1748"/>
      <c r="J160" s="1748"/>
      <c r="K160" s="1750"/>
      <c r="L160" s="43"/>
      <c r="M160" s="44"/>
      <c r="N160" s="119"/>
      <c r="O160" s="38"/>
      <c r="P160" s="38"/>
      <c r="Q160" s="43"/>
      <c r="R160" s="38"/>
      <c r="S160" s="38"/>
      <c r="T160" s="38"/>
      <c r="U160" s="38"/>
      <c r="V160" s="43"/>
      <c r="W160" s="43"/>
      <c r="X160" s="38"/>
      <c r="Y160" s="38"/>
      <c r="Z160" s="43"/>
    </row>
    <row r="161" spans="1:26" ht="15.75">
      <c r="A161" s="43"/>
      <c r="B161" s="1766" t="s">
        <v>1191</v>
      </c>
      <c r="C161" s="1748"/>
      <c r="D161" s="1748"/>
      <c r="E161" s="1748"/>
      <c r="F161" s="1748"/>
      <c r="G161" s="1748"/>
      <c r="H161" s="1748"/>
      <c r="I161" s="1748"/>
      <c r="J161" s="1748"/>
      <c r="K161" s="1750"/>
      <c r="L161" s="43"/>
      <c r="M161" s="44"/>
      <c r="N161" s="119"/>
      <c r="O161" s="38"/>
      <c r="P161" s="38"/>
      <c r="Q161" s="43"/>
      <c r="R161" s="38"/>
      <c r="S161" s="38"/>
      <c r="T161" s="38"/>
      <c r="U161" s="38"/>
      <c r="V161" s="43"/>
      <c r="W161" s="43"/>
      <c r="X161" s="38"/>
      <c r="Y161" s="38"/>
      <c r="Z161" s="43"/>
    </row>
    <row r="162" spans="1:26" ht="15.75">
      <c r="A162" s="43"/>
      <c r="B162" s="1766" t="s">
        <v>1192</v>
      </c>
      <c r="C162" s="1748"/>
      <c r="D162" s="1748"/>
      <c r="E162" s="1748"/>
      <c r="F162" s="1748"/>
      <c r="G162" s="1748"/>
      <c r="H162" s="1748"/>
      <c r="I162" s="1748"/>
      <c r="J162" s="1748"/>
      <c r="K162" s="1750"/>
      <c r="L162" s="43"/>
      <c r="M162" s="44"/>
      <c r="N162" s="119"/>
      <c r="O162" s="38"/>
      <c r="P162" s="38"/>
      <c r="Q162" s="43"/>
      <c r="R162" s="38"/>
      <c r="S162" s="38"/>
      <c r="T162" s="38"/>
      <c r="U162" s="38"/>
      <c r="V162" s="43"/>
      <c r="W162" s="43"/>
      <c r="X162" s="38"/>
      <c r="Y162" s="38"/>
      <c r="Z162" s="43"/>
    </row>
    <row r="163" spans="1:26" ht="15.75">
      <c r="A163" s="43"/>
      <c r="B163" s="1766" t="s">
        <v>1193</v>
      </c>
      <c r="C163" s="1748"/>
      <c r="D163" s="1748"/>
      <c r="E163" s="1748"/>
      <c r="F163" s="1748"/>
      <c r="G163" s="1748"/>
      <c r="H163" s="1748"/>
      <c r="I163" s="1748"/>
      <c r="J163" s="1748"/>
      <c r="K163" s="1750"/>
      <c r="L163" s="43"/>
      <c r="M163" s="44"/>
      <c r="N163" s="119"/>
      <c r="O163" s="38"/>
      <c r="P163" s="38"/>
      <c r="Q163" s="43"/>
      <c r="R163" s="38"/>
      <c r="S163" s="38"/>
      <c r="T163" s="38"/>
      <c r="U163" s="38"/>
      <c r="V163" s="43"/>
      <c r="W163" s="43"/>
      <c r="X163" s="38"/>
      <c r="Y163" s="38"/>
      <c r="Z163" s="43"/>
    </row>
    <row r="164" spans="1:26" ht="15.75">
      <c r="A164" s="43"/>
      <c r="B164" s="1766" t="s">
        <v>1194</v>
      </c>
      <c r="C164" s="1748"/>
      <c r="D164" s="1748"/>
      <c r="E164" s="1748"/>
      <c r="F164" s="1748"/>
      <c r="G164" s="1748"/>
      <c r="H164" s="1748"/>
      <c r="I164" s="1748"/>
      <c r="J164" s="1748"/>
      <c r="K164" s="1750"/>
      <c r="L164" s="43"/>
      <c r="M164" s="44"/>
      <c r="N164" s="119"/>
      <c r="O164" s="38"/>
      <c r="P164" s="38"/>
      <c r="Q164" s="43"/>
      <c r="R164" s="38"/>
      <c r="S164" s="38"/>
      <c r="T164" s="38"/>
      <c r="U164" s="38"/>
      <c r="V164" s="43"/>
      <c r="W164" s="43"/>
      <c r="X164" s="38"/>
      <c r="Y164" s="38"/>
      <c r="Z164" s="43"/>
    </row>
    <row r="165" spans="1:26" ht="15.75">
      <c r="A165" s="43"/>
      <c r="B165" s="1766" t="s">
        <v>1223</v>
      </c>
      <c r="C165" s="1748"/>
      <c r="D165" s="1748"/>
      <c r="E165" s="1748"/>
      <c r="F165" s="1748"/>
      <c r="G165" s="1748"/>
      <c r="H165" s="1748"/>
      <c r="I165" s="1748"/>
      <c r="J165" s="1748"/>
      <c r="K165" s="1750"/>
      <c r="L165" s="43"/>
      <c r="M165" s="44"/>
      <c r="N165" s="119"/>
      <c r="O165" s="38"/>
      <c r="P165" s="38"/>
      <c r="Q165" s="43"/>
      <c r="R165" s="38"/>
      <c r="S165" s="38"/>
      <c r="T165" s="38"/>
      <c r="U165" s="38"/>
      <c r="V165" s="43"/>
      <c r="W165" s="43"/>
      <c r="X165" s="38"/>
      <c r="Y165" s="38"/>
      <c r="Z165" s="43"/>
    </row>
    <row r="166" spans="1:26" ht="15.75">
      <c r="A166" s="43"/>
      <c r="B166" s="1766" t="s">
        <v>2174</v>
      </c>
      <c r="C166" s="1748"/>
      <c r="D166" s="1748"/>
      <c r="E166" s="1748"/>
      <c r="F166" s="1748"/>
      <c r="G166" s="1748"/>
      <c r="H166" s="1748"/>
      <c r="I166" s="1748"/>
      <c r="J166" s="1748"/>
      <c r="K166" s="1750"/>
      <c r="L166" s="43"/>
      <c r="M166" s="44"/>
      <c r="N166" s="119"/>
      <c r="O166" s="38"/>
      <c r="P166" s="38"/>
      <c r="Q166" s="43"/>
      <c r="R166" s="38"/>
      <c r="S166" s="38"/>
      <c r="T166" s="38"/>
      <c r="U166" s="38"/>
      <c r="V166" s="43"/>
      <c r="W166" s="43"/>
      <c r="X166" s="38"/>
      <c r="Y166" s="38"/>
      <c r="Z166" s="43"/>
    </row>
    <row r="167" spans="1:26" ht="15.75">
      <c r="A167" s="43"/>
      <c r="B167" s="1766" t="s">
        <v>2175</v>
      </c>
      <c r="C167" s="1748"/>
      <c r="D167" s="1748"/>
      <c r="E167" s="1748"/>
      <c r="F167" s="1748"/>
      <c r="G167" s="1748"/>
      <c r="H167" s="1748"/>
      <c r="I167" s="1748"/>
      <c r="J167" s="1748"/>
      <c r="K167" s="1750"/>
      <c r="L167" s="43"/>
      <c r="M167" s="44"/>
      <c r="N167" s="119"/>
      <c r="O167" s="38"/>
      <c r="P167" s="38"/>
      <c r="Q167" s="43"/>
      <c r="R167" s="38"/>
      <c r="S167" s="38"/>
      <c r="T167" s="38"/>
      <c r="U167" s="38"/>
      <c r="V167" s="43"/>
      <c r="W167" s="43"/>
      <c r="X167" s="38"/>
      <c r="Y167" s="38"/>
      <c r="Z167" s="43"/>
    </row>
    <row r="168" spans="1:26" ht="15.75">
      <c r="A168" s="43"/>
      <c r="B168" s="1766" t="s">
        <v>2176</v>
      </c>
      <c r="C168" s="1748"/>
      <c r="D168" s="1748"/>
      <c r="E168" s="1748"/>
      <c r="F168" s="1748"/>
      <c r="G168" s="1748"/>
      <c r="H168" s="1748"/>
      <c r="I168" s="1748"/>
      <c r="J168" s="1748"/>
      <c r="K168" s="1750"/>
      <c r="L168" s="43"/>
      <c r="M168" s="44"/>
      <c r="N168" s="119"/>
      <c r="O168" s="38"/>
      <c r="P168" s="38"/>
      <c r="Q168" s="43"/>
      <c r="R168" s="38"/>
      <c r="S168" s="38"/>
      <c r="T168" s="38"/>
      <c r="U168" s="38"/>
      <c r="V168" s="43"/>
      <c r="W168" s="43"/>
      <c r="X168" s="38"/>
      <c r="Y168" s="38"/>
      <c r="Z168" s="43"/>
    </row>
    <row r="169" spans="1:26" ht="15.75">
      <c r="A169" s="43"/>
      <c r="B169" s="1766" t="s">
        <v>2172</v>
      </c>
      <c r="C169" s="1748"/>
      <c r="D169" s="1748"/>
      <c r="E169" s="1748"/>
      <c r="F169" s="1748"/>
      <c r="G169" s="1748"/>
      <c r="H169" s="1748"/>
      <c r="I169" s="1748"/>
      <c r="J169" s="1748"/>
      <c r="K169" s="1750"/>
      <c r="L169" s="43"/>
      <c r="M169" s="43"/>
      <c r="N169" s="43"/>
      <c r="O169" s="38"/>
      <c r="P169" s="38"/>
      <c r="Q169" s="43"/>
      <c r="R169" s="38"/>
      <c r="S169" s="38"/>
      <c r="T169" s="38"/>
      <c r="U169" s="38"/>
      <c r="V169" s="43"/>
      <c r="W169" s="43"/>
      <c r="X169" s="38"/>
      <c r="Y169" s="38"/>
      <c r="Z169" s="43"/>
    </row>
    <row r="170" spans="1:26" ht="15.75">
      <c r="A170" s="43"/>
      <c r="B170" s="1767" t="s">
        <v>2173</v>
      </c>
      <c r="C170" s="1768"/>
      <c r="D170" s="1768"/>
      <c r="E170" s="1768"/>
      <c r="F170" s="1768"/>
      <c r="G170" s="1768"/>
      <c r="H170" s="1768"/>
      <c r="I170" s="1768"/>
      <c r="J170" s="1768"/>
      <c r="K170" s="1769"/>
      <c r="L170" s="43"/>
      <c r="M170" s="43"/>
      <c r="N170" s="43"/>
      <c r="O170" s="38"/>
      <c r="P170" s="38"/>
      <c r="Q170" s="43"/>
      <c r="R170" s="38"/>
      <c r="S170" s="38"/>
      <c r="T170" s="38"/>
      <c r="U170" s="38"/>
      <c r="V170" s="43"/>
      <c r="W170" s="43"/>
      <c r="X170" s="38"/>
      <c r="Y170" s="38"/>
      <c r="Z170" s="43"/>
    </row>
    <row r="171" spans="1:26">
      <c r="A171" s="43"/>
      <c r="B171" s="43"/>
      <c r="C171" s="43"/>
      <c r="D171" s="43"/>
      <c r="E171" s="43"/>
      <c r="F171" s="43"/>
      <c r="G171" s="43"/>
      <c r="H171" s="43"/>
      <c r="I171" s="43"/>
      <c r="J171" s="43"/>
      <c r="K171" s="43"/>
      <c r="L171" s="43"/>
      <c r="M171" s="43"/>
      <c r="N171" s="43"/>
      <c r="O171" s="38"/>
      <c r="P171" s="38"/>
      <c r="Q171" s="43"/>
      <c r="R171" s="38"/>
      <c r="S171" s="38"/>
      <c r="T171" s="38"/>
      <c r="U171" s="38"/>
      <c r="V171" s="43"/>
      <c r="W171" s="43"/>
      <c r="X171" s="38"/>
      <c r="Y171" s="38"/>
      <c r="Z171" s="43"/>
    </row>
    <row r="172" spans="1:26">
      <c r="A172" s="43"/>
      <c r="B172" s="43"/>
      <c r="C172" s="43"/>
      <c r="D172" s="43"/>
      <c r="E172" s="43"/>
      <c r="F172" s="43"/>
      <c r="G172" s="43"/>
      <c r="H172" s="43"/>
      <c r="I172" s="43"/>
      <c r="J172" s="43"/>
      <c r="K172" s="43"/>
      <c r="L172" s="43"/>
      <c r="M172" s="43"/>
      <c r="N172" s="43"/>
      <c r="O172" s="38"/>
      <c r="P172" s="38"/>
      <c r="Q172" s="43"/>
      <c r="R172" s="38"/>
      <c r="S172" s="38"/>
      <c r="T172" s="38"/>
      <c r="U172" s="38"/>
      <c r="V172" s="43"/>
      <c r="W172" s="43"/>
      <c r="X172" s="38"/>
      <c r="Y172" s="38"/>
      <c r="Z172" s="43"/>
    </row>
    <row r="468" spans="1:25" s="1395" customFormat="1">
      <c r="A468" s="1392"/>
      <c r="B468" s="1392"/>
      <c r="C468" s="1392"/>
      <c r="D468" s="1392"/>
      <c r="E468" s="1392"/>
      <c r="F468" s="1392"/>
      <c r="G468" s="1392"/>
      <c r="H468" s="1392"/>
      <c r="I468" s="1392"/>
      <c r="J468" s="1392"/>
      <c r="K468" s="1392"/>
      <c r="L468" s="1392"/>
      <c r="N468" s="1396"/>
      <c r="O468" s="1393"/>
      <c r="P468" s="1393"/>
      <c r="Q468" s="1392"/>
      <c r="R468" s="1393"/>
      <c r="S468" s="1393"/>
      <c r="T468" s="1393"/>
      <c r="U468" s="1393"/>
      <c r="X468" s="1393"/>
      <c r="Y468" s="1393"/>
    </row>
    <row r="469" spans="1:25" s="1395" customFormat="1">
      <c r="A469" s="1392"/>
      <c r="B469" s="1392"/>
      <c r="C469" s="1392"/>
      <c r="D469" s="1392"/>
      <c r="E469" s="1392"/>
      <c r="F469" s="1392"/>
      <c r="G469" s="1392"/>
      <c r="H469" s="1392"/>
      <c r="I469" s="1392"/>
      <c r="J469" s="1392"/>
      <c r="K469" s="1392"/>
      <c r="L469" s="1392"/>
      <c r="N469" s="1396"/>
      <c r="O469" s="1393"/>
      <c r="P469" s="1393"/>
      <c r="Q469" s="1392"/>
      <c r="R469" s="1393"/>
      <c r="S469" s="1393"/>
      <c r="T469" s="1393"/>
      <c r="U469" s="1393"/>
      <c r="X469" s="1393"/>
      <c r="Y469" s="1393"/>
    </row>
    <row r="470" spans="1:25" s="1395" customFormat="1">
      <c r="A470" s="1392"/>
      <c r="B470" s="1392"/>
      <c r="C470" s="1392"/>
      <c r="D470" s="1392"/>
      <c r="E470" s="1392"/>
      <c r="F470" s="1392"/>
      <c r="G470" s="1392"/>
      <c r="H470" s="1392"/>
      <c r="I470" s="1392"/>
      <c r="J470" s="1392"/>
      <c r="K470" s="1392"/>
      <c r="L470" s="1392"/>
      <c r="N470" s="1396"/>
      <c r="O470" s="1393"/>
      <c r="P470" s="1393"/>
      <c r="Q470" s="1392"/>
      <c r="R470" s="1393"/>
      <c r="S470" s="1393"/>
      <c r="T470" s="1393"/>
      <c r="U470" s="1393"/>
      <c r="X470" s="1393"/>
      <c r="Y470" s="1393"/>
    </row>
    <row r="471" spans="1:25" s="1395" customFormat="1">
      <c r="A471" s="1392"/>
      <c r="B471" s="1392"/>
      <c r="C471" s="1392"/>
      <c r="D471" s="1392"/>
      <c r="E471" s="1392"/>
      <c r="F471" s="1392"/>
      <c r="G471" s="1392"/>
      <c r="H471" s="1392"/>
      <c r="I471" s="1392"/>
      <c r="J471" s="1392"/>
      <c r="K471" s="1392"/>
      <c r="L471" s="1392"/>
      <c r="N471" s="1396"/>
      <c r="O471" s="1393"/>
      <c r="P471" s="1393"/>
      <c r="Q471" s="1392"/>
      <c r="R471" s="1393"/>
      <c r="S471" s="1393"/>
      <c r="T471" s="1393"/>
      <c r="U471" s="1393"/>
      <c r="X471" s="1393"/>
      <c r="Y471" s="1393"/>
    </row>
    <row r="472" spans="1:25" s="1395" customFormat="1">
      <c r="A472" s="1392"/>
      <c r="B472" s="1392"/>
      <c r="C472" s="1392"/>
      <c r="D472" s="1392"/>
      <c r="E472" s="1392"/>
      <c r="F472" s="1392"/>
      <c r="G472" s="1392"/>
      <c r="H472" s="1392"/>
      <c r="I472" s="1392"/>
      <c r="J472" s="1392"/>
      <c r="K472" s="1392"/>
      <c r="L472" s="1392"/>
      <c r="N472" s="1396"/>
      <c r="O472" s="1393"/>
      <c r="P472" s="1393"/>
      <c r="Q472" s="1392"/>
      <c r="R472" s="1393"/>
      <c r="S472" s="1393"/>
      <c r="T472" s="1393"/>
      <c r="U472" s="1393"/>
      <c r="X472" s="1393"/>
      <c r="Y472" s="1393"/>
    </row>
    <row r="473" spans="1:25" s="1395" customFormat="1">
      <c r="A473" s="1392"/>
      <c r="B473" s="1392"/>
      <c r="C473" s="1392"/>
      <c r="D473" s="1392"/>
      <c r="E473" s="1392"/>
      <c r="F473" s="1392"/>
      <c r="G473" s="1392"/>
      <c r="H473" s="1392"/>
      <c r="I473" s="1392"/>
      <c r="J473" s="1392"/>
      <c r="K473" s="1392"/>
      <c r="L473" s="1392"/>
      <c r="N473" s="1396"/>
      <c r="O473" s="1393"/>
      <c r="P473" s="1393"/>
      <c r="Q473" s="1392"/>
      <c r="R473" s="1393"/>
      <c r="S473" s="1393"/>
      <c r="T473" s="1393"/>
      <c r="U473" s="1393"/>
      <c r="X473" s="1393"/>
      <c r="Y473" s="1393"/>
    </row>
    <row r="474" spans="1:25" s="1395" customFormat="1">
      <c r="A474" s="1392"/>
      <c r="B474" s="1392"/>
      <c r="C474" s="1392"/>
      <c r="D474" s="1392"/>
      <c r="E474" s="1392"/>
      <c r="F474" s="1392"/>
      <c r="G474" s="1392"/>
      <c r="H474" s="1392"/>
      <c r="I474" s="1392"/>
      <c r="J474" s="1392"/>
      <c r="K474" s="1392"/>
      <c r="L474" s="1392"/>
      <c r="N474" s="1396"/>
      <c r="O474" s="1393"/>
      <c r="P474" s="1393"/>
      <c r="Q474" s="1392"/>
      <c r="R474" s="1393"/>
      <c r="S474" s="1393"/>
      <c r="T474" s="1393"/>
      <c r="U474" s="1393"/>
      <c r="X474" s="1393"/>
      <c r="Y474" s="1393"/>
    </row>
    <row r="475" spans="1:25" s="1395" customFormat="1">
      <c r="A475" s="1392"/>
      <c r="B475" s="1392"/>
      <c r="C475" s="1392"/>
      <c r="D475" s="1392"/>
      <c r="E475" s="1392"/>
      <c r="F475" s="1392"/>
      <c r="G475" s="1392"/>
      <c r="H475" s="1392"/>
      <c r="I475" s="1392"/>
      <c r="J475" s="1392"/>
      <c r="K475" s="1392"/>
      <c r="L475" s="1392"/>
      <c r="N475" s="1396"/>
      <c r="O475" s="1393"/>
      <c r="P475" s="1393"/>
      <c r="Q475" s="1392"/>
      <c r="R475" s="1393"/>
      <c r="S475" s="1393"/>
      <c r="T475" s="1393"/>
      <c r="U475" s="1393"/>
      <c r="X475" s="1393"/>
      <c r="Y475" s="1393"/>
    </row>
    <row r="476" spans="1:25" s="1395" customFormat="1">
      <c r="A476" s="1392"/>
      <c r="B476" s="1392"/>
      <c r="C476" s="1392"/>
      <c r="D476" s="1392"/>
      <c r="E476" s="1392"/>
      <c r="F476" s="1392"/>
      <c r="G476" s="1392"/>
      <c r="H476" s="1392"/>
      <c r="I476" s="1392"/>
      <c r="J476" s="1392"/>
      <c r="K476" s="1392"/>
      <c r="L476" s="1392"/>
      <c r="N476" s="1396"/>
      <c r="O476" s="1393"/>
      <c r="P476" s="1393"/>
      <c r="Q476" s="1392"/>
      <c r="R476" s="1393"/>
      <c r="S476" s="1393"/>
      <c r="T476" s="1393"/>
      <c r="U476" s="1393"/>
      <c r="X476" s="1393"/>
      <c r="Y476" s="1393"/>
    </row>
    <row r="477" spans="1:25" s="1395" customFormat="1">
      <c r="A477" s="1392"/>
      <c r="B477" s="1392"/>
      <c r="C477" s="1392"/>
      <c r="D477" s="1392"/>
      <c r="E477" s="1392"/>
      <c r="F477" s="1392"/>
      <c r="G477" s="1392"/>
      <c r="H477" s="1392"/>
      <c r="I477" s="1392"/>
      <c r="J477" s="1392"/>
      <c r="K477" s="1392"/>
      <c r="L477" s="1392"/>
      <c r="N477" s="1396"/>
      <c r="O477" s="1393"/>
      <c r="P477" s="1393"/>
      <c r="Q477" s="1392"/>
      <c r="R477" s="1393"/>
      <c r="S477" s="1393"/>
      <c r="T477" s="1393"/>
      <c r="U477" s="1393"/>
      <c r="X477" s="1393"/>
      <c r="Y477" s="1393"/>
    </row>
    <row r="478" spans="1:25" s="1395" customFormat="1">
      <c r="A478" s="1392"/>
      <c r="B478" s="1392"/>
      <c r="C478" s="1392"/>
      <c r="D478" s="1392"/>
      <c r="E478" s="1392"/>
      <c r="F478" s="1392"/>
      <c r="G478" s="1392"/>
      <c r="H478" s="1392"/>
      <c r="I478" s="1392"/>
      <c r="J478" s="1392"/>
      <c r="K478" s="1392"/>
      <c r="L478" s="1392"/>
      <c r="N478" s="1396"/>
      <c r="O478" s="1393"/>
      <c r="P478" s="1393"/>
      <c r="Q478" s="1392"/>
      <c r="R478" s="1393"/>
      <c r="S478" s="1393"/>
      <c r="T478" s="1393"/>
      <c r="U478" s="1393"/>
      <c r="X478" s="1393"/>
      <c r="Y478" s="1393"/>
    </row>
    <row r="479" spans="1:25" s="1395" customFormat="1">
      <c r="A479" s="1392"/>
      <c r="B479" s="1392"/>
      <c r="C479" s="1392"/>
      <c r="D479" s="1392"/>
      <c r="E479" s="1392"/>
      <c r="F479" s="1392"/>
      <c r="G479" s="1392"/>
      <c r="H479" s="1392"/>
      <c r="I479" s="1392"/>
      <c r="J479" s="1392"/>
      <c r="K479" s="1392"/>
      <c r="L479" s="1392"/>
      <c r="N479" s="1396"/>
      <c r="O479" s="1393"/>
      <c r="P479" s="1393"/>
      <c r="Q479" s="1392"/>
      <c r="R479" s="1393"/>
      <c r="S479" s="1393"/>
      <c r="T479" s="1393"/>
      <c r="U479" s="1393"/>
      <c r="X479" s="1393"/>
      <c r="Y479" s="1393"/>
    </row>
    <row r="480" spans="1:25" s="1395" customFormat="1">
      <c r="A480" s="1392"/>
      <c r="B480" s="1392"/>
      <c r="C480" s="1392"/>
      <c r="D480" s="1392"/>
      <c r="E480" s="1392"/>
      <c r="F480" s="1392"/>
      <c r="G480" s="1392"/>
      <c r="H480" s="1392"/>
      <c r="I480" s="1392"/>
      <c r="J480" s="1392"/>
      <c r="K480" s="1392"/>
      <c r="L480" s="1392"/>
      <c r="N480" s="1396"/>
      <c r="O480" s="1393"/>
      <c r="P480" s="1393"/>
      <c r="Q480" s="1392"/>
      <c r="R480" s="1393"/>
      <c r="S480" s="1393"/>
      <c r="T480" s="1393"/>
      <c r="U480" s="1393"/>
      <c r="X480" s="1393"/>
      <c r="Y480" s="1393"/>
    </row>
    <row r="481" spans="1:25" s="1395" customFormat="1">
      <c r="A481" s="1392"/>
      <c r="B481" s="1392"/>
      <c r="C481" s="1392"/>
      <c r="D481" s="1392"/>
      <c r="E481" s="1392"/>
      <c r="F481" s="1392"/>
      <c r="G481" s="1392"/>
      <c r="H481" s="1392"/>
      <c r="I481" s="1392"/>
      <c r="J481" s="1392"/>
      <c r="K481" s="1392"/>
      <c r="L481" s="1392"/>
      <c r="N481" s="1396"/>
      <c r="O481" s="1393"/>
      <c r="P481" s="1393"/>
      <c r="Q481" s="1392"/>
      <c r="R481" s="1393"/>
      <c r="S481" s="1393"/>
      <c r="T481" s="1393"/>
      <c r="U481" s="1393"/>
      <c r="X481" s="1393"/>
      <c r="Y481" s="1393"/>
    </row>
    <row r="482" spans="1:25" s="1395" customFormat="1">
      <c r="A482" s="1392"/>
      <c r="B482" s="1392"/>
      <c r="C482" s="1392"/>
      <c r="D482" s="1392"/>
      <c r="E482" s="1392"/>
      <c r="F482" s="1392"/>
      <c r="G482" s="1392"/>
      <c r="H482" s="1392"/>
      <c r="I482" s="1392"/>
      <c r="J482" s="1392"/>
      <c r="K482" s="1392"/>
      <c r="L482" s="1392"/>
      <c r="N482" s="1396"/>
      <c r="O482" s="1393"/>
      <c r="P482" s="1393"/>
      <c r="Q482" s="1392"/>
      <c r="R482" s="1393"/>
      <c r="S482" s="1393"/>
      <c r="T482" s="1393"/>
      <c r="U482" s="1393"/>
      <c r="X482" s="1393"/>
      <c r="Y482" s="1393"/>
    </row>
    <row r="483" spans="1:25" s="1395" customFormat="1">
      <c r="A483" s="1392"/>
      <c r="B483" s="1392"/>
      <c r="C483" s="1392"/>
      <c r="D483" s="1392"/>
      <c r="E483" s="1392"/>
      <c r="F483" s="1392"/>
      <c r="G483" s="1392"/>
      <c r="H483" s="1392"/>
      <c r="I483" s="1392"/>
      <c r="J483" s="1392"/>
      <c r="K483" s="1392"/>
      <c r="L483" s="1392"/>
      <c r="N483" s="1396"/>
      <c r="O483" s="1393"/>
      <c r="P483" s="1393"/>
      <c r="Q483" s="1392"/>
      <c r="R483" s="1393"/>
      <c r="S483" s="1393"/>
      <c r="T483" s="1393"/>
      <c r="U483" s="1393"/>
      <c r="X483" s="1393"/>
      <c r="Y483" s="1393"/>
    </row>
    <row r="484" spans="1:25" s="1395" customFormat="1">
      <c r="A484" s="1392"/>
      <c r="B484" s="1392"/>
      <c r="C484" s="1392"/>
      <c r="D484" s="1392"/>
      <c r="E484" s="1392"/>
      <c r="F484" s="1392"/>
      <c r="G484" s="1392"/>
      <c r="H484" s="1392"/>
      <c r="I484" s="1392"/>
      <c r="J484" s="1392"/>
      <c r="K484" s="1392"/>
      <c r="L484" s="1392"/>
      <c r="N484" s="1396"/>
      <c r="O484" s="1393"/>
      <c r="P484" s="1393"/>
      <c r="Q484" s="1392"/>
      <c r="R484" s="1393"/>
      <c r="S484" s="1393"/>
      <c r="T484" s="1393"/>
      <c r="U484" s="1393"/>
      <c r="X484" s="1393"/>
      <c r="Y484" s="1393"/>
    </row>
    <row r="485" spans="1:25" s="1395" customFormat="1">
      <c r="A485" s="1392"/>
      <c r="B485" s="1392"/>
      <c r="C485" s="1392"/>
      <c r="D485" s="1392"/>
      <c r="E485" s="1392"/>
      <c r="F485" s="1392"/>
      <c r="G485" s="1392"/>
      <c r="H485" s="1392"/>
      <c r="I485" s="1392"/>
      <c r="J485" s="1392"/>
      <c r="K485" s="1392"/>
      <c r="L485" s="1392"/>
      <c r="N485" s="1396"/>
      <c r="O485" s="1393"/>
      <c r="P485" s="1393"/>
      <c r="Q485" s="1392"/>
      <c r="R485" s="1393"/>
      <c r="S485" s="1393"/>
      <c r="T485" s="1393"/>
      <c r="U485" s="1393"/>
      <c r="X485" s="1393"/>
      <c r="Y485" s="1393"/>
    </row>
    <row r="486" spans="1:25" s="1395" customFormat="1">
      <c r="A486" s="1392"/>
      <c r="B486" s="1392"/>
      <c r="C486" s="1392"/>
      <c r="D486" s="1392"/>
      <c r="E486" s="1392"/>
      <c r="F486" s="1392"/>
      <c r="G486" s="1392"/>
      <c r="H486" s="1392"/>
      <c r="I486" s="1392"/>
      <c r="J486" s="1392"/>
      <c r="K486" s="1392"/>
      <c r="L486" s="1392"/>
      <c r="N486" s="1396"/>
      <c r="O486" s="1393"/>
      <c r="P486" s="1393"/>
      <c r="Q486" s="1392"/>
      <c r="R486" s="1393"/>
      <c r="S486" s="1393"/>
      <c r="T486" s="1393"/>
      <c r="U486" s="1393"/>
      <c r="X486" s="1393"/>
      <c r="Y486" s="1393"/>
    </row>
    <row r="487" spans="1:25" s="1395" customFormat="1">
      <c r="A487" s="1392"/>
      <c r="B487" s="1392"/>
      <c r="C487" s="1392"/>
      <c r="D487" s="1392"/>
      <c r="E487" s="1392"/>
      <c r="F487" s="1392"/>
      <c r="G487" s="1392"/>
      <c r="H487" s="1392"/>
      <c r="I487" s="1392"/>
      <c r="J487" s="1392"/>
      <c r="K487" s="1392"/>
      <c r="L487" s="1392"/>
      <c r="N487" s="1396"/>
      <c r="O487" s="1393"/>
      <c r="P487" s="1393"/>
      <c r="Q487" s="1392"/>
      <c r="R487" s="1393"/>
      <c r="S487" s="1393"/>
      <c r="T487" s="1393"/>
      <c r="U487" s="1393"/>
      <c r="X487" s="1393"/>
      <c r="Y487" s="1393"/>
    </row>
    <row r="488" spans="1:25" s="1395" customFormat="1">
      <c r="A488" s="1392"/>
      <c r="B488" s="1392"/>
      <c r="C488" s="1392"/>
      <c r="D488" s="1392"/>
      <c r="E488" s="1392"/>
      <c r="F488" s="1392"/>
      <c r="G488" s="1392"/>
      <c r="H488" s="1392"/>
      <c r="I488" s="1392"/>
      <c r="J488" s="1392"/>
      <c r="K488" s="1392"/>
      <c r="L488" s="1392"/>
      <c r="N488" s="1396"/>
      <c r="O488" s="1393"/>
      <c r="P488" s="1393"/>
      <c r="Q488" s="1392"/>
      <c r="R488" s="1393"/>
      <c r="S488" s="1393"/>
      <c r="T488" s="1393"/>
      <c r="U488" s="1393"/>
      <c r="X488" s="1393"/>
      <c r="Y488" s="1393"/>
    </row>
    <row r="489" spans="1:25" s="1395" customFormat="1">
      <c r="A489" s="1392"/>
      <c r="B489" s="1392"/>
      <c r="C489" s="1392"/>
      <c r="D489" s="1392"/>
      <c r="E489" s="1392"/>
      <c r="F489" s="1392"/>
      <c r="G489" s="1392"/>
      <c r="H489" s="1392"/>
      <c r="I489" s="1392"/>
      <c r="J489" s="1392"/>
      <c r="K489" s="1392"/>
      <c r="L489" s="1392"/>
      <c r="N489" s="1396"/>
      <c r="O489" s="1393"/>
      <c r="P489" s="1393"/>
      <c r="Q489" s="1392"/>
      <c r="R489" s="1393"/>
      <c r="S489" s="1393"/>
      <c r="T489" s="1393"/>
      <c r="U489" s="1393"/>
      <c r="X489" s="1393"/>
      <c r="Y489" s="1393"/>
    </row>
    <row r="490" spans="1:25" s="1395" customFormat="1">
      <c r="A490" s="1392"/>
      <c r="B490" s="1392"/>
      <c r="C490" s="1392"/>
      <c r="D490" s="1392"/>
      <c r="E490" s="1392"/>
      <c r="F490" s="1392"/>
      <c r="G490" s="1392"/>
      <c r="H490" s="1392"/>
      <c r="I490" s="1392"/>
      <c r="J490" s="1392"/>
      <c r="K490" s="1392"/>
      <c r="L490" s="1392"/>
      <c r="N490" s="1396"/>
      <c r="O490" s="1393"/>
      <c r="P490" s="1393"/>
      <c r="Q490" s="1392"/>
      <c r="R490" s="1393"/>
      <c r="S490" s="1393"/>
      <c r="T490" s="1393"/>
      <c r="U490" s="1393"/>
      <c r="X490" s="1393"/>
      <c r="Y490" s="1393"/>
    </row>
    <row r="491" spans="1:25" s="1395" customFormat="1">
      <c r="A491" s="1392"/>
      <c r="B491" s="1392"/>
      <c r="C491" s="1392"/>
      <c r="D491" s="1392"/>
      <c r="E491" s="1392"/>
      <c r="F491" s="1392"/>
      <c r="G491" s="1392"/>
      <c r="H491" s="1392"/>
      <c r="I491" s="1392"/>
      <c r="J491" s="1392"/>
      <c r="K491" s="1392"/>
      <c r="L491" s="1392"/>
      <c r="N491" s="1396"/>
      <c r="O491" s="1393"/>
      <c r="P491" s="1393"/>
      <c r="Q491" s="1392"/>
      <c r="R491" s="1393"/>
      <c r="S491" s="1393"/>
      <c r="T491" s="1393"/>
      <c r="U491" s="1393"/>
      <c r="X491" s="1393"/>
      <c r="Y491" s="1393"/>
    </row>
    <row r="492" spans="1:25" s="1395" customFormat="1">
      <c r="A492" s="1392"/>
      <c r="B492" s="1392"/>
      <c r="C492" s="1392"/>
      <c r="D492" s="1392"/>
      <c r="E492" s="1392"/>
      <c r="F492" s="1392"/>
      <c r="G492" s="1392"/>
      <c r="H492" s="1392"/>
      <c r="I492" s="1392"/>
      <c r="J492" s="1392"/>
      <c r="K492" s="1392"/>
      <c r="L492" s="1392"/>
      <c r="N492" s="1396"/>
      <c r="O492" s="1393"/>
      <c r="P492" s="1393"/>
      <c r="Q492" s="1392"/>
      <c r="R492" s="1393"/>
      <c r="S492" s="1393"/>
      <c r="T492" s="1393"/>
      <c r="U492" s="1393"/>
      <c r="X492" s="1393"/>
      <c r="Y492" s="1393"/>
    </row>
    <row r="493" spans="1:25" s="1395" customFormat="1">
      <c r="A493" s="1392"/>
      <c r="B493" s="1392"/>
      <c r="C493" s="1392"/>
      <c r="D493" s="1392"/>
      <c r="E493" s="1392"/>
      <c r="F493" s="1392"/>
      <c r="G493" s="1392"/>
      <c r="H493" s="1392"/>
      <c r="I493" s="1392"/>
      <c r="J493" s="1392"/>
      <c r="K493" s="1392"/>
      <c r="L493" s="1392"/>
      <c r="N493" s="1396"/>
      <c r="O493" s="1393"/>
      <c r="P493" s="1393"/>
      <c r="Q493" s="1392"/>
      <c r="R493" s="1393"/>
      <c r="S493" s="1393"/>
      <c r="T493" s="1393"/>
      <c r="U493" s="1393"/>
      <c r="X493" s="1393"/>
      <c r="Y493" s="1393"/>
    </row>
    <row r="494" spans="1:25" s="1395" customFormat="1">
      <c r="A494" s="1392"/>
      <c r="B494" s="1392"/>
      <c r="C494" s="1392"/>
      <c r="D494" s="1392"/>
      <c r="E494" s="1392"/>
      <c r="F494" s="1392"/>
      <c r="G494" s="1392"/>
      <c r="H494" s="1392"/>
      <c r="I494" s="1392"/>
      <c r="J494" s="1392"/>
      <c r="K494" s="1392"/>
      <c r="L494" s="1392"/>
      <c r="N494" s="1396"/>
      <c r="O494" s="1393"/>
      <c r="P494" s="1393"/>
      <c r="Q494" s="1392"/>
      <c r="R494" s="1393"/>
      <c r="S494" s="1393"/>
      <c r="T494" s="1393"/>
      <c r="U494" s="1393"/>
      <c r="X494" s="1393"/>
      <c r="Y494" s="1393"/>
    </row>
    <row r="495" spans="1:25" s="1395" customFormat="1">
      <c r="A495" s="1392"/>
      <c r="B495" s="1392"/>
      <c r="C495" s="1392"/>
      <c r="D495" s="1392"/>
      <c r="E495" s="1392"/>
      <c r="F495" s="1392"/>
      <c r="G495" s="1392"/>
      <c r="H495" s="1392"/>
      <c r="I495" s="1392"/>
      <c r="J495" s="1392"/>
      <c r="K495" s="1392"/>
      <c r="L495" s="1392"/>
      <c r="N495" s="1396"/>
      <c r="O495" s="1393"/>
      <c r="P495" s="1393"/>
      <c r="Q495" s="1392"/>
      <c r="R495" s="1393"/>
      <c r="S495" s="1393"/>
      <c r="T495" s="1393"/>
      <c r="U495" s="1393"/>
      <c r="X495" s="1393"/>
      <c r="Y495" s="1393"/>
    </row>
    <row r="496" spans="1:25" s="1395" customFormat="1">
      <c r="A496" s="1392"/>
      <c r="B496" s="1392"/>
      <c r="C496" s="1392"/>
      <c r="D496" s="1392"/>
      <c r="E496" s="1392"/>
      <c r="F496" s="1392"/>
      <c r="G496" s="1392"/>
      <c r="H496" s="1392"/>
      <c r="I496" s="1392"/>
      <c r="J496" s="1392"/>
      <c r="K496" s="1392"/>
      <c r="L496" s="1392"/>
      <c r="N496" s="1396"/>
      <c r="O496" s="1393"/>
      <c r="P496" s="1393"/>
      <c r="Q496" s="1392"/>
      <c r="R496" s="1393"/>
      <c r="S496" s="1393"/>
      <c r="T496" s="1393"/>
      <c r="U496" s="1393"/>
      <c r="X496" s="1393"/>
      <c r="Y496" s="1393"/>
    </row>
    <row r="497" spans="1:25" s="1395" customFormat="1">
      <c r="A497" s="1392"/>
      <c r="B497" s="1392"/>
      <c r="C497" s="1392"/>
      <c r="D497" s="1392"/>
      <c r="E497" s="1392"/>
      <c r="F497" s="1392"/>
      <c r="G497" s="1392"/>
      <c r="H497" s="1392"/>
      <c r="I497" s="1392"/>
      <c r="J497" s="1392"/>
      <c r="K497" s="1392"/>
      <c r="L497" s="1392"/>
      <c r="N497" s="1396"/>
      <c r="O497" s="1393"/>
      <c r="P497" s="1393"/>
      <c r="Q497" s="1392"/>
      <c r="R497" s="1393"/>
      <c r="S497" s="1393"/>
      <c r="T497" s="1393"/>
      <c r="U497" s="1393"/>
      <c r="X497" s="1393"/>
      <c r="Y497" s="1393"/>
    </row>
    <row r="498" spans="1:25" s="1395" customFormat="1">
      <c r="A498" s="1392"/>
      <c r="B498" s="1392"/>
      <c r="C498" s="1392"/>
      <c r="D498" s="1392"/>
      <c r="E498" s="1392"/>
      <c r="F498" s="1392"/>
      <c r="G498" s="1392"/>
      <c r="H498" s="1392"/>
      <c r="I498" s="1392"/>
      <c r="J498" s="1392"/>
      <c r="K498" s="1392"/>
      <c r="L498" s="1392"/>
      <c r="N498" s="1396"/>
      <c r="O498" s="1393"/>
      <c r="P498" s="1393"/>
      <c r="Q498" s="1392"/>
      <c r="R498" s="1393"/>
      <c r="S498" s="1393"/>
      <c r="T498" s="1393"/>
      <c r="U498" s="1393"/>
      <c r="X498" s="1393"/>
      <c r="Y498" s="1393"/>
    </row>
    <row r="499" spans="1:25" s="1395" customFormat="1">
      <c r="A499" s="1392"/>
      <c r="B499" s="1392"/>
      <c r="C499" s="1392"/>
      <c r="D499" s="1392"/>
      <c r="E499" s="1392"/>
      <c r="F499" s="1392"/>
      <c r="G499" s="1392"/>
      <c r="H499" s="1392"/>
      <c r="I499" s="1392"/>
      <c r="J499" s="1392"/>
      <c r="K499" s="1392"/>
      <c r="L499" s="1392"/>
      <c r="N499" s="1396"/>
      <c r="O499" s="1393"/>
      <c r="P499" s="1393"/>
      <c r="Q499" s="1392"/>
      <c r="R499" s="1393"/>
      <c r="S499" s="1393"/>
      <c r="T499" s="1393"/>
      <c r="U499" s="1393"/>
      <c r="X499" s="1393"/>
      <c r="Y499" s="1393"/>
    </row>
    <row r="500" spans="1:25" s="1395" customFormat="1">
      <c r="A500" s="1392"/>
      <c r="B500" s="1392"/>
      <c r="C500" s="1392"/>
      <c r="D500" s="1392"/>
      <c r="E500" s="1392"/>
      <c r="F500" s="1392"/>
      <c r="G500" s="1392"/>
      <c r="H500" s="1392"/>
      <c r="I500" s="1392"/>
      <c r="J500" s="1392"/>
      <c r="K500" s="1392"/>
      <c r="L500" s="1392"/>
      <c r="N500" s="1396"/>
      <c r="O500" s="1393"/>
      <c r="P500" s="1393"/>
      <c r="Q500" s="1392"/>
      <c r="R500" s="1393"/>
      <c r="S500" s="1393"/>
      <c r="T500" s="1393"/>
      <c r="U500" s="1393"/>
      <c r="X500" s="1393"/>
      <c r="Y500" s="1393"/>
    </row>
    <row r="501" spans="1:25" s="1395" customFormat="1">
      <c r="A501" s="1392"/>
      <c r="B501" s="1392"/>
      <c r="C501" s="1392"/>
      <c r="D501" s="1392"/>
      <c r="E501" s="1392"/>
      <c r="F501" s="1392"/>
      <c r="G501" s="1392"/>
      <c r="H501" s="1392"/>
      <c r="I501" s="1392"/>
      <c r="J501" s="1392"/>
      <c r="K501" s="1392"/>
      <c r="L501" s="1392"/>
      <c r="N501" s="1396"/>
      <c r="O501" s="1393"/>
      <c r="P501" s="1393"/>
      <c r="Q501" s="1392"/>
      <c r="R501" s="1393"/>
      <c r="S501" s="1393"/>
      <c r="T501" s="1393"/>
      <c r="U501" s="1393"/>
      <c r="X501" s="1393"/>
      <c r="Y501" s="1393"/>
    </row>
    <row r="502" spans="1:25" s="1395" customFormat="1">
      <c r="A502" s="1392"/>
      <c r="B502" s="1392"/>
      <c r="C502" s="1392"/>
      <c r="D502" s="1392"/>
      <c r="E502" s="1392"/>
      <c r="F502" s="1392"/>
      <c r="G502" s="1392"/>
      <c r="H502" s="1392"/>
      <c r="I502" s="1392"/>
      <c r="J502" s="1392"/>
      <c r="K502" s="1392"/>
      <c r="L502" s="1392"/>
      <c r="N502" s="1396"/>
      <c r="O502" s="1393"/>
      <c r="P502" s="1393"/>
      <c r="Q502" s="1392"/>
      <c r="R502" s="1393"/>
      <c r="S502" s="1393"/>
      <c r="T502" s="1393"/>
      <c r="U502" s="1393"/>
      <c r="X502" s="1393"/>
      <c r="Y502" s="1393"/>
    </row>
    <row r="503" spans="1:25" s="1395" customFormat="1">
      <c r="A503" s="1392"/>
      <c r="B503" s="1392"/>
      <c r="C503" s="1392"/>
      <c r="D503" s="1392"/>
      <c r="E503" s="1392"/>
      <c r="F503" s="1392"/>
      <c r="G503" s="1392"/>
      <c r="H503" s="1392"/>
      <c r="I503" s="1392"/>
      <c r="J503" s="1392"/>
      <c r="K503" s="1392"/>
      <c r="L503" s="1392"/>
      <c r="N503" s="1396"/>
      <c r="O503" s="1393"/>
      <c r="P503" s="1393"/>
      <c r="Q503" s="1392"/>
      <c r="R503" s="1393"/>
      <c r="S503" s="1393"/>
      <c r="T503" s="1393"/>
      <c r="U503" s="1393"/>
      <c r="X503" s="1393"/>
      <c r="Y503" s="1393"/>
    </row>
    <row r="504" spans="1:25" s="1395" customFormat="1">
      <c r="A504" s="1392"/>
      <c r="B504" s="1392"/>
      <c r="C504" s="1392"/>
      <c r="D504" s="1392"/>
      <c r="E504" s="1392"/>
      <c r="F504" s="1392"/>
      <c r="G504" s="1392"/>
      <c r="H504" s="1392"/>
      <c r="I504" s="1392"/>
      <c r="J504" s="1392"/>
      <c r="K504" s="1392"/>
      <c r="L504" s="1392"/>
      <c r="N504" s="1396"/>
      <c r="O504" s="1393"/>
      <c r="P504" s="1393"/>
      <c r="Q504" s="1392"/>
      <c r="R504" s="1393"/>
      <c r="S504" s="1393"/>
      <c r="T504" s="1393"/>
      <c r="U504" s="1393"/>
      <c r="X504" s="1393"/>
      <c r="Y504" s="1393"/>
    </row>
    <row r="505" spans="1:25" s="1395" customFormat="1">
      <c r="A505" s="1392"/>
      <c r="B505" s="1392"/>
      <c r="C505" s="1392"/>
      <c r="D505" s="1392"/>
      <c r="E505" s="1392"/>
      <c r="F505" s="1392"/>
      <c r="G505" s="1392"/>
      <c r="H505" s="1392"/>
      <c r="I505" s="1392"/>
      <c r="J505" s="1392"/>
      <c r="K505" s="1392"/>
      <c r="L505" s="1392"/>
      <c r="N505" s="1396"/>
      <c r="O505" s="1393"/>
      <c r="P505" s="1393"/>
      <c r="Q505" s="1392"/>
      <c r="R505" s="1393"/>
      <c r="S505" s="1393"/>
      <c r="T505" s="1393"/>
      <c r="U505" s="1393"/>
      <c r="X505" s="1393"/>
      <c r="Y505" s="1393"/>
    </row>
    <row r="506" spans="1:25" s="1395" customFormat="1">
      <c r="A506" s="1392"/>
      <c r="B506" s="1392"/>
      <c r="C506" s="1392"/>
      <c r="D506" s="1392"/>
      <c r="E506" s="1392"/>
      <c r="F506" s="1392"/>
      <c r="G506" s="1392"/>
      <c r="H506" s="1392"/>
      <c r="I506" s="1392"/>
      <c r="J506" s="1392"/>
      <c r="K506" s="1392"/>
      <c r="L506" s="1392"/>
      <c r="N506" s="1396"/>
      <c r="O506" s="1393"/>
      <c r="P506" s="1393"/>
      <c r="Q506" s="1392"/>
      <c r="R506" s="1393"/>
      <c r="S506" s="1393"/>
      <c r="T506" s="1393"/>
      <c r="U506" s="1393"/>
      <c r="X506" s="1393"/>
      <c r="Y506" s="1393"/>
    </row>
    <row r="507" spans="1:25" s="1395" customFormat="1">
      <c r="A507" s="1392"/>
      <c r="B507" s="1392"/>
      <c r="C507" s="1392"/>
      <c r="D507" s="1392"/>
      <c r="E507" s="1392"/>
      <c r="F507" s="1392"/>
      <c r="G507" s="1392"/>
      <c r="H507" s="1392"/>
      <c r="I507" s="1392"/>
      <c r="J507" s="1392"/>
      <c r="K507" s="1392"/>
      <c r="L507" s="1392"/>
      <c r="N507" s="1396"/>
      <c r="O507" s="1393"/>
      <c r="P507" s="1393"/>
      <c r="Q507" s="1392"/>
      <c r="R507" s="1393"/>
      <c r="S507" s="1393"/>
      <c r="T507" s="1393"/>
      <c r="U507" s="1393"/>
      <c r="X507" s="1393"/>
      <c r="Y507" s="1393"/>
    </row>
    <row r="508" spans="1:25" s="1395" customFormat="1">
      <c r="A508" s="1392"/>
      <c r="B508" s="1392"/>
      <c r="C508" s="1392"/>
      <c r="D508" s="1392"/>
      <c r="E508" s="1392"/>
      <c r="F508" s="1392"/>
      <c r="G508" s="1392"/>
      <c r="H508" s="1392"/>
      <c r="I508" s="1392"/>
      <c r="J508" s="1392"/>
      <c r="K508" s="1392"/>
      <c r="L508" s="1392"/>
      <c r="N508" s="1396"/>
      <c r="O508" s="1393"/>
      <c r="P508" s="1393"/>
      <c r="Q508" s="1392"/>
      <c r="R508" s="1393"/>
      <c r="S508" s="1393"/>
      <c r="T508" s="1393"/>
      <c r="U508" s="1393"/>
      <c r="X508" s="1393"/>
      <c r="Y508" s="1393"/>
    </row>
    <row r="509" spans="1:25" s="1395" customFormat="1">
      <c r="A509" s="1392"/>
      <c r="B509" s="1392"/>
      <c r="C509" s="1392"/>
      <c r="D509" s="1392"/>
      <c r="E509" s="1392"/>
      <c r="F509" s="1392"/>
      <c r="G509" s="1392"/>
      <c r="H509" s="1392"/>
      <c r="I509" s="1392"/>
      <c r="J509" s="1392"/>
      <c r="K509" s="1392"/>
      <c r="L509" s="1392"/>
      <c r="N509" s="1396"/>
      <c r="O509" s="1393"/>
      <c r="P509" s="1393"/>
      <c r="Q509" s="1392"/>
      <c r="R509" s="1393"/>
      <c r="S509" s="1393"/>
      <c r="T509" s="1393"/>
      <c r="U509" s="1393"/>
      <c r="X509" s="1393"/>
      <c r="Y509" s="1393"/>
    </row>
    <row r="510" spans="1:25" s="1395" customFormat="1">
      <c r="A510" s="1392"/>
      <c r="B510" s="1392"/>
      <c r="C510" s="1392"/>
      <c r="D510" s="1392"/>
      <c r="E510" s="1392"/>
      <c r="F510" s="1392"/>
      <c r="G510" s="1392"/>
      <c r="H510" s="1392"/>
      <c r="I510" s="1392"/>
      <c r="J510" s="1392"/>
      <c r="K510" s="1392"/>
      <c r="L510" s="1392"/>
      <c r="N510" s="1396"/>
      <c r="O510" s="1393"/>
      <c r="P510" s="1393"/>
      <c r="Q510" s="1392"/>
      <c r="R510" s="1393"/>
      <c r="S510" s="1393"/>
      <c r="T510" s="1393"/>
      <c r="U510" s="1393"/>
      <c r="X510" s="1393"/>
      <c r="Y510" s="1393"/>
    </row>
    <row r="511" spans="1:25" s="1395" customFormat="1">
      <c r="A511" s="1392"/>
      <c r="B511" s="1392"/>
      <c r="C511" s="1392"/>
      <c r="D511" s="1392"/>
      <c r="E511" s="1392"/>
      <c r="F511" s="1392"/>
      <c r="G511" s="1392"/>
      <c r="H511" s="1392"/>
      <c r="I511" s="1392"/>
      <c r="J511" s="1392"/>
      <c r="K511" s="1392"/>
      <c r="L511" s="1392"/>
      <c r="N511" s="1396"/>
      <c r="O511" s="1393"/>
      <c r="P511" s="1393"/>
      <c r="Q511" s="1392"/>
      <c r="R511" s="1393"/>
      <c r="S511" s="1393"/>
      <c r="T511" s="1393"/>
      <c r="U511" s="1393"/>
      <c r="X511" s="1393"/>
      <c r="Y511" s="1393"/>
    </row>
    <row r="512" spans="1:25" s="1395" customFormat="1">
      <c r="A512" s="1392"/>
      <c r="B512" s="1392"/>
      <c r="C512" s="1392"/>
      <c r="D512" s="1392"/>
      <c r="E512" s="1392"/>
      <c r="F512" s="1392"/>
      <c r="G512" s="1392"/>
      <c r="H512" s="1392"/>
      <c r="I512" s="1392"/>
      <c r="J512" s="1392"/>
      <c r="K512" s="1392"/>
      <c r="L512" s="1392"/>
      <c r="N512" s="1396"/>
      <c r="O512" s="1393"/>
      <c r="P512" s="1393"/>
      <c r="Q512" s="1392"/>
      <c r="R512" s="1393"/>
      <c r="S512" s="1393"/>
      <c r="T512" s="1393"/>
      <c r="U512" s="1393"/>
      <c r="X512" s="1393"/>
      <c r="Y512" s="1393"/>
    </row>
    <row r="513" spans="1:25" s="1395" customFormat="1">
      <c r="A513" s="1392"/>
      <c r="B513" s="1392"/>
      <c r="C513" s="1392"/>
      <c r="D513" s="1392"/>
      <c r="E513" s="1392"/>
      <c r="F513" s="1392"/>
      <c r="G513" s="1392"/>
      <c r="H513" s="1392"/>
      <c r="I513" s="1392"/>
      <c r="J513" s="1392"/>
      <c r="K513" s="1392"/>
      <c r="L513" s="1392"/>
      <c r="N513" s="1396"/>
      <c r="O513" s="1393"/>
      <c r="P513" s="1393"/>
      <c r="Q513" s="1392"/>
      <c r="R513" s="1393"/>
      <c r="S513" s="1393"/>
      <c r="T513" s="1393"/>
      <c r="U513" s="1393"/>
      <c r="X513" s="1393"/>
      <c r="Y513" s="1393"/>
    </row>
    <row r="514" spans="1:25" s="1395" customFormat="1">
      <c r="A514" s="1392"/>
      <c r="B514" s="1392"/>
      <c r="C514" s="1392"/>
      <c r="D514" s="1392"/>
      <c r="E514" s="1392"/>
      <c r="F514" s="1392"/>
      <c r="G514" s="1392"/>
      <c r="H514" s="1392"/>
      <c r="I514" s="1392"/>
      <c r="J514" s="1392"/>
      <c r="K514" s="1392"/>
      <c r="L514" s="1392"/>
      <c r="N514" s="1396"/>
      <c r="O514" s="1393"/>
      <c r="P514" s="1393"/>
      <c r="Q514" s="1392"/>
      <c r="R514" s="1393"/>
      <c r="S514" s="1393"/>
      <c r="T514" s="1393"/>
      <c r="U514" s="1393"/>
      <c r="X514" s="1393"/>
      <c r="Y514" s="1393"/>
    </row>
    <row r="515" spans="1:25" s="1395" customFormat="1">
      <c r="A515" s="1392"/>
      <c r="B515" s="1392"/>
      <c r="C515" s="1392"/>
      <c r="D515" s="1392"/>
      <c r="E515" s="1392"/>
      <c r="F515" s="1392"/>
      <c r="G515" s="1392"/>
      <c r="H515" s="1392"/>
      <c r="I515" s="1392"/>
      <c r="J515" s="1392"/>
      <c r="K515" s="1392"/>
      <c r="L515" s="1392"/>
      <c r="N515" s="1396"/>
      <c r="O515" s="1393"/>
      <c r="P515" s="1393"/>
      <c r="Q515" s="1392"/>
      <c r="R515" s="1393"/>
      <c r="S515" s="1393"/>
      <c r="T515" s="1393"/>
      <c r="U515" s="1393"/>
      <c r="X515" s="1393"/>
      <c r="Y515" s="1393"/>
    </row>
    <row r="516" spans="1:25" s="1395" customFormat="1">
      <c r="A516" s="1392"/>
      <c r="B516" s="1392"/>
      <c r="C516" s="1392"/>
      <c r="D516" s="1392"/>
      <c r="E516" s="1392"/>
      <c r="F516" s="1392"/>
      <c r="G516" s="1392"/>
      <c r="H516" s="1392"/>
      <c r="I516" s="1392"/>
      <c r="J516" s="1392"/>
      <c r="K516" s="1392"/>
      <c r="L516" s="1392"/>
      <c r="N516" s="1396"/>
      <c r="O516" s="1393"/>
      <c r="P516" s="1393"/>
      <c r="Q516" s="1392"/>
      <c r="R516" s="1393"/>
      <c r="S516" s="1393"/>
      <c r="T516" s="1393"/>
      <c r="U516" s="1393"/>
      <c r="X516" s="1393"/>
      <c r="Y516" s="1393"/>
    </row>
    <row r="517" spans="1:25" s="1395" customFormat="1">
      <c r="A517" s="1392"/>
      <c r="B517" s="1392"/>
      <c r="C517" s="1392"/>
      <c r="D517" s="1392"/>
      <c r="E517" s="1392"/>
      <c r="F517" s="1392"/>
      <c r="G517" s="1392"/>
      <c r="H517" s="1392"/>
      <c r="I517" s="1392"/>
      <c r="J517" s="1392"/>
      <c r="K517" s="1392"/>
      <c r="L517" s="1392"/>
      <c r="N517" s="1396"/>
      <c r="O517" s="1393"/>
      <c r="P517" s="1393"/>
      <c r="Q517" s="1392"/>
      <c r="R517" s="1393"/>
      <c r="S517" s="1393"/>
      <c r="T517" s="1393"/>
      <c r="U517" s="1393"/>
      <c r="X517" s="1393"/>
      <c r="Y517" s="1393"/>
    </row>
    <row r="518" spans="1:25" s="1395" customFormat="1">
      <c r="A518" s="1392"/>
      <c r="B518" s="1392"/>
      <c r="C518" s="1392"/>
      <c r="D518" s="1392"/>
      <c r="E518" s="1392"/>
      <c r="F518" s="1392"/>
      <c r="G518" s="1392"/>
      <c r="H518" s="1392"/>
      <c r="I518" s="1392"/>
      <c r="J518" s="1392"/>
      <c r="K518" s="1392"/>
      <c r="L518" s="1392"/>
      <c r="N518" s="1396"/>
      <c r="O518" s="1393"/>
      <c r="P518" s="1393"/>
      <c r="Q518" s="1392"/>
      <c r="R518" s="1393"/>
      <c r="S518" s="1393"/>
      <c r="T518" s="1393"/>
      <c r="U518" s="1393"/>
      <c r="X518" s="1393"/>
      <c r="Y518" s="1393"/>
    </row>
    <row r="519" spans="1:25" s="1395" customFormat="1">
      <c r="A519" s="1392"/>
      <c r="B519" s="1392"/>
      <c r="C519" s="1392"/>
      <c r="D519" s="1392"/>
      <c r="E519" s="1392"/>
      <c r="F519" s="1392"/>
      <c r="G519" s="1392"/>
      <c r="H519" s="1392"/>
      <c r="I519" s="1392"/>
      <c r="J519" s="1392"/>
      <c r="K519" s="1392"/>
      <c r="L519" s="1392"/>
      <c r="N519" s="1396"/>
      <c r="O519" s="1393"/>
      <c r="P519" s="1393"/>
      <c r="Q519" s="1392"/>
      <c r="R519" s="1393"/>
      <c r="S519" s="1393"/>
      <c r="T519" s="1393"/>
      <c r="U519" s="1393"/>
      <c r="X519" s="1393"/>
      <c r="Y519" s="1393"/>
    </row>
    <row r="520" spans="1:25" s="1395" customFormat="1">
      <c r="A520" s="1392"/>
      <c r="B520" s="1392"/>
      <c r="C520" s="1392"/>
      <c r="D520" s="1392"/>
      <c r="E520" s="1392"/>
      <c r="F520" s="1392"/>
      <c r="G520" s="1392"/>
      <c r="H520" s="1392"/>
      <c r="I520" s="1392"/>
      <c r="J520" s="1392"/>
      <c r="K520" s="1392"/>
      <c r="L520" s="1392"/>
      <c r="N520" s="1396"/>
      <c r="O520" s="1393"/>
      <c r="P520" s="1393"/>
      <c r="Q520" s="1392"/>
      <c r="R520" s="1393"/>
      <c r="S520" s="1393"/>
      <c r="T520" s="1393"/>
      <c r="U520" s="1393"/>
      <c r="X520" s="1393"/>
      <c r="Y520" s="1393"/>
    </row>
    <row r="521" spans="1:25" s="1395" customFormat="1">
      <c r="A521" s="1392"/>
      <c r="B521" s="1392"/>
      <c r="C521" s="1392"/>
      <c r="D521" s="1392"/>
      <c r="E521" s="1392"/>
      <c r="F521" s="1392"/>
      <c r="G521" s="1392"/>
      <c r="H521" s="1392"/>
      <c r="I521" s="1392"/>
      <c r="J521" s="1392"/>
      <c r="K521" s="1392"/>
      <c r="L521" s="1392"/>
      <c r="N521" s="1396"/>
      <c r="O521" s="1393"/>
      <c r="P521" s="1393"/>
      <c r="Q521" s="1392"/>
      <c r="R521" s="1393"/>
      <c r="S521" s="1393"/>
      <c r="T521" s="1393"/>
      <c r="U521" s="1393"/>
      <c r="X521" s="1393"/>
      <c r="Y521" s="1393"/>
    </row>
    <row r="522" spans="1:25" s="1395" customFormat="1">
      <c r="A522" s="1392"/>
      <c r="B522" s="1392"/>
      <c r="C522" s="1392"/>
      <c r="D522" s="1392"/>
      <c r="E522" s="1392"/>
      <c r="F522" s="1392"/>
      <c r="G522" s="1392"/>
      <c r="H522" s="1392"/>
      <c r="I522" s="1392"/>
      <c r="J522" s="1392"/>
      <c r="K522" s="1392"/>
      <c r="L522" s="1392"/>
      <c r="N522" s="1396"/>
      <c r="O522" s="1393"/>
      <c r="P522" s="1393"/>
      <c r="Q522" s="1392"/>
      <c r="R522" s="1393"/>
      <c r="S522" s="1393"/>
      <c r="T522" s="1393"/>
      <c r="U522" s="1393"/>
      <c r="X522" s="1393"/>
      <c r="Y522" s="1393"/>
    </row>
    <row r="523" spans="1:25" s="1395" customFormat="1">
      <c r="A523" s="1392"/>
      <c r="B523" s="1392"/>
      <c r="C523" s="1392"/>
      <c r="D523" s="1392"/>
      <c r="E523" s="1392"/>
      <c r="F523" s="1392"/>
      <c r="G523" s="1392"/>
      <c r="H523" s="1392"/>
      <c r="I523" s="1392"/>
      <c r="J523" s="1392"/>
      <c r="K523" s="1392"/>
      <c r="L523" s="1392"/>
      <c r="N523" s="1396"/>
      <c r="O523" s="1393"/>
      <c r="P523" s="1393"/>
      <c r="Q523" s="1392"/>
      <c r="R523" s="1393"/>
      <c r="S523" s="1393"/>
      <c r="T523" s="1393"/>
      <c r="U523" s="1393"/>
      <c r="X523" s="1393"/>
      <c r="Y523" s="1393"/>
    </row>
    <row r="524" spans="1:25" s="1395" customFormat="1">
      <c r="A524" s="1392"/>
      <c r="B524" s="1392"/>
      <c r="C524" s="1392"/>
      <c r="D524" s="1392"/>
      <c r="E524" s="1392"/>
      <c r="F524" s="1392"/>
      <c r="G524" s="1392"/>
      <c r="H524" s="1392"/>
      <c r="I524" s="1392"/>
      <c r="J524" s="1392"/>
      <c r="K524" s="1392"/>
      <c r="L524" s="1392"/>
      <c r="N524" s="1396"/>
      <c r="O524" s="1393"/>
      <c r="P524" s="1393"/>
      <c r="Q524" s="1392"/>
      <c r="R524" s="1393"/>
      <c r="S524" s="1393"/>
      <c r="T524" s="1393"/>
      <c r="U524" s="1393"/>
      <c r="X524" s="1393"/>
      <c r="Y524" s="1393"/>
    </row>
    <row r="525" spans="1:25" s="1395" customFormat="1">
      <c r="A525" s="1392"/>
      <c r="B525" s="1392"/>
      <c r="C525" s="1392"/>
      <c r="D525" s="1392"/>
      <c r="E525" s="1392"/>
      <c r="F525" s="1392"/>
      <c r="G525" s="1392"/>
      <c r="H525" s="1392"/>
      <c r="I525" s="1392"/>
      <c r="J525" s="1392"/>
      <c r="K525" s="1392"/>
      <c r="L525" s="1392"/>
      <c r="N525" s="1396"/>
      <c r="O525" s="1393"/>
      <c r="P525" s="1393"/>
      <c r="Q525" s="1392"/>
      <c r="R525" s="1393"/>
      <c r="S525" s="1393"/>
      <c r="T525" s="1393"/>
      <c r="U525" s="1393"/>
      <c r="X525" s="1393"/>
      <c r="Y525" s="1393"/>
    </row>
    <row r="526" spans="1:25" s="1395" customFormat="1">
      <c r="A526" s="1392"/>
      <c r="B526" s="1392"/>
      <c r="C526" s="1392"/>
      <c r="D526" s="1392"/>
      <c r="E526" s="1392"/>
      <c r="F526" s="1392"/>
      <c r="G526" s="1392"/>
      <c r="H526" s="1392"/>
      <c r="I526" s="1392"/>
      <c r="J526" s="1392"/>
      <c r="K526" s="1392"/>
      <c r="L526" s="1392"/>
      <c r="N526" s="1396"/>
      <c r="O526" s="1393"/>
      <c r="P526" s="1393"/>
      <c r="Q526" s="1392"/>
      <c r="R526" s="1393"/>
      <c r="S526" s="1393"/>
      <c r="T526" s="1393"/>
      <c r="U526" s="1393"/>
      <c r="X526" s="1393"/>
      <c r="Y526" s="1393"/>
    </row>
    <row r="527" spans="1:25" s="1395" customFormat="1">
      <c r="A527" s="1392"/>
      <c r="B527" s="1392"/>
      <c r="C527" s="1392"/>
      <c r="D527" s="1392"/>
      <c r="E527" s="1392"/>
      <c r="F527" s="1392"/>
      <c r="G527" s="1392"/>
      <c r="H527" s="1392"/>
      <c r="I527" s="1392"/>
      <c r="J527" s="1392"/>
      <c r="K527" s="1392"/>
      <c r="L527" s="1392"/>
      <c r="N527" s="1396"/>
      <c r="O527" s="1393"/>
      <c r="P527" s="1393"/>
      <c r="Q527" s="1392"/>
      <c r="R527" s="1393"/>
      <c r="S527" s="1393"/>
      <c r="T527" s="1393"/>
      <c r="U527" s="1393"/>
      <c r="X527" s="1393"/>
      <c r="Y527" s="1393"/>
    </row>
    <row r="528" spans="1:25" s="1395" customFormat="1">
      <c r="A528" s="1392"/>
      <c r="B528" s="1392"/>
      <c r="C528" s="1392"/>
      <c r="D528" s="1392"/>
      <c r="E528" s="1392"/>
      <c r="F528" s="1392"/>
      <c r="G528" s="1392"/>
      <c r="H528" s="1392"/>
      <c r="I528" s="1392"/>
      <c r="J528" s="1392"/>
      <c r="K528" s="1392"/>
      <c r="L528" s="1392"/>
      <c r="N528" s="1396"/>
      <c r="O528" s="1393"/>
      <c r="P528" s="1393"/>
      <c r="Q528" s="1392"/>
      <c r="R528" s="1393"/>
      <c r="S528" s="1393"/>
      <c r="T528" s="1393"/>
      <c r="U528" s="1393"/>
      <c r="X528" s="1393"/>
      <c r="Y528" s="1393"/>
    </row>
    <row r="529" spans="1:25" s="1395" customFormat="1">
      <c r="A529" s="1392"/>
      <c r="B529" s="1392"/>
      <c r="C529" s="1392"/>
      <c r="D529" s="1392"/>
      <c r="E529" s="1392"/>
      <c r="F529" s="1392"/>
      <c r="G529" s="1392"/>
      <c r="H529" s="1392"/>
      <c r="I529" s="1392"/>
      <c r="J529" s="1392"/>
      <c r="K529" s="1392"/>
      <c r="L529" s="1392"/>
      <c r="N529" s="1396"/>
      <c r="O529" s="1393"/>
      <c r="P529" s="1393"/>
      <c r="Q529" s="1392"/>
      <c r="R529" s="1393"/>
      <c r="S529" s="1393"/>
      <c r="T529" s="1393"/>
      <c r="U529" s="1393"/>
      <c r="X529" s="1393"/>
      <c r="Y529" s="1393"/>
    </row>
    <row r="530" spans="1:25" s="1395" customFormat="1">
      <c r="A530" s="1392"/>
      <c r="B530" s="1392"/>
      <c r="C530" s="1392"/>
      <c r="D530" s="1392"/>
      <c r="E530" s="1392"/>
      <c r="F530" s="1392"/>
      <c r="G530" s="1392"/>
      <c r="H530" s="1392"/>
      <c r="I530" s="1392"/>
      <c r="J530" s="1392"/>
      <c r="K530" s="1392"/>
      <c r="L530" s="1392"/>
      <c r="N530" s="1396"/>
      <c r="O530" s="1393"/>
      <c r="P530" s="1393"/>
      <c r="Q530" s="1392"/>
      <c r="R530" s="1393"/>
      <c r="S530" s="1393"/>
      <c r="T530" s="1393"/>
      <c r="U530" s="1393"/>
      <c r="X530" s="1393"/>
      <c r="Y530" s="1393"/>
    </row>
    <row r="531" spans="1:25" s="1395" customFormat="1">
      <c r="A531" s="1392"/>
      <c r="B531" s="1392"/>
      <c r="C531" s="1392"/>
      <c r="D531" s="1392"/>
      <c r="E531" s="1392"/>
      <c r="F531" s="1392"/>
      <c r="G531" s="1392"/>
      <c r="H531" s="1392"/>
      <c r="I531" s="1392"/>
      <c r="J531" s="1392"/>
      <c r="K531" s="1392"/>
      <c r="L531" s="1392"/>
      <c r="N531" s="1396"/>
      <c r="O531" s="1393"/>
      <c r="P531" s="1393"/>
      <c r="Q531" s="1392"/>
      <c r="R531" s="1393"/>
      <c r="S531" s="1393"/>
      <c r="T531" s="1393"/>
      <c r="U531" s="1393"/>
      <c r="X531" s="1393"/>
      <c r="Y531" s="1393"/>
    </row>
    <row r="532" spans="1:25" s="1395" customFormat="1">
      <c r="A532" s="1392"/>
      <c r="B532" s="1392"/>
      <c r="C532" s="1392"/>
      <c r="D532" s="1392"/>
      <c r="E532" s="1392"/>
      <c r="F532" s="1392"/>
      <c r="G532" s="1392"/>
      <c r="H532" s="1392"/>
      <c r="I532" s="1392"/>
      <c r="J532" s="1392"/>
      <c r="K532" s="1392"/>
      <c r="L532" s="1392"/>
      <c r="N532" s="1396"/>
      <c r="O532" s="1393"/>
      <c r="P532" s="1393"/>
      <c r="Q532" s="1392"/>
      <c r="R532" s="1393"/>
      <c r="S532" s="1393"/>
      <c r="T532" s="1393"/>
      <c r="U532" s="1393"/>
      <c r="X532" s="1393"/>
      <c r="Y532" s="1393"/>
    </row>
    <row r="533" spans="1:25" s="1395" customFormat="1">
      <c r="A533" s="1392"/>
      <c r="B533" s="1392"/>
      <c r="C533" s="1392"/>
      <c r="D533" s="1392"/>
      <c r="E533" s="1392"/>
      <c r="F533" s="1392"/>
      <c r="G533" s="1392"/>
      <c r="H533" s="1392"/>
      <c r="I533" s="1392"/>
      <c r="J533" s="1392"/>
      <c r="K533" s="1392"/>
      <c r="L533" s="1392"/>
      <c r="N533" s="1396"/>
      <c r="O533" s="1393"/>
      <c r="P533" s="1393"/>
      <c r="Q533" s="1392"/>
      <c r="R533" s="1393"/>
      <c r="S533" s="1393"/>
      <c r="T533" s="1393"/>
      <c r="U533" s="1393"/>
      <c r="X533" s="1393"/>
      <c r="Y533" s="1393"/>
    </row>
    <row r="534" spans="1:25" s="1395" customFormat="1">
      <c r="A534" s="1392"/>
      <c r="B534" s="1392"/>
      <c r="C534" s="1392"/>
      <c r="D534" s="1392"/>
      <c r="E534" s="1392"/>
      <c r="F534" s="1392"/>
      <c r="G534" s="1392"/>
      <c r="H534" s="1392"/>
      <c r="I534" s="1392"/>
      <c r="J534" s="1392"/>
      <c r="K534" s="1392"/>
      <c r="L534" s="1392"/>
      <c r="N534" s="1396"/>
      <c r="O534" s="1393"/>
      <c r="P534" s="1393"/>
      <c r="Q534" s="1392"/>
      <c r="R534" s="1393"/>
      <c r="S534" s="1393"/>
      <c r="T534" s="1393"/>
      <c r="U534" s="1393"/>
      <c r="X534" s="1393"/>
      <c r="Y534" s="1393"/>
    </row>
    <row r="535" spans="1:25" s="1395" customFormat="1">
      <c r="A535" s="1392"/>
      <c r="B535" s="1392"/>
      <c r="C535" s="1392"/>
      <c r="D535" s="1392"/>
      <c r="E535" s="1392"/>
      <c r="F535" s="1392"/>
      <c r="G535" s="1392"/>
      <c r="H535" s="1392"/>
      <c r="I535" s="1392"/>
      <c r="J535" s="1392"/>
      <c r="K535" s="1392"/>
      <c r="L535" s="1392"/>
      <c r="N535" s="1396"/>
      <c r="O535" s="1393"/>
      <c r="P535" s="1393"/>
      <c r="Q535" s="1392"/>
      <c r="R535" s="1393"/>
      <c r="S535" s="1393"/>
      <c r="T535" s="1393"/>
      <c r="U535" s="1393"/>
      <c r="X535" s="1393"/>
      <c r="Y535" s="1393"/>
    </row>
    <row r="536" spans="1:25" s="1395" customFormat="1">
      <c r="A536" s="1392"/>
      <c r="B536" s="1392"/>
      <c r="C536" s="1392"/>
      <c r="D536" s="1392"/>
      <c r="E536" s="1392"/>
      <c r="F536" s="1392"/>
      <c r="G536" s="1392"/>
      <c r="H536" s="1392"/>
      <c r="I536" s="1392"/>
      <c r="J536" s="1392"/>
      <c r="K536" s="1392"/>
      <c r="L536" s="1392"/>
      <c r="N536" s="1396"/>
      <c r="O536" s="1393"/>
      <c r="P536" s="1393"/>
      <c r="Q536" s="1392"/>
      <c r="R536" s="1393"/>
      <c r="S536" s="1393"/>
      <c r="T536" s="1393"/>
      <c r="U536" s="1393"/>
      <c r="X536" s="1393"/>
      <c r="Y536" s="1393"/>
    </row>
    <row r="537" spans="1:25" s="1395" customFormat="1">
      <c r="A537" s="1392"/>
      <c r="B537" s="1392"/>
      <c r="C537" s="1392"/>
      <c r="D537" s="1392"/>
      <c r="E537" s="1392"/>
      <c r="F537" s="1392"/>
      <c r="G537" s="1392"/>
      <c r="H537" s="1392"/>
      <c r="I537" s="1392"/>
      <c r="J537" s="1392"/>
      <c r="K537" s="1392"/>
      <c r="L537" s="1392"/>
      <c r="N537" s="1396"/>
      <c r="O537" s="1393"/>
      <c r="P537" s="1393"/>
      <c r="Q537" s="1392"/>
      <c r="R537" s="1393"/>
      <c r="S537" s="1393"/>
      <c r="T537" s="1393"/>
      <c r="U537" s="1393"/>
      <c r="X537" s="1393"/>
      <c r="Y537" s="1393"/>
    </row>
    <row r="538" spans="1:25" s="1395" customFormat="1">
      <c r="A538" s="1392"/>
      <c r="B538" s="1392"/>
      <c r="C538" s="1392"/>
      <c r="D538" s="1392"/>
      <c r="E538" s="1392"/>
      <c r="F538" s="1392"/>
      <c r="G538" s="1392"/>
      <c r="H538" s="1392"/>
      <c r="I538" s="1392"/>
      <c r="J538" s="1392"/>
      <c r="K538" s="1392"/>
      <c r="L538" s="1392"/>
      <c r="N538" s="1396"/>
      <c r="O538" s="1393"/>
      <c r="P538" s="1393"/>
      <c r="Q538" s="1392"/>
      <c r="R538" s="1393"/>
      <c r="S538" s="1393"/>
      <c r="T538" s="1393"/>
      <c r="U538" s="1393"/>
      <c r="X538" s="1393"/>
      <c r="Y538" s="1393"/>
    </row>
    <row r="539" spans="1:25" s="1395" customFormat="1">
      <c r="A539" s="1392"/>
      <c r="B539" s="1392"/>
      <c r="C539" s="1392"/>
      <c r="D539" s="1392"/>
      <c r="E539" s="1392"/>
      <c r="F539" s="1392"/>
      <c r="G539" s="1392"/>
      <c r="H539" s="1392"/>
      <c r="I539" s="1392"/>
      <c r="J539" s="1392"/>
      <c r="K539" s="1392"/>
      <c r="L539" s="1392"/>
      <c r="N539" s="1396"/>
      <c r="O539" s="1393"/>
      <c r="P539" s="1393"/>
      <c r="Q539" s="1392"/>
      <c r="R539" s="1393"/>
      <c r="S539" s="1393"/>
      <c r="T539" s="1393"/>
      <c r="U539" s="1393"/>
      <c r="X539" s="1393"/>
      <c r="Y539" s="1393"/>
    </row>
    <row r="540" spans="1:25" s="1395" customFormat="1">
      <c r="A540" s="1392"/>
      <c r="B540" s="1392"/>
      <c r="C540" s="1392"/>
      <c r="D540" s="1392"/>
      <c r="E540" s="1392"/>
      <c r="F540" s="1392"/>
      <c r="G540" s="1392"/>
      <c r="H540" s="1392"/>
      <c r="I540" s="1392"/>
      <c r="J540" s="1392"/>
      <c r="K540" s="1392"/>
      <c r="L540" s="1392"/>
      <c r="N540" s="1396"/>
      <c r="O540" s="1393"/>
      <c r="P540" s="1393"/>
      <c r="Q540" s="1392"/>
      <c r="R540" s="1393"/>
      <c r="S540" s="1393"/>
      <c r="T540" s="1393"/>
      <c r="U540" s="1393"/>
      <c r="X540" s="1393"/>
      <c r="Y540" s="1393"/>
    </row>
    <row r="541" spans="1:25" s="1395" customFormat="1">
      <c r="A541" s="1392"/>
      <c r="B541" s="1392"/>
      <c r="C541" s="1392"/>
      <c r="D541" s="1392"/>
      <c r="E541" s="1392"/>
      <c r="F541" s="1392"/>
      <c r="G541" s="1392"/>
      <c r="H541" s="1392"/>
      <c r="I541" s="1392"/>
      <c r="J541" s="1392"/>
      <c r="K541" s="1392"/>
      <c r="L541" s="1392"/>
      <c r="N541" s="1396"/>
      <c r="O541" s="1393"/>
      <c r="P541" s="1393"/>
      <c r="Q541" s="1392"/>
      <c r="R541" s="1393"/>
      <c r="S541" s="1393"/>
      <c r="T541" s="1393"/>
      <c r="U541" s="1393"/>
      <c r="X541" s="1393"/>
      <c r="Y541" s="1393"/>
    </row>
    <row r="542" spans="1:25" s="1395" customFormat="1">
      <c r="A542" s="1392"/>
      <c r="B542" s="1392"/>
      <c r="C542" s="1392"/>
      <c r="D542" s="1392"/>
      <c r="E542" s="1392"/>
      <c r="F542" s="1392"/>
      <c r="G542" s="1392"/>
      <c r="H542" s="1392"/>
      <c r="I542" s="1392"/>
      <c r="J542" s="1392"/>
      <c r="K542" s="1392"/>
      <c r="L542" s="1392"/>
      <c r="N542" s="1396"/>
      <c r="O542" s="1393"/>
      <c r="P542" s="1393"/>
      <c r="Q542" s="1392"/>
      <c r="R542" s="1393"/>
      <c r="S542" s="1393"/>
      <c r="T542" s="1393"/>
      <c r="U542" s="1393"/>
      <c r="X542" s="1393"/>
      <c r="Y542" s="1393"/>
    </row>
    <row r="543" spans="1:25" s="1395" customFormat="1">
      <c r="A543" s="1392"/>
      <c r="B543" s="1392"/>
      <c r="C543" s="1392"/>
      <c r="D543" s="1392"/>
      <c r="E543" s="1392"/>
      <c r="F543" s="1392"/>
      <c r="G543" s="1392"/>
      <c r="H543" s="1392"/>
      <c r="I543" s="1392"/>
      <c r="J543" s="1392"/>
      <c r="K543" s="1392"/>
      <c r="L543" s="1392"/>
      <c r="N543" s="1396"/>
      <c r="O543" s="1393"/>
      <c r="P543" s="1393"/>
      <c r="Q543" s="1392"/>
      <c r="R543" s="1393"/>
      <c r="S543" s="1393"/>
      <c r="T543" s="1393"/>
      <c r="U543" s="1393"/>
      <c r="X543" s="1393"/>
      <c r="Y543" s="1393"/>
    </row>
    <row r="544" spans="1:25" s="1395" customFormat="1">
      <c r="A544" s="1392"/>
      <c r="B544" s="1392"/>
      <c r="C544" s="1392"/>
      <c r="D544" s="1392"/>
      <c r="E544" s="1392"/>
      <c r="F544" s="1392"/>
      <c r="G544" s="1392"/>
      <c r="H544" s="1392"/>
      <c r="I544" s="1392"/>
      <c r="J544" s="1392"/>
      <c r="K544" s="1392"/>
      <c r="L544" s="1392"/>
      <c r="N544" s="1396"/>
      <c r="O544" s="1393"/>
      <c r="P544" s="1393"/>
      <c r="Q544" s="1392"/>
      <c r="R544" s="1393"/>
      <c r="S544" s="1393"/>
      <c r="T544" s="1393"/>
      <c r="U544" s="1393"/>
      <c r="X544" s="1393"/>
      <c r="Y544" s="1393"/>
    </row>
    <row r="545" spans="1:25" s="1395" customFormat="1">
      <c r="A545" s="1392"/>
      <c r="B545" s="1392"/>
      <c r="C545" s="1392"/>
      <c r="D545" s="1392"/>
      <c r="E545" s="1392"/>
      <c r="F545" s="1392"/>
      <c r="G545" s="1392"/>
      <c r="H545" s="1392"/>
      <c r="I545" s="1392"/>
      <c r="J545" s="1392"/>
      <c r="K545" s="1392"/>
      <c r="L545" s="1392"/>
      <c r="N545" s="1396"/>
      <c r="O545" s="1393"/>
      <c r="P545" s="1393"/>
      <c r="Q545" s="1392"/>
      <c r="R545" s="1393"/>
      <c r="S545" s="1393"/>
      <c r="T545" s="1393"/>
      <c r="U545" s="1393"/>
      <c r="X545" s="1393"/>
      <c r="Y545" s="1393"/>
    </row>
    <row r="546" spans="1:25" s="1395" customFormat="1">
      <c r="A546" s="1392"/>
      <c r="B546" s="1392"/>
      <c r="C546" s="1392"/>
      <c r="D546" s="1392"/>
      <c r="E546" s="1392"/>
      <c r="F546" s="1392"/>
      <c r="G546" s="1392"/>
      <c r="H546" s="1392"/>
      <c r="I546" s="1392"/>
      <c r="J546" s="1392"/>
      <c r="K546" s="1392"/>
      <c r="L546" s="1392"/>
      <c r="N546" s="1396"/>
      <c r="O546" s="1393"/>
      <c r="P546" s="1393"/>
      <c r="Q546" s="1392"/>
      <c r="R546" s="1393"/>
      <c r="S546" s="1393"/>
      <c r="T546" s="1393"/>
      <c r="U546" s="1393"/>
      <c r="X546" s="1393"/>
      <c r="Y546" s="1393"/>
    </row>
    <row r="547" spans="1:25" s="1395" customFormat="1">
      <c r="A547" s="1392"/>
      <c r="B547" s="1392"/>
      <c r="C547" s="1392"/>
      <c r="D547" s="1392"/>
      <c r="E547" s="1392"/>
      <c r="F547" s="1392"/>
      <c r="G547" s="1392"/>
      <c r="H547" s="1392"/>
      <c r="I547" s="1392"/>
      <c r="J547" s="1392"/>
      <c r="K547" s="1392"/>
      <c r="L547" s="1392"/>
      <c r="N547" s="1396"/>
      <c r="O547" s="1393"/>
      <c r="P547" s="1393"/>
      <c r="Q547" s="1392"/>
      <c r="R547" s="1393"/>
      <c r="S547" s="1393"/>
      <c r="T547" s="1393"/>
      <c r="U547" s="1393"/>
      <c r="X547" s="1393"/>
      <c r="Y547" s="1393"/>
    </row>
    <row r="548" spans="1:25" s="1395" customFormat="1">
      <c r="A548" s="1392"/>
      <c r="B548" s="1392"/>
      <c r="C548" s="1392"/>
      <c r="D548" s="1392"/>
      <c r="E548" s="1392"/>
      <c r="F548" s="1392"/>
      <c r="G548" s="1392"/>
      <c r="H548" s="1392"/>
      <c r="I548" s="1392"/>
      <c r="J548" s="1392"/>
      <c r="K548" s="1392"/>
      <c r="L548" s="1392"/>
      <c r="N548" s="1396"/>
      <c r="O548" s="1393"/>
      <c r="P548" s="1393"/>
      <c r="Q548" s="1392"/>
      <c r="R548" s="1393"/>
      <c r="S548" s="1393"/>
      <c r="T548" s="1393"/>
      <c r="U548" s="1393"/>
      <c r="X548" s="1393"/>
      <c r="Y548" s="1393"/>
    </row>
    <row r="549" spans="1:25" s="1395" customFormat="1">
      <c r="A549" s="1392"/>
      <c r="B549" s="1392"/>
      <c r="C549" s="1392"/>
      <c r="D549" s="1392"/>
      <c r="E549" s="1392"/>
      <c r="F549" s="1392"/>
      <c r="G549" s="1392"/>
      <c r="H549" s="1392"/>
      <c r="I549" s="1392"/>
      <c r="J549" s="1392"/>
      <c r="K549" s="1392"/>
      <c r="L549" s="1392"/>
      <c r="N549" s="1396"/>
      <c r="O549" s="1393"/>
      <c r="P549" s="1393"/>
      <c r="Q549" s="1392"/>
      <c r="R549" s="1393"/>
      <c r="S549" s="1393"/>
      <c r="T549" s="1393"/>
      <c r="U549" s="1393"/>
      <c r="X549" s="1393"/>
      <c r="Y549" s="1393"/>
    </row>
    <row r="550" spans="1:25" s="1395" customFormat="1">
      <c r="A550" s="1392"/>
      <c r="B550" s="1392"/>
      <c r="C550" s="1392"/>
      <c r="D550" s="1392"/>
      <c r="E550" s="1392"/>
      <c r="F550" s="1392"/>
      <c r="G550" s="1392"/>
      <c r="H550" s="1392"/>
      <c r="I550" s="1392"/>
      <c r="J550" s="1392"/>
      <c r="K550" s="1392"/>
      <c r="L550" s="1392"/>
      <c r="N550" s="1396"/>
      <c r="O550" s="1393"/>
      <c r="P550" s="1393"/>
      <c r="Q550" s="1392"/>
      <c r="R550" s="1393"/>
      <c r="S550" s="1393"/>
      <c r="T550" s="1393"/>
      <c r="U550" s="1393"/>
      <c r="X550" s="1393"/>
      <c r="Y550" s="1393"/>
    </row>
    <row r="551" spans="1:25" s="1395" customFormat="1">
      <c r="A551" s="1392"/>
      <c r="B551" s="1392"/>
      <c r="C551" s="1392"/>
      <c r="D551" s="1392"/>
      <c r="E551" s="1392"/>
      <c r="F551" s="1392"/>
      <c r="G551" s="1392"/>
      <c r="H551" s="1392"/>
      <c r="I551" s="1392"/>
      <c r="J551" s="1392"/>
      <c r="K551" s="1392"/>
      <c r="L551" s="1392"/>
      <c r="N551" s="1396"/>
      <c r="O551" s="1393"/>
      <c r="P551" s="1393"/>
      <c r="Q551" s="1392"/>
      <c r="R551" s="1393"/>
      <c r="S551" s="1393"/>
      <c r="T551" s="1393"/>
      <c r="U551" s="1393"/>
      <c r="X551" s="1393"/>
      <c r="Y551" s="1393"/>
    </row>
    <row r="552" spans="1:25" s="1395" customFormat="1">
      <c r="A552" s="1392"/>
      <c r="B552" s="1392"/>
      <c r="C552" s="1392"/>
      <c r="D552" s="1392"/>
      <c r="E552" s="1392"/>
      <c r="F552" s="1392"/>
      <c r="G552" s="1392"/>
      <c r="H552" s="1392"/>
      <c r="I552" s="1392"/>
      <c r="J552" s="1392"/>
      <c r="K552" s="1392"/>
      <c r="L552" s="1392"/>
      <c r="N552" s="1396"/>
      <c r="O552" s="1393"/>
      <c r="P552" s="1393"/>
      <c r="Q552" s="1392"/>
      <c r="R552" s="1393"/>
      <c r="S552" s="1393"/>
      <c r="T552" s="1393"/>
      <c r="U552" s="1393"/>
      <c r="X552" s="1393"/>
      <c r="Y552" s="1393"/>
    </row>
    <row r="553" spans="1:25" s="1395" customFormat="1">
      <c r="A553" s="1392"/>
      <c r="B553" s="1392"/>
      <c r="C553" s="1392"/>
      <c r="D553" s="1392"/>
      <c r="E553" s="1392"/>
      <c r="F553" s="1392"/>
      <c r="G553" s="1392"/>
      <c r="H553" s="1392"/>
      <c r="I553" s="1392"/>
      <c r="J553" s="1392"/>
      <c r="K553" s="1392"/>
      <c r="L553" s="1392"/>
      <c r="N553" s="1396"/>
      <c r="O553" s="1393"/>
      <c r="P553" s="1393"/>
      <c r="Q553" s="1392"/>
      <c r="R553" s="1393"/>
      <c r="S553" s="1393"/>
      <c r="T553" s="1393"/>
      <c r="U553" s="1393"/>
      <c r="X553" s="1393"/>
      <c r="Y553" s="1393"/>
    </row>
    <row r="554" spans="1:25" s="1395" customFormat="1">
      <c r="A554" s="1392"/>
      <c r="B554" s="1392"/>
      <c r="C554" s="1392"/>
      <c r="D554" s="1392"/>
      <c r="E554" s="1392"/>
      <c r="F554" s="1392"/>
      <c r="G554" s="1392"/>
      <c r="H554" s="1392"/>
      <c r="I554" s="1392"/>
      <c r="J554" s="1392"/>
      <c r="K554" s="1392"/>
      <c r="L554" s="1392"/>
      <c r="N554" s="1396"/>
      <c r="O554" s="1393"/>
      <c r="P554" s="1393"/>
      <c r="Q554" s="1392"/>
      <c r="R554" s="1393"/>
      <c r="S554" s="1393"/>
      <c r="T554" s="1393"/>
      <c r="U554" s="1393"/>
      <c r="X554" s="1393"/>
      <c r="Y554" s="1393"/>
    </row>
    <row r="555" spans="1:25" s="1395" customFormat="1">
      <c r="A555" s="1392"/>
      <c r="B555" s="1392"/>
      <c r="C555" s="1392"/>
      <c r="D555" s="1392"/>
      <c r="E555" s="1392"/>
      <c r="F555" s="1392"/>
      <c r="G555" s="1392"/>
      <c r="H555" s="1392"/>
      <c r="I555" s="1392"/>
      <c r="J555" s="1392"/>
      <c r="K555" s="1392"/>
      <c r="L555" s="1392"/>
      <c r="N555" s="1396"/>
      <c r="O555" s="1393"/>
      <c r="P555" s="1393"/>
      <c r="Q555" s="1392"/>
      <c r="R555" s="1393"/>
      <c r="S555" s="1393"/>
      <c r="T555" s="1393"/>
      <c r="U555" s="1393"/>
      <c r="X555" s="1393"/>
      <c r="Y555" s="1393"/>
    </row>
    <row r="556" spans="1:25" s="1395" customFormat="1">
      <c r="A556" s="1392"/>
      <c r="B556" s="1392"/>
      <c r="C556" s="1392"/>
      <c r="D556" s="1392"/>
      <c r="E556" s="1392"/>
      <c r="F556" s="1392"/>
      <c r="G556" s="1392"/>
      <c r="H556" s="1392"/>
      <c r="I556" s="1392"/>
      <c r="J556" s="1392"/>
      <c r="K556" s="1392"/>
      <c r="L556" s="1392"/>
      <c r="N556" s="1396"/>
      <c r="O556" s="1393"/>
      <c r="P556" s="1393"/>
      <c r="Q556" s="1392"/>
      <c r="R556" s="1393"/>
      <c r="S556" s="1393"/>
      <c r="T556" s="1393"/>
      <c r="U556" s="1393"/>
      <c r="X556" s="1393"/>
      <c r="Y556" s="1393"/>
    </row>
    <row r="557" spans="1:25" s="1395" customFormat="1">
      <c r="A557" s="1392"/>
      <c r="B557" s="1392"/>
      <c r="C557" s="1392"/>
      <c r="D557" s="1392"/>
      <c r="E557" s="1392"/>
      <c r="F557" s="1392"/>
      <c r="G557" s="1392"/>
      <c r="H557" s="1392"/>
      <c r="I557" s="1392"/>
      <c r="J557" s="1392"/>
      <c r="K557" s="1392"/>
      <c r="L557" s="1392"/>
      <c r="N557" s="1396"/>
      <c r="O557" s="1393"/>
      <c r="P557" s="1393"/>
      <c r="Q557" s="1392"/>
      <c r="R557" s="1393"/>
      <c r="S557" s="1393"/>
      <c r="T557" s="1393"/>
      <c r="U557" s="1393"/>
      <c r="X557" s="1393"/>
      <c r="Y557" s="1393"/>
    </row>
    <row r="558" spans="1:25" s="1395" customFormat="1">
      <c r="A558" s="1392"/>
      <c r="B558" s="1392"/>
      <c r="C558" s="1392"/>
      <c r="D558" s="1392"/>
      <c r="E558" s="1392"/>
      <c r="F558" s="1392"/>
      <c r="G558" s="1392"/>
      <c r="H558" s="1392"/>
      <c r="I558" s="1392"/>
      <c r="J558" s="1392"/>
      <c r="K558" s="1392"/>
      <c r="L558" s="1392"/>
      <c r="N558" s="1396"/>
      <c r="O558" s="1393"/>
      <c r="P558" s="1393"/>
      <c r="Q558" s="1392"/>
      <c r="R558" s="1393"/>
      <c r="S558" s="1393"/>
      <c r="T558" s="1393"/>
      <c r="U558" s="1393"/>
      <c r="X558" s="1393"/>
      <c r="Y558" s="1393"/>
    </row>
    <row r="559" spans="1:25" s="1395" customFormat="1">
      <c r="A559" s="1392"/>
      <c r="B559" s="1392"/>
      <c r="C559" s="1392"/>
      <c r="D559" s="1392"/>
      <c r="E559" s="1392"/>
      <c r="F559" s="1392"/>
      <c r="G559" s="1392"/>
      <c r="H559" s="1392"/>
      <c r="I559" s="1392"/>
      <c r="J559" s="1392"/>
      <c r="K559" s="1392"/>
      <c r="L559" s="1392"/>
      <c r="N559" s="1396"/>
      <c r="O559" s="1393"/>
      <c r="P559" s="1393"/>
      <c r="Q559" s="1392"/>
      <c r="R559" s="1393"/>
      <c r="S559" s="1393"/>
      <c r="T559" s="1393"/>
      <c r="U559" s="1393"/>
      <c r="X559" s="1393"/>
      <c r="Y559" s="1393"/>
    </row>
    <row r="560" spans="1:25" s="1395" customFormat="1">
      <c r="A560" s="1392"/>
      <c r="B560" s="1392"/>
      <c r="C560" s="1392"/>
      <c r="D560" s="1392"/>
      <c r="E560" s="1392"/>
      <c r="F560" s="1392"/>
      <c r="G560" s="1392"/>
      <c r="H560" s="1392"/>
      <c r="I560" s="1392"/>
      <c r="J560" s="1392"/>
      <c r="K560" s="1392"/>
      <c r="L560" s="1392"/>
      <c r="N560" s="1396"/>
      <c r="O560" s="1393"/>
      <c r="P560" s="1393"/>
      <c r="Q560" s="1392"/>
      <c r="R560" s="1393"/>
      <c r="S560" s="1393"/>
      <c r="T560" s="1393"/>
      <c r="U560" s="1393"/>
      <c r="X560" s="1393"/>
      <c r="Y560" s="1393"/>
    </row>
    <row r="561" spans="1:25" s="1395" customFormat="1">
      <c r="A561" s="1392"/>
      <c r="B561" s="1392"/>
      <c r="C561" s="1392"/>
      <c r="D561" s="1392"/>
      <c r="E561" s="1392"/>
      <c r="F561" s="1392"/>
      <c r="G561" s="1392"/>
      <c r="H561" s="1392"/>
      <c r="I561" s="1392"/>
      <c r="J561" s="1392"/>
      <c r="K561" s="1392"/>
      <c r="L561" s="1392"/>
      <c r="N561" s="1396"/>
      <c r="O561" s="1393"/>
      <c r="P561" s="1393"/>
      <c r="Q561" s="1392"/>
      <c r="R561" s="1393"/>
      <c r="S561" s="1393"/>
      <c r="T561" s="1393"/>
      <c r="U561" s="1393"/>
      <c r="X561" s="1393"/>
      <c r="Y561" s="1393"/>
    </row>
    <row r="562" spans="1:25" s="1395" customFormat="1">
      <c r="A562" s="1392"/>
      <c r="B562" s="1392"/>
      <c r="C562" s="1392"/>
      <c r="D562" s="1392"/>
      <c r="E562" s="1392"/>
      <c r="F562" s="1392"/>
      <c r="G562" s="1392"/>
      <c r="H562" s="1392"/>
      <c r="I562" s="1392"/>
      <c r="J562" s="1392"/>
      <c r="K562" s="1392"/>
      <c r="L562" s="1392"/>
      <c r="N562" s="1396"/>
      <c r="O562" s="1393"/>
      <c r="P562" s="1393"/>
      <c r="Q562" s="1392"/>
      <c r="R562" s="1393"/>
      <c r="S562" s="1393"/>
      <c r="T562" s="1393"/>
      <c r="U562" s="1393"/>
      <c r="X562" s="1393"/>
      <c r="Y562" s="1393"/>
    </row>
    <row r="563" spans="1:25" s="1395" customFormat="1">
      <c r="A563" s="1392"/>
      <c r="B563" s="1392"/>
      <c r="C563" s="1392"/>
      <c r="D563" s="1392"/>
      <c r="E563" s="1392"/>
      <c r="F563" s="1392"/>
      <c r="G563" s="1392"/>
      <c r="H563" s="1392"/>
      <c r="I563" s="1392"/>
      <c r="J563" s="1392"/>
      <c r="K563" s="1392"/>
      <c r="L563" s="1392"/>
      <c r="N563" s="1396"/>
      <c r="O563" s="1393"/>
      <c r="P563" s="1393"/>
      <c r="Q563" s="1392"/>
      <c r="R563" s="1393"/>
      <c r="S563" s="1393"/>
      <c r="T563" s="1393"/>
      <c r="U563" s="1393"/>
      <c r="X563" s="1393"/>
      <c r="Y563" s="1393"/>
    </row>
    <row r="564" spans="1:25" s="1395" customFormat="1">
      <c r="A564" s="1392"/>
      <c r="B564" s="1392"/>
      <c r="C564" s="1392"/>
      <c r="D564" s="1392"/>
      <c r="E564" s="1392"/>
      <c r="F564" s="1392"/>
      <c r="G564" s="1392"/>
      <c r="H564" s="1392"/>
      <c r="I564" s="1392"/>
      <c r="J564" s="1392"/>
      <c r="K564" s="1392"/>
      <c r="L564" s="1392"/>
      <c r="N564" s="1396"/>
      <c r="O564" s="1393"/>
      <c r="P564" s="1393"/>
      <c r="Q564" s="1392"/>
      <c r="R564" s="1393"/>
      <c r="S564" s="1393"/>
      <c r="T564" s="1393"/>
      <c r="U564" s="1393"/>
      <c r="X564" s="1393"/>
      <c r="Y564" s="1393"/>
    </row>
    <row r="565" spans="1:25" s="1395" customFormat="1">
      <c r="A565" s="1392"/>
      <c r="B565" s="1392"/>
      <c r="C565" s="1392"/>
      <c r="D565" s="1392"/>
      <c r="E565" s="1392"/>
      <c r="F565" s="1392"/>
      <c r="G565" s="1392"/>
      <c r="H565" s="1392"/>
      <c r="I565" s="1392"/>
      <c r="J565" s="1392"/>
      <c r="K565" s="1392"/>
      <c r="L565" s="1392"/>
      <c r="N565" s="1396"/>
      <c r="O565" s="1393"/>
      <c r="P565" s="1393"/>
      <c r="Q565" s="1392"/>
      <c r="R565" s="1393"/>
      <c r="S565" s="1393"/>
      <c r="T565" s="1393"/>
      <c r="U565" s="1393"/>
      <c r="X565" s="1393"/>
      <c r="Y565" s="1393"/>
    </row>
    <row r="566" spans="1:25" s="1395" customFormat="1">
      <c r="A566" s="1392"/>
      <c r="B566" s="1392"/>
      <c r="C566" s="1392"/>
      <c r="D566" s="1392"/>
      <c r="E566" s="1392"/>
      <c r="F566" s="1392"/>
      <c r="G566" s="1392"/>
      <c r="H566" s="1392"/>
      <c r="I566" s="1392"/>
      <c r="J566" s="1392"/>
      <c r="K566" s="1392"/>
      <c r="L566" s="1392"/>
      <c r="N566" s="1396"/>
      <c r="O566" s="1393"/>
      <c r="P566" s="1393"/>
      <c r="Q566" s="1392"/>
      <c r="R566" s="1393"/>
      <c r="S566" s="1393"/>
      <c r="T566" s="1393"/>
      <c r="U566" s="1393"/>
      <c r="X566" s="1393"/>
      <c r="Y566" s="1393"/>
    </row>
    <row r="567" spans="1:25" s="1395" customFormat="1">
      <c r="A567" s="1392"/>
      <c r="B567" s="1392"/>
      <c r="C567" s="1392"/>
      <c r="D567" s="1392"/>
      <c r="E567" s="1392"/>
      <c r="F567" s="1392"/>
      <c r="G567" s="1392"/>
      <c r="H567" s="1392"/>
      <c r="I567" s="1392"/>
      <c r="J567" s="1392"/>
      <c r="K567" s="1392"/>
      <c r="L567" s="1392"/>
      <c r="N567" s="1396"/>
      <c r="O567" s="1393"/>
      <c r="P567" s="1393"/>
      <c r="Q567" s="1392"/>
      <c r="R567" s="1393"/>
      <c r="S567" s="1393"/>
      <c r="T567" s="1393"/>
      <c r="U567" s="1393"/>
      <c r="X567" s="1393"/>
      <c r="Y567" s="1393"/>
    </row>
    <row r="568" spans="1:25" s="1395" customFormat="1">
      <c r="A568" s="1392"/>
      <c r="B568" s="1392"/>
      <c r="C568" s="1392"/>
      <c r="D568" s="1392"/>
      <c r="E568" s="1392"/>
      <c r="F568" s="1392"/>
      <c r="G568" s="1392"/>
      <c r="H568" s="1392"/>
      <c r="I568" s="1392"/>
      <c r="J568" s="1392"/>
      <c r="K568" s="1392"/>
      <c r="L568" s="1392"/>
      <c r="N568" s="1396"/>
      <c r="O568" s="1393"/>
      <c r="P568" s="1393"/>
      <c r="Q568" s="1392"/>
      <c r="R568" s="1393"/>
      <c r="S568" s="1393"/>
      <c r="T568" s="1393"/>
      <c r="U568" s="1393"/>
      <c r="X568" s="1393"/>
      <c r="Y568" s="1393"/>
    </row>
    <row r="569" spans="1:25" s="1395" customFormat="1">
      <c r="A569" s="1392"/>
      <c r="B569" s="1392"/>
      <c r="C569" s="1392"/>
      <c r="D569" s="1392"/>
      <c r="E569" s="1392"/>
      <c r="F569" s="1392"/>
      <c r="G569" s="1392"/>
      <c r="H569" s="1392"/>
      <c r="I569" s="1392"/>
      <c r="J569" s="1392"/>
      <c r="K569" s="1392"/>
      <c r="L569" s="1392"/>
      <c r="N569" s="1396"/>
      <c r="O569" s="1393"/>
      <c r="P569" s="1393"/>
      <c r="Q569" s="1392"/>
      <c r="R569" s="1393"/>
      <c r="S569" s="1393"/>
      <c r="T569" s="1393"/>
      <c r="U569" s="1393"/>
      <c r="X569" s="1393"/>
      <c r="Y569" s="1393"/>
    </row>
    <row r="570" spans="1:25" s="1395" customFormat="1">
      <c r="A570" s="1392"/>
      <c r="B570" s="1392"/>
      <c r="C570" s="1392"/>
      <c r="D570" s="1392"/>
      <c r="E570" s="1392"/>
      <c r="F570" s="1392"/>
      <c r="G570" s="1392"/>
      <c r="H570" s="1392"/>
      <c r="I570" s="1392"/>
      <c r="J570" s="1392"/>
      <c r="K570" s="1392"/>
      <c r="L570" s="1392"/>
      <c r="N570" s="1396"/>
      <c r="O570" s="1393"/>
      <c r="P570" s="1393"/>
      <c r="Q570" s="1392"/>
      <c r="R570" s="1393"/>
      <c r="S570" s="1393"/>
      <c r="T570" s="1393"/>
      <c r="U570" s="1393"/>
      <c r="X570" s="1393"/>
      <c r="Y570" s="1393"/>
    </row>
    <row r="571" spans="1:25" s="1395" customFormat="1">
      <c r="A571" s="1392"/>
      <c r="B571" s="1392"/>
      <c r="C571" s="1392"/>
      <c r="D571" s="1392"/>
      <c r="E571" s="1392"/>
      <c r="F571" s="1392"/>
      <c r="G571" s="1392"/>
      <c r="H571" s="1392"/>
      <c r="I571" s="1392"/>
      <c r="J571" s="1392"/>
      <c r="K571" s="1392"/>
      <c r="L571" s="1392"/>
      <c r="N571" s="1396"/>
      <c r="O571" s="1393"/>
      <c r="P571" s="1393"/>
      <c r="Q571" s="1392"/>
      <c r="R571" s="1393"/>
      <c r="S571" s="1393"/>
      <c r="T571" s="1393"/>
      <c r="U571" s="1393"/>
      <c r="X571" s="1393"/>
      <c r="Y571" s="1393"/>
    </row>
    <row r="572" spans="1:25" s="1395" customFormat="1">
      <c r="A572" s="1392"/>
      <c r="B572" s="1392"/>
      <c r="C572" s="1392"/>
      <c r="D572" s="1392"/>
      <c r="E572" s="1392"/>
      <c r="F572" s="1392"/>
      <c r="G572" s="1392"/>
      <c r="H572" s="1392"/>
      <c r="I572" s="1392"/>
      <c r="J572" s="1392"/>
      <c r="K572" s="1392"/>
      <c r="L572" s="1392"/>
      <c r="N572" s="1396"/>
      <c r="O572" s="1393"/>
      <c r="P572" s="1393"/>
      <c r="Q572" s="1392"/>
      <c r="R572" s="1393"/>
      <c r="S572" s="1393"/>
      <c r="T572" s="1393"/>
      <c r="U572" s="1393"/>
      <c r="X572" s="1393"/>
      <c r="Y572" s="1393"/>
    </row>
    <row r="573" spans="1:25" s="1395" customFormat="1">
      <c r="A573" s="1392"/>
      <c r="B573" s="1392"/>
      <c r="C573" s="1392"/>
      <c r="D573" s="1392"/>
      <c r="E573" s="1392"/>
      <c r="F573" s="1392"/>
      <c r="G573" s="1392"/>
      <c r="H573" s="1392"/>
      <c r="I573" s="1392"/>
      <c r="J573" s="1392"/>
      <c r="K573" s="1392"/>
      <c r="L573" s="1392"/>
      <c r="N573" s="1396"/>
      <c r="O573" s="1393"/>
      <c r="P573" s="1393"/>
      <c r="Q573" s="1392"/>
      <c r="R573" s="1393"/>
      <c r="S573" s="1393"/>
      <c r="T573" s="1393"/>
      <c r="U573" s="1393"/>
      <c r="X573" s="1393"/>
      <c r="Y573" s="1393"/>
    </row>
    <row r="574" spans="1:25" s="1395" customFormat="1">
      <c r="A574" s="1392"/>
      <c r="B574" s="1392"/>
      <c r="C574" s="1392"/>
      <c r="D574" s="1392"/>
      <c r="E574" s="1392"/>
      <c r="F574" s="1392"/>
      <c r="G574" s="1392"/>
      <c r="H574" s="1392"/>
      <c r="I574" s="1392"/>
      <c r="J574" s="1392"/>
      <c r="K574" s="1392"/>
      <c r="L574" s="1392"/>
      <c r="N574" s="1396"/>
      <c r="O574" s="1393"/>
      <c r="P574" s="1393"/>
      <c r="Q574" s="1392"/>
      <c r="R574" s="1393"/>
      <c r="S574" s="1393"/>
      <c r="T574" s="1393"/>
      <c r="U574" s="1393"/>
      <c r="X574" s="1393"/>
      <c r="Y574" s="1393"/>
    </row>
    <row r="575" spans="1:25" s="1395" customFormat="1">
      <c r="A575" s="1392"/>
      <c r="B575" s="1392"/>
      <c r="C575" s="1392"/>
      <c r="D575" s="1392"/>
      <c r="E575" s="1392"/>
      <c r="F575" s="1392"/>
      <c r="G575" s="1392"/>
      <c r="H575" s="1392"/>
      <c r="I575" s="1392"/>
      <c r="J575" s="1392"/>
      <c r="K575" s="1392"/>
      <c r="L575" s="1392"/>
      <c r="N575" s="1396"/>
      <c r="O575" s="1393"/>
      <c r="P575" s="1393"/>
      <c r="Q575" s="1392"/>
      <c r="R575" s="1393"/>
      <c r="S575" s="1393"/>
      <c r="T575" s="1393"/>
      <c r="U575" s="1393"/>
      <c r="X575" s="1393"/>
      <c r="Y575" s="1393"/>
    </row>
    <row r="576" spans="1:25" s="1395" customFormat="1">
      <c r="A576" s="1392"/>
      <c r="B576" s="1392"/>
      <c r="C576" s="1392"/>
      <c r="D576" s="1392"/>
      <c r="E576" s="1392"/>
      <c r="F576" s="1392"/>
      <c r="G576" s="1392"/>
      <c r="H576" s="1392"/>
      <c r="I576" s="1392"/>
      <c r="J576" s="1392"/>
      <c r="K576" s="1392"/>
      <c r="L576" s="1392"/>
      <c r="N576" s="1396"/>
      <c r="O576" s="1393"/>
      <c r="P576" s="1393"/>
      <c r="Q576" s="1392"/>
      <c r="R576" s="1393"/>
      <c r="S576" s="1393"/>
      <c r="T576" s="1393"/>
      <c r="U576" s="1393"/>
      <c r="X576" s="1393"/>
      <c r="Y576" s="1393"/>
    </row>
    <row r="577" spans="1:25" s="1395" customFormat="1">
      <c r="A577" s="1392"/>
      <c r="B577" s="1392"/>
      <c r="C577" s="1392"/>
      <c r="D577" s="1392"/>
      <c r="E577" s="1392"/>
      <c r="F577" s="1392"/>
      <c r="G577" s="1392"/>
      <c r="H577" s="1392"/>
      <c r="I577" s="1392"/>
      <c r="J577" s="1392"/>
      <c r="K577" s="1392"/>
      <c r="L577" s="1392"/>
      <c r="N577" s="1396"/>
      <c r="O577" s="1393"/>
      <c r="P577" s="1393"/>
      <c r="Q577" s="1392"/>
      <c r="R577" s="1393"/>
      <c r="S577" s="1393"/>
      <c r="T577" s="1393"/>
      <c r="U577" s="1393"/>
      <c r="X577" s="1393"/>
      <c r="Y577" s="1393"/>
    </row>
    <row r="578" spans="1:25" s="1395" customFormat="1">
      <c r="A578" s="1392"/>
      <c r="B578" s="1392"/>
      <c r="C578" s="1392"/>
      <c r="D578" s="1392"/>
      <c r="E578" s="1392"/>
      <c r="F578" s="1392"/>
      <c r="G578" s="1392"/>
      <c r="H578" s="1392"/>
      <c r="I578" s="1392"/>
      <c r="J578" s="1392"/>
      <c r="K578" s="1392"/>
      <c r="L578" s="1392"/>
      <c r="N578" s="1396"/>
      <c r="O578" s="1393"/>
      <c r="P578" s="1393"/>
      <c r="Q578" s="1392"/>
      <c r="R578" s="1393"/>
      <c r="S578" s="1393"/>
      <c r="T578" s="1393"/>
      <c r="U578" s="1393"/>
      <c r="X578" s="1393"/>
      <c r="Y578" s="1393"/>
    </row>
    <row r="579" spans="1:25" s="1395" customFormat="1">
      <c r="A579" s="1392"/>
      <c r="B579" s="1392"/>
      <c r="C579" s="1392"/>
      <c r="D579" s="1392"/>
      <c r="E579" s="1392"/>
      <c r="F579" s="1392"/>
      <c r="G579" s="1392"/>
      <c r="H579" s="1392"/>
      <c r="I579" s="1392"/>
      <c r="J579" s="1392"/>
      <c r="K579" s="1392"/>
      <c r="L579" s="1392"/>
      <c r="N579" s="1396"/>
      <c r="O579" s="1393"/>
      <c r="P579" s="1393"/>
      <c r="Q579" s="1392"/>
      <c r="R579" s="1393"/>
      <c r="S579" s="1393"/>
      <c r="T579" s="1393"/>
      <c r="U579" s="1393"/>
      <c r="X579" s="1393"/>
      <c r="Y579" s="1393"/>
    </row>
    <row r="580" spans="1:25" s="1395" customFormat="1">
      <c r="A580" s="1392"/>
      <c r="B580" s="1392"/>
      <c r="C580" s="1392"/>
      <c r="D580" s="1392"/>
      <c r="E580" s="1392"/>
      <c r="F580" s="1392"/>
      <c r="G580" s="1392"/>
      <c r="H580" s="1392"/>
      <c r="I580" s="1392"/>
      <c r="J580" s="1392"/>
      <c r="K580" s="1392"/>
      <c r="L580" s="1392"/>
      <c r="N580" s="1396"/>
      <c r="O580" s="1393"/>
      <c r="P580" s="1393"/>
      <c r="Q580" s="1392"/>
      <c r="R580" s="1393"/>
      <c r="S580" s="1393"/>
      <c r="T580" s="1393"/>
      <c r="U580" s="1393"/>
      <c r="X580" s="1393"/>
      <c r="Y580" s="1393"/>
    </row>
    <row r="581" spans="1:25" s="1395" customFormat="1">
      <c r="A581" s="1392"/>
      <c r="B581" s="1392"/>
      <c r="C581" s="1392"/>
      <c r="D581" s="1392"/>
      <c r="E581" s="1392"/>
      <c r="F581" s="1392"/>
      <c r="G581" s="1392"/>
      <c r="H581" s="1392"/>
      <c r="I581" s="1392"/>
      <c r="J581" s="1392"/>
      <c r="K581" s="1392"/>
      <c r="L581" s="1392"/>
      <c r="N581" s="1396"/>
      <c r="O581" s="1393"/>
      <c r="P581" s="1393"/>
      <c r="Q581" s="1392"/>
      <c r="R581" s="1393"/>
      <c r="S581" s="1393"/>
      <c r="T581" s="1393"/>
      <c r="U581" s="1393"/>
      <c r="X581" s="1393"/>
      <c r="Y581" s="1393"/>
    </row>
    <row r="582" spans="1:25" s="1395" customFormat="1">
      <c r="A582" s="1392"/>
      <c r="B582" s="1392"/>
      <c r="C582" s="1392"/>
      <c r="D582" s="1392"/>
      <c r="E582" s="1392"/>
      <c r="F582" s="1392"/>
      <c r="G582" s="1392"/>
      <c r="H582" s="1392"/>
      <c r="I582" s="1392"/>
      <c r="J582" s="1392"/>
      <c r="K582" s="1392"/>
      <c r="L582" s="1392"/>
      <c r="N582" s="1396"/>
      <c r="O582" s="1393"/>
      <c r="P582" s="1393"/>
      <c r="Q582" s="1392"/>
      <c r="R582" s="1393"/>
      <c r="S582" s="1393"/>
      <c r="T582" s="1393"/>
      <c r="U582" s="1393"/>
      <c r="X582" s="1393"/>
      <c r="Y582" s="1393"/>
    </row>
    <row r="583" spans="1:25" s="1395" customFormat="1">
      <c r="A583" s="1392"/>
      <c r="B583" s="1392"/>
      <c r="C583" s="1392"/>
      <c r="D583" s="1392"/>
      <c r="E583" s="1392"/>
      <c r="F583" s="1392"/>
      <c r="G583" s="1392"/>
      <c r="H583" s="1392"/>
      <c r="I583" s="1392"/>
      <c r="J583" s="1392"/>
      <c r="K583" s="1392"/>
      <c r="L583" s="1392"/>
      <c r="N583" s="1396"/>
      <c r="O583" s="1393"/>
      <c r="P583" s="1393"/>
      <c r="Q583" s="1392"/>
      <c r="R583" s="1393"/>
      <c r="S583" s="1393"/>
      <c r="T583" s="1393"/>
      <c r="U583" s="1393"/>
      <c r="X583" s="1393"/>
      <c r="Y583" s="1393"/>
    </row>
    <row r="584" spans="1:25" s="1395" customFormat="1">
      <c r="A584" s="1392"/>
      <c r="B584" s="1392"/>
      <c r="C584" s="1392"/>
      <c r="D584" s="1392"/>
      <c r="E584" s="1392"/>
      <c r="F584" s="1392"/>
      <c r="G584" s="1392"/>
      <c r="H584" s="1392"/>
      <c r="I584" s="1392"/>
      <c r="J584" s="1392"/>
      <c r="K584" s="1392"/>
      <c r="L584" s="1392"/>
      <c r="N584" s="1396"/>
      <c r="O584" s="1393"/>
      <c r="P584" s="1393"/>
      <c r="Q584" s="1392"/>
      <c r="R584" s="1393"/>
      <c r="S584" s="1393"/>
      <c r="T584" s="1393"/>
      <c r="U584" s="1393"/>
      <c r="X584" s="1393"/>
      <c r="Y584" s="1393"/>
    </row>
    <row r="585" spans="1:25" s="1395" customFormat="1">
      <c r="A585" s="1392"/>
      <c r="B585" s="1392"/>
      <c r="C585" s="1392"/>
      <c r="D585" s="1392"/>
      <c r="E585" s="1392"/>
      <c r="F585" s="1392"/>
      <c r="G585" s="1392"/>
      <c r="H585" s="1392"/>
      <c r="I585" s="1392"/>
      <c r="J585" s="1392"/>
      <c r="K585" s="1392"/>
      <c r="L585" s="1392"/>
      <c r="N585" s="1396"/>
      <c r="O585" s="1393"/>
      <c r="P585" s="1393"/>
      <c r="Q585" s="1392"/>
      <c r="R585" s="1393"/>
      <c r="S585" s="1393"/>
      <c r="T585" s="1393"/>
      <c r="U585" s="1393"/>
      <c r="X585" s="1393"/>
      <c r="Y585" s="1393"/>
    </row>
    <row r="586" spans="1:25" s="1395" customFormat="1">
      <c r="A586" s="1392"/>
      <c r="B586" s="1392"/>
      <c r="C586" s="1392"/>
      <c r="D586" s="1392"/>
      <c r="E586" s="1392"/>
      <c r="F586" s="1392"/>
      <c r="G586" s="1392"/>
      <c r="H586" s="1392"/>
      <c r="I586" s="1392"/>
      <c r="J586" s="1392"/>
      <c r="K586" s="1392"/>
      <c r="L586" s="1392"/>
      <c r="N586" s="1396"/>
      <c r="O586" s="1393"/>
      <c r="P586" s="1393"/>
      <c r="Q586" s="1392"/>
      <c r="R586" s="1393"/>
      <c r="S586" s="1393"/>
      <c r="T586" s="1393"/>
      <c r="U586" s="1393"/>
      <c r="X586" s="1393"/>
      <c r="Y586" s="1393"/>
    </row>
    <row r="587" spans="1:25" s="1395" customFormat="1">
      <c r="A587" s="1392"/>
      <c r="B587" s="1392"/>
      <c r="C587" s="1392"/>
      <c r="D587" s="1392"/>
      <c r="E587" s="1392"/>
      <c r="F587" s="1392"/>
      <c r="G587" s="1392"/>
      <c r="H587" s="1392"/>
      <c r="I587" s="1392"/>
      <c r="J587" s="1392"/>
      <c r="K587" s="1392"/>
      <c r="L587" s="1392"/>
      <c r="N587" s="1396"/>
      <c r="O587" s="1393"/>
      <c r="P587" s="1393"/>
      <c r="Q587" s="1392"/>
      <c r="R587" s="1393"/>
      <c r="S587" s="1393"/>
      <c r="T587" s="1393"/>
      <c r="U587" s="1393"/>
      <c r="X587" s="1393"/>
      <c r="Y587" s="1393"/>
    </row>
    <row r="588" spans="1:25" s="1395" customFormat="1">
      <c r="A588" s="1392"/>
      <c r="B588" s="1392"/>
      <c r="C588" s="1392"/>
      <c r="D588" s="1392"/>
      <c r="E588" s="1392"/>
      <c r="F588" s="1392"/>
      <c r="G588" s="1392"/>
      <c r="H588" s="1392"/>
      <c r="I588" s="1392"/>
      <c r="J588" s="1392"/>
      <c r="K588" s="1392"/>
      <c r="L588" s="1392"/>
      <c r="N588" s="1396"/>
      <c r="O588" s="1393"/>
      <c r="P588" s="1393"/>
      <c r="Q588" s="1392"/>
      <c r="R588" s="1393"/>
      <c r="S588" s="1393"/>
      <c r="T588" s="1393"/>
      <c r="U588" s="1393"/>
      <c r="X588" s="1393"/>
      <c r="Y588" s="1393"/>
    </row>
    <row r="589" spans="1:25" s="1395" customFormat="1">
      <c r="A589" s="1392"/>
      <c r="B589" s="1392"/>
      <c r="C589" s="1392"/>
      <c r="D589" s="1392"/>
      <c r="E589" s="1392"/>
      <c r="F589" s="1392"/>
      <c r="G589" s="1392"/>
      <c r="H589" s="1392"/>
      <c r="I589" s="1392"/>
      <c r="J589" s="1392"/>
      <c r="K589" s="1392"/>
      <c r="L589" s="1392"/>
      <c r="N589" s="1396"/>
      <c r="O589" s="1393"/>
      <c r="P589" s="1393"/>
      <c r="Q589" s="1392"/>
      <c r="R589" s="1393"/>
      <c r="S589" s="1393"/>
      <c r="T589" s="1393"/>
      <c r="U589" s="1393"/>
      <c r="X589" s="1393"/>
      <c r="Y589" s="1393"/>
    </row>
    <row r="590" spans="1:25" s="1395" customFormat="1">
      <c r="A590" s="1392"/>
      <c r="B590" s="1392"/>
      <c r="C590" s="1392"/>
      <c r="D590" s="1392"/>
      <c r="E590" s="1392"/>
      <c r="F590" s="1392"/>
      <c r="G590" s="1392"/>
      <c r="H590" s="1392"/>
      <c r="I590" s="1392"/>
      <c r="J590" s="1392"/>
      <c r="K590" s="1392"/>
      <c r="L590" s="1392"/>
      <c r="N590" s="1396"/>
      <c r="O590" s="1393"/>
      <c r="P590" s="1393"/>
      <c r="Q590" s="1392"/>
      <c r="R590" s="1393"/>
      <c r="S590" s="1393"/>
      <c r="T590" s="1393"/>
      <c r="U590" s="1393"/>
      <c r="X590" s="1393"/>
      <c r="Y590" s="1393"/>
    </row>
    <row r="591" spans="1:25" s="1395" customFormat="1">
      <c r="A591" s="1392"/>
      <c r="B591" s="1392"/>
      <c r="C591" s="1392"/>
      <c r="D591" s="1392"/>
      <c r="E591" s="1392"/>
      <c r="F591" s="1392"/>
      <c r="G591" s="1392"/>
      <c r="H591" s="1392"/>
      <c r="I591" s="1392"/>
      <c r="J591" s="1392"/>
      <c r="K591" s="1392"/>
      <c r="L591" s="1392"/>
      <c r="N591" s="1396"/>
      <c r="O591" s="1393"/>
      <c r="P591" s="1393"/>
      <c r="Q591" s="1392"/>
      <c r="R591" s="1393"/>
      <c r="S591" s="1393"/>
      <c r="T591" s="1393"/>
      <c r="U591" s="1393"/>
      <c r="X591" s="1393"/>
      <c r="Y591" s="1393"/>
    </row>
    <row r="592" spans="1:25" s="1395" customFormat="1">
      <c r="A592" s="1392"/>
      <c r="B592" s="1392"/>
      <c r="C592" s="1392"/>
      <c r="D592" s="1392"/>
      <c r="E592" s="1392"/>
      <c r="F592" s="1392"/>
      <c r="G592" s="1392"/>
      <c r="H592" s="1392"/>
      <c r="I592" s="1392"/>
      <c r="J592" s="1392"/>
      <c r="K592" s="1392"/>
      <c r="L592" s="1392"/>
      <c r="N592" s="1396"/>
      <c r="O592" s="1393"/>
      <c r="P592" s="1393"/>
      <c r="Q592" s="1392"/>
      <c r="R592" s="1393"/>
      <c r="S592" s="1393"/>
      <c r="T592" s="1393"/>
      <c r="U592" s="1393"/>
      <c r="X592" s="1393"/>
      <c r="Y592" s="1393"/>
    </row>
    <row r="593" spans="1:25" s="1395" customFormat="1">
      <c r="A593" s="1392"/>
      <c r="B593" s="1392"/>
      <c r="C593" s="1392"/>
      <c r="D593" s="1392"/>
      <c r="E593" s="1392"/>
      <c r="F593" s="1392"/>
      <c r="G593" s="1392"/>
      <c r="H593" s="1392"/>
      <c r="I593" s="1392"/>
      <c r="J593" s="1392"/>
      <c r="K593" s="1392"/>
      <c r="L593" s="1392"/>
      <c r="N593" s="1396"/>
      <c r="O593" s="1393"/>
      <c r="P593" s="1393"/>
      <c r="Q593" s="1392"/>
      <c r="R593" s="1393"/>
      <c r="S593" s="1393"/>
      <c r="T593" s="1393"/>
      <c r="U593" s="1393"/>
      <c r="X593" s="1393"/>
      <c r="Y593" s="1393"/>
    </row>
    <row r="594" spans="1:25" s="1395" customFormat="1">
      <c r="A594" s="1392"/>
      <c r="B594" s="1392"/>
      <c r="C594" s="1392"/>
      <c r="D594" s="1392"/>
      <c r="E594" s="1392"/>
      <c r="F594" s="1392"/>
      <c r="G594" s="1392"/>
      <c r="H594" s="1392"/>
      <c r="I594" s="1392"/>
      <c r="J594" s="1392"/>
      <c r="K594" s="1392"/>
      <c r="L594" s="1392"/>
      <c r="N594" s="1396"/>
      <c r="O594" s="1393"/>
      <c r="P594" s="1393"/>
      <c r="Q594" s="1392"/>
      <c r="R594" s="1393"/>
      <c r="S594" s="1393"/>
      <c r="T594" s="1393"/>
      <c r="U594" s="1393"/>
      <c r="X594" s="1393"/>
      <c r="Y594" s="1393"/>
    </row>
    <row r="595" spans="1:25" s="1395" customFormat="1">
      <c r="A595" s="1392"/>
      <c r="B595" s="1392"/>
      <c r="C595" s="1392"/>
      <c r="D595" s="1392"/>
      <c r="E595" s="1392"/>
      <c r="F595" s="1392"/>
      <c r="G595" s="1392"/>
      <c r="H595" s="1392"/>
      <c r="I595" s="1392"/>
      <c r="J595" s="1392"/>
      <c r="K595" s="1392"/>
      <c r="L595" s="1392"/>
      <c r="N595" s="1396"/>
      <c r="O595" s="1393"/>
      <c r="P595" s="1393"/>
      <c r="Q595" s="1392"/>
      <c r="R595" s="1393"/>
      <c r="S595" s="1393"/>
      <c r="T595" s="1393"/>
      <c r="U595" s="1393"/>
      <c r="X595" s="1393"/>
      <c r="Y595" s="1393"/>
    </row>
    <row r="596" spans="1:25" s="1395" customFormat="1">
      <c r="A596" s="1392"/>
      <c r="B596" s="1392"/>
      <c r="C596" s="1392"/>
      <c r="D596" s="1392"/>
      <c r="E596" s="1392"/>
      <c r="F596" s="1392"/>
      <c r="G596" s="1392"/>
      <c r="H596" s="1392"/>
      <c r="I596" s="1392"/>
      <c r="J596" s="1392"/>
      <c r="K596" s="1392"/>
      <c r="L596" s="1392"/>
      <c r="N596" s="1396"/>
      <c r="O596" s="1393"/>
      <c r="P596" s="1393"/>
      <c r="Q596" s="1392"/>
      <c r="R596" s="1393"/>
      <c r="S596" s="1393"/>
      <c r="T596" s="1393"/>
      <c r="U596" s="1393"/>
      <c r="X596" s="1393"/>
      <c r="Y596" s="1393"/>
    </row>
    <row r="597" spans="1:25" s="1395" customFormat="1">
      <c r="A597" s="1392"/>
      <c r="B597" s="1392"/>
      <c r="C597" s="1392"/>
      <c r="D597" s="1392"/>
      <c r="E597" s="1392"/>
      <c r="F597" s="1392"/>
      <c r="G597" s="1392"/>
      <c r="H597" s="1392"/>
      <c r="I597" s="1392"/>
      <c r="J597" s="1392"/>
      <c r="K597" s="1392"/>
      <c r="L597" s="1392"/>
      <c r="N597" s="1396"/>
      <c r="O597" s="1393"/>
      <c r="P597" s="1393"/>
      <c r="Q597" s="1392"/>
      <c r="R597" s="1393"/>
      <c r="S597" s="1393"/>
      <c r="T597" s="1393"/>
      <c r="U597" s="1393"/>
      <c r="X597" s="1393"/>
      <c r="Y597" s="1393"/>
    </row>
    <row r="598" spans="1:25" s="1395" customFormat="1">
      <c r="A598" s="1392"/>
      <c r="B598" s="1392"/>
      <c r="C598" s="1392"/>
      <c r="D598" s="1392"/>
      <c r="E598" s="1392"/>
      <c r="F598" s="1392"/>
      <c r="G598" s="1392"/>
      <c r="H598" s="1392"/>
      <c r="I598" s="1392"/>
      <c r="J598" s="1392"/>
      <c r="K598" s="1392"/>
      <c r="L598" s="1392"/>
      <c r="N598" s="1396"/>
      <c r="O598" s="1393"/>
      <c r="P598" s="1393"/>
      <c r="Q598" s="1392"/>
      <c r="R598" s="1393"/>
      <c r="S598" s="1393"/>
      <c r="T598" s="1393"/>
      <c r="U598" s="1393"/>
      <c r="X598" s="1393"/>
      <c r="Y598" s="1393"/>
    </row>
    <row r="599" spans="1:25" s="1395" customFormat="1">
      <c r="A599" s="1392"/>
      <c r="B599" s="1392"/>
      <c r="C599" s="1392"/>
      <c r="D599" s="1392"/>
      <c r="E599" s="1392"/>
      <c r="F599" s="1392"/>
      <c r="G599" s="1392"/>
      <c r="H599" s="1392"/>
      <c r="I599" s="1392"/>
      <c r="J599" s="1392"/>
      <c r="K599" s="1392"/>
      <c r="L599" s="1392"/>
      <c r="N599" s="1396"/>
      <c r="O599" s="1393"/>
      <c r="P599" s="1393"/>
      <c r="Q599" s="1392"/>
      <c r="R599" s="1393"/>
      <c r="S599" s="1393"/>
      <c r="T599" s="1393"/>
      <c r="U599" s="1393"/>
      <c r="X599" s="1393"/>
      <c r="Y599" s="1393"/>
    </row>
    <row r="600" spans="1:25" s="1395" customFormat="1">
      <c r="A600" s="1392"/>
      <c r="B600" s="1392"/>
      <c r="C600" s="1392"/>
      <c r="D600" s="1392"/>
      <c r="E600" s="1392"/>
      <c r="F600" s="1392"/>
      <c r="G600" s="1392"/>
      <c r="H600" s="1392"/>
      <c r="I600" s="1392"/>
      <c r="J600" s="1392"/>
      <c r="K600" s="1392"/>
      <c r="L600" s="1392"/>
      <c r="N600" s="1396"/>
      <c r="O600" s="1393"/>
      <c r="P600" s="1393"/>
      <c r="Q600" s="1392"/>
      <c r="R600" s="1393"/>
      <c r="S600" s="1393"/>
      <c r="T600" s="1393"/>
      <c r="U600" s="1393"/>
      <c r="X600" s="1393"/>
      <c r="Y600" s="1393"/>
    </row>
    <row r="601" spans="1:25" s="1395" customFormat="1">
      <c r="A601" s="1392"/>
      <c r="B601" s="1392"/>
      <c r="C601" s="1392"/>
      <c r="D601" s="1392"/>
      <c r="E601" s="1392"/>
      <c r="F601" s="1392"/>
      <c r="G601" s="1392"/>
      <c r="H601" s="1392"/>
      <c r="I601" s="1392"/>
      <c r="J601" s="1392"/>
      <c r="K601" s="1392"/>
      <c r="L601" s="1392"/>
      <c r="N601" s="1396"/>
      <c r="O601" s="1393"/>
      <c r="P601" s="1393"/>
      <c r="Q601" s="1392"/>
      <c r="R601" s="1393"/>
      <c r="S601" s="1393"/>
      <c r="T601" s="1393"/>
      <c r="U601" s="1393"/>
      <c r="X601" s="1393"/>
      <c r="Y601" s="1393"/>
    </row>
    <row r="602" spans="1:25" s="1395" customFormat="1">
      <c r="A602" s="1392"/>
      <c r="B602" s="1392"/>
      <c r="C602" s="1392"/>
      <c r="D602" s="1392"/>
      <c r="E602" s="1392"/>
      <c r="F602" s="1392"/>
      <c r="G602" s="1392"/>
      <c r="H602" s="1392"/>
      <c r="I602" s="1392"/>
      <c r="J602" s="1392"/>
      <c r="K602" s="1392"/>
      <c r="L602" s="1392"/>
      <c r="N602" s="1396"/>
      <c r="O602" s="1393"/>
      <c r="P602" s="1393"/>
      <c r="Q602" s="1392"/>
      <c r="R602" s="1393"/>
      <c r="S602" s="1393"/>
      <c r="T602" s="1393"/>
      <c r="U602" s="1393"/>
      <c r="X602" s="1393"/>
      <c r="Y602" s="1393"/>
    </row>
    <row r="603" spans="1:25" s="1395" customFormat="1">
      <c r="A603" s="1392"/>
      <c r="B603" s="1392"/>
      <c r="C603" s="1392"/>
      <c r="D603" s="1392"/>
      <c r="E603" s="1392"/>
      <c r="F603" s="1392"/>
      <c r="G603" s="1392"/>
      <c r="H603" s="1392"/>
      <c r="I603" s="1392"/>
      <c r="J603" s="1392"/>
      <c r="K603" s="1392"/>
      <c r="L603" s="1392"/>
      <c r="N603" s="1396"/>
      <c r="O603" s="1393"/>
      <c r="P603" s="1393"/>
      <c r="Q603" s="1392"/>
      <c r="R603" s="1393"/>
      <c r="S603" s="1393"/>
      <c r="T603" s="1393"/>
      <c r="U603" s="1393"/>
      <c r="X603" s="1393"/>
      <c r="Y603" s="1393"/>
    </row>
    <row r="604" spans="1:25" s="1395" customFormat="1">
      <c r="A604" s="1392"/>
      <c r="B604" s="1392"/>
      <c r="C604" s="1392"/>
      <c r="D604" s="1392"/>
      <c r="E604" s="1392"/>
      <c r="F604" s="1392"/>
      <c r="G604" s="1392"/>
      <c r="H604" s="1392"/>
      <c r="I604" s="1392"/>
      <c r="J604" s="1392"/>
      <c r="K604" s="1392"/>
      <c r="L604" s="1392"/>
      <c r="N604" s="1396"/>
      <c r="O604" s="1393"/>
      <c r="P604" s="1393"/>
      <c r="Q604" s="1392"/>
      <c r="R604" s="1393"/>
      <c r="S604" s="1393"/>
      <c r="T604" s="1393"/>
      <c r="U604" s="1393"/>
      <c r="X604" s="1393"/>
      <c r="Y604" s="1393"/>
    </row>
    <row r="605" spans="1:25" s="1395" customFormat="1">
      <c r="A605" s="1392"/>
      <c r="B605" s="1392"/>
      <c r="C605" s="1392"/>
      <c r="D605" s="1392"/>
      <c r="E605" s="1392"/>
      <c r="F605" s="1392"/>
      <c r="G605" s="1392"/>
      <c r="H605" s="1392"/>
      <c r="I605" s="1392"/>
      <c r="J605" s="1392"/>
      <c r="K605" s="1392"/>
      <c r="L605" s="1392"/>
      <c r="N605" s="1396"/>
      <c r="O605" s="1393"/>
      <c r="P605" s="1393"/>
      <c r="Q605" s="1392"/>
      <c r="R605" s="1393"/>
      <c r="S605" s="1393"/>
      <c r="T605" s="1393"/>
      <c r="U605" s="1393"/>
      <c r="X605" s="1393"/>
      <c r="Y605" s="1393"/>
    </row>
    <row r="606" spans="1:25" s="1395" customFormat="1">
      <c r="A606" s="1392"/>
      <c r="B606" s="1392"/>
      <c r="C606" s="1392"/>
      <c r="D606" s="1392"/>
      <c r="E606" s="1392"/>
      <c r="F606" s="1392"/>
      <c r="G606" s="1392"/>
      <c r="H606" s="1392"/>
      <c r="I606" s="1392"/>
      <c r="J606" s="1392"/>
      <c r="K606" s="1392"/>
      <c r="L606" s="1392"/>
      <c r="N606" s="1396"/>
      <c r="O606" s="1393"/>
      <c r="P606" s="1393"/>
      <c r="Q606" s="1392"/>
      <c r="R606" s="1393"/>
      <c r="S606" s="1393"/>
      <c r="T606" s="1393"/>
      <c r="U606" s="1393"/>
      <c r="X606" s="1393"/>
      <c r="Y606" s="1393"/>
    </row>
    <row r="607" spans="1:25" s="1395" customFormat="1">
      <c r="A607" s="1392"/>
      <c r="B607" s="1392"/>
      <c r="C607" s="1392"/>
      <c r="D607" s="1392"/>
      <c r="E607" s="1392"/>
      <c r="F607" s="1392"/>
      <c r="G607" s="1392"/>
      <c r="H607" s="1392"/>
      <c r="I607" s="1392"/>
      <c r="J607" s="1392"/>
      <c r="K607" s="1392"/>
      <c r="L607" s="1392"/>
      <c r="N607" s="1396"/>
      <c r="O607" s="1393"/>
      <c r="P607" s="1393"/>
      <c r="Q607" s="1392"/>
      <c r="R607" s="1393"/>
      <c r="S607" s="1393"/>
      <c r="T607" s="1393"/>
      <c r="U607" s="1393"/>
      <c r="X607" s="1393"/>
      <c r="Y607" s="1393"/>
    </row>
    <row r="608" spans="1:25" s="1395" customFormat="1">
      <c r="A608" s="1392"/>
      <c r="B608" s="1392"/>
      <c r="C608" s="1392"/>
      <c r="D608" s="1392"/>
      <c r="E608" s="1392"/>
      <c r="F608" s="1392"/>
      <c r="G608" s="1392"/>
      <c r="H608" s="1392"/>
      <c r="I608" s="1392"/>
      <c r="J608" s="1392"/>
      <c r="K608" s="1392"/>
      <c r="L608" s="1392"/>
      <c r="N608" s="1396"/>
      <c r="O608" s="1393"/>
      <c r="P608" s="1393"/>
      <c r="Q608" s="1392"/>
      <c r="R608" s="1393"/>
      <c r="S608" s="1393"/>
      <c r="T608" s="1393"/>
      <c r="U608" s="1393"/>
      <c r="X608" s="1393"/>
      <c r="Y608" s="1393"/>
    </row>
    <row r="609" spans="1:25" s="1395" customFormat="1">
      <c r="A609" s="1392"/>
      <c r="B609" s="1392"/>
      <c r="C609" s="1392"/>
      <c r="D609" s="1392"/>
      <c r="E609" s="1392"/>
      <c r="F609" s="1392"/>
      <c r="G609" s="1392"/>
      <c r="H609" s="1392"/>
      <c r="I609" s="1392"/>
      <c r="J609" s="1392"/>
      <c r="K609" s="1392"/>
      <c r="L609" s="1392"/>
      <c r="N609" s="1396"/>
      <c r="O609" s="1393"/>
      <c r="P609" s="1393"/>
      <c r="Q609" s="1392"/>
      <c r="R609" s="1393"/>
      <c r="S609" s="1393"/>
      <c r="T609" s="1393"/>
      <c r="U609" s="1393"/>
      <c r="X609" s="1393"/>
      <c r="Y609" s="1393"/>
    </row>
    <row r="610" spans="1:25" s="1395" customFormat="1">
      <c r="A610" s="1392"/>
      <c r="B610" s="1392"/>
      <c r="C610" s="1392"/>
      <c r="D610" s="1392"/>
      <c r="E610" s="1392"/>
      <c r="F610" s="1392"/>
      <c r="G610" s="1392"/>
      <c r="H610" s="1392"/>
      <c r="I610" s="1392"/>
      <c r="J610" s="1392"/>
      <c r="K610" s="1392"/>
      <c r="L610" s="1392"/>
      <c r="N610" s="1396"/>
      <c r="O610" s="1393"/>
      <c r="P610" s="1393"/>
      <c r="Q610" s="1392"/>
      <c r="R610" s="1393"/>
      <c r="S610" s="1393"/>
      <c r="T610" s="1393"/>
      <c r="U610" s="1393"/>
      <c r="X610" s="1393"/>
      <c r="Y610" s="1393"/>
    </row>
    <row r="611" spans="1:25" s="1395" customFormat="1">
      <c r="A611" s="1392"/>
      <c r="B611" s="1392"/>
      <c r="C611" s="1392"/>
      <c r="D611" s="1392"/>
      <c r="E611" s="1392"/>
      <c r="F611" s="1392"/>
      <c r="G611" s="1392"/>
      <c r="H611" s="1392"/>
      <c r="I611" s="1392"/>
      <c r="J611" s="1392"/>
      <c r="K611" s="1392"/>
      <c r="L611" s="1392"/>
      <c r="N611" s="1396"/>
      <c r="O611" s="1393"/>
      <c r="P611" s="1393"/>
      <c r="Q611" s="1392"/>
      <c r="R611" s="1393"/>
      <c r="S611" s="1393"/>
      <c r="T611" s="1393"/>
      <c r="U611" s="1393"/>
      <c r="X611" s="1393"/>
      <c r="Y611" s="1393"/>
    </row>
    <row r="612" spans="1:25" s="1395" customFormat="1">
      <c r="A612" s="1392"/>
      <c r="B612" s="1392"/>
      <c r="C612" s="1392"/>
      <c r="D612" s="1392"/>
      <c r="E612" s="1392"/>
      <c r="F612" s="1392"/>
      <c r="G612" s="1392"/>
      <c r="H612" s="1392"/>
      <c r="I612" s="1392"/>
      <c r="J612" s="1392"/>
      <c r="K612" s="1392"/>
      <c r="L612" s="1392"/>
      <c r="N612" s="1396"/>
      <c r="O612" s="1393"/>
      <c r="P612" s="1393"/>
      <c r="Q612" s="1392"/>
      <c r="R612" s="1393"/>
      <c r="S612" s="1393"/>
      <c r="T612" s="1393"/>
      <c r="U612" s="1393"/>
      <c r="X612" s="1393"/>
      <c r="Y612" s="1393"/>
    </row>
    <row r="613" spans="1:25" s="1395" customFormat="1">
      <c r="A613" s="1392"/>
      <c r="B613" s="1392"/>
      <c r="C613" s="1392"/>
      <c r="D613" s="1392"/>
      <c r="E613" s="1392"/>
      <c r="F613" s="1392"/>
      <c r="G613" s="1392"/>
      <c r="H613" s="1392"/>
      <c r="I613" s="1392"/>
      <c r="J613" s="1392"/>
      <c r="K613" s="1392"/>
      <c r="L613" s="1392"/>
      <c r="N613" s="1396"/>
      <c r="O613" s="1393"/>
      <c r="P613" s="1393"/>
      <c r="Q613" s="1392"/>
      <c r="R613" s="1393"/>
      <c r="S613" s="1393"/>
      <c r="T613" s="1393"/>
      <c r="U613" s="1393"/>
      <c r="X613" s="1393"/>
      <c r="Y613" s="1393"/>
    </row>
    <row r="614" spans="1:25" s="1395" customFormat="1">
      <c r="A614" s="1392"/>
      <c r="B614" s="1392"/>
      <c r="C614" s="1392"/>
      <c r="D614" s="1392"/>
      <c r="E614" s="1392"/>
      <c r="F614" s="1392"/>
      <c r="G614" s="1392"/>
      <c r="H614" s="1392"/>
      <c r="I614" s="1392"/>
      <c r="J614" s="1392"/>
      <c r="K614" s="1392"/>
      <c r="L614" s="1392"/>
      <c r="N614" s="1396"/>
      <c r="O614" s="1393"/>
      <c r="P614" s="1393"/>
      <c r="Q614" s="1392"/>
      <c r="R614" s="1393"/>
      <c r="S614" s="1393"/>
      <c r="T614" s="1393"/>
      <c r="U614" s="1393"/>
      <c r="X614" s="1393"/>
      <c r="Y614" s="1393"/>
    </row>
    <row r="615" spans="1:25" s="1395" customFormat="1">
      <c r="A615" s="1392"/>
      <c r="B615" s="1392"/>
      <c r="C615" s="1392"/>
      <c r="D615" s="1392"/>
      <c r="E615" s="1392"/>
      <c r="F615" s="1392"/>
      <c r="G615" s="1392"/>
      <c r="H615" s="1392"/>
      <c r="I615" s="1392"/>
      <c r="J615" s="1392"/>
      <c r="K615" s="1392"/>
      <c r="L615" s="1392"/>
      <c r="N615" s="1396"/>
      <c r="O615" s="1393"/>
      <c r="P615" s="1393"/>
      <c r="Q615" s="1392"/>
      <c r="R615" s="1393"/>
      <c r="S615" s="1393"/>
      <c r="T615" s="1393"/>
      <c r="U615" s="1393"/>
      <c r="X615" s="1393"/>
      <c r="Y615" s="1393"/>
    </row>
    <row r="616" spans="1:25" s="1395" customFormat="1">
      <c r="A616" s="1392"/>
      <c r="B616" s="1392"/>
      <c r="C616" s="1392"/>
      <c r="D616" s="1392"/>
      <c r="E616" s="1392"/>
      <c r="F616" s="1392"/>
      <c r="G616" s="1392"/>
      <c r="H616" s="1392"/>
      <c r="I616" s="1392"/>
      <c r="J616" s="1392"/>
      <c r="K616" s="1392"/>
      <c r="L616" s="1392"/>
      <c r="N616" s="1396"/>
      <c r="O616" s="1393"/>
      <c r="P616" s="1393"/>
      <c r="Q616" s="1392"/>
      <c r="R616" s="1393"/>
      <c r="S616" s="1393"/>
      <c r="T616" s="1393"/>
      <c r="U616" s="1393"/>
      <c r="X616" s="1393"/>
      <c r="Y616" s="1393"/>
    </row>
    <row r="617" spans="1:25" s="1395" customFormat="1">
      <c r="A617" s="1392"/>
      <c r="B617" s="1392"/>
      <c r="C617" s="1392"/>
      <c r="D617" s="1392"/>
      <c r="E617" s="1392"/>
      <c r="F617" s="1392"/>
      <c r="G617" s="1392"/>
      <c r="H617" s="1392"/>
      <c r="I617" s="1392"/>
      <c r="J617" s="1392"/>
      <c r="K617" s="1392"/>
      <c r="L617" s="1392"/>
      <c r="N617" s="1396"/>
      <c r="O617" s="1393"/>
      <c r="P617" s="1393"/>
      <c r="Q617" s="1392"/>
      <c r="R617" s="1393"/>
      <c r="S617" s="1393"/>
      <c r="T617" s="1393"/>
      <c r="U617" s="1393"/>
      <c r="X617" s="1393"/>
      <c r="Y617" s="1393"/>
    </row>
    <row r="618" spans="1:25" s="1395" customFormat="1">
      <c r="A618" s="1392"/>
      <c r="B618" s="1392"/>
      <c r="C618" s="1392"/>
      <c r="D618" s="1392"/>
      <c r="E618" s="1392"/>
      <c r="F618" s="1392"/>
      <c r="G618" s="1392"/>
      <c r="H618" s="1392"/>
      <c r="I618" s="1392"/>
      <c r="J618" s="1392"/>
      <c r="K618" s="1392"/>
      <c r="L618" s="1392"/>
      <c r="N618" s="1396"/>
      <c r="O618" s="1393"/>
      <c r="P618" s="1393"/>
      <c r="Q618" s="1392"/>
      <c r="R618" s="1393"/>
      <c r="S618" s="1393"/>
      <c r="T618" s="1393"/>
      <c r="U618" s="1393"/>
      <c r="X618" s="1393"/>
      <c r="Y618" s="1393"/>
    </row>
    <row r="619" spans="1:25" s="1395" customFormat="1">
      <c r="A619" s="1392"/>
      <c r="B619" s="1392"/>
      <c r="C619" s="1392"/>
      <c r="D619" s="1392"/>
      <c r="E619" s="1392"/>
      <c r="F619" s="1392"/>
      <c r="G619" s="1392"/>
      <c r="H619" s="1392"/>
      <c r="I619" s="1392"/>
      <c r="J619" s="1392"/>
      <c r="K619" s="1392"/>
      <c r="L619" s="1392"/>
      <c r="N619" s="1396"/>
      <c r="O619" s="1393"/>
      <c r="P619" s="1393"/>
      <c r="Q619" s="1392"/>
      <c r="R619" s="1393"/>
      <c r="S619" s="1393"/>
      <c r="T619" s="1393"/>
      <c r="U619" s="1393"/>
      <c r="X619" s="1393"/>
      <c r="Y619" s="1393"/>
    </row>
    <row r="620" spans="1:25" s="1395" customFormat="1">
      <c r="A620" s="1392"/>
      <c r="B620" s="1392"/>
      <c r="C620" s="1392"/>
      <c r="D620" s="1392"/>
      <c r="E620" s="1392"/>
      <c r="F620" s="1392"/>
      <c r="G620" s="1392"/>
      <c r="H620" s="1392"/>
      <c r="I620" s="1392"/>
      <c r="J620" s="1392"/>
      <c r="K620" s="1392"/>
      <c r="L620" s="1392"/>
      <c r="N620" s="1396"/>
      <c r="O620" s="1393"/>
      <c r="P620" s="1393"/>
      <c r="Q620" s="1392"/>
      <c r="R620" s="1393"/>
      <c r="S620" s="1393"/>
      <c r="T620" s="1393"/>
      <c r="U620" s="1393"/>
      <c r="X620" s="1393"/>
      <c r="Y620" s="1393"/>
    </row>
    <row r="621" spans="1:25" s="1395" customFormat="1">
      <c r="A621" s="1392"/>
      <c r="B621" s="1392"/>
      <c r="C621" s="1392"/>
      <c r="D621" s="1392"/>
      <c r="E621" s="1392"/>
      <c r="F621" s="1392"/>
      <c r="G621" s="1392"/>
      <c r="H621" s="1392"/>
      <c r="I621" s="1392"/>
      <c r="J621" s="1392"/>
      <c r="K621" s="1392"/>
      <c r="L621" s="1392"/>
      <c r="N621" s="1396"/>
      <c r="O621" s="1393"/>
      <c r="P621" s="1393"/>
      <c r="Q621" s="1392"/>
      <c r="R621" s="1393"/>
      <c r="S621" s="1393"/>
      <c r="T621" s="1393"/>
      <c r="U621" s="1393"/>
      <c r="X621" s="1393"/>
      <c r="Y621" s="1393"/>
    </row>
    <row r="622" spans="1:25" s="1395" customFormat="1">
      <c r="A622" s="1392"/>
      <c r="B622" s="1392"/>
      <c r="C622" s="1392"/>
      <c r="D622" s="1392"/>
      <c r="E622" s="1392"/>
      <c r="F622" s="1392"/>
      <c r="G622" s="1392"/>
      <c r="H622" s="1392"/>
      <c r="I622" s="1392"/>
      <c r="J622" s="1392"/>
      <c r="K622" s="1392"/>
      <c r="L622" s="1392"/>
      <c r="N622" s="1396"/>
      <c r="O622" s="1393"/>
      <c r="P622" s="1393"/>
      <c r="Q622" s="1392"/>
      <c r="R622" s="1393"/>
      <c r="S622" s="1393"/>
      <c r="T622" s="1393"/>
      <c r="U622" s="1393"/>
      <c r="X622" s="1393"/>
      <c r="Y622" s="1393"/>
    </row>
    <row r="623" spans="1:25" s="1395" customFormat="1">
      <c r="A623" s="1392"/>
      <c r="B623" s="1392"/>
      <c r="C623" s="1392"/>
      <c r="D623" s="1392"/>
      <c r="E623" s="1392"/>
      <c r="F623" s="1392"/>
      <c r="G623" s="1392"/>
      <c r="H623" s="1392"/>
      <c r="I623" s="1392"/>
      <c r="J623" s="1392"/>
      <c r="K623" s="1392"/>
      <c r="L623" s="1392"/>
      <c r="N623" s="1396"/>
      <c r="O623" s="1393"/>
      <c r="P623" s="1393"/>
      <c r="Q623" s="1392"/>
      <c r="R623" s="1393"/>
      <c r="S623" s="1393"/>
      <c r="T623" s="1393"/>
      <c r="U623" s="1393"/>
      <c r="X623" s="1393"/>
      <c r="Y623" s="1393"/>
    </row>
    <row r="624" spans="1:25" s="1395" customFormat="1">
      <c r="A624" s="1392"/>
      <c r="B624" s="1392"/>
      <c r="C624" s="1392"/>
      <c r="D624" s="1392"/>
      <c r="E624" s="1392"/>
      <c r="F624" s="1392"/>
      <c r="G624" s="1392"/>
      <c r="H624" s="1392"/>
      <c r="I624" s="1392"/>
      <c r="J624" s="1392"/>
      <c r="K624" s="1392"/>
      <c r="L624" s="1392"/>
      <c r="N624" s="1396"/>
      <c r="O624" s="1393"/>
      <c r="P624" s="1393"/>
      <c r="Q624" s="1392"/>
      <c r="R624" s="1393"/>
      <c r="S624" s="1393"/>
      <c r="T624" s="1393"/>
      <c r="U624" s="1393"/>
      <c r="X624" s="1393"/>
      <c r="Y624" s="1393"/>
    </row>
    <row r="625" spans="1:25" s="1395" customFormat="1">
      <c r="A625" s="1392"/>
      <c r="B625" s="1392"/>
      <c r="C625" s="1392"/>
      <c r="D625" s="1392"/>
      <c r="E625" s="1392"/>
      <c r="F625" s="1392"/>
      <c r="G625" s="1392"/>
      <c r="H625" s="1392"/>
      <c r="I625" s="1392"/>
      <c r="J625" s="1392"/>
      <c r="K625" s="1392"/>
      <c r="L625" s="1392"/>
      <c r="N625" s="1396"/>
      <c r="O625" s="1393"/>
      <c r="P625" s="1393"/>
      <c r="Q625" s="1392"/>
      <c r="R625" s="1393"/>
      <c r="S625" s="1393"/>
      <c r="T625" s="1393"/>
      <c r="U625" s="1393"/>
      <c r="X625" s="1393"/>
      <c r="Y625" s="1393"/>
    </row>
    <row r="626" spans="1:25" s="1395" customFormat="1">
      <c r="A626" s="1392"/>
      <c r="B626" s="1392"/>
      <c r="C626" s="1392"/>
      <c r="D626" s="1392"/>
      <c r="E626" s="1392"/>
      <c r="F626" s="1392"/>
      <c r="G626" s="1392"/>
      <c r="H626" s="1392"/>
      <c r="I626" s="1392"/>
      <c r="J626" s="1392"/>
      <c r="K626" s="1392"/>
      <c r="L626" s="1392"/>
      <c r="N626" s="1396"/>
      <c r="O626" s="1393"/>
      <c r="P626" s="1393"/>
      <c r="Q626" s="1392"/>
      <c r="R626" s="1393"/>
      <c r="S626" s="1393"/>
      <c r="T626" s="1393"/>
      <c r="U626" s="1393"/>
      <c r="X626" s="1393"/>
      <c r="Y626" s="1393"/>
    </row>
    <row r="627" spans="1:25" s="1395" customFormat="1">
      <c r="A627" s="1392"/>
      <c r="B627" s="1392"/>
      <c r="C627" s="1392"/>
      <c r="D627" s="1392"/>
      <c r="E627" s="1392"/>
      <c r="F627" s="1392"/>
      <c r="G627" s="1392"/>
      <c r="H627" s="1392"/>
      <c r="I627" s="1392"/>
      <c r="J627" s="1392"/>
      <c r="K627" s="1392"/>
      <c r="L627" s="1392"/>
      <c r="N627" s="1396"/>
      <c r="O627" s="1393"/>
      <c r="P627" s="1393"/>
      <c r="Q627" s="1392"/>
      <c r="R627" s="1393"/>
      <c r="S627" s="1393"/>
      <c r="T627" s="1393"/>
      <c r="U627" s="1393"/>
      <c r="X627" s="1393"/>
      <c r="Y627" s="1393"/>
    </row>
    <row r="628" spans="1:25" s="1395" customFormat="1">
      <c r="A628" s="1392"/>
      <c r="B628" s="1392"/>
      <c r="C628" s="1392"/>
      <c r="D628" s="1392"/>
      <c r="E628" s="1392"/>
      <c r="F628" s="1392"/>
      <c r="G628" s="1392"/>
      <c r="H628" s="1392"/>
      <c r="I628" s="1392"/>
      <c r="J628" s="1392"/>
      <c r="K628" s="1392"/>
      <c r="L628" s="1392"/>
      <c r="N628" s="1396"/>
      <c r="O628" s="1393"/>
      <c r="P628" s="1393"/>
      <c r="Q628" s="1392"/>
      <c r="R628" s="1393"/>
      <c r="S628" s="1393"/>
      <c r="T628" s="1393"/>
      <c r="U628" s="1393"/>
      <c r="X628" s="1393"/>
      <c r="Y628" s="1393"/>
    </row>
    <row r="629" spans="1:25" s="1395" customFormat="1">
      <c r="A629" s="1392"/>
      <c r="B629" s="1392"/>
      <c r="C629" s="1392"/>
      <c r="D629" s="1392"/>
      <c r="E629" s="1392"/>
      <c r="F629" s="1392"/>
      <c r="G629" s="1392"/>
      <c r="H629" s="1392"/>
      <c r="I629" s="1392"/>
      <c r="J629" s="1392"/>
      <c r="K629" s="1392"/>
      <c r="L629" s="1392"/>
      <c r="N629" s="1396"/>
      <c r="O629" s="1393"/>
      <c r="P629" s="1393"/>
      <c r="Q629" s="1392"/>
      <c r="R629" s="1393"/>
      <c r="S629" s="1393"/>
      <c r="T629" s="1393"/>
      <c r="U629" s="1393"/>
      <c r="X629" s="1393"/>
      <c r="Y629" s="1393"/>
    </row>
    <row r="630" spans="1:25" s="1395" customFormat="1">
      <c r="A630" s="1392"/>
      <c r="B630" s="1392"/>
      <c r="C630" s="1392"/>
      <c r="D630" s="1392"/>
      <c r="E630" s="1392"/>
      <c r="F630" s="1392"/>
      <c r="G630" s="1392"/>
      <c r="H630" s="1392"/>
      <c r="I630" s="1392"/>
      <c r="J630" s="1392"/>
      <c r="K630" s="1392"/>
      <c r="L630" s="1392"/>
      <c r="N630" s="1396"/>
      <c r="O630" s="1393"/>
      <c r="P630" s="1393"/>
      <c r="Q630" s="1392"/>
      <c r="R630" s="1393"/>
      <c r="S630" s="1393"/>
      <c r="T630" s="1393"/>
      <c r="U630" s="1393"/>
      <c r="X630" s="1393"/>
      <c r="Y630" s="1393"/>
    </row>
    <row r="631" spans="1:25" s="1395" customFormat="1">
      <c r="A631" s="1392"/>
      <c r="B631" s="1392"/>
      <c r="C631" s="1392"/>
      <c r="D631" s="1392"/>
      <c r="E631" s="1392"/>
      <c r="F631" s="1392"/>
      <c r="G631" s="1392"/>
      <c r="H631" s="1392"/>
      <c r="I631" s="1392"/>
      <c r="J631" s="1392"/>
      <c r="K631" s="1392"/>
      <c r="L631" s="1392"/>
      <c r="N631" s="1396"/>
      <c r="O631" s="1393"/>
      <c r="P631" s="1393"/>
      <c r="Q631" s="1392"/>
      <c r="R631" s="1393"/>
      <c r="S631" s="1393"/>
      <c r="T631" s="1393"/>
      <c r="U631" s="1393"/>
      <c r="X631" s="1393"/>
      <c r="Y631" s="1393"/>
    </row>
    <row r="632" spans="1:25" s="1395" customFormat="1">
      <c r="A632" s="1392"/>
      <c r="B632" s="1392"/>
      <c r="C632" s="1392"/>
      <c r="D632" s="1392"/>
      <c r="E632" s="1392"/>
      <c r="F632" s="1392"/>
      <c r="G632" s="1392"/>
      <c r="H632" s="1392"/>
      <c r="I632" s="1392"/>
      <c r="J632" s="1392"/>
      <c r="K632" s="1392"/>
      <c r="L632" s="1392"/>
      <c r="N632" s="1396"/>
      <c r="O632" s="1393"/>
      <c r="P632" s="1393"/>
      <c r="Q632" s="1392"/>
      <c r="R632" s="1393"/>
      <c r="S632" s="1393"/>
      <c r="T632" s="1393"/>
      <c r="U632" s="1393"/>
      <c r="X632" s="1393"/>
      <c r="Y632" s="1393"/>
    </row>
    <row r="633" spans="1:25" s="1395" customFormat="1">
      <c r="A633" s="1392"/>
      <c r="B633" s="1392"/>
      <c r="C633" s="1392"/>
      <c r="D633" s="1392"/>
      <c r="E633" s="1392"/>
      <c r="F633" s="1392"/>
      <c r="G633" s="1392"/>
      <c r="H633" s="1392"/>
      <c r="I633" s="1392"/>
      <c r="J633" s="1392"/>
      <c r="K633" s="1392"/>
      <c r="L633" s="1392"/>
      <c r="N633" s="1396"/>
      <c r="O633" s="1393"/>
      <c r="P633" s="1393"/>
      <c r="Q633" s="1392"/>
      <c r="R633" s="1393"/>
      <c r="S633" s="1393"/>
      <c r="T633" s="1393"/>
      <c r="U633" s="1393"/>
      <c r="X633" s="1393"/>
      <c r="Y633" s="1393"/>
    </row>
    <row r="634" spans="1:25" s="1395" customFormat="1">
      <c r="A634" s="1392"/>
      <c r="B634" s="1392"/>
      <c r="C634" s="1392"/>
      <c r="D634" s="1392"/>
      <c r="E634" s="1392"/>
      <c r="F634" s="1392"/>
      <c r="G634" s="1392"/>
      <c r="H634" s="1392"/>
      <c r="I634" s="1392"/>
      <c r="J634" s="1392"/>
      <c r="K634" s="1392"/>
      <c r="L634" s="1392"/>
      <c r="N634" s="1396"/>
      <c r="O634" s="1393"/>
      <c r="P634" s="1393"/>
      <c r="Q634" s="1392"/>
      <c r="R634" s="1393"/>
      <c r="S634" s="1393"/>
      <c r="T634" s="1393"/>
      <c r="U634" s="1393"/>
      <c r="X634" s="1393"/>
      <c r="Y634" s="1393"/>
    </row>
    <row r="635" spans="1:25" s="1395" customFormat="1">
      <c r="A635" s="1392"/>
      <c r="B635" s="1392"/>
      <c r="C635" s="1392"/>
      <c r="D635" s="1392"/>
      <c r="E635" s="1392"/>
      <c r="F635" s="1392"/>
      <c r="G635" s="1392"/>
      <c r="H635" s="1392"/>
      <c r="I635" s="1392"/>
      <c r="J635" s="1392"/>
      <c r="K635" s="1392"/>
      <c r="L635" s="1392"/>
      <c r="N635" s="1396"/>
      <c r="O635" s="1393"/>
      <c r="P635" s="1393"/>
      <c r="Q635" s="1392"/>
      <c r="R635" s="1393"/>
      <c r="S635" s="1393"/>
      <c r="T635" s="1393"/>
      <c r="U635" s="1393"/>
      <c r="X635" s="1393"/>
      <c r="Y635" s="1393"/>
    </row>
    <row r="636" spans="1:25" s="1395" customFormat="1">
      <c r="A636" s="1392"/>
      <c r="B636" s="1392"/>
      <c r="C636" s="1392"/>
      <c r="D636" s="1392"/>
      <c r="E636" s="1392"/>
      <c r="F636" s="1392"/>
      <c r="G636" s="1392"/>
      <c r="H636" s="1392"/>
      <c r="I636" s="1392"/>
      <c r="J636" s="1392"/>
      <c r="K636" s="1392"/>
      <c r="L636" s="1392"/>
      <c r="N636" s="1396"/>
      <c r="O636" s="1393"/>
      <c r="P636" s="1393"/>
      <c r="Q636" s="1392"/>
      <c r="R636" s="1393"/>
      <c r="S636" s="1393"/>
      <c r="T636" s="1393"/>
      <c r="U636" s="1393"/>
      <c r="X636" s="1393"/>
      <c r="Y636" s="1393"/>
    </row>
    <row r="637" spans="1:25" s="1395" customFormat="1">
      <c r="A637" s="1392"/>
      <c r="B637" s="1392"/>
      <c r="C637" s="1392"/>
      <c r="D637" s="1392"/>
      <c r="E637" s="1392"/>
      <c r="F637" s="1392"/>
      <c r="G637" s="1392"/>
      <c r="H637" s="1392"/>
      <c r="I637" s="1392"/>
      <c r="J637" s="1392"/>
      <c r="K637" s="1392"/>
      <c r="L637" s="1392"/>
      <c r="N637" s="1396"/>
      <c r="O637" s="1393"/>
      <c r="P637" s="1393"/>
      <c r="Q637" s="1392"/>
      <c r="R637" s="1393"/>
      <c r="S637" s="1393"/>
      <c r="T637" s="1393"/>
      <c r="U637" s="1393"/>
      <c r="X637" s="1393"/>
      <c r="Y637" s="1393"/>
    </row>
    <row r="638" spans="1:25" s="1395" customFormat="1">
      <c r="A638" s="1392"/>
      <c r="B638" s="1392"/>
      <c r="C638" s="1392"/>
      <c r="D638" s="1392"/>
      <c r="E638" s="1392"/>
      <c r="F638" s="1392"/>
      <c r="G638" s="1392"/>
      <c r="H638" s="1392"/>
      <c r="I638" s="1392"/>
      <c r="J638" s="1392"/>
      <c r="K638" s="1392"/>
      <c r="L638" s="1392"/>
      <c r="N638" s="1396"/>
      <c r="O638" s="1393"/>
      <c r="P638" s="1393"/>
      <c r="Q638" s="1392"/>
      <c r="R638" s="1393"/>
      <c r="S638" s="1393"/>
      <c r="T638" s="1393"/>
      <c r="U638" s="1393"/>
      <c r="X638" s="1393"/>
      <c r="Y638" s="1393"/>
    </row>
    <row r="639" spans="1:25" s="1395" customFormat="1">
      <c r="A639" s="1392"/>
      <c r="B639" s="1392"/>
      <c r="C639" s="1392"/>
      <c r="D639" s="1392"/>
      <c r="E639" s="1392"/>
      <c r="F639" s="1392"/>
      <c r="G639" s="1392"/>
      <c r="H639" s="1392"/>
      <c r="I639" s="1392"/>
      <c r="J639" s="1392"/>
      <c r="K639" s="1392"/>
      <c r="L639" s="1392"/>
      <c r="N639" s="1396"/>
      <c r="O639" s="1393"/>
      <c r="P639" s="1393"/>
      <c r="Q639" s="1392"/>
      <c r="R639" s="1393"/>
      <c r="S639" s="1393"/>
      <c r="T639" s="1393"/>
      <c r="U639" s="1393"/>
      <c r="X639" s="1393"/>
      <c r="Y639" s="1393"/>
    </row>
    <row r="640" spans="1:25" s="1395" customFormat="1">
      <c r="A640" s="1392"/>
      <c r="B640" s="1392"/>
      <c r="C640" s="1392"/>
      <c r="D640" s="1392"/>
      <c r="E640" s="1392"/>
      <c r="F640" s="1392"/>
      <c r="G640" s="1392"/>
      <c r="H640" s="1392"/>
      <c r="I640" s="1392"/>
      <c r="J640" s="1392"/>
      <c r="K640" s="1392"/>
      <c r="L640" s="1392"/>
      <c r="N640" s="1396"/>
      <c r="O640" s="1393"/>
      <c r="P640" s="1393"/>
      <c r="Q640" s="1392"/>
      <c r="R640" s="1393"/>
      <c r="S640" s="1393"/>
      <c r="T640" s="1393"/>
      <c r="U640" s="1393"/>
      <c r="X640" s="1393"/>
      <c r="Y640" s="1393"/>
    </row>
    <row r="641" spans="1:25" s="1395" customFormat="1">
      <c r="A641" s="1392"/>
      <c r="B641" s="1392"/>
      <c r="C641" s="1392"/>
      <c r="D641" s="1392"/>
      <c r="E641" s="1392"/>
      <c r="F641" s="1392"/>
      <c r="G641" s="1392"/>
      <c r="H641" s="1392"/>
      <c r="I641" s="1392"/>
      <c r="J641" s="1392"/>
      <c r="K641" s="1392"/>
      <c r="L641" s="1392"/>
      <c r="N641" s="1396"/>
      <c r="O641" s="1393"/>
      <c r="P641" s="1393"/>
      <c r="Q641" s="1392"/>
      <c r="R641" s="1393"/>
      <c r="S641" s="1393"/>
      <c r="T641" s="1393"/>
      <c r="U641" s="1393"/>
      <c r="X641" s="1393"/>
      <c r="Y641" s="1393"/>
    </row>
    <row r="642" spans="1:25" s="1395" customFormat="1">
      <c r="A642" s="1392"/>
      <c r="B642" s="1392"/>
      <c r="C642" s="1392"/>
      <c r="D642" s="1392"/>
      <c r="E642" s="1392"/>
      <c r="F642" s="1392"/>
      <c r="G642" s="1392"/>
      <c r="H642" s="1392"/>
      <c r="I642" s="1392"/>
      <c r="J642" s="1392"/>
      <c r="K642" s="1392"/>
      <c r="L642" s="1392"/>
      <c r="N642" s="1396"/>
      <c r="O642" s="1393"/>
      <c r="P642" s="1393"/>
      <c r="Q642" s="1392"/>
      <c r="R642" s="1393"/>
      <c r="S642" s="1393"/>
      <c r="T642" s="1393"/>
      <c r="U642" s="1393"/>
      <c r="X642" s="1393"/>
      <c r="Y642" s="1393"/>
    </row>
    <row r="643" spans="1:25" s="1395" customFormat="1">
      <c r="A643" s="1392"/>
      <c r="B643" s="1392"/>
      <c r="C643" s="1392"/>
      <c r="D643" s="1392"/>
      <c r="E643" s="1392"/>
      <c r="F643" s="1392"/>
      <c r="G643" s="1392"/>
      <c r="H643" s="1392"/>
      <c r="I643" s="1392"/>
      <c r="J643" s="1392"/>
      <c r="K643" s="1392"/>
      <c r="L643" s="1392"/>
      <c r="N643" s="1396"/>
      <c r="O643" s="1393"/>
      <c r="P643" s="1393"/>
      <c r="Q643" s="1392"/>
      <c r="R643" s="1393"/>
      <c r="S643" s="1393"/>
      <c r="T643" s="1393"/>
      <c r="U643" s="1393"/>
      <c r="X643" s="1393"/>
      <c r="Y643" s="1393"/>
    </row>
    <row r="644" spans="1:25" s="1395" customFormat="1">
      <c r="A644" s="1392"/>
      <c r="B644" s="1392"/>
      <c r="C644" s="1392"/>
      <c r="D644" s="1392"/>
      <c r="E644" s="1392"/>
      <c r="F644" s="1392"/>
      <c r="G644" s="1392"/>
      <c r="H644" s="1392"/>
      <c r="I644" s="1392"/>
      <c r="J644" s="1392"/>
      <c r="K644" s="1392"/>
      <c r="L644" s="1392"/>
      <c r="N644" s="1396"/>
      <c r="O644" s="1393"/>
      <c r="P644" s="1393"/>
      <c r="Q644" s="1392"/>
      <c r="R644" s="1393"/>
      <c r="S644" s="1393"/>
      <c r="T644" s="1393"/>
      <c r="U644" s="1393"/>
      <c r="X644" s="1393"/>
      <c r="Y644" s="1393"/>
    </row>
    <row r="645" spans="1:25" s="1395" customFormat="1">
      <c r="A645" s="1392"/>
      <c r="B645" s="1392"/>
      <c r="C645" s="1392"/>
      <c r="D645" s="1392"/>
      <c r="E645" s="1392"/>
      <c r="F645" s="1392"/>
      <c r="G645" s="1392"/>
      <c r="H645" s="1392"/>
      <c r="I645" s="1392"/>
      <c r="J645" s="1392"/>
      <c r="K645" s="1392"/>
      <c r="L645" s="1392"/>
      <c r="N645" s="1396"/>
      <c r="O645" s="1393"/>
      <c r="P645" s="1393"/>
      <c r="Q645" s="1392"/>
      <c r="R645" s="1393"/>
      <c r="S645" s="1393"/>
      <c r="T645" s="1393"/>
      <c r="U645" s="1393"/>
      <c r="X645" s="1393"/>
      <c r="Y645" s="1393"/>
    </row>
    <row r="646" spans="1:25" s="1395" customFormat="1">
      <c r="A646" s="1392"/>
      <c r="B646" s="1392"/>
      <c r="C646" s="1392"/>
      <c r="D646" s="1392"/>
      <c r="E646" s="1392"/>
      <c r="F646" s="1392"/>
      <c r="G646" s="1392"/>
      <c r="H646" s="1392"/>
      <c r="I646" s="1392"/>
      <c r="J646" s="1392"/>
      <c r="K646" s="1392"/>
      <c r="L646" s="1392"/>
      <c r="N646" s="1396"/>
      <c r="O646" s="1393"/>
      <c r="P646" s="1393"/>
      <c r="Q646" s="1392"/>
      <c r="R646" s="1393"/>
      <c r="S646" s="1393"/>
      <c r="T646" s="1393"/>
      <c r="U646" s="1393"/>
      <c r="X646" s="1393"/>
      <c r="Y646" s="1393"/>
    </row>
    <row r="647" spans="1:25" s="1395" customFormat="1">
      <c r="A647" s="1392"/>
      <c r="B647" s="1392"/>
      <c r="C647" s="1392"/>
      <c r="D647" s="1392"/>
      <c r="E647" s="1392"/>
      <c r="F647" s="1392"/>
      <c r="G647" s="1392"/>
      <c r="H647" s="1392"/>
      <c r="I647" s="1392"/>
      <c r="J647" s="1392"/>
      <c r="K647" s="1392"/>
      <c r="L647" s="1392"/>
      <c r="N647" s="1396"/>
      <c r="O647" s="1393"/>
      <c r="P647" s="1393"/>
      <c r="Q647" s="1392"/>
      <c r="R647" s="1393"/>
      <c r="S647" s="1393"/>
      <c r="T647" s="1393"/>
      <c r="U647" s="1393"/>
      <c r="X647" s="1393"/>
      <c r="Y647" s="1393"/>
    </row>
    <row r="648" spans="1:25" s="1395" customFormat="1">
      <c r="A648" s="1392"/>
      <c r="B648" s="1392"/>
      <c r="C648" s="1392"/>
      <c r="D648" s="1392"/>
      <c r="E648" s="1392"/>
      <c r="F648" s="1392"/>
      <c r="G648" s="1392"/>
      <c r="H648" s="1392"/>
      <c r="I648" s="1392"/>
      <c r="J648" s="1392"/>
      <c r="K648" s="1392"/>
      <c r="L648" s="1392"/>
      <c r="N648" s="1396"/>
      <c r="O648" s="1393"/>
      <c r="P648" s="1393"/>
      <c r="Q648" s="1392"/>
      <c r="R648" s="1393"/>
      <c r="S648" s="1393"/>
      <c r="T648" s="1393"/>
      <c r="U648" s="1393"/>
      <c r="X648" s="1393"/>
      <c r="Y648" s="1393"/>
    </row>
    <row r="649" spans="1:25" s="1395" customFormat="1">
      <c r="A649" s="1392"/>
      <c r="B649" s="1392"/>
      <c r="C649" s="1392"/>
      <c r="D649" s="1392"/>
      <c r="E649" s="1392"/>
      <c r="F649" s="1392"/>
      <c r="G649" s="1392"/>
      <c r="H649" s="1392"/>
      <c r="I649" s="1392"/>
      <c r="J649" s="1392"/>
      <c r="K649" s="1392"/>
      <c r="L649" s="1392"/>
      <c r="N649" s="1396"/>
      <c r="O649" s="1393"/>
      <c r="P649" s="1393"/>
      <c r="Q649" s="1392"/>
      <c r="R649" s="1393"/>
      <c r="S649" s="1393"/>
      <c r="T649" s="1393"/>
      <c r="U649" s="1393"/>
      <c r="X649" s="1393"/>
      <c r="Y649" s="1393"/>
    </row>
    <row r="650" spans="1:25" s="1395" customFormat="1">
      <c r="A650" s="1392"/>
      <c r="B650" s="1392"/>
      <c r="C650" s="1392"/>
      <c r="D650" s="1392"/>
      <c r="E650" s="1392"/>
      <c r="F650" s="1392"/>
      <c r="G650" s="1392"/>
      <c r="H650" s="1392"/>
      <c r="I650" s="1392"/>
      <c r="J650" s="1392"/>
      <c r="K650" s="1392"/>
      <c r="L650" s="1392"/>
      <c r="N650" s="1396"/>
      <c r="O650" s="1393"/>
      <c r="P650" s="1393"/>
      <c r="Q650" s="1392"/>
      <c r="R650" s="1393"/>
      <c r="S650" s="1393"/>
      <c r="T650" s="1393"/>
      <c r="U650" s="1393"/>
      <c r="X650" s="1393"/>
      <c r="Y650" s="1393"/>
    </row>
    <row r="651" spans="1:25" s="1395" customFormat="1">
      <c r="A651" s="1392"/>
      <c r="B651" s="1392"/>
      <c r="C651" s="1392"/>
      <c r="D651" s="1392"/>
      <c r="E651" s="1392"/>
      <c r="F651" s="1392"/>
      <c r="G651" s="1392"/>
      <c r="H651" s="1392"/>
      <c r="I651" s="1392"/>
      <c r="J651" s="1392"/>
      <c r="K651" s="1392"/>
      <c r="L651" s="1392"/>
      <c r="N651" s="1396"/>
      <c r="O651" s="1393"/>
      <c r="P651" s="1393"/>
      <c r="Q651" s="1392"/>
      <c r="R651" s="1393"/>
      <c r="S651" s="1393"/>
      <c r="T651" s="1393"/>
      <c r="U651" s="1393"/>
      <c r="X651" s="1393"/>
      <c r="Y651" s="1393"/>
    </row>
    <row r="652" spans="1:25" s="1395" customFormat="1">
      <c r="A652" s="1392"/>
      <c r="B652" s="1392"/>
      <c r="C652" s="1392"/>
      <c r="D652" s="1392"/>
      <c r="E652" s="1392"/>
      <c r="F652" s="1392"/>
      <c r="G652" s="1392"/>
      <c r="H652" s="1392"/>
      <c r="I652" s="1392"/>
      <c r="J652" s="1392"/>
      <c r="K652" s="1392"/>
      <c r="L652" s="1392"/>
      <c r="N652" s="1396"/>
      <c r="O652" s="1393"/>
      <c r="P652" s="1393"/>
      <c r="Q652" s="1392"/>
      <c r="R652" s="1393"/>
      <c r="S652" s="1393"/>
      <c r="T652" s="1393"/>
      <c r="U652" s="1393"/>
      <c r="X652" s="1393"/>
      <c r="Y652" s="1393"/>
    </row>
    <row r="653" spans="1:25" s="1395" customFormat="1">
      <c r="A653" s="1392"/>
      <c r="B653" s="1392"/>
      <c r="C653" s="1392"/>
      <c r="D653" s="1392"/>
      <c r="E653" s="1392"/>
      <c r="F653" s="1392"/>
      <c r="G653" s="1392"/>
      <c r="H653" s="1392"/>
      <c r="I653" s="1392"/>
      <c r="J653" s="1392"/>
      <c r="K653" s="1392"/>
      <c r="L653" s="1392"/>
      <c r="N653" s="1396"/>
      <c r="O653" s="1393"/>
      <c r="P653" s="1393"/>
      <c r="Q653" s="1392"/>
      <c r="R653" s="1393"/>
      <c r="S653" s="1393"/>
      <c r="T653" s="1393"/>
      <c r="U653" s="1393"/>
      <c r="X653" s="1393"/>
      <c r="Y653" s="1393"/>
    </row>
    <row r="654" spans="1:25" s="1395" customFormat="1">
      <c r="A654" s="1392"/>
      <c r="B654" s="1392"/>
      <c r="C654" s="1392"/>
      <c r="D654" s="1392"/>
      <c r="E654" s="1392"/>
      <c r="F654" s="1392"/>
      <c r="G654" s="1392"/>
      <c r="H654" s="1392"/>
      <c r="I654" s="1392"/>
      <c r="J654" s="1392"/>
      <c r="K654" s="1392"/>
      <c r="L654" s="1392"/>
      <c r="N654" s="1396"/>
      <c r="O654" s="1393"/>
      <c r="P654" s="1393"/>
      <c r="Q654" s="1392"/>
      <c r="R654" s="1393"/>
      <c r="S654" s="1393"/>
      <c r="T654" s="1393"/>
      <c r="U654" s="1393"/>
      <c r="X654" s="1393"/>
      <c r="Y654" s="1393"/>
    </row>
    <row r="655" spans="1:25" s="1395" customFormat="1">
      <c r="A655" s="1392"/>
      <c r="B655" s="1392"/>
      <c r="C655" s="1392"/>
      <c r="D655" s="1392"/>
      <c r="E655" s="1392"/>
      <c r="F655" s="1392"/>
      <c r="G655" s="1392"/>
      <c r="H655" s="1392"/>
      <c r="I655" s="1392"/>
      <c r="J655" s="1392"/>
      <c r="K655" s="1392"/>
      <c r="L655" s="1392"/>
      <c r="N655" s="1396"/>
      <c r="O655" s="1393"/>
      <c r="P655" s="1393"/>
      <c r="Q655" s="1392"/>
      <c r="R655" s="1393"/>
      <c r="S655" s="1393"/>
      <c r="T655" s="1393"/>
      <c r="U655" s="1393"/>
      <c r="X655" s="1393"/>
      <c r="Y655" s="1393"/>
    </row>
    <row r="656" spans="1:25" s="1395" customFormat="1">
      <c r="A656" s="1392"/>
      <c r="B656" s="1392"/>
      <c r="C656" s="1392"/>
      <c r="D656" s="1392"/>
      <c r="E656" s="1392"/>
      <c r="F656" s="1392"/>
      <c r="G656" s="1392"/>
      <c r="H656" s="1392"/>
      <c r="I656" s="1392"/>
      <c r="J656" s="1392"/>
      <c r="K656" s="1392"/>
      <c r="L656" s="1392"/>
      <c r="N656" s="1396"/>
      <c r="O656" s="1393"/>
      <c r="P656" s="1393"/>
      <c r="Q656" s="1392"/>
      <c r="R656" s="1393"/>
      <c r="S656" s="1393"/>
      <c r="T656" s="1393"/>
      <c r="U656" s="1393"/>
      <c r="X656" s="1393"/>
      <c r="Y656" s="1393"/>
    </row>
    <row r="657" spans="1:25" s="1395" customFormat="1">
      <c r="A657" s="1392"/>
      <c r="B657" s="1392"/>
      <c r="C657" s="1392"/>
      <c r="D657" s="1392"/>
      <c r="E657" s="1392"/>
      <c r="F657" s="1392"/>
      <c r="G657" s="1392"/>
      <c r="H657" s="1392"/>
      <c r="I657" s="1392"/>
      <c r="J657" s="1392"/>
      <c r="K657" s="1392"/>
      <c r="L657" s="1392"/>
      <c r="N657" s="1396"/>
      <c r="O657" s="1393"/>
      <c r="P657" s="1393"/>
      <c r="Q657" s="1392"/>
      <c r="R657" s="1393"/>
      <c r="S657" s="1393"/>
      <c r="T657" s="1393"/>
      <c r="U657" s="1393"/>
      <c r="X657" s="1393"/>
      <c r="Y657" s="1393"/>
    </row>
    <row r="658" spans="1:25" s="1395" customFormat="1">
      <c r="A658" s="1392"/>
      <c r="B658" s="1392"/>
      <c r="C658" s="1392"/>
      <c r="D658" s="1392"/>
      <c r="E658" s="1392"/>
      <c r="F658" s="1392"/>
      <c r="G658" s="1392"/>
      <c r="H658" s="1392"/>
      <c r="I658" s="1392"/>
      <c r="J658" s="1392"/>
      <c r="K658" s="1392"/>
      <c r="L658" s="1392"/>
      <c r="N658" s="1396"/>
      <c r="O658" s="1393"/>
      <c r="P658" s="1393"/>
      <c r="Q658" s="1392"/>
      <c r="R658" s="1393"/>
      <c r="S658" s="1393"/>
      <c r="T658" s="1393"/>
      <c r="U658" s="1393"/>
      <c r="X658" s="1393"/>
      <c r="Y658" s="1393"/>
    </row>
    <row r="659" spans="1:25" s="1395" customFormat="1">
      <c r="A659" s="1392"/>
      <c r="B659" s="1392"/>
      <c r="C659" s="1392"/>
      <c r="D659" s="1392"/>
      <c r="E659" s="1392"/>
      <c r="F659" s="1392"/>
      <c r="G659" s="1392"/>
      <c r="H659" s="1392"/>
      <c r="I659" s="1392"/>
      <c r="J659" s="1392"/>
      <c r="K659" s="1392"/>
      <c r="L659" s="1392"/>
      <c r="N659" s="1396"/>
      <c r="O659" s="1393"/>
      <c r="P659" s="1393"/>
      <c r="Q659" s="1392"/>
      <c r="R659" s="1393"/>
      <c r="S659" s="1393"/>
      <c r="T659" s="1393"/>
      <c r="U659" s="1393"/>
      <c r="X659" s="1393"/>
      <c r="Y659" s="1393"/>
    </row>
    <row r="660" spans="1:25" s="1395" customFormat="1">
      <c r="A660" s="1392"/>
      <c r="B660" s="1392"/>
      <c r="C660" s="1392"/>
      <c r="D660" s="1392"/>
      <c r="E660" s="1392"/>
      <c r="F660" s="1392"/>
      <c r="G660" s="1392"/>
      <c r="H660" s="1392"/>
      <c r="I660" s="1392"/>
      <c r="J660" s="1392"/>
      <c r="K660" s="1392"/>
      <c r="L660" s="1392"/>
      <c r="N660" s="1396"/>
      <c r="O660" s="1393"/>
      <c r="P660" s="1393"/>
      <c r="Q660" s="1392"/>
      <c r="R660" s="1393"/>
      <c r="S660" s="1393"/>
      <c r="T660" s="1393"/>
      <c r="U660" s="1393"/>
      <c r="X660" s="1393"/>
      <c r="Y660" s="1393"/>
    </row>
    <row r="661" spans="1:25" s="1395" customFormat="1">
      <c r="A661" s="1392"/>
      <c r="B661" s="1392"/>
      <c r="C661" s="1392"/>
      <c r="D661" s="1392"/>
      <c r="E661" s="1392"/>
      <c r="F661" s="1392"/>
      <c r="G661" s="1392"/>
      <c r="H661" s="1392"/>
      <c r="I661" s="1392"/>
      <c r="J661" s="1392"/>
      <c r="K661" s="1392"/>
      <c r="L661" s="1392"/>
      <c r="N661" s="1396"/>
      <c r="O661" s="1393"/>
      <c r="P661" s="1393"/>
      <c r="Q661" s="1392"/>
      <c r="R661" s="1393"/>
      <c r="S661" s="1393"/>
      <c r="T661" s="1393"/>
      <c r="U661" s="1393"/>
      <c r="X661" s="1393"/>
      <c r="Y661" s="1393"/>
    </row>
    <row r="662" spans="1:25" s="1395" customFormat="1">
      <c r="A662" s="1392"/>
      <c r="B662" s="1392"/>
      <c r="C662" s="1392"/>
      <c r="D662" s="1392"/>
      <c r="E662" s="1392"/>
      <c r="F662" s="1392"/>
      <c r="G662" s="1392"/>
      <c r="H662" s="1392"/>
      <c r="I662" s="1392"/>
      <c r="J662" s="1392"/>
      <c r="K662" s="1392"/>
      <c r="L662" s="1392"/>
      <c r="N662" s="1396"/>
      <c r="O662" s="1393"/>
      <c r="P662" s="1393"/>
      <c r="Q662" s="1392"/>
      <c r="R662" s="1393"/>
      <c r="S662" s="1393"/>
      <c r="T662" s="1393"/>
      <c r="U662" s="1393"/>
      <c r="X662" s="1393"/>
      <c r="Y662" s="1393"/>
    </row>
    <row r="663" spans="1:25" s="1395" customFormat="1">
      <c r="A663" s="1392"/>
      <c r="B663" s="1392"/>
      <c r="C663" s="1392"/>
      <c r="D663" s="1392"/>
      <c r="E663" s="1392"/>
      <c r="F663" s="1392"/>
      <c r="G663" s="1392"/>
      <c r="H663" s="1392"/>
      <c r="I663" s="1392"/>
      <c r="J663" s="1392"/>
      <c r="K663" s="1392"/>
      <c r="L663" s="1392"/>
      <c r="N663" s="1396"/>
      <c r="O663" s="1393"/>
      <c r="P663" s="1393"/>
      <c r="Q663" s="1392"/>
      <c r="R663" s="1393"/>
      <c r="S663" s="1393"/>
      <c r="T663" s="1393"/>
      <c r="U663" s="1393"/>
      <c r="X663" s="1393"/>
      <c r="Y663" s="1393"/>
    </row>
    <row r="664" spans="1:25" s="1395" customFormat="1">
      <c r="A664" s="1392"/>
      <c r="B664" s="1392"/>
      <c r="C664" s="1392"/>
      <c r="D664" s="1392"/>
      <c r="E664" s="1392"/>
      <c r="F664" s="1392"/>
      <c r="G664" s="1392"/>
      <c r="H664" s="1392"/>
      <c r="I664" s="1392"/>
      <c r="J664" s="1392"/>
      <c r="K664" s="1392"/>
      <c r="L664" s="1392"/>
      <c r="N664" s="1396"/>
      <c r="O664" s="1393"/>
      <c r="P664" s="1393"/>
      <c r="Q664" s="1392"/>
      <c r="R664" s="1393"/>
      <c r="S664" s="1393"/>
      <c r="T664" s="1393"/>
      <c r="U664" s="1393"/>
      <c r="X664" s="1393"/>
      <c r="Y664" s="1393"/>
    </row>
    <row r="665" spans="1:25" s="1395" customFormat="1">
      <c r="A665" s="1392"/>
      <c r="B665" s="1392"/>
      <c r="C665" s="1392"/>
      <c r="D665" s="1392"/>
      <c r="E665" s="1392"/>
      <c r="F665" s="1392"/>
      <c r="G665" s="1392"/>
      <c r="H665" s="1392"/>
      <c r="I665" s="1392"/>
      <c r="J665" s="1392"/>
      <c r="K665" s="1392"/>
      <c r="L665" s="1392"/>
      <c r="N665" s="1396"/>
      <c r="O665" s="1393"/>
      <c r="P665" s="1393"/>
      <c r="Q665" s="1392"/>
      <c r="R665" s="1393"/>
      <c r="S665" s="1393"/>
      <c r="T665" s="1393"/>
      <c r="U665" s="1393"/>
      <c r="X665" s="1393"/>
      <c r="Y665" s="1393"/>
    </row>
    <row r="666" spans="1:25" s="1395" customFormat="1">
      <c r="A666" s="1392"/>
      <c r="B666" s="1392"/>
      <c r="C666" s="1392"/>
      <c r="D666" s="1392"/>
      <c r="E666" s="1392"/>
      <c r="F666" s="1392"/>
      <c r="G666" s="1392"/>
      <c r="H666" s="1392"/>
      <c r="I666" s="1392"/>
      <c r="J666" s="1392"/>
      <c r="K666" s="1392"/>
      <c r="L666" s="1392"/>
      <c r="N666" s="1396"/>
      <c r="O666" s="1393"/>
      <c r="P666" s="1393"/>
      <c r="Q666" s="1392"/>
      <c r="R666" s="1393"/>
      <c r="S666" s="1393"/>
      <c r="T666" s="1393"/>
      <c r="U666" s="1393"/>
      <c r="X666" s="1393"/>
      <c r="Y666" s="1393"/>
    </row>
    <row r="667" spans="1:25" s="1395" customFormat="1">
      <c r="A667" s="1392"/>
      <c r="B667" s="1392"/>
      <c r="C667" s="1392"/>
      <c r="D667" s="1392"/>
      <c r="E667" s="1392"/>
      <c r="F667" s="1392"/>
      <c r="G667" s="1392"/>
      <c r="H667" s="1392"/>
      <c r="I667" s="1392"/>
      <c r="J667" s="1392"/>
      <c r="K667" s="1392"/>
      <c r="L667" s="1392"/>
      <c r="N667" s="1396"/>
      <c r="O667" s="1393"/>
      <c r="P667" s="1393"/>
      <c r="Q667" s="1392"/>
      <c r="R667" s="1393"/>
      <c r="S667" s="1393"/>
      <c r="T667" s="1393"/>
      <c r="U667" s="1393"/>
      <c r="X667" s="1393"/>
      <c r="Y667" s="1393"/>
    </row>
    <row r="668" spans="1:25" s="1395" customFormat="1">
      <c r="A668" s="1392"/>
      <c r="B668" s="1392"/>
      <c r="C668" s="1392"/>
      <c r="D668" s="1392"/>
      <c r="E668" s="1392"/>
      <c r="F668" s="1392"/>
      <c r="G668" s="1392"/>
      <c r="H668" s="1392"/>
      <c r="I668" s="1392"/>
      <c r="J668" s="1392"/>
      <c r="K668" s="1392"/>
      <c r="L668" s="1392"/>
      <c r="N668" s="1396"/>
      <c r="O668" s="1393"/>
      <c r="P668" s="1393"/>
      <c r="Q668" s="1392"/>
      <c r="R668" s="1393"/>
      <c r="S668" s="1393"/>
      <c r="T668" s="1393"/>
      <c r="U668" s="1393"/>
      <c r="X668" s="1393"/>
      <c r="Y668" s="1393"/>
    </row>
    <row r="669" spans="1:25" s="1395" customFormat="1">
      <c r="A669" s="1392"/>
      <c r="B669" s="1392"/>
      <c r="C669" s="1392"/>
      <c r="D669" s="1392"/>
      <c r="E669" s="1392"/>
      <c r="F669" s="1392"/>
      <c r="G669" s="1392"/>
      <c r="H669" s="1392"/>
      <c r="I669" s="1392"/>
      <c r="J669" s="1392"/>
      <c r="K669" s="1392"/>
      <c r="L669" s="1392"/>
      <c r="N669" s="1396"/>
      <c r="O669" s="1393"/>
      <c r="P669" s="1393"/>
      <c r="Q669" s="1392"/>
      <c r="R669" s="1393"/>
      <c r="S669" s="1393"/>
      <c r="T669" s="1393"/>
      <c r="U669" s="1393"/>
      <c r="X669" s="1393"/>
      <c r="Y669" s="1393"/>
    </row>
    <row r="670" spans="1:25" s="1395" customFormat="1">
      <c r="A670" s="1392"/>
      <c r="B670" s="1392"/>
      <c r="C670" s="1392"/>
      <c r="D670" s="1392"/>
      <c r="E670" s="1392"/>
      <c r="F670" s="1392"/>
      <c r="G670" s="1392"/>
      <c r="H670" s="1392"/>
      <c r="I670" s="1392"/>
      <c r="J670" s="1392"/>
      <c r="K670" s="1392"/>
      <c r="L670" s="1392"/>
      <c r="N670" s="1396"/>
      <c r="O670" s="1393"/>
      <c r="P670" s="1393"/>
      <c r="Q670" s="1392"/>
      <c r="R670" s="1393"/>
      <c r="S670" s="1393"/>
      <c r="T670" s="1393"/>
      <c r="U670" s="1393"/>
      <c r="X670" s="1393"/>
      <c r="Y670" s="1393"/>
    </row>
    <row r="671" spans="1:25" s="1395" customFormat="1">
      <c r="A671" s="1392"/>
      <c r="B671" s="1392"/>
      <c r="C671" s="1392"/>
      <c r="D671" s="1392"/>
      <c r="E671" s="1392"/>
      <c r="F671" s="1392"/>
      <c r="G671" s="1392"/>
      <c r="H671" s="1392"/>
      <c r="I671" s="1392"/>
      <c r="J671" s="1392"/>
      <c r="K671" s="1392"/>
      <c r="L671" s="1392"/>
      <c r="N671" s="1396"/>
      <c r="O671" s="1393"/>
      <c r="P671" s="1393"/>
      <c r="Q671" s="1392"/>
      <c r="R671" s="1393"/>
      <c r="S671" s="1393"/>
      <c r="T671" s="1393"/>
      <c r="U671" s="1393"/>
      <c r="X671" s="1393"/>
      <c r="Y671" s="1393"/>
    </row>
    <row r="672" spans="1:25" s="1395" customFormat="1">
      <c r="A672" s="1392"/>
      <c r="B672" s="1392"/>
      <c r="C672" s="1392"/>
      <c r="D672" s="1392"/>
      <c r="E672" s="1392"/>
      <c r="F672" s="1392"/>
      <c r="G672" s="1392"/>
      <c r="H672" s="1392"/>
      <c r="I672" s="1392"/>
      <c r="J672" s="1392"/>
      <c r="K672" s="1392"/>
      <c r="L672" s="1392"/>
      <c r="N672" s="1396"/>
      <c r="O672" s="1393"/>
      <c r="P672" s="1393"/>
      <c r="Q672" s="1392"/>
      <c r="R672" s="1393"/>
      <c r="S672" s="1393"/>
      <c r="T672" s="1393"/>
      <c r="U672" s="1393"/>
      <c r="X672" s="1393"/>
      <c r="Y672" s="1393"/>
    </row>
    <row r="673" spans="1:25" s="1395" customFormat="1">
      <c r="A673" s="1392"/>
      <c r="B673" s="1392"/>
      <c r="C673" s="1392"/>
      <c r="D673" s="1392"/>
      <c r="E673" s="1392"/>
      <c r="F673" s="1392"/>
      <c r="G673" s="1392"/>
      <c r="H673" s="1392"/>
      <c r="I673" s="1392"/>
      <c r="J673" s="1392"/>
      <c r="K673" s="1392"/>
      <c r="L673" s="1392"/>
      <c r="N673" s="1396"/>
      <c r="O673" s="1393"/>
      <c r="P673" s="1393"/>
      <c r="Q673" s="1392"/>
      <c r="R673" s="1393"/>
      <c r="S673" s="1393"/>
      <c r="T673" s="1393"/>
      <c r="U673" s="1393"/>
      <c r="X673" s="1393"/>
      <c r="Y673" s="1393"/>
    </row>
  </sheetData>
  <sheetProtection password="889B" sheet="1" objects="1" scenarios="1"/>
  <mergeCells count="21">
    <mergeCell ref="E2:L2"/>
    <mergeCell ref="C6:E6"/>
    <mergeCell ref="G6:L6"/>
    <mergeCell ref="G8:H8"/>
    <mergeCell ref="J8:L8"/>
    <mergeCell ref="A3:C5"/>
    <mergeCell ref="D4:E4"/>
    <mergeCell ref="G4:L4"/>
    <mergeCell ref="R51:R57"/>
    <mergeCell ref="O59:P59"/>
    <mergeCell ref="O61:P61"/>
    <mergeCell ref="K10:L10"/>
    <mergeCell ref="H12:K12"/>
    <mergeCell ref="R59:S59"/>
    <mergeCell ref="R61:S61"/>
    <mergeCell ref="G158:I158"/>
    <mergeCell ref="B126:D126"/>
    <mergeCell ref="D129:F129"/>
    <mergeCell ref="D152:F152"/>
    <mergeCell ref="H156:K156"/>
    <mergeCell ref="O51:O57"/>
  </mergeCells>
  <conditionalFormatting sqref="P28 P30 P67 P69:P81 O29 O31 O26:P26 O15:O25 O27">
    <cfRule type="cellIs" dxfId="2402" priority="333" stopIfTrue="1" operator="lessThan">
      <formula>0</formula>
    </cfRule>
  </conditionalFormatting>
  <conditionalFormatting sqref="O32:P32">
    <cfRule type="cellIs" dxfId="2401" priority="335" stopIfTrue="1" operator="lessThan">
      <formula>0</formula>
    </cfRule>
  </conditionalFormatting>
  <conditionalFormatting sqref="E12:F12">
    <cfRule type="cellIs" dxfId="2400" priority="341" stopIfTrue="1" operator="equal">
      <formula>0</formula>
    </cfRule>
  </conditionalFormatting>
  <conditionalFormatting sqref="N10">
    <cfRule type="cellIs" dxfId="2399" priority="342" stopIfTrue="1" operator="equal">
      <formula>0</formula>
    </cfRule>
  </conditionalFormatting>
  <conditionalFormatting sqref="E2:L2 C6:E6 G6:L6 C8 C10 K10:L10 F10">
    <cfRule type="cellIs" dxfId="2398" priority="329" stopIfTrue="1" operator="equal">
      <formula>0</formula>
    </cfRule>
  </conditionalFormatting>
  <conditionalFormatting sqref="O37 S62">
    <cfRule type="cellIs" dxfId="2397" priority="299" stopIfTrue="1" operator="equal">
      <formula>"2002 г. крайно ДТ с-до"</formula>
    </cfRule>
  </conditionalFormatting>
  <conditionalFormatting sqref="O14">
    <cfRule type="cellIs" dxfId="2396" priority="238" stopIfTrue="1" operator="lessThan">
      <formula>0</formula>
    </cfRule>
  </conditionalFormatting>
  <conditionalFormatting sqref="P64:P66">
    <cfRule type="cellIs" dxfId="2395" priority="241" stopIfTrue="1" operator="lessThan">
      <formula>0</formula>
    </cfRule>
  </conditionalFormatting>
  <conditionalFormatting sqref="P48">
    <cfRule type="cellIs" dxfId="2394" priority="233" stopIfTrue="1" operator="equal">
      <formula>"2002 г. крайно ДТ с-до"</formula>
    </cfRule>
  </conditionalFormatting>
  <conditionalFormatting sqref="O28">
    <cfRule type="cellIs" dxfId="2393" priority="220" stopIfTrue="1" operator="lessThan">
      <formula>0</formula>
    </cfRule>
  </conditionalFormatting>
  <conditionalFormatting sqref="O30">
    <cfRule type="cellIs" dxfId="2392" priority="219" stopIfTrue="1" operator="lessThan">
      <formula>0</formula>
    </cfRule>
  </conditionalFormatting>
  <conditionalFormatting sqref="O2:P2">
    <cfRule type="cellIs" dxfId="2391" priority="216" stopIfTrue="1" operator="notEqual">
      <formula>"O K"</formula>
    </cfRule>
  </conditionalFormatting>
  <conditionalFormatting sqref="P64:P67 P69:P81">
    <cfRule type="cellIs" dxfId="2390" priority="214" stopIfTrue="1" operator="equal">
      <formula>"O K"</formula>
    </cfRule>
  </conditionalFormatting>
  <conditionalFormatting sqref="P67">
    <cfRule type="cellIs" dxfId="2389" priority="210" stopIfTrue="1" operator="equal">
      <formula>"O K"</formula>
    </cfRule>
    <cfRule type="cellIs" dxfId="2388" priority="213" stopIfTrue="1" operator="lessThan">
      <formula>0</formula>
    </cfRule>
  </conditionalFormatting>
  <conditionalFormatting sqref="P69">
    <cfRule type="cellIs" dxfId="2387" priority="212" stopIfTrue="1" operator="lessThan">
      <formula>0</formula>
    </cfRule>
  </conditionalFormatting>
  <conditionalFormatting sqref="P70:P81">
    <cfRule type="cellIs" dxfId="2386" priority="211" stopIfTrue="1" operator="lessThan">
      <formula>0</formula>
    </cfRule>
  </conditionalFormatting>
  <conditionalFormatting sqref="O67 O78 O80 O69:O76">
    <cfRule type="cellIs" dxfId="2385" priority="208" stopIfTrue="1" operator="lessThan">
      <formula>0</formula>
    </cfRule>
  </conditionalFormatting>
  <conditionalFormatting sqref="O64:O66">
    <cfRule type="cellIs" dxfId="2384" priority="207" stopIfTrue="1" operator="lessThan">
      <formula>0</formula>
    </cfRule>
  </conditionalFormatting>
  <conditionalFormatting sqref="O64:O67 O78 O80 O69:O76">
    <cfRule type="cellIs" dxfId="2383" priority="206" stopIfTrue="1" operator="equal">
      <formula>"O K"</formula>
    </cfRule>
  </conditionalFormatting>
  <conditionalFormatting sqref="O67">
    <cfRule type="cellIs" dxfId="2382" priority="202" stopIfTrue="1" operator="equal">
      <formula>"O K"</formula>
    </cfRule>
    <cfRule type="cellIs" dxfId="2381" priority="205" stopIfTrue="1" operator="lessThan">
      <formula>0</formula>
    </cfRule>
  </conditionalFormatting>
  <conditionalFormatting sqref="O69">
    <cfRule type="cellIs" dxfId="2380" priority="204" stopIfTrue="1" operator="lessThan">
      <formula>0</formula>
    </cfRule>
  </conditionalFormatting>
  <conditionalFormatting sqref="O70:O76 O78 O80">
    <cfRule type="cellIs" dxfId="2379" priority="203" stopIfTrue="1" operator="lessThan">
      <formula>0</formula>
    </cfRule>
  </conditionalFormatting>
  <conditionalFormatting sqref="S69:S75 S77 S79 S81">
    <cfRule type="cellIs" dxfId="2378" priority="200" stopIfTrue="1" operator="lessThan">
      <formula>0</formula>
    </cfRule>
  </conditionalFormatting>
  <conditionalFormatting sqref="S64:S66">
    <cfRule type="cellIs" dxfId="2377" priority="199" stopIfTrue="1" operator="lessThan">
      <formula>0</formula>
    </cfRule>
  </conditionalFormatting>
  <conditionalFormatting sqref="S64:S66 S69:S75 S77 S79 S81">
    <cfRule type="cellIs" dxfId="2376" priority="198" stopIfTrue="1" operator="equal">
      <formula>"O K"</formula>
    </cfRule>
  </conditionalFormatting>
  <conditionalFormatting sqref="S69">
    <cfRule type="cellIs" dxfId="2375" priority="196" stopIfTrue="1" operator="lessThan">
      <formula>0</formula>
    </cfRule>
  </conditionalFormatting>
  <conditionalFormatting sqref="S70:S75 S77 S79 S81">
    <cfRule type="cellIs" dxfId="2374" priority="195" stopIfTrue="1" operator="lessThan">
      <formula>0</formula>
    </cfRule>
  </conditionalFormatting>
  <conditionalFormatting sqref="R69:R76 R78 R80">
    <cfRule type="cellIs" dxfId="2373" priority="192" stopIfTrue="1" operator="lessThan">
      <formula>0</formula>
    </cfRule>
  </conditionalFormatting>
  <conditionalFormatting sqref="R64:R66">
    <cfRule type="cellIs" dxfId="2372" priority="191" stopIfTrue="1" operator="lessThan">
      <formula>0</formula>
    </cfRule>
  </conditionalFormatting>
  <conditionalFormatting sqref="R64:R66 R69:R76 R78 R80">
    <cfRule type="cellIs" dxfId="2371" priority="190" stopIfTrue="1" operator="equal">
      <formula>"O K"</formula>
    </cfRule>
  </conditionalFormatting>
  <conditionalFormatting sqref="R69">
    <cfRule type="cellIs" dxfId="2370" priority="188" stopIfTrue="1" operator="lessThan">
      <formula>0</formula>
    </cfRule>
  </conditionalFormatting>
  <conditionalFormatting sqref="R70:R76 R78 R80">
    <cfRule type="cellIs" dxfId="2369" priority="187" stopIfTrue="1" operator="lessThan">
      <formula>0</formula>
    </cfRule>
  </conditionalFormatting>
  <conditionalFormatting sqref="S67">
    <cfRule type="cellIs" dxfId="2368" priority="185" stopIfTrue="1" operator="lessThan">
      <formula>0</formula>
    </cfRule>
  </conditionalFormatting>
  <conditionalFormatting sqref="S67">
    <cfRule type="cellIs" dxfId="2367" priority="184" stopIfTrue="1" operator="equal">
      <formula>"O K"</formula>
    </cfRule>
  </conditionalFormatting>
  <conditionalFormatting sqref="S67">
    <cfRule type="cellIs" dxfId="2366" priority="182" stopIfTrue="1" operator="equal">
      <formula>"O K"</formula>
    </cfRule>
    <cfRule type="cellIs" dxfId="2365" priority="183" stopIfTrue="1" operator="lessThan">
      <formula>0</formula>
    </cfRule>
  </conditionalFormatting>
  <conditionalFormatting sqref="R67">
    <cfRule type="cellIs" dxfId="2364" priority="181" stopIfTrue="1" operator="lessThan">
      <formula>0</formula>
    </cfRule>
  </conditionalFormatting>
  <conditionalFormatting sqref="R67">
    <cfRule type="cellIs" dxfId="2363" priority="180" stopIfTrue="1" operator="equal">
      <formula>"O K"</formula>
    </cfRule>
  </conditionalFormatting>
  <conditionalFormatting sqref="R67">
    <cfRule type="cellIs" dxfId="2362" priority="178" stopIfTrue="1" operator="equal">
      <formula>"O K"</formula>
    </cfRule>
    <cfRule type="cellIs" dxfId="2361" priority="179" stopIfTrue="1" operator="lessThan">
      <formula>0</formula>
    </cfRule>
  </conditionalFormatting>
  <conditionalFormatting sqref="R29 R31 S30 R15:R17 S26 R19:R27 S28">
    <cfRule type="cellIs" dxfId="2360" priority="176" stopIfTrue="1" operator="lessThan">
      <formula>0</formula>
    </cfRule>
  </conditionalFormatting>
  <conditionalFormatting sqref="R32:S32">
    <cfRule type="cellIs" dxfId="2359" priority="177" stopIfTrue="1" operator="lessThan">
      <formula>0</formula>
    </cfRule>
  </conditionalFormatting>
  <conditionalFormatting sqref="R14">
    <cfRule type="cellIs" dxfId="2358" priority="174" stopIfTrue="1" operator="lessThan">
      <formula>0</formula>
    </cfRule>
  </conditionalFormatting>
  <conditionalFormatting sqref="O81 O79 O77">
    <cfRule type="cellIs" dxfId="2357" priority="163" stopIfTrue="1" operator="lessThan">
      <formula>0</formula>
    </cfRule>
  </conditionalFormatting>
  <conditionalFormatting sqref="S80 S78 S76">
    <cfRule type="cellIs" dxfId="2356" priority="162" stopIfTrue="1" operator="lessThan">
      <formula>0</formula>
    </cfRule>
  </conditionalFormatting>
  <conditionalFormatting sqref="R81 R79 R77">
    <cfRule type="cellIs" dxfId="2355" priority="161" stopIfTrue="1" operator="lessThan">
      <formula>0</formula>
    </cfRule>
  </conditionalFormatting>
  <conditionalFormatting sqref="R18">
    <cfRule type="cellIs" dxfId="2354" priority="159" stopIfTrue="1" operator="lessThan">
      <formula>0</formula>
    </cfRule>
  </conditionalFormatting>
  <conditionalFormatting sqref="P68">
    <cfRule type="cellIs" dxfId="2353" priority="158" stopIfTrue="1" operator="lessThan">
      <formula>0</formula>
    </cfRule>
  </conditionalFormatting>
  <conditionalFormatting sqref="P68">
    <cfRule type="cellIs" dxfId="2352" priority="157" stopIfTrue="1" operator="equal">
      <formula>"O K"</formula>
    </cfRule>
  </conditionalFormatting>
  <conditionalFormatting sqref="P68">
    <cfRule type="cellIs" dxfId="2351" priority="156" stopIfTrue="1" operator="lessThan">
      <formula>0</formula>
    </cfRule>
  </conditionalFormatting>
  <conditionalFormatting sqref="O68">
    <cfRule type="cellIs" dxfId="2350" priority="155" stopIfTrue="1" operator="lessThan">
      <formula>0</formula>
    </cfRule>
  </conditionalFormatting>
  <conditionalFormatting sqref="O68">
    <cfRule type="cellIs" dxfId="2349" priority="154" stopIfTrue="1" operator="equal">
      <formula>"O K"</formula>
    </cfRule>
  </conditionalFormatting>
  <conditionalFormatting sqref="O68">
    <cfRule type="cellIs" dxfId="2348" priority="153" stopIfTrue="1" operator="lessThan">
      <formula>0</formula>
    </cfRule>
  </conditionalFormatting>
  <conditionalFormatting sqref="S68">
    <cfRule type="cellIs" dxfId="2347" priority="152" stopIfTrue="1" operator="lessThan">
      <formula>0</formula>
    </cfRule>
  </conditionalFormatting>
  <conditionalFormatting sqref="S68">
    <cfRule type="cellIs" dxfId="2346" priority="151" stopIfTrue="1" operator="equal">
      <formula>"O K"</formula>
    </cfRule>
  </conditionalFormatting>
  <conditionalFormatting sqref="S68">
    <cfRule type="cellIs" dxfId="2345" priority="150" stopIfTrue="1" operator="lessThan">
      <formula>0</formula>
    </cfRule>
  </conditionalFormatting>
  <conditionalFormatting sqref="R68">
    <cfRule type="cellIs" dxfId="2344" priority="149" stopIfTrue="1" operator="lessThan">
      <formula>0</formula>
    </cfRule>
  </conditionalFormatting>
  <conditionalFormatting sqref="R68">
    <cfRule type="cellIs" dxfId="2343" priority="148" stopIfTrue="1" operator="equal">
      <formula>"O K"</formula>
    </cfRule>
  </conditionalFormatting>
  <conditionalFormatting sqref="R68">
    <cfRule type="cellIs" dxfId="2342" priority="147" stopIfTrue="1" operator="lessThan">
      <formula>0</formula>
    </cfRule>
  </conditionalFormatting>
  <conditionalFormatting sqref="R2:S2">
    <cfRule type="cellIs" dxfId="2341" priority="144" stopIfTrue="1" operator="notEqual">
      <formula>"O K"</formula>
    </cfRule>
  </conditionalFormatting>
  <conditionalFormatting sqref="R28">
    <cfRule type="cellIs" dxfId="2340" priority="143" stopIfTrue="1" operator="lessThan">
      <formula>0</formula>
    </cfRule>
  </conditionalFormatting>
  <conditionalFormatting sqref="R30">
    <cfRule type="cellIs" dxfId="2339" priority="142" stopIfTrue="1" operator="lessThan">
      <formula>0</formula>
    </cfRule>
  </conditionalFormatting>
  <conditionalFormatting sqref="G8:H8">
    <cfRule type="cellIs" dxfId="2338" priority="141" stopIfTrue="1" operator="equal">
      <formula>0</formula>
    </cfRule>
  </conditionalFormatting>
  <conditionalFormatting sqref="J8:L8">
    <cfRule type="cellIs" dxfId="2337" priority="140" stopIfTrue="1" operator="equal">
      <formula>0</formula>
    </cfRule>
  </conditionalFormatting>
  <conditionalFormatting sqref="N38">
    <cfRule type="cellIs" dxfId="2336" priority="138" stopIfTrue="1" operator="lessThan">
      <formula>0</formula>
    </cfRule>
  </conditionalFormatting>
  <conditionalFormatting sqref="N41">
    <cfRule type="cellIs" dxfId="2335" priority="134" stopIfTrue="1" operator="lessThan">
      <formula>0</formula>
    </cfRule>
  </conditionalFormatting>
  <conditionalFormatting sqref="N44">
    <cfRule type="cellIs" dxfId="2334" priority="130" stopIfTrue="1" operator="lessThan">
      <formula>0</formula>
    </cfRule>
  </conditionalFormatting>
  <conditionalFormatting sqref="N47">
    <cfRule type="cellIs" dxfId="2333" priority="126" stopIfTrue="1" operator="lessThan">
      <formula>0</formula>
    </cfRule>
  </conditionalFormatting>
  <conditionalFormatting sqref="O43">
    <cfRule type="cellIs" dxfId="2332" priority="90" stopIfTrue="1" operator="equal">
      <formula>"2002 г. крайно ДТ с-до"</formula>
    </cfRule>
  </conditionalFormatting>
  <conditionalFormatting sqref="P51">
    <cfRule type="cellIs" dxfId="2331" priority="123" stopIfTrue="1" operator="equal">
      <formula>"2002 г. крайно ДТ с-до"</formula>
    </cfRule>
  </conditionalFormatting>
  <conditionalFormatting sqref="P55">
    <cfRule type="cellIs" dxfId="2330" priority="98" stopIfTrue="1" operator="equal">
      <formula>"2002 г. крайно ДТ с-до"</formula>
    </cfRule>
  </conditionalFormatting>
  <conditionalFormatting sqref="P53">
    <cfRule type="cellIs" dxfId="2329" priority="97" stopIfTrue="1" operator="equal">
      <formula>"2002 г. крайно ДТ с-до"</formula>
    </cfRule>
  </conditionalFormatting>
  <conditionalFormatting sqref="P57">
    <cfRule type="cellIs" dxfId="2328" priority="93" stopIfTrue="1" operator="equal">
      <formula>"2002 г. крайно ДТ с-до"</formula>
    </cfRule>
  </conditionalFormatting>
  <conditionalFormatting sqref="P58 P60">
    <cfRule type="cellIs" dxfId="2327" priority="100" stopIfTrue="1" operator="equal">
      <formula>"2002 г. крайно ДТ с-до"</formula>
    </cfRule>
  </conditionalFormatting>
  <conditionalFormatting sqref="P62">
    <cfRule type="cellIs" dxfId="2326" priority="96" stopIfTrue="1" operator="equal">
      <formula>"2002 г. крайно ДТ с-до"</formula>
    </cfRule>
  </conditionalFormatting>
  <conditionalFormatting sqref="O59:P59">
    <cfRule type="cellIs" dxfId="2325" priority="95" stopIfTrue="1" operator="notEqual">
      <formula>0</formula>
    </cfRule>
  </conditionalFormatting>
  <conditionalFormatting sqref="O61:P61">
    <cfRule type="cellIs" dxfId="2324" priority="94" stopIfTrue="1" operator="notEqual">
      <formula>0</formula>
    </cfRule>
  </conditionalFormatting>
  <conditionalFormatting sqref="O40">
    <cfRule type="cellIs" dxfId="2323" priority="92" stopIfTrue="1" operator="equal">
      <formula>"2002 г. крайно ДТ с-до"</formula>
    </cfRule>
  </conditionalFormatting>
  <conditionalFormatting sqref="O46">
    <cfRule type="cellIs" dxfId="2322" priority="88" stopIfTrue="1" operator="equal">
      <formula>"2002 г. крайно ДТ с-до"</formula>
    </cfRule>
  </conditionalFormatting>
  <conditionalFormatting sqref="O34:P34">
    <cfRule type="cellIs" dxfId="2321" priority="86" stopIfTrue="1" operator="notEqual">
      <formula>0</formula>
    </cfRule>
  </conditionalFormatting>
  <conditionalFormatting sqref="P15:P25">
    <cfRule type="cellIs" dxfId="2320" priority="85" stopIfTrue="1" operator="lessThan">
      <formula>0</formula>
    </cfRule>
  </conditionalFormatting>
  <conditionalFormatting sqref="P14">
    <cfRule type="cellIs" dxfId="2319" priority="84" stopIfTrue="1" operator="lessThan">
      <formula>0</formula>
    </cfRule>
  </conditionalFormatting>
  <conditionalFormatting sqref="S15:S24">
    <cfRule type="cellIs" dxfId="2318" priority="83" stopIfTrue="1" operator="lessThan">
      <formula>0</formula>
    </cfRule>
  </conditionalFormatting>
  <conditionalFormatting sqref="S14">
    <cfRule type="cellIs" dxfId="2317" priority="82" stopIfTrue="1" operator="lessThan">
      <formula>0</formula>
    </cfRule>
  </conditionalFormatting>
  <conditionalFormatting sqref="P27">
    <cfRule type="cellIs" dxfId="2316" priority="81" stopIfTrue="1" operator="lessThan">
      <formula>0</formula>
    </cfRule>
  </conditionalFormatting>
  <conditionalFormatting sqref="P29">
    <cfRule type="cellIs" dxfId="2315" priority="80" stopIfTrue="1" operator="lessThan">
      <formula>0</formula>
    </cfRule>
  </conditionalFormatting>
  <conditionalFormatting sqref="P31">
    <cfRule type="cellIs" dxfId="2314" priority="79" stopIfTrue="1" operator="lessThan">
      <formula>0</formula>
    </cfRule>
  </conditionalFormatting>
  <conditionalFormatting sqref="S25">
    <cfRule type="cellIs" dxfId="2313" priority="78" stopIfTrue="1" operator="lessThan">
      <formula>0</formula>
    </cfRule>
  </conditionalFormatting>
  <conditionalFormatting sqref="S27">
    <cfRule type="cellIs" dxfId="2312" priority="77" stopIfTrue="1" operator="lessThan">
      <formula>0</formula>
    </cfRule>
  </conditionalFormatting>
  <conditionalFormatting sqref="S29">
    <cfRule type="cellIs" dxfId="2311" priority="76" stopIfTrue="1" operator="lessThan">
      <formula>0</formula>
    </cfRule>
  </conditionalFormatting>
  <conditionalFormatting sqref="S31">
    <cfRule type="cellIs" dxfId="2310" priority="75" stopIfTrue="1" operator="lessThan">
      <formula>0</formula>
    </cfRule>
  </conditionalFormatting>
  <conditionalFormatting sqref="O4:P4">
    <cfRule type="cellIs" dxfId="2309" priority="74" stopIfTrue="1" operator="notEqual">
      <formula>"O K"</formula>
    </cfRule>
  </conditionalFormatting>
  <conditionalFormatting sqref="O6:P6">
    <cfRule type="cellIs" dxfId="2308" priority="73" stopIfTrue="1" operator="notEqual">
      <formula>"O K"</formula>
    </cfRule>
  </conditionalFormatting>
  <conditionalFormatting sqref="O35:P35">
    <cfRule type="cellIs" dxfId="2307" priority="72" stopIfTrue="1" operator="notEqual">
      <formula>0</formula>
    </cfRule>
  </conditionalFormatting>
  <conditionalFormatting sqref="R4:S4">
    <cfRule type="cellIs" dxfId="2306" priority="71" stopIfTrue="1" operator="notEqual">
      <formula>"O K"</formula>
    </cfRule>
  </conditionalFormatting>
  <conditionalFormatting sqref="R6:S6">
    <cfRule type="cellIs" dxfId="2305" priority="70" stopIfTrue="1" operator="notEqual">
      <formula>"O K"</formula>
    </cfRule>
  </conditionalFormatting>
  <conditionalFormatting sqref="R34:S34">
    <cfRule type="cellIs" dxfId="2304" priority="69" stopIfTrue="1" operator="notEqual">
      <formula>0</formula>
    </cfRule>
  </conditionalFormatting>
  <conditionalFormatting sqref="R35:S35">
    <cfRule type="cellIs" dxfId="2303" priority="68" stopIfTrue="1" operator="notEqual">
      <formula>0</formula>
    </cfRule>
  </conditionalFormatting>
  <conditionalFormatting sqref="R37">
    <cfRule type="cellIs" dxfId="2302" priority="64" stopIfTrue="1" operator="equal">
      <formula>"2002 г. крайно ДТ с-до"</formula>
    </cfRule>
  </conditionalFormatting>
  <conditionalFormatting sqref="S48">
    <cfRule type="cellIs" dxfId="2301" priority="63" stopIfTrue="1" operator="equal">
      <formula>"2002 г. крайно ДТ с-до"</formula>
    </cfRule>
  </conditionalFormatting>
  <conditionalFormatting sqref="R43">
    <cfRule type="cellIs" dxfId="2300" priority="52" stopIfTrue="1" operator="equal">
      <formula>"2002 г. крайно ДТ с-до"</formula>
    </cfRule>
  </conditionalFormatting>
  <conditionalFormatting sqref="S51">
    <cfRule type="cellIs" dxfId="2299" priority="61" stopIfTrue="1" operator="equal">
      <formula>"2002 г. крайно ДТ с-до"</formula>
    </cfRule>
  </conditionalFormatting>
  <conditionalFormatting sqref="S55">
    <cfRule type="cellIs" dxfId="2298" priority="59" stopIfTrue="1" operator="equal">
      <formula>"2002 г. крайно ДТ с-до"</formula>
    </cfRule>
  </conditionalFormatting>
  <conditionalFormatting sqref="S53">
    <cfRule type="cellIs" dxfId="2297" priority="58" stopIfTrue="1" operator="equal">
      <formula>"2002 г. крайно ДТ с-до"</formula>
    </cfRule>
  </conditionalFormatting>
  <conditionalFormatting sqref="S57">
    <cfRule type="cellIs" dxfId="2296" priority="55" stopIfTrue="1" operator="equal">
      <formula>"2002 г. крайно ДТ с-до"</formula>
    </cfRule>
  </conditionalFormatting>
  <conditionalFormatting sqref="S58 S60">
    <cfRule type="cellIs" dxfId="2295" priority="60" stopIfTrue="1" operator="equal">
      <formula>"2002 г. крайно ДТ с-до"</formula>
    </cfRule>
  </conditionalFormatting>
  <conditionalFormatting sqref="R59:S59">
    <cfRule type="cellIs" dxfId="2294" priority="57" stopIfTrue="1" operator="notEqual">
      <formula>0</formula>
    </cfRule>
  </conditionalFormatting>
  <conditionalFormatting sqref="R61:S61">
    <cfRule type="cellIs" dxfId="2293" priority="56" stopIfTrue="1" operator="notEqual">
      <formula>0</formula>
    </cfRule>
  </conditionalFormatting>
  <conditionalFormatting sqref="R40">
    <cfRule type="cellIs" dxfId="2292" priority="54" stopIfTrue="1" operator="equal">
      <formula>"2002 г. крайно ДТ с-до"</formula>
    </cfRule>
  </conditionalFormatting>
  <conditionalFormatting sqref="R46">
    <cfRule type="cellIs" dxfId="2291" priority="50" stopIfTrue="1" operator="equal">
      <formula>"2002 г. крайно ДТ с-до"</formula>
    </cfRule>
  </conditionalFormatting>
  <conditionalFormatting sqref="E2:L2 C8">
    <cfRule type="cellIs" dxfId="2290" priority="48" stopIfTrue="1" operator="equal">
      <formula>0</formula>
    </cfRule>
  </conditionalFormatting>
  <conditionalFormatting sqref="D4">
    <cfRule type="cellIs" dxfId="2289" priority="28" stopIfTrue="1" operator="between">
      <formula>1000000000000</formula>
      <formula>9999999999999990</formula>
    </cfRule>
    <cfRule type="cellIs" dxfId="2288" priority="29" stopIfTrue="1" operator="between">
      <formula>1000000000</formula>
      <formula>999999999999</formula>
    </cfRule>
    <cfRule type="cellIs" dxfId="2287" priority="30" stopIfTrue="1" operator="between">
      <formula>10000</formula>
      <formula>99999999</formula>
    </cfRule>
    <cfRule type="cellIs" dxfId="2286" priority="31" stopIfTrue="1" operator="between">
      <formula>10</formula>
      <formula>9999</formula>
    </cfRule>
  </conditionalFormatting>
  <conditionalFormatting sqref="D4">
    <cfRule type="cellIs" dxfId="2285" priority="27" operator="equal">
      <formula>0</formula>
    </cfRule>
  </conditionalFormatting>
  <conditionalFormatting sqref="A3:C5">
    <cfRule type="cellIs" dxfId="2284" priority="26" operator="equal">
      <formula>"Код на общински разпоредител с бюджет"</formula>
    </cfRule>
  </conditionalFormatting>
  <conditionalFormatting sqref="G4:L4">
    <cfRule type="cellIs" dxfId="2283" priority="25" operator="equal">
      <formula>0</formula>
    </cfRule>
  </conditionalFormatting>
  <dataValidations disablePrompts="1" count="2">
    <dataValidation type="list" allowBlank="1" showInputMessage="1" showErrorMessage="1" sqref="H12:K12">
      <formula1>'Intra-Balances'!#REF!</formula1>
    </dataValidation>
    <dataValidation type="whole" allowBlank="1" showInputMessage="1" showErrorMessage="1" sqref="D4:E4">
      <formula1>0</formula1>
      <formula2>9999999999999990</formula2>
    </dataValidation>
  </dataValidations>
  <pageMargins left="0.15748031496062992" right="0.15748031496062992" top="0.43307086614173229" bottom="0.35433070866141736" header="0.23622047244094491" footer="0.23622047244094491"/>
  <pageSetup paperSize="9" scale="59" orientation="landscape" horizontalDpi="4294967292" r:id="rId1"/>
  <headerFooter alignWithMargins="0">
    <oddHeader>&amp;C&amp;"Times New Roman CYR,Bold"&amp;12- &amp;P / &amp;N -</oddHeader>
  </headerFooter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rgb="FF000099"/>
  </sheetPr>
  <dimension ref="A1:Y641"/>
  <sheetViews>
    <sheetView zoomScale="90" zoomScaleNormal="90" workbookViewId="0"/>
  </sheetViews>
  <sheetFormatPr defaultRowHeight="15"/>
  <cols>
    <col min="1" max="1" width="6.140625" style="1392" customWidth="1"/>
    <col min="2" max="2" width="8.7109375" style="1392" customWidth="1"/>
    <col min="3" max="3" width="9.7109375" style="1392" customWidth="1"/>
    <col min="4" max="4" width="9.42578125" style="1392" customWidth="1"/>
    <col min="5" max="5" width="9.140625" style="1392"/>
    <col min="6" max="6" width="10.140625" style="1392" customWidth="1"/>
    <col min="7" max="7" width="9" style="1392" customWidth="1"/>
    <col min="8" max="8" width="8.140625" style="1392" customWidth="1"/>
    <col min="9" max="9" width="10.7109375" style="1392" customWidth="1"/>
    <col min="10" max="10" width="1.140625" style="1392" customWidth="1"/>
    <col min="11" max="11" width="11.140625" style="1392" customWidth="1"/>
    <col min="12" max="12" width="12" style="1392" customWidth="1"/>
    <col min="13" max="13" width="0.85546875" style="1395" customWidth="1"/>
    <col min="14" max="14" width="7.7109375" style="1396" customWidth="1"/>
    <col min="15" max="16" width="33.85546875" style="1393" customWidth="1"/>
    <col min="17" max="17" width="1.85546875" style="1392" customWidth="1"/>
    <col min="18" max="19" width="33.85546875" style="1393" customWidth="1"/>
    <col min="20" max="20" width="3.140625" style="1393" customWidth="1"/>
    <col min="21" max="21" width="33.28515625" style="1392" customWidth="1"/>
    <col min="22" max="22" width="35.85546875" style="1392" customWidth="1"/>
    <col min="23" max="16384" width="9.140625" style="1392"/>
  </cols>
  <sheetData>
    <row r="1" spans="1:24" ht="2.25" customHeight="1">
      <c r="A1" s="53"/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45"/>
      <c r="N1" s="201"/>
      <c r="O1" s="17"/>
      <c r="P1" s="17"/>
      <c r="Q1" s="43"/>
      <c r="R1" s="17"/>
      <c r="S1" s="17"/>
      <c r="T1" s="17"/>
      <c r="U1" s="43"/>
      <c r="V1" s="43"/>
      <c r="W1" s="43"/>
      <c r="X1" s="43"/>
    </row>
    <row r="2" spans="1:24" ht="18" customHeight="1">
      <c r="A2" s="450" t="s">
        <v>257</v>
      </c>
      <c r="B2" s="202"/>
      <c r="C2" s="203"/>
      <c r="D2" s="202"/>
      <c r="E2" s="2517" t="str">
        <f>+'TRIAL-BALANCE'!E2:L2</f>
        <v>ОУ "ПРОФЕСОР МАРИН ДРИНОВ"</v>
      </c>
      <c r="F2" s="2518"/>
      <c r="G2" s="2518"/>
      <c r="H2" s="2518"/>
      <c r="I2" s="2518"/>
      <c r="J2" s="2518"/>
      <c r="K2" s="2518"/>
      <c r="L2" s="2519"/>
      <c r="M2" s="46"/>
      <c r="N2" s="204"/>
      <c r="O2" s="2235" t="s">
        <v>2141</v>
      </c>
      <c r="P2" s="2233"/>
      <c r="Q2" s="2233"/>
      <c r="R2" s="2233"/>
      <c r="S2" s="2234"/>
      <c r="T2" s="43"/>
      <c r="U2" s="43"/>
      <c r="V2" s="43"/>
      <c r="W2" s="43"/>
      <c r="X2" s="43"/>
    </row>
    <row r="3" spans="1:24" ht="3.75" customHeight="1">
      <c r="A3" s="2415" t="str">
        <f>+IF('Local-&amp;-SSF'!E6&gt;0,"Код на общински разпоредител с бюджет","код от Регистъра на бюдж. организации в СЕБРА")</f>
        <v>код от Регистъра на бюдж. организации в СЕБРА</v>
      </c>
      <c r="B3" s="2415"/>
      <c r="C3" s="2415"/>
      <c r="D3" s="1916"/>
      <c r="E3" s="1916"/>
      <c r="F3" s="1916"/>
      <c r="G3" s="1916"/>
      <c r="H3" s="1916"/>
      <c r="I3" s="1916"/>
      <c r="J3" s="1916"/>
      <c r="K3" s="1916"/>
      <c r="L3" s="1916"/>
      <c r="M3" s="45"/>
      <c r="N3" s="201"/>
      <c r="O3" s="17"/>
      <c r="P3" s="17"/>
      <c r="Q3" s="43"/>
      <c r="R3" s="17"/>
      <c r="S3" s="17"/>
      <c r="T3" s="43"/>
      <c r="U3" s="43"/>
      <c r="V3" s="43"/>
      <c r="W3" s="43"/>
      <c r="X3" s="43"/>
    </row>
    <row r="4" spans="1:24" ht="16.5" customHeight="1">
      <c r="A4" s="2415"/>
      <c r="B4" s="2415"/>
      <c r="C4" s="2415"/>
      <c r="D4" s="2460">
        <f>+'TRIAL-BALANCE'!D4:E4</f>
        <v>0</v>
      </c>
      <c r="E4" s="2461"/>
      <c r="F4" s="1919" t="s">
        <v>1950</v>
      </c>
      <c r="G4" s="2462">
        <f>+'TRIAL-BALANCE'!G4:L4</f>
        <v>0</v>
      </c>
      <c r="H4" s="2463"/>
      <c r="I4" s="2463"/>
      <c r="J4" s="2463"/>
      <c r="K4" s="2463"/>
      <c r="L4" s="2464"/>
      <c r="M4" s="47"/>
      <c r="N4" s="204"/>
      <c r="O4" s="1280" t="s">
        <v>1303</v>
      </c>
      <c r="P4" s="1281"/>
      <c r="Q4" s="43"/>
      <c r="R4" s="1280" t="s">
        <v>1303</v>
      </c>
      <c r="S4" s="1281"/>
      <c r="T4" s="43"/>
      <c r="U4" s="43"/>
      <c r="V4" s="43"/>
      <c r="W4" s="43"/>
      <c r="X4" s="43"/>
    </row>
    <row r="5" spans="1:24" ht="3.75" customHeight="1">
      <c r="A5" s="2415"/>
      <c r="B5" s="2415"/>
      <c r="C5" s="2415"/>
      <c r="D5" s="1916"/>
      <c r="E5" s="1916"/>
      <c r="F5" s="1916"/>
      <c r="G5" s="1916"/>
      <c r="H5" s="1916"/>
      <c r="I5" s="1916"/>
      <c r="J5" s="1916"/>
      <c r="K5" s="1916"/>
      <c r="L5" s="1916"/>
      <c r="M5" s="45"/>
      <c r="N5" s="204"/>
      <c r="O5" s="1490"/>
      <c r="P5" s="1491"/>
      <c r="Q5" s="43"/>
      <c r="R5" s="1490"/>
      <c r="S5" s="1491"/>
      <c r="T5" s="43"/>
      <c r="U5" s="43"/>
      <c r="V5" s="43"/>
      <c r="W5" s="43"/>
      <c r="X5" s="43"/>
    </row>
    <row r="6" spans="1:24" ht="18" customHeight="1">
      <c r="A6" s="452" t="s">
        <v>792</v>
      </c>
      <c r="B6" s="202"/>
      <c r="C6" s="2451">
        <f>+'TRIAL-BALANCE'!C6:E6</f>
        <v>341731</v>
      </c>
      <c r="D6" s="2452"/>
      <c r="E6" s="2453"/>
      <c r="F6" s="448" t="s">
        <v>431</v>
      </c>
      <c r="G6" s="2454" t="str">
        <f>+'TRIAL-BALANCE'!G6:L6</f>
        <v xml:space="preserve">                              </v>
      </c>
      <c r="H6" s="2455"/>
      <c r="I6" s="2455"/>
      <c r="J6" s="2455"/>
      <c r="K6" s="2455"/>
      <c r="L6" s="2456"/>
      <c r="M6" s="48"/>
      <c r="N6" s="204"/>
      <c r="O6" s="1492" t="s">
        <v>1249</v>
      </c>
      <c r="P6" s="1493"/>
      <c r="Q6" s="43"/>
      <c r="R6" s="1492" t="s">
        <v>1249</v>
      </c>
      <c r="S6" s="1493"/>
      <c r="T6" s="43"/>
      <c r="U6" s="43"/>
      <c r="V6" s="43"/>
      <c r="W6" s="43"/>
      <c r="X6" s="43"/>
    </row>
    <row r="7" spans="1:24" ht="3.75" customHeight="1" thickBot="1">
      <c r="A7" s="451"/>
      <c r="B7" s="45"/>
      <c r="C7" s="45"/>
      <c r="D7" s="45"/>
      <c r="E7" s="45"/>
      <c r="F7" s="45"/>
      <c r="G7" s="45"/>
      <c r="H7" s="45"/>
      <c r="I7" s="45"/>
      <c r="J7" s="45"/>
      <c r="K7" s="45"/>
      <c r="L7" s="45"/>
      <c r="M7" s="45"/>
      <c r="N7" s="43"/>
      <c r="O7" s="43"/>
      <c r="P7" s="43"/>
      <c r="Q7" s="43"/>
      <c r="R7" s="43"/>
      <c r="S7" s="43"/>
      <c r="T7" s="43"/>
      <c r="U7" s="43"/>
      <c r="V7" s="43"/>
      <c r="W7" s="43"/>
      <c r="X7" s="43"/>
    </row>
    <row r="8" spans="1:24" ht="18" customHeight="1" thickTop="1">
      <c r="A8" s="452" t="s">
        <v>258</v>
      </c>
      <c r="B8" s="206"/>
      <c r="C8" s="1056">
        <f>+'TRIAL-BALANCE'!C8</f>
        <v>0</v>
      </c>
      <c r="D8" s="207" t="s">
        <v>1137</v>
      </c>
      <c r="E8" s="964">
        <f>+'TRIAL-BALANCE'!E8</f>
        <v>2020</v>
      </c>
      <c r="F8" s="1296" t="s">
        <v>1204</v>
      </c>
      <c r="G8" s="2457" t="str">
        <f>+'TRIAL-BALANCE'!G8:H8</f>
        <v xml:space="preserve">;                             </v>
      </c>
      <c r="H8" s="2458"/>
      <c r="I8" s="1297" t="s">
        <v>1206</v>
      </c>
      <c r="J8" s="2454">
        <f>+'TRIAL-BALANCE'!J8:L8</f>
        <v>0</v>
      </c>
      <c r="K8" s="2455"/>
      <c r="L8" s="2456"/>
      <c r="M8" s="48"/>
      <c r="N8" s="1563" t="s">
        <v>378</v>
      </c>
      <c r="O8" s="1494" t="s">
        <v>1246</v>
      </c>
      <c r="P8" s="1495"/>
      <c r="Q8" s="43"/>
      <c r="R8" s="1494" t="s">
        <v>1246</v>
      </c>
      <c r="S8" s="1495"/>
      <c r="T8" s="43"/>
      <c r="U8" s="43"/>
      <c r="V8" s="43"/>
      <c r="W8" s="43"/>
      <c r="X8" s="43"/>
    </row>
    <row r="9" spans="1:24" ht="3.75" customHeight="1">
      <c r="A9" s="451"/>
      <c r="B9" s="45"/>
      <c r="C9" s="45"/>
      <c r="D9" s="45"/>
      <c r="E9" s="45"/>
      <c r="F9" s="45"/>
      <c r="G9" s="45"/>
      <c r="H9" s="45"/>
      <c r="I9" s="45"/>
      <c r="J9" s="45"/>
      <c r="K9" s="45"/>
      <c r="L9" s="45"/>
      <c r="M9" s="45"/>
      <c r="N9" s="913"/>
      <c r="O9" s="22"/>
      <c r="P9" s="25"/>
      <c r="Q9" s="43"/>
      <c r="R9" s="22"/>
      <c r="S9" s="25"/>
      <c r="T9" s="43"/>
      <c r="U9" s="43"/>
      <c r="V9" s="43"/>
      <c r="W9" s="43"/>
      <c r="X9" s="43"/>
    </row>
    <row r="10" spans="1:24" ht="18" customHeight="1">
      <c r="A10" s="453" t="s">
        <v>259</v>
      </c>
      <c r="B10" s="49"/>
      <c r="C10" s="1445" t="str">
        <f>+'TRIAL-BALANCE'!C10</f>
        <v>/с б о р е н/</v>
      </c>
      <c r="D10" s="454" t="s">
        <v>430</v>
      </c>
      <c r="E10" s="49"/>
      <c r="F10" s="966" t="str">
        <f>+'TRIAL-BALANCE'!F10</f>
        <v>/СБОРНА/</v>
      </c>
      <c r="G10" s="207" t="s">
        <v>380</v>
      </c>
      <c r="H10" s="449"/>
      <c r="I10" s="49"/>
      <c r="J10" s="49"/>
      <c r="K10" s="2514">
        <f>+'TRIAL-BALANCE'!K10:L10</f>
        <v>0</v>
      </c>
      <c r="L10" s="2515"/>
      <c r="M10" s="48"/>
      <c r="N10" s="1578">
        <f>+$C8</f>
        <v>0</v>
      </c>
      <c r="O10" s="950" t="s">
        <v>1247</v>
      </c>
      <c r="P10" s="146"/>
      <c r="Q10" s="43"/>
      <c r="R10" s="950" t="s">
        <v>1248</v>
      </c>
      <c r="S10" s="146"/>
      <c r="T10" s="43"/>
      <c r="U10" s="43"/>
      <c r="V10" s="43"/>
      <c r="W10" s="43"/>
      <c r="X10" s="43"/>
    </row>
    <row r="11" spans="1:24" ht="3.75" customHeight="1" thickBot="1">
      <c r="A11" s="53"/>
      <c r="B11" s="45"/>
      <c r="C11" s="45"/>
      <c r="D11" s="45"/>
      <c r="E11" s="45"/>
      <c r="F11" s="45"/>
      <c r="G11" s="45"/>
      <c r="H11" s="45"/>
      <c r="I11" s="45"/>
      <c r="J11" s="45"/>
      <c r="K11" s="45"/>
      <c r="L11" s="45"/>
      <c r="M11" s="45"/>
      <c r="N11" s="1576"/>
      <c r="O11" s="371"/>
      <c r="P11" s="136"/>
      <c r="Q11" s="43"/>
      <c r="R11" s="371"/>
      <c r="S11" s="136"/>
      <c r="T11" s="43"/>
      <c r="U11" s="43"/>
      <c r="V11" s="43"/>
      <c r="W11" s="43"/>
      <c r="X11" s="43"/>
    </row>
    <row r="12" spans="1:24" ht="19.5" customHeight="1" thickTop="1">
      <c r="A12" s="1180" t="s">
        <v>1284</v>
      </c>
      <c r="B12" s="1181"/>
      <c r="C12" s="1182"/>
      <c r="D12" s="1183"/>
      <c r="E12" s="1184"/>
      <c r="F12" s="1184"/>
      <c r="G12" s="1305"/>
      <c r="H12" s="2524" t="str">
        <f>+'TRIAL-BALANCE'!H12:K12</f>
        <v>31 март 2020 г.</v>
      </c>
      <c r="I12" s="2524"/>
      <c r="J12" s="2524"/>
      <c r="K12" s="2524"/>
      <c r="L12" s="1436" t="str">
        <f>+'TRIAL-BALANCE'!L12</f>
        <v xml:space="preserve"> (в левове)</v>
      </c>
      <c r="M12" s="50"/>
      <c r="N12" s="1575" t="s">
        <v>162</v>
      </c>
      <c r="O12" s="1059" t="s">
        <v>370</v>
      </c>
      <c r="P12" s="1060" t="s">
        <v>371</v>
      </c>
      <c r="Q12" s="43"/>
      <c r="R12" s="1059" t="s">
        <v>370</v>
      </c>
      <c r="S12" s="1060" t="s">
        <v>371</v>
      </c>
      <c r="T12" s="43"/>
      <c r="U12" s="43"/>
      <c r="V12" s="43"/>
      <c r="W12" s="43"/>
      <c r="X12" s="43"/>
    </row>
    <row r="13" spans="1:24" ht="33" customHeight="1">
      <c r="A13" s="1299" t="s">
        <v>1228</v>
      </c>
      <c r="B13" s="1300"/>
      <c r="C13" s="1301"/>
      <c r="D13" s="1302"/>
      <c r="E13" s="1302"/>
      <c r="F13" s="1302"/>
      <c r="G13" s="1302"/>
      <c r="H13" s="1302"/>
      <c r="I13" s="1302"/>
      <c r="J13" s="1302"/>
      <c r="K13" s="1302"/>
      <c r="L13" s="1303"/>
      <c r="M13" s="51"/>
      <c r="N13" s="1316"/>
      <c r="O13" s="1314"/>
      <c r="P13" s="1315"/>
      <c r="Q13" s="43"/>
      <c r="R13" s="1324"/>
      <c r="S13" s="1325"/>
      <c r="T13" s="38"/>
      <c r="U13" s="43"/>
      <c r="V13" s="43"/>
      <c r="W13" s="43"/>
      <c r="X13" s="43"/>
    </row>
    <row r="14" spans="1:24" ht="15.75" customHeight="1">
      <c r="A14" s="1479"/>
      <c r="B14" s="1480" t="s">
        <v>1335</v>
      </c>
      <c r="C14" s="1713"/>
      <c r="D14" s="1480"/>
      <c r="E14" s="1480"/>
      <c r="F14" s="1480"/>
      <c r="G14" s="1480"/>
      <c r="H14" s="1480"/>
      <c r="I14" s="1480"/>
      <c r="J14" s="1480"/>
      <c r="K14" s="1480"/>
      <c r="L14" s="1714"/>
      <c r="M14" s="51"/>
      <c r="N14" s="1483">
        <v>4410</v>
      </c>
      <c r="O14" s="1484">
        <v>0</v>
      </c>
      <c r="P14" s="1485">
        <f>+ROUND(SUM(P15:P16),2)</f>
        <v>0</v>
      </c>
      <c r="Q14" s="43"/>
      <c r="R14" s="1484">
        <v>0</v>
      </c>
      <c r="S14" s="1485">
        <f>+ROUND(SUM(S15:S16),2)</f>
        <v>0</v>
      </c>
      <c r="T14" s="38"/>
      <c r="U14" s="43"/>
      <c r="V14" s="43"/>
      <c r="W14" s="43"/>
      <c r="X14" s="43"/>
    </row>
    <row r="15" spans="1:24" ht="15.75" customHeight="1">
      <c r="A15" s="85"/>
      <c r="B15" s="974" t="s">
        <v>1336</v>
      </c>
      <c r="C15" s="972"/>
      <c r="D15" s="1715"/>
      <c r="E15" s="1715"/>
      <c r="F15" s="1715"/>
      <c r="G15" s="1715"/>
      <c r="H15" s="1715"/>
      <c r="I15" s="1715"/>
      <c r="J15" s="1715"/>
      <c r="K15" s="1715"/>
      <c r="L15" s="1716"/>
      <c r="M15" s="51"/>
      <c r="N15" s="112">
        <v>4411</v>
      </c>
      <c r="O15" s="328">
        <v>0</v>
      </c>
      <c r="P15" s="1298"/>
      <c r="Q15" s="43"/>
      <c r="R15" s="328">
        <v>0</v>
      </c>
      <c r="S15" s="1298"/>
      <c r="T15" s="38"/>
      <c r="U15" s="43"/>
      <c r="V15" s="43"/>
      <c r="W15" s="43"/>
      <c r="X15" s="43"/>
    </row>
    <row r="16" spans="1:24" ht="15.75" customHeight="1">
      <c r="A16" s="88"/>
      <c r="B16" s="975" t="s">
        <v>1337</v>
      </c>
      <c r="C16" s="1717"/>
      <c r="D16" s="1717"/>
      <c r="E16" s="1717"/>
      <c r="F16" s="1717"/>
      <c r="G16" s="1717"/>
      <c r="H16" s="1717"/>
      <c r="I16" s="1717"/>
      <c r="J16" s="1717"/>
      <c r="K16" s="1717"/>
      <c r="L16" s="1718"/>
      <c r="M16" s="51"/>
      <c r="N16" s="113">
        <v>4412</v>
      </c>
      <c r="O16" s="8">
        <v>0</v>
      </c>
      <c r="P16" s="891"/>
      <c r="Q16" s="43"/>
      <c r="R16" s="8">
        <v>0</v>
      </c>
      <c r="S16" s="891"/>
      <c r="T16" s="38"/>
      <c r="U16" s="43"/>
      <c r="V16" s="43"/>
      <c r="W16" s="43"/>
      <c r="X16" s="43"/>
    </row>
    <row r="17" spans="1:24" ht="15.75" customHeight="1">
      <c r="A17" s="1688"/>
      <c r="B17" s="1689" t="s">
        <v>1338</v>
      </c>
      <c r="C17" s="1719"/>
      <c r="D17" s="1689"/>
      <c r="E17" s="1689"/>
      <c r="F17" s="1689"/>
      <c r="G17" s="1689"/>
      <c r="H17" s="1689"/>
      <c r="I17" s="1689"/>
      <c r="J17" s="1689"/>
      <c r="K17" s="1689"/>
      <c r="L17" s="1720"/>
      <c r="M17" s="51"/>
      <c r="N17" s="1692">
        <v>4420</v>
      </c>
      <c r="O17" s="1693">
        <v>0</v>
      </c>
      <c r="P17" s="1694"/>
      <c r="Q17" s="43"/>
      <c r="R17" s="1693">
        <v>0</v>
      </c>
      <c r="S17" s="1694"/>
      <c r="T17" s="38"/>
      <c r="U17" s="43"/>
      <c r="V17" s="43"/>
      <c r="W17" s="43"/>
      <c r="X17" s="43"/>
    </row>
    <row r="18" spans="1:24" ht="7.5" customHeight="1">
      <c r="A18" s="1286"/>
      <c r="B18" s="1287"/>
      <c r="C18" s="1288"/>
      <c r="D18" s="1289"/>
      <c r="E18" s="1289"/>
      <c r="F18" s="1289"/>
      <c r="G18" s="1289"/>
      <c r="H18" s="1289"/>
      <c r="I18" s="1289"/>
      <c r="J18" s="1289"/>
      <c r="K18" s="1289"/>
      <c r="L18" s="1290"/>
      <c r="M18" s="51"/>
      <c r="N18" s="1293"/>
      <c r="O18" s="600"/>
      <c r="P18" s="599"/>
      <c r="Q18" s="43"/>
      <c r="R18" s="600"/>
      <c r="S18" s="599"/>
      <c r="T18" s="38"/>
      <c r="U18" s="43"/>
      <c r="V18" s="43"/>
      <c r="W18" s="43"/>
      <c r="X18" s="43"/>
    </row>
    <row r="19" spans="1:24" ht="16.5" thickBot="1">
      <c r="A19" s="1307" t="s">
        <v>1225</v>
      </c>
      <c r="B19" s="1308"/>
      <c r="C19" s="1309"/>
      <c r="D19" s="1309"/>
      <c r="E19" s="1309"/>
      <c r="F19" s="1309"/>
      <c r="G19" s="1309"/>
      <c r="H19" s="1309"/>
      <c r="I19" s="1309"/>
      <c r="J19" s="1309"/>
      <c r="K19" s="1309"/>
      <c r="L19" s="1310"/>
      <c r="M19" s="49"/>
      <c r="N19" s="1329">
        <v>4544</v>
      </c>
      <c r="O19" s="1304">
        <v>0</v>
      </c>
      <c r="P19" s="1306">
        <f>+ROUND(+'TRIAL-BALANCE'!P187+'TRIAL-BALANCE'!W187+'TRIAL-BALANCE'!AD187,2)</f>
        <v>0</v>
      </c>
      <c r="Q19" s="607"/>
      <c r="R19" s="1304">
        <v>0</v>
      </c>
      <c r="S19" s="1306">
        <f>+ROUND(+'TRIAL-BALANCE'!T187+'TRIAL-BALANCE'!AA187+'TRIAL-BALANCE'!AH187,2)</f>
        <v>0</v>
      </c>
      <c r="T19" s="38"/>
      <c r="U19" s="43"/>
      <c r="V19" s="43"/>
      <c r="W19" s="43"/>
      <c r="X19" s="43"/>
    </row>
    <row r="20" spans="1:24" ht="17.25" customHeight="1" thickTop="1">
      <c r="A20" s="1317"/>
      <c r="B20" s="1318"/>
      <c r="C20" s="1319"/>
      <c r="D20" s="1320"/>
      <c r="E20" s="1320"/>
      <c r="F20" s="1320"/>
      <c r="G20" s="1320"/>
      <c r="H20" s="1320"/>
      <c r="I20" s="1320"/>
      <c r="J20" s="1320"/>
      <c r="K20" s="1876">
        <f>ROUND(+'Local-&amp;-SSF'!E6,0)</f>
        <v>0</v>
      </c>
      <c r="L20" s="1808" t="str">
        <f>+LEFT(H12,6)</f>
        <v>31 мар</v>
      </c>
      <c r="M20" s="51"/>
      <c r="N20" s="1809" t="str">
        <f>+IF($L$20="31 дек","IV",+IF($L$20="30 сеп","III",+IF($L$20="30 юни","II",+IF($L$20="31 мар","I",0))))</f>
        <v>I</v>
      </c>
      <c r="O20" s="1372" t="str">
        <f>+IF(P20=0,"O K",+IF(AND($N20="IV",$K20=1),"ГРЕШКА - НЕРАВНЕНИ СУМИ!","O K"))</f>
        <v>O K</v>
      </c>
      <c r="P20" s="1331">
        <f>+IF(+AND($N20="IV",$K20=1),+ROUND(+P14+P17-P19,2),0)</f>
        <v>0</v>
      </c>
      <c r="Q20" s="43"/>
      <c r="R20" s="1374" t="str">
        <f>+IF(S20=0,"O K",+IF(AND($N20="IV",$K20=1),"ГРЕШКА - НЕРАВНЕНИ СУМИ!","O K"))</f>
        <v>O K</v>
      </c>
      <c r="S20" s="1331">
        <f>+IF(+AND($N20="IV",$K20=1),+ROUND(+S14+S17-S19,2),0)</f>
        <v>0</v>
      </c>
      <c r="T20" s="38"/>
      <c r="U20" s="43"/>
      <c r="V20" s="43"/>
      <c r="W20" s="43"/>
      <c r="X20" s="43"/>
    </row>
    <row r="21" spans="1:24" ht="20.25" customHeight="1">
      <c r="A21" s="1299" t="s">
        <v>1229</v>
      </c>
      <c r="B21" s="1300"/>
      <c r="C21" s="1301"/>
      <c r="D21" s="1302"/>
      <c r="E21" s="1302"/>
      <c r="F21" s="1302"/>
      <c r="G21" s="1302"/>
      <c r="H21" s="1302"/>
      <c r="I21" s="1302"/>
      <c r="J21" s="1302"/>
      <c r="K21" s="1302"/>
      <c r="L21" s="1303"/>
      <c r="M21" s="51"/>
      <c r="N21" s="1313"/>
      <c r="O21" s="1314"/>
      <c r="P21" s="1315"/>
      <c r="Q21" s="43"/>
      <c r="R21" s="1322"/>
      <c r="S21" s="1323"/>
      <c r="T21" s="38"/>
      <c r="U21" s="43"/>
      <c r="V21" s="43"/>
      <c r="W21" s="43"/>
      <c r="X21" s="43"/>
    </row>
    <row r="22" spans="1:24" ht="15.75" customHeight="1">
      <c r="A22" s="1479"/>
      <c r="B22" s="1480" t="s">
        <v>1227</v>
      </c>
      <c r="C22" s="1479"/>
      <c r="D22" s="1481"/>
      <c r="E22" s="1481"/>
      <c r="F22" s="1481"/>
      <c r="G22" s="1481"/>
      <c r="H22" s="1481"/>
      <c r="I22" s="1481"/>
      <c r="J22" s="1481"/>
      <c r="K22" s="1481"/>
      <c r="L22" s="1482"/>
      <c r="M22" s="51"/>
      <c r="N22" s="1483">
        <v>4570</v>
      </c>
      <c r="O22" s="1486">
        <f>+ROUND(SUM(O23:O24),2)</f>
        <v>0</v>
      </c>
      <c r="P22" s="1487">
        <v>0</v>
      </c>
      <c r="Q22" s="43"/>
      <c r="R22" s="1486">
        <f>+ROUND(SUM(R23:R24),2)</f>
        <v>0</v>
      </c>
      <c r="S22" s="1487">
        <v>0</v>
      </c>
      <c r="T22" s="38"/>
      <c r="U22" s="43"/>
      <c r="V22" s="43"/>
      <c r="W22" s="43"/>
      <c r="X22" s="43"/>
    </row>
    <row r="23" spans="1:24" ht="15.75" customHeight="1">
      <c r="A23" s="85"/>
      <c r="B23" s="974" t="s">
        <v>1250</v>
      </c>
      <c r="C23" s="1294"/>
      <c r="D23" s="1291"/>
      <c r="E23" s="1291"/>
      <c r="F23" s="1291"/>
      <c r="G23" s="1291"/>
      <c r="H23" s="1291"/>
      <c r="I23" s="1291"/>
      <c r="J23" s="1291"/>
      <c r="K23" s="1291"/>
      <c r="L23" s="1292"/>
      <c r="M23" s="51"/>
      <c r="N23" s="112">
        <v>4571</v>
      </c>
      <c r="O23" s="835"/>
      <c r="P23" s="331">
        <v>0</v>
      </c>
      <c r="Q23" s="43"/>
      <c r="R23" s="835"/>
      <c r="S23" s="331">
        <v>0</v>
      </c>
      <c r="T23" s="38"/>
      <c r="U23" s="43"/>
      <c r="V23" s="43"/>
      <c r="W23" s="43"/>
      <c r="X23" s="43"/>
    </row>
    <row r="24" spans="1:24" ht="15.75" customHeight="1">
      <c r="A24" s="88"/>
      <c r="B24" s="1311" t="s">
        <v>1251</v>
      </c>
      <c r="C24" s="1044"/>
      <c r="D24" s="1195"/>
      <c r="E24" s="1195"/>
      <c r="F24" s="1195"/>
      <c r="G24" s="1195"/>
      <c r="H24" s="1195"/>
      <c r="I24" s="1195"/>
      <c r="J24" s="1195"/>
      <c r="K24" s="1195"/>
      <c r="L24" s="590"/>
      <c r="M24" s="51"/>
      <c r="N24" s="113">
        <v>4572</v>
      </c>
      <c r="O24" s="581"/>
      <c r="P24" s="30">
        <v>0</v>
      </c>
      <c r="Q24" s="43"/>
      <c r="R24" s="581"/>
      <c r="S24" s="30">
        <v>0</v>
      </c>
      <c r="T24" s="38"/>
      <c r="U24" s="43"/>
      <c r="V24" s="43"/>
      <c r="W24" s="43"/>
      <c r="X24" s="43"/>
    </row>
    <row r="25" spans="1:24" ht="15.75" customHeight="1">
      <c r="A25" s="1688"/>
      <c r="B25" s="1689" t="s">
        <v>1363</v>
      </c>
      <c r="C25" s="1688"/>
      <c r="D25" s="1690"/>
      <c r="E25" s="1690"/>
      <c r="F25" s="1690"/>
      <c r="G25" s="1690"/>
      <c r="H25" s="1690"/>
      <c r="I25" s="1690"/>
      <c r="J25" s="1690"/>
      <c r="K25" s="1690"/>
      <c r="L25" s="1691"/>
      <c r="M25" s="51"/>
      <c r="N25" s="1692">
        <v>4580</v>
      </c>
      <c r="O25" s="1695"/>
      <c r="P25" s="1696">
        <v>0</v>
      </c>
      <c r="Q25" s="43"/>
      <c r="R25" s="1695"/>
      <c r="S25" s="1696">
        <v>0</v>
      </c>
      <c r="T25" s="38"/>
      <c r="U25" s="43"/>
      <c r="V25" s="43"/>
      <c r="W25" s="43"/>
      <c r="X25" s="43"/>
    </row>
    <row r="26" spans="1:24" ht="7.5" customHeight="1">
      <c r="A26" s="1286"/>
      <c r="B26" s="1287"/>
      <c r="C26" s="1288"/>
      <c r="D26" s="1289"/>
      <c r="E26" s="1289"/>
      <c r="F26" s="1289"/>
      <c r="G26" s="1289"/>
      <c r="H26" s="1289"/>
      <c r="I26" s="1289"/>
      <c r="J26" s="1289"/>
      <c r="K26" s="1289"/>
      <c r="L26" s="1290"/>
      <c r="M26" s="51"/>
      <c r="N26" s="1293"/>
      <c r="O26" s="600"/>
      <c r="P26" s="599"/>
      <c r="Q26" s="43"/>
      <c r="R26" s="600"/>
      <c r="S26" s="599"/>
      <c r="T26" s="38"/>
      <c r="U26" s="43"/>
      <c r="V26" s="43"/>
      <c r="W26" s="43"/>
      <c r="X26" s="43"/>
    </row>
    <row r="27" spans="1:24" ht="17.25" customHeight="1" thickBot="1">
      <c r="A27" s="1307" t="s">
        <v>1226</v>
      </c>
      <c r="B27" s="1308"/>
      <c r="C27" s="1309"/>
      <c r="D27" s="1309"/>
      <c r="E27" s="1309"/>
      <c r="F27" s="1309"/>
      <c r="G27" s="1309"/>
      <c r="H27" s="1309"/>
      <c r="I27" s="1309"/>
      <c r="J27" s="1309"/>
      <c r="K27" s="1309"/>
      <c r="L27" s="1310"/>
      <c r="M27" s="49"/>
      <c r="N27" s="1330">
        <v>4545</v>
      </c>
      <c r="O27" s="1326">
        <f>+ROUND(+'TRIAL-BALANCE'!O188+'TRIAL-BALANCE'!V188+'TRIAL-BALANCE'!AC188,2)</f>
        <v>0</v>
      </c>
      <c r="P27" s="1327">
        <f>+ROUND(P22+P25,2)</f>
        <v>0</v>
      </c>
      <c r="Q27" s="607"/>
      <c r="R27" s="1326">
        <f>+ROUND(+'TRIAL-BALANCE'!S188+'TRIAL-BALANCE'!Z188+'TRIAL-BALANCE'!AG188,2)</f>
        <v>0</v>
      </c>
      <c r="S27" s="1327">
        <v>0</v>
      </c>
      <c r="T27" s="38"/>
      <c r="U27" s="43"/>
      <c r="V27" s="43"/>
      <c r="W27" s="43"/>
      <c r="X27" s="43"/>
    </row>
    <row r="28" spans="1:24" ht="17.25" customHeight="1" thickTop="1">
      <c r="A28" s="1317"/>
      <c r="B28" s="1318"/>
      <c r="C28" s="1319"/>
      <c r="D28" s="1320"/>
      <c r="E28" s="1320"/>
      <c r="F28" s="1320"/>
      <c r="G28" s="1320"/>
      <c r="H28" s="1320"/>
      <c r="I28" s="1320"/>
      <c r="J28" s="1320"/>
      <c r="K28" s="1320"/>
      <c r="L28" s="1321"/>
      <c r="M28" s="51"/>
      <c r="N28" s="1312"/>
      <c r="O28" s="1332">
        <f>+IF(+AND($N20="IV",$K20=1),+ROUND(+O22+O25-O27,2),0)</f>
        <v>0</v>
      </c>
      <c r="P28" s="1373" t="str">
        <f>+IF(O28=0,"O K",+IF(AND($N20="IV",$K20=1),"ГРЕШКА - НЕРАВНЕНИ СУМИ!","O K"))</f>
        <v>O K</v>
      </c>
      <c r="Q28" s="43"/>
      <c r="R28" s="1333">
        <f>+IF(+AND($N20="IV",$K20=1),+ROUND(+R22+R25-R27,2),0)</f>
        <v>0</v>
      </c>
      <c r="S28" s="1373" t="str">
        <f>+IF(R28=0,"O K",+IF(AND($N20="IV",$K20=1),"ГРЕШКА - НЕРАВНЕНИ СУМИ!","O K"))</f>
        <v>O K</v>
      </c>
      <c r="T28" s="38"/>
      <c r="U28" s="43"/>
      <c r="V28" s="43"/>
      <c r="W28" s="43"/>
      <c r="X28" s="43"/>
    </row>
    <row r="29" spans="1:24" ht="19.5" customHeight="1">
      <c r="A29" s="1299" t="s">
        <v>1231</v>
      </c>
      <c r="B29" s="1300"/>
      <c r="C29" s="1301"/>
      <c r="D29" s="1302"/>
      <c r="E29" s="1302"/>
      <c r="F29" s="1302"/>
      <c r="G29" s="1302"/>
      <c r="H29" s="1302"/>
      <c r="I29" s="1302"/>
      <c r="J29" s="1302"/>
      <c r="K29" s="1302"/>
      <c r="L29" s="1303"/>
      <c r="M29" s="51"/>
      <c r="N29" s="1316"/>
      <c r="O29" s="1314"/>
      <c r="P29" s="1315"/>
      <c r="Q29" s="43"/>
      <c r="R29" s="1322"/>
      <c r="S29" s="1323"/>
      <c r="T29" s="38"/>
      <c r="U29" s="43"/>
      <c r="V29" s="43"/>
      <c r="W29" s="43"/>
      <c r="X29" s="43"/>
    </row>
    <row r="30" spans="1:24" ht="15.75" customHeight="1">
      <c r="A30" s="1479"/>
      <c r="B30" s="1721" t="s">
        <v>1339</v>
      </c>
      <c r="C30" s="1479"/>
      <c r="D30" s="1721"/>
      <c r="E30" s="1721"/>
      <c r="F30" s="1721"/>
      <c r="G30" s="1721"/>
      <c r="H30" s="1721"/>
      <c r="I30" s="1721"/>
      <c r="J30" s="1721"/>
      <c r="K30" s="1721"/>
      <c r="L30" s="1722"/>
      <c r="M30" s="51"/>
      <c r="N30" s="1483">
        <v>4710</v>
      </c>
      <c r="O30" s="1488"/>
      <c r="P30" s="1487">
        <v>0</v>
      </c>
      <c r="Q30" s="43"/>
      <c r="R30" s="1488"/>
      <c r="S30" s="1487">
        <v>0</v>
      </c>
      <c r="T30" s="38"/>
      <c r="U30" s="43"/>
      <c r="V30" s="43"/>
      <c r="W30" s="43"/>
      <c r="X30" s="43"/>
    </row>
    <row r="31" spans="1:24" ht="15.75" customHeight="1">
      <c r="A31" s="1688"/>
      <c r="B31" s="1723" t="s">
        <v>1340</v>
      </c>
      <c r="C31" s="1688"/>
      <c r="D31" s="1723"/>
      <c r="E31" s="1723"/>
      <c r="F31" s="1723"/>
      <c r="G31" s="1723"/>
      <c r="H31" s="1723"/>
      <c r="I31" s="1723"/>
      <c r="J31" s="1723"/>
      <c r="K31" s="1723"/>
      <c r="L31" s="1724"/>
      <c r="M31" s="51"/>
      <c r="N31" s="1692">
        <v>4720</v>
      </c>
      <c r="O31" s="1695"/>
      <c r="P31" s="1696">
        <v>0</v>
      </c>
      <c r="Q31" s="43"/>
      <c r="R31" s="1695"/>
      <c r="S31" s="1696">
        <v>0</v>
      </c>
      <c r="T31" s="38"/>
      <c r="U31" s="43"/>
      <c r="V31" s="43"/>
      <c r="W31" s="43"/>
      <c r="X31" s="43"/>
    </row>
    <row r="32" spans="1:24" ht="7.5" customHeight="1">
      <c r="A32" s="1286"/>
      <c r="B32" s="1287"/>
      <c r="C32" s="1288"/>
      <c r="D32" s="1289"/>
      <c r="E32" s="1289"/>
      <c r="F32" s="1289"/>
      <c r="G32" s="1289"/>
      <c r="H32" s="1289"/>
      <c r="I32" s="1289"/>
      <c r="J32" s="1289"/>
      <c r="K32" s="1289"/>
      <c r="L32" s="1290"/>
      <c r="M32" s="51"/>
      <c r="N32" s="1293"/>
      <c r="O32" s="600"/>
      <c r="P32" s="599"/>
      <c r="Q32" s="43"/>
      <c r="R32" s="600"/>
      <c r="S32" s="599"/>
      <c r="T32" s="38"/>
      <c r="U32" s="43"/>
      <c r="V32" s="43"/>
      <c r="W32" s="43"/>
      <c r="X32" s="43"/>
    </row>
    <row r="33" spans="1:24" ht="16.5" thickBot="1">
      <c r="A33" s="1307" t="s">
        <v>1230</v>
      </c>
      <c r="B33" s="1308"/>
      <c r="C33" s="1309"/>
      <c r="D33" s="1309"/>
      <c r="E33" s="1309"/>
      <c r="F33" s="1309"/>
      <c r="G33" s="1309"/>
      <c r="H33" s="1309"/>
      <c r="I33" s="1309"/>
      <c r="J33" s="1309"/>
      <c r="K33" s="1309"/>
      <c r="L33" s="1310"/>
      <c r="M33" s="49"/>
      <c r="N33" s="1330">
        <v>4547</v>
      </c>
      <c r="O33" s="1326">
        <f>+ROUND(+'TRIAL-BALANCE'!O189+'TRIAL-BALANCE'!V188+'TRIAL-BALANCE'!AC189,2)</f>
        <v>0</v>
      </c>
      <c r="P33" s="1327">
        <f>+ROUND(P30+P31,2)</f>
        <v>0</v>
      </c>
      <c r="Q33" s="607"/>
      <c r="R33" s="1326">
        <f>+ROUND(+'TRIAL-BALANCE'!S189+'TRIAL-BALANCE'!Z188+'TRIAL-BALANCE'!AG189,2)</f>
        <v>0</v>
      </c>
      <c r="S33" s="1327">
        <v>0</v>
      </c>
      <c r="T33" s="38"/>
      <c r="U33" s="43"/>
      <c r="V33" s="43"/>
      <c r="W33" s="43"/>
      <c r="X33" s="43"/>
    </row>
    <row r="34" spans="1:24" ht="17.25" customHeight="1" thickTop="1">
      <c r="A34" s="1317"/>
      <c r="B34" s="1318"/>
      <c r="C34" s="1319"/>
      <c r="D34" s="1320"/>
      <c r="E34" s="1320"/>
      <c r="F34" s="1320"/>
      <c r="G34" s="1320"/>
      <c r="H34" s="1320"/>
      <c r="I34" s="1320"/>
      <c r="J34" s="1320"/>
      <c r="K34" s="1320"/>
      <c r="L34" s="1321"/>
      <c r="M34" s="51"/>
      <c r="N34" s="1312"/>
      <c r="O34" s="1332">
        <f>+IF(+AND($N20="IV",$K20=1),+ROUND(+O30+O31-O33,2),0)</f>
        <v>0</v>
      </c>
      <c r="P34" s="1373" t="str">
        <f>+IF(O34=0,"O K",+IF(AND($N20="IV",$K20=1),"ГРЕШКА - НЕРАВНЕНИ СУМИ!","O K"))</f>
        <v>O K</v>
      </c>
      <c r="Q34" s="43"/>
      <c r="R34" s="1333">
        <f>+IF(+AND($N20="IV",$K20=1),+ROUND(+R30+R31-R33,2),0)</f>
        <v>0</v>
      </c>
      <c r="S34" s="1373" t="str">
        <f>+IF(R34=0,"O K",+IF(AND($N20="IV",$K20=1),"ГРЕШКА - НЕРАВНЕНИ СУМИ!","O K"))</f>
        <v>O K</v>
      </c>
      <c r="T34" s="38"/>
      <c r="U34" s="43"/>
      <c r="V34" s="43"/>
      <c r="W34" s="43"/>
      <c r="X34" s="43"/>
    </row>
    <row r="35" spans="1:24" ht="20.25" customHeight="1">
      <c r="A35" s="1299" t="s">
        <v>1232</v>
      </c>
      <c r="B35" s="1300"/>
      <c r="C35" s="1301"/>
      <c r="D35" s="1302"/>
      <c r="E35" s="1302"/>
      <c r="F35" s="1302"/>
      <c r="G35" s="1302"/>
      <c r="H35" s="1302"/>
      <c r="I35" s="1302"/>
      <c r="J35" s="1302"/>
      <c r="K35" s="1302"/>
      <c r="L35" s="1303"/>
      <c r="M35" s="51"/>
      <c r="N35" s="1313"/>
      <c r="O35" s="1314"/>
      <c r="P35" s="1315"/>
      <c r="Q35" s="43"/>
      <c r="R35" s="1322"/>
      <c r="S35" s="1323"/>
      <c r="T35" s="38"/>
      <c r="U35" s="43"/>
      <c r="V35" s="43"/>
      <c r="W35" s="43"/>
      <c r="X35" s="43"/>
    </row>
    <row r="36" spans="1:24" ht="15.75" customHeight="1">
      <c r="A36" s="1479"/>
      <c r="B36" s="1480" t="s">
        <v>1345</v>
      </c>
      <c r="C36" s="1479"/>
      <c r="D36" s="1481"/>
      <c r="E36" s="1481"/>
      <c r="F36" s="1481"/>
      <c r="G36" s="1481"/>
      <c r="H36" s="1481"/>
      <c r="I36" s="1481"/>
      <c r="J36" s="1481"/>
      <c r="K36" s="1481"/>
      <c r="L36" s="1482"/>
      <c r="M36" s="51"/>
      <c r="N36" s="1483">
        <v>4810</v>
      </c>
      <c r="O36" s="1484">
        <v>0</v>
      </c>
      <c r="P36" s="1489"/>
      <c r="Q36" s="43"/>
      <c r="R36" s="1484">
        <v>0</v>
      </c>
      <c r="S36" s="1489"/>
      <c r="T36" s="38"/>
      <c r="U36" s="43"/>
      <c r="V36" s="43"/>
      <c r="W36" s="43"/>
      <c r="X36" s="43"/>
    </row>
    <row r="37" spans="1:24" ht="15.75" customHeight="1">
      <c r="A37" s="1688"/>
      <c r="B37" s="1689" t="s">
        <v>1346</v>
      </c>
      <c r="C37" s="1688"/>
      <c r="D37" s="1690"/>
      <c r="E37" s="1690"/>
      <c r="F37" s="1690"/>
      <c r="G37" s="1690"/>
      <c r="H37" s="1690"/>
      <c r="I37" s="1690"/>
      <c r="J37" s="1690"/>
      <c r="K37" s="1690"/>
      <c r="L37" s="1691"/>
      <c r="M37" s="51"/>
      <c r="N37" s="1295">
        <v>4820</v>
      </c>
      <c r="O37" s="1693">
        <v>0</v>
      </c>
      <c r="P37" s="1694"/>
      <c r="Q37" s="43"/>
      <c r="R37" s="1693">
        <v>0</v>
      </c>
      <c r="S37" s="1694"/>
      <c r="T37" s="38"/>
      <c r="U37" s="43"/>
      <c r="V37" s="43"/>
      <c r="W37" s="43"/>
      <c r="X37" s="43"/>
    </row>
    <row r="38" spans="1:24" ht="7.5" customHeight="1">
      <c r="A38" s="1286"/>
      <c r="B38" s="1287"/>
      <c r="C38" s="1288"/>
      <c r="D38" s="1289"/>
      <c r="E38" s="1289"/>
      <c r="F38" s="1289"/>
      <c r="G38" s="1289"/>
      <c r="H38" s="1289"/>
      <c r="I38" s="1289"/>
      <c r="J38" s="1289"/>
      <c r="K38" s="1289"/>
      <c r="L38" s="1290"/>
      <c r="M38" s="51"/>
      <c r="N38" s="1293"/>
      <c r="O38" s="600"/>
      <c r="P38" s="599"/>
      <c r="Q38" s="43"/>
      <c r="R38" s="600"/>
      <c r="S38" s="599"/>
      <c r="T38" s="38"/>
      <c r="U38" s="43"/>
      <c r="V38" s="43"/>
      <c r="W38" s="43"/>
      <c r="X38" s="43"/>
    </row>
    <row r="39" spans="1:24" ht="17.25" customHeight="1" thickBot="1">
      <c r="A39" s="1307" t="s">
        <v>1233</v>
      </c>
      <c r="B39" s="1308"/>
      <c r="C39" s="1309"/>
      <c r="D39" s="1309"/>
      <c r="E39" s="1309"/>
      <c r="F39" s="1309"/>
      <c r="G39" s="1309"/>
      <c r="H39" s="1309"/>
      <c r="I39" s="1309"/>
      <c r="J39" s="1309"/>
      <c r="K39" s="1309"/>
      <c r="L39" s="1310"/>
      <c r="M39" s="49"/>
      <c r="N39" s="1329">
        <v>4548</v>
      </c>
      <c r="O39" s="1304">
        <v>0</v>
      </c>
      <c r="P39" s="1306">
        <f>+ROUND(+'TRIAL-BALANCE'!P190+'TRIAL-BALANCE'!W190+'TRIAL-BALANCE'!AD190,2)</f>
        <v>0</v>
      </c>
      <c r="Q39" s="607"/>
      <c r="R39" s="1304">
        <v>0</v>
      </c>
      <c r="S39" s="1306">
        <f>+ROUND(+'TRIAL-BALANCE'!T190+'TRIAL-BALANCE'!AA190+'TRIAL-BALANCE'!AH190,2)</f>
        <v>0</v>
      </c>
      <c r="T39" s="38"/>
      <c r="U39" s="43"/>
      <c r="V39" s="43"/>
      <c r="W39" s="43"/>
      <c r="X39" s="43"/>
    </row>
    <row r="40" spans="1:24" ht="17.25" customHeight="1" thickTop="1">
      <c r="A40" s="1317"/>
      <c r="B40" s="1318"/>
      <c r="C40" s="1319"/>
      <c r="D40" s="1320"/>
      <c r="E40" s="1320"/>
      <c r="F40" s="1320"/>
      <c r="G40" s="1320"/>
      <c r="H40" s="1320"/>
      <c r="I40" s="1320"/>
      <c r="J40" s="1320"/>
      <c r="K40" s="1320"/>
      <c r="L40" s="1321"/>
      <c r="M40" s="51"/>
      <c r="N40" s="1312"/>
      <c r="O40" s="1372" t="str">
        <f>+IF(P40=0,"O K",+IF(AND($N20="IV",$K20=1),"ГРЕШКА - НЕРАВНЕНИ СУМИ!","O K"))</f>
        <v>O K</v>
      </c>
      <c r="P40" s="1331">
        <f>+IF(+AND($N20="IV",$K20=1),+ROUND(+P36+P37-P39,2),0)</f>
        <v>0</v>
      </c>
      <c r="Q40" s="43"/>
      <c r="R40" s="1374" t="str">
        <f>+IF(S40=0,"O K",+IF(AND($N20="IV",$K20=1),"ГРЕШКА - НЕРАВНЕНИ СУМИ!","O K"))</f>
        <v>O K</v>
      </c>
      <c r="S40" s="1331">
        <f>+IF(+AND($N20="IV",$K20=1),+ROUND(+S36+S37-S39,2),0)</f>
        <v>0</v>
      </c>
      <c r="T40" s="38"/>
      <c r="U40" s="43"/>
      <c r="V40" s="43"/>
      <c r="W40" s="43"/>
      <c r="X40" s="43"/>
    </row>
    <row r="41" spans="1:24" ht="19.5" customHeight="1">
      <c r="A41" s="1299" t="s">
        <v>1234</v>
      </c>
      <c r="B41" s="1300"/>
      <c r="C41" s="1301"/>
      <c r="D41" s="1302"/>
      <c r="E41" s="1302"/>
      <c r="F41" s="1302"/>
      <c r="G41" s="1302"/>
      <c r="H41" s="1302"/>
      <c r="I41" s="1302"/>
      <c r="J41" s="1302"/>
      <c r="K41" s="1302"/>
      <c r="L41" s="1303"/>
      <c r="M41" s="51"/>
      <c r="N41" s="1316"/>
      <c r="O41" s="1314"/>
      <c r="P41" s="1315"/>
      <c r="Q41" s="43"/>
      <c r="R41" s="1322"/>
      <c r="S41" s="1323"/>
      <c r="T41" s="38"/>
      <c r="U41" s="43"/>
      <c r="V41" s="43"/>
      <c r="W41" s="43"/>
      <c r="X41" s="43"/>
    </row>
    <row r="42" spans="1:24" ht="15.75" customHeight="1">
      <c r="A42" s="1479"/>
      <c r="B42" s="1721" t="s">
        <v>1454</v>
      </c>
      <c r="C42" s="1479"/>
      <c r="D42" s="1721"/>
      <c r="E42" s="1721"/>
      <c r="F42" s="1721"/>
      <c r="G42" s="1721"/>
      <c r="H42" s="1721"/>
      <c r="I42" s="1721"/>
      <c r="J42" s="1721"/>
      <c r="K42" s="1721"/>
      <c r="L42" s="1722"/>
      <c r="M42" s="51"/>
      <c r="N42" s="1483">
        <v>4310</v>
      </c>
      <c r="O42" s="1486">
        <f>+ROUND(SUM(O43:O44),2)</f>
        <v>0</v>
      </c>
      <c r="P42" s="1487">
        <v>0</v>
      </c>
      <c r="Q42" s="43"/>
      <c r="R42" s="1486">
        <f>+ROUND(SUM(R43:R44),2)</f>
        <v>0</v>
      </c>
      <c r="S42" s="1487">
        <v>0</v>
      </c>
      <c r="T42" s="38"/>
      <c r="U42" s="43"/>
      <c r="V42" s="43"/>
      <c r="W42" s="43"/>
      <c r="X42" s="43"/>
    </row>
    <row r="43" spans="1:24" ht="15.75" customHeight="1">
      <c r="A43" s="85"/>
      <c r="B43" s="974" t="s">
        <v>1453</v>
      </c>
      <c r="C43" s="1294"/>
      <c r="D43" s="1291"/>
      <c r="E43" s="1291"/>
      <c r="F43" s="1291"/>
      <c r="G43" s="1291"/>
      <c r="H43" s="1291"/>
      <c r="I43" s="1291"/>
      <c r="J43" s="1291"/>
      <c r="K43" s="1291"/>
      <c r="L43" s="1292"/>
      <c r="M43" s="51"/>
      <c r="N43" s="112" t="s">
        <v>2047</v>
      </c>
      <c r="O43" s="835"/>
      <c r="P43" s="331">
        <v>0</v>
      </c>
      <c r="Q43" s="43"/>
      <c r="R43" s="835"/>
      <c r="S43" s="331">
        <v>0</v>
      </c>
      <c r="T43" s="38"/>
      <c r="U43" s="43"/>
      <c r="V43" s="43"/>
      <c r="W43" s="43"/>
      <c r="X43" s="43"/>
    </row>
    <row r="44" spans="1:24" ht="15.75" customHeight="1">
      <c r="A44" s="88"/>
      <c r="B44" s="975" t="s">
        <v>1455</v>
      </c>
      <c r="C44" s="1044"/>
      <c r="D44" s="1195"/>
      <c r="E44" s="1195"/>
      <c r="F44" s="1195"/>
      <c r="G44" s="1195"/>
      <c r="H44" s="1195"/>
      <c r="I44" s="1195"/>
      <c r="J44" s="1195"/>
      <c r="K44" s="1195"/>
      <c r="L44" s="590"/>
      <c r="M44" s="51"/>
      <c r="N44" s="113" t="s">
        <v>2048</v>
      </c>
      <c r="O44" s="581"/>
      <c r="P44" s="30">
        <v>0</v>
      </c>
      <c r="Q44" s="43"/>
      <c r="R44" s="581"/>
      <c r="S44" s="30">
        <v>0</v>
      </c>
      <c r="T44" s="38"/>
      <c r="U44" s="43"/>
      <c r="V44" s="43"/>
      <c r="W44" s="43"/>
      <c r="X44" s="43"/>
    </row>
    <row r="45" spans="1:24" ht="15.75" customHeight="1">
      <c r="A45" s="1688"/>
      <c r="B45" s="1723" t="s">
        <v>1341</v>
      </c>
      <c r="C45" s="1688"/>
      <c r="D45" s="1723"/>
      <c r="E45" s="1723"/>
      <c r="F45" s="1723"/>
      <c r="G45" s="1723"/>
      <c r="H45" s="1723"/>
      <c r="I45" s="1723"/>
      <c r="J45" s="1723"/>
      <c r="K45" s="1723"/>
      <c r="L45" s="1724"/>
      <c r="M45" s="51"/>
      <c r="N45" s="1692">
        <v>4320</v>
      </c>
      <c r="O45" s="1877">
        <f>+ROUND(SUM(O46:O47),2)</f>
        <v>0</v>
      </c>
      <c r="P45" s="1696">
        <v>0</v>
      </c>
      <c r="Q45" s="43"/>
      <c r="R45" s="1877">
        <f>+ROUND(SUM(R46:R47),2)</f>
        <v>0</v>
      </c>
      <c r="S45" s="1696">
        <v>0</v>
      </c>
      <c r="T45" s="38"/>
      <c r="U45" s="43"/>
      <c r="V45" s="43"/>
      <c r="W45" s="43"/>
      <c r="X45" s="43"/>
    </row>
    <row r="46" spans="1:24" ht="15.75" customHeight="1">
      <c r="A46" s="85"/>
      <c r="B46" s="979" t="s">
        <v>1456</v>
      </c>
      <c r="C46" s="1779"/>
      <c r="D46" s="1780"/>
      <c r="E46" s="1780"/>
      <c r="F46" s="1780"/>
      <c r="G46" s="1780"/>
      <c r="H46" s="1780"/>
      <c r="I46" s="1780"/>
      <c r="J46" s="1780"/>
      <c r="K46" s="1780"/>
      <c r="L46" s="1781"/>
      <c r="M46" s="51"/>
      <c r="N46" s="1734" t="s">
        <v>2049</v>
      </c>
      <c r="O46" s="1785"/>
      <c r="P46" s="1786">
        <v>0</v>
      </c>
      <c r="Q46" s="43"/>
      <c r="R46" s="1785"/>
      <c r="S46" s="1786">
        <v>0</v>
      </c>
      <c r="T46" s="38"/>
      <c r="U46" s="43"/>
      <c r="V46" s="43"/>
      <c r="W46" s="43"/>
      <c r="X46" s="43"/>
    </row>
    <row r="47" spans="1:24" ht="15.75" customHeight="1">
      <c r="A47" s="88"/>
      <c r="B47" s="983" t="s">
        <v>1457</v>
      </c>
      <c r="C47" s="1782"/>
      <c r="D47" s="1783"/>
      <c r="E47" s="1783"/>
      <c r="F47" s="1783"/>
      <c r="G47" s="1783"/>
      <c r="H47" s="1783"/>
      <c r="I47" s="1783"/>
      <c r="J47" s="1783"/>
      <c r="K47" s="1783"/>
      <c r="L47" s="1784"/>
      <c r="M47" s="51"/>
      <c r="N47" s="1735" t="s">
        <v>2050</v>
      </c>
      <c r="O47" s="1787"/>
      <c r="P47" s="1788">
        <v>0</v>
      </c>
      <c r="Q47" s="43"/>
      <c r="R47" s="1787"/>
      <c r="S47" s="1788">
        <v>0</v>
      </c>
      <c r="T47" s="38"/>
      <c r="U47" s="43"/>
      <c r="V47" s="43"/>
      <c r="W47" s="43"/>
      <c r="X47" s="43"/>
    </row>
    <row r="48" spans="1:24" ht="7.5" customHeight="1">
      <c r="A48" s="1286"/>
      <c r="B48" s="1300"/>
      <c r="C48" s="1301"/>
      <c r="D48" s="1302"/>
      <c r="E48" s="1302"/>
      <c r="F48" s="1302"/>
      <c r="G48" s="1302"/>
      <c r="H48" s="1302"/>
      <c r="I48" s="1302"/>
      <c r="J48" s="1302"/>
      <c r="K48" s="1302"/>
      <c r="L48" s="1303"/>
      <c r="M48" s="51"/>
      <c r="N48" s="1736"/>
      <c r="O48" s="1777"/>
      <c r="P48" s="1778"/>
      <c r="Q48" s="43"/>
      <c r="R48" s="1777"/>
      <c r="S48" s="1778"/>
      <c r="T48" s="38"/>
      <c r="U48" s="43"/>
      <c r="V48" s="43"/>
      <c r="W48" s="43"/>
      <c r="X48" s="43"/>
    </row>
    <row r="49" spans="1:24" ht="16.5" thickBot="1">
      <c r="A49" s="1307" t="s">
        <v>1235</v>
      </c>
      <c r="B49" s="1308"/>
      <c r="C49" s="1309"/>
      <c r="D49" s="1309"/>
      <c r="E49" s="1309"/>
      <c r="F49" s="1309"/>
      <c r="G49" s="1309"/>
      <c r="H49" s="1309"/>
      <c r="I49" s="1309"/>
      <c r="J49" s="1309"/>
      <c r="K49" s="1309"/>
      <c r="L49" s="1310"/>
      <c r="M49" s="49"/>
      <c r="N49" s="1330">
        <v>4309</v>
      </c>
      <c r="O49" s="1326">
        <f>+ROUND(SUM(O50:O51),2)</f>
        <v>0</v>
      </c>
      <c r="P49" s="1327">
        <f>+ROUND(P42+P45,2)</f>
        <v>0</v>
      </c>
      <c r="Q49" s="607"/>
      <c r="R49" s="1326">
        <f>+ROUND(SUM(R50:R51),2)</f>
        <v>0</v>
      </c>
      <c r="S49" s="1327">
        <v>0</v>
      </c>
      <c r="T49" s="38"/>
      <c r="U49" s="43"/>
      <c r="V49" s="43"/>
      <c r="W49" s="43"/>
      <c r="X49" s="43"/>
    </row>
    <row r="50" spans="1:24" ht="15.75" customHeight="1" thickTop="1">
      <c r="A50" s="1317"/>
      <c r="B50" s="1798"/>
      <c r="C50" s="1319"/>
      <c r="D50" s="1799"/>
      <c r="E50" s="1796" t="s">
        <v>1458</v>
      </c>
      <c r="F50" s="1794"/>
      <c r="G50" s="1794"/>
      <c r="H50" s="1794"/>
      <c r="I50" s="1794"/>
      <c r="J50" s="1794"/>
      <c r="K50" s="1794"/>
      <c r="L50" s="1795"/>
      <c r="M50" s="51"/>
      <c r="N50" s="112">
        <v>4301</v>
      </c>
      <c r="O50" s="1878">
        <f>+ROUND(+'TRIAL-BALANCE'!O148+'TRIAL-BALANCE'!V148+'TRIAL-BALANCE'!AC148,2)</f>
        <v>0</v>
      </c>
      <c r="P50" s="1789">
        <f>+IF(+ROUND(O50,2)=ROUND(O43+O46,2),0,+IF(AND($N20="IV",$K20=1),"ГРЕШКА - НЕРАВНЕНИ СУМИ!",0))</f>
        <v>0</v>
      </c>
      <c r="Q50" s="43"/>
      <c r="R50" s="1878">
        <f>+ROUND(+'TRIAL-BALANCE'!S148+'TRIAL-BALANCE'!Z148+'TRIAL-BALANCE'!AG148,2)</f>
        <v>0</v>
      </c>
      <c r="S50" s="1789">
        <f>+IF(+ROUND(R50,2)=ROUND(R43+R46,2),0,+IF(AND($N20="IV",$K20=1),"ГРЕШКА - НЕРАВНЕНИ СУМИ!",0))</f>
        <v>0</v>
      </c>
      <c r="T50" s="38"/>
      <c r="U50" s="43"/>
      <c r="V50" s="43"/>
      <c r="W50" s="43"/>
      <c r="X50" s="43"/>
    </row>
    <row r="51" spans="1:24" ht="15.75" customHeight="1">
      <c r="A51" s="1774"/>
      <c r="B51" s="1800"/>
      <c r="C51" s="1775"/>
      <c r="D51" s="1801"/>
      <c r="E51" s="1797" t="s">
        <v>1459</v>
      </c>
      <c r="F51" s="1783"/>
      <c r="G51" s="1783"/>
      <c r="H51" s="1783"/>
      <c r="I51" s="1783"/>
      <c r="J51" s="1783"/>
      <c r="K51" s="1783"/>
      <c r="L51" s="1784"/>
      <c r="M51" s="51"/>
      <c r="N51" s="1735">
        <v>4303</v>
      </c>
      <c r="O51" s="1879">
        <f>+ROUND(+'TRIAL-BALANCE'!O149+'TRIAL-BALANCE'!V149+'TRIAL-BALANCE'!AC149,2)</f>
        <v>0</v>
      </c>
      <c r="P51" s="1793">
        <f>+IF(+ROUND(O51,2)=ROUND(O44+O47,2),0,+IF(AND($N20="IV",$K20=1),"ГРЕШКА - НЕРАВНЕНИ СУМИ!",0))</f>
        <v>0</v>
      </c>
      <c r="Q51" s="43"/>
      <c r="R51" s="1879">
        <f>+ROUND(+'TRIAL-BALANCE'!S149+'TRIAL-BALANCE'!Z149+'TRIAL-BALANCE'!AG149,2)</f>
        <v>0</v>
      </c>
      <c r="S51" s="1793">
        <f>+IF(+ROUND(R51,2)=ROUND(R44+R47,2),0,+IF(AND($N20="IV",$K20=1),"ГРЕШКА - НЕРАВНЕНИ СУМИ!",0))</f>
        <v>0</v>
      </c>
      <c r="T51" s="38"/>
      <c r="U51" s="43"/>
      <c r="V51" s="43"/>
      <c r="W51" s="43"/>
      <c r="X51" s="43"/>
    </row>
    <row r="52" spans="1:24" ht="17.25" customHeight="1">
      <c r="A52" s="1774"/>
      <c r="B52" s="1300"/>
      <c r="C52" s="1301"/>
      <c r="D52" s="1302"/>
      <c r="E52" s="1302"/>
      <c r="F52" s="1302"/>
      <c r="G52" s="1302"/>
      <c r="H52" s="1302"/>
      <c r="I52" s="1302"/>
      <c r="J52" s="1302"/>
      <c r="K52" s="1302"/>
      <c r="L52" s="1303"/>
      <c r="M52" s="51"/>
      <c r="N52" s="1313"/>
      <c r="O52" s="1792">
        <f>+IF(+AND($N20="IV",$K20=1),+ROUND(+O42+O45-O49,2),0)</f>
        <v>0</v>
      </c>
      <c r="P52" s="1791" t="str">
        <f>+IF(O52=0,"O K",+IF(AND($N20="IV",$K20=1),"ГРЕШКА - НЕРАВНЕНИ СУМИ!","O K"))</f>
        <v>O K</v>
      </c>
      <c r="Q52" s="43"/>
      <c r="R52" s="1790">
        <f>+IF(+AND($N20="IV",$K20=1),+ROUND(+R42+R45-R49,2),0)</f>
        <v>0</v>
      </c>
      <c r="S52" s="1791" t="str">
        <f>+IF(R52=0,"O K",+IF(AND($N20="IV",$K20=1),"ГРЕШКА - НЕРАВНЕНИ СУМИ!","O K"))</f>
        <v>O K</v>
      </c>
      <c r="T52" s="38"/>
      <c r="U52" s="43"/>
      <c r="V52" s="43"/>
      <c r="W52" s="43"/>
      <c r="X52" s="43"/>
    </row>
    <row r="53" spans="1:24" ht="20.25" customHeight="1">
      <c r="A53" s="1299" t="s">
        <v>1236</v>
      </c>
      <c r="B53" s="1300"/>
      <c r="C53" s="1301"/>
      <c r="D53" s="1302"/>
      <c r="E53" s="1302"/>
      <c r="F53" s="1302"/>
      <c r="G53" s="1302"/>
      <c r="H53" s="1302"/>
      <c r="I53" s="1302"/>
      <c r="J53" s="1302"/>
      <c r="K53" s="1302"/>
      <c r="L53" s="1303"/>
      <c r="M53" s="51"/>
      <c r="N53" s="1313"/>
      <c r="O53" s="1314"/>
      <c r="P53" s="1315"/>
      <c r="Q53" s="43"/>
      <c r="R53" s="1322"/>
      <c r="S53" s="1323"/>
      <c r="T53" s="38"/>
      <c r="U53" s="43"/>
      <c r="V53" s="43"/>
      <c r="W53" s="43"/>
      <c r="X53" s="43"/>
    </row>
    <row r="54" spans="1:24" ht="15.75" customHeight="1">
      <c r="A54" s="1479"/>
      <c r="B54" s="1721" t="s">
        <v>1342</v>
      </c>
      <c r="C54" s="1479"/>
      <c r="D54" s="1721"/>
      <c r="E54" s="1721"/>
      <c r="F54" s="1721"/>
      <c r="G54" s="1721"/>
      <c r="H54" s="1721"/>
      <c r="I54" s="1721"/>
      <c r="J54" s="1721"/>
      <c r="K54" s="1721"/>
      <c r="L54" s="1722"/>
      <c r="M54" s="51"/>
      <c r="N54" s="1483">
        <v>4317</v>
      </c>
      <c r="O54" s="1484">
        <v>0</v>
      </c>
      <c r="P54" s="1485">
        <f>+ROUND(SUM(P55:P56),2)</f>
        <v>0</v>
      </c>
      <c r="Q54" s="43"/>
      <c r="R54" s="1484">
        <v>0</v>
      </c>
      <c r="S54" s="1485">
        <f>+ROUND(SUM(S55:S56),2)</f>
        <v>0</v>
      </c>
      <c r="T54" s="38"/>
      <c r="U54" s="43"/>
      <c r="V54" s="43"/>
      <c r="W54" s="43"/>
      <c r="X54" s="43"/>
    </row>
    <row r="55" spans="1:24" ht="15.75" customHeight="1">
      <c r="A55" s="85"/>
      <c r="B55" s="974" t="s">
        <v>2057</v>
      </c>
      <c r="C55" s="972"/>
      <c r="D55" s="1715"/>
      <c r="E55" s="1715"/>
      <c r="F55" s="1715"/>
      <c r="G55" s="1715"/>
      <c r="H55" s="1715"/>
      <c r="I55" s="1715"/>
      <c r="J55" s="1715"/>
      <c r="K55" s="1715"/>
      <c r="L55" s="1716"/>
      <c r="M55" s="51"/>
      <c r="N55" s="112" t="s">
        <v>2051</v>
      </c>
      <c r="O55" s="328">
        <v>0</v>
      </c>
      <c r="P55" s="1298"/>
      <c r="Q55" s="43"/>
      <c r="R55" s="328">
        <v>0</v>
      </c>
      <c r="S55" s="1298"/>
      <c r="T55" s="38"/>
      <c r="U55" s="43"/>
      <c r="V55" s="43"/>
      <c r="W55" s="43"/>
      <c r="X55" s="43"/>
    </row>
    <row r="56" spans="1:24" ht="15.75" customHeight="1">
      <c r="A56" s="88"/>
      <c r="B56" s="974" t="s">
        <v>2058</v>
      </c>
      <c r="C56" s="1717"/>
      <c r="D56" s="1717"/>
      <c r="E56" s="1717"/>
      <c r="F56" s="1717"/>
      <c r="G56" s="1717"/>
      <c r="H56" s="1717"/>
      <c r="I56" s="1717"/>
      <c r="J56" s="1717"/>
      <c r="K56" s="1717"/>
      <c r="L56" s="1718"/>
      <c r="M56" s="51"/>
      <c r="N56" s="113" t="s">
        <v>2052</v>
      </c>
      <c r="O56" s="8">
        <v>0</v>
      </c>
      <c r="P56" s="891"/>
      <c r="Q56" s="43"/>
      <c r="R56" s="8">
        <v>0</v>
      </c>
      <c r="S56" s="891"/>
      <c r="T56" s="38"/>
      <c r="U56" s="43"/>
      <c r="V56" s="43"/>
      <c r="W56" s="43"/>
      <c r="X56" s="43"/>
    </row>
    <row r="57" spans="1:24" ht="15.75" customHeight="1">
      <c r="A57" s="1688"/>
      <c r="B57" s="1723" t="s">
        <v>1343</v>
      </c>
      <c r="C57" s="1688"/>
      <c r="D57" s="1723"/>
      <c r="E57" s="1723"/>
      <c r="F57" s="1723"/>
      <c r="G57" s="1723"/>
      <c r="H57" s="1723"/>
      <c r="I57" s="1723"/>
      <c r="J57" s="1723"/>
      <c r="K57" s="1723"/>
      <c r="L57" s="1724"/>
      <c r="M57" s="51"/>
      <c r="N57" s="1692">
        <v>4318</v>
      </c>
      <c r="O57" s="1693">
        <v>0</v>
      </c>
      <c r="P57" s="2161">
        <f>+ROUND(SUM(P58:P59),2)</f>
        <v>0</v>
      </c>
      <c r="Q57" s="43"/>
      <c r="R57" s="1693">
        <v>0</v>
      </c>
      <c r="S57" s="2161">
        <f>+ROUND(SUM(S58:S59),2)</f>
        <v>0</v>
      </c>
      <c r="T57" s="38"/>
      <c r="U57" s="43"/>
      <c r="V57" s="43"/>
      <c r="W57" s="43"/>
      <c r="X57" s="43"/>
    </row>
    <row r="58" spans="1:24" ht="15.75" customHeight="1">
      <c r="A58" s="85"/>
      <c r="B58" s="974" t="s">
        <v>2055</v>
      </c>
      <c r="C58" s="972"/>
      <c r="D58" s="1715"/>
      <c r="E58" s="1715"/>
      <c r="F58" s="1715"/>
      <c r="G58" s="1715"/>
      <c r="H58" s="1715"/>
      <c r="I58" s="1715"/>
      <c r="J58" s="1715"/>
      <c r="K58" s="1715"/>
      <c r="L58" s="1716"/>
      <c r="M58" s="51"/>
      <c r="N58" s="112" t="s">
        <v>2053</v>
      </c>
      <c r="O58" s="328">
        <v>0</v>
      </c>
      <c r="P58" s="1298"/>
      <c r="Q58" s="43"/>
      <c r="R58" s="328">
        <v>0</v>
      </c>
      <c r="S58" s="1298"/>
      <c r="T58" s="38"/>
      <c r="U58" s="43"/>
      <c r="V58" s="43"/>
      <c r="W58" s="43"/>
      <c r="X58" s="43"/>
    </row>
    <row r="59" spans="1:24" ht="15.75" customHeight="1">
      <c r="A59" s="612"/>
      <c r="B59" s="983" t="s">
        <v>2056</v>
      </c>
      <c r="C59" s="2163"/>
      <c r="D59" s="2163"/>
      <c r="E59" s="2163"/>
      <c r="F59" s="2163"/>
      <c r="G59" s="2163"/>
      <c r="H59" s="2163"/>
      <c r="I59" s="2163"/>
      <c r="J59" s="2163"/>
      <c r="K59" s="2163"/>
      <c r="L59" s="2164"/>
      <c r="M59" s="51"/>
      <c r="N59" s="113" t="s">
        <v>2054</v>
      </c>
      <c r="O59" s="2160">
        <v>0</v>
      </c>
      <c r="P59" s="2162"/>
      <c r="Q59" s="43"/>
      <c r="R59" s="2160">
        <v>0</v>
      </c>
      <c r="S59" s="2162"/>
      <c r="T59" s="38"/>
      <c r="U59" s="43"/>
      <c r="V59" s="43"/>
      <c r="W59" s="43"/>
      <c r="X59" s="43"/>
    </row>
    <row r="60" spans="1:24" ht="7.5" customHeight="1">
      <c r="A60" s="1774"/>
      <c r="B60" s="1300"/>
      <c r="C60" s="1301"/>
      <c r="D60" s="1302"/>
      <c r="E60" s="1302"/>
      <c r="F60" s="1302"/>
      <c r="G60" s="1302"/>
      <c r="H60" s="1302"/>
      <c r="I60" s="1302"/>
      <c r="J60" s="1302"/>
      <c r="K60" s="1302"/>
      <c r="L60" s="1303"/>
      <c r="M60" s="51"/>
      <c r="N60" s="1293"/>
      <c r="O60" s="1777"/>
      <c r="P60" s="1778"/>
      <c r="Q60" s="43"/>
      <c r="R60" s="1777"/>
      <c r="S60" s="1778"/>
      <c r="T60" s="38"/>
      <c r="U60" s="43"/>
      <c r="V60" s="43"/>
      <c r="W60" s="43"/>
      <c r="X60" s="43"/>
    </row>
    <row r="61" spans="1:24" ht="17.25" customHeight="1" thickBot="1">
      <c r="A61" s="1307" t="s">
        <v>1237</v>
      </c>
      <c r="B61" s="1308"/>
      <c r="C61" s="1309"/>
      <c r="D61" s="1309"/>
      <c r="E61" s="1309"/>
      <c r="F61" s="1309"/>
      <c r="G61" s="1309"/>
      <c r="H61" s="1309"/>
      <c r="I61" s="1309"/>
      <c r="J61" s="1309"/>
      <c r="K61" s="1309"/>
      <c r="L61" s="1310"/>
      <c r="M61" s="49"/>
      <c r="N61" s="1329">
        <v>4319</v>
      </c>
      <c r="O61" s="1304">
        <v>0</v>
      </c>
      <c r="P61" s="1306">
        <f>+ROUND(+SUM('TRIAL-BALANCE'!P150:P151)+SUM('TRIAL-BALANCE'!W150:W151)+SUM('TRIAL-BALANCE'!AD150:AD151),2)</f>
        <v>0</v>
      </c>
      <c r="Q61" s="607"/>
      <c r="R61" s="1304">
        <v>0</v>
      </c>
      <c r="S61" s="1306">
        <f>+ROUND(+SUM('TRIAL-BALANCE'!T150:T151)+SUM('TRIAL-BALANCE'!AA150:AA151)+SUM('TRIAL-BALANCE'!AH150:AH151),2)</f>
        <v>0</v>
      </c>
      <c r="T61" s="38"/>
      <c r="U61" s="43"/>
      <c r="V61" s="43"/>
      <c r="W61" s="43"/>
      <c r="X61" s="43"/>
    </row>
    <row r="62" spans="1:24" ht="15.75" customHeight="1" thickTop="1">
      <c r="A62" s="1317"/>
      <c r="B62" s="1798"/>
      <c r="C62" s="1319"/>
      <c r="D62" s="1799"/>
      <c r="E62" s="1796" t="s">
        <v>2059</v>
      </c>
      <c r="F62" s="1794"/>
      <c r="G62" s="1794"/>
      <c r="H62" s="1794"/>
      <c r="I62" s="1794"/>
      <c r="J62" s="1794"/>
      <c r="K62" s="1794"/>
      <c r="L62" s="1795"/>
      <c r="M62" s="51"/>
      <c r="N62" s="112">
        <v>4311</v>
      </c>
      <c r="O62" s="2158">
        <v>0</v>
      </c>
      <c r="P62" s="2159">
        <f>+ROUND(+'TRIAL-BALANCE'!P150+'TRIAL-BALANCE'!W150+'TRIAL-BALANCE'!AD150,2)</f>
        <v>0</v>
      </c>
      <c r="Q62" s="43"/>
      <c r="R62" s="2158">
        <v>0</v>
      </c>
      <c r="S62" s="2159">
        <f>+ROUND(+'TRIAL-BALANCE'!T150+'TRIAL-BALANCE'!AA150+'TRIAL-BALANCE'!AH150,2)</f>
        <v>0</v>
      </c>
      <c r="T62" s="38"/>
      <c r="U62" s="43"/>
      <c r="V62" s="43"/>
      <c r="W62" s="43"/>
      <c r="X62" s="43"/>
    </row>
    <row r="63" spans="1:24" ht="15.75" customHeight="1">
      <c r="A63" s="1774"/>
      <c r="B63" s="1800"/>
      <c r="C63" s="1775"/>
      <c r="D63" s="1801"/>
      <c r="E63" s="1797" t="s">
        <v>2060</v>
      </c>
      <c r="F63" s="1783"/>
      <c r="G63" s="1783"/>
      <c r="H63" s="1783"/>
      <c r="I63" s="1783"/>
      <c r="J63" s="1783"/>
      <c r="K63" s="1783"/>
      <c r="L63" s="1784"/>
      <c r="M63" s="51"/>
      <c r="N63" s="1735">
        <v>4313</v>
      </c>
      <c r="O63" s="2160">
        <v>0</v>
      </c>
      <c r="P63" s="2157">
        <f>+ROUND(+'TRIAL-BALANCE'!P151+'TRIAL-BALANCE'!W151+'TRIAL-BALANCE'!AD151,2)</f>
        <v>0</v>
      </c>
      <c r="Q63" s="43"/>
      <c r="R63" s="2160">
        <v>0</v>
      </c>
      <c r="S63" s="2157">
        <f>+ROUND(+'TRIAL-BALANCE'!T151+'TRIAL-BALANCE'!AA151+'TRIAL-BALANCE'!AH151,2)</f>
        <v>0</v>
      </c>
      <c r="T63" s="38"/>
      <c r="U63" s="43"/>
      <c r="V63" s="43"/>
      <c r="W63" s="43"/>
      <c r="X63" s="43"/>
    </row>
    <row r="64" spans="1:24" ht="17.25" customHeight="1">
      <c r="A64" s="1774"/>
      <c r="B64" s="1300"/>
      <c r="C64" s="1301"/>
      <c r="D64" s="1302"/>
      <c r="E64" s="1302"/>
      <c r="F64" s="1302"/>
      <c r="G64" s="1302"/>
      <c r="H64" s="1302"/>
      <c r="I64" s="1302"/>
      <c r="J64" s="1302"/>
      <c r="K64" s="1302"/>
      <c r="L64" s="1303"/>
      <c r="M64" s="51"/>
      <c r="N64" s="1313"/>
      <c r="O64" s="2154" t="str">
        <f>+IF(P64=0,"O K",+IF(AND($N20="IV",$K20=1),"ГРЕШКА - НЕРАВНЕНИ СУМИ!","O K"))</f>
        <v>O K</v>
      </c>
      <c r="P64" s="2155">
        <f>+IF(AND($N20="IV",$K20=1),+ROUND(+P54+P57-P61,2),0)</f>
        <v>0</v>
      </c>
      <c r="Q64" s="43"/>
      <c r="R64" s="2156" t="str">
        <f>+IF(S64=0,"O K",+IF(AND($N20="IV",$K20=1),"ГРЕШКА - НЕРАВНЕНИ СУМИ!","O K"))</f>
        <v>O K</v>
      </c>
      <c r="S64" s="2155">
        <f>+IF(AND($N20="IV",$K20=1),+ROUND(+S54+S57-S61,2),0)</f>
        <v>0</v>
      </c>
      <c r="T64" s="38"/>
      <c r="U64" s="43"/>
      <c r="V64" s="43"/>
      <c r="W64" s="43"/>
      <c r="X64" s="43"/>
    </row>
    <row r="65" spans="1:24" ht="12.75" customHeight="1">
      <c r="A65" s="1334"/>
      <c r="B65" s="982"/>
      <c r="C65" s="1335"/>
      <c r="D65" s="1336"/>
      <c r="E65" s="1336"/>
      <c r="F65" s="1336"/>
      <c r="G65" s="1336"/>
      <c r="H65" s="1336"/>
      <c r="I65" s="1336"/>
      <c r="J65" s="1336"/>
      <c r="K65" s="1336"/>
      <c r="L65" s="1337"/>
      <c r="M65" s="51"/>
      <c r="N65" s="1316"/>
      <c r="O65" s="980"/>
      <c r="P65" s="1323"/>
      <c r="Q65" s="43"/>
      <c r="R65" s="1322"/>
      <c r="S65" s="1323"/>
      <c r="T65" s="38"/>
      <c r="U65" s="43"/>
      <c r="V65" s="43"/>
      <c r="W65" s="43"/>
      <c r="X65" s="43"/>
    </row>
    <row r="66" spans="1:24" ht="17.25" customHeight="1" thickBot="1">
      <c r="A66" s="1307" t="s">
        <v>1344</v>
      </c>
      <c r="B66" s="1308"/>
      <c r="C66" s="1309"/>
      <c r="D66" s="1309"/>
      <c r="E66" s="1309"/>
      <c r="F66" s="1309"/>
      <c r="G66" s="1309"/>
      <c r="H66" s="1309"/>
      <c r="I66" s="1309"/>
      <c r="J66" s="1309"/>
      <c r="K66" s="1309"/>
      <c r="L66" s="1310"/>
      <c r="M66" s="49"/>
      <c r="N66" s="1328">
        <v>4500</v>
      </c>
      <c r="O66" s="1326">
        <f>+ROUND(+'TRIAL-BALANCE'!O176+'TRIAL-BALANCE'!V176+'TRIAL-BALANCE'!AC176,2)</f>
        <v>0</v>
      </c>
      <c r="P66" s="1306">
        <f>+ROUND(+'TRIAL-BALANCE'!P176+'TRIAL-BALANCE'!W176+'TRIAL-BALANCE'!AD176,2)</f>
        <v>0</v>
      </c>
      <c r="Q66" s="607"/>
      <c r="R66" s="1326">
        <f>+ROUND(+'TRIAL-BALANCE'!S176+'TRIAL-BALANCE'!Z176+'TRIAL-BALANCE'!AG176,2)</f>
        <v>0</v>
      </c>
      <c r="S66" s="1306">
        <f>+ROUND(+'TRIAL-BALANCE'!T176+'TRIAL-BALANCE'!AA176+'TRIAL-BALANCE'!AH176,2)</f>
        <v>0</v>
      </c>
      <c r="T66" s="38"/>
      <c r="U66" s="2178">
        <f>+E8</f>
        <v>2020</v>
      </c>
      <c r="V66" s="2142" t="s">
        <v>2045</v>
      </c>
      <c r="W66" s="43"/>
      <c r="X66" s="43"/>
    </row>
    <row r="67" spans="1:24" ht="17.25" customHeight="1" thickTop="1">
      <c r="A67" s="1338"/>
      <c r="B67" s="1339"/>
      <c r="C67" s="1338"/>
      <c r="D67" s="1340"/>
      <c r="E67" s="1340"/>
      <c r="F67" s="1340"/>
      <c r="G67" s="1340"/>
      <c r="H67" s="1340"/>
      <c r="I67" s="1340"/>
      <c r="J67" s="1340"/>
      <c r="K67" s="1340"/>
      <c r="L67" s="1341"/>
      <c r="M67" s="1339"/>
      <c r="N67" s="1342"/>
      <c r="O67" s="1810" t="str">
        <f>+IF(P67=0,"O K","Грешка-салдо с/ка 4500 не е равно на 0!")</f>
        <v>O K</v>
      </c>
      <c r="P67" s="1811">
        <f>+IF(AND(+Status!K4="ДА",$K20=1),+ROUND(P66-O66,2),0)</f>
        <v>0</v>
      </c>
      <c r="Q67" s="1344"/>
      <c r="R67" s="1810" t="str">
        <f>+IF(S67=0,"O K","Грешка-салдо с/ка 4500 не е равно на 0!")</f>
        <v>O K</v>
      </c>
      <c r="S67" s="1811">
        <f>+IF(AND(+Status!K4="ДА",$K20=1),+ROUND(S66-R66,2),0)</f>
        <v>0</v>
      </c>
      <c r="T67" s="38"/>
      <c r="U67" s="43"/>
      <c r="V67" s="43"/>
      <c r="W67" s="43"/>
      <c r="X67" s="43"/>
    </row>
    <row r="68" spans="1:24" s="1393" customFormat="1" ht="15.75">
      <c r="A68" s="1338"/>
      <c r="B68" s="1251" t="s">
        <v>1238</v>
      </c>
      <c r="C68" s="1252"/>
      <c r="D68" s="1252"/>
      <c r="E68" s="1253"/>
      <c r="F68" s="1252"/>
      <c r="G68" s="1253"/>
      <c r="H68" s="1253"/>
      <c r="I68" s="1253"/>
      <c r="J68" s="1253"/>
      <c r="K68" s="1254"/>
      <c r="L68" s="1255"/>
      <c r="M68" s="44"/>
      <c r="N68" s="1344"/>
      <c r="O68" s="1362">
        <f>IF($K20=1,+ROUND(+O43+O44,2),0)</f>
        <v>0</v>
      </c>
      <c r="P68" s="38"/>
      <c r="Q68" s="43"/>
      <c r="R68" s="1346">
        <f>IF($K20=1,+ROUND(+R43+R44,2),0)</f>
        <v>0</v>
      </c>
      <c r="S68" s="38"/>
      <c r="T68" s="38"/>
      <c r="U68" s="1346">
        <f>IF($K$20=1,+R68-O68,0)</f>
        <v>0</v>
      </c>
      <c r="V68" s="38"/>
      <c r="W68" s="38"/>
      <c r="X68" s="38"/>
    </row>
    <row r="69" spans="1:24" s="1393" customFormat="1" ht="15.75">
      <c r="A69" s="1338"/>
      <c r="B69" s="1728"/>
      <c r="C69" s="1727" t="s">
        <v>1348</v>
      </c>
      <c r="D69" s="1727"/>
      <c r="E69" s="1727"/>
      <c r="F69" s="1727"/>
      <c r="G69" s="1727"/>
      <c r="H69" s="1727"/>
      <c r="I69" s="1727"/>
      <c r="J69" s="1727"/>
      <c r="K69" s="1727"/>
      <c r="L69" s="2148"/>
      <c r="M69" s="44"/>
      <c r="N69" s="1344"/>
      <c r="O69" s="1375"/>
      <c r="P69" s="38"/>
      <c r="Q69" s="43"/>
      <c r="R69" s="1375"/>
      <c r="S69" s="38"/>
      <c r="T69" s="38"/>
      <c r="U69" s="2145">
        <f>IF($K$20=1,+R69-O69,0)</f>
        <v>0</v>
      </c>
      <c r="V69" s="38"/>
      <c r="W69" s="38"/>
      <c r="X69" s="38"/>
    </row>
    <row r="70" spans="1:24" s="1393" customFormat="1" ht="3.75" customHeight="1">
      <c r="A70" s="43"/>
      <c r="B70" s="43"/>
      <c r="C70" s="43"/>
      <c r="D70" s="43"/>
      <c r="E70" s="43"/>
      <c r="F70" s="43"/>
      <c r="G70" s="43"/>
      <c r="H70" s="43"/>
      <c r="I70" s="43"/>
      <c r="J70" s="43"/>
      <c r="K70" s="43"/>
      <c r="L70" s="43"/>
      <c r="M70" s="44"/>
      <c r="N70" s="119"/>
      <c r="O70" s="38"/>
      <c r="P70" s="38"/>
      <c r="Q70" s="43"/>
      <c r="R70" s="38"/>
      <c r="S70" s="38"/>
      <c r="T70" s="38"/>
      <c r="U70" s="38"/>
      <c r="V70" s="38"/>
      <c r="W70" s="38"/>
      <c r="X70" s="38"/>
    </row>
    <row r="71" spans="1:24" ht="17.25" customHeight="1">
      <c r="A71" s="1338"/>
      <c r="B71" s="1251" t="s">
        <v>1239</v>
      </c>
      <c r="C71" s="1252"/>
      <c r="D71" s="1252"/>
      <c r="E71" s="1253"/>
      <c r="F71" s="1252"/>
      <c r="G71" s="1253"/>
      <c r="H71" s="1253"/>
      <c r="I71" s="1253"/>
      <c r="J71" s="1253"/>
      <c r="K71" s="1254"/>
      <c r="L71" s="1255"/>
      <c r="M71" s="44"/>
      <c r="N71" s="1344"/>
      <c r="O71" s="1346">
        <f>IF($K20=1,+ROUND(+O22+O30+O66,2),0)</f>
        <v>0</v>
      </c>
      <c r="P71" s="38"/>
      <c r="Q71" s="1345"/>
      <c r="R71" s="1346">
        <f>IF($K20=1,+ROUND(+R22+R30+R66,2),0)</f>
        <v>0</v>
      </c>
      <c r="S71" s="607"/>
      <c r="T71" s="38"/>
      <c r="U71" s="1346">
        <f>IF($K$20=1,+R71-O71,0)</f>
        <v>0</v>
      </c>
      <c r="V71" s="2141"/>
      <c r="W71" s="43"/>
      <c r="X71" s="43"/>
    </row>
    <row r="72" spans="1:24" s="1393" customFormat="1" ht="15.75">
      <c r="A72" s="1338"/>
      <c r="B72" s="1728"/>
      <c r="C72" s="1727" t="s">
        <v>1348</v>
      </c>
      <c r="D72" s="1727"/>
      <c r="E72" s="1727"/>
      <c r="F72" s="1727"/>
      <c r="G72" s="1727"/>
      <c r="H72" s="1727"/>
      <c r="I72" s="1727"/>
      <c r="J72" s="1727"/>
      <c r="K72" s="1727"/>
      <c r="L72" s="2148"/>
      <c r="M72" s="44"/>
      <c r="N72" s="1344"/>
      <c r="O72" s="1375"/>
      <c r="P72" s="38"/>
      <c r="Q72" s="43"/>
      <c r="R72" s="1375"/>
      <c r="S72" s="38"/>
      <c r="T72" s="38"/>
      <c r="U72" s="2145">
        <f>IF($K$20=1,+R72-O72,0)</f>
        <v>0</v>
      </c>
      <c r="V72" s="38"/>
      <c r="W72" s="38"/>
      <c r="X72" s="38"/>
    </row>
    <row r="73" spans="1:24" s="1394" customFormat="1" ht="12.75" customHeight="1">
      <c r="A73" s="1353"/>
      <c r="B73" s="1354"/>
      <c r="C73" s="1353"/>
      <c r="D73" s="1355"/>
      <c r="E73" s="1355"/>
      <c r="F73" s="1355"/>
      <c r="G73" s="1355"/>
      <c r="H73" s="1355"/>
      <c r="I73" s="1355"/>
      <c r="J73" s="1355"/>
      <c r="K73" s="1355"/>
      <c r="L73" s="1356"/>
      <c r="M73" s="1354"/>
      <c r="N73" s="1357"/>
      <c r="O73" s="1358"/>
      <c r="P73" s="38"/>
      <c r="Q73" s="1360"/>
      <c r="R73" s="1358"/>
      <c r="S73" s="1359"/>
      <c r="T73" s="1361"/>
      <c r="U73" s="1358"/>
      <c r="V73" s="1359"/>
      <c r="W73" s="608"/>
      <c r="X73" s="608"/>
    </row>
    <row r="74" spans="1:24" s="1393" customFormat="1" ht="15.75">
      <c r="A74" s="1338"/>
      <c r="B74" s="1256" t="s">
        <v>1991</v>
      </c>
      <c r="C74" s="1252"/>
      <c r="D74" s="1252"/>
      <c r="E74" s="1253"/>
      <c r="F74" s="1252"/>
      <c r="G74" s="1253"/>
      <c r="H74" s="1253"/>
      <c r="I74" s="1253"/>
      <c r="J74" s="1253"/>
      <c r="K74" s="1254"/>
      <c r="L74" s="1255"/>
      <c r="M74" s="44"/>
      <c r="N74" s="1344"/>
      <c r="O74" s="1346">
        <f>IF($K20=1,+ROUND(P14,2),0)</f>
        <v>0</v>
      </c>
      <c r="P74" s="38"/>
      <c r="Q74" s="43"/>
      <c r="R74" s="1346">
        <f>IF($K20=1,+ROUND(S14,2),0)</f>
        <v>0</v>
      </c>
      <c r="S74" s="38"/>
      <c r="T74" s="38"/>
      <c r="U74" s="1346">
        <f>IF($K$20=1,+R74-O74,0)</f>
        <v>0</v>
      </c>
      <c r="V74" s="38"/>
      <c r="W74" s="38"/>
      <c r="X74" s="38"/>
    </row>
    <row r="75" spans="1:24" s="1393" customFormat="1" ht="15.75">
      <c r="A75" s="1338"/>
      <c r="B75" s="1728"/>
      <c r="C75" s="1727" t="s">
        <v>1348</v>
      </c>
      <c r="D75" s="1727"/>
      <c r="E75" s="1727"/>
      <c r="F75" s="1727"/>
      <c r="G75" s="1727"/>
      <c r="H75" s="1727"/>
      <c r="I75" s="1727"/>
      <c r="J75" s="1727"/>
      <c r="K75" s="1727"/>
      <c r="L75" s="2148"/>
      <c r="M75" s="44"/>
      <c r="N75" s="1344"/>
      <c r="O75" s="1375"/>
      <c r="P75" s="38"/>
      <c r="Q75" s="43"/>
      <c r="R75" s="1375"/>
      <c r="S75" s="38"/>
      <c r="T75" s="38"/>
      <c r="U75" s="2145">
        <f>IF($K$20=1,+R75-O75,0)</f>
        <v>0</v>
      </c>
      <c r="V75" s="38"/>
      <c r="W75" s="38"/>
      <c r="X75" s="38"/>
    </row>
    <row r="76" spans="1:24" s="1394" customFormat="1" ht="12.75" customHeight="1">
      <c r="A76" s="1353"/>
      <c r="B76" s="1354"/>
      <c r="C76" s="1353"/>
      <c r="D76" s="1355"/>
      <c r="E76" s="1355"/>
      <c r="F76" s="1355"/>
      <c r="G76" s="1355"/>
      <c r="H76" s="1355"/>
      <c r="I76" s="1355"/>
      <c r="J76" s="1355"/>
      <c r="K76" s="1355"/>
      <c r="L76" s="1356"/>
      <c r="M76" s="1354"/>
      <c r="N76" s="1357"/>
      <c r="O76" s="1358"/>
      <c r="P76" s="38"/>
      <c r="Q76" s="1360"/>
      <c r="R76" s="1358"/>
      <c r="S76" s="1359"/>
      <c r="T76" s="1361"/>
      <c r="U76" s="1358"/>
      <c r="V76" s="1359"/>
      <c r="W76" s="608"/>
      <c r="X76" s="608"/>
    </row>
    <row r="77" spans="1:24" s="1393" customFormat="1" ht="15.75">
      <c r="A77" s="1338"/>
      <c r="B77" s="1256" t="s">
        <v>1240</v>
      </c>
      <c r="C77" s="1252"/>
      <c r="D77" s="1252"/>
      <c r="E77" s="1253"/>
      <c r="F77" s="1252"/>
      <c r="G77" s="1253"/>
      <c r="H77" s="1253"/>
      <c r="I77" s="1253"/>
      <c r="J77" s="1253"/>
      <c r="K77" s="1254"/>
      <c r="L77" s="1255"/>
      <c r="M77" s="44"/>
      <c r="N77" s="1344"/>
      <c r="O77" s="1346">
        <f>IF($K20=1,+ROUND(+P36+P54+P66,2),0)</f>
        <v>0</v>
      </c>
      <c r="P77" s="38"/>
      <c r="Q77" s="43"/>
      <c r="R77" s="1346">
        <f>IF($K20=1,+ROUND(+S36+S54+S66,2),0)</f>
        <v>0</v>
      </c>
      <c r="S77" s="38"/>
      <c r="T77" s="38"/>
      <c r="U77" s="1346">
        <f>IF($K$20=1,+R77-O77,0)</f>
        <v>0</v>
      </c>
      <c r="V77" s="38"/>
      <c r="W77" s="38"/>
      <c r="X77" s="38"/>
    </row>
    <row r="78" spans="1:24" s="1393" customFormat="1" ht="15.75">
      <c r="A78" s="1338"/>
      <c r="B78" s="1728"/>
      <c r="C78" s="1727" t="s">
        <v>1348</v>
      </c>
      <c r="D78" s="1727"/>
      <c r="E78" s="1727"/>
      <c r="F78" s="1727"/>
      <c r="G78" s="1727"/>
      <c r="H78" s="1727"/>
      <c r="I78" s="1727"/>
      <c r="J78" s="1727"/>
      <c r="K78" s="1727"/>
      <c r="L78" s="2148"/>
      <c r="M78" s="44"/>
      <c r="N78" s="1344"/>
      <c r="O78" s="1375"/>
      <c r="P78" s="38"/>
      <c r="Q78" s="43"/>
      <c r="R78" s="1375"/>
      <c r="S78" s="38"/>
      <c r="T78" s="38"/>
      <c r="U78" s="2145">
        <f>IF($K$20=1,+R78-O78,0)</f>
        <v>0</v>
      </c>
      <c r="V78" s="38"/>
      <c r="W78" s="38"/>
      <c r="X78" s="38"/>
    </row>
    <row r="79" spans="1:24" s="1394" customFormat="1" ht="12.75" customHeight="1">
      <c r="A79" s="1353"/>
      <c r="B79" s="1354"/>
      <c r="C79" s="1353"/>
      <c r="D79" s="1355"/>
      <c r="E79" s="1355"/>
      <c r="F79" s="1355"/>
      <c r="G79" s="1355"/>
      <c r="H79" s="1355"/>
      <c r="I79" s="1355"/>
      <c r="J79" s="1355"/>
      <c r="K79" s="1355"/>
      <c r="L79" s="1356"/>
      <c r="M79" s="1354"/>
      <c r="N79" s="1357"/>
      <c r="O79" s="1358"/>
      <c r="P79" s="1359"/>
      <c r="Q79" s="1360"/>
      <c r="R79" s="1358"/>
      <c r="S79" s="1359"/>
      <c r="T79" s="1361"/>
      <c r="U79" s="1358"/>
      <c r="V79" s="1359"/>
      <c r="W79" s="608"/>
      <c r="X79" s="608"/>
    </row>
    <row r="80" spans="1:24" ht="17.25" customHeight="1" thickBot="1">
      <c r="A80" s="1338"/>
      <c r="B80" s="1339"/>
      <c r="C80" s="1351" t="s">
        <v>1378</v>
      </c>
      <c r="D80" s="1347"/>
      <c r="E80" s="1348"/>
      <c r="F80" s="1347"/>
      <c r="G80" s="1348"/>
      <c r="H80" s="1348"/>
      <c r="I80" s="1348"/>
      <c r="J80" s="1348"/>
      <c r="K80" s="1349"/>
      <c r="L80" s="1350"/>
      <c r="M80" s="1364"/>
      <c r="N80" s="1363" t="s">
        <v>1243</v>
      </c>
      <c r="O80" s="1365" t="s">
        <v>1245</v>
      </c>
      <c r="P80" s="1725">
        <f>-ROUND(+(O68+O69)+(O71+O72)-(O74+O75)-(O77+O78),2)</f>
        <v>0</v>
      </c>
      <c r="Q80" s="1345"/>
      <c r="R80" s="1365" t="s">
        <v>1245</v>
      </c>
      <c r="S80" s="1725">
        <f>-ROUND(+(R68+R69)+(R71+R72)-(R74+R75)-(R77+R78),2)</f>
        <v>0</v>
      </c>
      <c r="T80" s="38"/>
      <c r="U80" s="1365" t="s">
        <v>1245</v>
      </c>
      <c r="V80" s="1725">
        <f>-ROUND(+(U68+U69)+(U71+U72)-(U74+U75)-(U77+U78),2)</f>
        <v>0</v>
      </c>
      <c r="W80" s="43"/>
      <c r="X80" s="43"/>
    </row>
    <row r="81" spans="1:24" ht="17.25" customHeight="1" thickTop="1">
      <c r="A81" s="1338"/>
      <c r="B81" s="1339"/>
      <c r="C81" s="1338"/>
      <c r="D81" s="1340"/>
      <c r="E81" s="1340"/>
      <c r="F81" s="1340"/>
      <c r="G81" s="1340"/>
      <c r="H81" s="1340"/>
      <c r="I81" s="1340"/>
      <c r="J81" s="1340"/>
      <c r="K81" s="1340"/>
      <c r="L81" s="1340"/>
      <c r="M81" s="1340"/>
      <c r="N81" s="1340"/>
      <c r="O81" s="1340"/>
      <c r="P81" s="1368">
        <f>+IF(+ROUND(P80,2)=+ROUND(P91,2),0,"НЕРАВНЕНИЕ!")</f>
        <v>0</v>
      </c>
      <c r="Q81" s="1345"/>
      <c r="R81" s="1343"/>
      <c r="S81" s="1368">
        <f>+IF(+ROUND(S80,2)=+ROUND(S91,2),0,"НЕРАВНЕНИЕ!")</f>
        <v>0</v>
      </c>
      <c r="T81" s="38"/>
      <c r="U81" s="43"/>
      <c r="V81" s="1368">
        <f>+IF(+ROUND(V80,2)=+ROUND(V91,2),0,"НЕРАВНЕНИЕ!")</f>
        <v>0</v>
      </c>
      <c r="W81" s="43"/>
      <c r="X81" s="43"/>
    </row>
    <row r="82" spans="1:24" ht="17.25" customHeight="1">
      <c r="A82" s="1338"/>
      <c r="B82" s="1256" t="s">
        <v>1965</v>
      </c>
      <c r="C82" s="1252"/>
      <c r="D82" s="1252"/>
      <c r="E82" s="1253"/>
      <c r="F82" s="1252"/>
      <c r="G82" s="1253"/>
      <c r="H82" s="1253"/>
      <c r="I82" s="1253"/>
      <c r="J82" s="1253"/>
      <c r="K82" s="1254"/>
      <c r="L82" s="1255"/>
      <c r="M82" s="44"/>
      <c r="N82" s="1344"/>
      <c r="O82" s="1346">
        <f>IF($K20=1,ROUND(+P16-O24,2)-(-P54)-IF(+ROUND(P36+P66,2)&lt;+ROUND(+O30+O42+O61+O66,2),+ROUND(-P36-P66+O30+O42+O61+O66,2),0),0)</f>
        <v>0</v>
      </c>
      <c r="P82" s="1369">
        <f>+IF(++ROUND(P80,2)=+ROUND(P91,2),0,"неспазено изискване NA-BAL = NA-OPR")</f>
        <v>0</v>
      </c>
      <c r="Q82" s="43"/>
      <c r="R82" s="1346">
        <f>IF($K20=1,ROUND(+S16-R24,2)-(-S55)-IF(+ROUND(S36+S56+S66,2)&lt;+ROUND(+R30+R42+R61+R66,2),+ROUND(-S36-S56-S66+R30+R42+R61+R66,2),0),0)</f>
        <v>0</v>
      </c>
      <c r="S82" s="1369">
        <f>+IF(+ROUND(S80,2)=+ROUND(S91,2),0,"неспазено изискване NA-BAL = NA-OPR")</f>
        <v>0</v>
      </c>
      <c r="T82" s="38"/>
      <c r="U82" s="1346">
        <f>IF($K$20=1,+R82-O82+IF(S15-P15&lt;0,S15-P15,0)-IF(R23-O23&lt;0,R23-O23,0),0)</f>
        <v>0</v>
      </c>
      <c r="V82" s="1369">
        <f>+IF(+ROUND(V80,2)=+ROUND(V91,2),0,"неспазено изискване NA-BAL = NA-OPR")</f>
        <v>0</v>
      </c>
      <c r="W82" s="43"/>
      <c r="X82" s="43"/>
    </row>
    <row r="83" spans="1:24" s="1393" customFormat="1" ht="15.75">
      <c r="A83" s="1338"/>
      <c r="B83" s="1728"/>
      <c r="C83" s="1727" t="s">
        <v>1348</v>
      </c>
      <c r="D83" s="1727"/>
      <c r="E83" s="1727"/>
      <c r="F83" s="1727"/>
      <c r="G83" s="1727"/>
      <c r="H83" s="1727"/>
      <c r="I83" s="1727"/>
      <c r="J83" s="1727"/>
      <c r="K83" s="1727"/>
      <c r="L83" s="2148"/>
      <c r="M83" s="44"/>
      <c r="N83" s="1344"/>
      <c r="O83" s="1375"/>
      <c r="P83" s="1371">
        <f>+IF(+ROUND(P80,2)=+ROUND(P91,2),0,"ПРОМЕНИ ВЪВЕДЕНИТЕ КОРЕКТИВИ!")</f>
        <v>0</v>
      </c>
      <c r="Q83" s="43"/>
      <c r="R83" s="1375"/>
      <c r="S83" s="1371">
        <f>+IF(+ROUND(S80,2)=+ROUND(S91,2),0,"ПРОМЕНИ ВЪВЕДЕНИТЕ КОРЕКТИВИ!")</f>
        <v>0</v>
      </c>
      <c r="T83" s="38"/>
      <c r="U83" s="2145">
        <f>IF($K$20=1,+R83-O83,0)</f>
        <v>0</v>
      </c>
      <c r="V83" s="1371">
        <f>+IF(+ROUND(V80,2)=+ROUND(V91,2),0,"ПРОМЕНИ ВЪВЕДЕНИТЕ КОРЕКТИВИ!")</f>
        <v>0</v>
      </c>
      <c r="W83" s="38"/>
      <c r="X83" s="38"/>
    </row>
    <row r="84" spans="1:24" s="1393" customFormat="1" ht="3.75" customHeight="1">
      <c r="A84" s="43"/>
      <c r="B84" s="43"/>
      <c r="C84" s="43"/>
      <c r="D84" s="43"/>
      <c r="E84" s="43"/>
      <c r="F84" s="43"/>
      <c r="G84" s="43"/>
      <c r="H84" s="43"/>
      <c r="I84" s="43"/>
      <c r="J84" s="43"/>
      <c r="K84" s="43"/>
      <c r="L84" s="43"/>
      <c r="M84" s="44"/>
      <c r="N84" s="119"/>
      <c r="O84" s="986"/>
      <c r="P84" s="38"/>
      <c r="Q84" s="43"/>
      <c r="R84" s="38"/>
      <c r="S84" s="38"/>
      <c r="T84" s="38"/>
      <c r="U84" s="38"/>
      <c r="V84" s="38"/>
      <c r="W84" s="38"/>
      <c r="X84" s="38"/>
    </row>
    <row r="85" spans="1:24" ht="17.25" customHeight="1">
      <c r="A85" s="1338"/>
      <c r="B85" s="1256" t="s">
        <v>1298</v>
      </c>
      <c r="C85" s="1252"/>
      <c r="D85" s="1252"/>
      <c r="E85" s="1253"/>
      <c r="F85" s="1252"/>
      <c r="G85" s="1253"/>
      <c r="H85" s="1253"/>
      <c r="I85" s="1253"/>
      <c r="J85" s="1253"/>
      <c r="K85" s="1254"/>
      <c r="L85" s="1255"/>
      <c r="M85" s="44"/>
      <c r="N85" s="1344"/>
      <c r="O85" s="1346">
        <f>IF($K20=1,-ROUND(+P15-O23,2),0)</f>
        <v>0</v>
      </c>
      <c r="P85" s="38"/>
      <c r="Q85" s="43"/>
      <c r="R85" s="1346">
        <f>IF($K20=1,-ROUND(+S15-R23,2),0)</f>
        <v>0</v>
      </c>
      <c r="S85" s="38"/>
      <c r="T85" s="38"/>
      <c r="U85" s="1346">
        <f>IF($K$20=1,(+R85-O85)-(+R85-O85)-IF(S15-P15&gt;=0,S15-P15,0)+IF(R23-O23&gt;=0,R23-O23,0),0)</f>
        <v>0</v>
      </c>
      <c r="V85" s="43"/>
      <c r="W85" s="43"/>
      <c r="X85" s="43"/>
    </row>
    <row r="86" spans="1:24" s="1393" customFormat="1" ht="15.75">
      <c r="A86" s="1338"/>
      <c r="B86" s="1728"/>
      <c r="C86" s="1727" t="s">
        <v>1348</v>
      </c>
      <c r="D86" s="1727"/>
      <c r="E86" s="1727"/>
      <c r="F86" s="1727"/>
      <c r="G86" s="1727"/>
      <c r="H86" s="1727"/>
      <c r="I86" s="1727"/>
      <c r="J86" s="1727"/>
      <c r="K86" s="1727"/>
      <c r="L86" s="2148"/>
      <c r="M86" s="44"/>
      <c r="N86" s="1344"/>
      <c r="O86" s="1375"/>
      <c r="P86" s="38"/>
      <c r="Q86" s="43"/>
      <c r="R86" s="1375"/>
      <c r="S86" s="38"/>
      <c r="T86" s="38"/>
      <c r="U86" s="2145">
        <f>IF($K$20=1,+R86-O86,0)</f>
        <v>0</v>
      </c>
      <c r="V86" s="38"/>
      <c r="W86" s="38"/>
      <c r="X86" s="38"/>
    </row>
    <row r="87" spans="1:24" s="1393" customFormat="1" ht="3.75" customHeight="1">
      <c r="A87" s="43"/>
      <c r="B87" s="43"/>
      <c r="C87" s="43"/>
      <c r="D87" s="43"/>
      <c r="E87" s="43"/>
      <c r="F87" s="43"/>
      <c r="G87" s="43"/>
      <c r="H87" s="43"/>
      <c r="I87" s="43"/>
      <c r="J87" s="43"/>
      <c r="K87" s="43"/>
      <c r="L87" s="43"/>
      <c r="M87" s="44"/>
      <c r="N87" s="119"/>
      <c r="O87" s="986"/>
      <c r="P87" s="38"/>
      <c r="Q87" s="43"/>
      <c r="R87" s="38"/>
      <c r="S87" s="38"/>
      <c r="T87" s="38"/>
      <c r="U87" s="38"/>
      <c r="V87" s="38"/>
      <c r="W87" s="38"/>
      <c r="X87" s="38"/>
    </row>
    <row r="88" spans="1:24" ht="17.25" customHeight="1">
      <c r="A88" s="1338"/>
      <c r="B88" s="1256" t="s">
        <v>1966</v>
      </c>
      <c r="C88" s="1252"/>
      <c r="D88" s="1252"/>
      <c r="E88" s="1253"/>
      <c r="F88" s="1252"/>
      <c r="G88" s="1253"/>
      <c r="H88" s="1253"/>
      <c r="I88" s="1253"/>
      <c r="J88" s="1253"/>
      <c r="K88" s="1254"/>
      <c r="L88" s="1255"/>
      <c r="M88" s="44"/>
      <c r="N88" s="1344"/>
      <c r="O88" s="1346">
        <f>IF($K20=1,-IF(+ROUND(P36+P66,2)&gt;+ROUND(+O30+O42+O61+O66,2),+ROUND(P36+P66-O30-O42-O61-O66,2),0),0)</f>
        <v>0</v>
      </c>
      <c r="P88" s="38"/>
      <c r="Q88" s="43"/>
      <c r="R88" s="1346">
        <f>IF($K20=1,-IF(+ROUND(S36+S56+S66,2)&gt;+ROUND(+R30+R42+R61+R66,2),+ROUND(S36+S56+S66-R30-R42-R61-R66,2),0),0)</f>
        <v>0</v>
      </c>
      <c r="S88" s="38"/>
      <c r="T88" s="38"/>
      <c r="U88" s="1346">
        <f>IF($K$20=1,+R88-O88,0)</f>
        <v>0</v>
      </c>
      <c r="V88" s="43"/>
      <c r="W88" s="43"/>
      <c r="X88" s="43"/>
    </row>
    <row r="89" spans="1:24" s="1393" customFormat="1" ht="15.75">
      <c r="A89" s="1338"/>
      <c r="B89" s="1728"/>
      <c r="C89" s="1727" t="s">
        <v>1348</v>
      </c>
      <c r="D89" s="1727"/>
      <c r="E89" s="1727"/>
      <c r="F89" s="1727"/>
      <c r="G89" s="1727"/>
      <c r="H89" s="1727"/>
      <c r="I89" s="1727"/>
      <c r="J89" s="1727"/>
      <c r="K89" s="1727"/>
      <c r="L89" s="2148"/>
      <c r="M89" s="44"/>
      <c r="N89" s="1344"/>
      <c r="O89" s="1375"/>
      <c r="P89" s="38"/>
      <c r="Q89" s="43"/>
      <c r="R89" s="1375"/>
      <c r="S89" s="38"/>
      <c r="T89" s="38"/>
      <c r="U89" s="2145">
        <f>IF($K$20=1,+R89-O89,0)</f>
        <v>0</v>
      </c>
      <c r="V89" s="38"/>
      <c r="W89" s="38"/>
      <c r="X89" s="38"/>
    </row>
    <row r="90" spans="1:24" ht="17.25" customHeight="1">
      <c r="A90" s="1338"/>
      <c r="B90" s="1339"/>
      <c r="C90" s="1338"/>
      <c r="D90" s="1340"/>
      <c r="E90" s="1340"/>
      <c r="F90" s="1340"/>
      <c r="G90" s="1340"/>
      <c r="H90" s="1340"/>
      <c r="I90" s="1340"/>
      <c r="J90" s="1340"/>
      <c r="K90" s="1340"/>
      <c r="L90" s="1340"/>
      <c r="M90" s="1340"/>
      <c r="N90" s="1340"/>
      <c r="O90" s="1340"/>
      <c r="P90" s="1344"/>
      <c r="Q90" s="1345"/>
      <c r="R90" s="1343"/>
      <c r="S90" s="1344"/>
      <c r="T90" s="38"/>
      <c r="U90" s="43"/>
      <c r="V90" s="43"/>
      <c r="W90" s="43"/>
      <c r="X90" s="43"/>
    </row>
    <row r="91" spans="1:24" ht="17.25" customHeight="1" thickBot="1">
      <c r="A91" s="1338"/>
      <c r="B91" s="1339"/>
      <c r="C91" s="1352" t="s">
        <v>1241</v>
      </c>
      <c r="D91" s="1347"/>
      <c r="E91" s="1348"/>
      <c r="F91" s="1347"/>
      <c r="G91" s="1348"/>
      <c r="H91" s="1348"/>
      <c r="I91" s="1348"/>
      <c r="J91" s="1348"/>
      <c r="K91" s="1349"/>
      <c r="L91" s="1350"/>
      <c r="M91" s="44"/>
      <c r="N91" s="1366" t="s">
        <v>1242</v>
      </c>
      <c r="O91" s="1367" t="s">
        <v>1244</v>
      </c>
      <c r="P91" s="1725">
        <f>+ROUND(+(O82+O83)-(O85+O86)-(O88+O89),2)</f>
        <v>0</v>
      </c>
      <c r="Q91" s="43"/>
      <c r="R91" s="1367" t="s">
        <v>1244</v>
      </c>
      <c r="S91" s="1725">
        <f>+ROUND(+(R82+R83)-(R85+R86)-(R88+R89),2)</f>
        <v>0</v>
      </c>
      <c r="T91" s="38"/>
      <c r="U91" s="1367" t="s">
        <v>1244</v>
      </c>
      <c r="V91" s="1725">
        <f>+ROUND(+(U82+U83)-(U85+U86)-(U88+U89),2)</f>
        <v>0</v>
      </c>
      <c r="W91" s="43"/>
      <c r="X91" s="43"/>
    </row>
    <row r="92" spans="1:24" ht="17.25" customHeight="1" thickTop="1">
      <c r="A92" s="1338"/>
      <c r="B92" s="1339"/>
      <c r="C92" s="1338"/>
      <c r="D92" s="1340"/>
      <c r="E92" s="1340"/>
      <c r="F92" s="1340"/>
      <c r="G92" s="1340"/>
      <c r="H92" s="1340"/>
      <c r="I92" s="1340"/>
      <c r="J92" s="1340"/>
      <c r="K92" s="1340"/>
      <c r="L92" s="1341"/>
      <c r="M92" s="51"/>
      <c r="N92" s="1342"/>
      <c r="O92" s="1343"/>
      <c r="P92" s="1368">
        <f>+IF(+ROUND(P91,2)=+ROUND(P80,2),0,"НЕРАВНЕНИЕ!")</f>
        <v>0</v>
      </c>
      <c r="Q92" s="1345"/>
      <c r="R92" s="1343"/>
      <c r="S92" s="1368">
        <f>+IF(+ROUND(S91,2)=+ROUND(S80,2),0,"НЕРАВНЕНИЕ!")</f>
        <v>0</v>
      </c>
      <c r="T92" s="38"/>
      <c r="U92" s="43"/>
      <c r="V92" s="1368">
        <f>+IF(+ROUND(V91,2)=+ROUND(V80,2),0,"НЕРАВНЕНИЕ!")</f>
        <v>0</v>
      </c>
      <c r="W92" s="43"/>
      <c r="X92" s="43"/>
    </row>
    <row r="93" spans="1:24" ht="17.25" customHeight="1">
      <c r="A93" s="1338"/>
      <c r="B93" s="1339"/>
      <c r="C93" s="1338"/>
      <c r="D93" s="1340"/>
      <c r="E93" s="1340"/>
      <c r="F93" s="1340"/>
      <c r="G93" s="1340"/>
      <c r="H93" s="1340"/>
      <c r="I93" s="1340"/>
      <c r="J93" s="1340"/>
      <c r="K93" s="1340"/>
      <c r="L93" s="1341"/>
      <c r="M93" s="51"/>
      <c r="N93" s="1342"/>
      <c r="O93" s="1343"/>
      <c r="P93" s="1369">
        <f>+IF(+ROUND(P91,2)=+ROUND(P80,2),0,"неспазено изискване NA-OPR = NA-BAL")</f>
        <v>0</v>
      </c>
      <c r="Q93" s="1345"/>
      <c r="R93" s="1343"/>
      <c r="S93" s="1369">
        <f>+IF(+ROUND(S91,2)=+ROUND(S80,2),0,"неспазено изискване NA-OPR = NA-BAL")</f>
        <v>0</v>
      </c>
      <c r="T93" s="38"/>
      <c r="U93" s="43"/>
      <c r="V93" s="1369">
        <f>+IF(+ROUND(V91,2)=+ROUND(V80,2),0,"неспазено изискване NA-OPR = NA-BAL")</f>
        <v>0</v>
      </c>
      <c r="W93" s="43"/>
      <c r="X93" s="43"/>
    </row>
    <row r="94" spans="1:24" ht="17.25" customHeight="1">
      <c r="A94" s="1338"/>
      <c r="B94" s="1339"/>
      <c r="C94" s="1338"/>
      <c r="D94" s="1340"/>
      <c r="E94" s="1340"/>
      <c r="F94" s="1340"/>
      <c r="G94" s="1340"/>
      <c r="H94" s="1340"/>
      <c r="I94" s="1340"/>
      <c r="J94" s="1340"/>
      <c r="K94" s="1340"/>
      <c r="L94" s="1341"/>
      <c r="M94" s="51"/>
      <c r="N94" s="1342"/>
      <c r="O94" s="1343"/>
      <c r="P94" s="1371">
        <f>+IF(+ROUND(P91,2)=+ROUND(P80,2),0,"ПРОМЕНИ ВЪВЕДЕНИТЕ КОРЕКТИВИ!")</f>
        <v>0</v>
      </c>
      <c r="Q94" s="1345"/>
      <c r="R94" s="1343"/>
      <c r="S94" s="1371">
        <f>+IF(+ROUND(S91,2)=+ROUND(S80,2),0,"ПРОМЕНИ ВЪВЕДЕНИТЕ КОРЕКТИВИ!")</f>
        <v>0</v>
      </c>
      <c r="T94" s="38"/>
      <c r="U94" s="43"/>
      <c r="V94" s="1371">
        <f>+IF(+ROUND(V91,2)=+ROUND(V80,2),0,"ПРОМЕНИ ВЪВЕДЕНИТЕ КОРЕКТИВИ!")</f>
        <v>0</v>
      </c>
      <c r="W94" s="43"/>
      <c r="X94" s="43"/>
    </row>
    <row r="95" spans="1:24" ht="17.25" customHeight="1">
      <c r="A95" s="1338"/>
      <c r="B95" s="1339"/>
      <c r="C95" s="1338"/>
      <c r="D95" s="1340"/>
      <c r="E95" s="1340"/>
      <c r="F95" s="1340"/>
      <c r="G95" s="1340"/>
      <c r="H95" s="1340"/>
      <c r="I95" s="1340"/>
      <c r="J95" s="1340"/>
      <c r="K95" s="1340"/>
      <c r="L95" s="1341"/>
      <c r="M95" s="51"/>
      <c r="N95" s="1342"/>
      <c r="O95" s="2215" t="s">
        <v>2129</v>
      </c>
      <c r="P95" s="2153">
        <f>+E8-1</f>
        <v>2019</v>
      </c>
      <c r="Q95" s="1345"/>
      <c r="R95" s="1343"/>
      <c r="S95" s="1370"/>
      <c r="T95" s="38"/>
      <c r="U95" s="43"/>
      <c r="V95" s="1371">
        <f>+IF(+ROUND(V92,2)=+ROUND(V81,2),0,"ПРОМЕНИ ВЪВЕДЕНИТЕ КОРЕКТИВИ!")</f>
        <v>0</v>
      </c>
      <c r="W95" s="43"/>
      <c r="X95" s="43"/>
    </row>
    <row r="96" spans="1:24" s="1393" customFormat="1" ht="15.75">
      <c r="A96" s="43"/>
      <c r="B96" s="2525">
        <f>+E8-1</f>
        <v>2019</v>
      </c>
      <c r="C96" s="2526"/>
      <c r="D96" s="2231" t="s">
        <v>2097</v>
      </c>
      <c r="E96" s="2231"/>
      <c r="F96" s="2231"/>
      <c r="G96" s="2187">
        <f>+E8-1</f>
        <v>2019</v>
      </c>
      <c r="H96" s="2152" t="s">
        <v>2046</v>
      </c>
      <c r="I96" s="2149"/>
      <c r="J96" s="2149"/>
      <c r="K96" s="2149"/>
      <c r="L96" s="2147"/>
      <c r="M96" s="43"/>
      <c r="N96" s="1342"/>
      <c r="O96" s="2237">
        <f>+E8-1</f>
        <v>2019</v>
      </c>
      <c r="P96" s="2232" t="s">
        <v>2140</v>
      </c>
      <c r="Q96" s="1345"/>
      <c r="R96" s="2226">
        <f>+E8-1</f>
        <v>2019</v>
      </c>
      <c r="S96" s="2227">
        <f>+E8</f>
        <v>2020</v>
      </c>
      <c r="T96" s="38"/>
      <c r="U96" s="2177">
        <f>+E8-1</f>
        <v>2019</v>
      </c>
      <c r="V96" s="2143" t="s">
        <v>2045</v>
      </c>
      <c r="W96" s="38"/>
      <c r="X96" s="38"/>
    </row>
    <row r="97" spans="1:24" s="1393" customFormat="1" ht="15.75">
      <c r="A97" s="43"/>
      <c r="B97" s="1339"/>
      <c r="C97" s="1338"/>
      <c r="D97" s="1340"/>
      <c r="E97" s="1340"/>
      <c r="F97" s="1340"/>
      <c r="G97" s="1340"/>
      <c r="H97" s="1340"/>
      <c r="I97" s="1340"/>
      <c r="J97" s="1340"/>
      <c r="K97" s="1340"/>
      <c r="L97" s="43"/>
      <c r="M97" s="44"/>
      <c r="N97" s="1342"/>
      <c r="O97" s="1343"/>
      <c r="P97" s="1370"/>
      <c r="Q97" s="1345"/>
      <c r="R97" s="1343"/>
      <c r="S97" s="1370"/>
      <c r="T97" s="38"/>
      <c r="U97" s="43"/>
      <c r="V97" s="43"/>
      <c r="W97" s="38"/>
      <c r="X97" s="38"/>
    </row>
    <row r="98" spans="1:24" s="1393" customFormat="1" ht="15.75">
      <c r="A98" s="43"/>
      <c r="B98" s="1251" t="s">
        <v>1238</v>
      </c>
      <c r="C98" s="1252"/>
      <c r="D98" s="1252"/>
      <c r="E98" s="1253"/>
      <c r="F98" s="1252"/>
      <c r="G98" s="1253"/>
      <c r="H98" s="1253"/>
      <c r="I98" s="1253"/>
      <c r="J98" s="1253"/>
      <c r="K98" s="1254"/>
      <c r="L98" s="1255"/>
      <c r="M98" s="44"/>
      <c r="N98" s="1344"/>
      <c r="O98" s="2150"/>
      <c r="P98" s="38"/>
      <c r="Q98" s="1345"/>
      <c r="R98" s="2218">
        <f>+O68</f>
        <v>0</v>
      </c>
      <c r="S98" s="38"/>
      <c r="T98" s="38"/>
      <c r="U98" s="2146">
        <f>IF($K$20=1,+R98-O98,0)</f>
        <v>0</v>
      </c>
      <c r="V98" s="1726"/>
      <c r="W98" s="38"/>
      <c r="X98" s="38"/>
    </row>
    <row r="99" spans="1:24" s="1393" customFormat="1" ht="15.75">
      <c r="A99" s="43"/>
      <c r="B99" s="2228">
        <f>+E8-1</f>
        <v>2019</v>
      </c>
      <c r="C99" s="1727" t="s">
        <v>1348</v>
      </c>
      <c r="D99" s="1727"/>
      <c r="E99" s="1727"/>
      <c r="F99" s="1727"/>
      <c r="G99" s="1727"/>
      <c r="H99" s="1727"/>
      <c r="I99" s="1727"/>
      <c r="J99" s="1727"/>
      <c r="K99" s="1727"/>
      <c r="L99" s="2148"/>
      <c r="M99" s="44"/>
      <c r="N99" s="1344"/>
      <c r="O99" s="1375"/>
      <c r="P99" s="38"/>
      <c r="Q99" s="1345"/>
      <c r="R99" s="2145">
        <f>+O69</f>
        <v>0</v>
      </c>
      <c r="S99" s="38"/>
      <c r="T99" s="38"/>
      <c r="U99" s="2145">
        <f>IF($K$20=1,+R99-O99,0)</f>
        <v>0</v>
      </c>
      <c r="V99" s="1726"/>
      <c r="W99" s="38"/>
      <c r="X99" s="38"/>
    </row>
    <row r="100" spans="1:24" s="1393" customFormat="1">
      <c r="A100" s="43"/>
      <c r="B100" s="43"/>
      <c r="C100" s="43"/>
      <c r="D100" s="43"/>
      <c r="E100" s="43"/>
      <c r="F100" s="43"/>
      <c r="G100" s="43"/>
      <c r="H100" s="43"/>
      <c r="I100" s="43"/>
      <c r="J100" s="43"/>
      <c r="K100" s="43"/>
      <c r="L100" s="43"/>
      <c r="M100" s="44"/>
      <c r="N100" s="119"/>
      <c r="O100" s="38"/>
      <c r="P100" s="38"/>
      <c r="Q100" s="1345"/>
      <c r="R100" s="38"/>
      <c r="S100" s="38"/>
      <c r="T100" s="38"/>
      <c r="U100" s="38"/>
      <c r="V100" s="1726"/>
      <c r="W100" s="38"/>
      <c r="X100" s="38"/>
    </row>
    <row r="101" spans="1:24" s="1393" customFormat="1" ht="15.75">
      <c r="A101" s="43"/>
      <c r="B101" s="1251" t="s">
        <v>1239</v>
      </c>
      <c r="C101" s="1252"/>
      <c r="D101" s="1252"/>
      <c r="E101" s="1253"/>
      <c r="F101" s="1252"/>
      <c r="G101" s="1253"/>
      <c r="H101" s="1253"/>
      <c r="I101" s="1253"/>
      <c r="J101" s="1253"/>
      <c r="K101" s="1254"/>
      <c r="L101" s="1255"/>
      <c r="M101" s="44"/>
      <c r="N101" s="1344"/>
      <c r="O101" s="2151"/>
      <c r="P101" s="38"/>
      <c r="Q101" s="1345"/>
      <c r="R101" s="2146">
        <f>+O71</f>
        <v>0</v>
      </c>
      <c r="S101" s="38"/>
      <c r="T101" s="38"/>
      <c r="U101" s="2146">
        <f>IF($K$20=1,+R101-O101,0)</f>
        <v>0</v>
      </c>
      <c r="V101" s="1726"/>
      <c r="W101" s="38"/>
      <c r="X101" s="38"/>
    </row>
    <row r="102" spans="1:24" s="1393" customFormat="1" ht="15.75">
      <c r="A102" s="43"/>
      <c r="B102" s="2228">
        <f>+E8-1</f>
        <v>2019</v>
      </c>
      <c r="C102" s="1727" t="s">
        <v>1348</v>
      </c>
      <c r="D102" s="1727"/>
      <c r="E102" s="1727"/>
      <c r="F102" s="1727"/>
      <c r="G102" s="1727"/>
      <c r="H102" s="1727"/>
      <c r="I102" s="1727"/>
      <c r="J102" s="1727"/>
      <c r="K102" s="1727"/>
      <c r="L102" s="2148"/>
      <c r="M102" s="44"/>
      <c r="N102" s="1344"/>
      <c r="O102" s="1375"/>
      <c r="P102" s="38"/>
      <c r="Q102" s="1345"/>
      <c r="R102" s="2145">
        <f>+O72</f>
        <v>0</v>
      </c>
      <c r="S102" s="38"/>
      <c r="T102" s="38"/>
      <c r="U102" s="2145">
        <f>IF($K20=1,+R102-O102,0)</f>
        <v>0</v>
      </c>
      <c r="V102" s="1726"/>
      <c r="W102" s="38"/>
      <c r="X102" s="38"/>
    </row>
    <row r="103" spans="1:24" s="1393" customFormat="1" ht="15.75">
      <c r="A103" s="43"/>
      <c r="B103" s="1354"/>
      <c r="C103" s="1353"/>
      <c r="D103" s="1355"/>
      <c r="E103" s="1355"/>
      <c r="F103" s="1355"/>
      <c r="G103" s="1355"/>
      <c r="H103" s="1355"/>
      <c r="I103" s="1355"/>
      <c r="J103" s="1355"/>
      <c r="K103" s="1355"/>
      <c r="L103" s="1356"/>
      <c r="M103" s="1354"/>
      <c r="N103" s="1357"/>
      <c r="O103" s="1358"/>
      <c r="P103" s="38"/>
      <c r="Q103" s="1345"/>
      <c r="R103" s="1358"/>
      <c r="S103" s="38"/>
      <c r="T103" s="38"/>
      <c r="U103" s="1358"/>
      <c r="V103" s="1358"/>
      <c r="W103" s="38"/>
      <c r="X103" s="38"/>
    </row>
    <row r="104" spans="1:24" s="1393" customFormat="1" ht="15.75">
      <c r="A104" s="43"/>
      <c r="B104" s="1256" t="s">
        <v>1991</v>
      </c>
      <c r="C104" s="1252"/>
      <c r="D104" s="1252"/>
      <c r="E104" s="1253"/>
      <c r="F104" s="1252"/>
      <c r="G104" s="1253"/>
      <c r="H104" s="1253"/>
      <c r="I104" s="1253"/>
      <c r="J104" s="1253"/>
      <c r="K104" s="1254"/>
      <c r="L104" s="1255"/>
      <c r="M104" s="44"/>
      <c r="N104" s="1344"/>
      <c r="O104" s="2151"/>
      <c r="P104" s="38"/>
      <c r="Q104" s="1345"/>
      <c r="R104" s="2146">
        <f>+O74</f>
        <v>0</v>
      </c>
      <c r="S104" s="38"/>
      <c r="T104" s="38"/>
      <c r="U104" s="2146">
        <f>IF($K$20=1,+R104-O104,0)</f>
        <v>0</v>
      </c>
      <c r="V104" s="1726"/>
      <c r="W104" s="38"/>
      <c r="X104" s="38"/>
    </row>
    <row r="105" spans="1:24" s="1393" customFormat="1" ht="15.75">
      <c r="A105" s="43"/>
      <c r="B105" s="2228">
        <f>+E8-1</f>
        <v>2019</v>
      </c>
      <c r="C105" s="1727" t="s">
        <v>1348</v>
      </c>
      <c r="D105" s="1727"/>
      <c r="E105" s="1727"/>
      <c r="F105" s="1727"/>
      <c r="G105" s="1727"/>
      <c r="H105" s="1727"/>
      <c r="I105" s="1727"/>
      <c r="J105" s="1727"/>
      <c r="K105" s="1727"/>
      <c r="L105" s="2148"/>
      <c r="M105" s="44"/>
      <c r="N105" s="1344"/>
      <c r="O105" s="1375"/>
      <c r="P105" s="38"/>
      <c r="Q105" s="1345"/>
      <c r="R105" s="2145">
        <f>+O75</f>
        <v>0</v>
      </c>
      <c r="S105" s="38"/>
      <c r="T105" s="38"/>
      <c r="U105" s="2145">
        <f>IF($K$20=1,+R105-O105,0)</f>
        <v>0</v>
      </c>
      <c r="V105" s="1726"/>
      <c r="W105" s="38"/>
      <c r="X105" s="38"/>
    </row>
    <row r="106" spans="1:24" s="1393" customFormat="1" ht="15.75">
      <c r="A106" s="43"/>
      <c r="B106" s="1354"/>
      <c r="C106" s="1353"/>
      <c r="D106" s="1355"/>
      <c r="E106" s="1355"/>
      <c r="F106" s="1355"/>
      <c r="G106" s="1355"/>
      <c r="H106" s="1355"/>
      <c r="I106" s="1355"/>
      <c r="J106" s="1355"/>
      <c r="K106" s="1355"/>
      <c r="L106" s="1356"/>
      <c r="M106" s="1354"/>
      <c r="N106" s="1357"/>
      <c r="O106" s="1358"/>
      <c r="P106" s="38"/>
      <c r="Q106" s="1345"/>
      <c r="R106" s="1358"/>
      <c r="S106" s="38"/>
      <c r="T106" s="38"/>
      <c r="U106" s="1358"/>
      <c r="V106" s="1358"/>
      <c r="W106" s="38"/>
      <c r="X106" s="38"/>
    </row>
    <row r="107" spans="1:24" s="1393" customFormat="1" ht="15.75">
      <c r="A107" s="43"/>
      <c r="B107" s="1256" t="s">
        <v>1240</v>
      </c>
      <c r="C107" s="1252"/>
      <c r="D107" s="1252"/>
      <c r="E107" s="1253"/>
      <c r="F107" s="1252"/>
      <c r="G107" s="1253"/>
      <c r="H107" s="1253"/>
      <c r="I107" s="1253"/>
      <c r="J107" s="1253"/>
      <c r="K107" s="1254"/>
      <c r="L107" s="1255"/>
      <c r="M107" s="44"/>
      <c r="N107" s="1344"/>
      <c r="O107" s="2151"/>
      <c r="P107" s="38"/>
      <c r="Q107" s="1345"/>
      <c r="R107" s="2146">
        <f>+O77</f>
        <v>0</v>
      </c>
      <c r="S107" s="38"/>
      <c r="T107" s="38"/>
      <c r="U107" s="2146">
        <f>IF($K$20=1,+R107-O107,0)</f>
        <v>0</v>
      </c>
      <c r="V107" s="1726"/>
      <c r="W107" s="38"/>
      <c r="X107" s="38"/>
    </row>
    <row r="108" spans="1:24" s="1393" customFormat="1" ht="15.75">
      <c r="A108" s="43"/>
      <c r="B108" s="2228">
        <f>+E8-1</f>
        <v>2019</v>
      </c>
      <c r="C108" s="1727" t="s">
        <v>1348</v>
      </c>
      <c r="D108" s="1727"/>
      <c r="E108" s="1727"/>
      <c r="F108" s="1727"/>
      <c r="G108" s="1727"/>
      <c r="H108" s="1727"/>
      <c r="I108" s="1727"/>
      <c r="J108" s="1727"/>
      <c r="K108" s="1727"/>
      <c r="L108" s="2148"/>
      <c r="M108" s="44"/>
      <c r="N108" s="1344"/>
      <c r="O108" s="1375"/>
      <c r="P108" s="38"/>
      <c r="Q108" s="1345"/>
      <c r="R108" s="2145">
        <f>+O78</f>
        <v>0</v>
      </c>
      <c r="S108" s="38"/>
      <c r="T108" s="38"/>
      <c r="U108" s="2145">
        <f>IF($K$20=1,+R108-O108,0)</f>
        <v>0</v>
      </c>
      <c r="V108" s="1726"/>
      <c r="W108" s="38"/>
      <c r="X108" s="38"/>
    </row>
    <row r="109" spans="1:24" s="1393" customFormat="1" ht="15.75">
      <c r="A109" s="43"/>
      <c r="B109" s="1354"/>
      <c r="C109" s="1353"/>
      <c r="D109" s="1355"/>
      <c r="E109" s="1355"/>
      <c r="F109" s="1355"/>
      <c r="G109" s="1355"/>
      <c r="H109" s="1355"/>
      <c r="I109" s="1355"/>
      <c r="J109" s="1355"/>
      <c r="K109" s="1355"/>
      <c r="L109" s="1356"/>
      <c r="M109" s="1354"/>
      <c r="N109" s="1357"/>
      <c r="O109" s="1358"/>
      <c r="P109" s="1359"/>
      <c r="Q109" s="1345"/>
      <c r="R109" s="1358"/>
      <c r="S109" s="1359"/>
      <c r="T109" s="38"/>
      <c r="U109" s="1358"/>
      <c r="V109" s="1359"/>
      <c r="W109" s="38"/>
      <c r="X109" s="38"/>
    </row>
    <row r="110" spans="1:24" s="1393" customFormat="1" ht="16.5" thickBot="1">
      <c r="A110" s="43"/>
      <c r="B110" s="1339"/>
      <c r="C110" s="2144" t="s">
        <v>2139</v>
      </c>
      <c r="D110" s="2144"/>
      <c r="E110" s="2144"/>
      <c r="F110" s="2144"/>
      <c r="G110" s="2144"/>
      <c r="H110" s="2144"/>
      <c r="I110" s="2144"/>
      <c r="J110" s="2144"/>
      <c r="K110" s="2144"/>
      <c r="L110" s="2229">
        <f>+E8-1</f>
        <v>2019</v>
      </c>
      <c r="M110" s="1364"/>
      <c r="N110" s="2236" t="s">
        <v>1243</v>
      </c>
      <c r="O110" s="1365" t="s">
        <v>1245</v>
      </c>
      <c r="P110" s="2144">
        <f>-ROUND(+(O98+O99)+(O101+O102)-(O104+O105)-(O107+O108),2)</f>
        <v>0</v>
      </c>
      <c r="Q110" s="1345"/>
      <c r="R110" s="1365" t="s">
        <v>1245</v>
      </c>
      <c r="S110" s="2144">
        <f>-ROUND(+(R98+R99)+(R101+R102)-(R104+R105)-(R107+R108),2)</f>
        <v>0</v>
      </c>
      <c r="T110" s="38"/>
      <c r="U110" s="1365" t="s">
        <v>1245</v>
      </c>
      <c r="V110" s="2144">
        <f>-ROUND(+(U98+U99)+(U101+U102)-(U104+U105)-(U107+U108),2)</f>
        <v>0</v>
      </c>
      <c r="W110" s="38"/>
      <c r="X110" s="38"/>
    </row>
    <row r="111" spans="1:24" s="1393" customFormat="1" ht="16.5" thickTop="1">
      <c r="A111" s="43"/>
      <c r="B111" s="1339"/>
      <c r="C111" s="1338"/>
      <c r="D111" s="1340"/>
      <c r="E111" s="1340"/>
      <c r="F111" s="1340"/>
      <c r="G111" s="1340"/>
      <c r="H111" s="1340"/>
      <c r="I111" s="1340"/>
      <c r="J111" s="1340"/>
      <c r="K111" s="1340"/>
      <c r="L111" s="1340"/>
      <c r="M111" s="1340"/>
      <c r="N111" s="1340"/>
      <c r="O111" s="1340"/>
      <c r="P111" s="1368">
        <f>+IF(+ROUND(P110,2)=+ROUND(P121,2),0,"НЕРАВНЕНИЕ!")</f>
        <v>0</v>
      </c>
      <c r="Q111" s="1345"/>
      <c r="R111" s="1340"/>
      <c r="S111" s="1368">
        <f>+IF(+ROUND(S110,2)=+ROUND(S121,2),0,"НЕРАВНЕНИЕ!")</f>
        <v>0</v>
      </c>
      <c r="T111" s="38"/>
      <c r="U111" s="43"/>
      <c r="V111" s="1368">
        <f>+IF(+ROUND(V110,2)=+ROUND(V121,2),0,"НЕРАВНЕНИЕ!")</f>
        <v>0</v>
      </c>
      <c r="W111" s="38"/>
      <c r="X111" s="38"/>
    </row>
    <row r="112" spans="1:24" s="1393" customFormat="1" ht="15.75">
      <c r="A112" s="43"/>
      <c r="B112" s="1256" t="s">
        <v>1965</v>
      </c>
      <c r="C112" s="1252"/>
      <c r="D112" s="1252"/>
      <c r="E112" s="1253"/>
      <c r="F112" s="1252"/>
      <c r="G112" s="1253"/>
      <c r="H112" s="1253"/>
      <c r="I112" s="1253"/>
      <c r="J112" s="1253"/>
      <c r="K112" s="1254"/>
      <c r="L112" s="1255"/>
      <c r="M112" s="44"/>
      <c r="N112" s="1344"/>
      <c r="O112" s="2151"/>
      <c r="P112" s="1369">
        <f>+IF(++ROUND(P110,2)=+ROUND(P121,2),0,"неспазено изискване NA-BAL = NA-OPR")</f>
        <v>0</v>
      </c>
      <c r="Q112" s="1345"/>
      <c r="R112" s="2146">
        <f>+O82</f>
        <v>0</v>
      </c>
      <c r="S112" s="1369">
        <f>+IF(++ROUND(S110,2)=+ROUND(S121,2),0,"неспазено изискване NA-BAL = NA-OPR")</f>
        <v>0</v>
      </c>
      <c r="T112" s="38"/>
      <c r="U112" s="2146">
        <f>IF($K$20=1,U126,0)</f>
        <v>0</v>
      </c>
      <c r="V112" s="1369">
        <f>+IF(++ROUND(V110,2)=+ROUND(V121,2),0,"неспазено изискване NA-BAL = NA-OPR")</f>
        <v>0</v>
      </c>
      <c r="W112" s="38"/>
      <c r="X112" s="38"/>
    </row>
    <row r="113" spans="1:24" s="1393" customFormat="1" ht="15.75">
      <c r="A113" s="43"/>
      <c r="B113" s="2228">
        <f>+E8-1</f>
        <v>2019</v>
      </c>
      <c r="C113" s="1727" t="s">
        <v>1348</v>
      </c>
      <c r="D113" s="1727"/>
      <c r="E113" s="1727"/>
      <c r="F113" s="1727"/>
      <c r="G113" s="1727"/>
      <c r="H113" s="1727"/>
      <c r="I113" s="1727"/>
      <c r="J113" s="1727"/>
      <c r="K113" s="1727"/>
      <c r="L113" s="2148"/>
      <c r="M113" s="44"/>
      <c r="N113" s="1344"/>
      <c r="O113" s="1375"/>
      <c r="P113" s="1371">
        <f>+IF(+ROUND(P110,2)=+ROUND(P121,2),0,"ПРОМЕНИ ВЪВЕДЕНИТЕ КОРЕКТИВИ!")</f>
        <v>0</v>
      </c>
      <c r="Q113" s="1345"/>
      <c r="R113" s="2145">
        <f>+O83</f>
        <v>0</v>
      </c>
      <c r="S113" s="1371">
        <f>+IF(+ROUND(S110,2)=+ROUND(S121,2),0,"ПРОМЕНИ ВЪВЕДЕНИТЕ КОРЕКТИВИ!")</f>
        <v>0</v>
      </c>
      <c r="T113" s="38"/>
      <c r="U113" s="2145">
        <f>IF($K$20=1,+R113-O113,0)</f>
        <v>0</v>
      </c>
      <c r="V113" s="1371">
        <f>+IF(+ROUND(V110,2)=+ROUND(V121,2),0,"ПРОМЕНИ ВЪВЕДЕНИТЕ КОРЕКТИВИ!")</f>
        <v>0</v>
      </c>
      <c r="W113" s="38"/>
      <c r="X113" s="38"/>
    </row>
    <row r="114" spans="1:24" s="1393" customFormat="1" ht="15.75">
      <c r="A114" s="43"/>
      <c r="B114" s="43"/>
      <c r="C114" s="43"/>
      <c r="D114" s="43"/>
      <c r="E114" s="43"/>
      <c r="F114" s="43"/>
      <c r="G114" s="43"/>
      <c r="H114" s="43"/>
      <c r="I114" s="43"/>
      <c r="J114" s="43"/>
      <c r="K114" s="43"/>
      <c r="L114" s="43"/>
      <c r="M114" s="44"/>
      <c r="N114" s="119"/>
      <c r="O114" s="986"/>
      <c r="P114" s="38"/>
      <c r="Q114" s="1345"/>
      <c r="R114" s="986"/>
      <c r="S114" s="38"/>
      <c r="T114" s="38"/>
      <c r="U114" s="38"/>
      <c r="V114" s="2146">
        <f>+IF($K$20=1,+IF(+V117=0,+(R112-O112)-(R115-O115)-U130,0),0)</f>
        <v>0</v>
      </c>
      <c r="W114" s="38"/>
      <c r="X114" s="38"/>
    </row>
    <row r="115" spans="1:24" s="1393" customFormat="1" ht="15.75">
      <c r="A115" s="43"/>
      <c r="B115" s="1256" t="s">
        <v>1298</v>
      </c>
      <c r="C115" s="1252"/>
      <c r="D115" s="1252"/>
      <c r="E115" s="1253"/>
      <c r="F115" s="1252"/>
      <c r="G115" s="1253"/>
      <c r="H115" s="1253"/>
      <c r="I115" s="1253"/>
      <c r="J115" s="1253"/>
      <c r="K115" s="1254"/>
      <c r="L115" s="1255"/>
      <c r="M115" s="44"/>
      <c r="N115" s="1344"/>
      <c r="O115" s="2151"/>
      <c r="P115" s="38"/>
      <c r="Q115" s="1345"/>
      <c r="R115" s="2146">
        <f>+O85</f>
        <v>0</v>
      </c>
      <c r="S115" s="38"/>
      <c r="T115" s="38"/>
      <c r="U115" s="2146">
        <f>IF($K$20=1,U128,0)</f>
        <v>0</v>
      </c>
      <c r="V115" s="1726"/>
      <c r="W115" s="38"/>
      <c r="X115" s="38"/>
    </row>
    <row r="116" spans="1:24" s="1393" customFormat="1" ht="15.75">
      <c r="A116" s="43"/>
      <c r="B116" s="2228">
        <f>+E8-1</f>
        <v>2019</v>
      </c>
      <c r="C116" s="1727" t="s">
        <v>1348</v>
      </c>
      <c r="D116" s="1727"/>
      <c r="E116" s="1727"/>
      <c r="F116" s="1727"/>
      <c r="G116" s="1727"/>
      <c r="H116" s="1727"/>
      <c r="I116" s="1727"/>
      <c r="J116" s="1727"/>
      <c r="K116" s="1727"/>
      <c r="L116" s="2148"/>
      <c r="M116" s="44"/>
      <c r="N116" s="1344"/>
      <c r="O116" s="1375"/>
      <c r="P116" s="38"/>
      <c r="Q116" s="1345"/>
      <c r="R116" s="2145">
        <f>+O86</f>
        <v>0</v>
      </c>
      <c r="S116" s="38"/>
      <c r="T116" s="38"/>
      <c r="U116" s="2145">
        <f>IF($K$20=1,+R116-O116,0)</f>
        <v>0</v>
      </c>
      <c r="V116" s="1726"/>
      <c r="W116" s="38"/>
      <c r="X116" s="38"/>
    </row>
    <row r="117" spans="1:24" s="1393" customFormat="1" ht="15.75">
      <c r="A117" s="43"/>
      <c r="B117" s="43"/>
      <c r="C117" s="43"/>
      <c r="D117" s="43"/>
      <c r="E117" s="43"/>
      <c r="F117" s="43"/>
      <c r="G117" s="43"/>
      <c r="H117" s="43"/>
      <c r="I117" s="43"/>
      <c r="J117" s="43"/>
      <c r="K117" s="43"/>
      <c r="L117" s="43"/>
      <c r="M117" s="44"/>
      <c r="N117" s="119"/>
      <c r="O117" s="986"/>
      <c r="P117" s="38"/>
      <c r="Q117" s="1345"/>
      <c r="R117" s="986"/>
      <c r="S117" s="38"/>
      <c r="T117" s="38"/>
      <c r="U117" s="38"/>
      <c r="V117" s="2146">
        <f>+IF($K$20=1,+IF(U104+U105&gt;0,-(+(R112-O112)-(R115-O115)-U130),0),0)</f>
        <v>0</v>
      </c>
      <c r="W117" s="38"/>
      <c r="X117" s="38"/>
    </row>
    <row r="118" spans="1:24" s="1393" customFormat="1" ht="15.75">
      <c r="A118" s="43"/>
      <c r="B118" s="1256" t="s">
        <v>1966</v>
      </c>
      <c r="C118" s="1252"/>
      <c r="D118" s="1252"/>
      <c r="E118" s="1253"/>
      <c r="F118" s="1252"/>
      <c r="G118" s="1253"/>
      <c r="H118" s="1253"/>
      <c r="I118" s="1253"/>
      <c r="J118" s="1253"/>
      <c r="K118" s="1254"/>
      <c r="L118" s="1255"/>
      <c r="M118" s="44"/>
      <c r="N118" s="1344"/>
      <c r="O118" s="2151"/>
      <c r="P118" s="38"/>
      <c r="Q118" s="1345"/>
      <c r="R118" s="2146">
        <f>+O88</f>
        <v>0</v>
      </c>
      <c r="S118" s="38"/>
      <c r="T118" s="38"/>
      <c r="U118" s="2146">
        <f>IF($K$20=1,+R118-O118,0)</f>
        <v>0</v>
      </c>
      <c r="V118" s="1726"/>
      <c r="W118" s="38"/>
      <c r="X118" s="38"/>
    </row>
    <row r="119" spans="1:24" s="1393" customFormat="1" ht="15.75">
      <c r="A119" s="607" t="s">
        <v>265</v>
      </c>
      <c r="B119" s="2228">
        <f>+E8-1</f>
        <v>2019</v>
      </c>
      <c r="C119" s="1727" t="s">
        <v>1348</v>
      </c>
      <c r="D119" s="1727"/>
      <c r="E119" s="1727"/>
      <c r="F119" s="1727"/>
      <c r="G119" s="1727"/>
      <c r="H119" s="1727"/>
      <c r="I119" s="1727"/>
      <c r="J119" s="1727"/>
      <c r="K119" s="1727"/>
      <c r="L119" s="2148"/>
      <c r="M119" s="44"/>
      <c r="N119" s="1344"/>
      <c r="O119" s="1375"/>
      <c r="P119" s="38"/>
      <c r="Q119" s="1345"/>
      <c r="R119" s="2145">
        <f>+O89</f>
        <v>0</v>
      </c>
      <c r="S119" s="38"/>
      <c r="T119" s="38"/>
      <c r="U119" s="2145">
        <f>IF($K$20=1,+R119-O119,0)</f>
        <v>0</v>
      </c>
      <c r="V119" s="1726"/>
      <c r="W119" s="38"/>
      <c r="X119" s="38"/>
    </row>
    <row r="120" spans="1:24" s="1393" customFormat="1" ht="15.75">
      <c r="A120" s="607"/>
      <c r="B120" s="1339"/>
      <c r="C120" s="1338"/>
      <c r="D120" s="1340"/>
      <c r="E120" s="1340"/>
      <c r="F120" s="1340"/>
      <c r="G120" s="1340"/>
      <c r="H120" s="1340"/>
      <c r="I120" s="1340"/>
      <c r="J120" s="1340"/>
      <c r="K120" s="1340"/>
      <c r="L120" s="1340"/>
      <c r="M120" s="1340"/>
      <c r="N120" s="1340"/>
      <c r="O120" s="1340"/>
      <c r="P120" s="1344"/>
      <c r="Q120" s="1345"/>
      <c r="R120" s="1340"/>
      <c r="S120" s="1344"/>
      <c r="T120" s="38"/>
      <c r="U120" s="43"/>
      <c r="V120" s="43"/>
      <c r="W120" s="38"/>
      <c r="X120" s="38"/>
    </row>
    <row r="121" spans="1:24" ht="16.5" thickBot="1">
      <c r="A121" s="43"/>
      <c r="B121" s="1339"/>
      <c r="C121" s="2144" t="s">
        <v>1241</v>
      </c>
      <c r="D121" s="2144"/>
      <c r="E121" s="2144"/>
      <c r="F121" s="2144"/>
      <c r="G121" s="2144"/>
      <c r="H121" s="2144"/>
      <c r="I121" s="2144"/>
      <c r="J121" s="2144"/>
      <c r="K121" s="2144"/>
      <c r="L121" s="2230">
        <f>+E8-1</f>
        <v>2019</v>
      </c>
      <c r="M121" s="44"/>
      <c r="N121" s="2236" t="s">
        <v>1242</v>
      </c>
      <c r="O121" s="1367" t="s">
        <v>1244</v>
      </c>
      <c r="P121" s="2144">
        <f>+ROUND(+(O112+O113)-(O115+O116)-(O118+O119),2)</f>
        <v>0</v>
      </c>
      <c r="Q121" s="1345"/>
      <c r="R121" s="1367" t="s">
        <v>1244</v>
      </c>
      <c r="S121" s="2144">
        <f>+ROUND(+(R112+R113)-(R115+R116)-(R118+R119),2)</f>
        <v>0</v>
      </c>
      <c r="T121" s="38"/>
      <c r="U121" s="1367" t="s">
        <v>1244</v>
      </c>
      <c r="V121" s="2144">
        <f>+ROUND(+(U112+U113+V114)-(U115+U116+V117)-(U118+U119),2)</f>
        <v>0</v>
      </c>
      <c r="W121" s="43"/>
      <c r="X121" s="43"/>
    </row>
    <row r="122" spans="1:24" ht="16.5" thickTop="1">
      <c r="A122" s="43"/>
      <c r="B122" s="1339"/>
      <c r="C122" s="1338"/>
      <c r="D122" s="1340"/>
      <c r="E122" s="1340"/>
      <c r="F122" s="1340"/>
      <c r="G122" s="1340"/>
      <c r="H122" s="1340"/>
      <c r="I122" s="1340"/>
      <c r="J122" s="1340"/>
      <c r="K122" s="1340"/>
      <c r="L122" s="43"/>
      <c r="M122" s="44"/>
      <c r="N122" s="1342"/>
      <c r="O122" s="1343"/>
      <c r="P122" s="1368">
        <f>+IF(+ROUND(P121,2)=+ROUND(P110,2),0,"НЕРАВНЕНИЕ!")</f>
        <v>0</v>
      </c>
      <c r="Q122" s="1345"/>
      <c r="R122" s="1343"/>
      <c r="S122" s="1368">
        <f>+IF(+ROUND(S121,2)=+ROUND(S110,2),0,"НЕРАВНЕНИЕ!")</f>
        <v>0</v>
      </c>
      <c r="T122" s="38"/>
      <c r="U122" s="43"/>
      <c r="V122" s="1368">
        <f>+IF(+ROUND(V121,2)=+ROUND(V110,2),0,"НЕРАВНЕНИЕ!")</f>
        <v>0</v>
      </c>
      <c r="W122" s="43"/>
      <c r="X122" s="43"/>
    </row>
    <row r="123" spans="1:24" ht="15.75">
      <c r="A123" s="43"/>
      <c r="B123" s="1339"/>
      <c r="C123" s="1338"/>
      <c r="D123" s="1340"/>
      <c r="E123" s="1340"/>
      <c r="F123" s="1340"/>
      <c r="G123" s="1340"/>
      <c r="H123" s="1340"/>
      <c r="I123" s="1340"/>
      <c r="J123" s="1340"/>
      <c r="K123" s="1340"/>
      <c r="L123" s="43"/>
      <c r="M123" s="44"/>
      <c r="N123" s="1342"/>
      <c r="O123" s="1343"/>
      <c r="P123" s="1369">
        <f>+IF(+ROUND(P121,2)=+ROUND(P110,2),0,"неспазено изискване NA-OPR = NA-BAL")</f>
        <v>0</v>
      </c>
      <c r="Q123" s="1345"/>
      <c r="R123" s="1343"/>
      <c r="S123" s="1369">
        <f>+IF(+ROUND(S121,2)=+ROUND(S110,2),0,"неспазено изискване NA-OPR = NA-BAL")</f>
        <v>0</v>
      </c>
      <c r="T123" s="2520" t="s">
        <v>2136</v>
      </c>
      <c r="U123" s="2521"/>
      <c r="V123" s="1369">
        <f>+IF(+ROUND(V121,2)=+ROUND(V110,2),0,"неспазено изискване NA-OPR = NA-BAL")</f>
        <v>0</v>
      </c>
      <c r="W123" s="43"/>
      <c r="X123" s="43"/>
    </row>
    <row r="124" spans="1:24" ht="15.75" customHeight="1">
      <c r="A124" s="43"/>
      <c r="B124" s="1339"/>
      <c r="C124" s="1338"/>
      <c r="D124" s="1340"/>
      <c r="E124" s="1340"/>
      <c r="F124" s="1340"/>
      <c r="G124" s="1340"/>
      <c r="H124" s="1340"/>
      <c r="I124" s="1340"/>
      <c r="J124" s="1340"/>
      <c r="K124" s="1340"/>
      <c r="L124" s="43"/>
      <c r="M124" s="44"/>
      <c r="N124" s="1342"/>
      <c r="O124" s="1343"/>
      <c r="P124" s="1371">
        <f>+IF(+ROUND(P121,2)=+ROUND(P110,2),0,"ПРОМЕНИ ВЪВЕДЕНИТЕ КОРЕКТИВИ!")</f>
        <v>0</v>
      </c>
      <c r="Q124" s="1345"/>
      <c r="R124" s="1343"/>
      <c r="S124" s="1371">
        <f>+IF(+ROUND(S121,2)=+ROUND(S110,2),0,"ПРОМЕНИ ВЪВЕДЕНИТЕ КОРЕКТИВИ!")</f>
        <v>0</v>
      </c>
      <c r="T124" s="2522">
        <f>+E8-1</f>
        <v>2019</v>
      </c>
      <c r="U124" s="2523"/>
      <c r="V124" s="1371">
        <f>+IF(+ROUND(V121,2)=+ROUND(V110,2),0,"ПРОМЕНИ ВЪВЕДЕНИТЕ КОРЕКТИВИ!")</f>
        <v>0</v>
      </c>
      <c r="W124" s="43"/>
      <c r="X124" s="43"/>
    </row>
    <row r="125" spans="1:24" ht="15.75">
      <c r="A125" s="43"/>
      <c r="B125" s="1339"/>
      <c r="C125" s="1338"/>
      <c r="D125" s="1340"/>
      <c r="E125" s="1340"/>
      <c r="F125" s="1340"/>
      <c r="G125" s="1340"/>
      <c r="H125" s="1340"/>
      <c r="I125" s="1340"/>
      <c r="J125" s="1340"/>
      <c r="K125" s="1340"/>
      <c r="L125" s="43"/>
      <c r="M125" s="44"/>
      <c r="N125" s="1342"/>
      <c r="O125" s="1343"/>
      <c r="P125" s="1344"/>
      <c r="Q125" s="1345"/>
      <c r="R125" s="1343"/>
      <c r="S125" s="1344"/>
      <c r="T125" s="38"/>
      <c r="U125" s="1371"/>
      <c r="V125" s="43"/>
      <c r="W125" s="43"/>
      <c r="X125" s="43"/>
    </row>
    <row r="126" spans="1:24" ht="15.75">
      <c r="A126" s="43"/>
      <c r="B126" s="1339"/>
      <c r="C126" s="1338"/>
      <c r="D126" s="1340"/>
      <c r="E126" s="1340"/>
      <c r="F126" s="1340"/>
      <c r="G126" s="1340"/>
      <c r="H126" s="1340"/>
      <c r="I126" s="1340"/>
      <c r="J126" s="1340"/>
      <c r="K126" s="1340"/>
      <c r="L126" s="43"/>
      <c r="M126" s="44"/>
      <c r="N126" s="2219" t="s">
        <v>2143</v>
      </c>
      <c r="O126" s="2219"/>
      <c r="P126" s="2220"/>
      <c r="Q126" s="1345"/>
      <c r="R126" s="1343"/>
      <c r="S126" s="1344"/>
      <c r="T126" s="1728"/>
      <c r="U126" s="2151"/>
      <c r="V126" s="43"/>
      <c r="W126" s="43"/>
      <c r="X126" s="43"/>
    </row>
    <row r="127" spans="1:24" ht="15.75">
      <c r="A127" s="43"/>
      <c r="B127" s="1339"/>
      <c r="C127" s="1338"/>
      <c r="D127" s="1340"/>
      <c r="E127" s="1340"/>
      <c r="F127" s="1340"/>
      <c r="G127" s="1340"/>
      <c r="H127" s="1340"/>
      <c r="I127" s="1340"/>
      <c r="J127" s="1340"/>
      <c r="K127" s="1340"/>
      <c r="L127" s="43"/>
      <c r="M127" s="44"/>
      <c r="N127" s="2223" t="s">
        <v>2142</v>
      </c>
      <c r="O127" s="2223"/>
      <c r="P127" s="2224"/>
      <c r="Q127" s="1345"/>
      <c r="R127" s="1343"/>
      <c r="S127" s="1344"/>
      <c r="T127" s="38"/>
      <c r="U127" s="1371"/>
      <c r="V127" s="43"/>
      <c r="W127" s="43"/>
      <c r="X127" s="43"/>
    </row>
    <row r="128" spans="1:24" ht="15.75">
      <c r="A128" s="43"/>
      <c r="B128" s="1339"/>
      <c r="C128" s="1338"/>
      <c r="D128" s="1340"/>
      <c r="E128" s="1340"/>
      <c r="F128" s="1340"/>
      <c r="G128" s="1340"/>
      <c r="H128" s="1340"/>
      <c r="I128" s="1340"/>
      <c r="J128" s="1340"/>
      <c r="K128" s="1340"/>
      <c r="L128" s="43"/>
      <c r="M128" s="44"/>
      <c r="N128" s="2225" t="s">
        <v>2138</v>
      </c>
      <c r="O128" s="2221"/>
      <c r="P128" s="2222"/>
      <c r="Q128" s="1345"/>
      <c r="R128" s="1343"/>
      <c r="S128" s="1344"/>
      <c r="T128" s="1728"/>
      <c r="U128" s="2151"/>
      <c r="V128" s="43"/>
      <c r="W128" s="43"/>
      <c r="X128" s="43"/>
    </row>
    <row r="129" spans="1:24" ht="15.75">
      <c r="A129" s="43"/>
      <c r="B129" s="1339"/>
      <c r="C129" s="1338"/>
      <c r="D129" s="1340"/>
      <c r="E129" s="1340"/>
      <c r="F129" s="1340"/>
      <c r="G129" s="1340"/>
      <c r="H129" s="1340"/>
      <c r="I129" s="1340"/>
      <c r="J129" s="1340"/>
      <c r="K129" s="1340"/>
      <c r="L129" s="43"/>
      <c r="M129" s="44"/>
      <c r="N129" s="1342"/>
      <c r="O129" s="1343"/>
      <c r="P129" s="1370"/>
      <c r="Q129" s="1345"/>
      <c r="R129" s="1343"/>
      <c r="S129" s="1344"/>
      <c r="T129" s="38"/>
      <c r="U129" s="1344"/>
      <c r="V129" s="43"/>
      <c r="W129" s="43"/>
      <c r="X129" s="43"/>
    </row>
    <row r="130" spans="1:24" ht="15.75" customHeight="1" thickBot="1">
      <c r="A130" s="43"/>
      <c r="B130" s="1339"/>
      <c r="C130" s="1338"/>
      <c r="D130" s="1340"/>
      <c r="E130" s="1340"/>
      <c r="F130" s="1340"/>
      <c r="G130" s="1340"/>
      <c r="H130" s="1340"/>
      <c r="I130" s="1340"/>
      <c r="J130" s="1340"/>
      <c r="K130" s="1340"/>
      <c r="L130" s="43"/>
      <c r="M130" s="44"/>
      <c r="N130" s="1342"/>
      <c r="O130" s="1343"/>
      <c r="P130" s="1370"/>
      <c r="Q130" s="1345"/>
      <c r="R130" s="1343"/>
      <c r="S130" s="1344"/>
      <c r="T130" s="38"/>
      <c r="U130" s="2144">
        <f>+U126-U128</f>
        <v>0</v>
      </c>
      <c r="V130" s="43"/>
      <c r="W130" s="43"/>
      <c r="X130" s="43"/>
    </row>
    <row r="131" spans="1:24" ht="16.5" thickTop="1">
      <c r="A131" s="43"/>
      <c r="B131" s="1339"/>
      <c r="C131" s="1338"/>
      <c r="D131" s="1340"/>
      <c r="E131" s="1340"/>
      <c r="F131" s="1340"/>
      <c r="G131" s="1340"/>
      <c r="H131" s="1340"/>
      <c r="I131" s="1340"/>
      <c r="J131" s="1340"/>
      <c r="K131" s="1340"/>
      <c r="L131" s="43"/>
      <c r="M131" s="44"/>
      <c r="N131" s="1342"/>
      <c r="O131" s="1343"/>
      <c r="P131" s="1370"/>
      <c r="Q131" s="1345"/>
      <c r="R131" s="1343"/>
      <c r="S131" s="1344"/>
      <c r="T131" s="38"/>
      <c r="U131" s="1344"/>
      <c r="V131" s="43"/>
      <c r="W131" s="43"/>
      <c r="X131" s="43"/>
    </row>
    <row r="132" spans="1:24" ht="15.75">
      <c r="A132" s="43"/>
      <c r="B132" s="1280" t="s">
        <v>1189</v>
      </c>
      <c r="C132" s="1271"/>
      <c r="D132" s="1271"/>
      <c r="E132" s="1271"/>
      <c r="F132" s="1281"/>
      <c r="G132" s="43"/>
      <c r="H132" s="43"/>
      <c r="I132" s="43"/>
      <c r="J132" s="43"/>
      <c r="K132" s="43"/>
      <c r="L132" s="43"/>
      <c r="M132" s="44"/>
      <c r="N132" s="1342"/>
      <c r="O132" s="1343"/>
      <c r="P132" s="1370"/>
      <c r="Q132" s="1345"/>
      <c r="R132" s="1343"/>
      <c r="S132" s="1344"/>
      <c r="T132" s="1344"/>
      <c r="U132" s="1344"/>
      <c r="V132" s="43"/>
      <c r="W132" s="43"/>
      <c r="X132" s="43"/>
    </row>
    <row r="133" spans="1:24" ht="15.75">
      <c r="A133" s="43"/>
      <c r="B133" s="1743" t="s">
        <v>1441</v>
      </c>
      <c r="C133" s="1744"/>
      <c r="D133" s="1744"/>
      <c r="E133" s="1744"/>
      <c r="F133" s="1745"/>
      <c r="G133" s="1744"/>
      <c r="H133" s="1744"/>
      <c r="I133" s="1744"/>
      <c r="J133" s="1744"/>
      <c r="K133" s="1746"/>
      <c r="L133" s="43"/>
      <c r="M133" s="44"/>
      <c r="N133" s="1342"/>
      <c r="O133" s="1343"/>
      <c r="P133" s="1370"/>
      <c r="Q133" s="1345"/>
      <c r="R133" s="1343"/>
      <c r="S133" s="1344"/>
      <c r="T133" s="1344"/>
      <c r="U133" s="1344"/>
      <c r="V133" s="43"/>
      <c r="W133" s="43"/>
      <c r="X133" s="43"/>
    </row>
    <row r="134" spans="1:24" ht="15.75">
      <c r="A134" s="43"/>
      <c r="B134" s="1747" t="s">
        <v>1442</v>
      </c>
      <c r="C134" s="1748"/>
      <c r="D134" s="1748"/>
      <c r="E134" s="1748"/>
      <c r="F134" s="1749"/>
      <c r="G134" s="1748"/>
      <c r="H134" s="1748"/>
      <c r="I134" s="1748"/>
      <c r="J134" s="1748"/>
      <c r="K134" s="1750"/>
      <c r="L134" s="43"/>
      <c r="M134" s="44"/>
      <c r="N134" s="1342"/>
      <c r="O134" s="1343"/>
      <c r="P134" s="1370"/>
      <c r="Q134" s="1345"/>
      <c r="R134" s="1343"/>
      <c r="S134" s="1344"/>
      <c r="T134" s="1344"/>
      <c r="U134" s="1344"/>
      <c r="V134" s="43"/>
      <c r="W134" s="43"/>
      <c r="X134" s="43"/>
    </row>
    <row r="135" spans="1:24" ht="15.75">
      <c r="A135" s="43"/>
      <c r="B135" s="1946" t="s">
        <v>2065</v>
      </c>
      <c r="C135" s="1947"/>
      <c r="D135" s="1947"/>
      <c r="E135" s="1947"/>
      <c r="F135" s="1948"/>
      <c r="G135" s="1947"/>
      <c r="H135" s="1947"/>
      <c r="I135" s="1947"/>
      <c r="J135" s="1947"/>
      <c r="K135" s="1949"/>
      <c r="L135" s="43"/>
      <c r="M135" s="44"/>
      <c r="N135" s="1342"/>
      <c r="O135" s="1343"/>
      <c r="P135" s="1370"/>
      <c r="Q135" s="1345"/>
      <c r="R135" s="1343"/>
      <c r="S135" s="1344"/>
      <c r="T135" s="1344"/>
      <c r="U135" s="1344"/>
      <c r="V135" s="43"/>
      <c r="W135" s="43"/>
      <c r="X135" s="43"/>
    </row>
    <row r="136" spans="1:24" ht="15.75">
      <c r="A136" s="43"/>
      <c r="B136" s="1946" t="s">
        <v>2069</v>
      </c>
      <c r="C136" s="1947"/>
      <c r="D136" s="1947"/>
      <c r="E136" s="1947"/>
      <c r="F136" s="1948"/>
      <c r="G136" s="1947"/>
      <c r="H136" s="1947"/>
      <c r="I136" s="1947"/>
      <c r="J136" s="1947"/>
      <c r="K136" s="1949"/>
      <c r="L136" s="1345"/>
      <c r="M136" s="1345"/>
      <c r="N136" s="1345"/>
      <c r="O136" s="1345"/>
      <c r="P136" s="1345"/>
      <c r="Q136" s="1345"/>
      <c r="R136" s="1345"/>
      <c r="S136" s="1345"/>
      <c r="T136" s="1345"/>
      <c r="U136" s="1345"/>
      <c r="V136" s="1345"/>
      <c r="W136" s="1345"/>
      <c r="X136" s="1345"/>
    </row>
    <row r="137" spans="1:24" ht="15.75">
      <c r="A137" s="43"/>
      <c r="B137" s="1751" t="s">
        <v>2091</v>
      </c>
      <c r="C137" s="1752"/>
      <c r="D137" s="1752"/>
      <c r="E137" s="1752"/>
      <c r="F137" s="1753"/>
      <c r="G137" s="1752"/>
      <c r="H137" s="1752"/>
      <c r="I137" s="1752"/>
      <c r="J137" s="1752"/>
      <c r="K137" s="1754"/>
      <c r="L137" s="1345"/>
      <c r="M137" s="1345"/>
      <c r="N137" s="1345"/>
      <c r="O137" s="1345"/>
      <c r="P137" s="1345"/>
      <c r="Q137" s="1345"/>
      <c r="R137" s="1345"/>
      <c r="S137" s="1345"/>
      <c r="T137" s="1345"/>
      <c r="U137" s="1345"/>
      <c r="V137" s="1345"/>
      <c r="W137" s="1345"/>
      <c r="X137" s="1345"/>
    </row>
    <row r="138" spans="1:24" ht="15.75">
      <c r="A138" s="43"/>
      <c r="B138" s="1174" t="s">
        <v>1373</v>
      </c>
      <c r="C138" s="1274"/>
      <c r="D138" s="1274"/>
      <c r="E138" s="1274"/>
      <c r="F138" s="1278"/>
      <c r="G138" s="1274"/>
      <c r="H138" s="1274"/>
      <c r="I138" s="1274"/>
      <c r="J138" s="1274"/>
      <c r="K138" s="1275"/>
      <c r="L138" s="1345"/>
      <c r="M138" s="1345"/>
      <c r="N138" s="1345"/>
      <c r="O138" s="1345"/>
      <c r="P138" s="1345"/>
      <c r="Q138" s="1345"/>
      <c r="R138" s="1345"/>
      <c r="S138" s="1345"/>
      <c r="T138" s="1345"/>
      <c r="U138" s="1345"/>
      <c r="V138" s="1345"/>
      <c r="W138" s="1345"/>
      <c r="X138" s="1345"/>
    </row>
    <row r="139" spans="1:24" ht="15.75">
      <c r="A139" s="43"/>
      <c r="B139" s="1174" t="s">
        <v>1356</v>
      </c>
      <c r="C139" s="1274"/>
      <c r="D139" s="1274"/>
      <c r="E139" s="1274"/>
      <c r="F139" s="1278"/>
      <c r="G139" s="1274"/>
      <c r="H139" s="1274"/>
      <c r="I139" s="1274"/>
      <c r="J139" s="1274"/>
      <c r="K139" s="1275"/>
      <c r="L139" s="1345"/>
      <c r="M139" s="1345"/>
      <c r="N139" s="1345"/>
      <c r="O139" s="1345"/>
      <c r="P139" s="1345"/>
      <c r="Q139" s="1345"/>
      <c r="R139" s="1345"/>
      <c r="S139" s="1345"/>
      <c r="T139" s="1345"/>
      <c r="U139" s="1345"/>
      <c r="V139" s="1345"/>
      <c r="W139" s="1345"/>
      <c r="X139" s="1345"/>
    </row>
    <row r="140" spans="1:24" ht="15.75">
      <c r="A140" s="43"/>
      <c r="B140" s="1174" t="s">
        <v>1314</v>
      </c>
      <c r="C140" s="1274"/>
      <c r="D140" s="1274"/>
      <c r="E140" s="1274"/>
      <c r="F140" s="1278"/>
      <c r="G140" s="1274"/>
      <c r="H140" s="1274"/>
      <c r="I140" s="1274"/>
      <c r="J140" s="1274"/>
      <c r="K140" s="1275"/>
      <c r="L140" s="1345"/>
      <c r="M140" s="1345"/>
      <c r="N140" s="1345"/>
      <c r="O140" s="1345"/>
      <c r="P140" s="1345"/>
      <c r="Q140" s="1345"/>
      <c r="R140" s="1345"/>
      <c r="S140" s="1345"/>
      <c r="T140" s="1345"/>
      <c r="U140" s="1345"/>
      <c r="V140" s="1345"/>
      <c r="W140" s="1345"/>
      <c r="X140" s="1345"/>
    </row>
    <row r="141" spans="1:24" ht="15.75">
      <c r="A141" s="43"/>
      <c r="B141" s="1174" t="s">
        <v>1357</v>
      </c>
      <c r="C141" s="1274"/>
      <c r="D141" s="1274"/>
      <c r="E141" s="1274"/>
      <c r="F141" s="1278"/>
      <c r="G141" s="1274"/>
      <c r="H141" s="1274"/>
      <c r="I141" s="1274"/>
      <c r="J141" s="1274"/>
      <c r="K141" s="1275"/>
      <c r="L141" s="1345"/>
      <c r="M141" s="1345"/>
      <c r="N141" s="1345"/>
      <c r="O141" s="1345"/>
      <c r="P141" s="1345"/>
      <c r="Q141" s="1345"/>
      <c r="R141" s="1345"/>
      <c r="S141" s="1345"/>
      <c r="T141" s="1345"/>
      <c r="U141" s="1345"/>
      <c r="V141" s="1345"/>
      <c r="W141" s="1345"/>
      <c r="X141" s="1345"/>
    </row>
    <row r="142" spans="1:24" ht="15.75">
      <c r="A142" s="43"/>
      <c r="B142" s="1174" t="s">
        <v>1358</v>
      </c>
      <c r="C142" s="1274"/>
      <c r="D142" s="1274"/>
      <c r="E142" s="1274"/>
      <c r="F142" s="1278"/>
      <c r="G142" s="1274"/>
      <c r="H142" s="1274"/>
      <c r="I142" s="1274"/>
      <c r="J142" s="1274"/>
      <c r="K142" s="1275"/>
      <c r="L142" s="1345"/>
      <c r="M142" s="1345"/>
      <c r="N142" s="1345"/>
      <c r="O142" s="1345"/>
      <c r="P142" s="1345"/>
      <c r="Q142" s="1345"/>
      <c r="R142" s="1345"/>
      <c r="S142" s="1345"/>
      <c r="T142" s="1345"/>
      <c r="U142" s="1345"/>
      <c r="V142" s="1345"/>
      <c r="W142" s="1345"/>
      <c r="X142" s="1345"/>
    </row>
    <row r="143" spans="1:24" ht="15.75">
      <c r="A143" s="43"/>
      <c r="B143" s="1174" t="s">
        <v>1374</v>
      </c>
      <c r="C143" s="1274"/>
      <c r="D143" s="1274"/>
      <c r="E143" s="1274"/>
      <c r="F143" s="1278"/>
      <c r="G143" s="1274"/>
      <c r="H143" s="1274"/>
      <c r="I143" s="1274"/>
      <c r="J143" s="1274"/>
      <c r="K143" s="1275"/>
      <c r="L143" s="1345"/>
      <c r="M143" s="1345"/>
      <c r="N143" s="1345"/>
      <c r="O143" s="1345"/>
      <c r="P143" s="1345"/>
      <c r="Q143" s="1345"/>
      <c r="R143" s="1345"/>
      <c r="S143" s="1345"/>
      <c r="T143" s="1345"/>
      <c r="U143" s="1345"/>
      <c r="V143" s="1345"/>
      <c r="W143" s="1345"/>
      <c r="X143" s="1345"/>
    </row>
    <row r="144" spans="1:24" ht="15.75">
      <c r="A144" s="43"/>
      <c r="B144" s="1279" t="s">
        <v>1360</v>
      </c>
      <c r="C144" s="1274"/>
      <c r="D144" s="1274"/>
      <c r="E144" s="1274"/>
      <c r="F144" s="1274"/>
      <c r="G144" s="1274"/>
      <c r="H144" s="1274"/>
      <c r="I144" s="1274"/>
      <c r="J144" s="1274"/>
      <c r="K144" s="1275"/>
      <c r="L144" s="1345"/>
      <c r="M144" s="1345"/>
      <c r="N144" s="1345"/>
      <c r="O144" s="1345"/>
      <c r="P144" s="1345"/>
      <c r="Q144" s="1345"/>
      <c r="R144" s="1345"/>
      <c r="S144" s="1345"/>
      <c r="T144" s="1345"/>
      <c r="U144" s="1345"/>
      <c r="V144" s="1345"/>
      <c r="W144" s="1345"/>
      <c r="X144" s="1345"/>
    </row>
    <row r="145" spans="1:24" ht="15.75">
      <c r="A145" s="43"/>
      <c r="B145" s="1177" t="s">
        <v>1359</v>
      </c>
      <c r="C145" s="1276"/>
      <c r="D145" s="1276"/>
      <c r="E145" s="1276"/>
      <c r="F145" s="1276"/>
      <c r="G145" s="1276"/>
      <c r="H145" s="1276"/>
      <c r="I145" s="1276"/>
      <c r="J145" s="1276"/>
      <c r="K145" s="1277"/>
      <c r="L145" s="1345"/>
      <c r="M145" s="1345"/>
      <c r="N145" s="1345"/>
      <c r="O145" s="1345"/>
      <c r="P145" s="1345"/>
      <c r="Q145" s="1345"/>
      <c r="R145" s="1345"/>
      <c r="S145" s="1345"/>
      <c r="T145" s="1345"/>
      <c r="U145" s="1345"/>
      <c r="V145" s="1345"/>
      <c r="W145" s="1345"/>
      <c r="X145" s="1345"/>
    </row>
    <row r="146" spans="1:24" ht="15.75">
      <c r="A146" s="43"/>
      <c r="B146" s="1171" t="s">
        <v>1375</v>
      </c>
      <c r="C146" s="1271"/>
      <c r="D146" s="1271"/>
      <c r="E146" s="1271"/>
      <c r="F146" s="1271"/>
      <c r="G146" s="1271"/>
      <c r="H146" s="1271"/>
      <c r="I146" s="1271"/>
      <c r="J146" s="1271"/>
      <c r="K146" s="1273"/>
      <c r="L146" s="1345"/>
      <c r="M146" s="1345"/>
      <c r="N146" s="1345"/>
      <c r="O146" s="1345"/>
      <c r="P146" s="1345"/>
      <c r="Q146" s="1345"/>
      <c r="R146" s="1345"/>
      <c r="S146" s="1345"/>
      <c r="T146" s="1345"/>
      <c r="U146" s="1345"/>
      <c r="V146" s="1345"/>
      <c r="W146" s="1345"/>
      <c r="X146" s="1345"/>
    </row>
    <row r="147" spans="1:24" ht="15.75">
      <c r="A147" s="43"/>
      <c r="B147" s="1174" t="s">
        <v>1892</v>
      </c>
      <c r="C147" s="1274"/>
      <c r="D147" s="1274"/>
      <c r="E147" s="1274"/>
      <c r="F147" s="1274"/>
      <c r="G147" s="2138" t="s">
        <v>1958</v>
      </c>
      <c r="H147" s="2139"/>
      <c r="I147" s="1274" t="s">
        <v>1891</v>
      </c>
      <c r="J147" s="1274"/>
      <c r="K147" s="1275"/>
      <c r="L147" s="1345"/>
      <c r="M147" s="1345"/>
      <c r="N147" s="1345"/>
      <c r="O147" s="1345"/>
      <c r="P147" s="1345"/>
      <c r="Q147" s="1345"/>
      <c r="R147" s="1345"/>
      <c r="S147" s="1345"/>
      <c r="T147" s="1345"/>
      <c r="U147" s="1345"/>
      <c r="V147" s="1345"/>
      <c r="W147" s="1345"/>
      <c r="X147" s="1345"/>
    </row>
    <row r="148" spans="1:24" ht="15.75">
      <c r="A148" s="43"/>
      <c r="B148" s="1174" t="s">
        <v>1890</v>
      </c>
      <c r="C148" s="1274"/>
      <c r="D148" s="1274"/>
      <c r="E148" s="1274"/>
      <c r="F148" s="1278"/>
      <c r="G148" s="1274"/>
      <c r="H148" s="1274"/>
      <c r="I148" s="1274"/>
      <c r="J148" s="1274"/>
      <c r="K148" s="1275"/>
      <c r="L148" s="1345"/>
      <c r="M148" s="1345"/>
      <c r="N148" s="1345"/>
      <c r="O148" s="1345"/>
      <c r="P148" s="1345"/>
      <c r="Q148" s="1345"/>
      <c r="R148" s="1345"/>
      <c r="S148" s="1345"/>
      <c r="T148" s="1345"/>
      <c r="U148" s="1345"/>
      <c r="V148" s="1345"/>
      <c r="W148" s="1345"/>
      <c r="X148" s="1345"/>
    </row>
    <row r="149" spans="1:24" ht="15.75">
      <c r="A149" s="43"/>
      <c r="B149" s="1174" t="s">
        <v>1362</v>
      </c>
      <c r="C149" s="1274"/>
      <c r="D149" s="1274"/>
      <c r="E149" s="1274"/>
      <c r="F149" s="1274"/>
      <c r="G149" s="1274"/>
      <c r="H149" s="1274"/>
      <c r="I149" s="1274"/>
      <c r="J149" s="1274"/>
      <c r="K149" s="1275"/>
      <c r="L149" s="1345"/>
      <c r="M149" s="1345"/>
      <c r="N149" s="1345"/>
      <c r="O149" s="1345"/>
      <c r="P149" s="1345"/>
      <c r="Q149" s="1345"/>
      <c r="R149" s="1345"/>
      <c r="S149" s="1345"/>
      <c r="T149" s="1345"/>
      <c r="U149" s="1345"/>
      <c r="V149" s="1345"/>
      <c r="W149" s="1345"/>
      <c r="X149" s="1345"/>
    </row>
    <row r="150" spans="1:24" ht="15.75">
      <c r="A150" s="43"/>
      <c r="B150" s="1174" t="s">
        <v>1361</v>
      </c>
      <c r="C150" s="1274"/>
      <c r="D150" s="1274"/>
      <c r="E150" s="1274"/>
      <c r="F150" s="1274"/>
      <c r="G150" s="1274"/>
      <c r="H150" s="1274"/>
      <c r="I150" s="1274"/>
      <c r="J150" s="1274"/>
      <c r="K150" s="1275"/>
      <c r="L150" s="1345"/>
      <c r="M150" s="1345"/>
      <c r="N150" s="1345"/>
      <c r="O150" s="1345"/>
      <c r="P150" s="1345"/>
      <c r="Q150" s="1345"/>
      <c r="R150" s="1345"/>
      <c r="S150" s="1345"/>
      <c r="T150" s="1345"/>
      <c r="U150" s="1345"/>
      <c r="V150" s="1345"/>
      <c r="W150" s="1345"/>
      <c r="X150" s="1345"/>
    </row>
    <row r="151" spans="1:24" ht="15.75">
      <c r="A151" s="43"/>
      <c r="B151" s="1174" t="s">
        <v>2061</v>
      </c>
      <c r="C151" s="1274"/>
      <c r="D151" s="1274"/>
      <c r="E151" s="1274"/>
      <c r="F151" s="1274"/>
      <c r="G151" s="1274"/>
      <c r="H151" s="1274"/>
      <c r="I151" s="1274"/>
      <c r="J151" s="1274"/>
      <c r="K151" s="1275"/>
      <c r="L151" s="1345"/>
      <c r="M151" s="1345"/>
      <c r="N151" s="1345"/>
      <c r="O151" s="1345"/>
      <c r="P151" s="1345"/>
      <c r="Q151" s="1345"/>
      <c r="R151" s="1345"/>
      <c r="S151" s="1345"/>
      <c r="T151" s="1345"/>
      <c r="U151" s="1345"/>
      <c r="V151" s="1345"/>
      <c r="W151" s="1345"/>
      <c r="X151" s="1345"/>
    </row>
    <row r="152" spans="1:24" ht="15.75">
      <c r="A152" s="43"/>
      <c r="B152" s="1174" t="s">
        <v>2062</v>
      </c>
      <c r="C152" s="1274"/>
      <c r="D152" s="1274"/>
      <c r="E152" s="1274"/>
      <c r="F152" s="1274"/>
      <c r="G152" s="1274"/>
      <c r="H152" s="1274"/>
      <c r="I152" s="1274"/>
      <c r="J152" s="1274"/>
      <c r="K152" s="1275"/>
      <c r="L152" s="1345"/>
      <c r="M152" s="1345"/>
      <c r="N152" s="1345"/>
      <c r="O152" s="1345"/>
      <c r="P152" s="1345"/>
      <c r="Q152" s="1345"/>
      <c r="R152" s="1345"/>
      <c r="S152" s="1345"/>
      <c r="T152" s="1345"/>
      <c r="U152" s="1345"/>
      <c r="V152" s="1345"/>
      <c r="W152" s="1345"/>
      <c r="X152" s="1345"/>
    </row>
    <row r="153" spans="1:24" ht="15.75">
      <c r="A153" s="43"/>
      <c r="B153" s="1174" t="s">
        <v>2079</v>
      </c>
      <c r="C153" s="1274"/>
      <c r="D153" s="1274"/>
      <c r="E153" s="1274"/>
      <c r="F153" s="1274"/>
      <c r="G153" s="1274"/>
      <c r="H153" s="1274"/>
      <c r="I153" s="1274"/>
      <c r="J153" s="1274"/>
      <c r="K153" s="1275"/>
      <c r="L153" s="1345"/>
      <c r="M153" s="1345"/>
      <c r="N153" s="1345"/>
      <c r="O153" s="1345"/>
      <c r="P153" s="1345"/>
      <c r="Q153" s="1345"/>
      <c r="R153" s="1345"/>
      <c r="S153" s="1345"/>
      <c r="T153" s="1345"/>
      <c r="U153" s="1345"/>
      <c r="V153" s="1345"/>
      <c r="W153" s="1345"/>
      <c r="X153" s="1345"/>
    </row>
    <row r="154" spans="1:24" ht="15.75">
      <c r="A154" s="43"/>
      <c r="B154" s="1174" t="s">
        <v>1364</v>
      </c>
      <c r="C154" s="1274"/>
      <c r="D154" s="1274"/>
      <c r="E154" s="1274"/>
      <c r="F154" s="1274"/>
      <c r="G154" s="1274"/>
      <c r="H154" s="1274"/>
      <c r="I154" s="1274"/>
      <c r="J154" s="1274"/>
      <c r="K154" s="1275"/>
      <c r="L154" s="1345"/>
      <c r="M154" s="1345"/>
      <c r="N154" s="1345"/>
      <c r="O154" s="1345"/>
      <c r="P154" s="1345"/>
      <c r="Q154" s="1345"/>
      <c r="R154" s="1345"/>
      <c r="S154" s="1345"/>
      <c r="T154" s="1345"/>
      <c r="U154" s="1345"/>
      <c r="V154" s="1345"/>
      <c r="W154" s="1345"/>
      <c r="X154" s="1345"/>
    </row>
    <row r="155" spans="1:24" ht="15.75">
      <c r="A155" s="43"/>
      <c r="B155" s="1174" t="s">
        <v>1365</v>
      </c>
      <c r="C155" s="1274"/>
      <c r="D155" s="1274"/>
      <c r="E155" s="1274"/>
      <c r="F155" s="1274"/>
      <c r="G155" s="1274"/>
      <c r="H155" s="1274"/>
      <c r="I155" s="1274"/>
      <c r="J155" s="1274"/>
      <c r="K155" s="1275"/>
      <c r="L155" s="1345"/>
      <c r="M155" s="1345"/>
      <c r="N155" s="1345"/>
      <c r="O155" s="1345"/>
      <c r="P155" s="1345"/>
      <c r="Q155" s="1345"/>
      <c r="R155" s="1345"/>
      <c r="S155" s="1345"/>
      <c r="T155" s="1345"/>
      <c r="U155" s="1345"/>
      <c r="V155" s="1345"/>
      <c r="W155" s="1345"/>
      <c r="X155" s="1345"/>
    </row>
    <row r="156" spans="1:24" ht="15.75">
      <c r="A156" s="43"/>
      <c r="B156" s="1174" t="s">
        <v>2063</v>
      </c>
      <c r="C156" s="1274"/>
      <c r="D156" s="1274"/>
      <c r="E156" s="1274"/>
      <c r="F156" s="1274"/>
      <c r="G156" s="1274"/>
      <c r="H156" s="1274"/>
      <c r="I156" s="1274"/>
      <c r="J156" s="1274"/>
      <c r="K156" s="1275"/>
      <c r="L156" s="1345"/>
      <c r="M156" s="1345"/>
      <c r="N156" s="1345"/>
      <c r="O156" s="1345"/>
      <c r="P156" s="1345"/>
      <c r="Q156" s="1345"/>
      <c r="R156" s="1345"/>
      <c r="S156" s="1345"/>
      <c r="T156" s="1345"/>
      <c r="U156" s="1345"/>
      <c r="V156" s="1345"/>
      <c r="W156" s="1345"/>
      <c r="X156" s="1345"/>
    </row>
    <row r="157" spans="1:24" ht="15.75">
      <c r="A157" s="43"/>
      <c r="B157" s="1174" t="s">
        <v>1366</v>
      </c>
      <c r="C157" s="1274"/>
      <c r="D157" s="1274"/>
      <c r="E157" s="1274"/>
      <c r="F157" s="1274"/>
      <c r="G157" s="1274"/>
      <c r="H157" s="1274"/>
      <c r="I157" s="1274"/>
      <c r="J157" s="1274"/>
      <c r="K157" s="1275"/>
      <c r="L157" s="1345"/>
      <c r="M157" s="1345"/>
      <c r="N157" s="1345"/>
      <c r="O157" s="1345"/>
      <c r="P157" s="1345"/>
      <c r="Q157" s="1345"/>
      <c r="R157" s="1345"/>
      <c r="S157" s="1345"/>
      <c r="T157" s="1345"/>
      <c r="U157" s="1345"/>
      <c r="V157" s="1345"/>
      <c r="W157" s="1345"/>
      <c r="X157" s="1345"/>
    </row>
    <row r="158" spans="1:24" ht="15.75">
      <c r="A158" s="43"/>
      <c r="B158" s="1174" t="s">
        <v>1328</v>
      </c>
      <c r="C158" s="1274"/>
      <c r="D158" s="1274"/>
      <c r="E158" s="1274"/>
      <c r="F158" s="1274"/>
      <c r="G158" s="1274"/>
      <c r="H158" s="1274"/>
      <c r="I158" s="1274"/>
      <c r="J158" s="1274"/>
      <c r="K158" s="1275"/>
      <c r="L158" s="1345"/>
      <c r="M158" s="1345"/>
      <c r="N158" s="1345"/>
      <c r="O158" s="1345"/>
      <c r="P158" s="1345"/>
      <c r="Q158" s="1345"/>
      <c r="R158" s="1345"/>
      <c r="S158" s="1345"/>
      <c r="T158" s="1345"/>
      <c r="U158" s="1345"/>
      <c r="V158" s="1345"/>
      <c r="W158" s="1345"/>
      <c r="X158" s="1345"/>
    </row>
    <row r="159" spans="1:24" ht="15.75">
      <c r="A159" s="43"/>
      <c r="B159" s="1174" t="s">
        <v>2066</v>
      </c>
      <c r="C159" s="1274"/>
      <c r="D159" s="1274"/>
      <c r="E159" s="1274"/>
      <c r="F159" s="1274"/>
      <c r="G159" s="1274"/>
      <c r="H159" s="1274"/>
      <c r="I159" s="1274"/>
      <c r="J159" s="1274"/>
      <c r="K159" s="1275"/>
      <c r="L159" s="1345"/>
      <c r="M159" s="1345"/>
      <c r="N159" s="1345"/>
      <c r="O159" s="1345"/>
      <c r="P159" s="1345"/>
      <c r="Q159" s="1345"/>
      <c r="R159" s="1345"/>
      <c r="S159" s="1345"/>
      <c r="T159" s="1345"/>
      <c r="U159" s="1345"/>
      <c r="V159" s="1345"/>
      <c r="W159" s="1345"/>
      <c r="X159" s="1345"/>
    </row>
    <row r="160" spans="1:24" ht="15.75">
      <c r="A160" s="43"/>
      <c r="B160" s="1174" t="s">
        <v>1376</v>
      </c>
      <c r="C160" s="1274"/>
      <c r="D160" s="1274"/>
      <c r="E160" s="1274"/>
      <c r="F160" s="1274"/>
      <c r="G160" s="1274"/>
      <c r="H160" s="1274"/>
      <c r="I160" s="1274"/>
      <c r="J160" s="1274"/>
      <c r="K160" s="1275"/>
      <c r="L160" s="1345"/>
      <c r="M160" s="1345"/>
      <c r="N160" s="1345"/>
      <c r="O160" s="1345"/>
      <c r="P160" s="1345"/>
      <c r="Q160" s="1345"/>
      <c r="R160" s="1345"/>
      <c r="S160" s="1345"/>
      <c r="T160" s="1345"/>
      <c r="U160" s="1345"/>
      <c r="V160" s="1345"/>
      <c r="W160" s="1345"/>
      <c r="X160" s="1345"/>
    </row>
    <row r="161" spans="1:25" ht="15.75">
      <c r="A161" s="43"/>
      <c r="B161" s="1177" t="s">
        <v>1377</v>
      </c>
      <c r="C161" s="1276"/>
      <c r="D161" s="1276"/>
      <c r="E161" s="1276"/>
      <c r="F161" s="1276"/>
      <c r="G161" s="1276"/>
      <c r="H161" s="1276"/>
      <c r="I161" s="1276"/>
      <c r="J161" s="1276"/>
      <c r="K161" s="1277"/>
      <c r="L161" s="1345"/>
      <c r="M161" s="1345"/>
      <c r="N161" s="1345"/>
      <c r="O161" s="1345"/>
      <c r="P161" s="1345"/>
      <c r="Q161" s="1345"/>
      <c r="R161" s="1345"/>
      <c r="S161" s="1345"/>
      <c r="T161" s="1345"/>
      <c r="U161" s="1345"/>
      <c r="V161" s="1345"/>
      <c r="W161" s="1345"/>
      <c r="X161" s="1345"/>
    </row>
    <row r="162" spans="1:25" ht="15.75">
      <c r="A162" s="43"/>
      <c r="B162" s="1923" t="s">
        <v>2077</v>
      </c>
      <c r="C162" s="1927"/>
      <c r="D162" s="1927"/>
      <c r="E162" s="1927"/>
      <c r="F162" s="1927"/>
      <c r="G162" s="1927"/>
      <c r="H162" s="1927"/>
      <c r="I162" s="1927"/>
      <c r="J162" s="1927"/>
      <c r="K162" s="2165"/>
      <c r="L162" s="1345"/>
      <c r="M162" s="1345"/>
      <c r="N162" s="1345"/>
      <c r="O162" s="1345"/>
      <c r="P162" s="1345"/>
      <c r="Q162" s="1345"/>
      <c r="R162" s="1345"/>
      <c r="S162" s="1345"/>
      <c r="T162" s="1345"/>
      <c r="U162" s="1345"/>
      <c r="V162" s="1345"/>
      <c r="W162" s="1345"/>
      <c r="X162" s="1345"/>
    </row>
    <row r="163" spans="1:25" ht="15.75">
      <c r="A163" s="43"/>
      <c r="B163" s="1923" t="s">
        <v>2074</v>
      </c>
      <c r="C163" s="1927"/>
      <c r="D163" s="2528">
        <f>+E8-1</f>
        <v>2019</v>
      </c>
      <c r="E163" s="2528"/>
      <c r="F163" s="2528"/>
      <c r="G163" s="1927" t="s">
        <v>2075</v>
      </c>
      <c r="H163" s="1927"/>
      <c r="I163" s="1927"/>
      <c r="J163" s="1927"/>
      <c r="K163" s="2165"/>
      <c r="L163" s="1345"/>
      <c r="M163" s="1345"/>
      <c r="N163" s="1345"/>
      <c r="O163" s="1345"/>
      <c r="P163" s="1345"/>
      <c r="Q163" s="1345"/>
      <c r="R163" s="1345"/>
      <c r="S163" s="1345"/>
      <c r="T163" s="1345"/>
      <c r="U163" s="1345"/>
      <c r="V163" s="1345"/>
      <c r="W163" s="1345"/>
      <c r="X163" s="1345"/>
    </row>
    <row r="164" spans="1:25" ht="15.75">
      <c r="A164" s="43"/>
      <c r="B164" s="1923" t="s">
        <v>2076</v>
      </c>
      <c r="C164" s="1927"/>
      <c r="D164" s="2166">
        <f>+E8-1</f>
        <v>2019</v>
      </c>
      <c r="E164" s="1927" t="s">
        <v>2078</v>
      </c>
      <c r="F164" s="1927"/>
      <c r="G164" s="1927"/>
      <c r="H164" s="1927"/>
      <c r="I164" s="1927"/>
      <c r="J164" s="1927"/>
      <c r="K164" s="2165"/>
      <c r="L164" s="1345"/>
      <c r="M164" s="1345"/>
      <c r="N164" s="1345"/>
      <c r="O164" s="1345"/>
      <c r="P164" s="1345"/>
      <c r="Q164" s="1345"/>
      <c r="R164" s="1345"/>
      <c r="S164" s="1345"/>
      <c r="T164" s="1345"/>
      <c r="U164" s="1345"/>
      <c r="V164" s="1345"/>
      <c r="W164" s="1345"/>
      <c r="X164" s="1345"/>
    </row>
    <row r="165" spans="1:25" ht="15.75">
      <c r="A165" s="43"/>
      <c r="B165" s="1923" t="s">
        <v>2135</v>
      </c>
      <c r="C165" s="1927"/>
      <c r="D165" s="2166"/>
      <c r="E165" s="1927"/>
      <c r="F165" s="1927"/>
      <c r="G165" s="1927"/>
      <c r="H165" s="1927"/>
      <c r="I165" s="1927"/>
      <c r="J165" s="1927"/>
      <c r="K165" s="2165"/>
      <c r="L165" s="1345"/>
      <c r="M165" s="1345"/>
      <c r="N165" s="1345"/>
      <c r="O165" s="1345"/>
      <c r="P165" s="1345"/>
      <c r="Q165" s="1345"/>
      <c r="R165" s="1345"/>
      <c r="S165" s="1345"/>
      <c r="T165" s="1345"/>
      <c r="U165" s="1345"/>
      <c r="V165" s="1345"/>
      <c r="W165" s="1345"/>
      <c r="X165" s="1345"/>
    </row>
    <row r="166" spans="1:25" ht="15.75">
      <c r="A166" s="43"/>
      <c r="B166" s="1923" t="s">
        <v>2130</v>
      </c>
      <c r="C166" s="1927"/>
      <c r="D166" s="2166"/>
      <c r="E166" s="1927"/>
      <c r="F166" s="1927"/>
      <c r="G166" s="1927"/>
      <c r="H166" s="1927"/>
      <c r="I166" s="1927"/>
      <c r="J166" s="1927"/>
      <c r="K166" s="2165"/>
      <c r="L166" s="1345"/>
      <c r="M166" s="1345"/>
      <c r="N166" s="1345"/>
      <c r="O166" s="1345"/>
      <c r="P166" s="1345"/>
      <c r="Q166" s="1345"/>
      <c r="R166" s="1345"/>
      <c r="S166" s="1345"/>
      <c r="T166" s="1345"/>
      <c r="U166" s="1345"/>
      <c r="V166" s="1345"/>
      <c r="W166" s="1345"/>
      <c r="X166" s="1345"/>
    </row>
    <row r="167" spans="1:25" ht="15.75">
      <c r="A167" s="43"/>
      <c r="B167" s="1923" t="s">
        <v>2133</v>
      </c>
      <c r="C167" s="1927"/>
      <c r="D167" s="2166"/>
      <c r="E167" s="1927"/>
      <c r="F167" s="1927"/>
      <c r="G167" s="1927"/>
      <c r="H167" s="1927"/>
      <c r="I167" s="1927"/>
      <c r="J167" s="1927"/>
      <c r="K167" s="2165"/>
      <c r="L167" s="1345"/>
      <c r="M167" s="1345"/>
      <c r="N167" s="1345"/>
      <c r="O167" s="1345"/>
      <c r="P167" s="1345"/>
      <c r="Q167" s="1345"/>
      <c r="R167" s="1345"/>
      <c r="S167" s="1345"/>
      <c r="T167" s="1345"/>
      <c r="U167" s="1345"/>
      <c r="V167" s="1345"/>
      <c r="W167" s="1345"/>
      <c r="X167" s="1345"/>
    </row>
    <row r="168" spans="1:25" ht="15.75">
      <c r="A168" s="43"/>
      <c r="B168" s="1923" t="s">
        <v>2134</v>
      </c>
      <c r="C168" s="1927"/>
      <c r="D168" s="2166"/>
      <c r="E168" s="1927"/>
      <c r="F168" s="1927"/>
      <c r="G168" s="1927"/>
      <c r="H168" s="1927"/>
      <c r="I168" s="1927"/>
      <c r="J168" s="1927"/>
      <c r="K168" s="2165"/>
      <c r="L168" s="1345"/>
      <c r="M168" s="1345"/>
      <c r="N168" s="1345"/>
      <c r="O168" s="1345"/>
      <c r="P168" s="1345"/>
      <c r="Q168" s="1345"/>
      <c r="R168" s="1345"/>
      <c r="S168" s="1345"/>
      <c r="T168" s="1345"/>
      <c r="U168" s="1345"/>
      <c r="V168" s="1345"/>
      <c r="W168" s="1345"/>
      <c r="X168" s="1345"/>
    </row>
    <row r="169" spans="1:25" ht="15.75">
      <c r="A169" s="43"/>
      <c r="B169" s="1923" t="s">
        <v>2131</v>
      </c>
      <c r="C169" s="1927"/>
      <c r="D169" s="2166"/>
      <c r="E169" s="1927"/>
      <c r="F169" s="1927"/>
      <c r="G169" s="1927"/>
      <c r="H169" s="1927"/>
      <c r="I169" s="1927"/>
      <c r="J169" s="1927"/>
      <c r="K169" s="2165"/>
      <c r="L169" s="1345"/>
      <c r="M169" s="1345"/>
      <c r="N169" s="1345"/>
      <c r="O169" s="1345"/>
      <c r="P169" s="1345"/>
      <c r="Q169" s="1345"/>
      <c r="R169" s="1345"/>
      <c r="S169" s="1345"/>
      <c r="T169" s="1345"/>
      <c r="U169" s="1345"/>
      <c r="V169" s="1345"/>
      <c r="W169" s="1345"/>
      <c r="X169" s="1345"/>
    </row>
    <row r="170" spans="1:25" ht="15.75">
      <c r="A170" s="43"/>
      <c r="B170" s="1923" t="s">
        <v>2137</v>
      </c>
      <c r="C170" s="1927"/>
      <c r="D170" s="2166"/>
      <c r="E170" s="1927"/>
      <c r="F170" s="1927"/>
      <c r="G170" s="1927"/>
      <c r="H170" s="1927"/>
      <c r="I170" s="1927"/>
      <c r="J170" s="1927"/>
      <c r="K170" s="2165"/>
      <c r="L170" s="1345"/>
      <c r="M170" s="1345"/>
      <c r="N170" s="1345"/>
      <c r="O170" s="1345"/>
      <c r="P170" s="1345"/>
      <c r="Q170" s="1345"/>
      <c r="R170" s="1345"/>
      <c r="S170" s="1345"/>
      <c r="T170" s="1345"/>
      <c r="U170" s="1345"/>
      <c r="V170" s="1345"/>
      <c r="W170" s="1345"/>
      <c r="X170" s="1345"/>
    </row>
    <row r="171" spans="1:25" ht="15.75">
      <c r="A171" s="43"/>
      <c r="B171" s="1171" t="s">
        <v>2070</v>
      </c>
      <c r="C171" s="1271"/>
      <c r="D171" s="1271"/>
      <c r="E171" s="1271"/>
      <c r="F171" s="1271"/>
      <c r="G171" s="1271"/>
      <c r="H171" s="1271"/>
      <c r="I171" s="1271"/>
      <c r="J171" s="1271"/>
      <c r="K171" s="1273"/>
      <c r="L171" s="1345"/>
      <c r="M171" s="1345"/>
      <c r="N171" s="1345"/>
      <c r="O171" s="1345"/>
      <c r="P171" s="1345"/>
      <c r="Q171" s="1345"/>
      <c r="R171" s="1345"/>
      <c r="S171" s="1345"/>
      <c r="T171" s="1345"/>
      <c r="U171" s="1345"/>
      <c r="V171" s="1345"/>
      <c r="W171" s="1345"/>
      <c r="X171" s="1345"/>
    </row>
    <row r="172" spans="1:25" ht="15.75">
      <c r="A172" s="1345"/>
      <c r="B172" s="1174" t="s">
        <v>2071</v>
      </c>
      <c r="C172" s="1274"/>
      <c r="D172" s="1274"/>
      <c r="E172" s="1274"/>
      <c r="F172" s="1274"/>
      <c r="G172" s="1274"/>
      <c r="H172" s="1274"/>
      <c r="I172" s="1274"/>
      <c r="J172" s="1274"/>
      <c r="K172" s="1275"/>
      <c r="L172" s="1345"/>
      <c r="M172" s="1345"/>
      <c r="N172" s="1345"/>
      <c r="O172" s="1345"/>
      <c r="P172" s="1345"/>
      <c r="Q172" s="1345"/>
      <c r="R172" s="1345"/>
      <c r="S172" s="1345"/>
      <c r="T172" s="1345"/>
      <c r="U172" s="1345"/>
      <c r="V172" s="1345"/>
      <c r="W172" s="1345"/>
      <c r="X172" s="1345"/>
    </row>
    <row r="173" spans="1:25" ht="15.75" customHeight="1">
      <c r="A173" s="1345"/>
      <c r="B173" s="1174" t="s">
        <v>2072</v>
      </c>
      <c r="C173" s="1274"/>
      <c r="D173" s="1274"/>
      <c r="E173" s="1274"/>
      <c r="F173" s="1274"/>
      <c r="G173" s="1274"/>
      <c r="H173" s="1274"/>
      <c r="I173" s="1274"/>
      <c r="J173" s="1274"/>
      <c r="K173" s="1275"/>
      <c r="L173" s="1345"/>
      <c r="M173" s="1345"/>
      <c r="N173" s="1345"/>
      <c r="O173" s="1345"/>
      <c r="P173" s="1345"/>
      <c r="Q173" s="1345"/>
      <c r="R173" s="1345"/>
      <c r="S173" s="1345"/>
      <c r="T173" s="1345"/>
      <c r="U173" s="1345"/>
      <c r="V173" s="1345"/>
      <c r="W173" s="1345"/>
      <c r="X173" s="1345"/>
    </row>
    <row r="174" spans="1:25" ht="15.75">
      <c r="A174" s="1345"/>
      <c r="B174" s="1174" t="s">
        <v>2073</v>
      </c>
      <c r="C174" s="1274"/>
      <c r="D174" s="1274"/>
      <c r="E174" s="1274"/>
      <c r="F174" s="1274"/>
      <c r="G174" s="1274"/>
      <c r="H174" s="1274"/>
      <c r="I174" s="1274"/>
      <c r="J174" s="1274"/>
      <c r="K174" s="1275"/>
      <c r="L174" s="1345"/>
      <c r="M174" s="1345"/>
      <c r="N174" s="1345"/>
      <c r="O174" s="1345"/>
      <c r="P174" s="1345"/>
      <c r="Q174" s="1345"/>
      <c r="R174" s="1345"/>
      <c r="S174" s="1345"/>
      <c r="T174" s="1345"/>
      <c r="U174" s="1345"/>
      <c r="V174" s="1345"/>
      <c r="W174" s="1345"/>
      <c r="X174" s="1345"/>
    </row>
    <row r="175" spans="1:25" s="1393" customFormat="1" ht="15.75">
      <c r="A175" s="43"/>
      <c r="B175" s="1174" t="s">
        <v>1443</v>
      </c>
      <c r="C175" s="1274"/>
      <c r="D175" s="1274"/>
      <c r="E175" s="1731" t="s">
        <v>1444</v>
      </c>
      <c r="F175" s="1729"/>
      <c r="G175" s="1730"/>
      <c r="H175" s="1274"/>
      <c r="I175" s="1274"/>
      <c r="J175" s="1274"/>
      <c r="K175" s="1275"/>
      <c r="L175" s="1345"/>
      <c r="M175" s="1345"/>
      <c r="N175" s="1345"/>
      <c r="O175" s="1345"/>
      <c r="P175" s="1345"/>
      <c r="Q175" s="1345"/>
      <c r="R175" s="1345"/>
      <c r="S175" s="1345"/>
      <c r="T175" s="1345"/>
      <c r="U175" s="1345"/>
      <c r="V175" s="1345"/>
      <c r="W175" s="1345"/>
      <c r="X175" s="1345"/>
      <c r="Y175" s="1392"/>
    </row>
    <row r="176" spans="1:25" s="1393" customFormat="1" ht="15.75">
      <c r="A176" s="43"/>
      <c r="B176" s="1174" t="s">
        <v>2092</v>
      </c>
      <c r="C176" s="1274"/>
      <c r="D176" s="1274"/>
      <c r="E176" s="1274"/>
      <c r="F176" s="1274"/>
      <c r="G176" s="1274"/>
      <c r="H176" s="1274"/>
      <c r="I176" s="1274"/>
      <c r="J176" s="1274"/>
      <c r="K176" s="1275"/>
      <c r="L176" s="1345"/>
      <c r="M176" s="1345"/>
      <c r="N176" s="1345"/>
      <c r="O176" s="1345"/>
      <c r="P176" s="1345"/>
      <c r="Q176" s="1345"/>
      <c r="R176" s="1345"/>
      <c r="S176" s="1345"/>
      <c r="T176" s="1345"/>
      <c r="U176" s="1345"/>
      <c r="V176" s="1345"/>
      <c r="W176" s="1345"/>
      <c r="X176" s="1345"/>
      <c r="Y176" s="1392"/>
    </row>
    <row r="177" spans="1:25" s="1393" customFormat="1" ht="15.75">
      <c r="A177" s="43"/>
      <c r="B177" s="1174" t="s">
        <v>1367</v>
      </c>
      <c r="C177" s="1274"/>
      <c r="D177" s="1274"/>
      <c r="E177" s="1274"/>
      <c r="F177" s="1274"/>
      <c r="G177" s="1274"/>
      <c r="H177" s="1274"/>
      <c r="I177" s="1274"/>
      <c r="J177" s="1274"/>
      <c r="K177" s="1275"/>
      <c r="L177" s="1345"/>
      <c r="M177" s="1345"/>
      <c r="N177" s="1345"/>
      <c r="O177" s="1345"/>
      <c r="P177" s="1345"/>
      <c r="Q177" s="1345"/>
      <c r="R177" s="1345"/>
      <c r="S177" s="1345"/>
      <c r="T177" s="1345"/>
      <c r="U177" s="1345"/>
      <c r="V177" s="1345"/>
      <c r="W177" s="1345"/>
      <c r="X177" s="1345"/>
      <c r="Y177" s="1392"/>
    </row>
    <row r="178" spans="1:25" s="1393" customFormat="1" ht="15.75">
      <c r="A178" s="43"/>
      <c r="B178" s="1174" t="s">
        <v>1372</v>
      </c>
      <c r="C178" s="1274"/>
      <c r="D178" s="1274"/>
      <c r="E178" s="1274"/>
      <c r="F178" s="1274"/>
      <c r="G178" s="1274"/>
      <c r="H178" s="1274"/>
      <c r="I178" s="1274"/>
      <c r="J178" s="1274"/>
      <c r="K178" s="1275"/>
      <c r="L178" s="1345"/>
      <c r="M178" s="1345"/>
      <c r="N178" s="1345"/>
      <c r="O178" s="1345"/>
      <c r="P178" s="1345"/>
      <c r="Q178" s="1345"/>
      <c r="R178" s="1345"/>
      <c r="S178" s="1345"/>
      <c r="T178" s="1345"/>
      <c r="U178" s="1345"/>
      <c r="V178" s="1345"/>
      <c r="W178" s="1345"/>
      <c r="X178" s="1345"/>
      <c r="Y178" s="1392"/>
    </row>
    <row r="179" spans="1:25" s="1393" customFormat="1" ht="15.75">
      <c r="A179" s="43"/>
      <c r="B179" s="1174" t="s">
        <v>1371</v>
      </c>
      <c r="C179" s="1274"/>
      <c r="D179" s="1274"/>
      <c r="E179" s="1274"/>
      <c r="F179" s="1274"/>
      <c r="G179" s="1274"/>
      <c r="H179" s="1274"/>
      <c r="I179" s="1274"/>
      <c r="J179" s="1274"/>
      <c r="K179" s="1275"/>
      <c r="L179" s="1345"/>
      <c r="M179" s="1345"/>
      <c r="N179" s="1345"/>
      <c r="O179" s="1345"/>
      <c r="P179" s="1345"/>
      <c r="Q179" s="1345"/>
      <c r="R179" s="1345"/>
      <c r="S179" s="1345"/>
      <c r="T179" s="1345"/>
      <c r="U179" s="1345"/>
      <c r="V179" s="1345"/>
      <c r="W179" s="1345"/>
      <c r="X179" s="1345"/>
      <c r="Y179" s="1392"/>
    </row>
    <row r="180" spans="1:25" s="1393" customFormat="1" ht="15.75">
      <c r="A180" s="43"/>
      <c r="B180" s="1174" t="s">
        <v>2093</v>
      </c>
      <c r="C180" s="1274"/>
      <c r="D180" s="1274"/>
      <c r="E180" s="1274"/>
      <c r="F180" s="1274"/>
      <c r="G180" s="1274"/>
      <c r="H180" s="1274"/>
      <c r="I180" s="1274"/>
      <c r="J180" s="1274"/>
      <c r="K180" s="1275"/>
      <c r="L180" s="1345"/>
      <c r="M180" s="1345"/>
      <c r="N180" s="1345"/>
      <c r="O180" s="1345"/>
      <c r="P180" s="1345"/>
      <c r="Q180" s="1345"/>
      <c r="R180" s="1345"/>
      <c r="S180" s="1345"/>
      <c r="T180" s="1345"/>
      <c r="U180" s="1345"/>
      <c r="V180" s="1345"/>
      <c r="W180" s="1345"/>
      <c r="X180" s="1345"/>
      <c r="Y180" s="1392"/>
    </row>
    <row r="181" spans="1:25" s="1393" customFormat="1" ht="15.75">
      <c r="A181" s="43"/>
      <c r="B181" s="1174" t="s">
        <v>1368</v>
      </c>
      <c r="C181" s="1274"/>
      <c r="D181" s="1274"/>
      <c r="E181" s="1274"/>
      <c r="F181" s="1274"/>
      <c r="G181" s="1274"/>
      <c r="H181" s="1274"/>
      <c r="I181" s="1274"/>
      <c r="J181" s="1274"/>
      <c r="K181" s="1275"/>
      <c r="L181" s="1345"/>
      <c r="M181" s="1345"/>
      <c r="N181" s="1345"/>
      <c r="O181" s="1345"/>
      <c r="P181" s="1345"/>
      <c r="Q181" s="1345"/>
      <c r="R181" s="1345"/>
      <c r="S181" s="1345"/>
      <c r="T181" s="1345"/>
      <c r="U181" s="1345"/>
      <c r="V181" s="1345"/>
      <c r="W181" s="1345"/>
      <c r="X181" s="1345"/>
      <c r="Y181" s="1392"/>
    </row>
    <row r="182" spans="1:25" s="1393" customFormat="1" ht="15.75">
      <c r="A182" s="43"/>
      <c r="B182" s="1174" t="s">
        <v>1369</v>
      </c>
      <c r="C182" s="1274"/>
      <c r="D182" s="1274"/>
      <c r="E182" s="1274"/>
      <c r="F182" s="1274"/>
      <c r="G182" s="1274"/>
      <c r="H182" s="1274"/>
      <c r="I182" s="1274"/>
      <c r="J182" s="1274"/>
      <c r="K182" s="1275"/>
      <c r="L182" s="1345"/>
      <c r="M182" s="1345"/>
      <c r="N182" s="1345"/>
      <c r="O182" s="1345"/>
      <c r="P182" s="1345"/>
      <c r="Q182" s="1345"/>
      <c r="R182" s="1345"/>
      <c r="S182" s="1345"/>
      <c r="T182" s="1345"/>
      <c r="U182" s="1345"/>
      <c r="V182" s="1345"/>
      <c r="W182" s="1345"/>
      <c r="X182" s="1345"/>
      <c r="Y182" s="1392"/>
    </row>
    <row r="183" spans="1:25" s="1393" customFormat="1" ht="15.75">
      <c r="A183" s="43"/>
      <c r="B183" s="1174" t="s">
        <v>1993</v>
      </c>
      <c r="C183" s="1274"/>
      <c r="D183" s="1274"/>
      <c r="E183" s="1274"/>
      <c r="F183" s="1274"/>
      <c r="G183" s="1274"/>
      <c r="H183" s="1274"/>
      <c r="I183" s="1274"/>
      <c r="J183" s="1274"/>
      <c r="K183" s="1275"/>
      <c r="L183" s="1345"/>
      <c r="M183" s="1345"/>
      <c r="N183" s="1345"/>
      <c r="O183" s="1345"/>
      <c r="P183" s="1345"/>
      <c r="Q183" s="1345"/>
      <c r="R183" s="1345"/>
      <c r="S183" s="1345"/>
      <c r="T183" s="1345"/>
      <c r="U183" s="1345"/>
      <c r="V183" s="1345"/>
      <c r="W183" s="1345"/>
      <c r="X183" s="1345"/>
      <c r="Y183" s="1392"/>
    </row>
    <row r="184" spans="1:25" s="1393" customFormat="1" ht="15.75">
      <c r="A184" s="43"/>
      <c r="B184" s="1174" t="s">
        <v>2064</v>
      </c>
      <c r="C184" s="1274"/>
      <c r="D184" s="1274"/>
      <c r="E184" s="1274"/>
      <c r="F184" s="1274"/>
      <c r="G184" s="1274"/>
      <c r="H184" s="1274"/>
      <c r="I184" s="1274"/>
      <c r="J184" s="1274"/>
      <c r="K184" s="1275"/>
      <c r="L184" s="1345"/>
      <c r="M184" s="1345"/>
      <c r="N184" s="1345"/>
      <c r="O184" s="1345"/>
      <c r="P184" s="1345"/>
      <c r="Q184" s="1345"/>
      <c r="R184" s="1345"/>
      <c r="S184" s="1345"/>
      <c r="T184" s="1345"/>
      <c r="U184" s="1345"/>
      <c r="V184" s="1345"/>
      <c r="W184" s="1345"/>
      <c r="X184" s="1345"/>
      <c r="Y184" s="1392"/>
    </row>
    <row r="185" spans="1:25" s="1393" customFormat="1" ht="15.75">
      <c r="A185" s="43"/>
      <c r="B185" s="1174" t="s">
        <v>1370</v>
      </c>
      <c r="C185" s="1274"/>
      <c r="D185" s="1274"/>
      <c r="E185" s="1274"/>
      <c r="F185" s="1274"/>
      <c r="G185" s="1274"/>
      <c r="H185" s="1274"/>
      <c r="I185" s="1274"/>
      <c r="J185" s="1274"/>
      <c r="K185" s="1275"/>
      <c r="L185" s="1345"/>
      <c r="M185" s="1345"/>
      <c r="N185" s="1345"/>
      <c r="O185" s="1345"/>
      <c r="P185" s="1345"/>
      <c r="Q185" s="1345"/>
      <c r="R185" s="1345"/>
      <c r="S185" s="1345"/>
      <c r="T185" s="1345"/>
      <c r="U185" s="1345"/>
      <c r="V185" s="1345"/>
      <c r="W185" s="1345"/>
      <c r="X185" s="1345"/>
      <c r="Y185" s="1392"/>
    </row>
    <row r="186" spans="1:25" s="1393" customFormat="1" ht="15.75">
      <c r="A186" s="43"/>
      <c r="B186" s="1174" t="s">
        <v>2094</v>
      </c>
      <c r="C186" s="1274"/>
      <c r="D186" s="1274"/>
      <c r="E186" s="1274"/>
      <c r="F186" s="1274"/>
      <c r="G186" s="1274"/>
      <c r="H186" s="1274"/>
      <c r="I186" s="1274"/>
      <c r="J186" s="1274"/>
      <c r="K186" s="1275"/>
      <c r="L186" s="1345"/>
      <c r="M186" s="1345"/>
      <c r="N186" s="1345"/>
      <c r="O186" s="1345"/>
      <c r="P186" s="1345"/>
      <c r="Q186" s="1345"/>
      <c r="R186" s="1345"/>
      <c r="S186" s="1345"/>
      <c r="T186" s="1345"/>
      <c r="U186" s="1345"/>
      <c r="V186" s="1345"/>
      <c r="W186" s="1345"/>
      <c r="X186" s="1345"/>
      <c r="Y186" s="1392"/>
    </row>
    <row r="187" spans="1:25" s="1393" customFormat="1" ht="15.75">
      <c r="A187" s="43"/>
      <c r="B187" s="1174" t="s">
        <v>2068</v>
      </c>
      <c r="C187" s="1274"/>
      <c r="D187" s="1274"/>
      <c r="E187" s="1274"/>
      <c r="F187" s="1274"/>
      <c r="G187" s="1274"/>
      <c r="H187" s="1274"/>
      <c r="I187" s="1274"/>
      <c r="J187" s="1274"/>
      <c r="K187" s="1275"/>
      <c r="L187" s="1345"/>
      <c r="M187" s="1345"/>
      <c r="N187" s="1345"/>
      <c r="O187" s="1345"/>
      <c r="P187" s="1345"/>
      <c r="Q187" s="1345"/>
      <c r="R187" s="1345"/>
      <c r="S187" s="1345"/>
      <c r="T187" s="1345"/>
      <c r="U187" s="1345"/>
      <c r="V187" s="1345"/>
      <c r="W187" s="1345"/>
      <c r="X187" s="1345"/>
      <c r="Y187" s="1392"/>
    </row>
    <row r="188" spans="1:25" s="1393" customFormat="1" ht="15.75">
      <c r="A188" s="43"/>
      <c r="B188" s="1177" t="s">
        <v>2067</v>
      </c>
      <c r="C188" s="1276"/>
      <c r="D188" s="1276"/>
      <c r="E188" s="1276"/>
      <c r="F188" s="1276"/>
      <c r="G188" s="1276"/>
      <c r="H188" s="1276"/>
      <c r="I188" s="1276"/>
      <c r="J188" s="1276"/>
      <c r="K188" s="1277"/>
      <c r="L188" s="1345"/>
      <c r="M188" s="1345"/>
      <c r="N188" s="1345"/>
      <c r="O188" s="1345"/>
      <c r="P188" s="1345"/>
      <c r="Q188" s="1345"/>
      <c r="R188" s="1345"/>
      <c r="S188" s="1345"/>
      <c r="T188" s="1345"/>
      <c r="U188" s="1345"/>
      <c r="V188" s="1345"/>
      <c r="W188" s="1345"/>
      <c r="X188" s="1345"/>
      <c r="Y188" s="1392"/>
    </row>
    <row r="189" spans="1:25" s="1393" customFormat="1" ht="15.75">
      <c r="A189" s="43"/>
      <c r="B189" s="1174" t="s">
        <v>2095</v>
      </c>
      <c r="C189" s="1274"/>
      <c r="D189" s="1274"/>
      <c r="E189" s="1274"/>
      <c r="F189" s="1274"/>
      <c r="G189" s="1274"/>
      <c r="H189" s="1274"/>
      <c r="I189" s="1274"/>
      <c r="J189" s="1274"/>
      <c r="K189" s="1275"/>
      <c r="L189" s="1345"/>
      <c r="M189" s="1345"/>
      <c r="N189" s="1345"/>
      <c r="O189" s="1345"/>
      <c r="P189" s="1345"/>
      <c r="Q189" s="1345"/>
      <c r="R189" s="1345"/>
      <c r="S189" s="1345"/>
      <c r="T189" s="1345"/>
      <c r="U189" s="1345"/>
      <c r="V189" s="1345"/>
      <c r="W189" s="1345"/>
      <c r="X189" s="1345"/>
      <c r="Y189" s="1392"/>
    </row>
    <row r="190" spans="1:25" s="1393" customFormat="1" ht="15.75">
      <c r="A190" s="43"/>
      <c r="B190" s="1174" t="s">
        <v>1379</v>
      </c>
      <c r="C190" s="1274"/>
      <c r="D190" s="1274"/>
      <c r="E190" s="1274"/>
      <c r="F190" s="1274"/>
      <c r="G190" s="1274"/>
      <c r="H190" s="1274"/>
      <c r="I190" s="1274"/>
      <c r="J190" s="1274"/>
      <c r="K190" s="1275"/>
      <c r="L190" s="1345"/>
      <c r="M190" s="1345"/>
      <c r="N190" s="1345"/>
      <c r="O190" s="1345"/>
      <c r="P190" s="1345"/>
      <c r="Q190" s="1345"/>
      <c r="R190" s="1345"/>
      <c r="S190" s="1345"/>
      <c r="T190" s="1345"/>
      <c r="U190" s="1345"/>
      <c r="V190" s="1345"/>
      <c r="W190" s="1345"/>
      <c r="X190" s="1345"/>
      <c r="Y190" s="1392"/>
    </row>
    <row r="191" spans="1:25" s="1393" customFormat="1" ht="15.75">
      <c r="A191" s="43"/>
      <c r="B191" s="1174" t="s">
        <v>1380</v>
      </c>
      <c r="C191" s="1274"/>
      <c r="D191" s="1274"/>
      <c r="E191" s="1274"/>
      <c r="F191" s="1274"/>
      <c r="G191" s="1274"/>
      <c r="H191" s="1274"/>
      <c r="I191" s="1274"/>
      <c r="J191" s="1274"/>
      <c r="K191" s="1275"/>
      <c r="L191" s="1345"/>
      <c r="M191" s="1345"/>
      <c r="N191" s="1345"/>
      <c r="O191" s="1345"/>
      <c r="P191" s="1345"/>
      <c r="Q191" s="1345"/>
      <c r="R191" s="1345"/>
      <c r="S191" s="1345"/>
      <c r="T191" s="1345"/>
      <c r="U191" s="1345"/>
      <c r="V191" s="1345"/>
      <c r="W191" s="1345"/>
      <c r="X191" s="1345"/>
      <c r="Y191" s="1392"/>
    </row>
    <row r="192" spans="1:25" s="1393" customFormat="1" ht="15.75">
      <c r="A192" s="43"/>
      <c r="B192" s="1174" t="s">
        <v>1381</v>
      </c>
      <c r="C192" s="1274"/>
      <c r="D192" s="1274"/>
      <c r="E192" s="1274"/>
      <c r="F192" s="1274"/>
      <c r="G192" s="1274"/>
      <c r="H192" s="1274"/>
      <c r="I192" s="1274"/>
      <c r="J192" s="1274"/>
      <c r="K192" s="1275"/>
      <c r="L192" s="1345"/>
      <c r="M192" s="1345"/>
      <c r="N192" s="1345"/>
      <c r="O192" s="1345"/>
      <c r="P192" s="1345"/>
      <c r="Q192" s="1345"/>
      <c r="R192" s="1345"/>
      <c r="S192" s="1345"/>
      <c r="T192" s="1345"/>
      <c r="U192" s="1345"/>
      <c r="V192" s="1345"/>
      <c r="W192" s="1345"/>
      <c r="X192" s="1345"/>
      <c r="Y192" s="1392"/>
    </row>
    <row r="193" spans="1:25" s="1393" customFormat="1" ht="15.75">
      <c r="A193" s="43"/>
      <c r="B193" s="1174" t="s">
        <v>1445</v>
      </c>
      <c r="C193" s="1274"/>
      <c r="D193" s="1274"/>
      <c r="E193" s="1274"/>
      <c r="F193" s="1274"/>
      <c r="G193" s="1274"/>
      <c r="H193" s="1274"/>
      <c r="I193" s="1274"/>
      <c r="J193" s="1274"/>
      <c r="K193" s="1275"/>
      <c r="L193" s="1345"/>
      <c r="M193" s="1345"/>
      <c r="N193" s="1345"/>
      <c r="O193" s="1345"/>
      <c r="P193" s="1345"/>
      <c r="Q193" s="1345"/>
      <c r="R193" s="1345"/>
      <c r="S193" s="1345"/>
      <c r="T193" s="1345"/>
      <c r="U193" s="1345"/>
      <c r="V193" s="1345"/>
      <c r="W193" s="1345"/>
      <c r="X193" s="1345"/>
      <c r="Y193" s="1392"/>
    </row>
    <row r="194" spans="1:25" s="1393" customFormat="1" ht="15.75">
      <c r="A194" s="43"/>
      <c r="B194" s="1755" t="s">
        <v>2096</v>
      </c>
      <c r="C194" s="1756"/>
      <c r="D194" s="1756"/>
      <c r="E194" s="1756"/>
      <c r="F194" s="1757"/>
      <c r="G194" s="1756"/>
      <c r="H194" s="1756"/>
      <c r="I194" s="1756"/>
      <c r="J194" s="1756"/>
      <c r="K194" s="1758"/>
      <c r="L194" s="1345"/>
      <c r="M194" s="1345"/>
      <c r="N194" s="1345"/>
      <c r="O194" s="1345"/>
      <c r="P194" s="1345"/>
      <c r="Q194" s="1345"/>
      <c r="R194" s="1345"/>
      <c r="S194" s="1345"/>
      <c r="T194" s="1345"/>
      <c r="U194" s="1345"/>
      <c r="V194" s="1345"/>
      <c r="W194" s="1345"/>
      <c r="X194" s="1345"/>
      <c r="Y194" s="1392"/>
    </row>
    <row r="195" spans="1:25" s="1393" customFormat="1" ht="15.75">
      <c r="A195" s="43"/>
      <c r="B195" s="1759" t="s">
        <v>1894</v>
      </c>
      <c r="C195" s="1760"/>
      <c r="D195" s="2506">
        <f>+E8</f>
        <v>2020</v>
      </c>
      <c r="E195" s="2506"/>
      <c r="F195" s="2506"/>
      <c r="G195" s="1910" t="s">
        <v>1893</v>
      </c>
      <c r="H195" s="2527">
        <f>+E8</f>
        <v>2020</v>
      </c>
      <c r="I195" s="2527"/>
      <c r="J195" s="2140"/>
      <c r="K195" s="1911" t="s">
        <v>1895</v>
      </c>
      <c r="L195" s="1345"/>
      <c r="M195" s="1345"/>
      <c r="N195" s="1345"/>
      <c r="O195" s="1345"/>
      <c r="P195" s="1345"/>
      <c r="Q195" s="1345"/>
      <c r="R195" s="1345"/>
      <c r="S195" s="1345"/>
      <c r="T195" s="1345"/>
      <c r="U195" s="1345"/>
      <c r="V195" s="1345"/>
      <c r="W195" s="1345"/>
      <c r="X195" s="1345"/>
      <c r="Y195" s="1392"/>
    </row>
    <row r="196" spans="1:25" s="1393" customFormat="1" ht="15.75">
      <c r="A196" s="43"/>
      <c r="B196" s="1759" t="s">
        <v>1896</v>
      </c>
      <c r="C196" s="1760"/>
      <c r="D196" s="1760"/>
      <c r="E196" s="1760"/>
      <c r="F196" s="1760"/>
      <c r="G196" s="1760"/>
      <c r="H196" s="1760"/>
      <c r="I196" s="1760"/>
      <c r="J196" s="1760"/>
      <c r="K196" s="1761"/>
      <c r="L196" s="1345"/>
      <c r="M196" s="1345"/>
      <c r="N196" s="1345"/>
      <c r="O196" s="1345"/>
      <c r="P196" s="1345"/>
      <c r="Q196" s="1345"/>
      <c r="R196" s="1345"/>
      <c r="S196" s="1345"/>
      <c r="T196" s="1345"/>
      <c r="U196" s="1345"/>
      <c r="V196" s="1345"/>
      <c r="W196" s="1345"/>
      <c r="X196" s="1345"/>
      <c r="Y196" s="1392"/>
    </row>
    <row r="197" spans="1:25" s="1393" customFormat="1" ht="15.75">
      <c r="A197" s="607" t="s">
        <v>265</v>
      </c>
      <c r="B197" s="1759" t="s">
        <v>1446</v>
      </c>
      <c r="C197" s="1760"/>
      <c r="D197" s="1760"/>
      <c r="E197" s="1760"/>
      <c r="F197" s="1760"/>
      <c r="G197" s="1760"/>
      <c r="H197" s="1760"/>
      <c r="I197" s="1760"/>
      <c r="J197" s="1760"/>
      <c r="K197" s="1761"/>
      <c r="L197" s="1345"/>
      <c r="M197" s="1345"/>
      <c r="N197" s="1345"/>
      <c r="O197" s="1345"/>
      <c r="P197" s="1345"/>
      <c r="Q197" s="1345"/>
      <c r="R197" s="1345"/>
      <c r="S197" s="1345"/>
      <c r="T197" s="1345"/>
      <c r="U197" s="1345"/>
      <c r="V197" s="1345"/>
      <c r="W197" s="1345"/>
      <c r="X197" s="1345"/>
      <c r="Y197" s="1392"/>
    </row>
    <row r="198" spans="1:25" s="1393" customFormat="1" ht="15.75">
      <c r="A198" s="607"/>
      <c r="B198" s="1759" t="s">
        <v>1967</v>
      </c>
      <c r="C198" s="1760"/>
      <c r="D198" s="1760"/>
      <c r="E198" s="1760"/>
      <c r="F198" s="1760"/>
      <c r="G198" s="1760"/>
      <c r="H198" s="1760"/>
      <c r="I198" s="1760"/>
      <c r="J198" s="1760"/>
      <c r="K198" s="1761"/>
      <c r="L198" s="1345"/>
      <c r="M198" s="1345"/>
      <c r="N198" s="1345"/>
      <c r="O198" s="1345"/>
      <c r="P198" s="1345"/>
      <c r="Q198" s="1345"/>
      <c r="R198" s="1345"/>
      <c r="S198" s="1345"/>
      <c r="T198" s="1345"/>
      <c r="U198" s="1345"/>
      <c r="V198" s="1345"/>
      <c r="W198" s="1345"/>
      <c r="X198" s="1345"/>
      <c r="Y198" s="1392"/>
    </row>
    <row r="199" spans="1:25" ht="15.75">
      <c r="A199" s="43"/>
      <c r="B199" s="1759" t="s">
        <v>1897</v>
      </c>
      <c r="C199" s="1760"/>
      <c r="D199" s="1760"/>
      <c r="E199" s="1760"/>
      <c r="F199" s="1760"/>
      <c r="G199" s="1760"/>
      <c r="H199" s="1760"/>
      <c r="I199" s="1760"/>
      <c r="J199" s="1760"/>
      <c r="K199" s="1761"/>
      <c r="L199" s="1345"/>
      <c r="M199" s="1345"/>
      <c r="N199" s="1345"/>
      <c r="O199" s="1345"/>
      <c r="P199" s="1345"/>
      <c r="Q199" s="1345"/>
      <c r="R199" s="1345"/>
      <c r="S199" s="1345"/>
      <c r="T199" s="1345"/>
      <c r="U199" s="1345"/>
      <c r="V199" s="1345"/>
      <c r="W199" s="1345"/>
      <c r="X199" s="1345"/>
    </row>
    <row r="200" spans="1:25" ht="15.75">
      <c r="A200" s="43"/>
      <c r="B200" s="1759" t="s">
        <v>1898</v>
      </c>
      <c r="C200" s="1760"/>
      <c r="D200" s="1760"/>
      <c r="E200" s="1760"/>
      <c r="F200" s="1760"/>
      <c r="G200" s="2188" t="s">
        <v>2098</v>
      </c>
      <c r="H200" s="2137"/>
      <c r="I200" s="2137"/>
      <c r="J200" s="2137"/>
      <c r="K200" s="1911"/>
      <c r="L200" s="1345"/>
      <c r="M200" s="1345"/>
      <c r="N200" s="1345"/>
      <c r="O200" s="1345"/>
      <c r="P200" s="1345"/>
      <c r="Q200" s="1345"/>
      <c r="R200" s="1345"/>
      <c r="S200" s="1345"/>
      <c r="T200" s="1345"/>
      <c r="U200" s="1345"/>
      <c r="V200" s="1345"/>
      <c r="W200" s="1345"/>
      <c r="X200" s="1345"/>
    </row>
    <row r="201" spans="1:25" ht="12.75">
      <c r="A201" s="43"/>
      <c r="B201" s="1345"/>
      <c r="C201" s="1345"/>
      <c r="D201" s="1345"/>
      <c r="E201" s="1345"/>
      <c r="F201" s="1345"/>
      <c r="G201" s="1345"/>
      <c r="H201" s="1345"/>
      <c r="I201" s="1345"/>
      <c r="J201" s="1345"/>
      <c r="K201" s="1345"/>
      <c r="L201" s="1345"/>
      <c r="M201" s="1345"/>
      <c r="N201" s="1345"/>
      <c r="O201" s="1345"/>
      <c r="P201" s="1345"/>
      <c r="Q201" s="1345"/>
      <c r="R201" s="1345"/>
      <c r="S201" s="1345"/>
      <c r="T201" s="1345"/>
      <c r="U201" s="1345"/>
      <c r="V201" s="1345"/>
      <c r="W201" s="1345"/>
      <c r="X201" s="1345"/>
    </row>
    <row r="436" spans="1:20" s="1395" customFormat="1">
      <c r="A436" s="1392"/>
      <c r="B436" s="1392"/>
      <c r="C436" s="1392"/>
      <c r="D436" s="1392"/>
      <c r="E436" s="1392"/>
      <c r="F436" s="1392"/>
      <c r="G436" s="1392"/>
      <c r="H436" s="1392"/>
      <c r="I436" s="1392"/>
      <c r="J436" s="1392"/>
      <c r="K436" s="1392"/>
      <c r="L436" s="1392"/>
      <c r="N436" s="1396"/>
      <c r="O436" s="1393"/>
      <c r="P436" s="1393"/>
      <c r="Q436" s="1392"/>
      <c r="R436" s="1393"/>
      <c r="S436" s="1393"/>
      <c r="T436" s="1393"/>
    </row>
    <row r="437" spans="1:20" s="1395" customFormat="1">
      <c r="A437" s="1392"/>
      <c r="B437" s="1392"/>
      <c r="C437" s="1392"/>
      <c r="D437" s="1392"/>
      <c r="E437" s="1392"/>
      <c r="F437" s="1392"/>
      <c r="G437" s="1392"/>
      <c r="H437" s="1392"/>
      <c r="I437" s="1392"/>
      <c r="J437" s="1392"/>
      <c r="K437" s="1392"/>
      <c r="L437" s="1392"/>
      <c r="N437" s="1396"/>
      <c r="O437" s="1393"/>
      <c r="P437" s="1393"/>
      <c r="Q437" s="1392"/>
      <c r="R437" s="1393"/>
      <c r="S437" s="1393"/>
      <c r="T437" s="1393"/>
    </row>
    <row r="438" spans="1:20" s="1395" customFormat="1">
      <c r="A438" s="1392"/>
      <c r="B438" s="1392"/>
      <c r="C438" s="1392"/>
      <c r="D438" s="1392"/>
      <c r="E438" s="1392"/>
      <c r="F438" s="1392"/>
      <c r="G438" s="1392"/>
      <c r="H438" s="1392"/>
      <c r="I438" s="1392"/>
      <c r="J438" s="1392"/>
      <c r="K438" s="1392"/>
      <c r="L438" s="1392"/>
      <c r="N438" s="1396"/>
      <c r="O438" s="1393"/>
      <c r="P438" s="1393"/>
      <c r="Q438" s="1392"/>
      <c r="R438" s="1393"/>
      <c r="S438" s="1393"/>
      <c r="T438" s="1393"/>
    </row>
    <row r="439" spans="1:20" s="1395" customFormat="1">
      <c r="A439" s="1392"/>
      <c r="B439" s="1392"/>
      <c r="C439" s="1392"/>
      <c r="D439" s="1392"/>
      <c r="E439" s="1392"/>
      <c r="F439" s="1392"/>
      <c r="G439" s="1392"/>
      <c r="H439" s="1392"/>
      <c r="I439" s="1392"/>
      <c r="J439" s="1392"/>
      <c r="K439" s="1392"/>
      <c r="L439" s="1392"/>
      <c r="N439" s="1396"/>
      <c r="O439" s="1393"/>
      <c r="P439" s="1393"/>
      <c r="Q439" s="1392"/>
      <c r="R439" s="1393"/>
      <c r="S439" s="1393"/>
      <c r="T439" s="1393"/>
    </row>
    <row r="440" spans="1:20" s="1395" customFormat="1">
      <c r="A440" s="1392"/>
      <c r="B440" s="1392"/>
      <c r="C440" s="1392"/>
      <c r="D440" s="1392"/>
      <c r="E440" s="1392"/>
      <c r="F440" s="1392"/>
      <c r="G440" s="1392"/>
      <c r="H440" s="1392"/>
      <c r="I440" s="1392"/>
      <c r="J440" s="1392"/>
      <c r="K440" s="1392"/>
      <c r="L440" s="1392"/>
      <c r="N440" s="1396"/>
      <c r="O440" s="1393"/>
      <c r="P440" s="1393"/>
      <c r="Q440" s="1392"/>
      <c r="R440" s="1393"/>
      <c r="S440" s="1393"/>
      <c r="T440" s="1393"/>
    </row>
    <row r="441" spans="1:20" s="1395" customFormat="1">
      <c r="A441" s="1392"/>
      <c r="B441" s="1392"/>
      <c r="C441" s="1392"/>
      <c r="D441" s="1392"/>
      <c r="E441" s="1392"/>
      <c r="F441" s="1392"/>
      <c r="G441" s="1392"/>
      <c r="H441" s="1392"/>
      <c r="I441" s="1392"/>
      <c r="J441" s="1392"/>
      <c r="K441" s="1392"/>
      <c r="L441" s="1392"/>
      <c r="N441" s="1396"/>
      <c r="O441" s="1393"/>
      <c r="P441" s="1393"/>
      <c r="Q441" s="1392"/>
      <c r="R441" s="1393"/>
      <c r="S441" s="1393"/>
      <c r="T441" s="1393"/>
    </row>
    <row r="442" spans="1:20" s="1395" customFormat="1">
      <c r="A442" s="1392"/>
      <c r="B442" s="1392"/>
      <c r="C442" s="1392"/>
      <c r="D442" s="1392"/>
      <c r="E442" s="1392"/>
      <c r="F442" s="1392"/>
      <c r="G442" s="1392"/>
      <c r="H442" s="1392"/>
      <c r="I442" s="1392"/>
      <c r="J442" s="1392"/>
      <c r="K442" s="1392"/>
      <c r="L442" s="1392"/>
      <c r="N442" s="1396"/>
      <c r="O442" s="1393"/>
      <c r="P442" s="1393"/>
      <c r="Q442" s="1392"/>
      <c r="R442" s="1393"/>
      <c r="S442" s="1393"/>
      <c r="T442" s="1393"/>
    </row>
    <row r="443" spans="1:20" s="1395" customFormat="1">
      <c r="A443" s="1392"/>
      <c r="B443" s="1392"/>
      <c r="C443" s="1392"/>
      <c r="D443" s="1392"/>
      <c r="E443" s="1392"/>
      <c r="F443" s="1392"/>
      <c r="G443" s="1392"/>
      <c r="H443" s="1392"/>
      <c r="I443" s="1392"/>
      <c r="J443" s="1392"/>
      <c r="K443" s="1392"/>
      <c r="L443" s="1392"/>
      <c r="N443" s="1396"/>
      <c r="O443" s="1393"/>
      <c r="P443" s="1393"/>
      <c r="Q443" s="1392"/>
      <c r="R443" s="1393"/>
      <c r="S443" s="1393"/>
      <c r="T443" s="1393"/>
    </row>
    <row r="444" spans="1:20" s="1395" customFormat="1">
      <c r="A444" s="1392"/>
      <c r="B444" s="1392"/>
      <c r="C444" s="1392"/>
      <c r="D444" s="1392"/>
      <c r="E444" s="1392"/>
      <c r="F444" s="1392"/>
      <c r="G444" s="1392"/>
      <c r="H444" s="1392"/>
      <c r="I444" s="1392"/>
      <c r="J444" s="1392"/>
      <c r="K444" s="1392"/>
      <c r="L444" s="1392"/>
      <c r="N444" s="1396"/>
      <c r="O444" s="1393"/>
      <c r="P444" s="1393"/>
      <c r="Q444" s="1392"/>
      <c r="R444" s="1393"/>
      <c r="S444" s="1393"/>
      <c r="T444" s="1393"/>
    </row>
    <row r="445" spans="1:20" s="1395" customFormat="1">
      <c r="A445" s="1392"/>
      <c r="B445" s="1392"/>
      <c r="C445" s="1392"/>
      <c r="D445" s="1392"/>
      <c r="E445" s="1392"/>
      <c r="F445" s="1392"/>
      <c r="G445" s="1392"/>
      <c r="H445" s="1392"/>
      <c r="I445" s="1392"/>
      <c r="J445" s="1392"/>
      <c r="K445" s="1392"/>
      <c r="L445" s="1392"/>
      <c r="N445" s="1396"/>
      <c r="O445" s="1393"/>
      <c r="P445" s="1393"/>
      <c r="Q445" s="1392"/>
      <c r="R445" s="1393"/>
      <c r="S445" s="1393"/>
      <c r="T445" s="1393"/>
    </row>
    <row r="446" spans="1:20" s="1395" customFormat="1">
      <c r="A446" s="1392"/>
      <c r="B446" s="1392"/>
      <c r="C446" s="1392"/>
      <c r="D446" s="1392"/>
      <c r="E446" s="1392"/>
      <c r="F446" s="1392"/>
      <c r="G446" s="1392"/>
      <c r="H446" s="1392"/>
      <c r="I446" s="1392"/>
      <c r="J446" s="1392"/>
      <c r="K446" s="1392"/>
      <c r="L446" s="1392"/>
      <c r="N446" s="1396"/>
      <c r="O446" s="1393"/>
      <c r="P446" s="1393"/>
      <c r="Q446" s="1392"/>
      <c r="R446" s="1393"/>
      <c r="S446" s="1393"/>
      <c r="T446" s="1393"/>
    </row>
    <row r="447" spans="1:20" s="1395" customFormat="1">
      <c r="A447" s="1392"/>
      <c r="B447" s="1392"/>
      <c r="C447" s="1392"/>
      <c r="D447" s="1392"/>
      <c r="E447" s="1392"/>
      <c r="F447" s="1392"/>
      <c r="G447" s="1392"/>
      <c r="H447" s="1392"/>
      <c r="I447" s="1392"/>
      <c r="J447" s="1392"/>
      <c r="K447" s="1392"/>
      <c r="L447" s="1392"/>
      <c r="N447" s="1396"/>
      <c r="O447" s="1393"/>
      <c r="P447" s="1393"/>
      <c r="Q447" s="1392"/>
      <c r="R447" s="1393"/>
      <c r="S447" s="1393"/>
      <c r="T447" s="1393"/>
    </row>
    <row r="448" spans="1:20" s="1395" customFormat="1">
      <c r="A448" s="1392"/>
      <c r="B448" s="1392"/>
      <c r="C448" s="1392"/>
      <c r="D448" s="1392"/>
      <c r="E448" s="1392"/>
      <c r="F448" s="1392"/>
      <c r="G448" s="1392"/>
      <c r="H448" s="1392"/>
      <c r="I448" s="1392"/>
      <c r="J448" s="1392"/>
      <c r="K448" s="1392"/>
      <c r="L448" s="1392"/>
      <c r="N448" s="1396"/>
      <c r="O448" s="1393"/>
      <c r="P448" s="1393"/>
      <c r="Q448" s="1392"/>
      <c r="R448" s="1393"/>
      <c r="S448" s="1393"/>
      <c r="T448" s="1393"/>
    </row>
    <row r="449" spans="1:20" s="1395" customFormat="1">
      <c r="A449" s="1392"/>
      <c r="B449" s="1392"/>
      <c r="C449" s="1392"/>
      <c r="D449" s="1392"/>
      <c r="E449" s="1392"/>
      <c r="F449" s="1392"/>
      <c r="G449" s="1392"/>
      <c r="H449" s="1392"/>
      <c r="I449" s="1392"/>
      <c r="J449" s="1392"/>
      <c r="K449" s="1392"/>
      <c r="L449" s="1392"/>
      <c r="N449" s="1396"/>
      <c r="O449" s="1393"/>
      <c r="P449" s="1393"/>
      <c r="Q449" s="1392"/>
      <c r="R449" s="1393"/>
      <c r="S449" s="1393"/>
      <c r="T449" s="1393"/>
    </row>
    <row r="450" spans="1:20" s="1395" customFormat="1">
      <c r="A450" s="1392"/>
      <c r="B450" s="1392"/>
      <c r="C450" s="1392"/>
      <c r="D450" s="1392"/>
      <c r="E450" s="1392"/>
      <c r="F450" s="1392"/>
      <c r="G450" s="1392"/>
      <c r="H450" s="1392"/>
      <c r="I450" s="1392"/>
      <c r="J450" s="1392"/>
      <c r="K450" s="1392"/>
      <c r="L450" s="1392"/>
      <c r="N450" s="1396"/>
      <c r="O450" s="1393"/>
      <c r="P450" s="1393"/>
      <c r="Q450" s="1392"/>
      <c r="R450" s="1393"/>
      <c r="S450" s="1393"/>
      <c r="T450" s="1393"/>
    </row>
    <row r="451" spans="1:20" s="1395" customFormat="1">
      <c r="A451" s="1392"/>
      <c r="B451" s="1392"/>
      <c r="C451" s="1392"/>
      <c r="D451" s="1392"/>
      <c r="E451" s="1392"/>
      <c r="F451" s="1392"/>
      <c r="G451" s="1392"/>
      <c r="H451" s="1392"/>
      <c r="I451" s="1392"/>
      <c r="J451" s="1392"/>
      <c r="K451" s="1392"/>
      <c r="L451" s="1392"/>
      <c r="N451" s="1396"/>
      <c r="O451" s="1393"/>
      <c r="P451" s="1393"/>
      <c r="Q451" s="1392"/>
      <c r="R451" s="1393"/>
      <c r="S451" s="1393"/>
      <c r="T451" s="1393"/>
    </row>
    <row r="452" spans="1:20" s="1395" customFormat="1">
      <c r="A452" s="1392"/>
      <c r="B452" s="1392"/>
      <c r="C452" s="1392"/>
      <c r="D452" s="1392"/>
      <c r="E452" s="1392"/>
      <c r="F452" s="1392"/>
      <c r="G452" s="1392"/>
      <c r="H452" s="1392"/>
      <c r="I452" s="1392"/>
      <c r="J452" s="1392"/>
      <c r="K452" s="1392"/>
      <c r="L452" s="1392"/>
      <c r="N452" s="1396"/>
      <c r="O452" s="1393"/>
      <c r="P452" s="1393"/>
      <c r="Q452" s="1392"/>
      <c r="R452" s="1393"/>
      <c r="S452" s="1393"/>
      <c r="T452" s="1393"/>
    </row>
    <row r="453" spans="1:20" s="1395" customFormat="1">
      <c r="A453" s="1392"/>
      <c r="B453" s="1392"/>
      <c r="C453" s="1392"/>
      <c r="D453" s="1392"/>
      <c r="E453" s="1392"/>
      <c r="F453" s="1392"/>
      <c r="G453" s="1392"/>
      <c r="H453" s="1392"/>
      <c r="I453" s="1392"/>
      <c r="J453" s="1392"/>
      <c r="K453" s="1392"/>
      <c r="L453" s="1392"/>
      <c r="N453" s="1396"/>
      <c r="O453" s="1393"/>
      <c r="P453" s="1393"/>
      <c r="Q453" s="1392"/>
      <c r="R453" s="1393"/>
      <c r="S453" s="1393"/>
      <c r="T453" s="1393"/>
    </row>
    <row r="454" spans="1:20" s="1395" customFormat="1">
      <c r="A454" s="1392"/>
      <c r="B454" s="1392"/>
      <c r="C454" s="1392"/>
      <c r="D454" s="1392"/>
      <c r="E454" s="1392"/>
      <c r="F454" s="1392"/>
      <c r="G454" s="1392"/>
      <c r="H454" s="1392"/>
      <c r="I454" s="1392"/>
      <c r="J454" s="1392"/>
      <c r="K454" s="1392"/>
      <c r="L454" s="1392"/>
      <c r="N454" s="1396"/>
      <c r="O454" s="1393"/>
      <c r="P454" s="1393"/>
      <c r="Q454" s="1392"/>
      <c r="R454" s="1393"/>
      <c r="S454" s="1393"/>
      <c r="T454" s="1393"/>
    </row>
    <row r="455" spans="1:20" s="1395" customFormat="1">
      <c r="A455" s="1392"/>
      <c r="B455" s="1392"/>
      <c r="C455" s="1392"/>
      <c r="D455" s="1392"/>
      <c r="E455" s="1392"/>
      <c r="F455" s="1392"/>
      <c r="G455" s="1392"/>
      <c r="H455" s="1392"/>
      <c r="I455" s="1392"/>
      <c r="J455" s="1392"/>
      <c r="K455" s="1392"/>
      <c r="L455" s="1392"/>
      <c r="N455" s="1396"/>
      <c r="O455" s="1393"/>
      <c r="P455" s="1393"/>
      <c r="Q455" s="1392"/>
      <c r="R455" s="1393"/>
      <c r="S455" s="1393"/>
      <c r="T455" s="1393"/>
    </row>
    <row r="456" spans="1:20" s="1395" customFormat="1">
      <c r="A456" s="1392"/>
      <c r="B456" s="1392"/>
      <c r="C456" s="1392"/>
      <c r="D456" s="1392"/>
      <c r="E456" s="1392"/>
      <c r="F456" s="1392"/>
      <c r="G456" s="1392"/>
      <c r="H456" s="1392"/>
      <c r="I456" s="1392"/>
      <c r="J456" s="1392"/>
      <c r="K456" s="1392"/>
      <c r="L456" s="1392"/>
      <c r="N456" s="1396"/>
      <c r="O456" s="1393"/>
      <c r="P456" s="1393"/>
      <c r="Q456" s="1392"/>
      <c r="R456" s="1393"/>
      <c r="S456" s="1393"/>
      <c r="T456" s="1393"/>
    </row>
    <row r="457" spans="1:20" s="1395" customFormat="1">
      <c r="A457" s="1392"/>
      <c r="B457" s="1392"/>
      <c r="C457" s="1392"/>
      <c r="D457" s="1392"/>
      <c r="E457" s="1392"/>
      <c r="F457" s="1392"/>
      <c r="G457" s="1392"/>
      <c r="H457" s="1392"/>
      <c r="I457" s="1392"/>
      <c r="J457" s="1392"/>
      <c r="K457" s="1392"/>
      <c r="L457" s="1392"/>
      <c r="N457" s="1396"/>
      <c r="O457" s="1393"/>
      <c r="P457" s="1393"/>
      <c r="Q457" s="1392"/>
      <c r="R457" s="1393"/>
      <c r="S457" s="1393"/>
      <c r="T457" s="1393"/>
    </row>
    <row r="458" spans="1:20" s="1395" customFormat="1">
      <c r="A458" s="1392"/>
      <c r="B458" s="1392"/>
      <c r="C458" s="1392"/>
      <c r="D458" s="1392"/>
      <c r="E458" s="1392"/>
      <c r="F458" s="1392"/>
      <c r="G458" s="1392"/>
      <c r="H458" s="1392"/>
      <c r="I458" s="1392"/>
      <c r="J458" s="1392"/>
      <c r="K458" s="1392"/>
      <c r="L458" s="1392"/>
      <c r="N458" s="1396"/>
      <c r="O458" s="1393"/>
      <c r="P458" s="1393"/>
      <c r="Q458" s="1392"/>
      <c r="R458" s="1393"/>
      <c r="S458" s="1393"/>
      <c r="T458" s="1393"/>
    </row>
    <row r="459" spans="1:20" s="1395" customFormat="1">
      <c r="A459" s="1392"/>
      <c r="B459" s="1392"/>
      <c r="C459" s="1392"/>
      <c r="D459" s="1392"/>
      <c r="E459" s="1392"/>
      <c r="F459" s="1392"/>
      <c r="G459" s="1392"/>
      <c r="H459" s="1392"/>
      <c r="I459" s="1392"/>
      <c r="J459" s="1392"/>
      <c r="K459" s="1392"/>
      <c r="L459" s="1392"/>
      <c r="N459" s="1396"/>
      <c r="O459" s="1393"/>
      <c r="P459" s="1393"/>
      <c r="Q459" s="1392"/>
      <c r="R459" s="1393"/>
      <c r="S459" s="1393"/>
      <c r="T459" s="1393"/>
    </row>
    <row r="460" spans="1:20" s="1395" customFormat="1">
      <c r="A460" s="1392"/>
      <c r="B460" s="1392"/>
      <c r="C460" s="1392"/>
      <c r="D460" s="1392"/>
      <c r="E460" s="1392"/>
      <c r="F460" s="1392"/>
      <c r="G460" s="1392"/>
      <c r="H460" s="1392"/>
      <c r="I460" s="1392"/>
      <c r="J460" s="1392"/>
      <c r="K460" s="1392"/>
      <c r="L460" s="1392"/>
      <c r="N460" s="1396"/>
      <c r="O460" s="1393"/>
      <c r="P460" s="1393"/>
      <c r="Q460" s="1392"/>
      <c r="R460" s="1393"/>
      <c r="S460" s="1393"/>
      <c r="T460" s="1393"/>
    </row>
    <row r="461" spans="1:20" s="1395" customFormat="1">
      <c r="A461" s="1392"/>
      <c r="B461" s="1392"/>
      <c r="C461" s="1392"/>
      <c r="D461" s="1392"/>
      <c r="E461" s="1392"/>
      <c r="F461" s="1392"/>
      <c r="G461" s="1392"/>
      <c r="H461" s="1392"/>
      <c r="I461" s="1392"/>
      <c r="J461" s="1392"/>
      <c r="K461" s="1392"/>
      <c r="L461" s="1392"/>
      <c r="N461" s="1396"/>
      <c r="O461" s="1393"/>
      <c r="P461" s="1393"/>
      <c r="Q461" s="1392"/>
      <c r="R461" s="1393"/>
      <c r="S461" s="1393"/>
      <c r="T461" s="1393"/>
    </row>
    <row r="462" spans="1:20" s="1395" customFormat="1">
      <c r="A462" s="1392"/>
      <c r="B462" s="1392"/>
      <c r="C462" s="1392"/>
      <c r="D462" s="1392"/>
      <c r="E462" s="1392"/>
      <c r="F462" s="1392"/>
      <c r="G462" s="1392"/>
      <c r="H462" s="1392"/>
      <c r="I462" s="1392"/>
      <c r="J462" s="1392"/>
      <c r="K462" s="1392"/>
      <c r="L462" s="1392"/>
      <c r="N462" s="1396"/>
      <c r="O462" s="1393"/>
      <c r="P462" s="1393"/>
      <c r="Q462" s="1392"/>
      <c r="R462" s="1393"/>
      <c r="S462" s="1393"/>
      <c r="T462" s="1393"/>
    </row>
    <row r="463" spans="1:20" s="1395" customFormat="1">
      <c r="A463" s="1392"/>
      <c r="B463" s="1392"/>
      <c r="C463" s="1392"/>
      <c r="D463" s="1392"/>
      <c r="E463" s="1392"/>
      <c r="F463" s="1392"/>
      <c r="G463" s="1392"/>
      <c r="H463" s="1392"/>
      <c r="I463" s="1392"/>
      <c r="J463" s="1392"/>
      <c r="K463" s="1392"/>
      <c r="L463" s="1392"/>
      <c r="N463" s="1396"/>
      <c r="O463" s="1393"/>
      <c r="P463" s="1393"/>
      <c r="Q463" s="1392"/>
      <c r="R463" s="1393"/>
      <c r="S463" s="1393"/>
      <c r="T463" s="1393"/>
    </row>
    <row r="464" spans="1:20" s="1395" customFormat="1">
      <c r="A464" s="1392"/>
      <c r="B464" s="1392"/>
      <c r="C464" s="1392"/>
      <c r="D464" s="1392"/>
      <c r="E464" s="1392"/>
      <c r="F464" s="1392"/>
      <c r="G464" s="1392"/>
      <c r="H464" s="1392"/>
      <c r="I464" s="1392"/>
      <c r="J464" s="1392"/>
      <c r="K464" s="1392"/>
      <c r="L464" s="1392"/>
      <c r="N464" s="1396"/>
      <c r="O464" s="1393"/>
      <c r="P464" s="1393"/>
      <c r="Q464" s="1392"/>
      <c r="R464" s="1393"/>
      <c r="S464" s="1393"/>
      <c r="T464" s="1393"/>
    </row>
    <row r="465" spans="1:20" s="1395" customFormat="1">
      <c r="A465" s="1392"/>
      <c r="B465" s="1392"/>
      <c r="C465" s="1392"/>
      <c r="D465" s="1392"/>
      <c r="E465" s="1392"/>
      <c r="F465" s="1392"/>
      <c r="G465" s="1392"/>
      <c r="H465" s="1392"/>
      <c r="I465" s="1392"/>
      <c r="J465" s="1392"/>
      <c r="K465" s="1392"/>
      <c r="L465" s="1392"/>
      <c r="N465" s="1396"/>
      <c r="O465" s="1393"/>
      <c r="P465" s="1393"/>
      <c r="Q465" s="1392"/>
      <c r="R465" s="1393"/>
      <c r="S465" s="1393"/>
      <c r="T465" s="1393"/>
    </row>
    <row r="466" spans="1:20" s="1395" customFormat="1">
      <c r="A466" s="1392"/>
      <c r="B466" s="1392"/>
      <c r="C466" s="1392"/>
      <c r="D466" s="1392"/>
      <c r="E466" s="1392"/>
      <c r="F466" s="1392"/>
      <c r="G466" s="1392"/>
      <c r="H466" s="1392"/>
      <c r="I466" s="1392"/>
      <c r="J466" s="1392"/>
      <c r="K466" s="1392"/>
      <c r="L466" s="1392"/>
      <c r="N466" s="1396"/>
      <c r="O466" s="1393"/>
      <c r="P466" s="1393"/>
      <c r="Q466" s="1392"/>
      <c r="R466" s="1393"/>
      <c r="S466" s="1393"/>
      <c r="T466" s="1393"/>
    </row>
    <row r="467" spans="1:20" s="1395" customFormat="1">
      <c r="A467" s="1392"/>
      <c r="B467" s="1392"/>
      <c r="C467" s="1392"/>
      <c r="D467" s="1392"/>
      <c r="E467" s="1392"/>
      <c r="F467" s="1392"/>
      <c r="G467" s="1392"/>
      <c r="H467" s="1392"/>
      <c r="I467" s="1392"/>
      <c r="J467" s="1392"/>
      <c r="K467" s="1392"/>
      <c r="L467" s="1392"/>
      <c r="N467" s="1396"/>
      <c r="O467" s="1393"/>
      <c r="P467" s="1393"/>
      <c r="Q467" s="1392"/>
      <c r="R467" s="1393"/>
      <c r="S467" s="1393"/>
      <c r="T467" s="1393"/>
    </row>
    <row r="468" spans="1:20" s="1395" customFormat="1">
      <c r="A468" s="1392"/>
      <c r="B468" s="1392"/>
      <c r="C468" s="1392"/>
      <c r="D468" s="1392"/>
      <c r="E468" s="1392"/>
      <c r="F468" s="1392"/>
      <c r="G468" s="1392"/>
      <c r="H468" s="1392"/>
      <c r="I468" s="1392"/>
      <c r="J468" s="1392"/>
      <c r="K468" s="1392"/>
      <c r="L468" s="1392"/>
      <c r="N468" s="1396"/>
      <c r="O468" s="1393"/>
      <c r="P468" s="1393"/>
      <c r="Q468" s="1392"/>
      <c r="R468" s="1393"/>
      <c r="S468" s="1393"/>
      <c r="T468" s="1393"/>
    </row>
    <row r="469" spans="1:20" s="1395" customFormat="1">
      <c r="A469" s="1392"/>
      <c r="B469" s="1392"/>
      <c r="C469" s="1392"/>
      <c r="D469" s="1392"/>
      <c r="E469" s="1392"/>
      <c r="F469" s="1392"/>
      <c r="G469" s="1392"/>
      <c r="H469" s="1392"/>
      <c r="I469" s="1392"/>
      <c r="J469" s="1392"/>
      <c r="K469" s="1392"/>
      <c r="L469" s="1392"/>
      <c r="N469" s="1396"/>
      <c r="O469" s="1393"/>
      <c r="P469" s="1393"/>
      <c r="Q469" s="1392"/>
      <c r="R469" s="1393"/>
      <c r="S469" s="1393"/>
      <c r="T469" s="1393"/>
    </row>
    <row r="470" spans="1:20" s="1395" customFormat="1">
      <c r="A470" s="1392"/>
      <c r="B470" s="1392"/>
      <c r="C470" s="1392"/>
      <c r="D470" s="1392"/>
      <c r="E470" s="1392"/>
      <c r="F470" s="1392"/>
      <c r="G470" s="1392"/>
      <c r="H470" s="1392"/>
      <c r="I470" s="1392"/>
      <c r="J470" s="1392"/>
      <c r="K470" s="1392"/>
      <c r="L470" s="1392"/>
      <c r="N470" s="1396"/>
      <c r="O470" s="1393"/>
      <c r="P470" s="1393"/>
      <c r="Q470" s="1392"/>
      <c r="R470" s="1393"/>
      <c r="S470" s="1393"/>
      <c r="T470" s="1393"/>
    </row>
    <row r="471" spans="1:20" s="1395" customFormat="1">
      <c r="A471" s="1392"/>
      <c r="B471" s="1392"/>
      <c r="C471" s="1392"/>
      <c r="D471" s="1392"/>
      <c r="E471" s="1392"/>
      <c r="F471" s="1392"/>
      <c r="G471" s="1392"/>
      <c r="H471" s="1392"/>
      <c r="I471" s="1392"/>
      <c r="J471" s="1392"/>
      <c r="K471" s="1392"/>
      <c r="L471" s="1392"/>
      <c r="N471" s="1396"/>
      <c r="O471" s="1393"/>
      <c r="P471" s="1393"/>
      <c r="Q471" s="1392"/>
      <c r="R471" s="1393"/>
      <c r="S471" s="1393"/>
      <c r="T471" s="1393"/>
    </row>
    <row r="472" spans="1:20" s="1395" customFormat="1">
      <c r="A472" s="1392"/>
      <c r="B472" s="1392"/>
      <c r="C472" s="1392"/>
      <c r="D472" s="1392"/>
      <c r="E472" s="1392"/>
      <c r="F472" s="1392"/>
      <c r="G472" s="1392"/>
      <c r="H472" s="1392"/>
      <c r="I472" s="1392"/>
      <c r="J472" s="1392"/>
      <c r="K472" s="1392"/>
      <c r="L472" s="1392"/>
      <c r="N472" s="1396"/>
      <c r="O472" s="1393"/>
      <c r="P472" s="1393"/>
      <c r="Q472" s="1392"/>
      <c r="R472" s="1393"/>
      <c r="S472" s="1393"/>
      <c r="T472" s="1393"/>
    </row>
    <row r="473" spans="1:20" s="1395" customFormat="1">
      <c r="A473" s="1392"/>
      <c r="B473" s="1392"/>
      <c r="C473" s="1392"/>
      <c r="D473" s="1392"/>
      <c r="E473" s="1392"/>
      <c r="F473" s="1392"/>
      <c r="G473" s="1392"/>
      <c r="H473" s="1392"/>
      <c r="I473" s="1392"/>
      <c r="J473" s="1392"/>
      <c r="K473" s="1392"/>
      <c r="L473" s="1392"/>
      <c r="N473" s="1396"/>
      <c r="O473" s="1393"/>
      <c r="P473" s="1393"/>
      <c r="Q473" s="1392"/>
      <c r="R473" s="1393"/>
      <c r="S473" s="1393"/>
      <c r="T473" s="1393"/>
    </row>
    <row r="474" spans="1:20" s="1395" customFormat="1">
      <c r="A474" s="1392"/>
      <c r="B474" s="1392"/>
      <c r="C474" s="1392"/>
      <c r="D474" s="1392"/>
      <c r="E474" s="1392"/>
      <c r="F474" s="1392"/>
      <c r="G474" s="1392"/>
      <c r="H474" s="1392"/>
      <c r="I474" s="1392"/>
      <c r="J474" s="1392"/>
      <c r="K474" s="1392"/>
      <c r="L474" s="1392"/>
      <c r="N474" s="1396"/>
      <c r="O474" s="1393"/>
      <c r="P474" s="1393"/>
      <c r="Q474" s="1392"/>
      <c r="R474" s="1393"/>
      <c r="S474" s="1393"/>
      <c r="T474" s="1393"/>
    </row>
    <row r="475" spans="1:20" s="1395" customFormat="1">
      <c r="A475" s="1392"/>
      <c r="B475" s="1392"/>
      <c r="C475" s="1392"/>
      <c r="D475" s="1392"/>
      <c r="E475" s="1392"/>
      <c r="F475" s="1392"/>
      <c r="G475" s="1392"/>
      <c r="H475" s="1392"/>
      <c r="I475" s="1392"/>
      <c r="J475" s="1392"/>
      <c r="K475" s="1392"/>
      <c r="L475" s="1392"/>
      <c r="N475" s="1396"/>
      <c r="O475" s="1393"/>
      <c r="P475" s="1393"/>
      <c r="Q475" s="1392"/>
      <c r="R475" s="1393"/>
      <c r="S475" s="1393"/>
      <c r="T475" s="1393"/>
    </row>
    <row r="476" spans="1:20" s="1395" customFormat="1">
      <c r="A476" s="1392"/>
      <c r="B476" s="1392"/>
      <c r="C476" s="1392"/>
      <c r="D476" s="1392"/>
      <c r="E476" s="1392"/>
      <c r="F476" s="1392"/>
      <c r="G476" s="1392"/>
      <c r="H476" s="1392"/>
      <c r="I476" s="1392"/>
      <c r="J476" s="1392"/>
      <c r="K476" s="1392"/>
      <c r="L476" s="1392"/>
      <c r="N476" s="1396"/>
      <c r="O476" s="1393"/>
      <c r="P476" s="1393"/>
      <c r="Q476" s="1392"/>
      <c r="R476" s="1393"/>
      <c r="S476" s="1393"/>
      <c r="T476" s="1393"/>
    </row>
    <row r="477" spans="1:20" s="1395" customFormat="1">
      <c r="A477" s="1392"/>
      <c r="B477" s="1392"/>
      <c r="C477" s="1392"/>
      <c r="D477" s="1392"/>
      <c r="E477" s="1392"/>
      <c r="F477" s="1392"/>
      <c r="G477" s="1392"/>
      <c r="H477" s="1392"/>
      <c r="I477" s="1392"/>
      <c r="J477" s="1392"/>
      <c r="K477" s="1392"/>
      <c r="L477" s="1392"/>
      <c r="N477" s="1396"/>
      <c r="O477" s="1393"/>
      <c r="P477" s="1393"/>
      <c r="Q477" s="1392"/>
      <c r="R477" s="1393"/>
      <c r="S477" s="1393"/>
      <c r="T477" s="1393"/>
    </row>
    <row r="478" spans="1:20" s="1395" customFormat="1">
      <c r="A478" s="1392"/>
      <c r="B478" s="1392"/>
      <c r="C478" s="1392"/>
      <c r="D478" s="1392"/>
      <c r="E478" s="1392"/>
      <c r="F478" s="1392"/>
      <c r="G478" s="1392"/>
      <c r="H478" s="1392"/>
      <c r="I478" s="1392"/>
      <c r="J478" s="1392"/>
      <c r="K478" s="1392"/>
      <c r="L478" s="1392"/>
      <c r="N478" s="1396"/>
      <c r="O478" s="1393"/>
      <c r="P478" s="1393"/>
      <c r="Q478" s="1392"/>
      <c r="R478" s="1393"/>
      <c r="S478" s="1393"/>
      <c r="T478" s="1393"/>
    </row>
    <row r="479" spans="1:20" s="1395" customFormat="1">
      <c r="A479" s="1392"/>
      <c r="B479" s="1392"/>
      <c r="C479" s="1392"/>
      <c r="D479" s="1392"/>
      <c r="E479" s="1392"/>
      <c r="F479" s="1392"/>
      <c r="G479" s="1392"/>
      <c r="H479" s="1392"/>
      <c r="I479" s="1392"/>
      <c r="J479" s="1392"/>
      <c r="K479" s="1392"/>
      <c r="L479" s="1392"/>
      <c r="N479" s="1396"/>
      <c r="O479" s="1393"/>
      <c r="P479" s="1393"/>
      <c r="Q479" s="1392"/>
      <c r="R479" s="1393"/>
      <c r="S479" s="1393"/>
      <c r="T479" s="1393"/>
    </row>
    <row r="480" spans="1:20" s="1395" customFormat="1">
      <c r="A480" s="1392"/>
      <c r="B480" s="1392"/>
      <c r="C480" s="1392"/>
      <c r="D480" s="1392"/>
      <c r="E480" s="1392"/>
      <c r="F480" s="1392"/>
      <c r="G480" s="1392"/>
      <c r="H480" s="1392"/>
      <c r="I480" s="1392"/>
      <c r="J480" s="1392"/>
      <c r="K480" s="1392"/>
      <c r="L480" s="1392"/>
      <c r="N480" s="1396"/>
      <c r="O480" s="1393"/>
      <c r="P480" s="1393"/>
      <c r="Q480" s="1392"/>
      <c r="R480" s="1393"/>
      <c r="S480" s="1393"/>
      <c r="T480" s="1393"/>
    </row>
    <row r="481" spans="1:20" s="1395" customFormat="1">
      <c r="A481" s="1392"/>
      <c r="B481" s="1392"/>
      <c r="C481" s="1392"/>
      <c r="D481" s="1392"/>
      <c r="E481" s="1392"/>
      <c r="F481" s="1392"/>
      <c r="G481" s="1392"/>
      <c r="H481" s="1392"/>
      <c r="I481" s="1392"/>
      <c r="J481" s="1392"/>
      <c r="K481" s="1392"/>
      <c r="L481" s="1392"/>
      <c r="N481" s="1396"/>
      <c r="O481" s="1393"/>
      <c r="P481" s="1393"/>
      <c r="Q481" s="1392"/>
      <c r="R481" s="1393"/>
      <c r="S481" s="1393"/>
      <c r="T481" s="1393"/>
    </row>
    <row r="482" spans="1:20" s="1395" customFormat="1">
      <c r="A482" s="1392"/>
      <c r="B482" s="1392"/>
      <c r="C482" s="1392"/>
      <c r="D482" s="1392"/>
      <c r="E482" s="1392"/>
      <c r="F482" s="1392"/>
      <c r="G482" s="1392"/>
      <c r="H482" s="1392"/>
      <c r="I482" s="1392"/>
      <c r="J482" s="1392"/>
      <c r="K482" s="1392"/>
      <c r="L482" s="1392"/>
      <c r="N482" s="1396"/>
      <c r="O482" s="1393"/>
      <c r="P482" s="1393"/>
      <c r="Q482" s="1392"/>
      <c r="R482" s="1393"/>
      <c r="S482" s="1393"/>
      <c r="T482" s="1393"/>
    </row>
    <row r="483" spans="1:20" s="1395" customFormat="1">
      <c r="A483" s="1392"/>
      <c r="B483" s="1392"/>
      <c r="C483" s="1392"/>
      <c r="D483" s="1392"/>
      <c r="E483" s="1392"/>
      <c r="F483" s="1392"/>
      <c r="G483" s="1392"/>
      <c r="H483" s="1392"/>
      <c r="I483" s="1392"/>
      <c r="J483" s="1392"/>
      <c r="K483" s="1392"/>
      <c r="L483" s="1392"/>
      <c r="N483" s="1396"/>
      <c r="O483" s="1393"/>
      <c r="P483" s="1393"/>
      <c r="Q483" s="1392"/>
      <c r="R483" s="1393"/>
      <c r="S483" s="1393"/>
      <c r="T483" s="1393"/>
    </row>
    <row r="484" spans="1:20" s="1395" customFormat="1">
      <c r="A484" s="1392"/>
      <c r="B484" s="1392"/>
      <c r="C484" s="1392"/>
      <c r="D484" s="1392"/>
      <c r="E484" s="1392"/>
      <c r="F484" s="1392"/>
      <c r="G484" s="1392"/>
      <c r="H484" s="1392"/>
      <c r="I484" s="1392"/>
      <c r="J484" s="1392"/>
      <c r="K484" s="1392"/>
      <c r="L484" s="1392"/>
      <c r="N484" s="1396"/>
      <c r="O484" s="1393"/>
      <c r="P484" s="1393"/>
      <c r="Q484" s="1392"/>
      <c r="R484" s="1393"/>
      <c r="S484" s="1393"/>
      <c r="T484" s="1393"/>
    </row>
    <row r="485" spans="1:20" s="1395" customFormat="1">
      <c r="A485" s="1392"/>
      <c r="B485" s="1392"/>
      <c r="C485" s="1392"/>
      <c r="D485" s="1392"/>
      <c r="E485" s="1392"/>
      <c r="F485" s="1392"/>
      <c r="G485" s="1392"/>
      <c r="H485" s="1392"/>
      <c r="I485" s="1392"/>
      <c r="J485" s="1392"/>
      <c r="K485" s="1392"/>
      <c r="L485" s="1392"/>
      <c r="N485" s="1396"/>
      <c r="O485" s="1393"/>
      <c r="P485" s="1393"/>
      <c r="Q485" s="1392"/>
      <c r="R485" s="1393"/>
      <c r="S485" s="1393"/>
      <c r="T485" s="1393"/>
    </row>
    <row r="486" spans="1:20" s="1395" customFormat="1">
      <c r="A486" s="1392"/>
      <c r="B486" s="1392"/>
      <c r="C486" s="1392"/>
      <c r="D486" s="1392"/>
      <c r="E486" s="1392"/>
      <c r="F486" s="1392"/>
      <c r="G486" s="1392"/>
      <c r="H486" s="1392"/>
      <c r="I486" s="1392"/>
      <c r="J486" s="1392"/>
      <c r="K486" s="1392"/>
      <c r="L486" s="1392"/>
      <c r="N486" s="1396"/>
      <c r="O486" s="1393"/>
      <c r="P486" s="1393"/>
      <c r="Q486" s="1392"/>
      <c r="R486" s="1393"/>
      <c r="S486" s="1393"/>
      <c r="T486" s="1393"/>
    </row>
    <row r="487" spans="1:20" s="1395" customFormat="1">
      <c r="A487" s="1392"/>
      <c r="B487" s="1392"/>
      <c r="C487" s="1392"/>
      <c r="D487" s="1392"/>
      <c r="E487" s="1392"/>
      <c r="F487" s="1392"/>
      <c r="G487" s="1392"/>
      <c r="H487" s="1392"/>
      <c r="I487" s="1392"/>
      <c r="J487" s="1392"/>
      <c r="K487" s="1392"/>
      <c r="L487" s="1392"/>
      <c r="N487" s="1396"/>
      <c r="O487" s="1393"/>
      <c r="P487" s="1393"/>
      <c r="Q487" s="1392"/>
      <c r="R487" s="1393"/>
      <c r="S487" s="1393"/>
      <c r="T487" s="1393"/>
    </row>
    <row r="488" spans="1:20" s="1395" customFormat="1">
      <c r="A488" s="1392"/>
      <c r="B488" s="1392"/>
      <c r="C488" s="1392"/>
      <c r="D488" s="1392"/>
      <c r="E488" s="1392"/>
      <c r="F488" s="1392"/>
      <c r="G488" s="1392"/>
      <c r="H488" s="1392"/>
      <c r="I488" s="1392"/>
      <c r="J488" s="1392"/>
      <c r="K488" s="1392"/>
      <c r="L488" s="1392"/>
      <c r="N488" s="1396"/>
      <c r="O488" s="1393"/>
      <c r="P488" s="1393"/>
      <c r="Q488" s="1392"/>
      <c r="R488" s="1393"/>
      <c r="S488" s="1393"/>
      <c r="T488" s="1393"/>
    </row>
    <row r="489" spans="1:20" s="1395" customFormat="1">
      <c r="A489" s="1392"/>
      <c r="B489" s="1392"/>
      <c r="C489" s="1392"/>
      <c r="D489" s="1392"/>
      <c r="E489" s="1392"/>
      <c r="F489" s="1392"/>
      <c r="G489" s="1392"/>
      <c r="H489" s="1392"/>
      <c r="I489" s="1392"/>
      <c r="J489" s="1392"/>
      <c r="K489" s="1392"/>
      <c r="L489" s="1392"/>
      <c r="N489" s="1396"/>
      <c r="O489" s="1393"/>
      <c r="P489" s="1393"/>
      <c r="Q489" s="1392"/>
      <c r="R489" s="1393"/>
      <c r="S489" s="1393"/>
      <c r="T489" s="1393"/>
    </row>
    <row r="490" spans="1:20" s="1395" customFormat="1">
      <c r="A490" s="1392"/>
      <c r="B490" s="1392"/>
      <c r="C490" s="1392"/>
      <c r="D490" s="1392"/>
      <c r="E490" s="1392"/>
      <c r="F490" s="1392"/>
      <c r="G490" s="1392"/>
      <c r="H490" s="1392"/>
      <c r="I490" s="1392"/>
      <c r="J490" s="1392"/>
      <c r="K490" s="1392"/>
      <c r="L490" s="1392"/>
      <c r="N490" s="1396"/>
      <c r="O490" s="1393"/>
      <c r="P490" s="1393"/>
      <c r="Q490" s="1392"/>
      <c r="R490" s="1393"/>
      <c r="S490" s="1393"/>
      <c r="T490" s="1393"/>
    </row>
    <row r="491" spans="1:20" s="1395" customFormat="1">
      <c r="A491" s="1392"/>
      <c r="B491" s="1392"/>
      <c r="C491" s="1392"/>
      <c r="D491" s="1392"/>
      <c r="E491" s="1392"/>
      <c r="F491" s="1392"/>
      <c r="G491" s="1392"/>
      <c r="H491" s="1392"/>
      <c r="I491" s="1392"/>
      <c r="J491" s="1392"/>
      <c r="K491" s="1392"/>
      <c r="L491" s="1392"/>
      <c r="N491" s="1396"/>
      <c r="O491" s="1393"/>
      <c r="P491" s="1393"/>
      <c r="Q491" s="1392"/>
      <c r="R491" s="1393"/>
      <c r="S491" s="1393"/>
      <c r="T491" s="1393"/>
    </row>
    <row r="492" spans="1:20" s="1395" customFormat="1">
      <c r="A492" s="1392"/>
      <c r="B492" s="1392"/>
      <c r="C492" s="1392"/>
      <c r="D492" s="1392"/>
      <c r="E492" s="1392"/>
      <c r="F492" s="1392"/>
      <c r="G492" s="1392"/>
      <c r="H492" s="1392"/>
      <c r="I492" s="1392"/>
      <c r="J492" s="1392"/>
      <c r="K492" s="1392"/>
      <c r="L492" s="1392"/>
      <c r="N492" s="1396"/>
      <c r="O492" s="1393"/>
      <c r="P492" s="1393"/>
      <c r="Q492" s="1392"/>
      <c r="R492" s="1393"/>
      <c r="S492" s="1393"/>
      <c r="T492" s="1393"/>
    </row>
    <row r="493" spans="1:20" s="1395" customFormat="1">
      <c r="A493" s="1392"/>
      <c r="B493" s="1392"/>
      <c r="C493" s="1392"/>
      <c r="D493" s="1392"/>
      <c r="E493" s="1392"/>
      <c r="F493" s="1392"/>
      <c r="G493" s="1392"/>
      <c r="H493" s="1392"/>
      <c r="I493" s="1392"/>
      <c r="J493" s="1392"/>
      <c r="K493" s="1392"/>
      <c r="L493" s="1392"/>
      <c r="N493" s="1396"/>
      <c r="O493" s="1393"/>
      <c r="P493" s="1393"/>
      <c r="Q493" s="1392"/>
      <c r="R493" s="1393"/>
      <c r="S493" s="1393"/>
      <c r="T493" s="1393"/>
    </row>
    <row r="494" spans="1:20" s="1395" customFormat="1">
      <c r="A494" s="1392"/>
      <c r="B494" s="1392"/>
      <c r="C494" s="1392"/>
      <c r="D494" s="1392"/>
      <c r="E494" s="1392"/>
      <c r="F494" s="1392"/>
      <c r="G494" s="1392"/>
      <c r="H494" s="1392"/>
      <c r="I494" s="1392"/>
      <c r="J494" s="1392"/>
      <c r="K494" s="1392"/>
      <c r="L494" s="1392"/>
      <c r="N494" s="1396"/>
      <c r="O494" s="1393"/>
      <c r="P494" s="1393"/>
      <c r="Q494" s="1392"/>
      <c r="R494" s="1393"/>
      <c r="S494" s="1393"/>
      <c r="T494" s="1393"/>
    </row>
    <row r="495" spans="1:20" s="1395" customFormat="1">
      <c r="A495" s="1392"/>
      <c r="B495" s="1392"/>
      <c r="C495" s="1392"/>
      <c r="D495" s="1392"/>
      <c r="E495" s="1392"/>
      <c r="F495" s="1392"/>
      <c r="G495" s="1392"/>
      <c r="H495" s="1392"/>
      <c r="I495" s="1392"/>
      <c r="J495" s="1392"/>
      <c r="K495" s="1392"/>
      <c r="L495" s="1392"/>
      <c r="N495" s="1396"/>
      <c r="O495" s="1393"/>
      <c r="P495" s="1393"/>
      <c r="Q495" s="1392"/>
      <c r="R495" s="1393"/>
      <c r="S495" s="1393"/>
      <c r="T495" s="1393"/>
    </row>
    <row r="496" spans="1:20" s="1395" customFormat="1">
      <c r="A496" s="1392"/>
      <c r="B496" s="1392"/>
      <c r="C496" s="1392"/>
      <c r="D496" s="1392"/>
      <c r="E496" s="1392"/>
      <c r="F496" s="1392"/>
      <c r="G496" s="1392"/>
      <c r="H496" s="1392"/>
      <c r="I496" s="1392"/>
      <c r="J496" s="1392"/>
      <c r="K496" s="1392"/>
      <c r="L496" s="1392"/>
      <c r="N496" s="1396"/>
      <c r="O496" s="1393"/>
      <c r="P496" s="1393"/>
      <c r="Q496" s="1392"/>
      <c r="R496" s="1393"/>
      <c r="S496" s="1393"/>
      <c r="T496" s="1393"/>
    </row>
    <row r="497" spans="1:20" s="1395" customFormat="1">
      <c r="A497" s="1392"/>
      <c r="B497" s="1392"/>
      <c r="C497" s="1392"/>
      <c r="D497" s="1392"/>
      <c r="E497" s="1392"/>
      <c r="F497" s="1392"/>
      <c r="G497" s="1392"/>
      <c r="H497" s="1392"/>
      <c r="I497" s="1392"/>
      <c r="J497" s="1392"/>
      <c r="K497" s="1392"/>
      <c r="L497" s="1392"/>
      <c r="N497" s="1396"/>
      <c r="O497" s="1393"/>
      <c r="P497" s="1393"/>
      <c r="Q497" s="1392"/>
      <c r="R497" s="1393"/>
      <c r="S497" s="1393"/>
      <c r="T497" s="1393"/>
    </row>
    <row r="498" spans="1:20" s="1395" customFormat="1">
      <c r="A498" s="1392"/>
      <c r="B498" s="1392"/>
      <c r="C498" s="1392"/>
      <c r="D498" s="1392"/>
      <c r="E498" s="1392"/>
      <c r="F498" s="1392"/>
      <c r="G498" s="1392"/>
      <c r="H498" s="1392"/>
      <c r="I498" s="1392"/>
      <c r="J498" s="1392"/>
      <c r="K498" s="1392"/>
      <c r="L498" s="1392"/>
      <c r="N498" s="1396"/>
      <c r="O498" s="1393"/>
      <c r="P498" s="1393"/>
      <c r="Q498" s="1392"/>
      <c r="R498" s="1393"/>
      <c r="S498" s="1393"/>
      <c r="T498" s="1393"/>
    </row>
    <row r="499" spans="1:20" s="1395" customFormat="1">
      <c r="A499" s="1392"/>
      <c r="B499" s="1392"/>
      <c r="C499" s="1392"/>
      <c r="D499" s="1392"/>
      <c r="E499" s="1392"/>
      <c r="F499" s="1392"/>
      <c r="G499" s="1392"/>
      <c r="H499" s="1392"/>
      <c r="I499" s="1392"/>
      <c r="J499" s="1392"/>
      <c r="K499" s="1392"/>
      <c r="L499" s="1392"/>
      <c r="N499" s="1396"/>
      <c r="O499" s="1393"/>
      <c r="P499" s="1393"/>
      <c r="Q499" s="1392"/>
      <c r="R499" s="1393"/>
      <c r="S499" s="1393"/>
      <c r="T499" s="1393"/>
    </row>
    <row r="500" spans="1:20" s="1395" customFormat="1">
      <c r="A500" s="1392"/>
      <c r="B500" s="1392"/>
      <c r="C500" s="1392"/>
      <c r="D500" s="1392"/>
      <c r="E500" s="1392"/>
      <c r="F500" s="1392"/>
      <c r="G500" s="1392"/>
      <c r="H500" s="1392"/>
      <c r="I500" s="1392"/>
      <c r="J500" s="1392"/>
      <c r="K500" s="1392"/>
      <c r="L500" s="1392"/>
      <c r="N500" s="1396"/>
      <c r="O500" s="1393"/>
      <c r="P500" s="1393"/>
      <c r="Q500" s="1392"/>
      <c r="R500" s="1393"/>
      <c r="S500" s="1393"/>
      <c r="T500" s="1393"/>
    </row>
    <row r="501" spans="1:20" s="1395" customFormat="1">
      <c r="A501" s="1392"/>
      <c r="B501" s="1392"/>
      <c r="C501" s="1392"/>
      <c r="D501" s="1392"/>
      <c r="E501" s="1392"/>
      <c r="F501" s="1392"/>
      <c r="G501" s="1392"/>
      <c r="H501" s="1392"/>
      <c r="I501" s="1392"/>
      <c r="J501" s="1392"/>
      <c r="K501" s="1392"/>
      <c r="L501" s="1392"/>
      <c r="N501" s="1396"/>
      <c r="O501" s="1393"/>
      <c r="P501" s="1393"/>
      <c r="Q501" s="1392"/>
      <c r="R501" s="1393"/>
      <c r="S501" s="1393"/>
      <c r="T501" s="1393"/>
    </row>
    <row r="502" spans="1:20" s="1395" customFormat="1">
      <c r="A502" s="1392"/>
      <c r="B502" s="1392"/>
      <c r="C502" s="1392"/>
      <c r="D502" s="1392"/>
      <c r="E502" s="1392"/>
      <c r="F502" s="1392"/>
      <c r="G502" s="1392"/>
      <c r="H502" s="1392"/>
      <c r="I502" s="1392"/>
      <c r="J502" s="1392"/>
      <c r="K502" s="1392"/>
      <c r="L502" s="1392"/>
      <c r="N502" s="1396"/>
      <c r="O502" s="1393"/>
      <c r="P502" s="1393"/>
      <c r="Q502" s="1392"/>
      <c r="R502" s="1393"/>
      <c r="S502" s="1393"/>
      <c r="T502" s="1393"/>
    </row>
    <row r="503" spans="1:20" s="1395" customFormat="1">
      <c r="A503" s="1392"/>
      <c r="B503" s="1392"/>
      <c r="C503" s="1392"/>
      <c r="D503" s="1392"/>
      <c r="E503" s="1392"/>
      <c r="F503" s="1392"/>
      <c r="G503" s="1392"/>
      <c r="H503" s="1392"/>
      <c r="I503" s="1392"/>
      <c r="J503" s="1392"/>
      <c r="K503" s="1392"/>
      <c r="L503" s="1392"/>
      <c r="N503" s="1396"/>
      <c r="O503" s="1393"/>
      <c r="P503" s="1393"/>
      <c r="Q503" s="1392"/>
      <c r="R503" s="1393"/>
      <c r="S503" s="1393"/>
      <c r="T503" s="1393"/>
    </row>
    <row r="504" spans="1:20" s="1395" customFormat="1">
      <c r="A504" s="1392"/>
      <c r="B504" s="1392"/>
      <c r="C504" s="1392"/>
      <c r="D504" s="1392"/>
      <c r="E504" s="1392"/>
      <c r="F504" s="1392"/>
      <c r="G504" s="1392"/>
      <c r="H504" s="1392"/>
      <c r="I504" s="1392"/>
      <c r="J504" s="1392"/>
      <c r="K504" s="1392"/>
      <c r="L504" s="1392"/>
      <c r="N504" s="1396"/>
      <c r="O504" s="1393"/>
      <c r="P504" s="1393"/>
      <c r="Q504" s="1392"/>
      <c r="R504" s="1393"/>
      <c r="S504" s="1393"/>
      <c r="T504" s="1393"/>
    </row>
    <row r="505" spans="1:20" s="1395" customFormat="1">
      <c r="A505" s="1392"/>
      <c r="B505" s="1392"/>
      <c r="C505" s="1392"/>
      <c r="D505" s="1392"/>
      <c r="E505" s="1392"/>
      <c r="F505" s="1392"/>
      <c r="G505" s="1392"/>
      <c r="H505" s="1392"/>
      <c r="I505" s="1392"/>
      <c r="J505" s="1392"/>
      <c r="K505" s="1392"/>
      <c r="L505" s="1392"/>
      <c r="N505" s="1396"/>
      <c r="O505" s="1393"/>
      <c r="P505" s="1393"/>
      <c r="Q505" s="1392"/>
      <c r="R505" s="1393"/>
      <c r="S505" s="1393"/>
      <c r="T505" s="1393"/>
    </row>
    <row r="506" spans="1:20" s="1395" customFormat="1">
      <c r="A506" s="1392"/>
      <c r="B506" s="1392"/>
      <c r="C506" s="1392"/>
      <c r="D506" s="1392"/>
      <c r="E506" s="1392"/>
      <c r="F506" s="1392"/>
      <c r="G506" s="1392"/>
      <c r="H506" s="1392"/>
      <c r="I506" s="1392"/>
      <c r="J506" s="1392"/>
      <c r="K506" s="1392"/>
      <c r="L506" s="1392"/>
      <c r="N506" s="1396"/>
      <c r="O506" s="1393"/>
      <c r="P506" s="1393"/>
      <c r="Q506" s="1392"/>
      <c r="R506" s="1393"/>
      <c r="S506" s="1393"/>
      <c r="T506" s="1393"/>
    </row>
    <row r="507" spans="1:20" s="1395" customFormat="1">
      <c r="A507" s="1392"/>
      <c r="B507" s="1392"/>
      <c r="C507" s="1392"/>
      <c r="D507" s="1392"/>
      <c r="E507" s="1392"/>
      <c r="F507" s="1392"/>
      <c r="G507" s="1392"/>
      <c r="H507" s="1392"/>
      <c r="I507" s="1392"/>
      <c r="J507" s="1392"/>
      <c r="K507" s="1392"/>
      <c r="L507" s="1392"/>
      <c r="N507" s="1396"/>
      <c r="O507" s="1393"/>
      <c r="P507" s="1393"/>
      <c r="Q507" s="1392"/>
      <c r="R507" s="1393"/>
      <c r="S507" s="1393"/>
      <c r="T507" s="1393"/>
    </row>
    <row r="508" spans="1:20" s="1395" customFormat="1">
      <c r="A508" s="1392"/>
      <c r="B508" s="1392"/>
      <c r="C508" s="1392"/>
      <c r="D508" s="1392"/>
      <c r="E508" s="1392"/>
      <c r="F508" s="1392"/>
      <c r="G508" s="1392"/>
      <c r="H508" s="1392"/>
      <c r="I508" s="1392"/>
      <c r="J508" s="1392"/>
      <c r="K508" s="1392"/>
      <c r="L508" s="1392"/>
      <c r="N508" s="1396"/>
      <c r="O508" s="1393"/>
      <c r="P508" s="1393"/>
      <c r="Q508" s="1392"/>
      <c r="R508" s="1393"/>
      <c r="S508" s="1393"/>
      <c r="T508" s="1393"/>
    </row>
    <row r="509" spans="1:20" s="1395" customFormat="1">
      <c r="A509" s="1392"/>
      <c r="B509" s="1392"/>
      <c r="C509" s="1392"/>
      <c r="D509" s="1392"/>
      <c r="E509" s="1392"/>
      <c r="F509" s="1392"/>
      <c r="G509" s="1392"/>
      <c r="H509" s="1392"/>
      <c r="I509" s="1392"/>
      <c r="J509" s="1392"/>
      <c r="K509" s="1392"/>
      <c r="L509" s="1392"/>
      <c r="N509" s="1396"/>
      <c r="O509" s="1393"/>
      <c r="P509" s="1393"/>
      <c r="Q509" s="1392"/>
      <c r="R509" s="1393"/>
      <c r="S509" s="1393"/>
      <c r="T509" s="1393"/>
    </row>
    <row r="510" spans="1:20" s="1395" customFormat="1">
      <c r="A510" s="1392"/>
      <c r="B510" s="1392"/>
      <c r="C510" s="1392"/>
      <c r="D510" s="1392"/>
      <c r="E510" s="1392"/>
      <c r="F510" s="1392"/>
      <c r="G510" s="1392"/>
      <c r="H510" s="1392"/>
      <c r="I510" s="1392"/>
      <c r="J510" s="1392"/>
      <c r="K510" s="1392"/>
      <c r="L510" s="1392"/>
      <c r="N510" s="1396"/>
      <c r="O510" s="1393"/>
      <c r="P510" s="1393"/>
      <c r="Q510" s="1392"/>
      <c r="R510" s="1393"/>
      <c r="S510" s="1393"/>
      <c r="T510" s="1393"/>
    </row>
    <row r="511" spans="1:20" s="1395" customFormat="1">
      <c r="A511" s="1392"/>
      <c r="B511" s="1392"/>
      <c r="C511" s="1392"/>
      <c r="D511" s="1392"/>
      <c r="E511" s="1392"/>
      <c r="F511" s="1392"/>
      <c r="G511" s="1392"/>
      <c r="H511" s="1392"/>
      <c r="I511" s="1392"/>
      <c r="J511" s="1392"/>
      <c r="K511" s="1392"/>
      <c r="L511" s="1392"/>
      <c r="N511" s="1396"/>
      <c r="O511" s="1393"/>
      <c r="P511" s="1393"/>
      <c r="Q511" s="1392"/>
      <c r="R511" s="1393"/>
      <c r="S511" s="1393"/>
      <c r="T511" s="1393"/>
    </row>
    <row r="512" spans="1:20" s="1395" customFormat="1">
      <c r="A512" s="1392"/>
      <c r="B512" s="1392"/>
      <c r="C512" s="1392"/>
      <c r="D512" s="1392"/>
      <c r="E512" s="1392"/>
      <c r="F512" s="1392"/>
      <c r="G512" s="1392"/>
      <c r="H512" s="1392"/>
      <c r="I512" s="1392"/>
      <c r="J512" s="1392"/>
      <c r="K512" s="1392"/>
      <c r="L512" s="1392"/>
      <c r="N512" s="1396"/>
      <c r="O512" s="1393"/>
      <c r="P512" s="1393"/>
      <c r="Q512" s="1392"/>
      <c r="R512" s="1393"/>
      <c r="S512" s="1393"/>
      <c r="T512" s="1393"/>
    </row>
    <row r="513" spans="1:20" s="1395" customFormat="1">
      <c r="A513" s="1392"/>
      <c r="B513" s="1392"/>
      <c r="C513" s="1392"/>
      <c r="D513" s="1392"/>
      <c r="E513" s="1392"/>
      <c r="F513" s="1392"/>
      <c r="G513" s="1392"/>
      <c r="H513" s="1392"/>
      <c r="I513" s="1392"/>
      <c r="J513" s="1392"/>
      <c r="K513" s="1392"/>
      <c r="L513" s="1392"/>
      <c r="N513" s="1396"/>
      <c r="O513" s="1393"/>
      <c r="P513" s="1393"/>
      <c r="Q513" s="1392"/>
      <c r="R513" s="1393"/>
      <c r="S513" s="1393"/>
      <c r="T513" s="1393"/>
    </row>
    <row r="514" spans="1:20" s="1395" customFormat="1">
      <c r="A514" s="1392"/>
      <c r="B514" s="1392"/>
      <c r="C514" s="1392"/>
      <c r="D514" s="1392"/>
      <c r="E514" s="1392"/>
      <c r="F514" s="1392"/>
      <c r="G514" s="1392"/>
      <c r="H514" s="1392"/>
      <c r="I514" s="1392"/>
      <c r="J514" s="1392"/>
      <c r="K514" s="1392"/>
      <c r="L514" s="1392"/>
      <c r="N514" s="1396"/>
      <c r="O514" s="1393"/>
      <c r="P514" s="1393"/>
      <c r="Q514" s="1392"/>
      <c r="R514" s="1393"/>
      <c r="S514" s="1393"/>
      <c r="T514" s="1393"/>
    </row>
    <row r="515" spans="1:20" s="1395" customFormat="1">
      <c r="A515" s="1392"/>
      <c r="B515" s="1392"/>
      <c r="C515" s="1392"/>
      <c r="D515" s="1392"/>
      <c r="E515" s="1392"/>
      <c r="F515" s="1392"/>
      <c r="G515" s="1392"/>
      <c r="H515" s="1392"/>
      <c r="I515" s="1392"/>
      <c r="J515" s="1392"/>
      <c r="K515" s="1392"/>
      <c r="L515" s="1392"/>
      <c r="N515" s="1396"/>
      <c r="O515" s="1393"/>
      <c r="P515" s="1393"/>
      <c r="Q515" s="1392"/>
      <c r="R515" s="1393"/>
      <c r="S515" s="1393"/>
      <c r="T515" s="1393"/>
    </row>
    <row r="516" spans="1:20" s="1395" customFormat="1">
      <c r="A516" s="1392"/>
      <c r="B516" s="1392"/>
      <c r="C516" s="1392"/>
      <c r="D516" s="1392"/>
      <c r="E516" s="1392"/>
      <c r="F516" s="1392"/>
      <c r="G516" s="1392"/>
      <c r="H516" s="1392"/>
      <c r="I516" s="1392"/>
      <c r="J516" s="1392"/>
      <c r="K516" s="1392"/>
      <c r="L516" s="1392"/>
      <c r="N516" s="1396"/>
      <c r="O516" s="1393"/>
      <c r="P516" s="1393"/>
      <c r="Q516" s="1392"/>
      <c r="R516" s="1393"/>
      <c r="S516" s="1393"/>
      <c r="T516" s="1393"/>
    </row>
    <row r="517" spans="1:20" s="1395" customFormat="1">
      <c r="A517" s="1392"/>
      <c r="B517" s="1392"/>
      <c r="C517" s="1392"/>
      <c r="D517" s="1392"/>
      <c r="E517" s="1392"/>
      <c r="F517" s="1392"/>
      <c r="G517" s="1392"/>
      <c r="H517" s="1392"/>
      <c r="I517" s="1392"/>
      <c r="J517" s="1392"/>
      <c r="K517" s="1392"/>
      <c r="L517" s="1392"/>
      <c r="N517" s="1396"/>
      <c r="O517" s="1393"/>
      <c r="P517" s="1393"/>
      <c r="Q517" s="1392"/>
      <c r="R517" s="1393"/>
      <c r="S517" s="1393"/>
      <c r="T517" s="1393"/>
    </row>
    <row r="518" spans="1:20" s="1395" customFormat="1">
      <c r="A518" s="1392"/>
      <c r="B518" s="1392"/>
      <c r="C518" s="1392"/>
      <c r="D518" s="1392"/>
      <c r="E518" s="1392"/>
      <c r="F518" s="1392"/>
      <c r="G518" s="1392"/>
      <c r="H518" s="1392"/>
      <c r="I518" s="1392"/>
      <c r="J518" s="1392"/>
      <c r="K518" s="1392"/>
      <c r="L518" s="1392"/>
      <c r="N518" s="1396"/>
      <c r="O518" s="1393"/>
      <c r="P518" s="1393"/>
      <c r="Q518" s="1392"/>
      <c r="R518" s="1393"/>
      <c r="S518" s="1393"/>
      <c r="T518" s="1393"/>
    </row>
    <row r="519" spans="1:20" s="1395" customFormat="1">
      <c r="A519" s="1392"/>
      <c r="B519" s="1392"/>
      <c r="C519" s="1392"/>
      <c r="D519" s="1392"/>
      <c r="E519" s="1392"/>
      <c r="F519" s="1392"/>
      <c r="G519" s="1392"/>
      <c r="H519" s="1392"/>
      <c r="I519" s="1392"/>
      <c r="J519" s="1392"/>
      <c r="K519" s="1392"/>
      <c r="L519" s="1392"/>
      <c r="N519" s="1396"/>
      <c r="O519" s="1393"/>
      <c r="P519" s="1393"/>
      <c r="Q519" s="1392"/>
      <c r="R519" s="1393"/>
      <c r="S519" s="1393"/>
      <c r="T519" s="1393"/>
    </row>
    <row r="520" spans="1:20" s="1395" customFormat="1">
      <c r="A520" s="1392"/>
      <c r="B520" s="1392"/>
      <c r="C520" s="1392"/>
      <c r="D520" s="1392"/>
      <c r="E520" s="1392"/>
      <c r="F520" s="1392"/>
      <c r="G520" s="1392"/>
      <c r="H520" s="1392"/>
      <c r="I520" s="1392"/>
      <c r="J520" s="1392"/>
      <c r="K520" s="1392"/>
      <c r="L520" s="1392"/>
      <c r="N520" s="1396"/>
      <c r="O520" s="1393"/>
      <c r="P520" s="1393"/>
      <c r="Q520" s="1392"/>
      <c r="R520" s="1393"/>
      <c r="S520" s="1393"/>
      <c r="T520" s="1393"/>
    </row>
    <row r="521" spans="1:20" s="1395" customFormat="1">
      <c r="A521" s="1392"/>
      <c r="B521" s="1392"/>
      <c r="C521" s="1392"/>
      <c r="D521" s="1392"/>
      <c r="E521" s="1392"/>
      <c r="F521" s="1392"/>
      <c r="G521" s="1392"/>
      <c r="H521" s="1392"/>
      <c r="I521" s="1392"/>
      <c r="J521" s="1392"/>
      <c r="K521" s="1392"/>
      <c r="L521" s="1392"/>
      <c r="N521" s="1396"/>
      <c r="O521" s="1393"/>
      <c r="P521" s="1393"/>
      <c r="Q521" s="1392"/>
      <c r="R521" s="1393"/>
      <c r="S521" s="1393"/>
      <c r="T521" s="1393"/>
    </row>
    <row r="522" spans="1:20" s="1395" customFormat="1">
      <c r="A522" s="1392"/>
      <c r="B522" s="1392"/>
      <c r="C522" s="1392"/>
      <c r="D522" s="1392"/>
      <c r="E522" s="1392"/>
      <c r="F522" s="1392"/>
      <c r="G522" s="1392"/>
      <c r="H522" s="1392"/>
      <c r="I522" s="1392"/>
      <c r="J522" s="1392"/>
      <c r="K522" s="1392"/>
      <c r="L522" s="1392"/>
      <c r="N522" s="1396"/>
      <c r="O522" s="1393"/>
      <c r="P522" s="1393"/>
      <c r="Q522" s="1392"/>
      <c r="R522" s="1393"/>
      <c r="S522" s="1393"/>
      <c r="T522" s="1393"/>
    </row>
    <row r="523" spans="1:20" s="1395" customFormat="1">
      <c r="A523" s="1392"/>
      <c r="B523" s="1392"/>
      <c r="C523" s="1392"/>
      <c r="D523" s="1392"/>
      <c r="E523" s="1392"/>
      <c r="F523" s="1392"/>
      <c r="G523" s="1392"/>
      <c r="H523" s="1392"/>
      <c r="I523" s="1392"/>
      <c r="J523" s="1392"/>
      <c r="K523" s="1392"/>
      <c r="L523" s="1392"/>
      <c r="N523" s="1396"/>
      <c r="O523" s="1393"/>
      <c r="P523" s="1393"/>
      <c r="Q523" s="1392"/>
      <c r="R523" s="1393"/>
      <c r="S523" s="1393"/>
      <c r="T523" s="1393"/>
    </row>
    <row r="524" spans="1:20" s="1395" customFormat="1">
      <c r="A524" s="1392"/>
      <c r="B524" s="1392"/>
      <c r="C524" s="1392"/>
      <c r="D524" s="1392"/>
      <c r="E524" s="1392"/>
      <c r="F524" s="1392"/>
      <c r="G524" s="1392"/>
      <c r="H524" s="1392"/>
      <c r="I524" s="1392"/>
      <c r="J524" s="1392"/>
      <c r="K524" s="1392"/>
      <c r="L524" s="1392"/>
      <c r="N524" s="1396"/>
      <c r="O524" s="1393"/>
      <c r="P524" s="1393"/>
      <c r="Q524" s="1392"/>
      <c r="R524" s="1393"/>
      <c r="S524" s="1393"/>
      <c r="T524" s="1393"/>
    </row>
    <row r="525" spans="1:20" s="1395" customFormat="1">
      <c r="A525" s="1392"/>
      <c r="B525" s="1392"/>
      <c r="C525" s="1392"/>
      <c r="D525" s="1392"/>
      <c r="E525" s="1392"/>
      <c r="F525" s="1392"/>
      <c r="G525" s="1392"/>
      <c r="H525" s="1392"/>
      <c r="I525" s="1392"/>
      <c r="J525" s="1392"/>
      <c r="K525" s="1392"/>
      <c r="L525" s="1392"/>
      <c r="N525" s="1396"/>
      <c r="O525" s="1393"/>
      <c r="P525" s="1393"/>
      <c r="Q525" s="1392"/>
      <c r="R525" s="1393"/>
      <c r="S525" s="1393"/>
      <c r="T525" s="1393"/>
    </row>
    <row r="526" spans="1:20" s="1395" customFormat="1">
      <c r="A526" s="1392"/>
      <c r="B526" s="1392"/>
      <c r="C526" s="1392"/>
      <c r="D526" s="1392"/>
      <c r="E526" s="1392"/>
      <c r="F526" s="1392"/>
      <c r="G526" s="1392"/>
      <c r="H526" s="1392"/>
      <c r="I526" s="1392"/>
      <c r="J526" s="1392"/>
      <c r="K526" s="1392"/>
      <c r="L526" s="1392"/>
      <c r="N526" s="1396"/>
      <c r="O526" s="1393"/>
      <c r="P526" s="1393"/>
      <c r="Q526" s="1392"/>
      <c r="R526" s="1393"/>
      <c r="S526" s="1393"/>
      <c r="T526" s="1393"/>
    </row>
    <row r="527" spans="1:20" s="1395" customFormat="1">
      <c r="A527" s="1392"/>
      <c r="B527" s="1392"/>
      <c r="C527" s="1392"/>
      <c r="D527" s="1392"/>
      <c r="E527" s="1392"/>
      <c r="F527" s="1392"/>
      <c r="G527" s="1392"/>
      <c r="H527" s="1392"/>
      <c r="I527" s="1392"/>
      <c r="J527" s="1392"/>
      <c r="K527" s="1392"/>
      <c r="L527" s="1392"/>
      <c r="N527" s="1396"/>
      <c r="O527" s="1393"/>
      <c r="P527" s="1393"/>
      <c r="Q527" s="1392"/>
      <c r="R527" s="1393"/>
      <c r="S527" s="1393"/>
      <c r="T527" s="1393"/>
    </row>
    <row r="528" spans="1:20" s="1395" customFormat="1">
      <c r="A528" s="1392"/>
      <c r="B528" s="1392"/>
      <c r="C528" s="1392"/>
      <c r="D528" s="1392"/>
      <c r="E528" s="1392"/>
      <c r="F528" s="1392"/>
      <c r="G528" s="1392"/>
      <c r="H528" s="1392"/>
      <c r="I528" s="1392"/>
      <c r="J528" s="1392"/>
      <c r="K528" s="1392"/>
      <c r="L528" s="1392"/>
      <c r="N528" s="1396"/>
      <c r="O528" s="1393"/>
      <c r="P528" s="1393"/>
      <c r="Q528" s="1392"/>
      <c r="R528" s="1393"/>
      <c r="S528" s="1393"/>
      <c r="T528" s="1393"/>
    </row>
    <row r="529" spans="1:20" s="1395" customFormat="1">
      <c r="A529" s="1392"/>
      <c r="B529" s="1392"/>
      <c r="C529" s="1392"/>
      <c r="D529" s="1392"/>
      <c r="E529" s="1392"/>
      <c r="F529" s="1392"/>
      <c r="G529" s="1392"/>
      <c r="H529" s="1392"/>
      <c r="I529" s="1392"/>
      <c r="J529" s="1392"/>
      <c r="K529" s="1392"/>
      <c r="L529" s="1392"/>
      <c r="N529" s="1396"/>
      <c r="O529" s="1393"/>
      <c r="P529" s="1393"/>
      <c r="Q529" s="1392"/>
      <c r="R529" s="1393"/>
      <c r="S529" s="1393"/>
      <c r="T529" s="1393"/>
    </row>
    <row r="530" spans="1:20" s="1395" customFormat="1">
      <c r="A530" s="1392"/>
      <c r="B530" s="1392"/>
      <c r="C530" s="1392"/>
      <c r="D530" s="1392"/>
      <c r="E530" s="1392"/>
      <c r="F530" s="1392"/>
      <c r="G530" s="1392"/>
      <c r="H530" s="1392"/>
      <c r="I530" s="1392"/>
      <c r="J530" s="1392"/>
      <c r="K530" s="1392"/>
      <c r="L530" s="1392"/>
      <c r="N530" s="1396"/>
      <c r="O530" s="1393"/>
      <c r="P530" s="1393"/>
      <c r="Q530" s="1392"/>
      <c r="R530" s="1393"/>
      <c r="S530" s="1393"/>
      <c r="T530" s="1393"/>
    </row>
    <row r="531" spans="1:20" s="1395" customFormat="1">
      <c r="A531" s="1392"/>
      <c r="B531" s="1392"/>
      <c r="C531" s="1392"/>
      <c r="D531" s="1392"/>
      <c r="E531" s="1392"/>
      <c r="F531" s="1392"/>
      <c r="G531" s="1392"/>
      <c r="H531" s="1392"/>
      <c r="I531" s="1392"/>
      <c r="J531" s="1392"/>
      <c r="K531" s="1392"/>
      <c r="L531" s="1392"/>
      <c r="N531" s="1396"/>
      <c r="O531" s="1393"/>
      <c r="P531" s="1393"/>
      <c r="Q531" s="1392"/>
      <c r="R531" s="1393"/>
      <c r="S531" s="1393"/>
      <c r="T531" s="1393"/>
    </row>
    <row r="532" spans="1:20" s="1395" customFormat="1">
      <c r="A532" s="1392"/>
      <c r="B532" s="1392"/>
      <c r="C532" s="1392"/>
      <c r="D532" s="1392"/>
      <c r="E532" s="1392"/>
      <c r="F532" s="1392"/>
      <c r="G532" s="1392"/>
      <c r="H532" s="1392"/>
      <c r="I532" s="1392"/>
      <c r="J532" s="1392"/>
      <c r="K532" s="1392"/>
      <c r="L532" s="1392"/>
      <c r="N532" s="1396"/>
      <c r="O532" s="1393"/>
      <c r="P532" s="1393"/>
      <c r="Q532" s="1392"/>
      <c r="R532" s="1393"/>
      <c r="S532" s="1393"/>
      <c r="T532" s="1393"/>
    </row>
    <row r="533" spans="1:20" s="1395" customFormat="1">
      <c r="A533" s="1392"/>
      <c r="B533" s="1392"/>
      <c r="C533" s="1392"/>
      <c r="D533" s="1392"/>
      <c r="E533" s="1392"/>
      <c r="F533" s="1392"/>
      <c r="G533" s="1392"/>
      <c r="H533" s="1392"/>
      <c r="I533" s="1392"/>
      <c r="J533" s="1392"/>
      <c r="K533" s="1392"/>
      <c r="L533" s="1392"/>
      <c r="N533" s="1396"/>
      <c r="O533" s="1393"/>
      <c r="P533" s="1393"/>
      <c r="Q533" s="1392"/>
      <c r="R533" s="1393"/>
      <c r="S533" s="1393"/>
      <c r="T533" s="1393"/>
    </row>
    <row r="534" spans="1:20" s="1395" customFormat="1">
      <c r="A534" s="1392"/>
      <c r="B534" s="1392"/>
      <c r="C534" s="1392"/>
      <c r="D534" s="1392"/>
      <c r="E534" s="1392"/>
      <c r="F534" s="1392"/>
      <c r="G534" s="1392"/>
      <c r="H534" s="1392"/>
      <c r="I534" s="1392"/>
      <c r="J534" s="1392"/>
      <c r="K534" s="1392"/>
      <c r="L534" s="1392"/>
      <c r="N534" s="1396"/>
      <c r="O534" s="1393"/>
      <c r="P534" s="1393"/>
      <c r="Q534" s="1392"/>
      <c r="R534" s="1393"/>
      <c r="S534" s="1393"/>
      <c r="T534" s="1393"/>
    </row>
    <row r="535" spans="1:20" s="1395" customFormat="1">
      <c r="A535" s="1392"/>
      <c r="B535" s="1392"/>
      <c r="C535" s="1392"/>
      <c r="D535" s="1392"/>
      <c r="E535" s="1392"/>
      <c r="F535" s="1392"/>
      <c r="G535" s="1392"/>
      <c r="H535" s="1392"/>
      <c r="I535" s="1392"/>
      <c r="J535" s="1392"/>
      <c r="K535" s="1392"/>
      <c r="L535" s="1392"/>
      <c r="N535" s="1396"/>
      <c r="O535" s="1393"/>
      <c r="P535" s="1393"/>
      <c r="Q535" s="1392"/>
      <c r="R535" s="1393"/>
      <c r="S535" s="1393"/>
      <c r="T535" s="1393"/>
    </row>
    <row r="536" spans="1:20" s="1395" customFormat="1">
      <c r="A536" s="1392"/>
      <c r="B536" s="1392"/>
      <c r="C536" s="1392"/>
      <c r="D536" s="1392"/>
      <c r="E536" s="1392"/>
      <c r="F536" s="1392"/>
      <c r="G536" s="1392"/>
      <c r="H536" s="1392"/>
      <c r="I536" s="1392"/>
      <c r="J536" s="1392"/>
      <c r="K536" s="1392"/>
      <c r="L536" s="1392"/>
      <c r="N536" s="1396"/>
      <c r="O536" s="1393"/>
      <c r="P536" s="1393"/>
      <c r="Q536" s="1392"/>
      <c r="R536" s="1393"/>
      <c r="S536" s="1393"/>
      <c r="T536" s="1393"/>
    </row>
    <row r="537" spans="1:20" s="1395" customFormat="1">
      <c r="A537" s="1392"/>
      <c r="B537" s="1392"/>
      <c r="C537" s="1392"/>
      <c r="D537" s="1392"/>
      <c r="E537" s="1392"/>
      <c r="F537" s="1392"/>
      <c r="G537" s="1392"/>
      <c r="H537" s="1392"/>
      <c r="I537" s="1392"/>
      <c r="J537" s="1392"/>
      <c r="K537" s="1392"/>
      <c r="L537" s="1392"/>
      <c r="N537" s="1396"/>
      <c r="O537" s="1393"/>
      <c r="P537" s="1393"/>
      <c r="Q537" s="1392"/>
      <c r="R537" s="1393"/>
      <c r="S537" s="1393"/>
      <c r="T537" s="1393"/>
    </row>
    <row r="538" spans="1:20" s="1395" customFormat="1">
      <c r="A538" s="1392"/>
      <c r="B538" s="1392"/>
      <c r="C538" s="1392"/>
      <c r="D538" s="1392"/>
      <c r="E538" s="1392"/>
      <c r="F538" s="1392"/>
      <c r="G538" s="1392"/>
      <c r="H538" s="1392"/>
      <c r="I538" s="1392"/>
      <c r="J538" s="1392"/>
      <c r="K538" s="1392"/>
      <c r="L538" s="1392"/>
      <c r="N538" s="1396"/>
      <c r="O538" s="1393"/>
      <c r="P538" s="1393"/>
      <c r="Q538" s="1392"/>
      <c r="R538" s="1393"/>
      <c r="S538" s="1393"/>
      <c r="T538" s="1393"/>
    </row>
    <row r="539" spans="1:20" s="1395" customFormat="1">
      <c r="A539" s="1392"/>
      <c r="B539" s="1392"/>
      <c r="C539" s="1392"/>
      <c r="D539" s="1392"/>
      <c r="E539" s="1392"/>
      <c r="F539" s="1392"/>
      <c r="G539" s="1392"/>
      <c r="H539" s="1392"/>
      <c r="I539" s="1392"/>
      <c r="J539" s="1392"/>
      <c r="K539" s="1392"/>
      <c r="L539" s="1392"/>
      <c r="N539" s="1396"/>
      <c r="O539" s="1393"/>
      <c r="P539" s="1393"/>
      <c r="Q539" s="1392"/>
      <c r="R539" s="1393"/>
      <c r="S539" s="1393"/>
      <c r="T539" s="1393"/>
    </row>
    <row r="540" spans="1:20" s="1395" customFormat="1">
      <c r="A540" s="1392"/>
      <c r="B540" s="1392"/>
      <c r="C540" s="1392"/>
      <c r="D540" s="1392"/>
      <c r="E540" s="1392"/>
      <c r="F540" s="1392"/>
      <c r="G540" s="1392"/>
      <c r="H540" s="1392"/>
      <c r="I540" s="1392"/>
      <c r="J540" s="1392"/>
      <c r="K540" s="1392"/>
      <c r="L540" s="1392"/>
      <c r="N540" s="1396"/>
      <c r="O540" s="1393"/>
      <c r="P540" s="1393"/>
      <c r="Q540" s="1392"/>
      <c r="R540" s="1393"/>
      <c r="S540" s="1393"/>
      <c r="T540" s="1393"/>
    </row>
    <row r="541" spans="1:20" s="1395" customFormat="1">
      <c r="A541" s="1392"/>
      <c r="B541" s="1392"/>
      <c r="C541" s="1392"/>
      <c r="D541" s="1392"/>
      <c r="E541" s="1392"/>
      <c r="F541" s="1392"/>
      <c r="G541" s="1392"/>
      <c r="H541" s="1392"/>
      <c r="I541" s="1392"/>
      <c r="J541" s="1392"/>
      <c r="K541" s="1392"/>
      <c r="L541" s="1392"/>
      <c r="N541" s="1396"/>
      <c r="O541" s="1393"/>
      <c r="P541" s="1393"/>
      <c r="Q541" s="1392"/>
      <c r="R541" s="1393"/>
      <c r="S541" s="1393"/>
      <c r="T541" s="1393"/>
    </row>
    <row r="542" spans="1:20" s="1395" customFormat="1">
      <c r="A542" s="1392"/>
      <c r="B542" s="1392"/>
      <c r="C542" s="1392"/>
      <c r="D542" s="1392"/>
      <c r="E542" s="1392"/>
      <c r="F542" s="1392"/>
      <c r="G542" s="1392"/>
      <c r="H542" s="1392"/>
      <c r="I542" s="1392"/>
      <c r="J542" s="1392"/>
      <c r="K542" s="1392"/>
      <c r="L542" s="1392"/>
      <c r="N542" s="1396"/>
      <c r="O542" s="1393"/>
      <c r="P542" s="1393"/>
      <c r="Q542" s="1392"/>
      <c r="R542" s="1393"/>
      <c r="S542" s="1393"/>
      <c r="T542" s="1393"/>
    </row>
    <row r="543" spans="1:20" s="1395" customFormat="1">
      <c r="A543" s="1392"/>
      <c r="B543" s="1392"/>
      <c r="C543" s="1392"/>
      <c r="D543" s="1392"/>
      <c r="E543" s="1392"/>
      <c r="F543" s="1392"/>
      <c r="G543" s="1392"/>
      <c r="H543" s="1392"/>
      <c r="I543" s="1392"/>
      <c r="J543" s="1392"/>
      <c r="K543" s="1392"/>
      <c r="L543" s="1392"/>
      <c r="N543" s="1396"/>
      <c r="O543" s="1393"/>
      <c r="P543" s="1393"/>
      <c r="Q543" s="1392"/>
      <c r="R543" s="1393"/>
      <c r="S543" s="1393"/>
      <c r="T543" s="1393"/>
    </row>
    <row r="544" spans="1:20" s="1395" customFormat="1">
      <c r="A544" s="1392"/>
      <c r="B544" s="1392"/>
      <c r="C544" s="1392"/>
      <c r="D544" s="1392"/>
      <c r="E544" s="1392"/>
      <c r="F544" s="1392"/>
      <c r="G544" s="1392"/>
      <c r="H544" s="1392"/>
      <c r="I544" s="1392"/>
      <c r="J544" s="1392"/>
      <c r="K544" s="1392"/>
      <c r="L544" s="1392"/>
      <c r="N544" s="1396"/>
      <c r="O544" s="1393"/>
      <c r="P544" s="1393"/>
      <c r="Q544" s="1392"/>
      <c r="R544" s="1393"/>
      <c r="S544" s="1393"/>
      <c r="T544" s="1393"/>
    </row>
    <row r="545" spans="1:20" s="1395" customFormat="1">
      <c r="A545" s="1392"/>
      <c r="B545" s="1392"/>
      <c r="C545" s="1392"/>
      <c r="D545" s="1392"/>
      <c r="E545" s="1392"/>
      <c r="F545" s="1392"/>
      <c r="G545" s="1392"/>
      <c r="H545" s="1392"/>
      <c r="I545" s="1392"/>
      <c r="J545" s="1392"/>
      <c r="K545" s="1392"/>
      <c r="L545" s="1392"/>
      <c r="N545" s="1396"/>
      <c r="O545" s="1393"/>
      <c r="P545" s="1393"/>
      <c r="Q545" s="1392"/>
      <c r="R545" s="1393"/>
      <c r="S545" s="1393"/>
      <c r="T545" s="1393"/>
    </row>
    <row r="546" spans="1:20" s="1395" customFormat="1">
      <c r="A546" s="1392"/>
      <c r="B546" s="1392"/>
      <c r="C546" s="1392"/>
      <c r="D546" s="1392"/>
      <c r="E546" s="1392"/>
      <c r="F546" s="1392"/>
      <c r="G546" s="1392"/>
      <c r="H546" s="1392"/>
      <c r="I546" s="1392"/>
      <c r="J546" s="1392"/>
      <c r="K546" s="1392"/>
      <c r="L546" s="1392"/>
      <c r="N546" s="1396"/>
      <c r="O546" s="1393"/>
      <c r="P546" s="1393"/>
      <c r="Q546" s="1392"/>
      <c r="R546" s="1393"/>
      <c r="S546" s="1393"/>
      <c r="T546" s="1393"/>
    </row>
    <row r="547" spans="1:20" s="1395" customFormat="1">
      <c r="A547" s="1392"/>
      <c r="B547" s="1392"/>
      <c r="C547" s="1392"/>
      <c r="D547" s="1392"/>
      <c r="E547" s="1392"/>
      <c r="F547" s="1392"/>
      <c r="G547" s="1392"/>
      <c r="H547" s="1392"/>
      <c r="I547" s="1392"/>
      <c r="J547" s="1392"/>
      <c r="K547" s="1392"/>
      <c r="L547" s="1392"/>
      <c r="N547" s="1396"/>
      <c r="O547" s="1393"/>
      <c r="P547" s="1393"/>
      <c r="Q547" s="1392"/>
      <c r="R547" s="1393"/>
      <c r="S547" s="1393"/>
      <c r="T547" s="1393"/>
    </row>
    <row r="548" spans="1:20" s="1395" customFormat="1">
      <c r="A548" s="1392"/>
      <c r="B548" s="1392"/>
      <c r="C548" s="1392"/>
      <c r="D548" s="1392"/>
      <c r="E548" s="1392"/>
      <c r="F548" s="1392"/>
      <c r="G548" s="1392"/>
      <c r="H548" s="1392"/>
      <c r="I548" s="1392"/>
      <c r="J548" s="1392"/>
      <c r="K548" s="1392"/>
      <c r="L548" s="1392"/>
      <c r="N548" s="1396"/>
      <c r="O548" s="1393"/>
      <c r="P548" s="1393"/>
      <c r="Q548" s="1392"/>
      <c r="R548" s="1393"/>
      <c r="S548" s="1393"/>
      <c r="T548" s="1393"/>
    </row>
    <row r="549" spans="1:20" s="1395" customFormat="1">
      <c r="A549" s="1392"/>
      <c r="B549" s="1392"/>
      <c r="C549" s="1392"/>
      <c r="D549" s="1392"/>
      <c r="E549" s="1392"/>
      <c r="F549" s="1392"/>
      <c r="G549" s="1392"/>
      <c r="H549" s="1392"/>
      <c r="I549" s="1392"/>
      <c r="J549" s="1392"/>
      <c r="K549" s="1392"/>
      <c r="L549" s="1392"/>
      <c r="N549" s="1396"/>
      <c r="O549" s="1393"/>
      <c r="P549" s="1393"/>
      <c r="Q549" s="1392"/>
      <c r="R549" s="1393"/>
      <c r="S549" s="1393"/>
      <c r="T549" s="1393"/>
    </row>
    <row r="550" spans="1:20" s="1395" customFormat="1">
      <c r="A550" s="1392"/>
      <c r="B550" s="1392"/>
      <c r="C550" s="1392"/>
      <c r="D550" s="1392"/>
      <c r="E550" s="1392"/>
      <c r="F550" s="1392"/>
      <c r="G550" s="1392"/>
      <c r="H550" s="1392"/>
      <c r="I550" s="1392"/>
      <c r="J550" s="1392"/>
      <c r="K550" s="1392"/>
      <c r="L550" s="1392"/>
      <c r="N550" s="1396"/>
      <c r="O550" s="1393"/>
      <c r="P550" s="1393"/>
      <c r="Q550" s="1392"/>
      <c r="R550" s="1393"/>
      <c r="S550" s="1393"/>
      <c r="T550" s="1393"/>
    </row>
    <row r="551" spans="1:20" s="1395" customFormat="1">
      <c r="A551" s="1392"/>
      <c r="B551" s="1392"/>
      <c r="C551" s="1392"/>
      <c r="D551" s="1392"/>
      <c r="E551" s="1392"/>
      <c r="F551" s="1392"/>
      <c r="G551" s="1392"/>
      <c r="H551" s="1392"/>
      <c r="I551" s="1392"/>
      <c r="J551" s="1392"/>
      <c r="K551" s="1392"/>
      <c r="L551" s="1392"/>
      <c r="N551" s="1396"/>
      <c r="O551" s="1393"/>
      <c r="P551" s="1393"/>
      <c r="Q551" s="1392"/>
      <c r="R551" s="1393"/>
      <c r="S551" s="1393"/>
      <c r="T551" s="1393"/>
    </row>
    <row r="552" spans="1:20" s="1395" customFormat="1">
      <c r="A552" s="1392"/>
      <c r="B552" s="1392"/>
      <c r="C552" s="1392"/>
      <c r="D552" s="1392"/>
      <c r="E552" s="1392"/>
      <c r="F552" s="1392"/>
      <c r="G552" s="1392"/>
      <c r="H552" s="1392"/>
      <c r="I552" s="1392"/>
      <c r="J552" s="1392"/>
      <c r="K552" s="1392"/>
      <c r="L552" s="1392"/>
      <c r="N552" s="1396"/>
      <c r="O552" s="1393"/>
      <c r="P552" s="1393"/>
      <c r="Q552" s="1392"/>
      <c r="R552" s="1393"/>
      <c r="S552" s="1393"/>
      <c r="T552" s="1393"/>
    </row>
    <row r="553" spans="1:20" s="1395" customFormat="1">
      <c r="A553" s="1392"/>
      <c r="B553" s="1392"/>
      <c r="C553" s="1392"/>
      <c r="D553" s="1392"/>
      <c r="E553" s="1392"/>
      <c r="F553" s="1392"/>
      <c r="G553" s="1392"/>
      <c r="H553" s="1392"/>
      <c r="I553" s="1392"/>
      <c r="J553" s="1392"/>
      <c r="K553" s="1392"/>
      <c r="L553" s="1392"/>
      <c r="N553" s="1396"/>
      <c r="O553" s="1393"/>
      <c r="P553" s="1393"/>
      <c r="Q553" s="1392"/>
      <c r="R553" s="1393"/>
      <c r="S553" s="1393"/>
      <c r="T553" s="1393"/>
    </row>
    <row r="554" spans="1:20" s="1395" customFormat="1">
      <c r="A554" s="1392"/>
      <c r="B554" s="1392"/>
      <c r="C554" s="1392"/>
      <c r="D554" s="1392"/>
      <c r="E554" s="1392"/>
      <c r="F554" s="1392"/>
      <c r="G554" s="1392"/>
      <c r="H554" s="1392"/>
      <c r="I554" s="1392"/>
      <c r="J554" s="1392"/>
      <c r="K554" s="1392"/>
      <c r="L554" s="1392"/>
      <c r="N554" s="1396"/>
      <c r="O554" s="1393"/>
      <c r="P554" s="1393"/>
      <c r="Q554" s="1392"/>
      <c r="R554" s="1393"/>
      <c r="S554" s="1393"/>
      <c r="T554" s="1393"/>
    </row>
    <row r="555" spans="1:20" s="1395" customFormat="1">
      <c r="A555" s="1392"/>
      <c r="B555" s="1392"/>
      <c r="C555" s="1392"/>
      <c r="D555" s="1392"/>
      <c r="E555" s="1392"/>
      <c r="F555" s="1392"/>
      <c r="G555" s="1392"/>
      <c r="H555" s="1392"/>
      <c r="I555" s="1392"/>
      <c r="J555" s="1392"/>
      <c r="K555" s="1392"/>
      <c r="L555" s="1392"/>
      <c r="N555" s="1396"/>
      <c r="O555" s="1393"/>
      <c r="P555" s="1393"/>
      <c r="Q555" s="1392"/>
      <c r="R555" s="1393"/>
      <c r="S555" s="1393"/>
      <c r="T555" s="1393"/>
    </row>
    <row r="556" spans="1:20" s="1395" customFormat="1">
      <c r="A556" s="1392"/>
      <c r="B556" s="1392"/>
      <c r="C556" s="1392"/>
      <c r="D556" s="1392"/>
      <c r="E556" s="1392"/>
      <c r="F556" s="1392"/>
      <c r="G556" s="1392"/>
      <c r="H556" s="1392"/>
      <c r="I556" s="1392"/>
      <c r="J556" s="1392"/>
      <c r="K556" s="1392"/>
      <c r="L556" s="1392"/>
      <c r="N556" s="1396"/>
      <c r="O556" s="1393"/>
      <c r="P556" s="1393"/>
      <c r="Q556" s="1392"/>
      <c r="R556" s="1393"/>
      <c r="S556" s="1393"/>
      <c r="T556" s="1393"/>
    </row>
    <row r="557" spans="1:20" s="1395" customFormat="1">
      <c r="A557" s="1392"/>
      <c r="B557" s="1392"/>
      <c r="C557" s="1392"/>
      <c r="D557" s="1392"/>
      <c r="E557" s="1392"/>
      <c r="F557" s="1392"/>
      <c r="G557" s="1392"/>
      <c r="H557" s="1392"/>
      <c r="I557" s="1392"/>
      <c r="J557" s="1392"/>
      <c r="K557" s="1392"/>
      <c r="L557" s="1392"/>
      <c r="N557" s="1396"/>
      <c r="O557" s="1393"/>
      <c r="P557" s="1393"/>
      <c r="Q557" s="1392"/>
      <c r="R557" s="1393"/>
      <c r="S557" s="1393"/>
      <c r="T557" s="1393"/>
    </row>
    <row r="558" spans="1:20" s="1395" customFormat="1">
      <c r="A558" s="1392"/>
      <c r="B558" s="1392"/>
      <c r="C558" s="1392"/>
      <c r="D558" s="1392"/>
      <c r="E558" s="1392"/>
      <c r="F558" s="1392"/>
      <c r="G558" s="1392"/>
      <c r="H558" s="1392"/>
      <c r="I558" s="1392"/>
      <c r="J558" s="1392"/>
      <c r="K558" s="1392"/>
      <c r="L558" s="1392"/>
      <c r="N558" s="1396"/>
      <c r="O558" s="1393"/>
      <c r="P558" s="1393"/>
      <c r="Q558" s="1392"/>
      <c r="R558" s="1393"/>
      <c r="S558" s="1393"/>
      <c r="T558" s="1393"/>
    </row>
    <row r="559" spans="1:20" s="1395" customFormat="1">
      <c r="A559" s="1392"/>
      <c r="B559" s="1392"/>
      <c r="C559" s="1392"/>
      <c r="D559" s="1392"/>
      <c r="E559" s="1392"/>
      <c r="F559" s="1392"/>
      <c r="G559" s="1392"/>
      <c r="H559" s="1392"/>
      <c r="I559" s="1392"/>
      <c r="J559" s="1392"/>
      <c r="K559" s="1392"/>
      <c r="L559" s="1392"/>
      <c r="N559" s="1396"/>
      <c r="O559" s="1393"/>
      <c r="P559" s="1393"/>
      <c r="Q559" s="1392"/>
      <c r="R559" s="1393"/>
      <c r="S559" s="1393"/>
      <c r="T559" s="1393"/>
    </row>
    <row r="560" spans="1:20" s="1395" customFormat="1">
      <c r="A560" s="1392"/>
      <c r="B560" s="1392"/>
      <c r="C560" s="1392"/>
      <c r="D560" s="1392"/>
      <c r="E560" s="1392"/>
      <c r="F560" s="1392"/>
      <c r="G560" s="1392"/>
      <c r="H560" s="1392"/>
      <c r="I560" s="1392"/>
      <c r="J560" s="1392"/>
      <c r="K560" s="1392"/>
      <c r="L560" s="1392"/>
      <c r="N560" s="1396"/>
      <c r="O560" s="1393"/>
      <c r="P560" s="1393"/>
      <c r="Q560" s="1392"/>
      <c r="R560" s="1393"/>
      <c r="S560" s="1393"/>
      <c r="T560" s="1393"/>
    </row>
    <row r="561" spans="1:20" s="1395" customFormat="1">
      <c r="A561" s="1392"/>
      <c r="B561" s="1392"/>
      <c r="C561" s="1392"/>
      <c r="D561" s="1392"/>
      <c r="E561" s="1392"/>
      <c r="F561" s="1392"/>
      <c r="G561" s="1392"/>
      <c r="H561" s="1392"/>
      <c r="I561" s="1392"/>
      <c r="J561" s="1392"/>
      <c r="K561" s="1392"/>
      <c r="L561" s="1392"/>
      <c r="N561" s="1396"/>
      <c r="O561" s="1393"/>
      <c r="P561" s="1393"/>
      <c r="Q561" s="1392"/>
      <c r="R561" s="1393"/>
      <c r="S561" s="1393"/>
      <c r="T561" s="1393"/>
    </row>
    <row r="562" spans="1:20" s="1395" customFormat="1">
      <c r="A562" s="1392"/>
      <c r="B562" s="1392"/>
      <c r="C562" s="1392"/>
      <c r="D562" s="1392"/>
      <c r="E562" s="1392"/>
      <c r="F562" s="1392"/>
      <c r="G562" s="1392"/>
      <c r="H562" s="1392"/>
      <c r="I562" s="1392"/>
      <c r="J562" s="1392"/>
      <c r="K562" s="1392"/>
      <c r="L562" s="1392"/>
      <c r="N562" s="1396"/>
      <c r="O562" s="1393"/>
      <c r="P562" s="1393"/>
      <c r="Q562" s="1392"/>
      <c r="R562" s="1393"/>
      <c r="S562" s="1393"/>
      <c r="T562" s="1393"/>
    </row>
    <row r="563" spans="1:20" s="1395" customFormat="1">
      <c r="A563" s="1392"/>
      <c r="B563" s="1392"/>
      <c r="C563" s="1392"/>
      <c r="D563" s="1392"/>
      <c r="E563" s="1392"/>
      <c r="F563" s="1392"/>
      <c r="G563" s="1392"/>
      <c r="H563" s="1392"/>
      <c r="I563" s="1392"/>
      <c r="J563" s="1392"/>
      <c r="K563" s="1392"/>
      <c r="L563" s="1392"/>
      <c r="N563" s="1396"/>
      <c r="O563" s="1393"/>
      <c r="P563" s="1393"/>
      <c r="Q563" s="1392"/>
      <c r="R563" s="1393"/>
      <c r="S563" s="1393"/>
      <c r="T563" s="1393"/>
    </row>
    <row r="564" spans="1:20" s="1395" customFormat="1">
      <c r="A564" s="1392"/>
      <c r="B564" s="1392"/>
      <c r="C564" s="1392"/>
      <c r="D564" s="1392"/>
      <c r="E564" s="1392"/>
      <c r="F564" s="1392"/>
      <c r="G564" s="1392"/>
      <c r="H564" s="1392"/>
      <c r="I564" s="1392"/>
      <c r="J564" s="1392"/>
      <c r="K564" s="1392"/>
      <c r="L564" s="1392"/>
      <c r="N564" s="1396"/>
      <c r="O564" s="1393"/>
      <c r="P564" s="1393"/>
      <c r="Q564" s="1392"/>
      <c r="R564" s="1393"/>
      <c r="S564" s="1393"/>
      <c r="T564" s="1393"/>
    </row>
    <row r="565" spans="1:20" s="1395" customFormat="1">
      <c r="A565" s="1392"/>
      <c r="B565" s="1392"/>
      <c r="C565" s="1392"/>
      <c r="D565" s="1392"/>
      <c r="E565" s="1392"/>
      <c r="F565" s="1392"/>
      <c r="G565" s="1392"/>
      <c r="H565" s="1392"/>
      <c r="I565" s="1392"/>
      <c r="J565" s="1392"/>
      <c r="K565" s="1392"/>
      <c r="L565" s="1392"/>
      <c r="N565" s="1396"/>
      <c r="O565" s="1393"/>
      <c r="P565" s="1393"/>
      <c r="Q565" s="1392"/>
      <c r="R565" s="1393"/>
      <c r="S565" s="1393"/>
      <c r="T565" s="1393"/>
    </row>
    <row r="566" spans="1:20" s="1395" customFormat="1">
      <c r="A566" s="1392"/>
      <c r="B566" s="1392"/>
      <c r="C566" s="1392"/>
      <c r="D566" s="1392"/>
      <c r="E566" s="1392"/>
      <c r="F566" s="1392"/>
      <c r="G566" s="1392"/>
      <c r="H566" s="1392"/>
      <c r="I566" s="1392"/>
      <c r="J566" s="1392"/>
      <c r="K566" s="1392"/>
      <c r="L566" s="1392"/>
      <c r="N566" s="1396"/>
      <c r="O566" s="1393"/>
      <c r="P566" s="1393"/>
      <c r="Q566" s="1392"/>
      <c r="R566" s="1393"/>
      <c r="S566" s="1393"/>
      <c r="T566" s="1393"/>
    </row>
    <row r="567" spans="1:20" s="1395" customFormat="1">
      <c r="A567" s="1392"/>
      <c r="B567" s="1392"/>
      <c r="C567" s="1392"/>
      <c r="D567" s="1392"/>
      <c r="E567" s="1392"/>
      <c r="F567" s="1392"/>
      <c r="G567" s="1392"/>
      <c r="H567" s="1392"/>
      <c r="I567" s="1392"/>
      <c r="J567" s="1392"/>
      <c r="K567" s="1392"/>
      <c r="L567" s="1392"/>
      <c r="N567" s="1396"/>
      <c r="O567" s="1393"/>
      <c r="P567" s="1393"/>
      <c r="Q567" s="1392"/>
      <c r="R567" s="1393"/>
      <c r="S567" s="1393"/>
      <c r="T567" s="1393"/>
    </row>
    <row r="568" spans="1:20" s="1395" customFormat="1">
      <c r="A568" s="1392"/>
      <c r="B568" s="1392"/>
      <c r="C568" s="1392"/>
      <c r="D568" s="1392"/>
      <c r="E568" s="1392"/>
      <c r="F568" s="1392"/>
      <c r="G568" s="1392"/>
      <c r="H568" s="1392"/>
      <c r="I568" s="1392"/>
      <c r="J568" s="1392"/>
      <c r="K568" s="1392"/>
      <c r="L568" s="1392"/>
      <c r="N568" s="1396"/>
      <c r="O568" s="1393"/>
      <c r="P568" s="1393"/>
      <c r="Q568" s="1392"/>
      <c r="R568" s="1393"/>
      <c r="S568" s="1393"/>
      <c r="T568" s="1393"/>
    </row>
    <row r="569" spans="1:20" s="1395" customFormat="1">
      <c r="A569" s="1392"/>
      <c r="B569" s="1392"/>
      <c r="C569" s="1392"/>
      <c r="D569" s="1392"/>
      <c r="E569" s="1392"/>
      <c r="F569" s="1392"/>
      <c r="G569" s="1392"/>
      <c r="H569" s="1392"/>
      <c r="I569" s="1392"/>
      <c r="J569" s="1392"/>
      <c r="K569" s="1392"/>
      <c r="L569" s="1392"/>
      <c r="N569" s="1396"/>
      <c r="O569" s="1393"/>
      <c r="P569" s="1393"/>
      <c r="Q569" s="1392"/>
      <c r="R569" s="1393"/>
      <c r="S569" s="1393"/>
      <c r="T569" s="1393"/>
    </row>
    <row r="570" spans="1:20" s="1395" customFormat="1">
      <c r="A570" s="1392"/>
      <c r="B570" s="1392"/>
      <c r="C570" s="1392"/>
      <c r="D570" s="1392"/>
      <c r="E570" s="1392"/>
      <c r="F570" s="1392"/>
      <c r="G570" s="1392"/>
      <c r="H570" s="1392"/>
      <c r="I570" s="1392"/>
      <c r="J570" s="1392"/>
      <c r="K570" s="1392"/>
      <c r="L570" s="1392"/>
      <c r="N570" s="1396"/>
      <c r="O570" s="1393"/>
      <c r="P570" s="1393"/>
      <c r="Q570" s="1392"/>
      <c r="R570" s="1393"/>
      <c r="S570" s="1393"/>
      <c r="T570" s="1393"/>
    </row>
    <row r="571" spans="1:20" s="1395" customFormat="1">
      <c r="A571" s="1392"/>
      <c r="B571" s="1392"/>
      <c r="C571" s="1392"/>
      <c r="D571" s="1392"/>
      <c r="E571" s="1392"/>
      <c r="F571" s="1392"/>
      <c r="G571" s="1392"/>
      <c r="H571" s="1392"/>
      <c r="I571" s="1392"/>
      <c r="J571" s="1392"/>
      <c r="K571" s="1392"/>
      <c r="L571" s="1392"/>
      <c r="N571" s="1396"/>
      <c r="O571" s="1393"/>
      <c r="P571" s="1393"/>
      <c r="Q571" s="1392"/>
      <c r="R571" s="1393"/>
      <c r="S571" s="1393"/>
      <c r="T571" s="1393"/>
    </row>
    <row r="572" spans="1:20" s="1395" customFormat="1">
      <c r="A572" s="1392"/>
      <c r="B572" s="1392"/>
      <c r="C572" s="1392"/>
      <c r="D572" s="1392"/>
      <c r="E572" s="1392"/>
      <c r="F572" s="1392"/>
      <c r="G572" s="1392"/>
      <c r="H572" s="1392"/>
      <c r="I572" s="1392"/>
      <c r="J572" s="1392"/>
      <c r="K572" s="1392"/>
      <c r="L572" s="1392"/>
      <c r="N572" s="1396"/>
      <c r="O572" s="1393"/>
      <c r="P572" s="1393"/>
      <c r="Q572" s="1392"/>
      <c r="R572" s="1393"/>
      <c r="S572" s="1393"/>
      <c r="T572" s="1393"/>
    </row>
    <row r="573" spans="1:20" s="1395" customFormat="1">
      <c r="A573" s="1392"/>
      <c r="B573" s="1392"/>
      <c r="C573" s="1392"/>
      <c r="D573" s="1392"/>
      <c r="E573" s="1392"/>
      <c r="F573" s="1392"/>
      <c r="G573" s="1392"/>
      <c r="H573" s="1392"/>
      <c r="I573" s="1392"/>
      <c r="J573" s="1392"/>
      <c r="K573" s="1392"/>
      <c r="L573" s="1392"/>
      <c r="N573" s="1396"/>
      <c r="O573" s="1393"/>
      <c r="P573" s="1393"/>
      <c r="Q573" s="1392"/>
      <c r="R573" s="1393"/>
      <c r="S573" s="1393"/>
      <c r="T573" s="1393"/>
    </row>
    <row r="574" spans="1:20" s="1395" customFormat="1">
      <c r="A574" s="1392"/>
      <c r="B574" s="1392"/>
      <c r="C574" s="1392"/>
      <c r="D574" s="1392"/>
      <c r="E574" s="1392"/>
      <c r="F574" s="1392"/>
      <c r="G574" s="1392"/>
      <c r="H574" s="1392"/>
      <c r="I574" s="1392"/>
      <c r="J574" s="1392"/>
      <c r="K574" s="1392"/>
      <c r="L574" s="1392"/>
      <c r="N574" s="1396"/>
      <c r="O574" s="1393"/>
      <c r="P574" s="1393"/>
      <c r="Q574" s="1392"/>
      <c r="R574" s="1393"/>
      <c r="S574" s="1393"/>
      <c r="T574" s="1393"/>
    </row>
    <row r="575" spans="1:20" s="1395" customFormat="1">
      <c r="A575" s="1392"/>
      <c r="B575" s="1392"/>
      <c r="C575" s="1392"/>
      <c r="D575" s="1392"/>
      <c r="E575" s="1392"/>
      <c r="F575" s="1392"/>
      <c r="G575" s="1392"/>
      <c r="H575" s="1392"/>
      <c r="I575" s="1392"/>
      <c r="J575" s="1392"/>
      <c r="K575" s="1392"/>
      <c r="L575" s="1392"/>
      <c r="N575" s="1396"/>
      <c r="O575" s="1393"/>
      <c r="P575" s="1393"/>
      <c r="Q575" s="1392"/>
      <c r="R575" s="1393"/>
      <c r="S575" s="1393"/>
      <c r="T575" s="1393"/>
    </row>
    <row r="576" spans="1:20" s="1395" customFormat="1">
      <c r="A576" s="1392"/>
      <c r="B576" s="1392"/>
      <c r="C576" s="1392"/>
      <c r="D576" s="1392"/>
      <c r="E576" s="1392"/>
      <c r="F576" s="1392"/>
      <c r="G576" s="1392"/>
      <c r="H576" s="1392"/>
      <c r="I576" s="1392"/>
      <c r="J576" s="1392"/>
      <c r="K576" s="1392"/>
      <c r="L576" s="1392"/>
      <c r="N576" s="1396"/>
      <c r="O576" s="1393"/>
      <c r="P576" s="1393"/>
      <c r="Q576" s="1392"/>
      <c r="R576" s="1393"/>
      <c r="S576" s="1393"/>
      <c r="T576" s="1393"/>
    </row>
    <row r="577" spans="1:20" s="1395" customFormat="1">
      <c r="A577" s="1392"/>
      <c r="B577" s="1392"/>
      <c r="C577" s="1392"/>
      <c r="D577" s="1392"/>
      <c r="E577" s="1392"/>
      <c r="F577" s="1392"/>
      <c r="G577" s="1392"/>
      <c r="H577" s="1392"/>
      <c r="I577" s="1392"/>
      <c r="J577" s="1392"/>
      <c r="K577" s="1392"/>
      <c r="L577" s="1392"/>
      <c r="N577" s="1396"/>
      <c r="O577" s="1393"/>
      <c r="P577" s="1393"/>
      <c r="Q577" s="1392"/>
      <c r="R577" s="1393"/>
      <c r="S577" s="1393"/>
      <c r="T577" s="1393"/>
    </row>
    <row r="578" spans="1:20" s="1395" customFormat="1">
      <c r="A578" s="1392"/>
      <c r="B578" s="1392"/>
      <c r="C578" s="1392"/>
      <c r="D578" s="1392"/>
      <c r="E578" s="1392"/>
      <c r="F578" s="1392"/>
      <c r="G578" s="1392"/>
      <c r="H578" s="1392"/>
      <c r="I578" s="1392"/>
      <c r="J578" s="1392"/>
      <c r="K578" s="1392"/>
      <c r="L578" s="1392"/>
      <c r="N578" s="1396"/>
      <c r="O578" s="1393"/>
      <c r="P578" s="1393"/>
      <c r="Q578" s="1392"/>
      <c r="R578" s="1393"/>
      <c r="S578" s="1393"/>
      <c r="T578" s="1393"/>
    </row>
    <row r="579" spans="1:20" s="1395" customFormat="1">
      <c r="A579" s="1392"/>
      <c r="B579" s="1392"/>
      <c r="C579" s="1392"/>
      <c r="D579" s="1392"/>
      <c r="E579" s="1392"/>
      <c r="F579" s="1392"/>
      <c r="G579" s="1392"/>
      <c r="H579" s="1392"/>
      <c r="I579" s="1392"/>
      <c r="J579" s="1392"/>
      <c r="K579" s="1392"/>
      <c r="L579" s="1392"/>
      <c r="N579" s="1396"/>
      <c r="O579" s="1393"/>
      <c r="P579" s="1393"/>
      <c r="Q579" s="1392"/>
      <c r="R579" s="1393"/>
      <c r="S579" s="1393"/>
      <c r="T579" s="1393"/>
    </row>
    <row r="580" spans="1:20" s="1395" customFormat="1">
      <c r="A580" s="1392"/>
      <c r="B580" s="1392"/>
      <c r="C580" s="1392"/>
      <c r="D580" s="1392"/>
      <c r="E580" s="1392"/>
      <c r="F580" s="1392"/>
      <c r="G580" s="1392"/>
      <c r="H580" s="1392"/>
      <c r="I580" s="1392"/>
      <c r="J580" s="1392"/>
      <c r="K580" s="1392"/>
      <c r="L580" s="1392"/>
      <c r="N580" s="1396"/>
      <c r="O580" s="1393"/>
      <c r="P580" s="1393"/>
      <c r="Q580" s="1392"/>
      <c r="R580" s="1393"/>
      <c r="S580" s="1393"/>
      <c r="T580" s="1393"/>
    </row>
    <row r="581" spans="1:20" s="1395" customFormat="1">
      <c r="A581" s="1392"/>
      <c r="B581" s="1392"/>
      <c r="C581" s="1392"/>
      <c r="D581" s="1392"/>
      <c r="E581" s="1392"/>
      <c r="F581" s="1392"/>
      <c r="G581" s="1392"/>
      <c r="H581" s="1392"/>
      <c r="I581" s="1392"/>
      <c r="J581" s="1392"/>
      <c r="K581" s="1392"/>
      <c r="L581" s="1392"/>
      <c r="N581" s="1396"/>
      <c r="O581" s="1393"/>
      <c r="P581" s="1393"/>
      <c r="Q581" s="1392"/>
      <c r="R581" s="1393"/>
      <c r="S581" s="1393"/>
      <c r="T581" s="1393"/>
    </row>
    <row r="582" spans="1:20" s="1395" customFormat="1">
      <c r="A582" s="1392"/>
      <c r="B582" s="1392"/>
      <c r="C582" s="1392"/>
      <c r="D582" s="1392"/>
      <c r="E582" s="1392"/>
      <c r="F582" s="1392"/>
      <c r="G582" s="1392"/>
      <c r="H582" s="1392"/>
      <c r="I582" s="1392"/>
      <c r="J582" s="1392"/>
      <c r="K582" s="1392"/>
      <c r="L582" s="1392"/>
      <c r="N582" s="1396"/>
      <c r="O582" s="1393"/>
      <c r="P582" s="1393"/>
      <c r="Q582" s="1392"/>
      <c r="R582" s="1393"/>
      <c r="S582" s="1393"/>
      <c r="T582" s="1393"/>
    </row>
    <row r="583" spans="1:20" s="1395" customFormat="1">
      <c r="A583" s="1392"/>
      <c r="B583" s="1392"/>
      <c r="C583" s="1392"/>
      <c r="D583" s="1392"/>
      <c r="E583" s="1392"/>
      <c r="F583" s="1392"/>
      <c r="G583" s="1392"/>
      <c r="H583" s="1392"/>
      <c r="I583" s="1392"/>
      <c r="J583" s="1392"/>
      <c r="K583" s="1392"/>
      <c r="L583" s="1392"/>
      <c r="N583" s="1396"/>
      <c r="O583" s="1393"/>
      <c r="P583" s="1393"/>
      <c r="Q583" s="1392"/>
      <c r="R583" s="1393"/>
      <c r="S583" s="1393"/>
      <c r="T583" s="1393"/>
    </row>
    <row r="584" spans="1:20" s="1395" customFormat="1">
      <c r="A584" s="1392"/>
      <c r="B584" s="1392"/>
      <c r="C584" s="1392"/>
      <c r="D584" s="1392"/>
      <c r="E584" s="1392"/>
      <c r="F584" s="1392"/>
      <c r="G584" s="1392"/>
      <c r="H584" s="1392"/>
      <c r="I584" s="1392"/>
      <c r="J584" s="1392"/>
      <c r="K584" s="1392"/>
      <c r="L584" s="1392"/>
      <c r="N584" s="1396"/>
      <c r="O584" s="1393"/>
      <c r="P584" s="1393"/>
      <c r="Q584" s="1392"/>
      <c r="R584" s="1393"/>
      <c r="S584" s="1393"/>
      <c r="T584" s="1393"/>
    </row>
    <row r="585" spans="1:20" s="1395" customFormat="1">
      <c r="A585" s="1392"/>
      <c r="B585" s="1392"/>
      <c r="C585" s="1392"/>
      <c r="D585" s="1392"/>
      <c r="E585" s="1392"/>
      <c r="F585" s="1392"/>
      <c r="G585" s="1392"/>
      <c r="H585" s="1392"/>
      <c r="I585" s="1392"/>
      <c r="J585" s="1392"/>
      <c r="K585" s="1392"/>
      <c r="L585" s="1392"/>
      <c r="N585" s="1396"/>
      <c r="O585" s="1393"/>
      <c r="P585" s="1393"/>
      <c r="Q585" s="1392"/>
      <c r="R585" s="1393"/>
      <c r="S585" s="1393"/>
      <c r="T585" s="1393"/>
    </row>
    <row r="586" spans="1:20" s="1395" customFormat="1">
      <c r="A586" s="1392"/>
      <c r="B586" s="1392"/>
      <c r="C586" s="1392"/>
      <c r="D586" s="1392"/>
      <c r="E586" s="1392"/>
      <c r="F586" s="1392"/>
      <c r="G586" s="1392"/>
      <c r="H586" s="1392"/>
      <c r="I586" s="1392"/>
      <c r="J586" s="1392"/>
      <c r="K586" s="1392"/>
      <c r="L586" s="1392"/>
      <c r="N586" s="1396"/>
      <c r="O586" s="1393"/>
      <c r="P586" s="1393"/>
      <c r="Q586" s="1392"/>
      <c r="R586" s="1393"/>
      <c r="S586" s="1393"/>
      <c r="T586" s="1393"/>
    </row>
    <row r="587" spans="1:20" s="1395" customFormat="1">
      <c r="A587" s="1392"/>
      <c r="B587" s="1392"/>
      <c r="C587" s="1392"/>
      <c r="D587" s="1392"/>
      <c r="E587" s="1392"/>
      <c r="F587" s="1392"/>
      <c r="G587" s="1392"/>
      <c r="H587" s="1392"/>
      <c r="I587" s="1392"/>
      <c r="J587" s="1392"/>
      <c r="K587" s="1392"/>
      <c r="L587" s="1392"/>
      <c r="N587" s="1396"/>
      <c r="O587" s="1393"/>
      <c r="P587" s="1393"/>
      <c r="Q587" s="1392"/>
      <c r="R587" s="1393"/>
      <c r="S587" s="1393"/>
      <c r="T587" s="1393"/>
    </row>
    <row r="588" spans="1:20" s="1395" customFormat="1">
      <c r="A588" s="1392"/>
      <c r="B588" s="1392"/>
      <c r="C588" s="1392"/>
      <c r="D588" s="1392"/>
      <c r="E588" s="1392"/>
      <c r="F588" s="1392"/>
      <c r="G588" s="1392"/>
      <c r="H588" s="1392"/>
      <c r="I588" s="1392"/>
      <c r="J588" s="1392"/>
      <c r="K588" s="1392"/>
      <c r="L588" s="1392"/>
      <c r="N588" s="1396"/>
      <c r="O588" s="1393"/>
      <c r="P588" s="1393"/>
      <c r="Q588" s="1392"/>
      <c r="R588" s="1393"/>
      <c r="S588" s="1393"/>
      <c r="T588" s="1393"/>
    </row>
    <row r="589" spans="1:20" s="1395" customFormat="1">
      <c r="A589" s="1392"/>
      <c r="B589" s="1392"/>
      <c r="C589" s="1392"/>
      <c r="D589" s="1392"/>
      <c r="E589" s="1392"/>
      <c r="F589" s="1392"/>
      <c r="G589" s="1392"/>
      <c r="H589" s="1392"/>
      <c r="I589" s="1392"/>
      <c r="J589" s="1392"/>
      <c r="K589" s="1392"/>
      <c r="L589" s="1392"/>
      <c r="N589" s="1396"/>
      <c r="O589" s="1393"/>
      <c r="P589" s="1393"/>
      <c r="Q589" s="1392"/>
      <c r="R589" s="1393"/>
      <c r="S589" s="1393"/>
      <c r="T589" s="1393"/>
    </row>
    <row r="590" spans="1:20" s="1395" customFormat="1">
      <c r="A590" s="1392"/>
      <c r="B590" s="1392"/>
      <c r="C590" s="1392"/>
      <c r="D590" s="1392"/>
      <c r="E590" s="1392"/>
      <c r="F590" s="1392"/>
      <c r="G590" s="1392"/>
      <c r="H590" s="1392"/>
      <c r="I590" s="1392"/>
      <c r="J590" s="1392"/>
      <c r="K590" s="1392"/>
      <c r="L590" s="1392"/>
      <c r="N590" s="1396"/>
      <c r="O590" s="1393"/>
      <c r="P590" s="1393"/>
      <c r="Q590" s="1392"/>
      <c r="R590" s="1393"/>
      <c r="S590" s="1393"/>
      <c r="T590" s="1393"/>
    </row>
    <row r="591" spans="1:20" s="1395" customFormat="1">
      <c r="A591" s="1392"/>
      <c r="B591" s="1392"/>
      <c r="C591" s="1392"/>
      <c r="D591" s="1392"/>
      <c r="E591" s="1392"/>
      <c r="F591" s="1392"/>
      <c r="G591" s="1392"/>
      <c r="H591" s="1392"/>
      <c r="I591" s="1392"/>
      <c r="J591" s="1392"/>
      <c r="K591" s="1392"/>
      <c r="L591" s="1392"/>
      <c r="N591" s="1396"/>
      <c r="O591" s="1393"/>
      <c r="P591" s="1393"/>
      <c r="Q591" s="1392"/>
      <c r="R591" s="1393"/>
      <c r="S591" s="1393"/>
      <c r="T591" s="1393"/>
    </row>
    <row r="592" spans="1:20" s="1395" customFormat="1">
      <c r="A592" s="1392"/>
      <c r="B592" s="1392"/>
      <c r="C592" s="1392"/>
      <c r="D592" s="1392"/>
      <c r="E592" s="1392"/>
      <c r="F592" s="1392"/>
      <c r="G592" s="1392"/>
      <c r="H592" s="1392"/>
      <c r="I592" s="1392"/>
      <c r="J592" s="1392"/>
      <c r="K592" s="1392"/>
      <c r="L592" s="1392"/>
      <c r="N592" s="1396"/>
      <c r="O592" s="1393"/>
      <c r="P592" s="1393"/>
      <c r="Q592" s="1392"/>
      <c r="R592" s="1393"/>
      <c r="S592" s="1393"/>
      <c r="T592" s="1393"/>
    </row>
    <row r="593" spans="1:20" s="1395" customFormat="1">
      <c r="A593" s="1392"/>
      <c r="B593" s="1392"/>
      <c r="C593" s="1392"/>
      <c r="D593" s="1392"/>
      <c r="E593" s="1392"/>
      <c r="F593" s="1392"/>
      <c r="G593" s="1392"/>
      <c r="H593" s="1392"/>
      <c r="I593" s="1392"/>
      <c r="J593" s="1392"/>
      <c r="K593" s="1392"/>
      <c r="L593" s="1392"/>
      <c r="N593" s="1396"/>
      <c r="O593" s="1393"/>
      <c r="P593" s="1393"/>
      <c r="Q593" s="1392"/>
      <c r="R593" s="1393"/>
      <c r="S593" s="1393"/>
      <c r="T593" s="1393"/>
    </row>
    <row r="594" spans="1:20" s="1395" customFormat="1">
      <c r="A594" s="1392"/>
      <c r="B594" s="1392"/>
      <c r="C594" s="1392"/>
      <c r="D594" s="1392"/>
      <c r="E594" s="1392"/>
      <c r="F594" s="1392"/>
      <c r="G594" s="1392"/>
      <c r="H594" s="1392"/>
      <c r="I594" s="1392"/>
      <c r="J594" s="1392"/>
      <c r="K594" s="1392"/>
      <c r="L594" s="1392"/>
      <c r="N594" s="1396"/>
      <c r="O594" s="1393"/>
      <c r="P594" s="1393"/>
      <c r="Q594" s="1392"/>
      <c r="R594" s="1393"/>
      <c r="S594" s="1393"/>
      <c r="T594" s="1393"/>
    </row>
    <row r="595" spans="1:20" s="1395" customFormat="1">
      <c r="A595" s="1392"/>
      <c r="B595" s="1392"/>
      <c r="C595" s="1392"/>
      <c r="D595" s="1392"/>
      <c r="E595" s="1392"/>
      <c r="F595" s="1392"/>
      <c r="G595" s="1392"/>
      <c r="H595" s="1392"/>
      <c r="I595" s="1392"/>
      <c r="J595" s="1392"/>
      <c r="K595" s="1392"/>
      <c r="L595" s="1392"/>
      <c r="N595" s="1396"/>
      <c r="O595" s="1393"/>
      <c r="P595" s="1393"/>
      <c r="Q595" s="1392"/>
      <c r="R595" s="1393"/>
      <c r="S595" s="1393"/>
      <c r="T595" s="1393"/>
    </row>
    <row r="596" spans="1:20" s="1395" customFormat="1">
      <c r="A596" s="1392"/>
      <c r="B596" s="1392"/>
      <c r="C596" s="1392"/>
      <c r="D596" s="1392"/>
      <c r="E596" s="1392"/>
      <c r="F596" s="1392"/>
      <c r="G596" s="1392"/>
      <c r="H596" s="1392"/>
      <c r="I596" s="1392"/>
      <c r="J596" s="1392"/>
      <c r="K596" s="1392"/>
      <c r="L596" s="1392"/>
      <c r="N596" s="1396"/>
      <c r="O596" s="1393"/>
      <c r="P596" s="1393"/>
      <c r="Q596" s="1392"/>
      <c r="R596" s="1393"/>
      <c r="S596" s="1393"/>
      <c r="T596" s="1393"/>
    </row>
    <row r="597" spans="1:20" s="1395" customFormat="1">
      <c r="A597" s="1392"/>
      <c r="B597" s="1392"/>
      <c r="C597" s="1392"/>
      <c r="D597" s="1392"/>
      <c r="E597" s="1392"/>
      <c r="F597" s="1392"/>
      <c r="G597" s="1392"/>
      <c r="H597" s="1392"/>
      <c r="I597" s="1392"/>
      <c r="J597" s="1392"/>
      <c r="K597" s="1392"/>
      <c r="L597" s="1392"/>
      <c r="N597" s="1396"/>
      <c r="O597" s="1393"/>
      <c r="P597" s="1393"/>
      <c r="Q597" s="1392"/>
      <c r="R597" s="1393"/>
      <c r="S597" s="1393"/>
      <c r="T597" s="1393"/>
    </row>
    <row r="598" spans="1:20" s="1395" customFormat="1">
      <c r="A598" s="1392"/>
      <c r="B598" s="1392"/>
      <c r="C598" s="1392"/>
      <c r="D598" s="1392"/>
      <c r="E598" s="1392"/>
      <c r="F598" s="1392"/>
      <c r="G598" s="1392"/>
      <c r="H598" s="1392"/>
      <c r="I598" s="1392"/>
      <c r="J598" s="1392"/>
      <c r="K598" s="1392"/>
      <c r="L598" s="1392"/>
      <c r="N598" s="1396"/>
      <c r="O598" s="1393"/>
      <c r="P598" s="1393"/>
      <c r="Q598" s="1392"/>
      <c r="R598" s="1393"/>
      <c r="S598" s="1393"/>
      <c r="T598" s="1393"/>
    </row>
    <row r="599" spans="1:20" s="1395" customFormat="1">
      <c r="A599" s="1392"/>
      <c r="B599" s="1392"/>
      <c r="C599" s="1392"/>
      <c r="D599" s="1392"/>
      <c r="E599" s="1392"/>
      <c r="F599" s="1392"/>
      <c r="G599" s="1392"/>
      <c r="H599" s="1392"/>
      <c r="I599" s="1392"/>
      <c r="J599" s="1392"/>
      <c r="K599" s="1392"/>
      <c r="L599" s="1392"/>
      <c r="N599" s="1396"/>
      <c r="O599" s="1393"/>
      <c r="P599" s="1393"/>
      <c r="Q599" s="1392"/>
      <c r="R599" s="1393"/>
      <c r="S599" s="1393"/>
      <c r="T599" s="1393"/>
    </row>
    <row r="600" spans="1:20" s="1395" customFormat="1">
      <c r="A600" s="1392"/>
      <c r="B600" s="1392"/>
      <c r="C600" s="1392"/>
      <c r="D600" s="1392"/>
      <c r="E600" s="1392"/>
      <c r="F600" s="1392"/>
      <c r="G600" s="1392"/>
      <c r="H600" s="1392"/>
      <c r="I600" s="1392"/>
      <c r="J600" s="1392"/>
      <c r="K600" s="1392"/>
      <c r="L600" s="1392"/>
      <c r="N600" s="1396"/>
      <c r="O600" s="1393"/>
      <c r="P600" s="1393"/>
      <c r="Q600" s="1392"/>
      <c r="R600" s="1393"/>
      <c r="S600" s="1393"/>
      <c r="T600" s="1393"/>
    </row>
    <row r="601" spans="1:20" s="1395" customFormat="1">
      <c r="A601" s="1392"/>
      <c r="B601" s="1392"/>
      <c r="C601" s="1392"/>
      <c r="D601" s="1392"/>
      <c r="E601" s="1392"/>
      <c r="F601" s="1392"/>
      <c r="G601" s="1392"/>
      <c r="H601" s="1392"/>
      <c r="I601" s="1392"/>
      <c r="J601" s="1392"/>
      <c r="K601" s="1392"/>
      <c r="L601" s="1392"/>
      <c r="N601" s="1396"/>
      <c r="O601" s="1393"/>
      <c r="P601" s="1393"/>
      <c r="Q601" s="1392"/>
      <c r="R601" s="1393"/>
      <c r="S601" s="1393"/>
      <c r="T601" s="1393"/>
    </row>
    <row r="602" spans="1:20" s="1395" customFormat="1">
      <c r="A602" s="1392"/>
      <c r="B602" s="1392"/>
      <c r="C602" s="1392"/>
      <c r="D602" s="1392"/>
      <c r="E602" s="1392"/>
      <c r="F602" s="1392"/>
      <c r="G602" s="1392"/>
      <c r="H602" s="1392"/>
      <c r="I602" s="1392"/>
      <c r="J602" s="1392"/>
      <c r="K602" s="1392"/>
      <c r="L602" s="1392"/>
      <c r="N602" s="1396"/>
      <c r="O602" s="1393"/>
      <c r="P602" s="1393"/>
      <c r="Q602" s="1392"/>
      <c r="R602" s="1393"/>
      <c r="S602" s="1393"/>
      <c r="T602" s="1393"/>
    </row>
    <row r="603" spans="1:20" s="1395" customFormat="1">
      <c r="A603" s="1392"/>
      <c r="B603" s="1392"/>
      <c r="C603" s="1392"/>
      <c r="D603" s="1392"/>
      <c r="E603" s="1392"/>
      <c r="F603" s="1392"/>
      <c r="G603" s="1392"/>
      <c r="H603" s="1392"/>
      <c r="I603" s="1392"/>
      <c r="J603" s="1392"/>
      <c r="K603" s="1392"/>
      <c r="L603" s="1392"/>
      <c r="N603" s="1396"/>
      <c r="O603" s="1393"/>
      <c r="P603" s="1393"/>
      <c r="Q603" s="1392"/>
      <c r="R603" s="1393"/>
      <c r="S603" s="1393"/>
      <c r="T603" s="1393"/>
    </row>
    <row r="604" spans="1:20" s="1395" customFormat="1">
      <c r="A604" s="1392"/>
      <c r="B604" s="1392"/>
      <c r="C604" s="1392"/>
      <c r="D604" s="1392"/>
      <c r="E604" s="1392"/>
      <c r="F604" s="1392"/>
      <c r="G604" s="1392"/>
      <c r="H604" s="1392"/>
      <c r="I604" s="1392"/>
      <c r="J604" s="1392"/>
      <c r="K604" s="1392"/>
      <c r="L604" s="1392"/>
      <c r="N604" s="1396"/>
      <c r="O604" s="1393"/>
      <c r="P604" s="1393"/>
      <c r="Q604" s="1392"/>
      <c r="R604" s="1393"/>
      <c r="S604" s="1393"/>
      <c r="T604" s="1393"/>
    </row>
    <row r="605" spans="1:20" s="1395" customFormat="1">
      <c r="A605" s="1392"/>
      <c r="B605" s="1392"/>
      <c r="C605" s="1392"/>
      <c r="D605" s="1392"/>
      <c r="E605" s="1392"/>
      <c r="F605" s="1392"/>
      <c r="G605" s="1392"/>
      <c r="H605" s="1392"/>
      <c r="I605" s="1392"/>
      <c r="J605" s="1392"/>
      <c r="K605" s="1392"/>
      <c r="L605" s="1392"/>
      <c r="N605" s="1396"/>
      <c r="O605" s="1393"/>
      <c r="P605" s="1393"/>
      <c r="Q605" s="1392"/>
      <c r="R605" s="1393"/>
      <c r="S605" s="1393"/>
      <c r="T605" s="1393"/>
    </row>
    <row r="606" spans="1:20" s="1395" customFormat="1">
      <c r="A606" s="1392"/>
      <c r="B606" s="1392"/>
      <c r="C606" s="1392"/>
      <c r="D606" s="1392"/>
      <c r="E606" s="1392"/>
      <c r="F606" s="1392"/>
      <c r="G606" s="1392"/>
      <c r="H606" s="1392"/>
      <c r="I606" s="1392"/>
      <c r="J606" s="1392"/>
      <c r="K606" s="1392"/>
      <c r="L606" s="1392"/>
      <c r="N606" s="1396"/>
      <c r="O606" s="1393"/>
      <c r="P606" s="1393"/>
      <c r="Q606" s="1392"/>
      <c r="R606" s="1393"/>
      <c r="S606" s="1393"/>
      <c r="T606" s="1393"/>
    </row>
    <row r="607" spans="1:20" s="1395" customFormat="1">
      <c r="A607" s="1392"/>
      <c r="B607" s="1392"/>
      <c r="C607" s="1392"/>
      <c r="D607" s="1392"/>
      <c r="E607" s="1392"/>
      <c r="F607" s="1392"/>
      <c r="G607" s="1392"/>
      <c r="H607" s="1392"/>
      <c r="I607" s="1392"/>
      <c r="J607" s="1392"/>
      <c r="K607" s="1392"/>
      <c r="L607" s="1392"/>
      <c r="N607" s="1396"/>
      <c r="O607" s="1393"/>
      <c r="P607" s="1393"/>
      <c r="Q607" s="1392"/>
      <c r="R607" s="1393"/>
      <c r="S607" s="1393"/>
      <c r="T607" s="1393"/>
    </row>
    <row r="608" spans="1:20" s="1395" customFormat="1">
      <c r="A608" s="1392"/>
      <c r="B608" s="1392"/>
      <c r="C608" s="1392"/>
      <c r="D608" s="1392"/>
      <c r="E608" s="1392"/>
      <c r="F608" s="1392"/>
      <c r="G608" s="1392"/>
      <c r="H608" s="1392"/>
      <c r="I608" s="1392"/>
      <c r="J608" s="1392"/>
      <c r="K608" s="1392"/>
      <c r="L608" s="1392"/>
      <c r="N608" s="1396"/>
      <c r="O608" s="1393"/>
      <c r="P608" s="1393"/>
      <c r="Q608" s="1392"/>
      <c r="R608" s="1393"/>
      <c r="S608" s="1393"/>
      <c r="T608" s="1393"/>
    </row>
    <row r="609" spans="1:20" s="1395" customFormat="1">
      <c r="A609" s="1392"/>
      <c r="B609" s="1392"/>
      <c r="C609" s="1392"/>
      <c r="D609" s="1392"/>
      <c r="E609" s="1392"/>
      <c r="F609" s="1392"/>
      <c r="G609" s="1392"/>
      <c r="H609" s="1392"/>
      <c r="I609" s="1392"/>
      <c r="J609" s="1392"/>
      <c r="K609" s="1392"/>
      <c r="L609" s="1392"/>
      <c r="N609" s="1396"/>
      <c r="O609" s="1393"/>
      <c r="P609" s="1393"/>
      <c r="Q609" s="1392"/>
      <c r="R609" s="1393"/>
      <c r="S609" s="1393"/>
      <c r="T609" s="1393"/>
    </row>
    <row r="610" spans="1:20" s="1395" customFormat="1">
      <c r="A610" s="1392"/>
      <c r="B610" s="1392"/>
      <c r="C610" s="1392"/>
      <c r="D610" s="1392"/>
      <c r="E610" s="1392"/>
      <c r="F610" s="1392"/>
      <c r="G610" s="1392"/>
      <c r="H610" s="1392"/>
      <c r="I610" s="1392"/>
      <c r="J610" s="1392"/>
      <c r="K610" s="1392"/>
      <c r="L610" s="1392"/>
      <c r="N610" s="1396"/>
      <c r="O610" s="1393"/>
      <c r="P610" s="1393"/>
      <c r="Q610" s="1392"/>
      <c r="R610" s="1393"/>
      <c r="S610" s="1393"/>
      <c r="T610" s="1393"/>
    </row>
    <row r="611" spans="1:20" s="1395" customFormat="1">
      <c r="A611" s="1392"/>
      <c r="B611" s="1392"/>
      <c r="C611" s="1392"/>
      <c r="D611" s="1392"/>
      <c r="E611" s="1392"/>
      <c r="F611" s="1392"/>
      <c r="G611" s="1392"/>
      <c r="H611" s="1392"/>
      <c r="I611" s="1392"/>
      <c r="J611" s="1392"/>
      <c r="K611" s="1392"/>
      <c r="L611" s="1392"/>
      <c r="N611" s="1396"/>
      <c r="O611" s="1393"/>
      <c r="P611" s="1393"/>
      <c r="Q611" s="1392"/>
      <c r="R611" s="1393"/>
      <c r="S611" s="1393"/>
      <c r="T611" s="1393"/>
    </row>
    <row r="612" spans="1:20" s="1395" customFormat="1">
      <c r="A612" s="1392"/>
      <c r="B612" s="1392"/>
      <c r="C612" s="1392"/>
      <c r="D612" s="1392"/>
      <c r="E612" s="1392"/>
      <c r="F612" s="1392"/>
      <c r="G612" s="1392"/>
      <c r="H612" s="1392"/>
      <c r="I612" s="1392"/>
      <c r="J612" s="1392"/>
      <c r="K612" s="1392"/>
      <c r="L612" s="1392"/>
      <c r="N612" s="1396"/>
      <c r="O612" s="1393"/>
      <c r="P612" s="1393"/>
      <c r="Q612" s="1392"/>
      <c r="R612" s="1393"/>
      <c r="S612" s="1393"/>
      <c r="T612" s="1393"/>
    </row>
    <row r="613" spans="1:20" s="1395" customFormat="1">
      <c r="A613" s="1392"/>
      <c r="B613" s="1392"/>
      <c r="C613" s="1392"/>
      <c r="D613" s="1392"/>
      <c r="E613" s="1392"/>
      <c r="F613" s="1392"/>
      <c r="G613" s="1392"/>
      <c r="H613" s="1392"/>
      <c r="I613" s="1392"/>
      <c r="J613" s="1392"/>
      <c r="K613" s="1392"/>
      <c r="L613" s="1392"/>
      <c r="N613" s="1396"/>
      <c r="O613" s="1393"/>
      <c r="P613" s="1393"/>
      <c r="Q613" s="1392"/>
      <c r="R613" s="1393"/>
      <c r="S613" s="1393"/>
      <c r="T613" s="1393"/>
    </row>
    <row r="614" spans="1:20" s="1395" customFormat="1">
      <c r="A614" s="1392"/>
      <c r="B614" s="1392"/>
      <c r="C614" s="1392"/>
      <c r="D614" s="1392"/>
      <c r="E614" s="1392"/>
      <c r="F614" s="1392"/>
      <c r="G614" s="1392"/>
      <c r="H614" s="1392"/>
      <c r="I614" s="1392"/>
      <c r="J614" s="1392"/>
      <c r="K614" s="1392"/>
      <c r="L614" s="1392"/>
      <c r="N614" s="1396"/>
      <c r="O614" s="1393"/>
      <c r="P614" s="1393"/>
      <c r="Q614" s="1392"/>
      <c r="R614" s="1393"/>
      <c r="S614" s="1393"/>
      <c r="T614" s="1393"/>
    </row>
    <row r="615" spans="1:20" s="1395" customFormat="1">
      <c r="A615" s="1392"/>
      <c r="B615" s="1392"/>
      <c r="C615" s="1392"/>
      <c r="D615" s="1392"/>
      <c r="E615" s="1392"/>
      <c r="F615" s="1392"/>
      <c r="G615" s="1392"/>
      <c r="H615" s="1392"/>
      <c r="I615" s="1392"/>
      <c r="J615" s="1392"/>
      <c r="K615" s="1392"/>
      <c r="L615" s="1392"/>
      <c r="N615" s="1396"/>
      <c r="O615" s="1393"/>
      <c r="P615" s="1393"/>
      <c r="Q615" s="1392"/>
      <c r="R615" s="1393"/>
      <c r="S615" s="1393"/>
      <c r="T615" s="1393"/>
    </row>
    <row r="616" spans="1:20" s="1395" customFormat="1">
      <c r="A616" s="1392"/>
      <c r="B616" s="1392"/>
      <c r="C616" s="1392"/>
      <c r="D616" s="1392"/>
      <c r="E616" s="1392"/>
      <c r="F616" s="1392"/>
      <c r="G616" s="1392"/>
      <c r="H616" s="1392"/>
      <c r="I616" s="1392"/>
      <c r="J616" s="1392"/>
      <c r="K616" s="1392"/>
      <c r="L616" s="1392"/>
      <c r="N616" s="1396"/>
      <c r="O616" s="1393"/>
      <c r="P616" s="1393"/>
      <c r="Q616" s="1392"/>
      <c r="R616" s="1393"/>
      <c r="S616" s="1393"/>
      <c r="T616" s="1393"/>
    </row>
    <row r="617" spans="1:20" s="1395" customFormat="1">
      <c r="A617" s="1392"/>
      <c r="B617" s="1392"/>
      <c r="C617" s="1392"/>
      <c r="D617" s="1392"/>
      <c r="E617" s="1392"/>
      <c r="F617" s="1392"/>
      <c r="G617" s="1392"/>
      <c r="H617" s="1392"/>
      <c r="I617" s="1392"/>
      <c r="J617" s="1392"/>
      <c r="K617" s="1392"/>
      <c r="L617" s="1392"/>
      <c r="N617" s="1396"/>
      <c r="O617" s="1393"/>
      <c r="P617" s="1393"/>
      <c r="Q617" s="1392"/>
      <c r="R617" s="1393"/>
      <c r="S617" s="1393"/>
      <c r="T617" s="1393"/>
    </row>
    <row r="618" spans="1:20" s="1395" customFormat="1">
      <c r="A618" s="1392"/>
      <c r="B618" s="1392"/>
      <c r="C618" s="1392"/>
      <c r="D618" s="1392"/>
      <c r="E618" s="1392"/>
      <c r="F618" s="1392"/>
      <c r="G618" s="1392"/>
      <c r="H618" s="1392"/>
      <c r="I618" s="1392"/>
      <c r="J618" s="1392"/>
      <c r="K618" s="1392"/>
      <c r="L618" s="1392"/>
      <c r="N618" s="1396"/>
      <c r="O618" s="1393"/>
      <c r="P618" s="1393"/>
      <c r="Q618" s="1392"/>
      <c r="R618" s="1393"/>
      <c r="S618" s="1393"/>
      <c r="T618" s="1393"/>
    </row>
    <row r="619" spans="1:20" s="1395" customFormat="1">
      <c r="A619" s="1392"/>
      <c r="B619" s="1392"/>
      <c r="C619" s="1392"/>
      <c r="D619" s="1392"/>
      <c r="E619" s="1392"/>
      <c r="F619" s="1392"/>
      <c r="G619" s="1392"/>
      <c r="H619" s="1392"/>
      <c r="I619" s="1392"/>
      <c r="J619" s="1392"/>
      <c r="K619" s="1392"/>
      <c r="L619" s="1392"/>
      <c r="N619" s="1396"/>
      <c r="O619" s="1393"/>
      <c r="P619" s="1393"/>
      <c r="Q619" s="1392"/>
      <c r="R619" s="1393"/>
      <c r="S619" s="1393"/>
      <c r="T619" s="1393"/>
    </row>
    <row r="620" spans="1:20" s="1395" customFormat="1">
      <c r="A620" s="1392"/>
      <c r="B620" s="1392"/>
      <c r="C620" s="1392"/>
      <c r="D620" s="1392"/>
      <c r="E620" s="1392"/>
      <c r="F620" s="1392"/>
      <c r="G620" s="1392"/>
      <c r="H620" s="1392"/>
      <c r="I620" s="1392"/>
      <c r="J620" s="1392"/>
      <c r="K620" s="1392"/>
      <c r="L620" s="1392"/>
      <c r="N620" s="1396"/>
      <c r="O620" s="1393"/>
      <c r="P620" s="1393"/>
      <c r="Q620" s="1392"/>
      <c r="R620" s="1393"/>
      <c r="S620" s="1393"/>
      <c r="T620" s="1393"/>
    </row>
    <row r="621" spans="1:20" s="1395" customFormat="1">
      <c r="A621" s="1392"/>
      <c r="B621" s="1392"/>
      <c r="C621" s="1392"/>
      <c r="D621" s="1392"/>
      <c r="E621" s="1392"/>
      <c r="F621" s="1392"/>
      <c r="G621" s="1392"/>
      <c r="H621" s="1392"/>
      <c r="I621" s="1392"/>
      <c r="J621" s="1392"/>
      <c r="K621" s="1392"/>
      <c r="L621" s="1392"/>
      <c r="N621" s="1396"/>
      <c r="O621" s="1393"/>
      <c r="P621" s="1393"/>
      <c r="Q621" s="1392"/>
      <c r="R621" s="1393"/>
      <c r="S621" s="1393"/>
      <c r="T621" s="1393"/>
    </row>
    <row r="622" spans="1:20" s="1395" customFormat="1">
      <c r="A622" s="1392"/>
      <c r="B622" s="1392"/>
      <c r="C622" s="1392"/>
      <c r="D622" s="1392"/>
      <c r="E622" s="1392"/>
      <c r="F622" s="1392"/>
      <c r="G622" s="1392"/>
      <c r="H622" s="1392"/>
      <c r="I622" s="1392"/>
      <c r="J622" s="1392"/>
      <c r="K622" s="1392"/>
      <c r="L622" s="1392"/>
      <c r="N622" s="1396"/>
      <c r="O622" s="1393"/>
      <c r="P622" s="1393"/>
      <c r="Q622" s="1392"/>
      <c r="R622" s="1393"/>
      <c r="S622" s="1393"/>
      <c r="T622" s="1393"/>
    </row>
    <row r="623" spans="1:20" s="1395" customFormat="1">
      <c r="A623" s="1392"/>
      <c r="B623" s="1392"/>
      <c r="C623" s="1392"/>
      <c r="D623" s="1392"/>
      <c r="E623" s="1392"/>
      <c r="F623" s="1392"/>
      <c r="G623" s="1392"/>
      <c r="H623" s="1392"/>
      <c r="I623" s="1392"/>
      <c r="J623" s="1392"/>
      <c r="K623" s="1392"/>
      <c r="L623" s="1392"/>
      <c r="N623" s="1396"/>
      <c r="O623" s="1393"/>
      <c r="P623" s="1393"/>
      <c r="Q623" s="1392"/>
      <c r="R623" s="1393"/>
      <c r="S623" s="1393"/>
      <c r="T623" s="1393"/>
    </row>
    <row r="624" spans="1:20" s="1395" customFormat="1">
      <c r="A624" s="1392"/>
      <c r="B624" s="1392"/>
      <c r="C624" s="1392"/>
      <c r="D624" s="1392"/>
      <c r="E624" s="1392"/>
      <c r="F624" s="1392"/>
      <c r="G624" s="1392"/>
      <c r="H624" s="1392"/>
      <c r="I624" s="1392"/>
      <c r="J624" s="1392"/>
      <c r="K624" s="1392"/>
      <c r="L624" s="1392"/>
      <c r="N624" s="1396"/>
      <c r="O624" s="1393"/>
      <c r="P624" s="1393"/>
      <c r="Q624" s="1392"/>
      <c r="R624" s="1393"/>
      <c r="S624" s="1393"/>
      <c r="T624" s="1393"/>
    </row>
    <row r="625" spans="1:20" s="1395" customFormat="1">
      <c r="A625" s="1392"/>
      <c r="B625" s="1392"/>
      <c r="C625" s="1392"/>
      <c r="D625" s="1392"/>
      <c r="E625" s="1392"/>
      <c r="F625" s="1392"/>
      <c r="G625" s="1392"/>
      <c r="H625" s="1392"/>
      <c r="I625" s="1392"/>
      <c r="J625" s="1392"/>
      <c r="K625" s="1392"/>
      <c r="L625" s="1392"/>
      <c r="N625" s="1396"/>
      <c r="O625" s="1393"/>
      <c r="P625" s="1393"/>
      <c r="Q625" s="1392"/>
      <c r="R625" s="1393"/>
      <c r="S625" s="1393"/>
      <c r="T625" s="1393"/>
    </row>
    <row r="626" spans="1:20" s="1395" customFormat="1">
      <c r="A626" s="1392"/>
      <c r="B626" s="1392"/>
      <c r="C626" s="1392"/>
      <c r="D626" s="1392"/>
      <c r="E626" s="1392"/>
      <c r="F626" s="1392"/>
      <c r="G626" s="1392"/>
      <c r="H626" s="1392"/>
      <c r="I626" s="1392"/>
      <c r="J626" s="1392"/>
      <c r="K626" s="1392"/>
      <c r="L626" s="1392"/>
      <c r="N626" s="1396"/>
      <c r="O626" s="1393"/>
      <c r="P626" s="1393"/>
      <c r="Q626" s="1392"/>
      <c r="R626" s="1393"/>
      <c r="S626" s="1393"/>
      <c r="T626" s="1393"/>
    </row>
    <row r="627" spans="1:20" s="1395" customFormat="1">
      <c r="A627" s="1392"/>
      <c r="B627" s="1392"/>
      <c r="C627" s="1392"/>
      <c r="D627" s="1392"/>
      <c r="E627" s="1392"/>
      <c r="F627" s="1392"/>
      <c r="G627" s="1392"/>
      <c r="H627" s="1392"/>
      <c r="I627" s="1392"/>
      <c r="J627" s="1392"/>
      <c r="K627" s="1392"/>
      <c r="L627" s="1392"/>
      <c r="N627" s="1396"/>
      <c r="O627" s="1393"/>
      <c r="P627" s="1393"/>
      <c r="Q627" s="1392"/>
      <c r="R627" s="1393"/>
      <c r="S627" s="1393"/>
      <c r="T627" s="1393"/>
    </row>
    <row r="628" spans="1:20" s="1395" customFormat="1">
      <c r="A628" s="1392"/>
      <c r="B628" s="1392"/>
      <c r="C628" s="1392"/>
      <c r="D628" s="1392"/>
      <c r="E628" s="1392"/>
      <c r="F628" s="1392"/>
      <c r="G628" s="1392"/>
      <c r="H628" s="1392"/>
      <c r="I628" s="1392"/>
      <c r="J628" s="1392"/>
      <c r="K628" s="1392"/>
      <c r="L628" s="1392"/>
      <c r="N628" s="1396"/>
      <c r="O628" s="1393"/>
      <c r="P628" s="1393"/>
      <c r="Q628" s="1392"/>
      <c r="R628" s="1393"/>
      <c r="S628" s="1393"/>
      <c r="T628" s="1393"/>
    </row>
    <row r="629" spans="1:20" s="1395" customFormat="1">
      <c r="A629" s="1392"/>
      <c r="B629" s="1392"/>
      <c r="C629" s="1392"/>
      <c r="D629" s="1392"/>
      <c r="E629" s="1392"/>
      <c r="F629" s="1392"/>
      <c r="G629" s="1392"/>
      <c r="H629" s="1392"/>
      <c r="I629" s="1392"/>
      <c r="J629" s="1392"/>
      <c r="K629" s="1392"/>
      <c r="L629" s="1392"/>
      <c r="N629" s="1396"/>
      <c r="O629" s="1393"/>
      <c r="P629" s="1393"/>
      <c r="Q629" s="1392"/>
      <c r="R629" s="1393"/>
      <c r="S629" s="1393"/>
      <c r="T629" s="1393"/>
    </row>
    <row r="630" spans="1:20" s="1395" customFormat="1">
      <c r="A630" s="1392"/>
      <c r="B630" s="1392"/>
      <c r="C630" s="1392"/>
      <c r="D630" s="1392"/>
      <c r="E630" s="1392"/>
      <c r="F630" s="1392"/>
      <c r="G630" s="1392"/>
      <c r="H630" s="1392"/>
      <c r="I630" s="1392"/>
      <c r="J630" s="1392"/>
      <c r="K630" s="1392"/>
      <c r="L630" s="1392"/>
      <c r="N630" s="1396"/>
      <c r="O630" s="1393"/>
      <c r="P630" s="1393"/>
      <c r="Q630" s="1392"/>
      <c r="R630" s="1393"/>
      <c r="S630" s="1393"/>
      <c r="T630" s="1393"/>
    </row>
    <row r="631" spans="1:20" s="1395" customFormat="1">
      <c r="A631" s="1392"/>
      <c r="B631" s="1392"/>
      <c r="C631" s="1392"/>
      <c r="D631" s="1392"/>
      <c r="E631" s="1392"/>
      <c r="F631" s="1392"/>
      <c r="G631" s="1392"/>
      <c r="H631" s="1392"/>
      <c r="I631" s="1392"/>
      <c r="J631" s="1392"/>
      <c r="K631" s="1392"/>
      <c r="L631" s="1392"/>
      <c r="N631" s="1396"/>
      <c r="O631" s="1393"/>
      <c r="P631" s="1393"/>
      <c r="Q631" s="1392"/>
      <c r="R631" s="1393"/>
      <c r="S631" s="1393"/>
      <c r="T631" s="1393"/>
    </row>
    <row r="632" spans="1:20" s="1395" customFormat="1">
      <c r="A632" s="1392"/>
      <c r="B632" s="1392"/>
      <c r="C632" s="1392"/>
      <c r="D632" s="1392"/>
      <c r="E632" s="1392"/>
      <c r="F632" s="1392"/>
      <c r="G632" s="1392"/>
      <c r="H632" s="1392"/>
      <c r="I632" s="1392"/>
      <c r="J632" s="1392"/>
      <c r="K632" s="1392"/>
      <c r="L632" s="1392"/>
      <c r="N632" s="1396"/>
      <c r="O632" s="1393"/>
      <c r="P632" s="1393"/>
      <c r="Q632" s="1392"/>
      <c r="R632" s="1393"/>
      <c r="S632" s="1393"/>
      <c r="T632" s="1393"/>
    </row>
    <row r="633" spans="1:20" s="1395" customFormat="1">
      <c r="A633" s="1392"/>
      <c r="B633" s="1392"/>
      <c r="C633" s="1392"/>
      <c r="D633" s="1392"/>
      <c r="E633" s="1392"/>
      <c r="F633" s="1392"/>
      <c r="G633" s="1392"/>
      <c r="H633" s="1392"/>
      <c r="I633" s="1392"/>
      <c r="J633" s="1392"/>
      <c r="K633" s="1392"/>
      <c r="L633" s="1392"/>
      <c r="N633" s="1396"/>
      <c r="O633" s="1393"/>
      <c r="P633" s="1393"/>
      <c r="Q633" s="1392"/>
      <c r="R633" s="1393"/>
      <c r="S633" s="1393"/>
      <c r="T633" s="1393"/>
    </row>
    <row r="634" spans="1:20" s="1395" customFormat="1">
      <c r="A634" s="1392"/>
      <c r="B634" s="1392"/>
      <c r="C634" s="1392"/>
      <c r="D634" s="1392"/>
      <c r="E634" s="1392"/>
      <c r="F634" s="1392"/>
      <c r="G634" s="1392"/>
      <c r="H634" s="1392"/>
      <c r="I634" s="1392"/>
      <c r="J634" s="1392"/>
      <c r="K634" s="1392"/>
      <c r="L634" s="1392"/>
      <c r="N634" s="1396"/>
      <c r="O634" s="1393"/>
      <c r="P634" s="1393"/>
      <c r="Q634" s="1392"/>
      <c r="R634" s="1393"/>
      <c r="S634" s="1393"/>
      <c r="T634" s="1393"/>
    </row>
    <row r="635" spans="1:20" s="1395" customFormat="1">
      <c r="A635" s="1392"/>
      <c r="B635" s="1392"/>
      <c r="C635" s="1392"/>
      <c r="D635" s="1392"/>
      <c r="E635" s="1392"/>
      <c r="F635" s="1392"/>
      <c r="G635" s="1392"/>
      <c r="H635" s="1392"/>
      <c r="I635" s="1392"/>
      <c r="J635" s="1392"/>
      <c r="K635" s="1392"/>
      <c r="L635" s="1392"/>
      <c r="N635" s="1396"/>
      <c r="O635" s="1393"/>
      <c r="P635" s="1393"/>
      <c r="Q635" s="1392"/>
      <c r="R635" s="1393"/>
      <c r="S635" s="1393"/>
      <c r="T635" s="1393"/>
    </row>
    <row r="636" spans="1:20" s="1395" customFormat="1">
      <c r="A636" s="1392"/>
      <c r="B636" s="1392"/>
      <c r="C636" s="1392"/>
      <c r="D636" s="1392"/>
      <c r="E636" s="1392"/>
      <c r="F636" s="1392"/>
      <c r="G636" s="1392"/>
      <c r="H636" s="1392"/>
      <c r="I636" s="1392"/>
      <c r="J636" s="1392"/>
      <c r="K636" s="1392"/>
      <c r="L636" s="1392"/>
      <c r="N636" s="1396"/>
      <c r="O636" s="1393"/>
      <c r="P636" s="1393"/>
      <c r="Q636" s="1392"/>
      <c r="R636" s="1393"/>
      <c r="S636" s="1393"/>
      <c r="T636" s="1393"/>
    </row>
    <row r="637" spans="1:20" s="1395" customFormat="1">
      <c r="A637" s="1392"/>
      <c r="B637" s="1392"/>
      <c r="C637" s="1392"/>
      <c r="D637" s="1392"/>
      <c r="E637" s="1392"/>
      <c r="F637" s="1392"/>
      <c r="G637" s="1392"/>
      <c r="H637" s="1392"/>
      <c r="I637" s="1392"/>
      <c r="J637" s="1392"/>
      <c r="K637" s="1392"/>
      <c r="L637" s="1392"/>
      <c r="N637" s="1396"/>
      <c r="O637" s="1393"/>
      <c r="P637" s="1393"/>
      <c r="Q637" s="1392"/>
      <c r="R637" s="1393"/>
      <c r="S637" s="1393"/>
      <c r="T637" s="1393"/>
    </row>
    <row r="638" spans="1:20" s="1395" customFormat="1">
      <c r="A638" s="1392"/>
      <c r="B638" s="1392"/>
      <c r="C638" s="1392"/>
      <c r="D638" s="1392"/>
      <c r="E638" s="1392"/>
      <c r="F638" s="1392"/>
      <c r="G638" s="1392"/>
      <c r="H638" s="1392"/>
      <c r="I638" s="1392"/>
      <c r="J638" s="1392"/>
      <c r="K638" s="1392"/>
      <c r="L638" s="1392"/>
      <c r="N638" s="1396"/>
      <c r="O638" s="1393"/>
      <c r="P638" s="1393"/>
      <c r="Q638" s="1392"/>
      <c r="R638" s="1393"/>
      <c r="S638" s="1393"/>
      <c r="T638" s="1393"/>
    </row>
    <row r="639" spans="1:20" s="1395" customFormat="1">
      <c r="A639" s="1392"/>
      <c r="B639" s="1392"/>
      <c r="C639" s="1392"/>
      <c r="D639" s="1392"/>
      <c r="E639" s="1392"/>
      <c r="F639" s="1392"/>
      <c r="G639" s="1392"/>
      <c r="H639" s="1392"/>
      <c r="I639" s="1392"/>
      <c r="J639" s="1392"/>
      <c r="K639" s="1392"/>
      <c r="L639" s="1392"/>
      <c r="N639" s="1396"/>
      <c r="O639" s="1393"/>
      <c r="P639" s="1393"/>
      <c r="Q639" s="1392"/>
      <c r="R639" s="1393"/>
      <c r="S639" s="1393"/>
      <c r="T639" s="1393"/>
    </row>
    <row r="640" spans="1:20" s="1395" customFormat="1">
      <c r="A640" s="1392"/>
      <c r="B640" s="1392"/>
      <c r="C640" s="1392"/>
      <c r="D640" s="1392"/>
      <c r="E640" s="1392"/>
      <c r="F640" s="1392"/>
      <c r="G640" s="1392"/>
      <c r="H640" s="1392"/>
      <c r="I640" s="1392"/>
      <c r="J640" s="1392"/>
      <c r="K640" s="1392"/>
      <c r="L640" s="1392"/>
      <c r="N640" s="1396"/>
      <c r="O640" s="1393"/>
      <c r="P640" s="1393"/>
      <c r="Q640" s="1392"/>
      <c r="R640" s="1393"/>
      <c r="S640" s="1393"/>
      <c r="T640" s="1393"/>
    </row>
    <row r="641" spans="1:20" s="1395" customFormat="1">
      <c r="A641" s="1392"/>
      <c r="B641" s="1392"/>
      <c r="C641" s="1392"/>
      <c r="D641" s="1392"/>
      <c r="E641" s="1392"/>
      <c r="F641" s="1392"/>
      <c r="G641" s="1392"/>
      <c r="H641" s="1392"/>
      <c r="I641" s="1392"/>
      <c r="J641" s="1392"/>
      <c r="K641" s="1392"/>
      <c r="L641" s="1392"/>
      <c r="N641" s="1396"/>
      <c r="O641" s="1393"/>
      <c r="P641" s="1393"/>
      <c r="Q641" s="1392"/>
      <c r="R641" s="1393"/>
      <c r="S641" s="1393"/>
      <c r="T641" s="1393"/>
    </row>
  </sheetData>
  <sheetProtection password="889B" sheet="1"/>
  <mergeCells count="16">
    <mergeCell ref="K10:L10"/>
    <mergeCell ref="H12:K12"/>
    <mergeCell ref="B96:C96"/>
    <mergeCell ref="H195:I195"/>
    <mergeCell ref="D195:F195"/>
    <mergeCell ref="D163:F163"/>
    <mergeCell ref="T123:U123"/>
    <mergeCell ref="T124:U124"/>
    <mergeCell ref="E2:L2"/>
    <mergeCell ref="C6:E6"/>
    <mergeCell ref="G6:L6"/>
    <mergeCell ref="G8:H8"/>
    <mergeCell ref="J8:L8"/>
    <mergeCell ref="A3:C5"/>
    <mergeCell ref="D4:E4"/>
    <mergeCell ref="G4:L4"/>
  </mergeCells>
  <conditionalFormatting sqref="P90 R90 R92:R95 O92:P94 O97:P97 R97 U131">
    <cfRule type="cellIs" dxfId="2282" priority="2297" stopIfTrue="1" operator="lessThan">
      <formula>0</formula>
    </cfRule>
  </conditionalFormatting>
  <conditionalFormatting sqref="E12:F12">
    <cfRule type="cellIs" dxfId="2281" priority="2304" stopIfTrue="1" operator="equal">
      <formula>0</formula>
    </cfRule>
  </conditionalFormatting>
  <conditionalFormatting sqref="N10">
    <cfRule type="cellIs" dxfId="2280" priority="2305" stopIfTrue="1" operator="equal">
      <formula>0</formula>
    </cfRule>
  </conditionalFormatting>
  <conditionalFormatting sqref="E2:L2 C6:E6 G6:L6 C8 C10 K10:L10 F10">
    <cfRule type="cellIs" dxfId="2279" priority="2296" stopIfTrue="1" operator="equal">
      <formula>0</formula>
    </cfRule>
  </conditionalFormatting>
  <conditionalFormatting sqref="O14:P14 P15">
    <cfRule type="cellIs" dxfId="2278" priority="2289" stopIfTrue="1" operator="lessThan">
      <formula>0</formula>
    </cfRule>
  </conditionalFormatting>
  <conditionalFormatting sqref="P17">
    <cfRule type="cellIs" dxfId="2277" priority="2195" stopIfTrue="1" operator="lessThan">
      <formula>0</formula>
    </cfRule>
  </conditionalFormatting>
  <conditionalFormatting sqref="G8:H8">
    <cfRule type="cellIs" dxfId="2276" priority="2223" stopIfTrue="1" operator="equal">
      <formula>0</formula>
    </cfRule>
  </conditionalFormatting>
  <conditionalFormatting sqref="J8:L8">
    <cfRule type="cellIs" dxfId="2275" priority="2222" stopIfTrue="1" operator="equal">
      <formula>0</formula>
    </cfRule>
  </conditionalFormatting>
  <conditionalFormatting sqref="P16">
    <cfRule type="cellIs" dxfId="2274" priority="2219" stopIfTrue="1" operator="lessThan">
      <formula>0</formula>
    </cfRule>
  </conditionalFormatting>
  <conditionalFormatting sqref="O26:P26">
    <cfRule type="cellIs" dxfId="2273" priority="2180" stopIfTrue="1" operator="lessThan">
      <formula>0</formula>
    </cfRule>
  </conditionalFormatting>
  <conditionalFormatting sqref="O21:P21">
    <cfRule type="cellIs" dxfId="2272" priority="2176" stopIfTrue="1" operator="lessThan">
      <formula>0</formula>
    </cfRule>
  </conditionalFormatting>
  <conditionalFormatting sqref="O13:P13">
    <cfRule type="cellIs" dxfId="2271" priority="2199" stopIfTrue="1" operator="lessThan">
      <formula>0</formula>
    </cfRule>
  </conditionalFormatting>
  <conditionalFormatting sqref="O17">
    <cfRule type="cellIs" dxfId="2270" priority="2192" stopIfTrue="1" operator="lessThan">
      <formula>0</formula>
    </cfRule>
  </conditionalFormatting>
  <conditionalFormatting sqref="R26:S26">
    <cfRule type="cellIs" dxfId="2269" priority="2179" stopIfTrue="1" operator="lessThan">
      <formula>0</formula>
    </cfRule>
  </conditionalFormatting>
  <conditionalFormatting sqref="O15:O16">
    <cfRule type="cellIs" dxfId="2268" priority="2193" stopIfTrue="1" operator="lessThan">
      <formula>0</formula>
    </cfRule>
  </conditionalFormatting>
  <conditionalFormatting sqref="R21:S21">
    <cfRule type="cellIs" dxfId="2267" priority="2175" stopIfTrue="1" operator="lessThan">
      <formula>0</formula>
    </cfRule>
  </conditionalFormatting>
  <conditionalFormatting sqref="S37">
    <cfRule type="cellIs" dxfId="2266" priority="2015" stopIfTrue="1" operator="lessThan">
      <formula>0</formula>
    </cfRule>
  </conditionalFormatting>
  <conditionalFormatting sqref="R18:S18">
    <cfRule type="cellIs" dxfId="2265" priority="2144" stopIfTrue="1" operator="lessThan">
      <formula>0</formula>
    </cfRule>
  </conditionalFormatting>
  <conditionalFormatting sqref="R13:S13">
    <cfRule type="cellIs" dxfId="2264" priority="2165" stopIfTrue="1" operator="lessThan">
      <formula>0</formula>
    </cfRule>
  </conditionalFormatting>
  <conditionalFormatting sqref="R15:R16">
    <cfRule type="cellIs" dxfId="2263" priority="2163" stopIfTrue="1" operator="lessThan">
      <formula>0</formula>
    </cfRule>
  </conditionalFormatting>
  <conditionalFormatting sqref="R14">
    <cfRule type="cellIs" dxfId="2262" priority="2167" stopIfTrue="1" operator="lessThan">
      <formula>0</formula>
    </cfRule>
  </conditionalFormatting>
  <conditionalFormatting sqref="P22">
    <cfRule type="cellIs" dxfId="2261" priority="2158" stopIfTrue="1" operator="lessThan">
      <formula>0</formula>
    </cfRule>
  </conditionalFormatting>
  <conditionalFormatting sqref="P23:P24">
    <cfRule type="cellIs" dxfId="2260" priority="2157" stopIfTrue="1" operator="lessThan">
      <formula>0</formula>
    </cfRule>
  </conditionalFormatting>
  <conditionalFormatting sqref="R17">
    <cfRule type="cellIs" dxfId="2259" priority="2162" stopIfTrue="1" operator="lessThan">
      <formula>0</formula>
    </cfRule>
  </conditionalFormatting>
  <conditionalFormatting sqref="S17">
    <cfRule type="cellIs" dxfId="2258" priority="2164" stopIfTrue="1" operator="lessThan">
      <formula>0</formula>
    </cfRule>
  </conditionalFormatting>
  <conditionalFormatting sqref="O24">
    <cfRule type="cellIs" dxfId="2257" priority="2160" stopIfTrue="1" operator="lessThan">
      <formula>0</formula>
    </cfRule>
  </conditionalFormatting>
  <conditionalFormatting sqref="O25">
    <cfRule type="cellIs" dxfId="2256" priority="2159" stopIfTrue="1" operator="lessThan">
      <formula>0</formula>
    </cfRule>
  </conditionalFormatting>
  <conditionalFormatting sqref="O23">
    <cfRule type="cellIs" dxfId="2255" priority="2161" stopIfTrue="1" operator="lessThan">
      <formula>0</formula>
    </cfRule>
  </conditionalFormatting>
  <conditionalFormatting sqref="R25">
    <cfRule type="cellIs" dxfId="2254" priority="2153" stopIfTrue="1" operator="lessThan">
      <formula>0</formula>
    </cfRule>
  </conditionalFormatting>
  <conditionalFormatting sqref="R23">
    <cfRule type="cellIs" dxfId="2253" priority="2155" stopIfTrue="1" operator="lessThan">
      <formula>0</formula>
    </cfRule>
  </conditionalFormatting>
  <conditionalFormatting sqref="P25">
    <cfRule type="cellIs" dxfId="2252" priority="2156" stopIfTrue="1" operator="lessThan">
      <formula>0</formula>
    </cfRule>
  </conditionalFormatting>
  <conditionalFormatting sqref="R24">
    <cfRule type="cellIs" dxfId="2251" priority="2154" stopIfTrue="1" operator="lessThan">
      <formula>0</formula>
    </cfRule>
  </conditionalFormatting>
  <conditionalFormatting sqref="S22">
    <cfRule type="cellIs" dxfId="2250" priority="2152" stopIfTrue="1" operator="lessThan">
      <formula>0</formula>
    </cfRule>
  </conditionalFormatting>
  <conditionalFormatting sqref="S23:S24">
    <cfRule type="cellIs" dxfId="2249" priority="2151" stopIfTrue="1" operator="lessThan">
      <formula>0</formula>
    </cfRule>
  </conditionalFormatting>
  <conditionalFormatting sqref="S25">
    <cfRule type="cellIs" dxfId="2248" priority="2150" stopIfTrue="1" operator="lessThan">
      <formula>0</formula>
    </cfRule>
  </conditionalFormatting>
  <conditionalFormatting sqref="O18:P18">
    <cfRule type="cellIs" dxfId="2247" priority="2145" stopIfTrue="1" operator="lessThan">
      <formula>0</formula>
    </cfRule>
  </conditionalFormatting>
  <conditionalFormatting sqref="R37">
    <cfRule type="cellIs" dxfId="2246" priority="2014" stopIfTrue="1" operator="lessThan">
      <formula>0</formula>
    </cfRule>
  </conditionalFormatting>
  <conditionalFormatting sqref="O32:P32">
    <cfRule type="cellIs" dxfId="2245" priority="2069" stopIfTrue="1" operator="lessThan">
      <formula>0</formula>
    </cfRule>
  </conditionalFormatting>
  <conditionalFormatting sqref="P31">
    <cfRule type="cellIs" dxfId="2244" priority="2063" stopIfTrue="1" operator="lessThan">
      <formula>0</formula>
    </cfRule>
  </conditionalFormatting>
  <conditionalFormatting sqref="R57">
    <cfRule type="cellIs" dxfId="2243" priority="2002" stopIfTrue="1" operator="lessThan">
      <formula>0</formula>
    </cfRule>
  </conditionalFormatting>
  <conditionalFormatting sqref="O29:P29">
    <cfRule type="cellIs" dxfId="2242" priority="2108" stopIfTrue="1" operator="lessThan">
      <formula>0</formula>
    </cfRule>
  </conditionalFormatting>
  <conditionalFormatting sqref="R35:S35">
    <cfRule type="cellIs" dxfId="2241" priority="2096" stopIfTrue="1" operator="lessThan">
      <formula>0</formula>
    </cfRule>
  </conditionalFormatting>
  <conditionalFormatting sqref="O35:P35">
    <cfRule type="cellIs" dxfId="2240" priority="2097" stopIfTrue="1" operator="lessThan">
      <formula>0</formula>
    </cfRule>
  </conditionalFormatting>
  <conditionalFormatting sqref="R38:S38">
    <cfRule type="cellIs" dxfId="2239" priority="2099" stopIfTrue="1" operator="lessThan">
      <formula>0</formula>
    </cfRule>
  </conditionalFormatting>
  <conditionalFormatting sqref="O38:P38">
    <cfRule type="cellIs" dxfId="2238" priority="2100" stopIfTrue="1" operator="lessThan">
      <formula>0</formula>
    </cfRule>
  </conditionalFormatting>
  <conditionalFormatting sqref="O31">
    <cfRule type="cellIs" dxfId="2237" priority="2066" stopIfTrue="1" operator="lessThan">
      <formula>0</formula>
    </cfRule>
  </conditionalFormatting>
  <conditionalFormatting sqref="P30">
    <cfRule type="cellIs" dxfId="2236" priority="2065" stopIfTrue="1" operator="lessThan">
      <formula>0</formula>
    </cfRule>
  </conditionalFormatting>
  <conditionalFormatting sqref="S30">
    <cfRule type="cellIs" dxfId="2235" priority="2058" stopIfTrue="1" operator="lessThan">
      <formula>0</formula>
    </cfRule>
  </conditionalFormatting>
  <conditionalFormatting sqref="R32:S32">
    <cfRule type="cellIs" dxfId="2234" priority="2062" stopIfTrue="1" operator="lessThan">
      <formula>0</formula>
    </cfRule>
  </conditionalFormatting>
  <conditionalFormatting sqref="R30">
    <cfRule type="cellIs" dxfId="2233" priority="2061" stopIfTrue="1" operator="lessThan">
      <formula>0</formula>
    </cfRule>
  </conditionalFormatting>
  <conditionalFormatting sqref="O30">
    <cfRule type="cellIs" dxfId="2232" priority="2068" stopIfTrue="1" operator="lessThan">
      <formula>0</formula>
    </cfRule>
  </conditionalFormatting>
  <conditionalFormatting sqref="R31">
    <cfRule type="cellIs" dxfId="2231" priority="2059" stopIfTrue="1" operator="lessThan">
      <formula>0</formula>
    </cfRule>
  </conditionalFormatting>
  <conditionalFormatting sqref="S31">
    <cfRule type="cellIs" dxfId="2230" priority="2056" stopIfTrue="1" operator="lessThan">
      <formula>0</formula>
    </cfRule>
  </conditionalFormatting>
  <conditionalFormatting sqref="O80">
    <cfRule type="cellIs" dxfId="2229" priority="1906" stopIfTrue="1" operator="lessThan">
      <formula>0</formula>
    </cfRule>
  </conditionalFormatting>
  <conditionalFormatting sqref="O48:P48">
    <cfRule type="cellIs" dxfId="2228" priority="2033" stopIfTrue="1" operator="lessThan">
      <formula>0</formula>
    </cfRule>
  </conditionalFormatting>
  <conditionalFormatting sqref="P45">
    <cfRule type="cellIs" dxfId="2227" priority="2029" stopIfTrue="1" operator="lessThan">
      <formula>0</formula>
    </cfRule>
  </conditionalFormatting>
  <conditionalFormatting sqref="O41:P41">
    <cfRule type="cellIs" dxfId="2226" priority="2045" stopIfTrue="1" operator="lessThan">
      <formula>0</formula>
    </cfRule>
  </conditionalFormatting>
  <conditionalFormatting sqref="R53:S53">
    <cfRule type="cellIs" dxfId="2225" priority="2041" stopIfTrue="1" operator="lessThan">
      <formula>0</formula>
    </cfRule>
  </conditionalFormatting>
  <conditionalFormatting sqref="O53:P53">
    <cfRule type="cellIs" dxfId="2224" priority="2042" stopIfTrue="1" operator="lessThan">
      <formula>0</formula>
    </cfRule>
  </conditionalFormatting>
  <conditionalFormatting sqref="O45">
    <cfRule type="cellIs" dxfId="2223" priority="2031" stopIfTrue="1" operator="lessThan">
      <formula>0</formula>
    </cfRule>
  </conditionalFormatting>
  <conditionalFormatting sqref="P42">
    <cfRule type="cellIs" dxfId="2222" priority="2030" stopIfTrue="1" operator="lessThan">
      <formula>0</formula>
    </cfRule>
  </conditionalFormatting>
  <conditionalFormatting sqref="S42">
    <cfRule type="cellIs" dxfId="2221" priority="2025" stopIfTrue="1" operator="lessThan">
      <formula>0</formula>
    </cfRule>
  </conditionalFormatting>
  <conditionalFormatting sqref="R48:S48">
    <cfRule type="cellIs" dxfId="2220" priority="2028" stopIfTrue="1" operator="lessThan">
      <formula>0</formula>
    </cfRule>
  </conditionalFormatting>
  <conditionalFormatting sqref="R45">
    <cfRule type="cellIs" dxfId="2219" priority="2026" stopIfTrue="1" operator="lessThan">
      <formula>0</formula>
    </cfRule>
  </conditionalFormatting>
  <conditionalFormatting sqref="P37">
    <cfRule type="cellIs" dxfId="2218" priority="2018" stopIfTrue="1" operator="lessThan">
      <formula>0</formula>
    </cfRule>
  </conditionalFormatting>
  <conditionalFormatting sqref="S45">
    <cfRule type="cellIs" dxfId="2217" priority="2024" stopIfTrue="1" operator="lessThan">
      <formula>0</formula>
    </cfRule>
  </conditionalFormatting>
  <conditionalFormatting sqref="N88">
    <cfRule type="cellIs" dxfId="2216" priority="1881" stopIfTrue="1" operator="lessThan">
      <formula>0</formula>
    </cfRule>
  </conditionalFormatting>
  <conditionalFormatting sqref="N71">
    <cfRule type="cellIs" dxfId="2215" priority="1924" stopIfTrue="1" operator="lessThan">
      <formula>0</formula>
    </cfRule>
  </conditionalFormatting>
  <conditionalFormatting sqref="O36:P36">
    <cfRule type="cellIs" dxfId="2214" priority="2019" stopIfTrue="1" operator="lessThan">
      <formula>0</formula>
    </cfRule>
  </conditionalFormatting>
  <conditionalFormatting sqref="O37">
    <cfRule type="cellIs" dxfId="2213" priority="2017" stopIfTrue="1" operator="lessThan">
      <formula>0</formula>
    </cfRule>
  </conditionalFormatting>
  <conditionalFormatting sqref="R36:S36">
    <cfRule type="cellIs" dxfId="2212" priority="2016" stopIfTrue="1" operator="lessThan">
      <formula>0</formula>
    </cfRule>
  </conditionalFormatting>
  <conditionalFormatting sqref="O22">
    <cfRule type="cellIs" dxfId="2211" priority="2013" stopIfTrue="1" operator="lessThan">
      <formula>0</formula>
    </cfRule>
  </conditionalFormatting>
  <conditionalFormatting sqref="R22">
    <cfRule type="cellIs" dxfId="2210" priority="2012" stopIfTrue="1" operator="lessThan">
      <formula>0</formula>
    </cfRule>
  </conditionalFormatting>
  <conditionalFormatting sqref="R29:S29">
    <cfRule type="cellIs" dxfId="2209" priority="2011" stopIfTrue="1" operator="lessThan">
      <formula>0</formula>
    </cfRule>
  </conditionalFormatting>
  <conditionalFormatting sqref="R60:S60">
    <cfRule type="cellIs" dxfId="2208" priority="2008" stopIfTrue="1" operator="lessThan">
      <formula>0</formula>
    </cfRule>
  </conditionalFormatting>
  <conditionalFormatting sqref="O60:P60">
    <cfRule type="cellIs" dxfId="2207" priority="2009" stopIfTrue="1" operator="lessThan">
      <formula>0</formula>
    </cfRule>
  </conditionalFormatting>
  <conditionalFormatting sqref="O54">
    <cfRule type="cellIs" dxfId="2206" priority="2007" stopIfTrue="1" operator="lessThan">
      <formula>0</formula>
    </cfRule>
  </conditionalFormatting>
  <conditionalFormatting sqref="R54">
    <cfRule type="cellIs" dxfId="2205" priority="2004" stopIfTrue="1" operator="lessThan">
      <formula>0</formula>
    </cfRule>
  </conditionalFormatting>
  <conditionalFormatting sqref="O57">
    <cfRule type="cellIs" dxfId="2204" priority="2005" stopIfTrue="1" operator="lessThan">
      <formula>0</formula>
    </cfRule>
  </conditionalFormatting>
  <conditionalFormatting sqref="S14">
    <cfRule type="cellIs" dxfId="2203" priority="1994" stopIfTrue="1" operator="lessThan">
      <formula>0</formula>
    </cfRule>
  </conditionalFormatting>
  <conditionalFormatting sqref="R41:S41">
    <cfRule type="cellIs" dxfId="2202" priority="2001" stopIfTrue="1" operator="lessThan">
      <formula>0</formula>
    </cfRule>
  </conditionalFormatting>
  <conditionalFormatting sqref="N68">
    <cfRule type="cellIs" dxfId="2201" priority="1936" stopIfTrue="1" operator="lessThan">
      <formula>0</formula>
    </cfRule>
  </conditionalFormatting>
  <conditionalFormatting sqref="O76:P76">
    <cfRule type="cellIs" dxfId="2200" priority="1934" stopIfTrue="1" operator="lessThan">
      <formula>0</formula>
    </cfRule>
  </conditionalFormatting>
  <conditionalFormatting sqref="R65:S65">
    <cfRule type="cellIs" dxfId="2199" priority="1952" stopIfTrue="1" operator="lessThan">
      <formula>0</formula>
    </cfRule>
  </conditionalFormatting>
  <conditionalFormatting sqref="O65:P65">
    <cfRule type="cellIs" dxfId="2198" priority="1953" stopIfTrue="1" operator="lessThan">
      <formula>0</formula>
    </cfRule>
  </conditionalFormatting>
  <conditionalFormatting sqref="O68 L96">
    <cfRule type="cellIs" dxfId="2197" priority="1941" stopIfTrue="1" operator="equal">
      <formula>"2002 г. крайно ДТ с-до"</formula>
    </cfRule>
  </conditionalFormatting>
  <conditionalFormatting sqref="R77">
    <cfRule type="cellIs" dxfId="2196" priority="1895" stopIfTrue="1" operator="equal">
      <formula>"2002 г. крайно ДТ с-до"</formula>
    </cfRule>
  </conditionalFormatting>
  <conditionalFormatting sqref="R76:S76">
    <cfRule type="cellIs" dxfId="2195" priority="1896" stopIfTrue="1" operator="lessThan">
      <formula>0</formula>
    </cfRule>
  </conditionalFormatting>
  <conditionalFormatting sqref="R81">
    <cfRule type="cellIs" dxfId="2194" priority="1928" stopIfTrue="1" operator="lessThan">
      <formula>0</formula>
    </cfRule>
  </conditionalFormatting>
  <conditionalFormatting sqref="R90 P90 R92:R95 R97">
    <cfRule type="cellIs" dxfId="2193" priority="1927" stopIfTrue="1" operator="lessThan">
      <formula>0</formula>
    </cfRule>
  </conditionalFormatting>
  <conditionalFormatting sqref="R71">
    <cfRule type="cellIs" dxfId="2192" priority="1891" stopIfTrue="1" operator="equal">
      <formula>"2002 г. крайно ДТ с-до"</formula>
    </cfRule>
  </conditionalFormatting>
  <conditionalFormatting sqref="R68">
    <cfRule type="cellIs" dxfId="2191" priority="1897" stopIfTrue="1" operator="equal">
      <formula>"2002 г. крайно ДТ с-до"</formula>
    </cfRule>
  </conditionalFormatting>
  <conditionalFormatting sqref="O77">
    <cfRule type="cellIs" dxfId="2190" priority="1921" stopIfTrue="1" operator="equal">
      <formula>"2002 г. крайно ДТ с-до"</formula>
    </cfRule>
  </conditionalFormatting>
  <conditionalFormatting sqref="N77">
    <cfRule type="cellIs" dxfId="2189" priority="1918" stopIfTrue="1" operator="lessThan">
      <formula>0</formula>
    </cfRule>
  </conditionalFormatting>
  <conditionalFormatting sqref="P80">
    <cfRule type="cellIs" dxfId="2188" priority="1907" stopIfTrue="1" operator="equal">
      <formula>"2002 г. крайно ДТ с-до"</formula>
    </cfRule>
  </conditionalFormatting>
  <conditionalFormatting sqref="O71">
    <cfRule type="cellIs" dxfId="2187" priority="1905" stopIfTrue="1" operator="equal">
      <formula>"2002 г. крайно ДТ с-до"</formula>
    </cfRule>
  </conditionalFormatting>
  <conditionalFormatting sqref="N82">
    <cfRule type="cellIs" dxfId="2186" priority="1887" stopIfTrue="1" operator="lessThan">
      <formula>0</formula>
    </cfRule>
  </conditionalFormatting>
  <conditionalFormatting sqref="P91">
    <cfRule type="cellIs" dxfId="2185" priority="1870" stopIfTrue="1" operator="equal">
      <formula>"2002 г. крайно ДТ с-до"</formula>
    </cfRule>
  </conditionalFormatting>
  <conditionalFormatting sqref="N69">
    <cfRule type="cellIs" dxfId="2184" priority="1867" stopIfTrue="1" operator="lessThan">
      <formula>0</formula>
    </cfRule>
  </conditionalFormatting>
  <conditionalFormatting sqref="N72">
    <cfRule type="cellIs" dxfId="2183" priority="1863" stopIfTrue="1" operator="lessThan">
      <formula>0</formula>
    </cfRule>
  </conditionalFormatting>
  <conditionalFormatting sqref="N78">
    <cfRule type="cellIs" dxfId="2182" priority="1859" stopIfTrue="1" operator="lessThan">
      <formula>0</formula>
    </cfRule>
  </conditionalFormatting>
  <conditionalFormatting sqref="O79:P79">
    <cfRule type="cellIs" dxfId="2181" priority="1857" stopIfTrue="1" operator="lessThan">
      <formula>0</formula>
    </cfRule>
  </conditionalFormatting>
  <conditionalFormatting sqref="R79:S79">
    <cfRule type="cellIs" dxfId="2180" priority="1856" stopIfTrue="1" operator="lessThan">
      <formula>0</formula>
    </cfRule>
  </conditionalFormatting>
  <conditionalFormatting sqref="N83">
    <cfRule type="cellIs" dxfId="2179" priority="1854" stopIfTrue="1" operator="lessThan">
      <formula>0</formula>
    </cfRule>
  </conditionalFormatting>
  <conditionalFormatting sqref="N89">
    <cfRule type="cellIs" dxfId="2178" priority="1851" stopIfTrue="1" operator="lessThan">
      <formula>0</formula>
    </cfRule>
  </conditionalFormatting>
  <conditionalFormatting sqref="O91">
    <cfRule type="cellIs" dxfId="2177" priority="1848" stopIfTrue="1" operator="lessThan">
      <formula>0</formula>
    </cfRule>
  </conditionalFormatting>
  <conditionalFormatting sqref="P92">
    <cfRule type="cellIs" dxfId="2176" priority="1845" stopIfTrue="1" operator="notEqual">
      <formula>0</formula>
    </cfRule>
  </conditionalFormatting>
  <conditionalFormatting sqref="P93">
    <cfRule type="cellIs" dxfId="2175" priority="1843" stopIfTrue="1" operator="notEqual">
      <formula>0</formula>
    </cfRule>
  </conditionalFormatting>
  <conditionalFormatting sqref="P94">
    <cfRule type="cellIs" dxfId="2174" priority="1842" stopIfTrue="1" operator="notEqual">
      <formula>0</formula>
    </cfRule>
  </conditionalFormatting>
  <conditionalFormatting sqref="P81:P83">
    <cfRule type="cellIs" dxfId="2173" priority="1841" stopIfTrue="1" operator="lessThan">
      <formula>0</formula>
    </cfRule>
  </conditionalFormatting>
  <conditionalFormatting sqref="P81:P83">
    <cfRule type="cellIs" dxfId="2172" priority="1840" stopIfTrue="1" operator="lessThan">
      <formula>0</formula>
    </cfRule>
  </conditionalFormatting>
  <conditionalFormatting sqref="P81">
    <cfRule type="cellIs" dxfId="2171" priority="1839" stopIfTrue="1" operator="notEqual">
      <formula>0</formula>
    </cfRule>
  </conditionalFormatting>
  <conditionalFormatting sqref="P82">
    <cfRule type="cellIs" dxfId="2170" priority="1838" stopIfTrue="1" operator="notEqual">
      <formula>0</formula>
    </cfRule>
  </conditionalFormatting>
  <conditionalFormatting sqref="P83">
    <cfRule type="cellIs" dxfId="2169" priority="1837" stopIfTrue="1" operator="notEqual">
      <formula>0</formula>
    </cfRule>
  </conditionalFormatting>
  <conditionalFormatting sqref="S90 S92:S95 S97">
    <cfRule type="cellIs" dxfId="2168" priority="1836" stopIfTrue="1" operator="lessThan">
      <formula>0</formula>
    </cfRule>
  </conditionalFormatting>
  <conditionalFormatting sqref="S90 S92:S95 S97">
    <cfRule type="cellIs" dxfId="2167" priority="1834" stopIfTrue="1" operator="lessThan">
      <formula>0</formula>
    </cfRule>
  </conditionalFormatting>
  <conditionalFormatting sqref="S80">
    <cfRule type="cellIs" dxfId="2166" priority="1833" stopIfTrue="1" operator="equal">
      <formula>"2002 г. крайно ДТ с-до"</formula>
    </cfRule>
  </conditionalFormatting>
  <conditionalFormatting sqref="S91">
    <cfRule type="cellIs" dxfId="2165" priority="1832" stopIfTrue="1" operator="equal">
      <formula>"2002 г. крайно ДТ с-до"</formula>
    </cfRule>
  </conditionalFormatting>
  <conditionalFormatting sqref="S92">
    <cfRule type="cellIs" dxfId="2164" priority="1831" stopIfTrue="1" operator="notEqual">
      <formula>0</formula>
    </cfRule>
  </conditionalFormatting>
  <conditionalFormatting sqref="S93">
    <cfRule type="cellIs" dxfId="2163" priority="1830" stopIfTrue="1" operator="notEqual">
      <formula>0</formula>
    </cfRule>
  </conditionalFormatting>
  <conditionalFormatting sqref="S94">
    <cfRule type="cellIs" dxfId="2162" priority="1829" stopIfTrue="1" operator="notEqual">
      <formula>0</formula>
    </cfRule>
  </conditionalFormatting>
  <conditionalFormatting sqref="S81:S83">
    <cfRule type="cellIs" dxfId="2161" priority="1828" stopIfTrue="1" operator="lessThan">
      <formula>0</formula>
    </cfRule>
  </conditionalFormatting>
  <conditionalFormatting sqref="S81:S83">
    <cfRule type="cellIs" dxfId="2160" priority="1827" stopIfTrue="1" operator="lessThan">
      <formula>0</formula>
    </cfRule>
  </conditionalFormatting>
  <conditionalFormatting sqref="S81">
    <cfRule type="cellIs" dxfId="2159" priority="1826" stopIfTrue="1" operator="notEqual">
      <formula>0</formula>
    </cfRule>
  </conditionalFormatting>
  <conditionalFormatting sqref="S82">
    <cfRule type="cellIs" dxfId="2158" priority="1825" stopIfTrue="1" operator="notEqual">
      <formula>0</formula>
    </cfRule>
  </conditionalFormatting>
  <conditionalFormatting sqref="S83">
    <cfRule type="cellIs" dxfId="2157" priority="1824" stopIfTrue="1" operator="notEqual">
      <formula>0</formula>
    </cfRule>
  </conditionalFormatting>
  <conditionalFormatting sqref="S15">
    <cfRule type="cellIs" dxfId="2156" priority="1811" stopIfTrue="1" operator="lessThan">
      <formula>0</formula>
    </cfRule>
  </conditionalFormatting>
  <conditionalFormatting sqref="S16">
    <cfRule type="cellIs" dxfId="2155" priority="1810" stopIfTrue="1" operator="lessThan">
      <formula>0</formula>
    </cfRule>
  </conditionalFormatting>
  <conditionalFormatting sqref="R80">
    <cfRule type="cellIs" dxfId="2154" priority="1809" stopIfTrue="1" operator="lessThan">
      <formula>0</formula>
    </cfRule>
  </conditionalFormatting>
  <conditionalFormatting sqref="R91">
    <cfRule type="cellIs" dxfId="2153" priority="1808" stopIfTrue="1" operator="lessThan">
      <formula>0</formula>
    </cfRule>
  </conditionalFormatting>
  <conditionalFormatting sqref="P69">
    <cfRule type="cellIs" dxfId="2152" priority="1807" stopIfTrue="1" operator="equal">
      <formula>"2002 г. крайно ДТ с-до"</formula>
    </cfRule>
  </conditionalFormatting>
  <conditionalFormatting sqref="P72">
    <cfRule type="cellIs" dxfId="2151" priority="1806" stopIfTrue="1" operator="equal">
      <formula>"2002 г. крайно ДТ с-до"</formula>
    </cfRule>
  </conditionalFormatting>
  <conditionalFormatting sqref="P78">
    <cfRule type="cellIs" dxfId="2150" priority="1805" stopIfTrue="1" operator="equal">
      <formula>"2002 г. крайно ДТ с-до"</formula>
    </cfRule>
  </conditionalFormatting>
  <conditionalFormatting sqref="N85">
    <cfRule type="cellIs" dxfId="2149" priority="1803" stopIfTrue="1" operator="lessThan">
      <formula>0</formula>
    </cfRule>
  </conditionalFormatting>
  <conditionalFormatting sqref="O85">
    <cfRule type="cellIs" dxfId="2148" priority="1804" stopIfTrue="1" operator="equal">
      <formula>"2002 г. крайно ДТ с-до"</formula>
    </cfRule>
  </conditionalFormatting>
  <conditionalFormatting sqref="R85">
    <cfRule type="cellIs" dxfId="2147" priority="1802" stopIfTrue="1" operator="equal">
      <formula>"2002 г. крайно ДТ с-до"</formula>
    </cfRule>
  </conditionalFormatting>
  <conditionalFormatting sqref="O82">
    <cfRule type="cellIs" dxfId="2146" priority="1708" stopIfTrue="1" operator="equal">
      <formula>"2002 г. крайно ДТ с-до"</formula>
    </cfRule>
  </conditionalFormatting>
  <conditionalFormatting sqref="N86">
    <cfRule type="cellIs" dxfId="2145" priority="1800" stopIfTrue="1" operator="lessThan">
      <formula>0</formula>
    </cfRule>
  </conditionalFormatting>
  <conditionalFormatting sqref="R82">
    <cfRule type="cellIs" dxfId="2144" priority="1706" stopIfTrue="1" operator="equal">
      <formula>"2002 г. крайно ДТ с-до"</formula>
    </cfRule>
  </conditionalFormatting>
  <conditionalFormatting sqref="O88">
    <cfRule type="cellIs" dxfId="2143" priority="1705" stopIfTrue="1" operator="equal">
      <formula>"2002 г. крайно ДТ с-до"</formula>
    </cfRule>
  </conditionalFormatting>
  <conditionalFormatting sqref="R88">
    <cfRule type="cellIs" dxfId="2142" priority="1704" stopIfTrue="1" operator="equal">
      <formula>"2002 г. крайно ДТ с-до"</formula>
    </cfRule>
  </conditionalFormatting>
  <conditionalFormatting sqref="P43:P44">
    <cfRule type="cellIs" dxfId="2141" priority="1701" stopIfTrue="1" operator="lessThan">
      <formula>0</formula>
    </cfRule>
  </conditionalFormatting>
  <conditionalFormatting sqref="O44">
    <cfRule type="cellIs" dxfId="2140" priority="1702" stopIfTrue="1" operator="lessThan">
      <formula>0</formula>
    </cfRule>
  </conditionalFormatting>
  <conditionalFormatting sqref="O43">
    <cfRule type="cellIs" dxfId="2139" priority="1703" stopIfTrue="1" operator="lessThan">
      <formula>0</formula>
    </cfRule>
  </conditionalFormatting>
  <conditionalFormatting sqref="R43">
    <cfRule type="cellIs" dxfId="2138" priority="1700" stopIfTrue="1" operator="lessThan">
      <formula>0</formula>
    </cfRule>
  </conditionalFormatting>
  <conditionalFormatting sqref="R44">
    <cfRule type="cellIs" dxfId="2137" priority="1699" stopIfTrue="1" operator="lessThan">
      <formula>0</formula>
    </cfRule>
  </conditionalFormatting>
  <conditionalFormatting sqref="S43:S44">
    <cfRule type="cellIs" dxfId="2136" priority="1698" stopIfTrue="1" operator="lessThan">
      <formula>0</formula>
    </cfRule>
  </conditionalFormatting>
  <conditionalFormatting sqref="O42">
    <cfRule type="cellIs" dxfId="2135" priority="1697" stopIfTrue="1" operator="lessThan">
      <formula>0</formula>
    </cfRule>
  </conditionalFormatting>
  <conditionalFormatting sqref="R42">
    <cfRule type="cellIs" dxfId="2134" priority="1696" stopIfTrue="1" operator="lessThan">
      <formula>0</formula>
    </cfRule>
  </conditionalFormatting>
  <conditionalFormatting sqref="R50">
    <cfRule type="cellIs" dxfId="2133" priority="1692" stopIfTrue="1" operator="lessThan">
      <formula>0</formula>
    </cfRule>
  </conditionalFormatting>
  <conditionalFormatting sqref="O50">
    <cfRule type="cellIs" dxfId="2132" priority="1695" stopIfTrue="1" operator="lessThan">
      <formula>0</formula>
    </cfRule>
  </conditionalFormatting>
  <conditionalFormatting sqref="O51">
    <cfRule type="cellIs" dxfId="2131" priority="1689" stopIfTrue="1" operator="lessThan">
      <formula>0</formula>
    </cfRule>
  </conditionalFormatting>
  <conditionalFormatting sqref="R51">
    <cfRule type="cellIs" dxfId="2130" priority="1688" stopIfTrue="1" operator="lessThan">
      <formula>0</formula>
    </cfRule>
  </conditionalFormatting>
  <conditionalFormatting sqref="P46:P47">
    <cfRule type="cellIs" dxfId="2129" priority="1685" stopIfTrue="1" operator="lessThan">
      <formula>0</formula>
    </cfRule>
  </conditionalFormatting>
  <conditionalFormatting sqref="O47">
    <cfRule type="cellIs" dxfId="2128" priority="1686" stopIfTrue="1" operator="lessThan">
      <formula>0</formula>
    </cfRule>
  </conditionalFormatting>
  <conditionalFormatting sqref="O46">
    <cfRule type="cellIs" dxfId="2127" priority="1687" stopIfTrue="1" operator="lessThan">
      <formula>0</formula>
    </cfRule>
  </conditionalFormatting>
  <conditionalFormatting sqref="R46">
    <cfRule type="cellIs" dxfId="2126" priority="1684" stopIfTrue="1" operator="lessThan">
      <formula>0</formula>
    </cfRule>
  </conditionalFormatting>
  <conditionalFormatting sqref="R47">
    <cfRule type="cellIs" dxfId="2125" priority="1683" stopIfTrue="1" operator="lessThan">
      <formula>0</formula>
    </cfRule>
  </conditionalFormatting>
  <conditionalFormatting sqref="S46:S47">
    <cfRule type="cellIs" dxfId="2124" priority="1682" stopIfTrue="1" operator="lessThan">
      <formula>0</formula>
    </cfRule>
  </conditionalFormatting>
  <conditionalFormatting sqref="E2:L2 C8">
    <cfRule type="cellIs" dxfId="2123" priority="1667" stopIfTrue="1" operator="equal">
      <formula>0</formula>
    </cfRule>
  </conditionalFormatting>
  <conditionalFormatting sqref="O20:P20">
    <cfRule type="cellIs" dxfId="2122" priority="1666" stopIfTrue="1" operator="lessThan">
      <formula>0</formula>
    </cfRule>
  </conditionalFormatting>
  <conditionalFormatting sqref="P20">
    <cfRule type="cellIs" dxfId="2121" priority="1665" stopIfTrue="1" operator="notEqual">
      <formula>0</formula>
    </cfRule>
  </conditionalFormatting>
  <conditionalFormatting sqref="O20">
    <cfRule type="cellIs" dxfId="2120" priority="1664" stopIfTrue="1" operator="notEqual">
      <formula>"O K"</formula>
    </cfRule>
  </conditionalFormatting>
  <conditionalFormatting sqref="R20:S20">
    <cfRule type="cellIs" dxfId="2119" priority="1663" stopIfTrue="1" operator="lessThan">
      <formula>0</formula>
    </cfRule>
  </conditionalFormatting>
  <conditionalFormatting sqref="S20">
    <cfRule type="cellIs" dxfId="2118" priority="1662" stopIfTrue="1" operator="notEqual">
      <formula>0</formula>
    </cfRule>
  </conditionalFormatting>
  <conditionalFormatting sqref="R20">
    <cfRule type="cellIs" dxfId="2117" priority="1661" stopIfTrue="1" operator="notEqual">
      <formula>"O K"</formula>
    </cfRule>
  </conditionalFormatting>
  <conditionalFormatting sqref="P28">
    <cfRule type="cellIs" dxfId="2116" priority="1660" stopIfTrue="1" operator="lessThan">
      <formula>0</formula>
    </cfRule>
  </conditionalFormatting>
  <conditionalFormatting sqref="P28">
    <cfRule type="cellIs" dxfId="2115" priority="1659" stopIfTrue="1" operator="notEqual">
      <formula>"O K"</formula>
    </cfRule>
  </conditionalFormatting>
  <conditionalFormatting sqref="O28">
    <cfRule type="cellIs" dxfId="2114" priority="1658" stopIfTrue="1" operator="lessThan">
      <formula>0</formula>
    </cfRule>
  </conditionalFormatting>
  <conditionalFormatting sqref="O28">
    <cfRule type="cellIs" dxfId="2113" priority="1657" stopIfTrue="1" operator="notEqual">
      <formula>0</formula>
    </cfRule>
  </conditionalFormatting>
  <conditionalFormatting sqref="S28">
    <cfRule type="cellIs" dxfId="2112" priority="1656" stopIfTrue="1" operator="lessThan">
      <formula>0</formula>
    </cfRule>
  </conditionalFormatting>
  <conditionalFormatting sqref="S28">
    <cfRule type="cellIs" dxfId="2111" priority="1655" stopIfTrue="1" operator="notEqual">
      <formula>"O K"</formula>
    </cfRule>
  </conditionalFormatting>
  <conditionalFormatting sqref="R28">
    <cfRule type="cellIs" dxfId="2110" priority="1654" stopIfTrue="1" operator="lessThan">
      <formula>0</formula>
    </cfRule>
  </conditionalFormatting>
  <conditionalFormatting sqref="R28">
    <cfRule type="cellIs" dxfId="2109" priority="1653" stopIfTrue="1" operator="notEqual">
      <formula>0</formula>
    </cfRule>
  </conditionalFormatting>
  <conditionalFormatting sqref="P34">
    <cfRule type="cellIs" dxfId="2108" priority="1650" stopIfTrue="1" operator="lessThan">
      <formula>0</formula>
    </cfRule>
  </conditionalFormatting>
  <conditionalFormatting sqref="O34">
    <cfRule type="cellIs" dxfId="2107" priority="1652" stopIfTrue="1" operator="lessThan">
      <formula>0</formula>
    </cfRule>
  </conditionalFormatting>
  <conditionalFormatting sqref="O34">
    <cfRule type="cellIs" dxfId="2106" priority="1651" stopIfTrue="1" operator="notEqual">
      <formula>0</formula>
    </cfRule>
  </conditionalFormatting>
  <conditionalFormatting sqref="P34">
    <cfRule type="cellIs" dxfId="2105" priority="1649" stopIfTrue="1" operator="notEqual">
      <formula>"O K"</formula>
    </cfRule>
  </conditionalFormatting>
  <conditionalFormatting sqref="S34">
    <cfRule type="cellIs" dxfId="2104" priority="1646" stopIfTrue="1" operator="lessThan">
      <formula>0</formula>
    </cfRule>
  </conditionalFormatting>
  <conditionalFormatting sqref="R34">
    <cfRule type="cellIs" dxfId="2103" priority="1648" stopIfTrue="1" operator="lessThan">
      <formula>0</formula>
    </cfRule>
  </conditionalFormatting>
  <conditionalFormatting sqref="R34">
    <cfRule type="cellIs" dxfId="2102" priority="1647" stopIfTrue="1" operator="notEqual">
      <formula>0</formula>
    </cfRule>
  </conditionalFormatting>
  <conditionalFormatting sqref="S34">
    <cfRule type="cellIs" dxfId="2101" priority="1645" stopIfTrue="1" operator="notEqual">
      <formula>"O K"</formula>
    </cfRule>
  </conditionalFormatting>
  <conditionalFormatting sqref="P40">
    <cfRule type="cellIs" dxfId="2100" priority="1642" stopIfTrue="1" operator="lessThan">
      <formula>0</formula>
    </cfRule>
  </conditionalFormatting>
  <conditionalFormatting sqref="O40">
    <cfRule type="cellIs" dxfId="2099" priority="1644" stopIfTrue="1" operator="lessThan">
      <formula>0</formula>
    </cfRule>
  </conditionalFormatting>
  <conditionalFormatting sqref="O40">
    <cfRule type="cellIs" dxfId="2098" priority="1643" stopIfTrue="1" operator="notEqual">
      <formula>"O K"</formula>
    </cfRule>
  </conditionalFormatting>
  <conditionalFormatting sqref="P40">
    <cfRule type="cellIs" dxfId="2097" priority="1641" stopIfTrue="1" operator="notEqual">
      <formula>0</formula>
    </cfRule>
  </conditionalFormatting>
  <conditionalFormatting sqref="S40">
    <cfRule type="cellIs" dxfId="2096" priority="1638" stopIfTrue="1" operator="lessThan">
      <formula>0</formula>
    </cfRule>
  </conditionalFormatting>
  <conditionalFormatting sqref="R40">
    <cfRule type="cellIs" dxfId="2095" priority="1640" stopIfTrue="1" operator="lessThan">
      <formula>0</formula>
    </cfRule>
  </conditionalFormatting>
  <conditionalFormatting sqref="R40">
    <cfRule type="cellIs" dxfId="2094" priority="1639" stopIfTrue="1" operator="notEqual">
      <formula>"O K"</formula>
    </cfRule>
  </conditionalFormatting>
  <conditionalFormatting sqref="S40">
    <cfRule type="cellIs" dxfId="2093" priority="1637" stopIfTrue="1" operator="notEqual">
      <formula>0</formula>
    </cfRule>
  </conditionalFormatting>
  <conditionalFormatting sqref="P52">
    <cfRule type="cellIs" dxfId="2092" priority="1634" stopIfTrue="1" operator="lessThan">
      <formula>0</formula>
    </cfRule>
  </conditionalFormatting>
  <conditionalFormatting sqref="O52">
    <cfRule type="cellIs" dxfId="2091" priority="1636" stopIfTrue="1" operator="lessThan">
      <formula>0</formula>
    </cfRule>
  </conditionalFormatting>
  <conditionalFormatting sqref="O52">
    <cfRule type="cellIs" dxfId="2090" priority="1635" stopIfTrue="1" operator="notEqual">
      <formula>0</formula>
    </cfRule>
  </conditionalFormatting>
  <conditionalFormatting sqref="P52">
    <cfRule type="cellIs" dxfId="2089" priority="1633" stopIfTrue="1" operator="notEqual">
      <formula>"O K"</formula>
    </cfRule>
  </conditionalFormatting>
  <conditionalFormatting sqref="S52">
    <cfRule type="cellIs" dxfId="2088" priority="1630" stopIfTrue="1" operator="lessThan">
      <formula>0</formula>
    </cfRule>
  </conditionalFormatting>
  <conditionalFormatting sqref="R52">
    <cfRule type="cellIs" dxfId="2087" priority="1632" stopIfTrue="1" operator="lessThan">
      <formula>0</formula>
    </cfRule>
  </conditionalFormatting>
  <conditionalFormatting sqref="R52">
    <cfRule type="cellIs" dxfId="2086" priority="1631" stopIfTrue="1" operator="notEqual">
      <formula>0</formula>
    </cfRule>
  </conditionalFormatting>
  <conditionalFormatting sqref="S52">
    <cfRule type="cellIs" dxfId="2085" priority="1629" stopIfTrue="1" operator="notEqual">
      <formula>"O K"</formula>
    </cfRule>
  </conditionalFormatting>
  <conditionalFormatting sqref="P50">
    <cfRule type="cellIs" dxfId="2084" priority="1628" stopIfTrue="1" operator="lessThan">
      <formula>0</formula>
    </cfRule>
  </conditionalFormatting>
  <conditionalFormatting sqref="P50">
    <cfRule type="cellIs" dxfId="2083" priority="1627" stopIfTrue="1" operator="notEqual">
      <formula>0</formula>
    </cfRule>
  </conditionalFormatting>
  <conditionalFormatting sqref="P51">
    <cfRule type="cellIs" dxfId="2082" priority="1626" stopIfTrue="1" operator="lessThan">
      <formula>0</formula>
    </cfRule>
  </conditionalFormatting>
  <conditionalFormatting sqref="P51">
    <cfRule type="cellIs" dxfId="2081" priority="1625" stopIfTrue="1" operator="notEqual">
      <formula>0</formula>
    </cfRule>
  </conditionalFormatting>
  <conditionalFormatting sqref="S50">
    <cfRule type="cellIs" dxfId="2080" priority="1624" stopIfTrue="1" operator="lessThan">
      <formula>0</formula>
    </cfRule>
  </conditionalFormatting>
  <conditionalFormatting sqref="S50">
    <cfRule type="cellIs" dxfId="2079" priority="1623" stopIfTrue="1" operator="notEqual">
      <formula>0</formula>
    </cfRule>
  </conditionalFormatting>
  <conditionalFormatting sqref="S51">
    <cfRule type="cellIs" dxfId="2078" priority="1622" stopIfTrue="1" operator="lessThan">
      <formula>0</formula>
    </cfRule>
  </conditionalFormatting>
  <conditionalFormatting sqref="S51">
    <cfRule type="cellIs" dxfId="2077" priority="1621" stopIfTrue="1" operator="notEqual">
      <formula>0</formula>
    </cfRule>
  </conditionalFormatting>
  <conditionalFormatting sqref="P64">
    <cfRule type="cellIs" dxfId="2076" priority="1618" stopIfTrue="1" operator="lessThan">
      <formula>0</formula>
    </cfRule>
  </conditionalFormatting>
  <conditionalFormatting sqref="O64">
    <cfRule type="cellIs" dxfId="2075" priority="1620" stopIfTrue="1" operator="lessThan">
      <formula>0</formula>
    </cfRule>
  </conditionalFormatting>
  <conditionalFormatting sqref="O64">
    <cfRule type="cellIs" dxfId="2074" priority="1619" stopIfTrue="1" operator="notEqual">
      <formula>"O K"</formula>
    </cfRule>
  </conditionalFormatting>
  <conditionalFormatting sqref="P64">
    <cfRule type="cellIs" dxfId="2073" priority="1617" stopIfTrue="1" operator="notEqual">
      <formula>0</formula>
    </cfRule>
  </conditionalFormatting>
  <conditionalFormatting sqref="S64">
    <cfRule type="cellIs" dxfId="2072" priority="1614" stopIfTrue="1" operator="lessThan">
      <formula>0</formula>
    </cfRule>
  </conditionalFormatting>
  <conditionalFormatting sqref="R64">
    <cfRule type="cellIs" dxfId="2071" priority="1616" stopIfTrue="1" operator="lessThan">
      <formula>0</formula>
    </cfRule>
  </conditionalFormatting>
  <conditionalFormatting sqref="R64">
    <cfRule type="cellIs" dxfId="2070" priority="1615" stopIfTrue="1" operator="notEqual">
      <formula>"O K"</formula>
    </cfRule>
  </conditionalFormatting>
  <conditionalFormatting sqref="S64">
    <cfRule type="cellIs" dxfId="2069" priority="1613" stopIfTrue="1" operator="notEqual">
      <formula>0</formula>
    </cfRule>
  </conditionalFormatting>
  <conditionalFormatting sqref="Q67">
    <cfRule type="cellIs" dxfId="2068" priority="1603" stopIfTrue="1" operator="lessThan">
      <formula>0</formula>
    </cfRule>
  </conditionalFormatting>
  <conditionalFormatting sqref="P67">
    <cfRule type="cellIs" dxfId="2067" priority="1600" stopIfTrue="1" operator="lessThan">
      <formula>0</formula>
    </cfRule>
  </conditionalFormatting>
  <conditionalFormatting sqref="O67">
    <cfRule type="cellIs" dxfId="2066" priority="1602" stopIfTrue="1" operator="lessThan">
      <formula>0</formula>
    </cfRule>
  </conditionalFormatting>
  <conditionalFormatting sqref="O67">
    <cfRule type="cellIs" dxfId="2065" priority="1601" stopIfTrue="1" operator="notEqual">
      <formula>"O K"</formula>
    </cfRule>
  </conditionalFormatting>
  <conditionalFormatting sqref="P67">
    <cfRule type="cellIs" dxfId="2064" priority="1599" stopIfTrue="1" operator="notEqual">
      <formula>0</formula>
    </cfRule>
  </conditionalFormatting>
  <conditionalFormatting sqref="S67">
    <cfRule type="cellIs" dxfId="2063" priority="1596" stopIfTrue="1" operator="lessThan">
      <formula>0</formula>
    </cfRule>
  </conditionalFormatting>
  <conditionalFormatting sqref="R67">
    <cfRule type="cellIs" dxfId="2062" priority="1598" stopIfTrue="1" operator="lessThan">
      <formula>0</formula>
    </cfRule>
  </conditionalFormatting>
  <conditionalFormatting sqref="R67">
    <cfRule type="cellIs" dxfId="2061" priority="1597" stopIfTrue="1" operator="notEqual">
      <formula>"O K"</formula>
    </cfRule>
  </conditionalFormatting>
  <conditionalFormatting sqref="S67">
    <cfRule type="cellIs" dxfId="2060" priority="1595" stopIfTrue="1" operator="notEqual">
      <formula>0</formula>
    </cfRule>
  </conditionalFormatting>
  <conditionalFormatting sqref="O125:P125 R150:S161 O150:P161 O123:O124 R123:R125 O171:P171 R171:S171 S148:S149 S126:S128">
    <cfRule type="cellIs" dxfId="2059" priority="1594" stopIfTrue="1" operator="lessThan">
      <formula>0</formula>
    </cfRule>
  </conditionalFormatting>
  <conditionalFormatting sqref="S146:S147">
    <cfRule type="cellIs" dxfId="2058" priority="1526" stopIfTrue="1" operator="lessThan">
      <formula>0</formula>
    </cfRule>
  </conditionalFormatting>
  <conditionalFormatting sqref="S147">
    <cfRule type="cellIs" dxfId="2057" priority="1523" stopIfTrue="1" operator="lessThan">
      <formula>0</formula>
    </cfRule>
  </conditionalFormatting>
  <conditionalFormatting sqref="O122:O123 R122:R123">
    <cfRule type="cellIs" dxfId="2056" priority="1531" stopIfTrue="1" operator="lessThan">
      <formula>0</formula>
    </cfRule>
  </conditionalFormatting>
  <conditionalFormatting sqref="S129:S130">
    <cfRule type="cellIs" dxfId="2055" priority="1527" stopIfTrue="1" operator="lessThan">
      <formula>0</formula>
    </cfRule>
  </conditionalFormatting>
  <conditionalFormatting sqref="R150:S150 O150:P150">
    <cfRule type="cellIs" dxfId="2054" priority="1521" stopIfTrue="1" operator="lessThan">
      <formula>0</formula>
    </cfRule>
  </conditionalFormatting>
  <conditionalFormatting sqref="O160:P160 R160:S160">
    <cfRule type="cellIs" dxfId="2053" priority="1520" stopIfTrue="1" operator="lessThan">
      <formula>0</formula>
    </cfRule>
  </conditionalFormatting>
  <conditionalFormatting sqref="O161:P161 R161:S161">
    <cfRule type="cellIs" dxfId="2052" priority="1460" stopIfTrue="1" operator="lessThan">
      <formula>0</formula>
    </cfRule>
  </conditionalFormatting>
  <conditionalFormatting sqref="S146">
    <cfRule type="cellIs" dxfId="2051" priority="1464" stopIfTrue="1" operator="lessThan">
      <formula>0</formula>
    </cfRule>
  </conditionalFormatting>
  <conditionalFormatting sqref="S129">
    <cfRule type="cellIs" dxfId="2050" priority="1466" stopIfTrue="1" operator="lessThan">
      <formula>0</formula>
    </cfRule>
  </conditionalFormatting>
  <conditionalFormatting sqref="R151:S151 O151:P151">
    <cfRule type="cellIs" dxfId="2049" priority="1461" stopIfTrue="1" operator="lessThan">
      <formula>0</formula>
    </cfRule>
  </conditionalFormatting>
  <conditionalFormatting sqref="S148">
    <cfRule type="cellIs" dxfId="2048" priority="1463" stopIfTrue="1" operator="lessThan">
      <formula>0</formula>
    </cfRule>
  </conditionalFormatting>
  <conditionalFormatting sqref="D4">
    <cfRule type="cellIs" dxfId="2047" priority="1411" stopIfTrue="1" operator="between">
      <formula>1000000000000</formula>
      <formula>9999999999999990</formula>
    </cfRule>
    <cfRule type="cellIs" dxfId="2046" priority="1412" stopIfTrue="1" operator="between">
      <formula>1000000000</formula>
      <formula>999999999999</formula>
    </cfRule>
    <cfRule type="cellIs" dxfId="2045" priority="1413" stopIfTrue="1" operator="between">
      <formula>10000</formula>
      <formula>99999999</formula>
    </cfRule>
    <cfRule type="cellIs" dxfId="2044" priority="1414" stopIfTrue="1" operator="between">
      <formula>10</formula>
      <formula>9999</formula>
    </cfRule>
  </conditionalFormatting>
  <conditionalFormatting sqref="D4">
    <cfRule type="cellIs" dxfId="2043" priority="1410" operator="equal">
      <formula>0</formula>
    </cfRule>
  </conditionalFormatting>
  <conditionalFormatting sqref="A3:C5">
    <cfRule type="cellIs" dxfId="2042" priority="1409" operator="equal">
      <formula>"Код на общински разпоредител с бюджет"</formula>
    </cfRule>
  </conditionalFormatting>
  <conditionalFormatting sqref="O73:P73">
    <cfRule type="cellIs" dxfId="2041" priority="1408" stopIfTrue="1" operator="lessThan">
      <formula>0</formula>
    </cfRule>
  </conditionalFormatting>
  <conditionalFormatting sqref="R74">
    <cfRule type="cellIs" dxfId="2040" priority="1404" stopIfTrue="1" operator="equal">
      <formula>"2002 г. крайно ДТ с-до"</formula>
    </cfRule>
  </conditionalFormatting>
  <conditionalFormatting sqref="R73:S73">
    <cfRule type="cellIs" dxfId="2039" priority="1405" stopIfTrue="1" operator="lessThan">
      <formula>0</formula>
    </cfRule>
  </conditionalFormatting>
  <conditionalFormatting sqref="O74">
    <cfRule type="cellIs" dxfId="2038" priority="1407" stopIfTrue="1" operator="equal">
      <formula>"2002 г. крайно ДТ с-до"</formula>
    </cfRule>
  </conditionalFormatting>
  <conditionalFormatting sqref="N74">
    <cfRule type="cellIs" dxfId="2037" priority="1406" stopIfTrue="1" operator="lessThan">
      <formula>0</formula>
    </cfRule>
  </conditionalFormatting>
  <conditionalFormatting sqref="V100">
    <cfRule type="cellIs" dxfId="2036" priority="1307" stopIfTrue="1" operator="equal">
      <formula>"2002 г. крайно ДТ с-до"</formula>
    </cfRule>
  </conditionalFormatting>
  <conditionalFormatting sqref="N75">
    <cfRule type="cellIs" dxfId="2035" priority="1402" stopIfTrue="1" operator="lessThan">
      <formula>0</formula>
    </cfRule>
  </conditionalFormatting>
  <conditionalFormatting sqref="U107">
    <cfRule type="cellIs" dxfId="2034" priority="1302" stopIfTrue="1" operator="equal">
      <formula>"2002 г. крайно ДТ с-до"</formula>
    </cfRule>
  </conditionalFormatting>
  <conditionalFormatting sqref="P75">
    <cfRule type="cellIs" dxfId="2033" priority="1400" stopIfTrue="1" operator="equal">
      <formula>"2002 г. крайно ДТ с-до"</formula>
    </cfRule>
  </conditionalFormatting>
  <conditionalFormatting sqref="G4:L4">
    <cfRule type="cellIs" dxfId="2032" priority="1399" operator="equal">
      <formula>0</formula>
    </cfRule>
  </conditionalFormatting>
  <conditionalFormatting sqref="U76:V76">
    <cfRule type="cellIs" dxfId="2031" priority="1397" stopIfTrue="1" operator="lessThan">
      <formula>0</formula>
    </cfRule>
  </conditionalFormatting>
  <conditionalFormatting sqref="U68">
    <cfRule type="cellIs" dxfId="2030" priority="1398" stopIfTrue="1" operator="equal">
      <formula>"2002 г. крайно ДТ с-до"</formula>
    </cfRule>
  </conditionalFormatting>
  <conditionalFormatting sqref="U69">
    <cfRule type="cellIs" dxfId="2029" priority="1396" stopIfTrue="1" operator="equal">
      <formula>"2002 г. крайно ДТ с-до"</formula>
    </cfRule>
  </conditionalFormatting>
  <conditionalFormatting sqref="U79:V79">
    <cfRule type="cellIs" dxfId="2028" priority="1395" stopIfTrue="1" operator="lessThan">
      <formula>0</formula>
    </cfRule>
  </conditionalFormatting>
  <conditionalFormatting sqref="V80">
    <cfRule type="cellIs" dxfId="2027" priority="1394" stopIfTrue="1" operator="equal">
      <formula>"2002 г. крайно ДТ с-до"</formula>
    </cfRule>
  </conditionalFormatting>
  <conditionalFormatting sqref="U80">
    <cfRule type="cellIs" dxfId="2026" priority="1393" stopIfTrue="1" operator="lessThan">
      <formula>0</formula>
    </cfRule>
  </conditionalFormatting>
  <conditionalFormatting sqref="U73:V73">
    <cfRule type="cellIs" dxfId="2025" priority="1392" stopIfTrue="1" operator="lessThan">
      <formula>0</formula>
    </cfRule>
  </conditionalFormatting>
  <conditionalFormatting sqref="U71">
    <cfRule type="cellIs" dxfId="2024" priority="1391" stopIfTrue="1" operator="equal">
      <formula>"2002 г. крайно ДТ с-до"</formula>
    </cfRule>
  </conditionalFormatting>
  <conditionalFormatting sqref="U72">
    <cfRule type="cellIs" dxfId="2023" priority="1390" stopIfTrue="1" operator="equal">
      <formula>"2002 г. крайно ДТ с-до"</formula>
    </cfRule>
  </conditionalFormatting>
  <conditionalFormatting sqref="U74">
    <cfRule type="cellIs" dxfId="2022" priority="1389" stopIfTrue="1" operator="equal">
      <formula>"2002 г. крайно ДТ с-до"</formula>
    </cfRule>
  </conditionalFormatting>
  <conditionalFormatting sqref="U75">
    <cfRule type="cellIs" dxfId="2021" priority="1388" stopIfTrue="1" operator="equal">
      <formula>"2002 г. крайно ДТ с-до"</formula>
    </cfRule>
  </conditionalFormatting>
  <conditionalFormatting sqref="U77">
    <cfRule type="cellIs" dxfId="2020" priority="1387" stopIfTrue="1" operator="equal">
      <formula>"2002 г. крайно ДТ с-до"</formula>
    </cfRule>
  </conditionalFormatting>
  <conditionalFormatting sqref="U78">
    <cfRule type="cellIs" dxfId="2019" priority="1386" stopIfTrue="1" operator="equal">
      <formula>"2002 г. крайно ДТ с-до"</formula>
    </cfRule>
  </conditionalFormatting>
  <conditionalFormatting sqref="U82">
    <cfRule type="cellIs" dxfId="2018" priority="1385" stopIfTrue="1" operator="equal">
      <formula>"2002 г. крайно ДТ с-до"</formula>
    </cfRule>
  </conditionalFormatting>
  <conditionalFormatting sqref="U83">
    <cfRule type="cellIs" dxfId="2017" priority="1384" stopIfTrue="1" operator="equal">
      <formula>"2002 г. крайно ДТ с-до"</formula>
    </cfRule>
  </conditionalFormatting>
  <conditionalFormatting sqref="U85">
    <cfRule type="cellIs" dxfId="2016" priority="1383" stopIfTrue="1" operator="equal">
      <formula>"2002 г. крайно ДТ с-до"</formula>
    </cfRule>
  </conditionalFormatting>
  <conditionalFormatting sqref="U86">
    <cfRule type="cellIs" dxfId="2015" priority="1382" stopIfTrue="1" operator="equal">
      <formula>"2002 г. крайно ДТ с-до"</formula>
    </cfRule>
  </conditionalFormatting>
  <conditionalFormatting sqref="U88">
    <cfRule type="cellIs" dxfId="2014" priority="1381" stopIfTrue="1" operator="equal">
      <formula>"2002 г. крайно ДТ с-до"</formula>
    </cfRule>
  </conditionalFormatting>
  <conditionalFormatting sqref="U89">
    <cfRule type="cellIs" dxfId="2013" priority="1380" stopIfTrue="1" operator="equal">
      <formula>"2002 г. крайно ДТ с-до"</formula>
    </cfRule>
  </conditionalFormatting>
  <conditionalFormatting sqref="V91">
    <cfRule type="cellIs" dxfId="2012" priority="1379" stopIfTrue="1" operator="equal">
      <formula>"2002 г. крайно ДТ с-до"</formula>
    </cfRule>
  </conditionalFormatting>
  <conditionalFormatting sqref="U91">
    <cfRule type="cellIs" dxfId="2011" priority="1378" stopIfTrue="1" operator="lessThan">
      <formula>0</formula>
    </cfRule>
  </conditionalFormatting>
  <conditionalFormatting sqref="V103">
    <cfRule type="cellIs" dxfId="2010" priority="1376" stopIfTrue="1" operator="lessThan">
      <formula>0</formula>
    </cfRule>
  </conditionalFormatting>
  <conditionalFormatting sqref="V106">
    <cfRule type="cellIs" dxfId="2009" priority="1374" stopIfTrue="1" operator="lessThan">
      <formula>0</formula>
    </cfRule>
  </conditionalFormatting>
  <conditionalFormatting sqref="U107">
    <cfRule type="cellIs" dxfId="2008" priority="1372" stopIfTrue="1" operator="lessThan">
      <formula>0</formula>
    </cfRule>
  </conditionalFormatting>
  <conditionalFormatting sqref="V100">
    <cfRule type="cellIs" dxfId="2007" priority="1371" stopIfTrue="1" operator="lessThan">
      <formula>0</formula>
    </cfRule>
  </conditionalFormatting>
  <conditionalFormatting sqref="U98">
    <cfRule type="cellIs" dxfId="2006" priority="1370" stopIfTrue="1" operator="equal">
      <formula>"2002 г. крайно ДТ с-до"</formula>
    </cfRule>
  </conditionalFormatting>
  <conditionalFormatting sqref="U99">
    <cfRule type="cellIs" dxfId="2005" priority="1369" stopIfTrue="1" operator="equal">
      <formula>"2002 г. крайно ДТ с-до"</formula>
    </cfRule>
  </conditionalFormatting>
  <conditionalFormatting sqref="U101">
    <cfRule type="cellIs" dxfId="2004" priority="1368" stopIfTrue="1" operator="equal">
      <formula>"2002 г. крайно ДТ с-до"</formula>
    </cfRule>
  </conditionalFormatting>
  <conditionalFormatting sqref="U102">
    <cfRule type="cellIs" dxfId="2003" priority="1367" stopIfTrue="1" operator="equal">
      <formula>"2002 г. крайно ДТ с-до"</formula>
    </cfRule>
  </conditionalFormatting>
  <conditionalFormatting sqref="U104">
    <cfRule type="cellIs" dxfId="2002" priority="1366" stopIfTrue="1" operator="equal">
      <formula>"2002 г. крайно ДТ с-до"</formula>
    </cfRule>
  </conditionalFormatting>
  <conditionalFormatting sqref="U105">
    <cfRule type="cellIs" dxfId="2001" priority="1365" stopIfTrue="1" operator="equal">
      <formula>"2002 г. крайно ДТ с-до"</formula>
    </cfRule>
  </conditionalFormatting>
  <conditionalFormatting sqref="U104">
    <cfRule type="cellIs" dxfId="2000" priority="1355" stopIfTrue="1" operator="lessThan">
      <formula>0</formula>
    </cfRule>
  </conditionalFormatting>
  <conditionalFormatting sqref="U107">
    <cfRule type="cellIs" dxfId="1999" priority="1353" stopIfTrue="1" operator="lessThan">
      <formula>0</formula>
    </cfRule>
  </conditionalFormatting>
  <conditionalFormatting sqref="U108">
    <cfRule type="cellIs" dxfId="1998" priority="1351" stopIfTrue="1" operator="lessThan">
      <formula>0</formula>
    </cfRule>
  </conditionalFormatting>
  <conditionalFormatting sqref="U101">
    <cfRule type="cellIs" dxfId="1997" priority="1350" stopIfTrue="1" operator="lessThan">
      <formula>0</formula>
    </cfRule>
  </conditionalFormatting>
  <conditionalFormatting sqref="U99">
    <cfRule type="cellIs" dxfId="1996" priority="1349" stopIfTrue="1" operator="equal">
      <formula>"2002 г. крайно ДТ с-до"</formula>
    </cfRule>
  </conditionalFormatting>
  <conditionalFormatting sqref="V100">
    <cfRule type="cellIs" dxfId="1995" priority="1348" stopIfTrue="1" operator="equal">
      <formula>"2002 г. крайно ДТ с-до"</formula>
    </cfRule>
  </conditionalFormatting>
  <conditionalFormatting sqref="U102">
    <cfRule type="cellIs" dxfId="1994" priority="1347" stopIfTrue="1" operator="equal">
      <formula>"2002 г. крайно ДТ с-до"</formula>
    </cfRule>
  </conditionalFormatting>
  <conditionalFormatting sqref="V103">
    <cfRule type="cellIs" dxfId="1993" priority="1346" stopIfTrue="1" operator="equal">
      <formula>"2002 г. крайно ДТ с-до"</formula>
    </cfRule>
  </conditionalFormatting>
  <conditionalFormatting sqref="U105">
    <cfRule type="cellIs" dxfId="1992" priority="1345" stopIfTrue="1" operator="equal">
      <formula>"2002 г. крайно ДТ с-до"</formula>
    </cfRule>
  </conditionalFormatting>
  <conditionalFormatting sqref="V106">
    <cfRule type="cellIs" dxfId="1991" priority="1344" stopIfTrue="1" operator="equal">
      <formula>"2002 г. крайно ДТ с-до"</formula>
    </cfRule>
  </conditionalFormatting>
  <conditionalFormatting sqref="U104">
    <cfRule type="cellIs" dxfId="1990" priority="1334" stopIfTrue="1" operator="lessThan">
      <formula>0</formula>
    </cfRule>
  </conditionalFormatting>
  <conditionalFormatting sqref="U107">
    <cfRule type="cellIs" dxfId="1989" priority="1332" stopIfTrue="1" operator="lessThan">
      <formula>0</formula>
    </cfRule>
  </conditionalFormatting>
  <conditionalFormatting sqref="U108">
    <cfRule type="cellIs" dxfId="1988" priority="1330" stopIfTrue="1" operator="lessThan">
      <formula>0</formula>
    </cfRule>
  </conditionalFormatting>
  <conditionalFormatting sqref="U101">
    <cfRule type="cellIs" dxfId="1987" priority="1329" stopIfTrue="1" operator="lessThan">
      <formula>0</formula>
    </cfRule>
  </conditionalFormatting>
  <conditionalFormatting sqref="U99">
    <cfRule type="cellIs" dxfId="1986" priority="1328" stopIfTrue="1" operator="equal">
      <formula>"2002 г. крайно ДТ с-до"</formula>
    </cfRule>
  </conditionalFormatting>
  <conditionalFormatting sqref="V100">
    <cfRule type="cellIs" dxfId="1985" priority="1327" stopIfTrue="1" operator="equal">
      <formula>"2002 г. крайно ДТ с-до"</formula>
    </cfRule>
  </conditionalFormatting>
  <conditionalFormatting sqref="U102">
    <cfRule type="cellIs" dxfId="1984" priority="1326" stopIfTrue="1" operator="equal">
      <formula>"2002 г. крайно ДТ с-до"</formula>
    </cfRule>
  </conditionalFormatting>
  <conditionalFormatting sqref="V103">
    <cfRule type="cellIs" dxfId="1983" priority="1325" stopIfTrue="1" operator="equal">
      <formula>"2002 г. крайно ДТ с-до"</formula>
    </cfRule>
  </conditionalFormatting>
  <conditionalFormatting sqref="U105">
    <cfRule type="cellIs" dxfId="1982" priority="1324" stopIfTrue="1" operator="equal">
      <formula>"2002 г. крайно ДТ с-до"</formula>
    </cfRule>
  </conditionalFormatting>
  <conditionalFormatting sqref="V106">
    <cfRule type="cellIs" dxfId="1981" priority="1323" stopIfTrue="1" operator="equal">
      <formula>"2002 г. крайно ДТ с-до"</formula>
    </cfRule>
  </conditionalFormatting>
  <conditionalFormatting sqref="U98">
    <cfRule type="cellIs" dxfId="1980" priority="1312" stopIfTrue="1" operator="equal">
      <formula>"2002 г. крайно ДТ с-до"</formula>
    </cfRule>
  </conditionalFormatting>
  <conditionalFormatting sqref="U105">
    <cfRule type="cellIs" dxfId="1979" priority="1313" stopIfTrue="1" operator="lessThan">
      <formula>0</formula>
    </cfRule>
  </conditionalFormatting>
  <conditionalFormatting sqref="U108">
    <cfRule type="cellIs" dxfId="1978" priority="1311" stopIfTrue="1" operator="lessThan">
      <formula>0</formula>
    </cfRule>
  </conditionalFormatting>
  <conditionalFormatting sqref="V109">
    <cfRule type="cellIs" dxfId="1977" priority="1310" stopIfTrue="1" operator="equal">
      <formula>"2002 г. крайно ДТ с-до"</formula>
    </cfRule>
  </conditionalFormatting>
  <conditionalFormatting sqref="R188">
    <cfRule type="cellIs" dxfId="1976" priority="1092" stopIfTrue="1" operator="lessThan">
      <formula>0</formula>
    </cfRule>
  </conditionalFormatting>
  <conditionalFormatting sqref="U102">
    <cfRule type="cellIs" dxfId="1975" priority="1308" stopIfTrue="1" operator="lessThan">
      <formula>0</formula>
    </cfRule>
  </conditionalFormatting>
  <conditionalFormatting sqref="U101">
    <cfRule type="cellIs" dxfId="1974" priority="1306" stopIfTrue="1" operator="equal">
      <formula>"2002 г. крайно ДТ с-до"</formula>
    </cfRule>
  </conditionalFormatting>
  <conditionalFormatting sqref="V103">
    <cfRule type="cellIs" dxfId="1973" priority="1305" stopIfTrue="1" operator="equal">
      <formula>"2002 г. крайно ДТ с-до"</formula>
    </cfRule>
  </conditionalFormatting>
  <conditionalFormatting sqref="U104">
    <cfRule type="cellIs" dxfId="1972" priority="1304" stopIfTrue="1" operator="equal">
      <formula>"2002 г. крайно ДТ с-до"</formula>
    </cfRule>
  </conditionalFormatting>
  <conditionalFormatting sqref="V106">
    <cfRule type="cellIs" dxfId="1971" priority="1303" stopIfTrue="1" operator="equal">
      <formula>"2002 г. крайно ДТ с-до"</formula>
    </cfRule>
  </conditionalFormatting>
  <conditionalFormatting sqref="V120">
    <cfRule type="cellIs" dxfId="1970" priority="1295" stopIfTrue="1" operator="equal">
      <formula>"2002 г. крайно ДТ с-до"</formula>
    </cfRule>
  </conditionalFormatting>
  <conditionalFormatting sqref="R185">
    <cfRule type="cellIs" dxfId="1969" priority="1077" stopIfTrue="1" operator="lessThan">
      <formula>0</formula>
    </cfRule>
  </conditionalFormatting>
  <conditionalFormatting sqref="U104">
    <cfRule type="cellIs" dxfId="1968" priority="1292" stopIfTrue="1" operator="lessThan">
      <formula>0</formula>
    </cfRule>
  </conditionalFormatting>
  <conditionalFormatting sqref="U107">
    <cfRule type="cellIs" dxfId="1967" priority="1290" stopIfTrue="1" operator="lessThan">
      <formula>0</formula>
    </cfRule>
  </conditionalFormatting>
  <conditionalFormatting sqref="U108">
    <cfRule type="cellIs" dxfId="1966" priority="1288" stopIfTrue="1" operator="lessThan">
      <formula>0</formula>
    </cfRule>
  </conditionalFormatting>
  <conditionalFormatting sqref="U101">
    <cfRule type="cellIs" dxfId="1965" priority="1287" stopIfTrue="1" operator="lessThan">
      <formula>0</formula>
    </cfRule>
  </conditionalFormatting>
  <conditionalFormatting sqref="U99">
    <cfRule type="cellIs" dxfId="1964" priority="1286" stopIfTrue="1" operator="equal">
      <formula>"2002 г. крайно ДТ с-до"</formula>
    </cfRule>
  </conditionalFormatting>
  <conditionalFormatting sqref="V100">
    <cfRule type="cellIs" dxfId="1963" priority="1285" stopIfTrue="1" operator="equal">
      <formula>"2002 г. крайно ДТ с-до"</formula>
    </cfRule>
  </conditionalFormatting>
  <conditionalFormatting sqref="U102">
    <cfRule type="cellIs" dxfId="1962" priority="1284" stopIfTrue="1" operator="equal">
      <formula>"2002 г. крайно ДТ с-до"</formula>
    </cfRule>
  </conditionalFormatting>
  <conditionalFormatting sqref="V103">
    <cfRule type="cellIs" dxfId="1961" priority="1283" stopIfTrue="1" operator="equal">
      <formula>"2002 г. крайно ДТ с-до"</formula>
    </cfRule>
  </conditionalFormatting>
  <conditionalFormatting sqref="U105">
    <cfRule type="cellIs" dxfId="1960" priority="1282" stopIfTrue="1" operator="equal">
      <formula>"2002 г. крайно ДТ с-до"</formula>
    </cfRule>
  </conditionalFormatting>
  <conditionalFormatting sqref="V106">
    <cfRule type="cellIs" dxfId="1959" priority="1281" stopIfTrue="1" operator="equal">
      <formula>"2002 г. крайно ДТ с-до"</formula>
    </cfRule>
  </conditionalFormatting>
  <conditionalFormatting sqref="U98">
    <cfRule type="cellIs" dxfId="1958" priority="1270" stopIfTrue="1" operator="equal">
      <formula>"2002 г. крайно ДТ с-до"</formula>
    </cfRule>
  </conditionalFormatting>
  <conditionalFormatting sqref="U105">
    <cfRule type="cellIs" dxfId="1957" priority="1271" stopIfTrue="1" operator="lessThan">
      <formula>0</formula>
    </cfRule>
  </conditionalFormatting>
  <conditionalFormatting sqref="U108">
    <cfRule type="cellIs" dxfId="1956" priority="1269" stopIfTrue="1" operator="lessThan">
      <formula>0</formula>
    </cfRule>
  </conditionalFormatting>
  <conditionalFormatting sqref="V109">
    <cfRule type="cellIs" dxfId="1955" priority="1268" stopIfTrue="1" operator="equal">
      <formula>"2002 г. крайно ДТ с-до"</formula>
    </cfRule>
  </conditionalFormatting>
  <conditionalFormatting sqref="R182">
    <cfRule type="cellIs" dxfId="1954" priority="1051" stopIfTrue="1" operator="lessThan">
      <formula>0</formula>
    </cfRule>
  </conditionalFormatting>
  <conditionalFormatting sqref="U102">
    <cfRule type="cellIs" dxfId="1953" priority="1266" stopIfTrue="1" operator="lessThan">
      <formula>0</formula>
    </cfRule>
  </conditionalFormatting>
  <conditionalFormatting sqref="V100">
    <cfRule type="cellIs" dxfId="1952" priority="1265" stopIfTrue="1" operator="equal">
      <formula>"2002 г. крайно ДТ с-до"</formula>
    </cfRule>
  </conditionalFormatting>
  <conditionalFormatting sqref="U101">
    <cfRule type="cellIs" dxfId="1951" priority="1264" stopIfTrue="1" operator="equal">
      <formula>"2002 г. крайно ДТ с-до"</formula>
    </cfRule>
  </conditionalFormatting>
  <conditionalFormatting sqref="V103">
    <cfRule type="cellIs" dxfId="1950" priority="1263" stopIfTrue="1" operator="equal">
      <formula>"2002 г. крайно ДТ с-до"</formula>
    </cfRule>
  </conditionalFormatting>
  <conditionalFormatting sqref="U104">
    <cfRule type="cellIs" dxfId="1949" priority="1262" stopIfTrue="1" operator="equal">
      <formula>"2002 г. крайно ДТ с-до"</formula>
    </cfRule>
  </conditionalFormatting>
  <conditionalFormatting sqref="V106">
    <cfRule type="cellIs" dxfId="1948" priority="1261" stopIfTrue="1" operator="equal">
      <formula>"2002 г. крайно ДТ с-до"</formula>
    </cfRule>
  </conditionalFormatting>
  <conditionalFormatting sqref="U107">
    <cfRule type="cellIs" dxfId="1947" priority="1260" stopIfTrue="1" operator="equal">
      <formula>"2002 г. крайно ДТ с-до"</formula>
    </cfRule>
  </conditionalFormatting>
  <conditionalFormatting sqref="V120">
    <cfRule type="cellIs" dxfId="1946" priority="1253" stopIfTrue="1" operator="equal">
      <formula>"2002 г. крайно ДТ с-до"</formula>
    </cfRule>
  </conditionalFormatting>
  <conditionalFormatting sqref="S183">
    <cfRule type="cellIs" dxfId="1945" priority="1035" stopIfTrue="1" operator="lessThan">
      <formula>0</formula>
    </cfRule>
  </conditionalFormatting>
  <conditionalFormatting sqref="U105">
    <cfRule type="cellIs" dxfId="1944" priority="1250" stopIfTrue="1" operator="lessThan">
      <formula>0</formula>
    </cfRule>
  </conditionalFormatting>
  <conditionalFormatting sqref="U98">
    <cfRule type="cellIs" dxfId="1943" priority="1249" stopIfTrue="1" operator="equal">
      <formula>"2002 г. крайно ДТ с-до"</formula>
    </cfRule>
  </conditionalFormatting>
  <conditionalFormatting sqref="U108">
    <cfRule type="cellIs" dxfId="1942" priority="1248" stopIfTrue="1" operator="lessThan">
      <formula>0</formula>
    </cfRule>
  </conditionalFormatting>
  <conditionalFormatting sqref="V109">
    <cfRule type="cellIs" dxfId="1941" priority="1247" stopIfTrue="1" operator="equal">
      <formula>"2002 г. крайно ДТ с-до"</formula>
    </cfRule>
  </conditionalFormatting>
  <conditionalFormatting sqref="P184">
    <cfRule type="cellIs" dxfId="1940" priority="1030" stopIfTrue="1" operator="lessThan">
      <formula>0</formula>
    </cfRule>
  </conditionalFormatting>
  <conditionalFormatting sqref="U102">
    <cfRule type="cellIs" dxfId="1939" priority="1245" stopIfTrue="1" operator="lessThan">
      <formula>0</formula>
    </cfRule>
  </conditionalFormatting>
  <conditionalFormatting sqref="V100">
    <cfRule type="cellIs" dxfId="1938" priority="1244" stopIfTrue="1" operator="equal">
      <formula>"2002 г. крайно ДТ с-до"</formula>
    </cfRule>
  </conditionalFormatting>
  <conditionalFormatting sqref="U101">
    <cfRule type="cellIs" dxfId="1937" priority="1243" stopIfTrue="1" operator="equal">
      <formula>"2002 г. крайно ДТ с-до"</formula>
    </cfRule>
  </conditionalFormatting>
  <conditionalFormatting sqref="V103">
    <cfRule type="cellIs" dxfId="1936" priority="1242" stopIfTrue="1" operator="equal">
      <formula>"2002 г. крайно ДТ с-до"</formula>
    </cfRule>
  </conditionalFormatting>
  <conditionalFormatting sqref="U104">
    <cfRule type="cellIs" dxfId="1935" priority="1241" stopIfTrue="1" operator="equal">
      <formula>"2002 г. крайно ДТ с-до"</formula>
    </cfRule>
  </conditionalFormatting>
  <conditionalFormatting sqref="V106">
    <cfRule type="cellIs" dxfId="1934" priority="1240" stopIfTrue="1" operator="equal">
      <formula>"2002 г. крайно ДТ с-до"</formula>
    </cfRule>
  </conditionalFormatting>
  <conditionalFormatting sqref="U107">
    <cfRule type="cellIs" dxfId="1933" priority="1239" stopIfTrue="1" operator="equal">
      <formula>"2002 г. крайно ДТ с-до"</formula>
    </cfRule>
  </conditionalFormatting>
  <conditionalFormatting sqref="V120">
    <cfRule type="cellIs" dxfId="1932" priority="1232" stopIfTrue="1" operator="equal">
      <formula>"2002 г. крайно ДТ с-до"</formula>
    </cfRule>
  </conditionalFormatting>
  <conditionalFormatting sqref="V106">
    <cfRule type="cellIs" dxfId="1931" priority="1229" stopIfTrue="1" operator="lessThan">
      <formula>0</formula>
    </cfRule>
  </conditionalFormatting>
  <conditionalFormatting sqref="U98">
    <cfRule type="cellIs" dxfId="1930" priority="1230" stopIfTrue="1" operator="equal">
      <formula>"2002 г. крайно ДТ с-до"</formula>
    </cfRule>
  </conditionalFormatting>
  <conditionalFormatting sqref="U99">
    <cfRule type="cellIs" dxfId="1929" priority="1228" stopIfTrue="1" operator="equal">
      <formula>"2002 г. крайно ДТ с-до"</formula>
    </cfRule>
  </conditionalFormatting>
  <conditionalFormatting sqref="V109">
    <cfRule type="cellIs" dxfId="1928" priority="1227" stopIfTrue="1" operator="lessThan">
      <formula>0</formula>
    </cfRule>
  </conditionalFormatting>
  <conditionalFormatting sqref="V103">
    <cfRule type="cellIs" dxfId="1927" priority="1224" stopIfTrue="1" operator="lessThan">
      <formula>0</formula>
    </cfRule>
  </conditionalFormatting>
  <conditionalFormatting sqref="U101">
    <cfRule type="cellIs" dxfId="1926" priority="1223" stopIfTrue="1" operator="equal">
      <formula>"2002 г. крайно ДТ с-до"</formula>
    </cfRule>
  </conditionalFormatting>
  <conditionalFormatting sqref="U102">
    <cfRule type="cellIs" dxfId="1925" priority="1222" stopIfTrue="1" operator="equal">
      <formula>"2002 г. крайно ДТ с-до"</formula>
    </cfRule>
  </conditionalFormatting>
  <conditionalFormatting sqref="U104">
    <cfRule type="cellIs" dxfId="1924" priority="1221" stopIfTrue="1" operator="equal">
      <formula>"2002 г. крайно ДТ с-до"</formula>
    </cfRule>
  </conditionalFormatting>
  <conditionalFormatting sqref="U105">
    <cfRule type="cellIs" dxfId="1923" priority="1220" stopIfTrue="1" operator="equal">
      <formula>"2002 г. крайно ДТ с-до"</formula>
    </cfRule>
  </conditionalFormatting>
  <conditionalFormatting sqref="U107">
    <cfRule type="cellIs" dxfId="1922" priority="1219" stopIfTrue="1" operator="equal">
      <formula>"2002 г. крайно ДТ с-до"</formula>
    </cfRule>
  </conditionalFormatting>
  <conditionalFormatting sqref="U108">
    <cfRule type="cellIs" dxfId="1921" priority="1218" stopIfTrue="1" operator="equal">
      <formula>"2002 г. крайно ДТ с-до"</formula>
    </cfRule>
  </conditionalFormatting>
  <conditionalFormatting sqref="V92">
    <cfRule type="cellIs" dxfId="1920" priority="1209" stopIfTrue="1" operator="lessThan">
      <formula>0</formula>
    </cfRule>
  </conditionalFormatting>
  <conditionalFormatting sqref="V92">
    <cfRule type="cellIs" dxfId="1919" priority="1208" stopIfTrue="1" operator="lessThan">
      <formula>0</formula>
    </cfRule>
  </conditionalFormatting>
  <conditionalFormatting sqref="V92">
    <cfRule type="cellIs" dxfId="1918" priority="1207" stopIfTrue="1" operator="notEqual">
      <formula>0</formula>
    </cfRule>
  </conditionalFormatting>
  <conditionalFormatting sqref="O175:P177 R175:S177 R185:S198 O185:P198 O201:P201 R201:S201">
    <cfRule type="cellIs" dxfId="1917" priority="1202" stopIfTrue="1" operator="lessThan">
      <formula>0</formula>
    </cfRule>
  </conditionalFormatting>
  <conditionalFormatting sqref="P176:P177 P185">
    <cfRule type="cellIs" dxfId="1916" priority="1201" stopIfTrue="1" operator="lessThan">
      <formula>0</formula>
    </cfRule>
  </conditionalFormatting>
  <conditionalFormatting sqref="P176:P177 O190:O192 R190:S192 P185:P198">
    <cfRule type="cellIs" dxfId="1915" priority="1200" stopIfTrue="1" operator="equal">
      <formula>"O K"</formula>
    </cfRule>
  </conditionalFormatting>
  <conditionalFormatting sqref="P186">
    <cfRule type="cellIs" dxfId="1914" priority="1196" stopIfTrue="1" operator="equal">
      <formula>"O K"</formula>
    </cfRule>
    <cfRule type="cellIs" dxfId="1913" priority="1199" stopIfTrue="1" operator="lessThan">
      <formula>0</formula>
    </cfRule>
  </conditionalFormatting>
  <conditionalFormatting sqref="P188">
    <cfRule type="cellIs" dxfId="1912" priority="1198" stopIfTrue="1" operator="lessThan">
      <formula>0</formula>
    </cfRule>
  </conditionalFormatting>
  <conditionalFormatting sqref="P189">
    <cfRule type="cellIs" dxfId="1911" priority="1197" stopIfTrue="1" operator="lessThan">
      <formula>0</formula>
    </cfRule>
  </conditionalFormatting>
  <conditionalFormatting sqref="O194:O198 O186:O190">
    <cfRule type="cellIs" dxfId="1910" priority="1195" stopIfTrue="1" operator="lessThan">
      <formula>0</formula>
    </cfRule>
  </conditionalFormatting>
  <conditionalFormatting sqref="O176:O177 O185">
    <cfRule type="cellIs" dxfId="1909" priority="1194" stopIfTrue="1" operator="lessThan">
      <formula>0</formula>
    </cfRule>
  </conditionalFormatting>
  <conditionalFormatting sqref="O176:O177 O194:O198 O185:O190">
    <cfRule type="cellIs" dxfId="1908" priority="1193" stopIfTrue="1" operator="equal">
      <formula>"O K"</formula>
    </cfRule>
  </conditionalFormatting>
  <conditionalFormatting sqref="O186">
    <cfRule type="cellIs" dxfId="1907" priority="1189" stopIfTrue="1" operator="equal">
      <formula>"O K"</formula>
    </cfRule>
    <cfRule type="cellIs" dxfId="1906" priority="1192" stopIfTrue="1" operator="lessThan">
      <formula>0</formula>
    </cfRule>
  </conditionalFormatting>
  <conditionalFormatting sqref="O188">
    <cfRule type="cellIs" dxfId="1905" priority="1191" stopIfTrue="1" operator="lessThan">
      <formula>0</formula>
    </cfRule>
  </conditionalFormatting>
  <conditionalFormatting sqref="O189:O190 O194:O198">
    <cfRule type="cellIs" dxfId="1904" priority="1190" stopIfTrue="1" operator="lessThan">
      <formula>0</formula>
    </cfRule>
  </conditionalFormatting>
  <conditionalFormatting sqref="S188:S190 S193:S196">
    <cfRule type="cellIs" dxfId="1903" priority="1188" stopIfTrue="1" operator="lessThan">
      <formula>0</formula>
    </cfRule>
  </conditionalFormatting>
  <conditionalFormatting sqref="S176:S177 S185">
    <cfRule type="cellIs" dxfId="1902" priority="1187" stopIfTrue="1" operator="lessThan">
      <formula>0</formula>
    </cfRule>
  </conditionalFormatting>
  <conditionalFormatting sqref="S176:S177 S188:S190 S193:S196 S185:S186">
    <cfRule type="cellIs" dxfId="1901" priority="1186" stopIfTrue="1" operator="equal">
      <formula>"O K"</formula>
    </cfRule>
  </conditionalFormatting>
  <conditionalFormatting sqref="S188">
    <cfRule type="cellIs" dxfId="1900" priority="1185" stopIfTrue="1" operator="lessThan">
      <formula>0</formula>
    </cfRule>
  </conditionalFormatting>
  <conditionalFormatting sqref="S189 S193 S195">
    <cfRule type="cellIs" dxfId="1899" priority="1184" stopIfTrue="1" operator="lessThan">
      <formula>0</formula>
    </cfRule>
  </conditionalFormatting>
  <conditionalFormatting sqref="R188:R190 R194:R198">
    <cfRule type="cellIs" dxfId="1898" priority="1183" stopIfTrue="1" operator="lessThan">
      <formula>0</formula>
    </cfRule>
  </conditionalFormatting>
  <conditionalFormatting sqref="R176:R177 R185">
    <cfRule type="cellIs" dxfId="1897" priority="1182" stopIfTrue="1" operator="lessThan">
      <formula>0</formula>
    </cfRule>
  </conditionalFormatting>
  <conditionalFormatting sqref="R176:R177 R188:R190 R194:R198 R185:R186">
    <cfRule type="cellIs" dxfId="1896" priority="1181" stopIfTrue="1" operator="equal">
      <formula>"O K"</formula>
    </cfRule>
  </conditionalFormatting>
  <conditionalFormatting sqref="R188">
    <cfRule type="cellIs" dxfId="1895" priority="1180" stopIfTrue="1" operator="lessThan">
      <formula>0</formula>
    </cfRule>
  </conditionalFormatting>
  <conditionalFormatting sqref="R189:R190 R194:R198">
    <cfRule type="cellIs" dxfId="1894" priority="1179" stopIfTrue="1" operator="lessThan">
      <formula>0</formula>
    </cfRule>
  </conditionalFormatting>
  <conditionalFormatting sqref="S186">
    <cfRule type="cellIs" dxfId="1893" priority="1178" stopIfTrue="1" operator="lessThan">
      <formula>0</formula>
    </cfRule>
  </conditionalFormatting>
  <conditionalFormatting sqref="S186">
    <cfRule type="cellIs" dxfId="1892" priority="1177" stopIfTrue="1" operator="equal">
      <formula>"O K"</formula>
    </cfRule>
  </conditionalFormatting>
  <conditionalFormatting sqref="S186">
    <cfRule type="cellIs" dxfId="1891" priority="1175" stopIfTrue="1" operator="equal">
      <formula>"O K"</formula>
    </cfRule>
    <cfRule type="cellIs" dxfId="1890" priority="1176" stopIfTrue="1" operator="lessThan">
      <formula>0</formula>
    </cfRule>
  </conditionalFormatting>
  <conditionalFormatting sqref="R186">
    <cfRule type="cellIs" dxfId="1889" priority="1174" stopIfTrue="1" operator="lessThan">
      <formula>0</formula>
    </cfRule>
  </conditionalFormatting>
  <conditionalFormatting sqref="R186">
    <cfRule type="cellIs" dxfId="1888" priority="1173" stopIfTrue="1" operator="equal">
      <formula>"O K"</formula>
    </cfRule>
  </conditionalFormatting>
  <conditionalFormatting sqref="R186">
    <cfRule type="cellIs" dxfId="1887" priority="1171" stopIfTrue="1" operator="equal">
      <formula>"O K"</formula>
    </cfRule>
    <cfRule type="cellIs" dxfId="1886" priority="1172" stopIfTrue="1" operator="lessThan">
      <formula>0</formula>
    </cfRule>
  </conditionalFormatting>
  <conditionalFormatting sqref="O195 O193">
    <cfRule type="cellIs" dxfId="1885" priority="1170" stopIfTrue="1" operator="lessThan">
      <formula>0</formula>
    </cfRule>
  </conditionalFormatting>
  <conditionalFormatting sqref="S194:S198">
    <cfRule type="cellIs" dxfId="1884" priority="1169" stopIfTrue="1" operator="lessThan">
      <formula>0</formula>
    </cfRule>
  </conditionalFormatting>
  <conditionalFormatting sqref="R195 R193">
    <cfRule type="cellIs" dxfId="1883" priority="1168" stopIfTrue="1" operator="lessThan">
      <formula>0</formula>
    </cfRule>
  </conditionalFormatting>
  <conditionalFormatting sqref="P187">
    <cfRule type="cellIs" dxfId="1882" priority="1167" stopIfTrue="1" operator="lessThan">
      <formula>0</formula>
    </cfRule>
  </conditionalFormatting>
  <conditionalFormatting sqref="P187">
    <cfRule type="cellIs" dxfId="1881" priority="1166" stopIfTrue="1" operator="equal">
      <formula>"O K"</formula>
    </cfRule>
  </conditionalFormatting>
  <conditionalFormatting sqref="P187">
    <cfRule type="cellIs" dxfId="1880" priority="1165" stopIfTrue="1" operator="lessThan">
      <formula>0</formula>
    </cfRule>
  </conditionalFormatting>
  <conditionalFormatting sqref="O187">
    <cfRule type="cellIs" dxfId="1879" priority="1164" stopIfTrue="1" operator="lessThan">
      <formula>0</formula>
    </cfRule>
  </conditionalFormatting>
  <conditionalFormatting sqref="O187">
    <cfRule type="cellIs" dxfId="1878" priority="1163" stopIfTrue="1" operator="equal">
      <formula>"O K"</formula>
    </cfRule>
  </conditionalFormatting>
  <conditionalFormatting sqref="O187">
    <cfRule type="cellIs" dxfId="1877" priority="1162" stopIfTrue="1" operator="lessThan">
      <formula>0</formula>
    </cfRule>
  </conditionalFormatting>
  <conditionalFormatting sqref="S187">
    <cfRule type="cellIs" dxfId="1876" priority="1161" stopIfTrue="1" operator="lessThan">
      <formula>0</formula>
    </cfRule>
  </conditionalFormatting>
  <conditionalFormatting sqref="S187">
    <cfRule type="cellIs" dxfId="1875" priority="1160" stopIfTrue="1" operator="equal">
      <formula>"O K"</formula>
    </cfRule>
  </conditionalFormatting>
  <conditionalFormatting sqref="S187">
    <cfRule type="cellIs" dxfId="1874" priority="1159" stopIfTrue="1" operator="lessThan">
      <formula>0</formula>
    </cfRule>
  </conditionalFormatting>
  <conditionalFormatting sqref="R187">
    <cfRule type="cellIs" dxfId="1873" priority="1158" stopIfTrue="1" operator="lessThan">
      <formula>0</formula>
    </cfRule>
  </conditionalFormatting>
  <conditionalFormatting sqref="R187">
    <cfRule type="cellIs" dxfId="1872" priority="1157" stopIfTrue="1" operator="equal">
      <formula>"O K"</formula>
    </cfRule>
  </conditionalFormatting>
  <conditionalFormatting sqref="R187">
    <cfRule type="cellIs" dxfId="1871" priority="1156" stopIfTrue="1" operator="lessThan">
      <formula>0</formula>
    </cfRule>
  </conditionalFormatting>
  <conditionalFormatting sqref="P190">
    <cfRule type="cellIs" dxfId="1870" priority="1124" stopIfTrue="1" operator="lessThan">
      <formula>0</formula>
    </cfRule>
  </conditionalFormatting>
  <conditionalFormatting sqref="P178:P179">
    <cfRule type="cellIs" dxfId="1869" priority="1147" stopIfTrue="1" operator="lessThan">
      <formula>0</formula>
    </cfRule>
  </conditionalFormatting>
  <conditionalFormatting sqref="R178:R179">
    <cfRule type="cellIs" dxfId="1868" priority="1141" stopIfTrue="1" operator="lessThan">
      <formula>0</formula>
    </cfRule>
  </conditionalFormatting>
  <conditionalFormatting sqref="O186">
    <cfRule type="cellIs" dxfId="1867" priority="1122" stopIfTrue="1" operator="lessThan">
      <formula>0</formula>
    </cfRule>
  </conditionalFormatting>
  <conditionalFormatting sqref="P189">
    <cfRule type="cellIs" dxfId="1866" priority="1125" stopIfTrue="1" operator="lessThan">
      <formula>0</formula>
    </cfRule>
  </conditionalFormatting>
  <conditionalFormatting sqref="R192:S192 O192:P192">
    <cfRule type="cellIs" dxfId="1865" priority="1155" stopIfTrue="1" operator="lessThan">
      <formula>0</formula>
    </cfRule>
  </conditionalFormatting>
  <conditionalFormatting sqref="P192">
    <cfRule type="cellIs" dxfId="1864" priority="1154" stopIfTrue="1" operator="equal">
      <formula>"O K"</formula>
    </cfRule>
  </conditionalFormatting>
  <conditionalFormatting sqref="S192">
    <cfRule type="cellIs" dxfId="1863" priority="1153" stopIfTrue="1" operator="lessThan">
      <formula>0</formula>
    </cfRule>
  </conditionalFormatting>
  <conditionalFormatting sqref="S192">
    <cfRule type="cellIs" dxfId="1862" priority="1152" stopIfTrue="1" operator="equal">
      <formula>"O K"</formula>
    </cfRule>
  </conditionalFormatting>
  <conditionalFormatting sqref="S192">
    <cfRule type="cellIs" dxfId="1861" priority="1151" stopIfTrue="1" operator="lessThan">
      <formula>0</formula>
    </cfRule>
  </conditionalFormatting>
  <conditionalFormatting sqref="O192">
    <cfRule type="cellIs" dxfId="1860" priority="1150" stopIfTrue="1" operator="lessThan">
      <formula>0</formula>
    </cfRule>
  </conditionalFormatting>
  <conditionalFormatting sqref="R192">
    <cfRule type="cellIs" dxfId="1859" priority="1149" stopIfTrue="1" operator="lessThan">
      <formula>0</formula>
    </cfRule>
  </conditionalFormatting>
  <conditionalFormatting sqref="O178:P179 R178:S179">
    <cfRule type="cellIs" dxfId="1858" priority="1148" stopIfTrue="1" operator="lessThan">
      <formula>0</formula>
    </cfRule>
  </conditionalFormatting>
  <conditionalFormatting sqref="S189">
    <cfRule type="cellIs" dxfId="1857" priority="1117" stopIfTrue="1" operator="lessThan">
      <formula>0</formula>
    </cfRule>
  </conditionalFormatting>
  <conditionalFormatting sqref="P178:P179">
    <cfRule type="cellIs" dxfId="1856" priority="1146" stopIfTrue="1" operator="equal">
      <formula>"O K"</formula>
    </cfRule>
  </conditionalFormatting>
  <conditionalFormatting sqref="O178:O179">
    <cfRule type="cellIs" dxfId="1855" priority="1145" stopIfTrue="1" operator="lessThan">
      <formula>0</formula>
    </cfRule>
  </conditionalFormatting>
  <conditionalFormatting sqref="O178:O179">
    <cfRule type="cellIs" dxfId="1854" priority="1144" stopIfTrue="1" operator="equal">
      <formula>"O K"</formula>
    </cfRule>
  </conditionalFormatting>
  <conditionalFormatting sqref="S178:S179">
    <cfRule type="cellIs" dxfId="1853" priority="1143" stopIfTrue="1" operator="lessThan">
      <formula>0</formula>
    </cfRule>
  </conditionalFormatting>
  <conditionalFormatting sqref="S178:S179">
    <cfRule type="cellIs" dxfId="1852" priority="1142" stopIfTrue="1" operator="equal">
      <formula>"O K"</formula>
    </cfRule>
  </conditionalFormatting>
  <conditionalFormatting sqref="R178:R179">
    <cfRule type="cellIs" dxfId="1851" priority="1140" stopIfTrue="1" operator="equal">
      <formula>"O K"</formula>
    </cfRule>
  </conditionalFormatting>
  <conditionalFormatting sqref="R201:S201 O201:P201 R198:S199 O198:P199">
    <cfRule type="cellIs" dxfId="1850" priority="1139" stopIfTrue="1" operator="lessThan">
      <formula>0</formula>
    </cfRule>
  </conditionalFormatting>
  <conditionalFormatting sqref="O189">
    <cfRule type="cellIs" dxfId="1849" priority="1120" stopIfTrue="1" operator="lessThan">
      <formula>0</formula>
    </cfRule>
  </conditionalFormatting>
  <conditionalFormatting sqref="P186">
    <cfRule type="cellIs" dxfId="1848" priority="1127" stopIfTrue="1" operator="lessThan">
      <formula>0</formula>
    </cfRule>
  </conditionalFormatting>
  <conditionalFormatting sqref="R186">
    <cfRule type="cellIs" dxfId="1847" priority="1115" stopIfTrue="1" operator="lessThan">
      <formula>0</formula>
    </cfRule>
  </conditionalFormatting>
  <conditionalFormatting sqref="S187">
    <cfRule type="cellIs" dxfId="1846" priority="1113" stopIfTrue="1" operator="lessThan">
      <formula>0</formula>
    </cfRule>
  </conditionalFormatting>
  <conditionalFormatting sqref="S186">
    <cfRule type="cellIs" dxfId="1845" priority="1118" stopIfTrue="1" operator="lessThan">
      <formula>0</formula>
    </cfRule>
  </conditionalFormatting>
  <conditionalFormatting sqref="S190 S194 S196">
    <cfRule type="cellIs" dxfId="1844" priority="1116" stopIfTrue="1" operator="lessThan">
      <formula>0</formula>
    </cfRule>
  </conditionalFormatting>
  <conditionalFormatting sqref="P180">
    <cfRule type="cellIs" dxfId="1843" priority="1066" stopIfTrue="1" operator="lessThan">
      <formula>0</formula>
    </cfRule>
  </conditionalFormatting>
  <conditionalFormatting sqref="R189">
    <cfRule type="cellIs" dxfId="1842" priority="1114" stopIfTrue="1" operator="lessThan">
      <formula>0</formula>
    </cfRule>
  </conditionalFormatting>
  <conditionalFormatting sqref="P187">
    <cfRule type="cellIs" dxfId="1841" priority="1123" stopIfTrue="1" operator="equal">
      <formula>"O K"</formula>
    </cfRule>
    <cfRule type="cellIs" dxfId="1840" priority="1126" stopIfTrue="1" operator="lessThan">
      <formula>0</formula>
    </cfRule>
  </conditionalFormatting>
  <conditionalFormatting sqref="R187">
    <cfRule type="cellIs" dxfId="1839" priority="1109" stopIfTrue="1" operator="lessThan">
      <formula>0</formula>
    </cfRule>
  </conditionalFormatting>
  <conditionalFormatting sqref="O187">
    <cfRule type="cellIs" dxfId="1838" priority="1119" stopIfTrue="1" operator="equal">
      <formula>"O K"</formula>
    </cfRule>
    <cfRule type="cellIs" dxfId="1837" priority="1121" stopIfTrue="1" operator="lessThan">
      <formula>0</formula>
    </cfRule>
  </conditionalFormatting>
  <conditionalFormatting sqref="R196 R194">
    <cfRule type="cellIs" dxfId="1836" priority="1104" stopIfTrue="1" operator="lessThan">
      <formula>0</formula>
    </cfRule>
  </conditionalFormatting>
  <conditionalFormatting sqref="O196 O194">
    <cfRule type="cellIs" dxfId="1835" priority="1105" stopIfTrue="1" operator="lessThan">
      <formula>0</formula>
    </cfRule>
  </conditionalFormatting>
  <conditionalFormatting sqref="S187">
    <cfRule type="cellIs" dxfId="1834" priority="1112" stopIfTrue="1" operator="equal">
      <formula>"O K"</formula>
    </cfRule>
  </conditionalFormatting>
  <conditionalFormatting sqref="S187">
    <cfRule type="cellIs" dxfId="1833" priority="1110" stopIfTrue="1" operator="equal">
      <formula>"O K"</formula>
    </cfRule>
    <cfRule type="cellIs" dxfId="1832" priority="1111" stopIfTrue="1" operator="lessThan">
      <formula>0</formula>
    </cfRule>
  </conditionalFormatting>
  <conditionalFormatting sqref="R187">
    <cfRule type="cellIs" dxfId="1831" priority="1108" stopIfTrue="1" operator="equal">
      <formula>"O K"</formula>
    </cfRule>
  </conditionalFormatting>
  <conditionalFormatting sqref="R187">
    <cfRule type="cellIs" dxfId="1830" priority="1106" stopIfTrue="1" operator="equal">
      <formula>"O K"</formula>
    </cfRule>
    <cfRule type="cellIs" dxfId="1829" priority="1107" stopIfTrue="1" operator="lessThan">
      <formula>0</formula>
    </cfRule>
  </conditionalFormatting>
  <conditionalFormatting sqref="P188">
    <cfRule type="cellIs" dxfId="1828" priority="1103" stopIfTrue="1" operator="lessThan">
      <formula>0</formula>
    </cfRule>
  </conditionalFormatting>
  <conditionalFormatting sqref="P188">
    <cfRule type="cellIs" dxfId="1827" priority="1102" stopIfTrue="1" operator="equal">
      <formula>"O K"</formula>
    </cfRule>
  </conditionalFormatting>
  <conditionalFormatting sqref="P188">
    <cfRule type="cellIs" dxfId="1826" priority="1101" stopIfTrue="1" operator="lessThan">
      <formula>0</formula>
    </cfRule>
  </conditionalFormatting>
  <conditionalFormatting sqref="O188">
    <cfRule type="cellIs" dxfId="1825" priority="1100" stopIfTrue="1" operator="lessThan">
      <formula>0</formula>
    </cfRule>
  </conditionalFormatting>
  <conditionalFormatting sqref="O188">
    <cfRule type="cellIs" dxfId="1824" priority="1099" stopIfTrue="1" operator="equal">
      <formula>"O K"</formula>
    </cfRule>
  </conditionalFormatting>
  <conditionalFormatting sqref="O188">
    <cfRule type="cellIs" dxfId="1823" priority="1098" stopIfTrue="1" operator="lessThan">
      <formula>0</formula>
    </cfRule>
  </conditionalFormatting>
  <conditionalFormatting sqref="S188">
    <cfRule type="cellIs" dxfId="1822" priority="1097" stopIfTrue="1" operator="lessThan">
      <formula>0</formula>
    </cfRule>
  </conditionalFormatting>
  <conditionalFormatting sqref="S188">
    <cfRule type="cellIs" dxfId="1821" priority="1096" stopIfTrue="1" operator="equal">
      <formula>"O K"</formula>
    </cfRule>
  </conditionalFormatting>
  <conditionalFormatting sqref="S188">
    <cfRule type="cellIs" dxfId="1820" priority="1095" stopIfTrue="1" operator="lessThan">
      <formula>0</formula>
    </cfRule>
  </conditionalFormatting>
  <conditionalFormatting sqref="R188">
    <cfRule type="cellIs" dxfId="1819" priority="1094" stopIfTrue="1" operator="lessThan">
      <formula>0</formula>
    </cfRule>
  </conditionalFormatting>
  <conditionalFormatting sqref="R188">
    <cfRule type="cellIs" dxfId="1818" priority="1093" stopIfTrue="1" operator="equal">
      <formula>"O K"</formula>
    </cfRule>
  </conditionalFormatting>
  <conditionalFormatting sqref="R193:S193 O193:P193">
    <cfRule type="cellIs" dxfId="1817" priority="1091" stopIfTrue="1" operator="lessThan">
      <formula>0</formula>
    </cfRule>
  </conditionalFormatting>
  <conditionalFormatting sqref="P193">
    <cfRule type="cellIs" dxfId="1816" priority="1090" stopIfTrue="1" operator="equal">
      <formula>"O K"</formula>
    </cfRule>
  </conditionalFormatting>
  <conditionalFormatting sqref="S193">
    <cfRule type="cellIs" dxfId="1815" priority="1089" stopIfTrue="1" operator="lessThan">
      <formula>0</formula>
    </cfRule>
  </conditionalFormatting>
  <conditionalFormatting sqref="S193">
    <cfRule type="cellIs" dxfId="1814" priority="1088" stopIfTrue="1" operator="equal">
      <formula>"O K"</formula>
    </cfRule>
  </conditionalFormatting>
  <conditionalFormatting sqref="S193">
    <cfRule type="cellIs" dxfId="1813" priority="1087" stopIfTrue="1" operator="lessThan">
      <formula>0</formula>
    </cfRule>
  </conditionalFormatting>
  <conditionalFormatting sqref="O193">
    <cfRule type="cellIs" dxfId="1812" priority="1086" stopIfTrue="1" operator="lessThan">
      <formula>0</formula>
    </cfRule>
  </conditionalFormatting>
  <conditionalFormatting sqref="R193">
    <cfRule type="cellIs" dxfId="1811" priority="1085" stopIfTrue="1" operator="lessThan">
      <formula>0</formula>
    </cfRule>
  </conditionalFormatting>
  <conditionalFormatting sqref="O185:P185 R185:S185">
    <cfRule type="cellIs" dxfId="1810" priority="1084" stopIfTrue="1" operator="lessThan">
      <formula>0</formula>
    </cfRule>
  </conditionalFormatting>
  <conditionalFormatting sqref="P185">
    <cfRule type="cellIs" dxfId="1809" priority="1083" stopIfTrue="1" operator="lessThan">
      <formula>0</formula>
    </cfRule>
  </conditionalFormatting>
  <conditionalFormatting sqref="P185">
    <cfRule type="cellIs" dxfId="1808" priority="1082" stopIfTrue="1" operator="equal">
      <formula>"O K"</formula>
    </cfRule>
  </conditionalFormatting>
  <conditionalFormatting sqref="O185">
    <cfRule type="cellIs" dxfId="1807" priority="1081" stopIfTrue="1" operator="lessThan">
      <formula>0</formula>
    </cfRule>
  </conditionalFormatting>
  <conditionalFormatting sqref="O185">
    <cfRule type="cellIs" dxfId="1806" priority="1080" stopIfTrue="1" operator="equal">
      <formula>"O K"</formula>
    </cfRule>
  </conditionalFormatting>
  <conditionalFormatting sqref="S185">
    <cfRule type="cellIs" dxfId="1805" priority="1079" stopIfTrue="1" operator="lessThan">
      <formula>0</formula>
    </cfRule>
  </conditionalFormatting>
  <conditionalFormatting sqref="S185">
    <cfRule type="cellIs" dxfId="1804" priority="1078" stopIfTrue="1" operator="equal">
      <formula>"O K"</formula>
    </cfRule>
  </conditionalFormatting>
  <conditionalFormatting sqref="R185">
    <cfRule type="cellIs" dxfId="1803" priority="1076" stopIfTrue="1" operator="equal">
      <formula>"O K"</formula>
    </cfRule>
  </conditionalFormatting>
  <conditionalFormatting sqref="O180:P180 R180:S180">
    <cfRule type="cellIs" dxfId="1802" priority="1067" stopIfTrue="1" operator="lessThan">
      <formula>0</formula>
    </cfRule>
  </conditionalFormatting>
  <conditionalFormatting sqref="O180">
    <cfRule type="cellIs" dxfId="1801" priority="1064" stopIfTrue="1" operator="lessThan">
      <formula>0</formula>
    </cfRule>
  </conditionalFormatting>
  <conditionalFormatting sqref="P182">
    <cfRule type="cellIs" dxfId="1800" priority="1057" stopIfTrue="1" operator="lessThan">
      <formula>0</formula>
    </cfRule>
  </conditionalFormatting>
  <conditionalFormatting sqref="O182">
    <cfRule type="cellIs" dxfId="1799" priority="1055" stopIfTrue="1" operator="lessThan">
      <formula>0</formula>
    </cfRule>
  </conditionalFormatting>
  <conditionalFormatting sqref="S182">
    <cfRule type="cellIs" dxfId="1798" priority="1053" stopIfTrue="1" operator="lessThan">
      <formula>0</formula>
    </cfRule>
  </conditionalFormatting>
  <conditionalFormatting sqref="S180">
    <cfRule type="cellIs" dxfId="1797" priority="1062" stopIfTrue="1" operator="lessThan">
      <formula>0</formula>
    </cfRule>
  </conditionalFormatting>
  <conditionalFormatting sqref="R180">
    <cfRule type="cellIs" dxfId="1796" priority="1060" stopIfTrue="1" operator="lessThan">
      <formula>0</formula>
    </cfRule>
  </conditionalFormatting>
  <conditionalFormatting sqref="O182:P182 R182:S182">
    <cfRule type="cellIs" dxfId="1795" priority="1058" stopIfTrue="1" operator="lessThan">
      <formula>0</formula>
    </cfRule>
  </conditionalFormatting>
  <conditionalFormatting sqref="P181">
    <cfRule type="cellIs" dxfId="1794" priority="1048" stopIfTrue="1" operator="lessThan">
      <formula>0</formula>
    </cfRule>
  </conditionalFormatting>
  <conditionalFormatting sqref="P180">
    <cfRule type="cellIs" dxfId="1793" priority="1065" stopIfTrue="1" operator="equal">
      <formula>"O K"</formula>
    </cfRule>
  </conditionalFormatting>
  <conditionalFormatting sqref="O181:P181 R181:S181">
    <cfRule type="cellIs" dxfId="1792" priority="1049" stopIfTrue="1" operator="lessThan">
      <formula>0</formula>
    </cfRule>
  </conditionalFormatting>
  <conditionalFormatting sqref="O180">
    <cfRule type="cellIs" dxfId="1791" priority="1063" stopIfTrue="1" operator="equal">
      <formula>"O K"</formula>
    </cfRule>
  </conditionalFormatting>
  <conditionalFormatting sqref="O181">
    <cfRule type="cellIs" dxfId="1790" priority="1046" stopIfTrue="1" operator="lessThan">
      <formula>0</formula>
    </cfRule>
  </conditionalFormatting>
  <conditionalFormatting sqref="S180">
    <cfRule type="cellIs" dxfId="1789" priority="1061" stopIfTrue="1" operator="equal">
      <formula>"O K"</formula>
    </cfRule>
  </conditionalFormatting>
  <conditionalFormatting sqref="R180">
    <cfRule type="cellIs" dxfId="1788" priority="1059" stopIfTrue="1" operator="equal">
      <formula>"O K"</formula>
    </cfRule>
  </conditionalFormatting>
  <conditionalFormatting sqref="P182">
    <cfRule type="cellIs" dxfId="1787" priority="1056" stopIfTrue="1" operator="equal">
      <formula>"O K"</formula>
    </cfRule>
  </conditionalFormatting>
  <conditionalFormatting sqref="O182">
    <cfRule type="cellIs" dxfId="1786" priority="1054" stopIfTrue="1" operator="equal">
      <formula>"O K"</formula>
    </cfRule>
  </conditionalFormatting>
  <conditionalFormatting sqref="S182">
    <cfRule type="cellIs" dxfId="1785" priority="1052" stopIfTrue="1" operator="equal">
      <formula>"O K"</formula>
    </cfRule>
  </conditionalFormatting>
  <conditionalFormatting sqref="R182">
    <cfRule type="cellIs" dxfId="1784" priority="1050" stopIfTrue="1" operator="equal">
      <formula>"O K"</formula>
    </cfRule>
  </conditionalFormatting>
  <conditionalFormatting sqref="S181">
    <cfRule type="cellIs" dxfId="1783" priority="1044" stopIfTrue="1" operator="lessThan">
      <formula>0</formula>
    </cfRule>
  </conditionalFormatting>
  <conditionalFormatting sqref="R181">
    <cfRule type="cellIs" dxfId="1782" priority="1042" stopIfTrue="1" operator="lessThan">
      <formula>0</formula>
    </cfRule>
  </conditionalFormatting>
  <conditionalFormatting sqref="P181">
    <cfRule type="cellIs" dxfId="1781" priority="1047" stopIfTrue="1" operator="equal">
      <formula>"O K"</formula>
    </cfRule>
  </conditionalFormatting>
  <conditionalFormatting sqref="O181">
    <cfRule type="cellIs" dxfId="1780" priority="1045" stopIfTrue="1" operator="equal">
      <formula>"O K"</formula>
    </cfRule>
  </conditionalFormatting>
  <conditionalFormatting sqref="S181">
    <cfRule type="cellIs" dxfId="1779" priority="1043" stopIfTrue="1" operator="equal">
      <formula>"O K"</formula>
    </cfRule>
  </conditionalFormatting>
  <conditionalFormatting sqref="R181">
    <cfRule type="cellIs" dxfId="1778" priority="1041" stopIfTrue="1" operator="equal">
      <formula>"O K"</formula>
    </cfRule>
  </conditionalFormatting>
  <conditionalFormatting sqref="P183">
    <cfRule type="cellIs" dxfId="1777" priority="1039" stopIfTrue="1" operator="lessThan">
      <formula>0</formula>
    </cfRule>
  </conditionalFormatting>
  <conditionalFormatting sqref="R183">
    <cfRule type="cellIs" dxfId="1776" priority="1033" stopIfTrue="1" operator="lessThan">
      <formula>0</formula>
    </cfRule>
  </conditionalFormatting>
  <conditionalFormatting sqref="O183:P183 R183:S183">
    <cfRule type="cellIs" dxfId="1775" priority="1040" stopIfTrue="1" operator="lessThan">
      <formula>0</formula>
    </cfRule>
  </conditionalFormatting>
  <conditionalFormatting sqref="P183">
    <cfRule type="cellIs" dxfId="1774" priority="1038" stopIfTrue="1" operator="equal">
      <formula>"O K"</formula>
    </cfRule>
  </conditionalFormatting>
  <conditionalFormatting sqref="O183">
    <cfRule type="cellIs" dxfId="1773" priority="1037" stopIfTrue="1" operator="lessThan">
      <formula>0</formula>
    </cfRule>
  </conditionalFormatting>
  <conditionalFormatting sqref="O183">
    <cfRule type="cellIs" dxfId="1772" priority="1036" stopIfTrue="1" operator="equal">
      <formula>"O K"</formula>
    </cfRule>
  </conditionalFormatting>
  <conditionalFormatting sqref="S183">
    <cfRule type="cellIs" dxfId="1771" priority="1034" stopIfTrue="1" operator="equal">
      <formula>"O K"</formula>
    </cfRule>
  </conditionalFormatting>
  <conditionalFormatting sqref="R183">
    <cfRule type="cellIs" dxfId="1770" priority="1032" stopIfTrue="1" operator="equal">
      <formula>"O K"</formula>
    </cfRule>
  </conditionalFormatting>
  <conditionalFormatting sqref="O184">
    <cfRule type="cellIs" dxfId="1769" priority="1028" stopIfTrue="1" operator="lessThan">
      <formula>0</formula>
    </cfRule>
  </conditionalFormatting>
  <conditionalFormatting sqref="R184">
    <cfRule type="cellIs" dxfId="1768" priority="1024" stopIfTrue="1" operator="lessThan">
      <formula>0</formula>
    </cfRule>
  </conditionalFormatting>
  <conditionalFormatting sqref="O184:P184 R184:S184">
    <cfRule type="cellIs" dxfId="1767" priority="1031" stopIfTrue="1" operator="lessThan">
      <formula>0</formula>
    </cfRule>
  </conditionalFormatting>
  <conditionalFormatting sqref="P184">
    <cfRule type="cellIs" dxfId="1766" priority="1029" stopIfTrue="1" operator="equal">
      <formula>"O K"</formula>
    </cfRule>
  </conditionalFormatting>
  <conditionalFormatting sqref="O184">
    <cfRule type="cellIs" dxfId="1765" priority="1027" stopIfTrue="1" operator="equal">
      <formula>"O K"</formula>
    </cfRule>
  </conditionalFormatting>
  <conditionalFormatting sqref="S184">
    <cfRule type="cellIs" dxfId="1764" priority="1026" stopIfTrue="1" operator="lessThan">
      <formula>0</formula>
    </cfRule>
  </conditionalFormatting>
  <conditionalFormatting sqref="S184">
    <cfRule type="cellIs" dxfId="1763" priority="1025" stopIfTrue="1" operator="equal">
      <formula>"O K"</formula>
    </cfRule>
  </conditionalFormatting>
  <conditionalFormatting sqref="R184">
    <cfRule type="cellIs" dxfId="1762" priority="1023" stopIfTrue="1" operator="equal">
      <formula>"O K"</formula>
    </cfRule>
  </conditionalFormatting>
  <conditionalFormatting sqref="B96">
    <cfRule type="cellIs" dxfId="1761" priority="855" stopIfTrue="1" operator="equal">
      <formula>"2002 г. крайно ДТ с-до"</formula>
    </cfRule>
  </conditionalFormatting>
  <conditionalFormatting sqref="B96">
    <cfRule type="cellIs" dxfId="1760" priority="854" stopIfTrue="1" operator="equal">
      <formula>"2002 г. крайно ДТ с-до"</formula>
    </cfRule>
  </conditionalFormatting>
  <conditionalFormatting sqref="B96">
    <cfRule type="cellIs" dxfId="1759" priority="852" stopIfTrue="1" operator="equal">
      <formula>"2002 г. крайно ДТ с-до"</formula>
    </cfRule>
  </conditionalFormatting>
  <conditionalFormatting sqref="B96">
    <cfRule type="cellIs" dxfId="1758" priority="853" stopIfTrue="1" operator="equal">
      <formula>"2002 г. крайно ДТ с-до"</formula>
    </cfRule>
  </conditionalFormatting>
  <conditionalFormatting sqref="N98">
    <cfRule type="cellIs" dxfId="1757" priority="849" stopIfTrue="1" operator="lessThan">
      <formula>0</formula>
    </cfRule>
  </conditionalFormatting>
  <conditionalFormatting sqref="N118">
    <cfRule type="cellIs" dxfId="1756" priority="839" stopIfTrue="1" operator="lessThan">
      <formula>0</formula>
    </cfRule>
  </conditionalFormatting>
  <conditionalFormatting sqref="N101">
    <cfRule type="cellIs" dxfId="1755" priority="846" stopIfTrue="1" operator="lessThan">
      <formula>0</formula>
    </cfRule>
  </conditionalFormatting>
  <conditionalFormatting sqref="N107">
    <cfRule type="cellIs" dxfId="1754" priority="844" stopIfTrue="1" operator="lessThan">
      <formula>0</formula>
    </cfRule>
  </conditionalFormatting>
  <conditionalFormatting sqref="N112">
    <cfRule type="cellIs" dxfId="1753" priority="840" stopIfTrue="1" operator="lessThan">
      <formula>0</formula>
    </cfRule>
  </conditionalFormatting>
  <conditionalFormatting sqref="N99">
    <cfRule type="cellIs" dxfId="1752" priority="836" stopIfTrue="1" operator="lessThan">
      <formula>0</formula>
    </cfRule>
  </conditionalFormatting>
  <conditionalFormatting sqref="N102">
    <cfRule type="cellIs" dxfId="1751" priority="835" stopIfTrue="1" operator="lessThan">
      <formula>0</formula>
    </cfRule>
  </conditionalFormatting>
  <conditionalFormatting sqref="N108">
    <cfRule type="cellIs" dxfId="1750" priority="833" stopIfTrue="1" operator="lessThan">
      <formula>0</formula>
    </cfRule>
  </conditionalFormatting>
  <conditionalFormatting sqref="N113">
    <cfRule type="cellIs" dxfId="1749" priority="830" stopIfTrue="1" operator="lessThan">
      <formula>0</formula>
    </cfRule>
  </conditionalFormatting>
  <conditionalFormatting sqref="N119">
    <cfRule type="cellIs" dxfId="1748" priority="828" stopIfTrue="1" operator="lessThan">
      <formula>0</formula>
    </cfRule>
  </conditionalFormatting>
  <conditionalFormatting sqref="N115">
    <cfRule type="cellIs" dxfId="1747" priority="816" stopIfTrue="1" operator="lessThan">
      <formula>0</formula>
    </cfRule>
  </conditionalFormatting>
  <conditionalFormatting sqref="N116">
    <cfRule type="cellIs" dxfId="1746" priority="814" stopIfTrue="1" operator="lessThan">
      <formula>0</formula>
    </cfRule>
  </conditionalFormatting>
  <conditionalFormatting sqref="N104">
    <cfRule type="cellIs" dxfId="1745" priority="809" stopIfTrue="1" operator="lessThan">
      <formula>0</formula>
    </cfRule>
  </conditionalFormatting>
  <conditionalFormatting sqref="V93">
    <cfRule type="cellIs" dxfId="1744" priority="773" stopIfTrue="1" operator="lessThan">
      <formula>0</formula>
    </cfRule>
  </conditionalFormatting>
  <conditionalFormatting sqref="V93">
    <cfRule type="cellIs" dxfId="1743" priority="772" stopIfTrue="1" operator="lessThan">
      <formula>0</formula>
    </cfRule>
  </conditionalFormatting>
  <conditionalFormatting sqref="V93">
    <cfRule type="cellIs" dxfId="1742" priority="771" stopIfTrue="1" operator="notEqual">
      <formula>0</formula>
    </cfRule>
  </conditionalFormatting>
  <conditionalFormatting sqref="V94:V95">
    <cfRule type="cellIs" dxfId="1741" priority="770" stopIfTrue="1" operator="lessThan">
      <formula>0</formula>
    </cfRule>
  </conditionalFormatting>
  <conditionalFormatting sqref="V94:V95">
    <cfRule type="cellIs" dxfId="1740" priority="769" stopIfTrue="1" operator="lessThan">
      <formula>0</formula>
    </cfRule>
  </conditionalFormatting>
  <conditionalFormatting sqref="V94:V95">
    <cfRule type="cellIs" dxfId="1739" priority="768" stopIfTrue="1" operator="notEqual">
      <formula>0</formula>
    </cfRule>
  </conditionalFormatting>
  <conditionalFormatting sqref="V81:V83">
    <cfRule type="cellIs" dxfId="1738" priority="767" stopIfTrue="1" operator="lessThan">
      <formula>0</formula>
    </cfRule>
  </conditionalFormatting>
  <conditionalFormatting sqref="V81:V83">
    <cfRule type="cellIs" dxfId="1737" priority="766" stopIfTrue="1" operator="lessThan">
      <formula>0</formula>
    </cfRule>
  </conditionalFormatting>
  <conditionalFormatting sqref="V81">
    <cfRule type="cellIs" dxfId="1736" priority="765" stopIfTrue="1" operator="notEqual">
      <formula>0</formula>
    </cfRule>
  </conditionalFormatting>
  <conditionalFormatting sqref="V82">
    <cfRule type="cellIs" dxfId="1735" priority="764" stopIfTrue="1" operator="notEqual">
      <formula>0</formula>
    </cfRule>
  </conditionalFormatting>
  <conditionalFormatting sqref="V83">
    <cfRule type="cellIs" dxfId="1734" priority="763" stopIfTrue="1" operator="notEqual">
      <formula>0</formula>
    </cfRule>
  </conditionalFormatting>
  <conditionalFormatting sqref="P122:P124">
    <cfRule type="cellIs" dxfId="1733" priority="762" stopIfTrue="1" operator="lessThan">
      <formula>0</formula>
    </cfRule>
  </conditionalFormatting>
  <conditionalFormatting sqref="P122">
    <cfRule type="cellIs" dxfId="1732" priority="761" stopIfTrue="1" operator="notEqual">
      <formula>0</formula>
    </cfRule>
  </conditionalFormatting>
  <conditionalFormatting sqref="P123">
    <cfRule type="cellIs" dxfId="1731" priority="760" stopIfTrue="1" operator="notEqual">
      <formula>0</formula>
    </cfRule>
  </conditionalFormatting>
  <conditionalFormatting sqref="P124">
    <cfRule type="cellIs" dxfId="1730" priority="759" stopIfTrue="1" operator="notEqual">
      <formula>0</formula>
    </cfRule>
  </conditionalFormatting>
  <conditionalFormatting sqref="S122:S127">
    <cfRule type="cellIs" dxfId="1729" priority="758" stopIfTrue="1" operator="lessThan">
      <formula>0</formula>
    </cfRule>
  </conditionalFormatting>
  <conditionalFormatting sqref="S122:S127">
    <cfRule type="cellIs" dxfId="1728" priority="757" stopIfTrue="1" operator="lessThan">
      <formula>0</formula>
    </cfRule>
  </conditionalFormatting>
  <conditionalFormatting sqref="S122">
    <cfRule type="cellIs" dxfId="1727" priority="756" stopIfTrue="1" operator="notEqual">
      <formula>0</formula>
    </cfRule>
  </conditionalFormatting>
  <conditionalFormatting sqref="S123">
    <cfRule type="cellIs" dxfId="1726" priority="755" stopIfTrue="1" operator="notEqual">
      <formula>0</formula>
    </cfRule>
  </conditionalFormatting>
  <conditionalFormatting sqref="S124:S127">
    <cfRule type="cellIs" dxfId="1725" priority="754" stopIfTrue="1" operator="notEqual">
      <formula>0</formula>
    </cfRule>
  </conditionalFormatting>
  <conditionalFormatting sqref="V122">
    <cfRule type="cellIs" dxfId="1724" priority="753" stopIfTrue="1" operator="lessThan">
      <formula>0</formula>
    </cfRule>
  </conditionalFormatting>
  <conditionalFormatting sqref="V122">
    <cfRule type="cellIs" dxfId="1723" priority="752" stopIfTrue="1" operator="lessThan">
      <formula>0</formula>
    </cfRule>
  </conditionalFormatting>
  <conditionalFormatting sqref="V122">
    <cfRule type="cellIs" dxfId="1722" priority="751" stopIfTrue="1" operator="notEqual">
      <formula>0</formula>
    </cfRule>
  </conditionalFormatting>
  <conditionalFormatting sqref="V123">
    <cfRule type="cellIs" dxfId="1721" priority="750" stopIfTrue="1" operator="lessThan">
      <formula>0</formula>
    </cfRule>
  </conditionalFormatting>
  <conditionalFormatting sqref="V123">
    <cfRule type="cellIs" dxfId="1720" priority="749" stopIfTrue="1" operator="lessThan">
      <formula>0</formula>
    </cfRule>
  </conditionalFormatting>
  <conditionalFormatting sqref="V123">
    <cfRule type="cellIs" dxfId="1719" priority="748" stopIfTrue="1" operator="notEqual">
      <formula>0</formula>
    </cfRule>
  </conditionalFormatting>
  <conditionalFormatting sqref="V124">
    <cfRule type="cellIs" dxfId="1718" priority="747" stopIfTrue="1" operator="lessThan">
      <formula>0</formula>
    </cfRule>
  </conditionalFormatting>
  <conditionalFormatting sqref="V124">
    <cfRule type="cellIs" dxfId="1717" priority="746" stopIfTrue="1" operator="lessThan">
      <formula>0</formula>
    </cfRule>
  </conditionalFormatting>
  <conditionalFormatting sqref="V124">
    <cfRule type="cellIs" dxfId="1716" priority="745" stopIfTrue="1" operator="notEqual">
      <formula>0</formula>
    </cfRule>
  </conditionalFormatting>
  <conditionalFormatting sqref="U103">
    <cfRule type="cellIs" dxfId="1715" priority="340" stopIfTrue="1" operator="equal">
      <formula>"2002 г. крайно ДТ с-до"</formula>
    </cfRule>
  </conditionalFormatting>
  <conditionalFormatting sqref="P55">
    <cfRule type="cellIs" dxfId="1714" priority="554" stopIfTrue="1" operator="lessThan">
      <formula>0</formula>
    </cfRule>
  </conditionalFormatting>
  <conditionalFormatting sqref="P56">
    <cfRule type="cellIs" dxfId="1713" priority="553" stopIfTrue="1" operator="lessThan">
      <formula>0</formula>
    </cfRule>
  </conditionalFormatting>
  <conditionalFormatting sqref="O55:O56">
    <cfRule type="cellIs" dxfId="1712" priority="552" stopIfTrue="1" operator="lessThan">
      <formula>0</formula>
    </cfRule>
  </conditionalFormatting>
  <conditionalFormatting sqref="R55:R56">
    <cfRule type="cellIs" dxfId="1711" priority="551" stopIfTrue="1" operator="lessThan">
      <formula>0</formula>
    </cfRule>
  </conditionalFormatting>
  <conditionalFormatting sqref="S55">
    <cfRule type="cellIs" dxfId="1710" priority="550" stopIfTrue="1" operator="lessThan">
      <formula>0</formula>
    </cfRule>
  </conditionalFormatting>
  <conditionalFormatting sqref="S56">
    <cfRule type="cellIs" dxfId="1709" priority="549" stopIfTrue="1" operator="lessThan">
      <formula>0</formula>
    </cfRule>
  </conditionalFormatting>
  <conditionalFormatting sqref="P58">
    <cfRule type="cellIs" dxfId="1708" priority="548" stopIfTrue="1" operator="lessThan">
      <formula>0</formula>
    </cfRule>
  </conditionalFormatting>
  <conditionalFormatting sqref="P59">
    <cfRule type="cellIs" dxfId="1707" priority="547" stopIfTrue="1" operator="lessThan">
      <formula>0</formula>
    </cfRule>
  </conditionalFormatting>
  <conditionalFormatting sqref="O58:O59">
    <cfRule type="cellIs" dxfId="1706" priority="546" stopIfTrue="1" operator="lessThan">
      <formula>0</formula>
    </cfRule>
  </conditionalFormatting>
  <conditionalFormatting sqref="R58:R59">
    <cfRule type="cellIs" dxfId="1705" priority="545" stopIfTrue="1" operator="lessThan">
      <formula>0</formula>
    </cfRule>
  </conditionalFormatting>
  <conditionalFormatting sqref="S58">
    <cfRule type="cellIs" dxfId="1704" priority="544" stopIfTrue="1" operator="lessThan">
      <formula>0</formula>
    </cfRule>
  </conditionalFormatting>
  <conditionalFormatting sqref="S59">
    <cfRule type="cellIs" dxfId="1703" priority="543" stopIfTrue="1" operator="lessThan">
      <formula>0</formula>
    </cfRule>
  </conditionalFormatting>
  <conditionalFormatting sqref="P63">
    <cfRule type="cellIs" dxfId="1702" priority="529" stopIfTrue="1" operator="lessThan">
      <formula>0</formula>
    </cfRule>
  </conditionalFormatting>
  <conditionalFormatting sqref="S63">
    <cfRule type="cellIs" dxfId="1701" priority="526" stopIfTrue="1" operator="lessThan">
      <formula>0</formula>
    </cfRule>
  </conditionalFormatting>
  <conditionalFormatting sqref="P62">
    <cfRule type="cellIs" dxfId="1700" priority="530" stopIfTrue="1" operator="lessThan">
      <formula>0</formula>
    </cfRule>
  </conditionalFormatting>
  <conditionalFormatting sqref="S62">
    <cfRule type="cellIs" dxfId="1699" priority="527" stopIfTrue="1" operator="lessThan">
      <formula>0</formula>
    </cfRule>
  </conditionalFormatting>
  <conditionalFormatting sqref="O62:O63">
    <cfRule type="cellIs" dxfId="1698" priority="528" stopIfTrue="1" operator="lessThan">
      <formula>0</formula>
    </cfRule>
  </conditionalFormatting>
  <conditionalFormatting sqref="P54">
    <cfRule type="cellIs" dxfId="1697" priority="524" stopIfTrue="1" operator="lessThan">
      <formula>0</formula>
    </cfRule>
  </conditionalFormatting>
  <conditionalFormatting sqref="P57">
    <cfRule type="cellIs" dxfId="1696" priority="522" stopIfTrue="1" operator="lessThan">
      <formula>0</formula>
    </cfRule>
  </conditionalFormatting>
  <conditionalFormatting sqref="R62:R63">
    <cfRule type="cellIs" dxfId="1695" priority="525" stopIfTrue="1" operator="lessThan">
      <formula>0</formula>
    </cfRule>
  </conditionalFormatting>
  <conditionalFormatting sqref="O200:P200 R200:S200">
    <cfRule type="cellIs" dxfId="1694" priority="520" stopIfTrue="1" operator="lessThan">
      <formula>0</formula>
    </cfRule>
  </conditionalFormatting>
  <conditionalFormatting sqref="O163:P163 R163:S163">
    <cfRule type="cellIs" dxfId="1693" priority="514" stopIfTrue="1" operator="lessThan">
      <formula>0</formula>
    </cfRule>
  </conditionalFormatting>
  <conditionalFormatting sqref="S54">
    <cfRule type="cellIs" dxfId="1692" priority="523" stopIfTrue="1" operator="lessThan">
      <formula>0</formula>
    </cfRule>
  </conditionalFormatting>
  <conditionalFormatting sqref="O164:P165 R164:S165">
    <cfRule type="cellIs" dxfId="1691" priority="512" stopIfTrue="1" operator="lessThan">
      <formula>0</formula>
    </cfRule>
  </conditionalFormatting>
  <conditionalFormatting sqref="O168:P168 R168:S168">
    <cfRule type="cellIs" dxfId="1690" priority="510" stopIfTrue="1" operator="lessThan">
      <formula>0</formula>
    </cfRule>
  </conditionalFormatting>
  <conditionalFormatting sqref="S57">
    <cfRule type="cellIs" dxfId="1689" priority="521" stopIfTrue="1" operator="lessThan">
      <formula>0</formula>
    </cfRule>
  </conditionalFormatting>
  <conditionalFormatting sqref="R200:S200 O200:P200">
    <cfRule type="cellIs" dxfId="1688" priority="519" stopIfTrue="1" operator="lessThan">
      <formula>0</formula>
    </cfRule>
  </conditionalFormatting>
  <conditionalFormatting sqref="R162:S163 O162:P163">
    <cfRule type="cellIs" dxfId="1687" priority="515" stopIfTrue="1" operator="lessThan">
      <formula>0</formula>
    </cfRule>
  </conditionalFormatting>
  <conditionalFormatting sqref="O164:P165 R164:S165">
    <cfRule type="cellIs" dxfId="1686" priority="511" stopIfTrue="1" operator="lessThan">
      <formula>0</formula>
    </cfRule>
  </conditionalFormatting>
  <conditionalFormatting sqref="O168:P168 R168:S168">
    <cfRule type="cellIs" dxfId="1685" priority="509" stopIfTrue="1" operator="lessThan">
      <formula>0</formula>
    </cfRule>
  </conditionalFormatting>
  <conditionalFormatting sqref="O166:P166 R166:S166">
    <cfRule type="cellIs" dxfId="1684" priority="497" stopIfTrue="1" operator="lessThan">
      <formula>0</formula>
    </cfRule>
  </conditionalFormatting>
  <conditionalFormatting sqref="O166:P166 R166:S166">
    <cfRule type="cellIs" dxfId="1683" priority="498" stopIfTrue="1" operator="lessThan">
      <formula>0</formula>
    </cfRule>
  </conditionalFormatting>
  <conditionalFormatting sqref="N105">
    <cfRule type="cellIs" dxfId="1682" priority="492" stopIfTrue="1" operator="lessThan">
      <formula>0</formula>
    </cfRule>
  </conditionalFormatting>
  <conditionalFormatting sqref="U118">
    <cfRule type="cellIs" dxfId="1681" priority="487" stopIfTrue="1" operator="lessThan">
      <formula>0</formula>
    </cfRule>
  </conditionalFormatting>
  <conditionalFormatting sqref="U119">
    <cfRule type="cellIs" dxfId="1680" priority="482" stopIfTrue="1" operator="lessThan">
      <formula>0</formula>
    </cfRule>
  </conditionalFormatting>
  <conditionalFormatting sqref="U118">
    <cfRule type="cellIs" dxfId="1679" priority="472" stopIfTrue="1" operator="equal">
      <formula>"2002 г. крайно ДТ с-до"</formula>
    </cfRule>
  </conditionalFormatting>
  <conditionalFormatting sqref="U119">
    <cfRule type="cellIs" dxfId="1678" priority="477" stopIfTrue="1" operator="lessThan">
      <formula>0</formula>
    </cfRule>
  </conditionalFormatting>
  <conditionalFormatting sqref="U118">
    <cfRule type="cellIs" dxfId="1677" priority="462" stopIfTrue="1" operator="equal">
      <formula>"2002 г. крайно ДТ с-до"</formula>
    </cfRule>
  </conditionalFormatting>
  <conditionalFormatting sqref="U119">
    <cfRule type="cellIs" dxfId="1676" priority="467" stopIfTrue="1" operator="lessThan">
      <formula>0</formula>
    </cfRule>
  </conditionalFormatting>
  <conditionalFormatting sqref="U118">
    <cfRule type="cellIs" dxfId="1675" priority="457" stopIfTrue="1" operator="equal">
      <formula>"2002 г. крайно ДТ с-до"</formula>
    </cfRule>
  </conditionalFormatting>
  <conditionalFormatting sqref="U118">
    <cfRule type="cellIs" dxfId="1674" priority="452" stopIfTrue="1" operator="equal">
      <formula>"2002 г. крайно ДТ с-до"</formula>
    </cfRule>
  </conditionalFormatting>
  <conditionalFormatting sqref="U119">
    <cfRule type="cellIs" dxfId="1673" priority="451" stopIfTrue="1" operator="equal">
      <formula>"2002 г. крайно ДТ с-до"</formula>
    </cfRule>
  </conditionalFormatting>
  <conditionalFormatting sqref="U96">
    <cfRule type="cellIs" dxfId="1672" priority="449" stopIfTrue="1" operator="equal">
      <formula>"2002 г. крайно ДТ с-до"</formula>
    </cfRule>
  </conditionalFormatting>
  <conditionalFormatting sqref="U96">
    <cfRule type="cellIs" dxfId="1671" priority="448" stopIfTrue="1" operator="equal">
      <formula>"2002 г. крайно ДТ с-до"</formula>
    </cfRule>
  </conditionalFormatting>
  <conditionalFormatting sqref="U96">
    <cfRule type="cellIs" dxfId="1670" priority="450" stopIfTrue="1" operator="equal">
      <formula>"2002 г. крайно ДТ с-до"</formula>
    </cfRule>
  </conditionalFormatting>
  <conditionalFormatting sqref="U96">
    <cfRule type="cellIs" dxfId="1669" priority="447" stopIfTrue="1" operator="equal">
      <formula>"2002 г. крайно ДТ с-до"</formula>
    </cfRule>
  </conditionalFormatting>
  <conditionalFormatting sqref="G96">
    <cfRule type="cellIs" dxfId="1668" priority="435" stopIfTrue="1" operator="equal">
      <formula>"2002 г. крайно ДТ с-до"</formula>
    </cfRule>
  </conditionalFormatting>
  <conditionalFormatting sqref="G96">
    <cfRule type="cellIs" dxfId="1667" priority="436" stopIfTrue="1" operator="equal">
      <formula>"2002 г. крайно ДТ с-до"</formula>
    </cfRule>
  </conditionalFormatting>
  <conditionalFormatting sqref="G96">
    <cfRule type="cellIs" dxfId="1666" priority="438" stopIfTrue="1" operator="equal">
      <formula>"2002 г. крайно ДТ с-до"</formula>
    </cfRule>
  </conditionalFormatting>
  <conditionalFormatting sqref="G96">
    <cfRule type="cellIs" dxfId="1665" priority="437" stopIfTrue="1" operator="equal">
      <formula>"2002 г. крайно ДТ с-до"</formula>
    </cfRule>
  </conditionalFormatting>
  <conditionalFormatting sqref="U100">
    <cfRule type="cellIs" dxfId="1664" priority="354" stopIfTrue="1" operator="equal">
      <formula>"2002 г. крайно ДТ с-до"</formula>
    </cfRule>
  </conditionalFormatting>
  <conditionalFormatting sqref="U114">
    <cfRule type="cellIs" dxfId="1663" priority="212" stopIfTrue="1" operator="equal">
      <formula>"2002 г. крайно ДТ с-до"</formula>
    </cfRule>
  </conditionalFormatting>
  <conditionalFormatting sqref="R128:R149 O129:P149">
    <cfRule type="cellIs" dxfId="1662" priority="429" stopIfTrue="1" operator="lessThan">
      <formula>0</formula>
    </cfRule>
  </conditionalFormatting>
  <conditionalFormatting sqref="R128:R149">
    <cfRule type="cellIs" dxfId="1661" priority="428" stopIfTrue="1" operator="lessThan">
      <formula>0</formula>
    </cfRule>
  </conditionalFormatting>
  <conditionalFormatting sqref="O98">
    <cfRule type="cellIs" dxfId="1660" priority="426" stopIfTrue="1" operator="equal">
      <formula>"2002 г. крайно ДТ с-до"</formula>
    </cfRule>
  </conditionalFormatting>
  <conditionalFormatting sqref="P120">
    <cfRule type="cellIs" dxfId="1659" priority="427" stopIfTrue="1" operator="lessThan">
      <formula>0</formula>
    </cfRule>
  </conditionalFormatting>
  <conditionalFormatting sqref="P110">
    <cfRule type="cellIs" dxfId="1658" priority="423" stopIfTrue="1" operator="equal">
      <formula>"2002 г. крайно ДТ с-до"</formula>
    </cfRule>
  </conditionalFormatting>
  <conditionalFormatting sqref="O110">
    <cfRule type="cellIs" dxfId="1657" priority="422" stopIfTrue="1" operator="lessThan">
      <formula>0</formula>
    </cfRule>
  </conditionalFormatting>
  <conditionalFormatting sqref="P120">
    <cfRule type="cellIs" dxfId="1656" priority="424" stopIfTrue="1" operator="lessThan">
      <formula>0</formula>
    </cfRule>
  </conditionalFormatting>
  <conditionalFormatting sqref="O106:P106">
    <cfRule type="cellIs" dxfId="1655" priority="425" stopIfTrue="1" operator="lessThan">
      <formula>0</formula>
    </cfRule>
  </conditionalFormatting>
  <conditionalFormatting sqref="O101">
    <cfRule type="cellIs" dxfId="1654" priority="421" stopIfTrue="1" operator="equal">
      <formula>"2002 г. крайно ДТ с-до"</formula>
    </cfRule>
  </conditionalFormatting>
  <conditionalFormatting sqref="P121">
    <cfRule type="cellIs" dxfId="1653" priority="420" stopIfTrue="1" operator="equal">
      <formula>"2002 г. крайно ДТ с-до"</formula>
    </cfRule>
  </conditionalFormatting>
  <conditionalFormatting sqref="O109:P109">
    <cfRule type="cellIs" dxfId="1652" priority="419" stopIfTrue="1" operator="lessThan">
      <formula>0</formula>
    </cfRule>
  </conditionalFormatting>
  <conditionalFormatting sqref="O121">
    <cfRule type="cellIs" dxfId="1651" priority="418" stopIfTrue="1" operator="lessThan">
      <formula>0</formula>
    </cfRule>
  </conditionalFormatting>
  <conditionalFormatting sqref="P111:P113">
    <cfRule type="cellIs" dxfId="1650" priority="417" stopIfTrue="1" operator="lessThan">
      <formula>0</formula>
    </cfRule>
  </conditionalFormatting>
  <conditionalFormatting sqref="P111:P113">
    <cfRule type="cellIs" dxfId="1649" priority="416" stopIfTrue="1" operator="lessThan">
      <formula>0</formula>
    </cfRule>
  </conditionalFormatting>
  <conditionalFormatting sqref="P111">
    <cfRule type="cellIs" dxfId="1648" priority="415" stopIfTrue="1" operator="notEqual">
      <formula>0</formula>
    </cfRule>
  </conditionalFormatting>
  <conditionalFormatting sqref="P112">
    <cfRule type="cellIs" dxfId="1647" priority="414" stopIfTrue="1" operator="notEqual">
      <formula>0</formula>
    </cfRule>
  </conditionalFormatting>
  <conditionalFormatting sqref="P113">
    <cfRule type="cellIs" dxfId="1646" priority="413" stopIfTrue="1" operator="notEqual">
      <formula>0</formula>
    </cfRule>
  </conditionalFormatting>
  <conditionalFormatting sqref="P99">
    <cfRule type="cellIs" dxfId="1645" priority="412" stopIfTrue="1" operator="equal">
      <formula>"2002 г. крайно ДТ с-до"</formula>
    </cfRule>
  </conditionalFormatting>
  <conditionalFormatting sqref="P102">
    <cfRule type="cellIs" dxfId="1644" priority="411" stopIfTrue="1" operator="equal">
      <formula>"2002 г. крайно ДТ с-до"</formula>
    </cfRule>
  </conditionalFormatting>
  <conditionalFormatting sqref="P108">
    <cfRule type="cellIs" dxfId="1643" priority="410" stopIfTrue="1" operator="equal">
      <formula>"2002 г. крайно ДТ с-до"</formula>
    </cfRule>
  </conditionalFormatting>
  <conditionalFormatting sqref="O115">
    <cfRule type="cellIs" dxfId="1642" priority="409" stopIfTrue="1" operator="equal">
      <formula>"2002 г. крайно ДТ с-до"</formula>
    </cfRule>
  </conditionalFormatting>
  <conditionalFormatting sqref="O112">
    <cfRule type="cellIs" dxfId="1641" priority="408" stopIfTrue="1" operator="equal">
      <formula>"2002 г. крайно ДТ с-до"</formula>
    </cfRule>
  </conditionalFormatting>
  <conditionalFormatting sqref="O118">
    <cfRule type="cellIs" dxfId="1640" priority="407" stopIfTrue="1" operator="equal">
      <formula>"2002 г. крайно ДТ с-до"</formula>
    </cfRule>
  </conditionalFormatting>
  <conditionalFormatting sqref="O103:P103">
    <cfRule type="cellIs" dxfId="1639" priority="406" stopIfTrue="1" operator="lessThan">
      <formula>0</formula>
    </cfRule>
  </conditionalFormatting>
  <conditionalFormatting sqref="O104">
    <cfRule type="cellIs" dxfId="1638" priority="405" stopIfTrue="1" operator="equal">
      <formula>"2002 г. крайно ДТ с-до"</formula>
    </cfRule>
  </conditionalFormatting>
  <conditionalFormatting sqref="P105">
    <cfRule type="cellIs" dxfId="1637" priority="404" stopIfTrue="1" operator="equal">
      <formula>"2002 г. крайно ДТ с-до"</formula>
    </cfRule>
  </conditionalFormatting>
  <conditionalFormatting sqref="O107">
    <cfRule type="cellIs" dxfId="1636" priority="403" stopIfTrue="1" operator="equal">
      <formula>"2002 г. крайно ДТ с-до"</formula>
    </cfRule>
  </conditionalFormatting>
  <conditionalFormatting sqref="S120">
    <cfRule type="cellIs" dxfId="1635" priority="402" stopIfTrue="1" operator="lessThan">
      <formula>0</formula>
    </cfRule>
  </conditionalFormatting>
  <conditionalFormatting sqref="R110">
    <cfRule type="cellIs" dxfId="1634" priority="396" stopIfTrue="1" operator="lessThan">
      <formula>0</formula>
    </cfRule>
  </conditionalFormatting>
  <conditionalFormatting sqref="S106">
    <cfRule type="cellIs" dxfId="1633" priority="400" stopIfTrue="1" operator="lessThan">
      <formula>0</formula>
    </cfRule>
  </conditionalFormatting>
  <conditionalFormatting sqref="S99">
    <cfRule type="cellIs" dxfId="1632" priority="381" stopIfTrue="1" operator="equal">
      <formula>"2002 г. крайно ДТ с-до"</formula>
    </cfRule>
  </conditionalFormatting>
  <conditionalFormatting sqref="S120">
    <cfRule type="cellIs" dxfId="1631" priority="399" stopIfTrue="1" operator="lessThan">
      <formula>0</formula>
    </cfRule>
  </conditionalFormatting>
  <conditionalFormatting sqref="S110">
    <cfRule type="cellIs" dxfId="1630" priority="397" stopIfTrue="1" operator="equal">
      <formula>"2002 г. крайно ДТ с-до"</formula>
    </cfRule>
  </conditionalFormatting>
  <conditionalFormatting sqref="S121">
    <cfRule type="cellIs" dxfId="1629" priority="394" stopIfTrue="1" operator="equal">
      <formula>"2002 г. крайно ДТ с-до"</formula>
    </cfRule>
  </conditionalFormatting>
  <conditionalFormatting sqref="R109:S109">
    <cfRule type="cellIs" dxfId="1628" priority="391" stopIfTrue="1" operator="lessThan">
      <formula>0</formula>
    </cfRule>
  </conditionalFormatting>
  <conditionalFormatting sqref="R121">
    <cfRule type="cellIs" dxfId="1627" priority="388" stopIfTrue="1" operator="lessThan">
      <formula>0</formula>
    </cfRule>
  </conditionalFormatting>
  <conditionalFormatting sqref="S111:S113">
    <cfRule type="cellIs" dxfId="1626" priority="386" stopIfTrue="1" operator="lessThan">
      <formula>0</formula>
    </cfRule>
  </conditionalFormatting>
  <conditionalFormatting sqref="S111:S113">
    <cfRule type="cellIs" dxfId="1625" priority="385" stopIfTrue="1" operator="lessThan">
      <formula>0</formula>
    </cfRule>
  </conditionalFormatting>
  <conditionalFormatting sqref="S111">
    <cfRule type="cellIs" dxfId="1624" priority="384" stopIfTrue="1" operator="notEqual">
      <formula>0</formula>
    </cfRule>
  </conditionalFormatting>
  <conditionalFormatting sqref="S112">
    <cfRule type="cellIs" dxfId="1623" priority="383" stopIfTrue="1" operator="notEqual">
      <formula>0</formula>
    </cfRule>
  </conditionalFormatting>
  <conditionalFormatting sqref="S113">
    <cfRule type="cellIs" dxfId="1622" priority="382" stopIfTrue="1" operator="notEqual">
      <formula>0</formula>
    </cfRule>
  </conditionalFormatting>
  <conditionalFormatting sqref="S108">
    <cfRule type="cellIs" dxfId="1621" priority="379" stopIfTrue="1" operator="equal">
      <formula>"2002 г. крайно ДТ с-до"</formula>
    </cfRule>
  </conditionalFormatting>
  <conditionalFormatting sqref="S102">
    <cfRule type="cellIs" dxfId="1620" priority="380" stopIfTrue="1" operator="equal">
      <formula>"2002 г. крайно ДТ с-до"</formula>
    </cfRule>
  </conditionalFormatting>
  <conditionalFormatting sqref="U109">
    <cfRule type="cellIs" dxfId="1619" priority="361" stopIfTrue="1" operator="equal">
      <formula>"2002 г. крайно ДТ с-до"</formula>
    </cfRule>
  </conditionalFormatting>
  <conditionalFormatting sqref="S103">
    <cfRule type="cellIs" dxfId="1618" priority="374" stopIfTrue="1" operator="lessThan">
      <formula>0</formula>
    </cfRule>
  </conditionalFormatting>
  <conditionalFormatting sqref="U103">
    <cfRule type="cellIs" dxfId="1617" priority="352" stopIfTrue="1" operator="equal">
      <formula>"2002 г. крайно ДТ с-до"</formula>
    </cfRule>
  </conditionalFormatting>
  <conditionalFormatting sqref="U100">
    <cfRule type="cellIs" dxfId="1616" priority="330" stopIfTrue="1" operator="equal">
      <formula>"2002 г. крайно ДТ с-до"</formula>
    </cfRule>
  </conditionalFormatting>
  <conditionalFormatting sqref="U111">
    <cfRule type="cellIs" dxfId="1615" priority="324" stopIfTrue="1" operator="equal">
      <formula>"2002 г. крайно ДТ с-до"</formula>
    </cfRule>
  </conditionalFormatting>
  <conditionalFormatting sqref="U103">
    <cfRule type="cellIs" dxfId="1614" priority="371" stopIfTrue="1" operator="lessThan">
      <formula>0</formula>
    </cfRule>
  </conditionalFormatting>
  <conditionalFormatting sqref="U106">
    <cfRule type="cellIs" dxfId="1613" priority="370" stopIfTrue="1" operator="lessThan">
      <formula>0</formula>
    </cfRule>
  </conditionalFormatting>
  <conditionalFormatting sqref="U100">
    <cfRule type="cellIs" dxfId="1612" priority="368" stopIfTrue="1" operator="lessThan">
      <formula>0</formula>
    </cfRule>
  </conditionalFormatting>
  <conditionalFormatting sqref="U103">
    <cfRule type="cellIs" dxfId="1611" priority="290" stopIfTrue="1" operator="equal">
      <formula>"2002 г. крайно ДТ с-до"</formula>
    </cfRule>
  </conditionalFormatting>
  <conditionalFormatting sqref="U106">
    <cfRule type="cellIs" dxfId="1610" priority="350" stopIfTrue="1" operator="equal">
      <formula>"2002 г. крайно ДТ с-до"</formula>
    </cfRule>
  </conditionalFormatting>
  <conditionalFormatting sqref="U111">
    <cfRule type="cellIs" dxfId="1609" priority="348" stopIfTrue="1" operator="equal">
      <formula>"2002 г. крайно ДТ с-до"</formula>
    </cfRule>
  </conditionalFormatting>
  <conditionalFormatting sqref="U100">
    <cfRule type="cellIs" dxfId="1608" priority="342" stopIfTrue="1" operator="equal">
      <formula>"2002 г. крайно ДТ с-до"</formula>
    </cfRule>
  </conditionalFormatting>
  <conditionalFormatting sqref="U106">
    <cfRule type="cellIs" dxfId="1607" priority="338" stopIfTrue="1" operator="equal">
      <formula>"2002 г. крайно ДТ с-до"</formula>
    </cfRule>
  </conditionalFormatting>
  <conditionalFormatting sqref="U111">
    <cfRule type="cellIs" dxfId="1606" priority="336" stopIfTrue="1" operator="equal">
      <formula>"2002 г. крайно ДТ с-до"</formula>
    </cfRule>
  </conditionalFormatting>
  <conditionalFormatting sqref="U109">
    <cfRule type="cellIs" dxfId="1605" priority="332" stopIfTrue="1" operator="lessThan">
      <formula>0</formula>
    </cfRule>
  </conditionalFormatting>
  <conditionalFormatting sqref="U103">
    <cfRule type="cellIs" dxfId="1604" priority="328" stopIfTrue="1" operator="equal">
      <formula>"2002 г. крайно ДТ с-до"</formula>
    </cfRule>
  </conditionalFormatting>
  <conditionalFormatting sqref="U106">
    <cfRule type="cellIs" dxfId="1603" priority="326" stopIfTrue="1" operator="equal">
      <formula>"2002 г. крайно ДТ с-до"</formula>
    </cfRule>
  </conditionalFormatting>
  <conditionalFormatting sqref="U120">
    <cfRule type="cellIs" dxfId="1602" priority="323" stopIfTrue="1" operator="lessThan">
      <formula>0</formula>
    </cfRule>
  </conditionalFormatting>
  <conditionalFormatting sqref="U100">
    <cfRule type="cellIs" dxfId="1601" priority="317" stopIfTrue="1" operator="equal">
      <formula>"2002 г. крайно ДТ с-до"</formula>
    </cfRule>
  </conditionalFormatting>
  <conditionalFormatting sqref="U103">
    <cfRule type="cellIs" dxfId="1600" priority="315" stopIfTrue="1" operator="equal">
      <formula>"2002 г. крайно ДТ с-до"</formula>
    </cfRule>
  </conditionalFormatting>
  <conditionalFormatting sqref="U106">
    <cfRule type="cellIs" dxfId="1599" priority="313" stopIfTrue="1" operator="equal">
      <formula>"2002 г. крайно ДТ с-до"</formula>
    </cfRule>
  </conditionalFormatting>
  <conditionalFormatting sqref="U111">
    <cfRule type="cellIs" dxfId="1598" priority="311" stopIfTrue="1" operator="equal">
      <formula>"2002 г. крайно ДТ с-до"</formula>
    </cfRule>
  </conditionalFormatting>
  <conditionalFormatting sqref="U109">
    <cfRule type="cellIs" dxfId="1597" priority="307" stopIfTrue="1" operator="lessThan">
      <formula>0</formula>
    </cfRule>
  </conditionalFormatting>
  <conditionalFormatting sqref="U100">
    <cfRule type="cellIs" dxfId="1596" priority="305" stopIfTrue="1" operator="equal">
      <formula>"2002 г. крайно ДТ с-до"</formula>
    </cfRule>
  </conditionalFormatting>
  <conditionalFormatting sqref="U103">
    <cfRule type="cellIs" dxfId="1595" priority="303" stopIfTrue="1" operator="equal">
      <formula>"2002 г. крайно ДТ с-до"</formula>
    </cfRule>
  </conditionalFormatting>
  <conditionalFormatting sqref="U106">
    <cfRule type="cellIs" dxfId="1594" priority="301" stopIfTrue="1" operator="equal">
      <formula>"2002 г. крайно ДТ с-до"</formula>
    </cfRule>
  </conditionalFormatting>
  <conditionalFormatting sqref="U111">
    <cfRule type="cellIs" dxfId="1593" priority="299" stopIfTrue="1" operator="equal">
      <formula>"2002 г. крайно ДТ с-до"</formula>
    </cfRule>
  </conditionalFormatting>
  <conditionalFormatting sqref="U120">
    <cfRule type="cellIs" dxfId="1592" priority="298" stopIfTrue="1" operator="lessThan">
      <formula>0</formula>
    </cfRule>
  </conditionalFormatting>
  <conditionalFormatting sqref="U109">
    <cfRule type="cellIs" dxfId="1591" priority="294" stopIfTrue="1" operator="lessThan">
      <formula>0</formula>
    </cfRule>
  </conditionalFormatting>
  <conditionalFormatting sqref="U100">
    <cfRule type="cellIs" dxfId="1590" priority="292" stopIfTrue="1" operator="equal">
      <formula>"2002 г. крайно ДТ с-до"</formula>
    </cfRule>
  </conditionalFormatting>
  <conditionalFormatting sqref="U106">
    <cfRule type="cellIs" dxfId="1589" priority="288" stopIfTrue="1" operator="equal">
      <formula>"2002 г. крайно ДТ с-до"</formula>
    </cfRule>
  </conditionalFormatting>
  <conditionalFormatting sqref="U111">
    <cfRule type="cellIs" dxfId="1588" priority="286" stopIfTrue="1" operator="equal">
      <formula>"2002 г. крайно ДТ с-до"</formula>
    </cfRule>
  </conditionalFormatting>
  <conditionalFormatting sqref="U120">
    <cfRule type="cellIs" dxfId="1587" priority="285" stopIfTrue="1" operator="lessThan">
      <formula>0</formula>
    </cfRule>
  </conditionalFormatting>
  <conditionalFormatting sqref="U106">
    <cfRule type="cellIs" dxfId="1586" priority="283" stopIfTrue="1" operator="lessThan">
      <formula>0</formula>
    </cfRule>
  </conditionalFormatting>
  <conditionalFormatting sqref="U109">
    <cfRule type="cellIs" dxfId="1585" priority="281" stopIfTrue="1" operator="lessThan">
      <formula>0</formula>
    </cfRule>
  </conditionalFormatting>
  <conditionalFormatting sqref="U103">
    <cfRule type="cellIs" dxfId="1584" priority="279" stopIfTrue="1" operator="lessThan">
      <formula>0</formula>
    </cfRule>
  </conditionalFormatting>
  <conditionalFormatting sqref="U114">
    <cfRule type="cellIs" dxfId="1583" priority="207" stopIfTrue="1" operator="equal">
      <formula>"2002 г. крайно ДТ с-до"</formula>
    </cfRule>
  </conditionalFormatting>
  <conditionalFormatting sqref="U117">
    <cfRule type="cellIs" dxfId="1582" priority="205" stopIfTrue="1" operator="equal">
      <formula>"2002 г. крайно ДТ с-до"</formula>
    </cfRule>
  </conditionalFormatting>
  <conditionalFormatting sqref="U114">
    <cfRule type="cellIs" dxfId="1581" priority="202" stopIfTrue="1" operator="equal">
      <formula>"2002 г. крайно ДТ с-до"</formula>
    </cfRule>
  </conditionalFormatting>
  <conditionalFormatting sqref="U117">
    <cfRule type="cellIs" dxfId="1580" priority="200" stopIfTrue="1" operator="equal">
      <formula>"2002 г. крайно ДТ с-до"</formula>
    </cfRule>
  </conditionalFormatting>
  <conditionalFormatting sqref="U114">
    <cfRule type="cellIs" dxfId="1579" priority="197" stopIfTrue="1" operator="equal">
      <formula>"2002 г. крайно ДТ с-до"</formula>
    </cfRule>
  </conditionalFormatting>
  <conditionalFormatting sqref="U117">
    <cfRule type="cellIs" dxfId="1578" priority="195" stopIfTrue="1" operator="equal">
      <formula>"2002 г. крайно ДТ с-до"</formula>
    </cfRule>
  </conditionalFormatting>
  <conditionalFormatting sqref="U114">
    <cfRule type="cellIs" dxfId="1577" priority="192" stopIfTrue="1" operator="equal">
      <formula>"2002 г. крайно ДТ с-до"</formula>
    </cfRule>
  </conditionalFormatting>
  <conditionalFormatting sqref="U117">
    <cfRule type="cellIs" dxfId="1576" priority="190" stopIfTrue="1" operator="equal">
      <formula>"2002 г. крайно ДТ с-до"</formula>
    </cfRule>
  </conditionalFormatting>
  <conditionalFormatting sqref="U114">
    <cfRule type="cellIs" dxfId="1575" priority="187" stopIfTrue="1" operator="equal">
      <formula>"2002 г. крайно ДТ с-до"</formula>
    </cfRule>
  </conditionalFormatting>
  <conditionalFormatting sqref="U117">
    <cfRule type="cellIs" dxfId="1574" priority="185" stopIfTrue="1" operator="equal">
      <formula>"2002 г. крайно ДТ с-до"</formula>
    </cfRule>
  </conditionalFormatting>
  <conditionalFormatting sqref="O95">
    <cfRule type="cellIs" dxfId="1573" priority="156" stopIfTrue="1" operator="equal">
      <formula>"2002 г. крайно ДТ с-до"</formula>
    </cfRule>
  </conditionalFormatting>
  <conditionalFormatting sqref="U97">
    <cfRule type="cellIs" dxfId="1572" priority="230" stopIfTrue="1" operator="equal">
      <formula>"2002 г. крайно ДТ с-до"</formula>
    </cfRule>
  </conditionalFormatting>
  <conditionalFormatting sqref="U97">
    <cfRule type="cellIs" dxfId="1571" priority="229" stopIfTrue="1" operator="equal">
      <formula>"2002 г. крайно ДТ с-до"</formula>
    </cfRule>
  </conditionalFormatting>
  <conditionalFormatting sqref="U97">
    <cfRule type="cellIs" dxfId="1570" priority="228" stopIfTrue="1" operator="equal">
      <formula>"2002 г. крайно ДТ с-до"</formula>
    </cfRule>
  </conditionalFormatting>
  <conditionalFormatting sqref="U97">
    <cfRule type="cellIs" dxfId="1569" priority="227" stopIfTrue="1" operator="equal">
      <formula>"2002 г. крайно ДТ с-до"</formula>
    </cfRule>
  </conditionalFormatting>
  <conditionalFormatting sqref="U97">
    <cfRule type="cellIs" dxfId="1568" priority="226" stopIfTrue="1" operator="equal">
      <formula>"2002 г. крайно ДТ с-до"</formula>
    </cfRule>
  </conditionalFormatting>
  <conditionalFormatting sqref="U97">
    <cfRule type="cellIs" dxfId="1567" priority="225" stopIfTrue="1" operator="equal">
      <formula>"2002 г. крайно ДТ с-до"</formula>
    </cfRule>
  </conditionalFormatting>
  <conditionalFormatting sqref="U110">
    <cfRule type="cellIs" dxfId="1566" priority="223" stopIfTrue="1" operator="equal">
      <formula>"2002 г. крайно ДТ с-до"</formula>
    </cfRule>
  </conditionalFormatting>
  <conditionalFormatting sqref="U110">
    <cfRule type="cellIs" dxfId="1565" priority="222" stopIfTrue="1" operator="equal">
      <formula>"2002 г. крайно ДТ с-до"</formula>
    </cfRule>
  </conditionalFormatting>
  <conditionalFormatting sqref="U110">
    <cfRule type="cellIs" dxfId="1564" priority="221" stopIfTrue="1" operator="equal">
      <formula>"2002 г. крайно ДТ с-до"</formula>
    </cfRule>
  </conditionalFormatting>
  <conditionalFormatting sqref="U110">
    <cfRule type="cellIs" dxfId="1563" priority="220" stopIfTrue="1" operator="equal">
      <formula>"2002 г. крайно ДТ с-до"</formula>
    </cfRule>
  </conditionalFormatting>
  <conditionalFormatting sqref="U110">
    <cfRule type="cellIs" dxfId="1562" priority="219" stopIfTrue="1" operator="lessThan">
      <formula>0</formula>
    </cfRule>
  </conditionalFormatting>
  <conditionalFormatting sqref="U117">
    <cfRule type="cellIs" dxfId="1561" priority="210" stopIfTrue="1" operator="equal">
      <formula>"2002 г. крайно ДТ с-до"</formula>
    </cfRule>
  </conditionalFormatting>
  <conditionalFormatting sqref="V110">
    <cfRule type="cellIs" dxfId="1560" priority="155" stopIfTrue="1" operator="equal">
      <formula>"2002 г. крайно ДТ с-до"</formula>
    </cfRule>
  </conditionalFormatting>
  <conditionalFormatting sqref="U121">
    <cfRule type="cellIs" dxfId="1559" priority="176" stopIfTrue="1" operator="lessThan">
      <formula>0</formula>
    </cfRule>
  </conditionalFormatting>
  <conditionalFormatting sqref="V121">
    <cfRule type="cellIs" dxfId="1558" priority="153" stopIfTrue="1" operator="equal">
      <formula>"2002 г. крайно ДТ с-до"</formula>
    </cfRule>
  </conditionalFormatting>
  <conditionalFormatting sqref="S96">
    <cfRule type="cellIs" dxfId="1557" priority="103" stopIfTrue="1" operator="equal">
      <formula>"2002 г. крайно ДТ с-до"</formula>
    </cfRule>
  </conditionalFormatting>
  <conditionalFormatting sqref="R113">
    <cfRule type="cellIs" dxfId="1556" priority="101" stopIfTrue="1" operator="equal">
      <formula>"2002 г. крайно ДТ с-до"</formula>
    </cfRule>
  </conditionalFormatting>
  <conditionalFormatting sqref="R116">
    <cfRule type="cellIs" dxfId="1555" priority="98" stopIfTrue="1" operator="equal">
      <formula>"2002 г. крайно ДТ с-до"</formula>
    </cfRule>
  </conditionalFormatting>
  <conditionalFormatting sqref="O95">
    <cfRule type="cellIs" dxfId="1554" priority="159" stopIfTrue="1" operator="equal">
      <formula>"2002 г. крайно ДТ с-до"</formula>
    </cfRule>
  </conditionalFormatting>
  <conditionalFormatting sqref="O95">
    <cfRule type="cellIs" dxfId="1553" priority="157" stopIfTrue="1" operator="equal">
      <formula>"2002 г. крайно ДТ с-до"</formula>
    </cfRule>
  </conditionalFormatting>
  <conditionalFormatting sqref="O95">
    <cfRule type="cellIs" dxfId="1552" priority="158" stopIfTrue="1" operator="equal">
      <formula>"2002 г. крайно ДТ с-до"</formula>
    </cfRule>
  </conditionalFormatting>
  <conditionalFormatting sqref="R115">
    <cfRule type="cellIs" dxfId="1551" priority="99" stopIfTrue="1" operator="equal">
      <formula>"2002 г. крайно ДТ с-до"</formula>
    </cfRule>
  </conditionalFormatting>
  <conditionalFormatting sqref="R99">
    <cfRule type="cellIs" dxfId="1550" priority="115" stopIfTrue="1" operator="equal">
      <formula>"2002 г. крайно ДТ с-до"</formula>
    </cfRule>
  </conditionalFormatting>
  <conditionalFormatting sqref="R108">
    <cfRule type="cellIs" dxfId="1549" priority="114" stopIfTrue="1" operator="equal">
      <formula>"2002 г. крайно ДТ с-до"</formula>
    </cfRule>
  </conditionalFormatting>
  <conditionalFormatting sqref="R102">
    <cfRule type="cellIs" dxfId="1548" priority="113" stopIfTrue="1" operator="equal">
      <formula>"2002 г. крайно ДТ с-до"</formula>
    </cfRule>
  </conditionalFormatting>
  <conditionalFormatting sqref="U115">
    <cfRule type="cellIs" dxfId="1547" priority="79" stopIfTrue="1" operator="equal">
      <formula>"2002 г. крайно ДТ с-до"</formula>
    </cfRule>
  </conditionalFormatting>
  <conditionalFormatting sqref="S96">
    <cfRule type="cellIs" dxfId="1546" priority="104" stopIfTrue="1" operator="equal">
      <formula>"2002 г. крайно ДТ с-до"</formula>
    </cfRule>
  </conditionalFormatting>
  <conditionalFormatting sqref="S96">
    <cfRule type="cellIs" dxfId="1545" priority="102" stopIfTrue="1" operator="equal">
      <formula>"2002 г. крайно ДТ с-до"</formula>
    </cfRule>
  </conditionalFormatting>
  <conditionalFormatting sqref="U113">
    <cfRule type="cellIs" dxfId="1544" priority="95" stopIfTrue="1" operator="equal">
      <formula>"2002 г. крайно ДТ с-до"</formula>
    </cfRule>
  </conditionalFormatting>
  <conditionalFormatting sqref="R105">
    <cfRule type="cellIs" dxfId="1543" priority="110" stopIfTrue="1" operator="equal">
      <formula>"2002 г. крайно ДТ с-до"</formula>
    </cfRule>
  </conditionalFormatting>
  <conditionalFormatting sqref="R107">
    <cfRule type="cellIs" dxfId="1542" priority="117" stopIfTrue="1" operator="equal">
      <formula>"2002 г. крайно ДТ с-до"</formula>
    </cfRule>
  </conditionalFormatting>
  <conditionalFormatting sqref="O170:P170 R170:S170">
    <cfRule type="cellIs" dxfId="1541" priority="130" stopIfTrue="1" operator="lessThan">
      <formula>0</formula>
    </cfRule>
  </conditionalFormatting>
  <conditionalFormatting sqref="O170:P170 R170:S170">
    <cfRule type="cellIs" dxfId="1540" priority="129" stopIfTrue="1" operator="lessThan">
      <formula>0</formula>
    </cfRule>
  </conditionalFormatting>
  <conditionalFormatting sqref="O167:P167 R167:S167">
    <cfRule type="cellIs" dxfId="1539" priority="127" stopIfTrue="1" operator="lessThan">
      <formula>0</formula>
    </cfRule>
  </conditionalFormatting>
  <conditionalFormatting sqref="O167:P167 R167:S167">
    <cfRule type="cellIs" dxfId="1538" priority="128" stopIfTrue="1" operator="lessThan">
      <formula>0</formula>
    </cfRule>
  </conditionalFormatting>
  <conditionalFormatting sqref="O169:P169 R169:S169">
    <cfRule type="cellIs" dxfId="1537" priority="126" stopIfTrue="1" operator="lessThan">
      <formula>0</formula>
    </cfRule>
  </conditionalFormatting>
  <conditionalFormatting sqref="O169:P169 R169:S169">
    <cfRule type="cellIs" dxfId="1536" priority="125" stopIfTrue="1" operator="lessThan">
      <formula>0</formula>
    </cfRule>
  </conditionalFormatting>
  <conditionalFormatting sqref="V111:V113">
    <cfRule type="cellIs" dxfId="1535" priority="124" stopIfTrue="1" operator="lessThan">
      <formula>0</formula>
    </cfRule>
  </conditionalFormatting>
  <conditionalFormatting sqref="V111:V113">
    <cfRule type="cellIs" dxfId="1534" priority="123" stopIfTrue="1" operator="lessThan">
      <formula>0</formula>
    </cfRule>
  </conditionalFormatting>
  <conditionalFormatting sqref="V111">
    <cfRule type="cellIs" dxfId="1533" priority="122" stopIfTrue="1" operator="notEqual">
      <formula>0</formula>
    </cfRule>
  </conditionalFormatting>
  <conditionalFormatting sqref="V112">
    <cfRule type="cellIs" dxfId="1532" priority="121" stopIfTrue="1" operator="notEqual">
      <formula>0</formula>
    </cfRule>
  </conditionalFormatting>
  <conditionalFormatting sqref="V113">
    <cfRule type="cellIs" dxfId="1531" priority="120" stopIfTrue="1" operator="notEqual">
      <formula>0</formula>
    </cfRule>
  </conditionalFormatting>
  <conditionalFormatting sqref="R106">
    <cfRule type="cellIs" dxfId="1530" priority="118" stopIfTrue="1" operator="lessThan">
      <formula>0</formula>
    </cfRule>
  </conditionalFormatting>
  <conditionalFormatting sqref="R98">
    <cfRule type="cellIs" dxfId="1529" priority="119" stopIfTrue="1" operator="equal">
      <formula>"2002 г. крайно ДТ с-до"</formula>
    </cfRule>
  </conditionalFormatting>
  <conditionalFormatting sqref="R101">
    <cfRule type="cellIs" dxfId="1528" priority="116" stopIfTrue="1" operator="equal">
      <formula>"2002 г. крайно ДТ с-до"</formula>
    </cfRule>
  </conditionalFormatting>
  <conditionalFormatting sqref="R96">
    <cfRule type="cellIs" dxfId="1527" priority="107" stopIfTrue="1" operator="equal">
      <formula>"2002 г. крайно ДТ с-до"</formula>
    </cfRule>
  </conditionalFormatting>
  <conditionalFormatting sqref="R96">
    <cfRule type="cellIs" dxfId="1526" priority="106" stopIfTrue="1" operator="equal">
      <formula>"2002 г. крайно ДТ с-до"</formula>
    </cfRule>
  </conditionalFormatting>
  <conditionalFormatting sqref="S96">
    <cfRule type="cellIs" dxfId="1525" priority="105" stopIfTrue="1" operator="equal">
      <formula>"2002 г. крайно ДТ с-до"</formula>
    </cfRule>
  </conditionalFormatting>
  <conditionalFormatting sqref="R103">
    <cfRule type="cellIs" dxfId="1524" priority="112" stopIfTrue="1" operator="lessThan">
      <formula>0</formula>
    </cfRule>
  </conditionalFormatting>
  <conditionalFormatting sqref="R104">
    <cfRule type="cellIs" dxfId="1523" priority="111" stopIfTrue="1" operator="equal">
      <formula>"2002 г. крайно ДТ с-до"</formula>
    </cfRule>
  </conditionalFormatting>
  <conditionalFormatting sqref="R96">
    <cfRule type="cellIs" dxfId="1522" priority="109" stopIfTrue="1" operator="equal">
      <formula>"2002 г. крайно ДТ с-до"</formula>
    </cfRule>
  </conditionalFormatting>
  <conditionalFormatting sqref="R96">
    <cfRule type="cellIs" dxfId="1521" priority="108" stopIfTrue="1" operator="equal">
      <formula>"2002 г. крайно ДТ с-до"</formula>
    </cfRule>
  </conditionalFormatting>
  <conditionalFormatting sqref="R118">
    <cfRule type="cellIs" dxfId="1520" priority="96" stopIfTrue="1" operator="equal">
      <formula>"2002 г. крайно ДТ с-до"</formula>
    </cfRule>
  </conditionalFormatting>
  <conditionalFormatting sqref="U116">
    <cfRule type="cellIs" dxfId="1519" priority="94" stopIfTrue="1" operator="equal">
      <formula>"2002 г. крайно ДТ с-до"</formula>
    </cfRule>
  </conditionalFormatting>
  <conditionalFormatting sqref="U115">
    <cfRule type="cellIs" dxfId="1518" priority="81" stopIfTrue="1" operator="equal">
      <formula>"2002 г. крайно ДТ с-до"</formula>
    </cfRule>
  </conditionalFormatting>
  <conditionalFormatting sqref="R119">
    <cfRule type="cellIs" dxfId="1517" priority="100" stopIfTrue="1" operator="equal">
      <formula>"2002 г. крайно ДТ с-до"</formula>
    </cfRule>
  </conditionalFormatting>
  <conditionalFormatting sqref="U112">
    <cfRule type="cellIs" dxfId="1516" priority="76" stopIfTrue="1" operator="equal">
      <formula>"2002 г. крайно ДТ с-до"</formula>
    </cfRule>
  </conditionalFormatting>
  <conditionalFormatting sqref="R112">
    <cfRule type="cellIs" dxfId="1515" priority="97" stopIfTrue="1" operator="equal">
      <formula>"2002 г. крайно ДТ с-до"</formula>
    </cfRule>
  </conditionalFormatting>
  <conditionalFormatting sqref="U115">
    <cfRule type="cellIs" dxfId="1514" priority="80" stopIfTrue="1" operator="equal">
      <formula>"2002 г. крайно ДТ с-до"</formula>
    </cfRule>
  </conditionalFormatting>
  <conditionalFormatting sqref="U112">
    <cfRule type="cellIs" dxfId="1513" priority="73" stopIfTrue="1" operator="equal">
      <formula>"2002 г. крайно ДТ с-до"</formula>
    </cfRule>
  </conditionalFormatting>
  <conditionalFormatting sqref="U126">
    <cfRule type="cellIs" dxfId="1512" priority="86" stopIfTrue="1" operator="equal">
      <formula>"2002 г. крайно ДТ с-до"</formula>
    </cfRule>
  </conditionalFormatting>
  <conditionalFormatting sqref="U128">
    <cfRule type="cellIs" dxfId="1511" priority="85" stopIfTrue="1" operator="equal">
      <formula>"2002 г. крайно ДТ с-до"</formula>
    </cfRule>
  </conditionalFormatting>
  <conditionalFormatting sqref="U112">
    <cfRule type="cellIs" dxfId="1510" priority="75" stopIfTrue="1" operator="equal">
      <formula>"2002 г. крайно ДТ с-до"</formula>
    </cfRule>
  </conditionalFormatting>
  <conditionalFormatting sqref="U115">
    <cfRule type="cellIs" dxfId="1509" priority="82" stopIfTrue="1" operator="lessThan">
      <formula>0</formula>
    </cfRule>
  </conditionalFormatting>
  <conditionalFormatting sqref="U115">
    <cfRule type="cellIs" dxfId="1508" priority="78" stopIfTrue="1" operator="equal">
      <formula>"2002 г. крайно ДТ с-до"</formula>
    </cfRule>
  </conditionalFormatting>
  <conditionalFormatting sqref="U112">
    <cfRule type="cellIs" dxfId="1507" priority="77" stopIfTrue="1" operator="lessThan">
      <formula>0</formula>
    </cfRule>
  </conditionalFormatting>
  <conditionalFormatting sqref="U112">
    <cfRule type="cellIs" dxfId="1506" priority="74" stopIfTrue="1" operator="equal">
      <formula>"2002 г. крайно ДТ с-до"</formula>
    </cfRule>
  </conditionalFormatting>
  <conditionalFormatting sqref="U130">
    <cfRule type="cellIs" dxfId="1505" priority="64" stopIfTrue="1" operator="equal">
      <formula>"2002 г. крайно ДТ с-до"</formula>
    </cfRule>
  </conditionalFormatting>
  <conditionalFormatting sqref="U129">
    <cfRule type="cellIs" dxfId="1504" priority="72" stopIfTrue="1" operator="lessThan">
      <formula>0</formula>
    </cfRule>
  </conditionalFormatting>
  <conditionalFormatting sqref="U127">
    <cfRule type="cellIs" dxfId="1503" priority="71" stopIfTrue="1" operator="lessThan">
      <formula>0</formula>
    </cfRule>
  </conditionalFormatting>
  <conditionalFormatting sqref="U127">
    <cfRule type="cellIs" dxfId="1502" priority="70" stopIfTrue="1" operator="lessThan">
      <formula>0</formula>
    </cfRule>
  </conditionalFormatting>
  <conditionalFormatting sqref="U127">
    <cfRule type="cellIs" dxfId="1501" priority="69" stopIfTrue="1" operator="notEqual">
      <formula>0</formula>
    </cfRule>
  </conditionalFormatting>
  <conditionalFormatting sqref="U125">
    <cfRule type="cellIs" dxfId="1500" priority="53" stopIfTrue="1" operator="lessThan">
      <formula>0</formula>
    </cfRule>
  </conditionalFormatting>
  <conditionalFormatting sqref="U125">
    <cfRule type="cellIs" dxfId="1499" priority="52" stopIfTrue="1" operator="lessThan">
      <formula>0</formula>
    </cfRule>
  </conditionalFormatting>
  <conditionalFormatting sqref="U125">
    <cfRule type="cellIs" dxfId="1498" priority="51" stopIfTrue="1" operator="notEqual">
      <formula>0</formula>
    </cfRule>
  </conditionalFormatting>
  <conditionalFormatting sqref="T123">
    <cfRule type="cellIs" dxfId="1497" priority="55" stopIfTrue="1" operator="equal">
      <formula>"2002 г. крайно ДТ с-до"</formula>
    </cfRule>
  </conditionalFormatting>
  <conditionalFormatting sqref="T123">
    <cfRule type="cellIs" dxfId="1496" priority="58" stopIfTrue="1" operator="equal">
      <formula>"2002 г. крайно ДТ с-до"</formula>
    </cfRule>
  </conditionalFormatting>
  <conditionalFormatting sqref="T123">
    <cfRule type="cellIs" dxfId="1495" priority="56" stopIfTrue="1" operator="equal">
      <formula>"2002 г. крайно ДТ с-до"</formula>
    </cfRule>
  </conditionalFormatting>
  <conditionalFormatting sqref="T123">
    <cfRule type="cellIs" dxfId="1494" priority="57" stopIfTrue="1" operator="equal">
      <formula>"2002 г. крайно ДТ с-до"</formula>
    </cfRule>
  </conditionalFormatting>
  <conditionalFormatting sqref="S125">
    <cfRule type="cellIs" dxfId="1493" priority="54" stopIfTrue="1" operator="lessThan">
      <formula>0</formula>
    </cfRule>
  </conditionalFormatting>
  <conditionalFormatting sqref="V114">
    <cfRule type="cellIs" dxfId="1492" priority="39" stopIfTrue="1" operator="equal">
      <formula>"2002 г. крайно ДТ с-до"</formula>
    </cfRule>
  </conditionalFormatting>
  <conditionalFormatting sqref="V114">
    <cfRule type="cellIs" dxfId="1491" priority="36" stopIfTrue="1" operator="equal">
      <formula>"2002 г. крайно ДТ с-до"</formula>
    </cfRule>
  </conditionalFormatting>
  <conditionalFormatting sqref="V114">
    <cfRule type="cellIs" dxfId="1490" priority="38" stopIfTrue="1" operator="equal">
      <formula>"2002 г. крайно ДТ с-до"</formula>
    </cfRule>
  </conditionalFormatting>
  <conditionalFormatting sqref="V114">
    <cfRule type="cellIs" dxfId="1489" priority="40" stopIfTrue="1" operator="lessThan">
      <formula>0</formula>
    </cfRule>
  </conditionalFormatting>
  <conditionalFormatting sqref="V114">
    <cfRule type="cellIs" dxfId="1488" priority="37" stopIfTrue="1" operator="equal">
      <formula>"2002 г. крайно ДТ с-до"</formula>
    </cfRule>
  </conditionalFormatting>
  <conditionalFormatting sqref="V117">
    <cfRule type="cellIs" dxfId="1487" priority="34" stopIfTrue="1" operator="equal">
      <formula>"2002 г. крайно ДТ с-до"</formula>
    </cfRule>
  </conditionalFormatting>
  <conditionalFormatting sqref="V117">
    <cfRule type="cellIs" dxfId="1486" priority="31" stopIfTrue="1" operator="equal">
      <formula>"2002 г. крайно ДТ с-до"</formula>
    </cfRule>
  </conditionalFormatting>
  <conditionalFormatting sqref="V117">
    <cfRule type="cellIs" dxfId="1485" priority="33" stopIfTrue="1" operator="equal">
      <formula>"2002 г. крайно ДТ с-до"</formula>
    </cfRule>
  </conditionalFormatting>
  <conditionalFormatting sqref="V117">
    <cfRule type="cellIs" dxfId="1484" priority="35" stopIfTrue="1" operator="lessThan">
      <formula>0</formula>
    </cfRule>
  </conditionalFormatting>
  <conditionalFormatting sqref="V117">
    <cfRule type="cellIs" dxfId="1483" priority="32" stopIfTrue="1" operator="equal">
      <formula>"2002 г. крайно ДТ с-до"</formula>
    </cfRule>
  </conditionalFormatting>
  <conditionalFormatting sqref="S131:S145 T132:U145">
    <cfRule type="cellIs" dxfId="1482" priority="30" stopIfTrue="1" operator="lessThan">
      <formula>0</formula>
    </cfRule>
  </conditionalFormatting>
  <conditionalFormatting sqref="R126:R127 O126:P127">
    <cfRule type="cellIs" dxfId="1481" priority="26" stopIfTrue="1" operator="lessThan">
      <formula>0</formula>
    </cfRule>
  </conditionalFormatting>
  <conditionalFormatting sqref="R126:R127">
    <cfRule type="cellIs" dxfId="1480" priority="25" stopIfTrue="1" operator="lessThan">
      <formula>0</formula>
    </cfRule>
  </conditionalFormatting>
  <conditionalFormatting sqref="N127">
    <cfRule type="cellIs" dxfId="1479" priority="24" stopIfTrue="1" operator="lessThan">
      <formula>0</formula>
    </cfRule>
  </conditionalFormatting>
  <conditionalFormatting sqref="N126">
    <cfRule type="cellIs" dxfId="1478" priority="23" stopIfTrue="1" operator="lessThan">
      <formula>0</formula>
    </cfRule>
  </conditionalFormatting>
  <conditionalFormatting sqref="O128:P128">
    <cfRule type="cellIs" dxfId="1477" priority="22" stopIfTrue="1" operator="lessThan">
      <formula>0</formula>
    </cfRule>
  </conditionalFormatting>
  <conditionalFormatting sqref="N128">
    <cfRule type="cellIs" dxfId="1476" priority="21" stopIfTrue="1" operator="lessThan">
      <formula>0</formula>
    </cfRule>
  </conditionalFormatting>
  <conditionalFormatting sqref="C110:K110">
    <cfRule type="cellIs" dxfId="1475" priority="3" stopIfTrue="1" operator="equal">
      <formula>"2002 г. крайно ДТ с-до"</formula>
    </cfRule>
  </conditionalFormatting>
  <conditionalFormatting sqref="C121:K121">
    <cfRule type="cellIs" dxfId="1474" priority="2" stopIfTrue="1" operator="equal">
      <formula>"2002 г. крайно ДТ с-до"</formula>
    </cfRule>
  </conditionalFormatting>
  <conditionalFormatting sqref="P96">
    <cfRule type="cellIs" dxfId="1473" priority="1" stopIfTrue="1" operator="equal">
      <formula>"2002 г. крайно ДТ с-до"</formula>
    </cfRule>
  </conditionalFormatting>
  <dataValidations disablePrompts="1" count="2">
    <dataValidation type="list" allowBlank="1" showInputMessage="1" showErrorMessage="1" sqref="H12:K12">
      <formula1>'Municipal-Bal'!#REF!</formula1>
    </dataValidation>
    <dataValidation type="whole" allowBlank="1" showInputMessage="1" showErrorMessage="1" sqref="D4:E4">
      <formula1>0</formula1>
      <formula2>9999999999999990</formula2>
    </dataValidation>
  </dataValidations>
  <pageMargins left="0.15748031496062992" right="0.15748031496062992" top="0.43307086614173229" bottom="0.27559055118110237" header="0.23622047244094491" footer="0.23622047244094491"/>
  <pageSetup paperSize="9" scale="58" orientation="landscape" horizontalDpi="4294967292" r:id="rId1"/>
  <headerFooter alignWithMargins="0">
    <oddHeader>&amp;C&amp;"Times New Roman CYR,Bold"&amp;12- &amp;P / &amp;N -</oddHeader>
  </headerFooter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rgb="FFFFFF00"/>
  </sheetPr>
  <dimension ref="A1:AI1176"/>
  <sheetViews>
    <sheetView zoomScale="90" zoomScaleNormal="90" workbookViewId="0">
      <pane xSplit="12" ySplit="13" topLeftCell="M14" activePane="bottomRight" state="frozen"/>
      <selection pane="topRight" activeCell="M1" sqref="M1"/>
      <selection pane="bottomLeft" activeCell="A14" sqref="A14"/>
      <selection pane="bottomRight" activeCell="M14" sqref="M14"/>
    </sheetView>
  </sheetViews>
  <sheetFormatPr defaultRowHeight="15"/>
  <cols>
    <col min="1" max="1" width="6.140625" style="1392" customWidth="1"/>
    <col min="2" max="2" width="8.7109375" style="1392" customWidth="1"/>
    <col min="3" max="3" width="9.7109375" style="1392" customWidth="1"/>
    <col min="4" max="4" width="9.42578125" style="1392" customWidth="1"/>
    <col min="5" max="5" width="9.140625" style="1392"/>
    <col min="6" max="6" width="9.85546875" style="1392" customWidth="1"/>
    <col min="7" max="7" width="9" style="1392" customWidth="1"/>
    <col min="8" max="8" width="8.140625" style="1392" customWidth="1"/>
    <col min="9" max="9" width="10.7109375" style="1392" customWidth="1"/>
    <col min="10" max="10" width="1.140625" style="1392" customWidth="1"/>
    <col min="11" max="11" width="11.140625" style="1392" customWidth="1"/>
    <col min="12" max="12" width="12" style="1392" customWidth="1"/>
    <col min="13" max="13" width="2.28515625" style="1395" customWidth="1"/>
    <col min="14" max="14" width="7.28515625" style="1396" customWidth="1"/>
    <col min="15" max="16" width="23.7109375" style="1393" customWidth="1"/>
    <col min="17" max="17" width="1" style="1395" customWidth="1"/>
    <col min="18" max="19" width="23.7109375" style="1393" customWidth="1"/>
    <col min="20" max="20" width="1" style="1395" customWidth="1"/>
    <col min="21" max="22" width="23.7109375" style="1393" customWidth="1"/>
    <col min="23" max="23" width="4.28515625" style="1395" customWidth="1"/>
    <col min="24" max="25" width="23.7109375" style="1393" customWidth="1"/>
    <col min="26" max="26" width="4" style="1392" customWidth="1"/>
    <col min="27" max="27" width="23.7109375" style="1393" customWidth="1"/>
    <col min="28" max="28" width="2.28515625" style="1392" customWidth="1"/>
    <col min="29" max="31" width="9.140625" style="1392"/>
    <col min="32" max="32" width="2.28515625" style="1392" customWidth="1"/>
    <col min="33" max="16384" width="9.140625" style="1392"/>
  </cols>
  <sheetData>
    <row r="1" spans="1:35" ht="2.25" customHeight="1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45"/>
      <c r="N1" s="110"/>
      <c r="O1" s="17"/>
      <c r="P1" s="17"/>
      <c r="Q1" s="45"/>
      <c r="R1" s="17"/>
      <c r="S1" s="17"/>
      <c r="T1" s="45"/>
      <c r="U1" s="17"/>
      <c r="V1" s="17"/>
      <c r="W1" s="45"/>
      <c r="X1" s="17"/>
      <c r="Y1" s="17"/>
      <c r="Z1" s="43"/>
      <c r="AA1" s="17"/>
      <c r="AB1" s="43"/>
      <c r="AC1" s="43"/>
      <c r="AD1" s="43"/>
      <c r="AE1" s="43"/>
      <c r="AF1" s="43"/>
      <c r="AG1" s="43"/>
      <c r="AH1" s="43"/>
      <c r="AI1" s="43"/>
    </row>
    <row r="2" spans="1:35" ht="18" customHeight="1">
      <c r="A2" s="450" t="s">
        <v>257</v>
      </c>
      <c r="B2" s="202"/>
      <c r="C2" s="203"/>
      <c r="D2" s="202"/>
      <c r="E2" s="2517" t="str">
        <f>+'TRIAL-BALANCE'!E2:L2</f>
        <v>ОУ "ПРОФЕСОР МАРИН ДРИНОВ"</v>
      </c>
      <c r="F2" s="2518"/>
      <c r="G2" s="2518"/>
      <c r="H2" s="2518"/>
      <c r="I2" s="2518"/>
      <c r="J2" s="2518"/>
      <c r="K2" s="2518"/>
      <c r="L2" s="2519"/>
      <c r="M2" s="46"/>
      <c r="N2" s="111"/>
      <c r="O2" s="1627" t="str">
        <f>+IF(+ROUND(P470=0,2),"O K","НЕРАВНЕНИЕ!")</f>
        <v>O K</v>
      </c>
      <c r="P2" s="1625" t="s">
        <v>1463</v>
      </c>
      <c r="Q2" s="46"/>
      <c r="R2" s="1629" t="str">
        <f>+IF(+ROUND(S470=0,2),"O K","НЕРАВНЕНИЕ!")</f>
        <v>O K</v>
      </c>
      <c r="S2" s="1628" t="s">
        <v>1464</v>
      </c>
      <c r="T2" s="46"/>
      <c r="U2" s="1631" t="str">
        <f>+IF(+ROUND(V470=0,2),"O K","НЕРАВНЕНИЕ!")</f>
        <v>O K</v>
      </c>
      <c r="V2" s="1805" t="s">
        <v>1465</v>
      </c>
      <c r="W2" s="46"/>
      <c r="X2" s="1634" t="str">
        <f>+IF(+ROUND(Y470=0,2),"O K","НЕРАВНЕНИЕ!")</f>
        <v>O K</v>
      </c>
      <c r="Y2" s="1633" t="s">
        <v>1466</v>
      </c>
      <c r="Z2" s="43"/>
      <c r="AA2" s="43"/>
      <c r="AB2" s="43"/>
      <c r="AC2" s="43"/>
      <c r="AD2" s="43"/>
      <c r="AE2" s="43"/>
      <c r="AF2" s="43"/>
      <c r="AG2" s="43"/>
      <c r="AH2" s="43"/>
      <c r="AI2" s="43"/>
    </row>
    <row r="3" spans="1:35" ht="3.75" customHeight="1">
      <c r="A3" s="2459" t="str">
        <f>+IF('Local-&amp;-SSF'!E6&gt;0,"Код на общински разпоредител с бюджет","код от Регистъра на бюдж. организации в СЕБРА")</f>
        <v>код от Регистъра на бюдж. организации в СЕБРА</v>
      </c>
      <c r="B3" s="2459"/>
      <c r="C3" s="2459"/>
      <c r="D3" s="1918"/>
      <c r="E3" s="1918"/>
      <c r="F3" s="1918"/>
      <c r="G3" s="1918"/>
      <c r="H3" s="1918"/>
      <c r="I3" s="1918"/>
      <c r="J3" s="1918"/>
      <c r="K3" s="1918"/>
      <c r="L3" s="1918"/>
      <c r="M3" s="45"/>
      <c r="N3" s="110"/>
      <c r="O3" s="17"/>
      <c r="P3" s="17"/>
      <c r="Q3" s="45"/>
      <c r="R3" s="1587"/>
      <c r="S3" s="45"/>
      <c r="T3" s="45"/>
      <c r="U3" s="45"/>
      <c r="V3" s="45"/>
      <c r="W3" s="45"/>
      <c r="X3" s="17"/>
      <c r="Y3" s="17"/>
      <c r="Z3" s="43"/>
      <c r="AA3" s="43"/>
      <c r="AB3" s="43"/>
      <c r="AC3" s="43"/>
      <c r="AD3" s="43"/>
      <c r="AE3" s="43"/>
      <c r="AF3" s="43"/>
      <c r="AG3" s="43"/>
      <c r="AH3" s="43"/>
      <c r="AI3" s="43"/>
    </row>
    <row r="4" spans="1:35" ht="16.5" customHeight="1">
      <c r="A4" s="2459"/>
      <c r="B4" s="2459"/>
      <c r="C4" s="2459"/>
      <c r="D4" s="2460">
        <f>+'TRIAL-BALANCE'!D4:E4</f>
        <v>0</v>
      </c>
      <c r="E4" s="2461"/>
      <c r="F4" s="1919" t="s">
        <v>1950</v>
      </c>
      <c r="G4" s="2462">
        <f>+'TRIAL-BALANCE'!G4:L4</f>
        <v>0</v>
      </c>
      <c r="H4" s="2463"/>
      <c r="I4" s="2463"/>
      <c r="J4" s="2463"/>
      <c r="K4" s="2463"/>
      <c r="L4" s="2464"/>
      <c r="M4" s="47"/>
      <c r="N4" s="111"/>
      <c r="O4" s="1627" t="str">
        <f>+IF(+ROUND(P466,2)=0,"O K","НЕРАВНЕНИЕ !")</f>
        <v>O K</v>
      </c>
      <c r="P4" s="1626" t="str">
        <f>+IF(+ROUND(P468,2)=0,"O K","НЕРАВНЕНИЕ !")</f>
        <v>O K</v>
      </c>
      <c r="Q4" s="47"/>
      <c r="R4" s="1629" t="str">
        <f>+IF(+ROUND(+S466,2)=0,"O K","НЕРАВНЕНИЕ !")</f>
        <v>O K</v>
      </c>
      <c r="S4" s="1630" t="str">
        <f>+IF(+ROUND(+S468,2)=0,"O K","НЕРАВНЕНИЕ !")</f>
        <v>O K</v>
      </c>
      <c r="T4" s="47"/>
      <c r="U4" s="1631" t="str">
        <f>+IF(+ROUND(V466,2)=0,"O K","НЕРАВНЕНИЕ !")</f>
        <v>O K</v>
      </c>
      <c r="V4" s="1632" t="str">
        <f>+IF(+ROUND(V468,2)=0,"O K","НЕРАВНЕНИЕ !")</f>
        <v>O K</v>
      </c>
      <c r="W4" s="47"/>
      <c r="X4" s="1634" t="str">
        <f>+IF(+ROUND(Y466,2)=0,"O K","НЕРАВНЕНИЕ !")</f>
        <v>O K</v>
      </c>
      <c r="Y4" s="1635" t="str">
        <f>+IF(+ROUND(Y468,2)=0,"O K","НЕРАВНЕНИЕ !")</f>
        <v>O K</v>
      </c>
      <c r="Z4" s="43"/>
      <c r="AA4" s="43"/>
      <c r="AB4" s="43"/>
      <c r="AC4" s="43"/>
      <c r="AD4" s="43"/>
      <c r="AE4" s="43"/>
      <c r="AF4" s="43"/>
      <c r="AG4" s="43"/>
      <c r="AH4" s="43"/>
      <c r="AI4" s="43"/>
    </row>
    <row r="5" spans="1:35" ht="3.75" customHeight="1">
      <c r="A5" s="2459"/>
      <c r="B5" s="2459"/>
      <c r="C5" s="2459"/>
      <c r="D5" s="1918"/>
      <c r="E5" s="1918"/>
      <c r="F5" s="1918"/>
      <c r="G5" s="1918"/>
      <c r="H5" s="1918"/>
      <c r="I5" s="1918"/>
      <c r="J5" s="1918"/>
      <c r="K5" s="1918"/>
      <c r="L5" s="1918"/>
      <c r="M5" s="45"/>
      <c r="N5" s="111"/>
      <c r="O5" s="17"/>
      <c r="P5" s="17"/>
      <c r="Q5" s="45"/>
      <c r="R5" s="428"/>
      <c r="S5" s="428"/>
      <c r="T5" s="45"/>
      <c r="U5" s="17"/>
      <c r="V5" s="17"/>
      <c r="W5" s="45"/>
      <c r="X5" s="17"/>
      <c r="Y5" s="17"/>
      <c r="Z5" s="43"/>
      <c r="AA5" s="43"/>
      <c r="AB5" s="43"/>
      <c r="AC5" s="43"/>
      <c r="AD5" s="43"/>
      <c r="AE5" s="43"/>
      <c r="AF5" s="43"/>
      <c r="AG5" s="43"/>
      <c r="AH5" s="43"/>
      <c r="AI5" s="43"/>
    </row>
    <row r="6" spans="1:35" ht="18" customHeight="1">
      <c r="A6" s="518" t="s">
        <v>792</v>
      </c>
      <c r="B6" s="202"/>
      <c r="C6" s="2451">
        <f>+'TRIAL-BALANCE'!C6:E6</f>
        <v>341731</v>
      </c>
      <c r="D6" s="2452"/>
      <c r="E6" s="2453"/>
      <c r="F6" s="448" t="s">
        <v>431</v>
      </c>
      <c r="G6" s="2454" t="str">
        <f>+'TRIAL-BALANCE'!G6:L6</f>
        <v xml:space="preserve">                              </v>
      </c>
      <c r="H6" s="2455"/>
      <c r="I6" s="2455"/>
      <c r="J6" s="2455"/>
      <c r="K6" s="2455"/>
      <c r="L6" s="2456"/>
      <c r="M6" s="48"/>
      <c r="N6" s="111"/>
      <c r="O6" s="1642" t="s">
        <v>1134</v>
      </c>
      <c r="P6" s="1643"/>
      <c r="Q6" s="48"/>
      <c r="R6" s="1640" t="s">
        <v>1134</v>
      </c>
      <c r="S6" s="1641"/>
      <c r="T6" s="48"/>
      <c r="U6" s="1638" t="str">
        <f>+R6</f>
        <v xml:space="preserve">   ПРЕДХОДНА ГОДИНА - САЛДА ПО СМЕТКИ</v>
      </c>
      <c r="V6" s="1639"/>
      <c r="W6" s="48"/>
      <c r="X6" s="1636" t="s">
        <v>1293</v>
      </c>
      <c r="Y6" s="1637"/>
      <c r="Z6" s="43"/>
      <c r="AA6" s="43"/>
      <c r="AB6" s="43"/>
      <c r="AC6" s="43"/>
      <c r="AD6" s="43"/>
      <c r="AE6" s="43"/>
      <c r="AF6" s="43"/>
      <c r="AG6" s="43"/>
      <c r="AH6" s="43"/>
      <c r="AI6" s="43"/>
    </row>
    <row r="7" spans="1:35" ht="3.75" customHeight="1" thickBot="1">
      <c r="A7" s="451"/>
      <c r="B7" s="45"/>
      <c r="C7" s="45"/>
      <c r="D7" s="45"/>
      <c r="E7" s="45"/>
      <c r="F7" s="45"/>
      <c r="G7" s="45"/>
      <c r="H7" s="45"/>
      <c r="I7" s="45"/>
      <c r="J7" s="45"/>
      <c r="K7" s="45"/>
      <c r="L7" s="45"/>
      <c r="M7" s="45"/>
      <c r="N7" s="111"/>
      <c r="O7" s="893"/>
      <c r="P7" s="896"/>
      <c r="Q7" s="421"/>
      <c r="R7" s="977"/>
      <c r="S7" s="961"/>
      <c r="T7" s="45"/>
      <c r="U7" s="894"/>
      <c r="V7" s="895"/>
      <c r="W7" s="45"/>
      <c r="X7" s="1595"/>
      <c r="Y7" s="1596"/>
      <c r="Z7" s="43"/>
      <c r="AA7" s="43"/>
      <c r="AB7" s="43"/>
      <c r="AC7" s="43"/>
      <c r="AD7" s="43"/>
      <c r="AE7" s="43"/>
      <c r="AF7" s="43"/>
      <c r="AG7" s="43"/>
      <c r="AH7" s="43"/>
      <c r="AI7" s="43"/>
    </row>
    <row r="8" spans="1:35" ht="18" customHeight="1" thickTop="1">
      <c r="A8" s="452" t="s">
        <v>258</v>
      </c>
      <c r="B8" s="206"/>
      <c r="C8" s="1056">
        <f>+'TRIAL-BALANCE'!C8</f>
        <v>0</v>
      </c>
      <c r="D8" s="199" t="s">
        <v>1137</v>
      </c>
      <c r="E8" s="964">
        <f>+'TRIAL-BALANCE'!E8</f>
        <v>2020</v>
      </c>
      <c r="F8" s="443" t="s">
        <v>1204</v>
      </c>
      <c r="G8" s="2457" t="str">
        <f>+'TRIAL-BALANCE'!G8:H8</f>
        <v xml:space="preserve">;                             </v>
      </c>
      <c r="H8" s="2458"/>
      <c r="I8" s="1269" t="s">
        <v>1206</v>
      </c>
      <c r="J8" s="2454">
        <f>+'TRIAL-BALANCE'!J8:L8</f>
        <v>0</v>
      </c>
      <c r="K8" s="2455"/>
      <c r="L8" s="2456"/>
      <c r="M8" s="48"/>
      <c r="N8" s="1565" t="s">
        <v>378</v>
      </c>
      <c r="O8" s="1376" t="s">
        <v>1119</v>
      </c>
      <c r="P8" s="1113">
        <f>+$I12</f>
        <v>2019</v>
      </c>
      <c r="Q8" s="48"/>
      <c r="R8" s="1114" t="s">
        <v>1461</v>
      </c>
      <c r="S8" s="1115">
        <f>+$I12</f>
        <v>2019</v>
      </c>
      <c r="T8" s="48"/>
      <c r="U8" s="1776" t="s">
        <v>1462</v>
      </c>
      <c r="V8" s="1644">
        <f>+$I12</f>
        <v>2019</v>
      </c>
      <c r="W8" s="48"/>
      <c r="X8" s="1597" t="s">
        <v>1292</v>
      </c>
      <c r="Y8" s="1598"/>
      <c r="Z8" s="43"/>
      <c r="AA8" s="2170" t="s">
        <v>1120</v>
      </c>
      <c r="AB8" s="43"/>
      <c r="AC8" s="43"/>
      <c r="AD8" s="43"/>
      <c r="AE8" s="43"/>
      <c r="AF8" s="43"/>
      <c r="AG8" s="43"/>
      <c r="AH8" s="43"/>
      <c r="AI8" s="43"/>
    </row>
    <row r="9" spans="1:35" ht="3.75" customHeight="1">
      <c r="A9" s="451"/>
      <c r="B9" s="45"/>
      <c r="C9" s="45"/>
      <c r="D9" s="45"/>
      <c r="E9" s="45"/>
      <c r="F9" s="45"/>
      <c r="G9" s="45"/>
      <c r="H9" s="45"/>
      <c r="I9" s="45"/>
      <c r="J9" s="45"/>
      <c r="K9" s="45"/>
      <c r="L9" s="45"/>
      <c r="M9" s="45"/>
      <c r="N9" s="1566"/>
      <c r="O9" s="22"/>
      <c r="P9" s="25"/>
      <c r="Q9" s="45"/>
      <c r="R9" s="22"/>
      <c r="S9" s="25"/>
      <c r="T9" s="45"/>
      <c r="U9" s="22"/>
      <c r="V9" s="25"/>
      <c r="W9" s="45"/>
      <c r="X9" s="1599"/>
      <c r="Y9" s="1600"/>
      <c r="Z9" s="43"/>
      <c r="AA9" s="1619"/>
      <c r="AB9" s="43"/>
      <c r="AC9" s="43"/>
      <c r="AD9" s="43"/>
      <c r="AE9" s="43"/>
      <c r="AF9" s="43"/>
      <c r="AG9" s="43"/>
      <c r="AH9" s="43"/>
      <c r="AI9" s="43"/>
    </row>
    <row r="10" spans="1:35" ht="18" customHeight="1">
      <c r="A10" s="453" t="s">
        <v>259</v>
      </c>
      <c r="B10" s="49"/>
      <c r="C10" s="965" t="str">
        <f>+'TRIAL-BALANCE'!C10</f>
        <v>/с б о р е н/</v>
      </c>
      <c r="D10" s="454" t="s">
        <v>430</v>
      </c>
      <c r="E10" s="49"/>
      <c r="F10" s="966" t="str">
        <f>+'TRIAL-BALANCE'!F10</f>
        <v>/СБОРНА/</v>
      </c>
      <c r="G10" s="207" t="s">
        <v>380</v>
      </c>
      <c r="H10" s="449"/>
      <c r="I10" s="49"/>
      <c r="J10" s="49"/>
      <c r="K10" s="2514">
        <f>+'TRIAL-BALANCE'!K10:L10</f>
        <v>0</v>
      </c>
      <c r="L10" s="2515"/>
      <c r="M10" s="48"/>
      <c r="N10" s="1577">
        <f>+$C8</f>
        <v>0</v>
      </c>
      <c r="O10" s="950" t="s">
        <v>1133</v>
      </c>
      <c r="P10" s="146"/>
      <c r="Q10" s="49"/>
      <c r="R10" s="950" t="s">
        <v>1133</v>
      </c>
      <c r="S10" s="146"/>
      <c r="T10" s="49"/>
      <c r="U10" s="950" t="s">
        <v>1133</v>
      </c>
      <c r="V10" s="146"/>
      <c r="W10" s="48"/>
      <c r="X10" s="1601" t="s">
        <v>1132</v>
      </c>
      <c r="Y10" s="1602"/>
      <c r="Z10" s="43"/>
      <c r="AA10" s="2171" t="s">
        <v>1123</v>
      </c>
      <c r="AB10" s="43"/>
      <c r="AC10" s="43"/>
      <c r="AD10" s="43"/>
      <c r="AE10" s="43"/>
      <c r="AF10" s="43"/>
      <c r="AG10" s="43"/>
      <c r="AH10" s="43"/>
      <c r="AI10" s="43"/>
    </row>
    <row r="11" spans="1:35" ht="3.75" customHeight="1">
      <c r="A11" s="53"/>
      <c r="B11" s="45"/>
      <c r="C11" s="45"/>
      <c r="D11" s="45"/>
      <c r="E11" s="45"/>
      <c r="F11" s="45"/>
      <c r="G11" s="45"/>
      <c r="H11" s="45"/>
      <c r="I11" s="45"/>
      <c r="J11" s="45"/>
      <c r="K11" s="45"/>
      <c r="L11" s="45"/>
      <c r="M11" s="45"/>
      <c r="N11" s="1401"/>
      <c r="O11" s="371"/>
      <c r="P11" s="136"/>
      <c r="Q11" s="45"/>
      <c r="R11" s="371"/>
      <c r="S11" s="136"/>
      <c r="T11" s="45"/>
      <c r="U11" s="959"/>
      <c r="V11" s="141"/>
      <c r="W11" s="45"/>
      <c r="X11" s="1603"/>
      <c r="Y11" s="1604"/>
      <c r="Z11" s="43"/>
      <c r="AA11" s="1620"/>
      <c r="AB11" s="43"/>
      <c r="AC11" s="43"/>
      <c r="AD11" s="43"/>
      <c r="AE11" s="43"/>
      <c r="AF11" s="43"/>
      <c r="AG11" s="43"/>
      <c r="AH11" s="43"/>
      <c r="AI11" s="43"/>
    </row>
    <row r="12" spans="1:35" ht="19.5" customHeight="1" thickBot="1">
      <c r="A12" s="1588" t="s">
        <v>1467</v>
      </c>
      <c r="B12" s="1413"/>
      <c r="C12" s="1589"/>
      <c r="D12" s="1590"/>
      <c r="E12" s="1591"/>
      <c r="F12" s="1591"/>
      <c r="G12" s="1592"/>
      <c r="H12" s="1592"/>
      <c r="I12" s="1593">
        <f>+E8-1</f>
        <v>2019</v>
      </c>
      <c r="J12" s="1592"/>
      <c r="K12" s="1592"/>
      <c r="L12" s="1594" t="str">
        <f>+'TRIAL-BALANCE'!L12</f>
        <v xml:space="preserve"> (в левове)</v>
      </c>
      <c r="M12" s="50"/>
      <c r="N12" s="1568" t="s">
        <v>162</v>
      </c>
      <c r="O12" s="1059" t="s">
        <v>370</v>
      </c>
      <c r="P12" s="1060" t="s">
        <v>371</v>
      </c>
      <c r="Q12" s="50"/>
      <c r="R12" s="1059" t="s">
        <v>370</v>
      </c>
      <c r="S12" s="1060" t="s">
        <v>371</v>
      </c>
      <c r="T12" s="50"/>
      <c r="U12" s="1059" t="s">
        <v>370</v>
      </c>
      <c r="V12" s="1060" t="s">
        <v>371</v>
      </c>
      <c r="W12" s="50"/>
      <c r="X12" s="1605" t="s">
        <v>370</v>
      </c>
      <c r="Y12" s="1606" t="s">
        <v>371</v>
      </c>
      <c r="Z12" s="43"/>
      <c r="AA12" s="2172" t="s">
        <v>2080</v>
      </c>
      <c r="AB12" s="43"/>
      <c r="AC12" s="43"/>
      <c r="AD12" s="43"/>
      <c r="AE12" s="43"/>
      <c r="AF12" s="43"/>
      <c r="AG12" s="43"/>
      <c r="AH12" s="43"/>
      <c r="AI12" s="43"/>
    </row>
    <row r="13" spans="1:35" ht="16.5" thickTop="1">
      <c r="A13" s="903" t="s">
        <v>1468</v>
      </c>
      <c r="B13" s="902"/>
      <c r="C13" s="897"/>
      <c r="D13" s="897"/>
      <c r="E13" s="897"/>
      <c r="F13" s="897"/>
      <c r="G13" s="897"/>
      <c r="H13" s="897"/>
      <c r="I13" s="897"/>
      <c r="J13" s="897"/>
      <c r="K13" s="897"/>
      <c r="L13" s="898"/>
      <c r="M13" s="49"/>
      <c r="N13" s="1118" t="s">
        <v>1126</v>
      </c>
      <c r="O13" s="1116"/>
      <c r="P13" s="1117"/>
      <c r="Q13" s="344"/>
      <c r="R13" s="1116"/>
      <c r="S13" s="1117"/>
      <c r="T13" s="344"/>
      <c r="U13" s="1116"/>
      <c r="V13" s="1117"/>
      <c r="W13" s="49"/>
      <c r="X13" s="1607"/>
      <c r="Y13" s="1608"/>
      <c r="Z13" s="43"/>
      <c r="AA13" s="2173" t="s">
        <v>1124</v>
      </c>
      <c r="AB13" s="43"/>
      <c r="AC13" s="43"/>
      <c r="AD13" s="43"/>
      <c r="AE13" s="43"/>
      <c r="AF13" s="43"/>
      <c r="AG13" s="43"/>
      <c r="AH13" s="43"/>
      <c r="AI13" s="43"/>
    </row>
    <row r="14" spans="1:35" ht="15.75">
      <c r="A14" s="85">
        <v>1001</v>
      </c>
      <c r="B14" s="377" t="s">
        <v>953</v>
      </c>
      <c r="C14" s="86"/>
      <c r="D14" s="86"/>
      <c r="E14" s="86"/>
      <c r="F14" s="86"/>
      <c r="G14" s="86"/>
      <c r="H14" s="86"/>
      <c r="I14" s="86"/>
      <c r="J14" s="86"/>
      <c r="K14" s="86"/>
      <c r="L14" s="87"/>
      <c r="M14" s="51"/>
      <c r="N14" s="112">
        <f>+A14</f>
        <v>1001</v>
      </c>
      <c r="O14" s="323">
        <v>0</v>
      </c>
      <c r="P14" s="372">
        <v>115351.83</v>
      </c>
      <c r="Q14" s="51"/>
      <c r="R14" s="323">
        <v>0</v>
      </c>
      <c r="S14" s="372">
        <v>0</v>
      </c>
      <c r="T14" s="51"/>
      <c r="U14" s="323">
        <v>0</v>
      </c>
      <c r="V14" s="372">
        <v>0</v>
      </c>
      <c r="W14" s="51"/>
      <c r="X14" s="351">
        <f>+ROUND(+O14+R14+U14,2)</f>
        <v>0</v>
      </c>
      <c r="Y14" s="1609">
        <f>+ROUND(+P14+S14+V14,2)</f>
        <v>115351.83</v>
      </c>
      <c r="Z14" s="43"/>
      <c r="AA14" s="1621">
        <f>+ROUND(+SUM(X14-Y14)-SUM(O14-P14)-SUM(R14-S14)-SUM(U14-V14),2)</f>
        <v>0</v>
      </c>
      <c r="AB14" s="43"/>
      <c r="AC14" s="43"/>
      <c r="AD14" s="43"/>
      <c r="AE14" s="43"/>
      <c r="AF14" s="43"/>
      <c r="AG14" s="43"/>
      <c r="AH14" s="43"/>
      <c r="AI14" s="43"/>
    </row>
    <row r="15" spans="1:35" ht="15.75">
      <c r="A15" s="88">
        <v>1101</v>
      </c>
      <c r="B15" s="378" t="s">
        <v>954</v>
      </c>
      <c r="C15" s="1033"/>
      <c r="D15" s="1033"/>
      <c r="E15" s="1033"/>
      <c r="F15" s="1033"/>
      <c r="G15" s="1033"/>
      <c r="H15" s="1033"/>
      <c r="I15" s="1033"/>
      <c r="J15" s="1033"/>
      <c r="K15" s="1033"/>
      <c r="L15" s="90"/>
      <c r="M15" s="51"/>
      <c r="N15" s="113">
        <f>+A15</f>
        <v>1101</v>
      </c>
      <c r="O15" s="323">
        <v>0</v>
      </c>
      <c r="P15" s="372">
        <v>278651.78999999998</v>
      </c>
      <c r="Q15" s="51"/>
      <c r="R15" s="323">
        <v>0</v>
      </c>
      <c r="S15" s="372">
        <v>0</v>
      </c>
      <c r="T15" s="51"/>
      <c r="U15" s="323">
        <v>0</v>
      </c>
      <c r="V15" s="372">
        <v>1589.2</v>
      </c>
      <c r="W15" s="51"/>
      <c r="X15" s="351">
        <f>+ROUND(+O15+R15+U15,2)</f>
        <v>0</v>
      </c>
      <c r="Y15" s="1609">
        <f>+ROUND(+P15+S15+V15,2)</f>
        <v>280240.99</v>
      </c>
      <c r="Z15" s="43"/>
      <c r="AA15" s="1621">
        <f>+ROUND(+SUM(X15-Y15)-SUM(O15-P15)-SUM(R15-S15)-SUM(U15-V15),2)</f>
        <v>0</v>
      </c>
      <c r="AB15" s="43"/>
      <c r="AC15" s="43"/>
      <c r="AD15" s="43"/>
      <c r="AE15" s="43"/>
      <c r="AF15" s="43"/>
      <c r="AG15" s="43"/>
      <c r="AH15" s="43"/>
      <c r="AI15" s="43"/>
    </row>
    <row r="16" spans="1:35" ht="15.75">
      <c r="A16" s="904" t="s">
        <v>1121</v>
      </c>
      <c r="B16" s="905"/>
      <c r="C16" s="899"/>
      <c r="D16" s="899"/>
      <c r="E16" s="899"/>
      <c r="F16" s="899"/>
      <c r="G16" s="899"/>
      <c r="H16" s="899"/>
      <c r="I16" s="899"/>
      <c r="J16" s="899"/>
      <c r="K16" s="899"/>
      <c r="L16" s="900"/>
      <c r="M16" s="51" t="s">
        <v>265</v>
      </c>
      <c r="N16" s="917">
        <v>6</v>
      </c>
      <c r="O16" s="952"/>
      <c r="P16" s="953"/>
      <c r="Q16" s="51"/>
      <c r="R16" s="952"/>
      <c r="S16" s="953"/>
      <c r="T16" s="51"/>
      <c r="U16" s="952"/>
      <c r="V16" s="953"/>
      <c r="W16" s="51"/>
      <c r="X16" s="384"/>
      <c r="Y16" s="387"/>
      <c r="Z16" s="43"/>
      <c r="AA16" s="1623"/>
      <c r="AB16" s="43"/>
      <c r="AC16" s="43"/>
      <c r="AD16" s="43"/>
      <c r="AE16" s="43"/>
      <c r="AF16" s="43"/>
      <c r="AG16" s="43"/>
      <c r="AH16" s="43"/>
      <c r="AI16" s="43"/>
    </row>
    <row r="17" spans="1:35" ht="15.75">
      <c r="A17" s="1053">
        <v>6010</v>
      </c>
      <c r="B17" s="1054" t="s">
        <v>322</v>
      </c>
      <c r="C17" s="614"/>
      <c r="D17" s="614"/>
      <c r="E17" s="614"/>
      <c r="F17" s="614"/>
      <c r="G17" s="614"/>
      <c r="H17" s="614"/>
      <c r="I17" s="614"/>
      <c r="J17" s="614"/>
      <c r="K17" s="614"/>
      <c r="L17" s="615"/>
      <c r="M17" s="51" t="s">
        <v>265</v>
      </c>
      <c r="N17" s="112">
        <f t="shared" ref="N17:N85" si="0">+A17</f>
        <v>6010</v>
      </c>
      <c r="O17" s="323">
        <v>70362.25</v>
      </c>
      <c r="P17" s="372">
        <v>0</v>
      </c>
      <c r="Q17" s="51"/>
      <c r="R17" s="323">
        <v>0</v>
      </c>
      <c r="S17" s="372">
        <v>0</v>
      </c>
      <c r="T17" s="51"/>
      <c r="U17" s="323">
        <v>0</v>
      </c>
      <c r="V17" s="372">
        <v>0</v>
      </c>
      <c r="W17" s="51"/>
      <c r="X17" s="351">
        <f t="shared" ref="X17:X47" si="1">+ROUND(+O17+R17+U17,2)</f>
        <v>70362.25</v>
      </c>
      <c r="Y17" s="1609">
        <f t="shared" ref="Y17:Y47" si="2">+ROUND(+P17+S17+V17,2)</f>
        <v>0</v>
      </c>
      <c r="Z17" s="43"/>
      <c r="AA17" s="1621">
        <f t="shared" ref="AA17:AA80" si="3">+ROUND(+SUM(X17-Y17)-SUM(O17-P17)-SUM(R17-S17)-SUM(U17-V17),2)</f>
        <v>0</v>
      </c>
      <c r="AB17" s="43"/>
      <c r="AC17" s="43"/>
      <c r="AD17" s="43"/>
      <c r="AE17" s="43"/>
      <c r="AF17" s="43"/>
      <c r="AG17" s="43"/>
      <c r="AH17" s="43"/>
      <c r="AI17" s="43"/>
    </row>
    <row r="18" spans="1:35" ht="15.75">
      <c r="A18" s="88">
        <v>6011</v>
      </c>
      <c r="B18" s="1032" t="s">
        <v>323</v>
      </c>
      <c r="C18" s="1033"/>
      <c r="D18" s="1033"/>
      <c r="E18" s="1033"/>
      <c r="F18" s="1033"/>
      <c r="G18" s="1033"/>
      <c r="H18" s="1033"/>
      <c r="I18" s="1033"/>
      <c r="J18" s="1033"/>
      <c r="K18" s="1033"/>
      <c r="L18" s="90"/>
      <c r="M18" s="51" t="s">
        <v>265</v>
      </c>
      <c r="N18" s="113">
        <f t="shared" si="0"/>
        <v>6011</v>
      </c>
      <c r="O18" s="323">
        <v>1565.53</v>
      </c>
      <c r="P18" s="372">
        <v>0</v>
      </c>
      <c r="Q18" s="51"/>
      <c r="R18" s="120">
        <v>0</v>
      </c>
      <c r="S18" s="888">
        <v>0</v>
      </c>
      <c r="T18" s="51"/>
      <c r="U18" s="120">
        <v>0</v>
      </c>
      <c r="V18" s="888">
        <v>0</v>
      </c>
      <c r="W18" s="51"/>
      <c r="X18" s="351">
        <f t="shared" si="1"/>
        <v>1565.53</v>
      </c>
      <c r="Y18" s="1609">
        <f t="shared" si="2"/>
        <v>0</v>
      </c>
      <c r="Z18" s="43"/>
      <c r="AA18" s="1621">
        <f t="shared" si="3"/>
        <v>0</v>
      </c>
      <c r="AB18" s="43"/>
      <c r="AC18" s="43"/>
      <c r="AD18" s="43"/>
      <c r="AE18" s="43"/>
      <c r="AF18" s="43"/>
      <c r="AG18" s="43"/>
      <c r="AH18" s="43"/>
      <c r="AI18" s="43"/>
    </row>
    <row r="19" spans="1:35" ht="15.75">
      <c r="A19" s="88">
        <v>6012</v>
      </c>
      <c r="B19" s="1032" t="s">
        <v>324</v>
      </c>
      <c r="C19" s="1033"/>
      <c r="D19" s="1033"/>
      <c r="E19" s="1033"/>
      <c r="F19" s="1033"/>
      <c r="G19" s="1033"/>
      <c r="H19" s="1033"/>
      <c r="I19" s="1033"/>
      <c r="J19" s="1033"/>
      <c r="K19" s="1033"/>
      <c r="L19" s="90"/>
      <c r="M19" s="51" t="s">
        <v>265</v>
      </c>
      <c r="N19" s="113">
        <f t="shared" si="0"/>
        <v>6012</v>
      </c>
      <c r="O19" s="323">
        <v>33209.46</v>
      </c>
      <c r="P19" s="372">
        <v>0</v>
      </c>
      <c r="Q19" s="51"/>
      <c r="R19" s="120">
        <v>0</v>
      </c>
      <c r="S19" s="888">
        <v>0</v>
      </c>
      <c r="T19" s="51"/>
      <c r="U19" s="120">
        <v>0</v>
      </c>
      <c r="V19" s="888">
        <v>0</v>
      </c>
      <c r="W19" s="51"/>
      <c r="X19" s="351">
        <f t="shared" si="1"/>
        <v>33209.46</v>
      </c>
      <c r="Y19" s="1609">
        <f t="shared" si="2"/>
        <v>0</v>
      </c>
      <c r="Z19" s="43"/>
      <c r="AA19" s="1621">
        <f t="shared" si="3"/>
        <v>0</v>
      </c>
      <c r="AB19" s="43"/>
      <c r="AC19" s="43"/>
      <c r="AD19" s="43"/>
      <c r="AE19" s="43"/>
      <c r="AF19" s="43"/>
      <c r="AG19" s="43"/>
      <c r="AH19" s="43"/>
      <c r="AI19" s="43"/>
    </row>
    <row r="20" spans="1:35" ht="15.75">
      <c r="A20" s="88">
        <v>6013</v>
      </c>
      <c r="B20" s="1032" t="s">
        <v>325</v>
      </c>
      <c r="C20" s="1033"/>
      <c r="D20" s="1033"/>
      <c r="E20" s="1033"/>
      <c r="F20" s="1033"/>
      <c r="G20" s="1033"/>
      <c r="H20" s="1033"/>
      <c r="I20" s="1033"/>
      <c r="J20" s="1033"/>
      <c r="K20" s="1033"/>
      <c r="L20" s="90"/>
      <c r="M20" s="51" t="s">
        <v>265</v>
      </c>
      <c r="N20" s="113">
        <f t="shared" si="0"/>
        <v>6013</v>
      </c>
      <c r="O20" s="323">
        <v>0</v>
      </c>
      <c r="P20" s="372">
        <v>0</v>
      </c>
      <c r="Q20" s="51"/>
      <c r="R20" s="120">
        <v>0</v>
      </c>
      <c r="S20" s="888">
        <v>0</v>
      </c>
      <c r="T20" s="51"/>
      <c r="U20" s="120">
        <v>0</v>
      </c>
      <c r="V20" s="888">
        <v>0</v>
      </c>
      <c r="W20" s="51"/>
      <c r="X20" s="351">
        <f t="shared" si="1"/>
        <v>0</v>
      </c>
      <c r="Y20" s="1609">
        <f t="shared" si="2"/>
        <v>0</v>
      </c>
      <c r="Z20" s="43"/>
      <c r="AA20" s="1621">
        <f t="shared" si="3"/>
        <v>0</v>
      </c>
      <c r="AB20" s="43"/>
      <c r="AC20" s="43"/>
      <c r="AD20" s="43"/>
      <c r="AE20" s="43"/>
      <c r="AF20" s="43"/>
      <c r="AG20" s="43"/>
      <c r="AH20" s="43"/>
      <c r="AI20" s="43"/>
    </row>
    <row r="21" spans="1:35" ht="15.75">
      <c r="A21" s="88">
        <v>6014</v>
      </c>
      <c r="B21" s="1032" t="s">
        <v>326</v>
      </c>
      <c r="C21" s="1033"/>
      <c r="D21" s="1033"/>
      <c r="E21" s="1033"/>
      <c r="F21" s="1033"/>
      <c r="G21" s="1033"/>
      <c r="H21" s="1033"/>
      <c r="I21" s="1033"/>
      <c r="J21" s="1033"/>
      <c r="K21" s="1033"/>
      <c r="L21" s="90"/>
      <c r="M21" s="51" t="s">
        <v>265</v>
      </c>
      <c r="N21" s="113">
        <f t="shared" si="0"/>
        <v>6014</v>
      </c>
      <c r="O21" s="323">
        <v>17459.57</v>
      </c>
      <c r="P21" s="372">
        <v>0</v>
      </c>
      <c r="Q21" s="51"/>
      <c r="R21" s="120">
        <v>0</v>
      </c>
      <c r="S21" s="888">
        <v>0</v>
      </c>
      <c r="T21" s="51"/>
      <c r="U21" s="120">
        <v>0</v>
      </c>
      <c r="V21" s="888">
        <v>0</v>
      </c>
      <c r="W21" s="51"/>
      <c r="X21" s="351">
        <f t="shared" si="1"/>
        <v>17459.57</v>
      </c>
      <c r="Y21" s="1609">
        <f t="shared" si="2"/>
        <v>0</v>
      </c>
      <c r="Z21" s="43"/>
      <c r="AA21" s="1621">
        <f t="shared" si="3"/>
        <v>0</v>
      </c>
      <c r="AB21" s="43"/>
      <c r="AC21" s="43"/>
      <c r="AD21" s="43"/>
      <c r="AE21" s="43"/>
      <c r="AF21" s="43"/>
      <c r="AG21" s="43"/>
      <c r="AH21" s="43"/>
      <c r="AI21" s="43"/>
    </row>
    <row r="22" spans="1:35" ht="15.75">
      <c r="A22" s="88">
        <v>6015</v>
      </c>
      <c r="B22" s="1032" t="s">
        <v>327</v>
      </c>
      <c r="C22" s="1033"/>
      <c r="D22" s="1033"/>
      <c r="E22" s="1033"/>
      <c r="F22" s="1033"/>
      <c r="G22" s="1033"/>
      <c r="H22" s="1033"/>
      <c r="I22" s="1033"/>
      <c r="J22" s="1033"/>
      <c r="K22" s="1033"/>
      <c r="L22" s="90"/>
      <c r="M22" s="51" t="s">
        <v>265</v>
      </c>
      <c r="N22" s="113">
        <f t="shared" si="0"/>
        <v>6015</v>
      </c>
      <c r="O22" s="323">
        <v>3480</v>
      </c>
      <c r="P22" s="372">
        <v>0</v>
      </c>
      <c r="Q22" s="51"/>
      <c r="R22" s="120">
        <v>0</v>
      </c>
      <c r="S22" s="888">
        <v>0</v>
      </c>
      <c r="T22" s="51"/>
      <c r="U22" s="120">
        <v>0</v>
      </c>
      <c r="V22" s="888">
        <v>0</v>
      </c>
      <c r="W22" s="51"/>
      <c r="X22" s="351">
        <f t="shared" si="1"/>
        <v>3480</v>
      </c>
      <c r="Y22" s="1609">
        <f t="shared" si="2"/>
        <v>0</v>
      </c>
      <c r="Z22" s="43"/>
      <c r="AA22" s="1621">
        <f t="shared" si="3"/>
        <v>0</v>
      </c>
      <c r="AB22" s="43"/>
      <c r="AC22" s="43"/>
      <c r="AD22" s="43"/>
      <c r="AE22" s="43"/>
      <c r="AF22" s="43"/>
      <c r="AG22" s="43"/>
      <c r="AH22" s="43"/>
      <c r="AI22" s="43"/>
    </row>
    <row r="23" spans="1:35" ht="15.75">
      <c r="A23" s="88">
        <v>6016</v>
      </c>
      <c r="B23" s="1032" t="s">
        <v>328</v>
      </c>
      <c r="C23" s="1033"/>
      <c r="D23" s="1033"/>
      <c r="E23" s="1033"/>
      <c r="F23" s="1033"/>
      <c r="G23" s="1033"/>
      <c r="H23" s="1033"/>
      <c r="I23" s="1033"/>
      <c r="J23" s="1033"/>
      <c r="K23" s="1033"/>
      <c r="L23" s="90"/>
      <c r="M23" s="51" t="s">
        <v>265</v>
      </c>
      <c r="N23" s="113">
        <f t="shared" si="0"/>
        <v>6016</v>
      </c>
      <c r="O23" s="323">
        <v>0</v>
      </c>
      <c r="P23" s="372">
        <v>0</v>
      </c>
      <c r="Q23" s="51"/>
      <c r="R23" s="120">
        <v>0</v>
      </c>
      <c r="S23" s="888">
        <v>0</v>
      </c>
      <c r="T23" s="51"/>
      <c r="U23" s="120">
        <v>0</v>
      </c>
      <c r="V23" s="888">
        <v>0</v>
      </c>
      <c r="W23" s="51"/>
      <c r="X23" s="351">
        <f t="shared" si="1"/>
        <v>0</v>
      </c>
      <c r="Y23" s="1609">
        <f t="shared" si="2"/>
        <v>0</v>
      </c>
      <c r="Z23" s="43"/>
      <c r="AA23" s="1621">
        <f t="shared" si="3"/>
        <v>0</v>
      </c>
      <c r="AB23" s="43"/>
      <c r="AC23" s="43"/>
      <c r="AD23" s="43"/>
      <c r="AE23" s="43"/>
      <c r="AF23" s="43"/>
      <c r="AG23" s="43"/>
      <c r="AH23" s="43"/>
      <c r="AI23" s="43"/>
    </row>
    <row r="24" spans="1:35" ht="15.75">
      <c r="A24" s="88">
        <v>6017</v>
      </c>
      <c r="B24" s="1032" t="s">
        <v>329</v>
      </c>
      <c r="C24" s="1033"/>
      <c r="D24" s="1033"/>
      <c r="E24" s="1033"/>
      <c r="F24" s="1033"/>
      <c r="G24" s="1033"/>
      <c r="H24" s="1033"/>
      <c r="I24" s="1033"/>
      <c r="J24" s="1033"/>
      <c r="K24" s="1033"/>
      <c r="L24" s="90"/>
      <c r="M24" s="51" t="s">
        <v>265</v>
      </c>
      <c r="N24" s="113">
        <f t="shared" si="0"/>
        <v>6017</v>
      </c>
      <c r="O24" s="323">
        <v>1411.62</v>
      </c>
      <c r="P24" s="372">
        <v>0</v>
      </c>
      <c r="Q24" s="51"/>
      <c r="R24" s="120">
        <v>0</v>
      </c>
      <c r="S24" s="888">
        <v>0</v>
      </c>
      <c r="T24" s="51"/>
      <c r="U24" s="120">
        <v>0</v>
      </c>
      <c r="V24" s="888">
        <v>0</v>
      </c>
      <c r="W24" s="51"/>
      <c r="X24" s="351">
        <f t="shared" si="1"/>
        <v>1411.62</v>
      </c>
      <c r="Y24" s="1609">
        <f t="shared" si="2"/>
        <v>0</v>
      </c>
      <c r="Z24" s="43"/>
      <c r="AA24" s="1621">
        <f t="shared" si="3"/>
        <v>0</v>
      </c>
      <c r="AB24" s="43"/>
      <c r="AC24" s="43"/>
      <c r="AD24" s="43"/>
      <c r="AE24" s="43"/>
      <c r="AF24" s="43"/>
      <c r="AG24" s="43"/>
      <c r="AH24" s="43"/>
      <c r="AI24" s="43"/>
    </row>
    <row r="25" spans="1:35" ht="15.75">
      <c r="A25" s="88">
        <v>6018</v>
      </c>
      <c r="B25" s="1032" t="s">
        <v>330</v>
      </c>
      <c r="C25" s="1033"/>
      <c r="D25" s="1033"/>
      <c r="E25" s="1033"/>
      <c r="F25" s="1033"/>
      <c r="G25" s="1033"/>
      <c r="H25" s="1033"/>
      <c r="I25" s="1033"/>
      <c r="J25" s="1033"/>
      <c r="K25" s="1033"/>
      <c r="L25" s="90"/>
      <c r="M25" s="51" t="s">
        <v>265</v>
      </c>
      <c r="N25" s="113">
        <f t="shared" si="0"/>
        <v>6018</v>
      </c>
      <c r="O25" s="323">
        <v>0</v>
      </c>
      <c r="P25" s="372">
        <v>0</v>
      </c>
      <c r="Q25" s="51"/>
      <c r="R25" s="120">
        <v>0</v>
      </c>
      <c r="S25" s="888">
        <v>0</v>
      </c>
      <c r="T25" s="51"/>
      <c r="U25" s="120">
        <v>0</v>
      </c>
      <c r="V25" s="888">
        <v>0</v>
      </c>
      <c r="W25" s="51"/>
      <c r="X25" s="351">
        <f t="shared" si="1"/>
        <v>0</v>
      </c>
      <c r="Y25" s="1609">
        <f t="shared" si="2"/>
        <v>0</v>
      </c>
      <c r="Z25" s="43"/>
      <c r="AA25" s="1621">
        <f t="shared" si="3"/>
        <v>0</v>
      </c>
      <c r="AB25" s="43"/>
      <c r="AC25" s="43"/>
      <c r="AD25" s="43"/>
      <c r="AE25" s="43"/>
      <c r="AF25" s="43"/>
      <c r="AG25" s="43"/>
      <c r="AH25" s="43"/>
      <c r="AI25" s="43"/>
    </row>
    <row r="26" spans="1:35" ht="15.75">
      <c r="A26" s="88">
        <v>6019</v>
      </c>
      <c r="B26" s="1032" t="s">
        <v>331</v>
      </c>
      <c r="C26" s="1033"/>
      <c r="D26" s="1033"/>
      <c r="E26" s="1033"/>
      <c r="F26" s="1033"/>
      <c r="G26" s="1033"/>
      <c r="H26" s="1033"/>
      <c r="I26" s="1033"/>
      <c r="J26" s="1033"/>
      <c r="K26" s="1033"/>
      <c r="L26" s="90"/>
      <c r="M26" s="51" t="s">
        <v>265</v>
      </c>
      <c r="N26" s="113">
        <f t="shared" si="0"/>
        <v>6019</v>
      </c>
      <c r="O26" s="323">
        <v>16483.54</v>
      </c>
      <c r="P26" s="372">
        <v>0</v>
      </c>
      <c r="Q26" s="51"/>
      <c r="R26" s="120">
        <v>0</v>
      </c>
      <c r="S26" s="888">
        <v>0</v>
      </c>
      <c r="T26" s="51"/>
      <c r="U26" s="120">
        <v>0</v>
      </c>
      <c r="V26" s="888">
        <v>0</v>
      </c>
      <c r="W26" s="51"/>
      <c r="X26" s="351">
        <f t="shared" si="1"/>
        <v>16483.54</v>
      </c>
      <c r="Y26" s="1609">
        <f t="shared" si="2"/>
        <v>0</v>
      </c>
      <c r="Z26" s="43"/>
      <c r="AA26" s="1621">
        <f t="shared" si="3"/>
        <v>0</v>
      </c>
      <c r="AB26" s="43"/>
      <c r="AC26" s="43"/>
      <c r="AD26" s="43"/>
      <c r="AE26" s="43"/>
      <c r="AF26" s="43"/>
      <c r="AG26" s="43"/>
      <c r="AH26" s="43"/>
      <c r="AI26" s="43"/>
    </row>
    <row r="27" spans="1:35" ht="15.75">
      <c r="A27" s="88">
        <v>6021</v>
      </c>
      <c r="B27" s="1032" t="s">
        <v>332</v>
      </c>
      <c r="C27" s="1033"/>
      <c r="D27" s="1033"/>
      <c r="E27" s="1033"/>
      <c r="F27" s="1033"/>
      <c r="G27" s="1033"/>
      <c r="H27" s="1033"/>
      <c r="I27" s="1033"/>
      <c r="J27" s="1033"/>
      <c r="K27" s="1033"/>
      <c r="L27" s="90"/>
      <c r="M27" s="51" t="s">
        <v>265</v>
      </c>
      <c r="N27" s="113">
        <f t="shared" si="0"/>
        <v>6021</v>
      </c>
      <c r="O27" s="323">
        <v>229922.31</v>
      </c>
      <c r="P27" s="372">
        <v>0</v>
      </c>
      <c r="Q27" s="51"/>
      <c r="R27" s="120">
        <v>0</v>
      </c>
      <c r="S27" s="888">
        <v>0</v>
      </c>
      <c r="T27" s="51"/>
      <c r="U27" s="120">
        <v>0</v>
      </c>
      <c r="V27" s="888">
        <v>0</v>
      </c>
      <c r="W27" s="51"/>
      <c r="X27" s="351">
        <f t="shared" si="1"/>
        <v>229922.31</v>
      </c>
      <c r="Y27" s="1609">
        <f t="shared" si="2"/>
        <v>0</v>
      </c>
      <c r="Z27" s="43"/>
      <c r="AA27" s="1621">
        <f t="shared" si="3"/>
        <v>0</v>
      </c>
      <c r="AB27" s="43"/>
      <c r="AC27" s="43"/>
      <c r="AD27" s="43"/>
      <c r="AE27" s="43"/>
      <c r="AF27" s="43"/>
      <c r="AG27" s="43"/>
      <c r="AH27" s="43"/>
      <c r="AI27" s="43"/>
    </row>
    <row r="28" spans="1:35" ht="15.75">
      <c r="A28" s="88">
        <v>6022</v>
      </c>
      <c r="B28" s="1032" t="s">
        <v>333</v>
      </c>
      <c r="C28" s="1033"/>
      <c r="D28" s="1033"/>
      <c r="E28" s="1033"/>
      <c r="F28" s="1033"/>
      <c r="G28" s="1033"/>
      <c r="H28" s="1033"/>
      <c r="I28" s="1033"/>
      <c r="J28" s="1033"/>
      <c r="K28" s="1033"/>
      <c r="L28" s="90"/>
      <c r="M28" s="51" t="s">
        <v>265</v>
      </c>
      <c r="N28" s="113">
        <f t="shared" si="0"/>
        <v>6022</v>
      </c>
      <c r="O28" s="323">
        <v>19204.28</v>
      </c>
      <c r="P28" s="372">
        <v>0</v>
      </c>
      <c r="Q28" s="51"/>
      <c r="R28" s="120">
        <v>0</v>
      </c>
      <c r="S28" s="888">
        <v>0</v>
      </c>
      <c r="T28" s="51"/>
      <c r="U28" s="120">
        <v>0</v>
      </c>
      <c r="V28" s="888">
        <v>0</v>
      </c>
      <c r="W28" s="51"/>
      <c r="X28" s="351">
        <f t="shared" si="1"/>
        <v>19204.28</v>
      </c>
      <c r="Y28" s="1609">
        <f t="shared" si="2"/>
        <v>0</v>
      </c>
      <c r="Z28" s="43"/>
      <c r="AA28" s="1621">
        <f t="shared" si="3"/>
        <v>0</v>
      </c>
      <c r="AB28" s="43"/>
      <c r="AC28" s="43"/>
      <c r="AD28" s="43"/>
      <c r="AE28" s="43"/>
      <c r="AF28" s="43"/>
      <c r="AG28" s="43"/>
      <c r="AH28" s="43"/>
      <c r="AI28" s="43"/>
    </row>
    <row r="29" spans="1:35" ht="15.75">
      <c r="A29" s="88">
        <v>6023</v>
      </c>
      <c r="B29" s="1032" t="s">
        <v>334</v>
      </c>
      <c r="C29" s="1033"/>
      <c r="D29" s="1033"/>
      <c r="E29" s="1033"/>
      <c r="F29" s="1033"/>
      <c r="G29" s="1033"/>
      <c r="H29" s="1033"/>
      <c r="I29" s="1033"/>
      <c r="J29" s="1033"/>
      <c r="K29" s="1033"/>
      <c r="L29" s="90"/>
      <c r="M29" s="51" t="s">
        <v>265</v>
      </c>
      <c r="N29" s="113">
        <f t="shared" si="0"/>
        <v>6023</v>
      </c>
      <c r="O29" s="323">
        <v>344.71</v>
      </c>
      <c r="P29" s="372">
        <v>0</v>
      </c>
      <c r="Q29" s="51"/>
      <c r="R29" s="120">
        <v>0</v>
      </c>
      <c r="S29" s="888">
        <v>0</v>
      </c>
      <c r="T29" s="51"/>
      <c r="U29" s="120">
        <v>0</v>
      </c>
      <c r="V29" s="888">
        <v>0</v>
      </c>
      <c r="W29" s="51"/>
      <c r="X29" s="351">
        <f t="shared" si="1"/>
        <v>344.71</v>
      </c>
      <c r="Y29" s="1609">
        <f t="shared" si="2"/>
        <v>0</v>
      </c>
      <c r="Z29" s="43"/>
      <c r="AA29" s="1621">
        <f t="shared" si="3"/>
        <v>0</v>
      </c>
      <c r="AB29" s="43"/>
      <c r="AC29" s="43"/>
      <c r="AD29" s="43"/>
      <c r="AE29" s="43"/>
      <c r="AF29" s="43"/>
      <c r="AG29" s="43"/>
      <c r="AH29" s="43"/>
      <c r="AI29" s="43"/>
    </row>
    <row r="30" spans="1:35" ht="15.75">
      <c r="A30" s="88">
        <v>6025</v>
      </c>
      <c r="B30" s="1032" t="s">
        <v>335</v>
      </c>
      <c r="C30" s="1033"/>
      <c r="D30" s="1033"/>
      <c r="E30" s="1033"/>
      <c r="F30" s="1033"/>
      <c r="G30" s="1033"/>
      <c r="H30" s="1033"/>
      <c r="I30" s="1033"/>
      <c r="J30" s="1033"/>
      <c r="K30" s="1033"/>
      <c r="L30" s="90"/>
      <c r="M30" s="51" t="s">
        <v>265</v>
      </c>
      <c r="N30" s="113">
        <f t="shared" si="0"/>
        <v>6025</v>
      </c>
      <c r="O30" s="323">
        <v>1074</v>
      </c>
      <c r="P30" s="372">
        <v>0</v>
      </c>
      <c r="Q30" s="51"/>
      <c r="R30" s="120">
        <v>0</v>
      </c>
      <c r="S30" s="888">
        <v>0</v>
      </c>
      <c r="T30" s="51"/>
      <c r="U30" s="120">
        <v>0</v>
      </c>
      <c r="V30" s="888">
        <v>0</v>
      </c>
      <c r="W30" s="51"/>
      <c r="X30" s="351">
        <f t="shared" si="1"/>
        <v>1074</v>
      </c>
      <c r="Y30" s="1609">
        <f t="shared" si="2"/>
        <v>0</v>
      </c>
      <c r="Z30" s="43"/>
      <c r="AA30" s="1621">
        <f t="shared" si="3"/>
        <v>0</v>
      </c>
      <c r="AB30" s="43"/>
      <c r="AC30" s="43"/>
      <c r="AD30" s="43"/>
      <c r="AE30" s="43"/>
      <c r="AF30" s="43"/>
      <c r="AG30" s="43"/>
      <c r="AH30" s="43"/>
      <c r="AI30" s="43"/>
    </row>
    <row r="31" spans="1:35" ht="15.75">
      <c r="A31" s="88">
        <v>6026</v>
      </c>
      <c r="B31" s="1032" t="s">
        <v>336</v>
      </c>
      <c r="C31" s="1033"/>
      <c r="D31" s="1033"/>
      <c r="E31" s="1033"/>
      <c r="F31" s="1033"/>
      <c r="G31" s="1033"/>
      <c r="H31" s="1033"/>
      <c r="I31" s="1033"/>
      <c r="J31" s="1033"/>
      <c r="K31" s="1033"/>
      <c r="L31" s="90"/>
      <c r="M31" s="51" t="s">
        <v>265</v>
      </c>
      <c r="N31" s="113">
        <f t="shared" si="0"/>
        <v>6026</v>
      </c>
      <c r="O31" s="323">
        <v>0</v>
      </c>
      <c r="P31" s="372">
        <v>0</v>
      </c>
      <c r="Q31" s="51"/>
      <c r="R31" s="120">
        <v>0</v>
      </c>
      <c r="S31" s="888">
        <v>0</v>
      </c>
      <c r="T31" s="51"/>
      <c r="U31" s="120">
        <v>0</v>
      </c>
      <c r="V31" s="888">
        <v>0</v>
      </c>
      <c r="W31" s="51"/>
      <c r="X31" s="351">
        <f t="shared" si="1"/>
        <v>0</v>
      </c>
      <c r="Y31" s="1609">
        <f t="shared" si="2"/>
        <v>0</v>
      </c>
      <c r="Z31" s="43"/>
      <c r="AA31" s="1621">
        <f t="shared" si="3"/>
        <v>0</v>
      </c>
      <c r="AB31" s="43"/>
      <c r="AC31" s="43"/>
      <c r="AD31" s="43"/>
      <c r="AE31" s="43"/>
      <c r="AF31" s="43"/>
      <c r="AG31" s="43"/>
      <c r="AH31" s="43"/>
      <c r="AI31" s="43"/>
    </row>
    <row r="32" spans="1:35" ht="15.75">
      <c r="A32" s="88">
        <v>6027</v>
      </c>
      <c r="B32" s="1032" t="s">
        <v>337</v>
      </c>
      <c r="C32" s="1033"/>
      <c r="D32" s="1033"/>
      <c r="E32" s="1033"/>
      <c r="F32" s="1033"/>
      <c r="G32" s="1033"/>
      <c r="H32" s="1033"/>
      <c r="I32" s="1033"/>
      <c r="J32" s="1033"/>
      <c r="K32" s="1033"/>
      <c r="L32" s="90"/>
      <c r="M32" s="51" t="s">
        <v>265</v>
      </c>
      <c r="N32" s="113">
        <f t="shared" si="0"/>
        <v>6027</v>
      </c>
      <c r="O32" s="323">
        <v>25</v>
      </c>
      <c r="P32" s="372">
        <v>0</v>
      </c>
      <c r="Q32" s="51"/>
      <c r="R32" s="120">
        <v>0</v>
      </c>
      <c r="S32" s="888">
        <v>0</v>
      </c>
      <c r="T32" s="51"/>
      <c r="U32" s="120">
        <v>0</v>
      </c>
      <c r="V32" s="888">
        <v>0</v>
      </c>
      <c r="W32" s="51"/>
      <c r="X32" s="351">
        <f t="shared" si="1"/>
        <v>25</v>
      </c>
      <c r="Y32" s="1609">
        <f t="shared" si="2"/>
        <v>0</v>
      </c>
      <c r="Z32" s="43"/>
      <c r="AA32" s="1621">
        <f t="shared" si="3"/>
        <v>0</v>
      </c>
      <c r="AB32" s="43"/>
      <c r="AC32" s="43"/>
      <c r="AD32" s="43"/>
      <c r="AE32" s="43"/>
      <c r="AF32" s="43"/>
      <c r="AG32" s="43"/>
      <c r="AH32" s="43"/>
      <c r="AI32" s="43"/>
    </row>
    <row r="33" spans="1:35" ht="15.75">
      <c r="A33" s="88">
        <v>6028</v>
      </c>
      <c r="B33" s="1032" t="s">
        <v>338</v>
      </c>
      <c r="C33" s="1033"/>
      <c r="D33" s="1033"/>
      <c r="E33" s="1033"/>
      <c r="F33" s="1033"/>
      <c r="G33" s="1033"/>
      <c r="H33" s="1033"/>
      <c r="I33" s="1033"/>
      <c r="J33" s="1033"/>
      <c r="K33" s="1033"/>
      <c r="L33" s="90"/>
      <c r="M33" s="51" t="s">
        <v>265</v>
      </c>
      <c r="N33" s="113">
        <f t="shared" si="0"/>
        <v>6028</v>
      </c>
      <c r="O33" s="323">
        <v>183.06</v>
      </c>
      <c r="P33" s="372">
        <v>0</v>
      </c>
      <c r="Q33" s="51"/>
      <c r="R33" s="120">
        <v>0</v>
      </c>
      <c r="S33" s="888">
        <v>0</v>
      </c>
      <c r="T33" s="51"/>
      <c r="U33" s="120">
        <v>0</v>
      </c>
      <c r="V33" s="888">
        <v>0</v>
      </c>
      <c r="W33" s="51"/>
      <c r="X33" s="351">
        <f t="shared" si="1"/>
        <v>183.06</v>
      </c>
      <c r="Y33" s="1609">
        <f t="shared" si="2"/>
        <v>0</v>
      </c>
      <c r="Z33" s="43"/>
      <c r="AA33" s="1621">
        <f t="shared" si="3"/>
        <v>0</v>
      </c>
      <c r="AB33" s="43"/>
      <c r="AC33" s="43"/>
      <c r="AD33" s="43"/>
      <c r="AE33" s="43"/>
      <c r="AF33" s="43"/>
      <c r="AG33" s="43"/>
      <c r="AH33" s="43"/>
      <c r="AI33" s="43"/>
    </row>
    <row r="34" spans="1:35" ht="15.75">
      <c r="A34" s="88">
        <v>6029</v>
      </c>
      <c r="B34" s="1032" t="s">
        <v>339</v>
      </c>
      <c r="C34" s="1033"/>
      <c r="D34" s="1033"/>
      <c r="E34" s="1033"/>
      <c r="F34" s="1033"/>
      <c r="G34" s="1033"/>
      <c r="H34" s="1033"/>
      <c r="I34" s="1033"/>
      <c r="J34" s="1033"/>
      <c r="K34" s="1033"/>
      <c r="L34" s="90"/>
      <c r="M34" s="51" t="s">
        <v>265</v>
      </c>
      <c r="N34" s="113">
        <f t="shared" si="0"/>
        <v>6029</v>
      </c>
      <c r="O34" s="323">
        <v>13083.21</v>
      </c>
      <c r="P34" s="372">
        <v>0</v>
      </c>
      <c r="Q34" s="51"/>
      <c r="R34" s="120">
        <v>0</v>
      </c>
      <c r="S34" s="888">
        <v>0</v>
      </c>
      <c r="T34" s="51"/>
      <c r="U34" s="120">
        <v>0</v>
      </c>
      <c r="V34" s="888">
        <v>0</v>
      </c>
      <c r="W34" s="51"/>
      <c r="X34" s="351">
        <f t="shared" si="1"/>
        <v>13083.21</v>
      </c>
      <c r="Y34" s="1609">
        <f t="shared" si="2"/>
        <v>0</v>
      </c>
      <c r="Z34" s="43"/>
      <c r="AA34" s="1621">
        <f t="shared" si="3"/>
        <v>0</v>
      </c>
      <c r="AB34" s="43"/>
      <c r="AC34" s="43"/>
      <c r="AD34" s="43"/>
      <c r="AE34" s="43"/>
      <c r="AF34" s="43"/>
      <c r="AG34" s="43"/>
      <c r="AH34" s="43"/>
      <c r="AI34" s="43"/>
    </row>
    <row r="35" spans="1:35" ht="15.75">
      <c r="A35" s="591">
        <v>6030</v>
      </c>
      <c r="B35" s="1034" t="s">
        <v>340</v>
      </c>
      <c r="C35" s="1033"/>
      <c r="D35" s="1033"/>
      <c r="E35" s="1033"/>
      <c r="F35" s="1033"/>
      <c r="G35" s="1033"/>
      <c r="H35" s="1033"/>
      <c r="I35" s="1033"/>
      <c r="J35" s="1033"/>
      <c r="K35" s="1033"/>
      <c r="L35" s="574"/>
      <c r="M35" s="51" t="s">
        <v>265</v>
      </c>
      <c r="N35" s="1733">
        <f t="shared" si="0"/>
        <v>6030</v>
      </c>
      <c r="O35" s="323">
        <v>163.80000000000001</v>
      </c>
      <c r="P35" s="372">
        <v>0</v>
      </c>
      <c r="Q35" s="51"/>
      <c r="R35" s="10">
        <v>0</v>
      </c>
      <c r="S35" s="889">
        <v>0</v>
      </c>
      <c r="T35" s="51"/>
      <c r="U35" s="10">
        <v>0</v>
      </c>
      <c r="V35" s="889">
        <v>0</v>
      </c>
      <c r="W35" s="51"/>
      <c r="X35" s="2182">
        <f t="shared" si="1"/>
        <v>163.80000000000001</v>
      </c>
      <c r="Y35" s="2183">
        <f t="shared" si="2"/>
        <v>0</v>
      </c>
      <c r="Z35" s="43"/>
      <c r="AA35" s="1621">
        <f t="shared" si="3"/>
        <v>0</v>
      </c>
      <c r="AB35" s="43"/>
      <c r="AC35" s="43"/>
      <c r="AD35" s="43"/>
      <c r="AE35" s="43"/>
      <c r="AF35" s="43"/>
      <c r="AG35" s="43"/>
      <c r="AH35" s="43"/>
      <c r="AI35" s="43"/>
    </row>
    <row r="36" spans="1:35" ht="15.75">
      <c r="A36" s="591">
        <v>6032</v>
      </c>
      <c r="B36" s="1034" t="s">
        <v>341</v>
      </c>
      <c r="C36" s="1033"/>
      <c r="D36" s="1033"/>
      <c r="E36" s="1033"/>
      <c r="F36" s="1033"/>
      <c r="G36" s="1033"/>
      <c r="H36" s="1033"/>
      <c r="I36" s="1033"/>
      <c r="J36" s="1033"/>
      <c r="K36" s="1033"/>
      <c r="L36" s="574"/>
      <c r="M36" s="51" t="s">
        <v>265</v>
      </c>
      <c r="N36" s="1733">
        <f t="shared" si="0"/>
        <v>6032</v>
      </c>
      <c r="O36" s="323">
        <v>0</v>
      </c>
      <c r="P36" s="372">
        <v>0</v>
      </c>
      <c r="Q36" s="51"/>
      <c r="R36" s="10">
        <v>0</v>
      </c>
      <c r="S36" s="889">
        <v>0</v>
      </c>
      <c r="T36" s="51"/>
      <c r="U36" s="10">
        <v>0</v>
      </c>
      <c r="V36" s="889">
        <v>0</v>
      </c>
      <c r="W36" s="51"/>
      <c r="X36" s="2182">
        <f t="shared" si="1"/>
        <v>0</v>
      </c>
      <c r="Y36" s="2183">
        <f t="shared" si="2"/>
        <v>0</v>
      </c>
      <c r="Z36" s="43"/>
      <c r="AA36" s="1621">
        <f t="shared" si="3"/>
        <v>0</v>
      </c>
      <c r="AB36" s="43"/>
      <c r="AC36" s="43"/>
      <c r="AD36" s="43"/>
      <c r="AE36" s="43"/>
      <c r="AF36" s="43"/>
      <c r="AG36" s="43"/>
      <c r="AH36" s="43"/>
      <c r="AI36" s="43"/>
    </row>
    <row r="37" spans="1:35" ht="15.75">
      <c r="A37" s="591">
        <v>6033</v>
      </c>
      <c r="B37" s="1034" t="s">
        <v>342</v>
      </c>
      <c r="C37" s="1033"/>
      <c r="D37" s="1033"/>
      <c r="E37" s="1033"/>
      <c r="F37" s="1033"/>
      <c r="G37" s="1033"/>
      <c r="H37" s="1033"/>
      <c r="I37" s="1033"/>
      <c r="J37" s="1033"/>
      <c r="K37" s="1033"/>
      <c r="L37" s="574"/>
      <c r="M37" s="51" t="s">
        <v>265</v>
      </c>
      <c r="N37" s="1733">
        <f t="shared" si="0"/>
        <v>6033</v>
      </c>
      <c r="O37" s="323">
        <v>0</v>
      </c>
      <c r="P37" s="372">
        <v>0</v>
      </c>
      <c r="Q37" s="51"/>
      <c r="R37" s="10">
        <v>0</v>
      </c>
      <c r="S37" s="889">
        <v>0</v>
      </c>
      <c r="T37" s="51"/>
      <c r="U37" s="10">
        <v>0</v>
      </c>
      <c r="V37" s="889">
        <v>0</v>
      </c>
      <c r="W37" s="51"/>
      <c r="X37" s="2182">
        <f t="shared" si="1"/>
        <v>0</v>
      </c>
      <c r="Y37" s="2183">
        <f t="shared" si="2"/>
        <v>0</v>
      </c>
      <c r="Z37" s="43"/>
      <c r="AA37" s="1621">
        <f t="shared" si="3"/>
        <v>0</v>
      </c>
      <c r="AB37" s="43"/>
      <c r="AC37" s="43"/>
      <c r="AD37" s="43"/>
      <c r="AE37" s="43"/>
      <c r="AF37" s="43"/>
      <c r="AG37" s="43"/>
      <c r="AH37" s="43"/>
      <c r="AI37" s="43"/>
    </row>
    <row r="38" spans="1:35" ht="15.75">
      <c r="A38" s="591">
        <v>6034</v>
      </c>
      <c r="B38" s="1034" t="s">
        <v>343</v>
      </c>
      <c r="C38" s="1033"/>
      <c r="D38" s="1033"/>
      <c r="E38" s="1033"/>
      <c r="F38" s="1033"/>
      <c r="G38" s="1033"/>
      <c r="H38" s="1033"/>
      <c r="I38" s="1033"/>
      <c r="J38" s="1033"/>
      <c r="K38" s="1033"/>
      <c r="L38" s="574"/>
      <c r="M38" s="51" t="s">
        <v>265</v>
      </c>
      <c r="N38" s="1733">
        <f t="shared" si="0"/>
        <v>6034</v>
      </c>
      <c r="O38" s="323">
        <v>8034.36</v>
      </c>
      <c r="P38" s="372">
        <v>0</v>
      </c>
      <c r="Q38" s="51"/>
      <c r="R38" s="10">
        <v>0</v>
      </c>
      <c r="S38" s="889">
        <v>0</v>
      </c>
      <c r="T38" s="51"/>
      <c r="U38" s="10">
        <v>0</v>
      </c>
      <c r="V38" s="889">
        <v>0</v>
      </c>
      <c r="W38" s="51"/>
      <c r="X38" s="2182">
        <f t="shared" si="1"/>
        <v>8034.36</v>
      </c>
      <c r="Y38" s="2183">
        <f t="shared" si="2"/>
        <v>0</v>
      </c>
      <c r="Z38" s="43"/>
      <c r="AA38" s="1621">
        <f t="shared" si="3"/>
        <v>0</v>
      </c>
      <c r="AB38" s="43"/>
      <c r="AC38" s="43"/>
      <c r="AD38" s="43"/>
      <c r="AE38" s="43"/>
      <c r="AF38" s="43"/>
      <c r="AG38" s="43"/>
      <c r="AH38" s="43"/>
      <c r="AI38" s="43"/>
    </row>
    <row r="39" spans="1:35" ht="15.75">
      <c r="A39" s="591">
        <v>6035</v>
      </c>
      <c r="B39" s="1034" t="s">
        <v>344</v>
      </c>
      <c r="C39" s="1033"/>
      <c r="D39" s="1033"/>
      <c r="E39" s="1033"/>
      <c r="F39" s="1033"/>
      <c r="G39" s="1033"/>
      <c r="H39" s="1033"/>
      <c r="I39" s="1033"/>
      <c r="J39" s="1033"/>
      <c r="K39" s="1033"/>
      <c r="L39" s="574"/>
      <c r="M39" s="51" t="s">
        <v>265</v>
      </c>
      <c r="N39" s="1733">
        <f t="shared" si="0"/>
        <v>6035</v>
      </c>
      <c r="O39" s="323">
        <v>35499.599999999999</v>
      </c>
      <c r="P39" s="372">
        <v>0</v>
      </c>
      <c r="Q39" s="51"/>
      <c r="R39" s="10">
        <v>0</v>
      </c>
      <c r="S39" s="889">
        <v>0</v>
      </c>
      <c r="T39" s="51"/>
      <c r="U39" s="10">
        <v>0</v>
      </c>
      <c r="V39" s="889">
        <v>0</v>
      </c>
      <c r="W39" s="51"/>
      <c r="X39" s="2182">
        <f t="shared" si="1"/>
        <v>35499.599999999999</v>
      </c>
      <c r="Y39" s="2183">
        <f t="shared" si="2"/>
        <v>0</v>
      </c>
      <c r="Z39" s="43"/>
      <c r="AA39" s="1621">
        <f t="shared" si="3"/>
        <v>0</v>
      </c>
      <c r="AB39" s="43"/>
      <c r="AC39" s="43"/>
      <c r="AD39" s="43"/>
      <c r="AE39" s="43"/>
      <c r="AF39" s="43"/>
      <c r="AG39" s="43"/>
      <c r="AH39" s="43"/>
      <c r="AI39" s="43"/>
    </row>
    <row r="40" spans="1:35" ht="15.75">
      <c r="A40" s="591">
        <v>6036</v>
      </c>
      <c r="B40" s="1034" t="s">
        <v>345</v>
      </c>
      <c r="C40" s="1033"/>
      <c r="D40" s="1033"/>
      <c r="E40" s="1033"/>
      <c r="F40" s="1033"/>
      <c r="G40" s="1033"/>
      <c r="H40" s="1033"/>
      <c r="I40" s="1033"/>
      <c r="J40" s="1033"/>
      <c r="K40" s="1033"/>
      <c r="L40" s="574"/>
      <c r="M40" s="51" t="s">
        <v>265</v>
      </c>
      <c r="N40" s="1733">
        <f t="shared" si="0"/>
        <v>6036</v>
      </c>
      <c r="O40" s="323">
        <v>597.12</v>
      </c>
      <c r="P40" s="372">
        <v>0</v>
      </c>
      <c r="Q40" s="51"/>
      <c r="R40" s="10">
        <v>0</v>
      </c>
      <c r="S40" s="889">
        <v>0</v>
      </c>
      <c r="T40" s="51"/>
      <c r="U40" s="10">
        <v>0</v>
      </c>
      <c r="V40" s="889">
        <v>0</v>
      </c>
      <c r="W40" s="51"/>
      <c r="X40" s="2182">
        <f t="shared" si="1"/>
        <v>597.12</v>
      </c>
      <c r="Y40" s="2183">
        <f t="shared" si="2"/>
        <v>0</v>
      </c>
      <c r="Z40" s="43"/>
      <c r="AA40" s="1621">
        <f t="shared" si="3"/>
        <v>0</v>
      </c>
      <c r="AB40" s="43"/>
      <c r="AC40" s="43"/>
      <c r="AD40" s="43"/>
      <c r="AE40" s="43"/>
      <c r="AF40" s="43"/>
      <c r="AG40" s="43"/>
      <c r="AH40" s="43"/>
      <c r="AI40" s="43"/>
    </row>
    <row r="41" spans="1:35" ht="15.75">
      <c r="A41" s="591">
        <v>6037</v>
      </c>
      <c r="B41" s="1033" t="s">
        <v>347</v>
      </c>
      <c r="C41" s="1033"/>
      <c r="D41" s="1033"/>
      <c r="E41" s="1033"/>
      <c r="F41" s="1033"/>
      <c r="G41" s="1033"/>
      <c r="H41" s="1033"/>
      <c r="I41" s="1033"/>
      <c r="J41" s="1033"/>
      <c r="K41" s="1033"/>
      <c r="L41" s="574"/>
      <c r="M41" s="51" t="s">
        <v>265</v>
      </c>
      <c r="N41" s="1733">
        <f t="shared" si="0"/>
        <v>6037</v>
      </c>
      <c r="O41" s="10">
        <v>0</v>
      </c>
      <c r="P41" s="889">
        <v>0</v>
      </c>
      <c r="Q41" s="51"/>
      <c r="R41" s="10">
        <v>0</v>
      </c>
      <c r="S41" s="889">
        <v>0</v>
      </c>
      <c r="T41" s="51"/>
      <c r="U41" s="120">
        <v>0</v>
      </c>
      <c r="V41" s="888">
        <v>0</v>
      </c>
      <c r="W41" s="51"/>
      <c r="X41" s="2182">
        <f t="shared" si="1"/>
        <v>0</v>
      </c>
      <c r="Y41" s="2183">
        <f t="shared" si="2"/>
        <v>0</v>
      </c>
      <c r="Z41" s="43"/>
      <c r="AA41" s="1621">
        <f t="shared" si="3"/>
        <v>0</v>
      </c>
      <c r="AB41" s="43"/>
      <c r="AC41" s="43"/>
      <c r="AD41" s="43"/>
      <c r="AE41" s="43"/>
      <c r="AF41" s="43"/>
      <c r="AG41" s="43"/>
      <c r="AH41" s="43"/>
      <c r="AI41" s="43"/>
    </row>
    <row r="42" spans="1:35" ht="15.75">
      <c r="A42" s="591">
        <v>6039</v>
      </c>
      <c r="B42" s="1034" t="s">
        <v>346</v>
      </c>
      <c r="C42" s="1033"/>
      <c r="D42" s="1033"/>
      <c r="E42" s="1033"/>
      <c r="F42" s="1033"/>
      <c r="G42" s="1033"/>
      <c r="H42" s="1033"/>
      <c r="I42" s="1033"/>
      <c r="J42" s="1033"/>
      <c r="K42" s="1033"/>
      <c r="L42" s="574"/>
      <c r="M42" s="51" t="s">
        <v>265</v>
      </c>
      <c r="N42" s="1733">
        <f t="shared" si="0"/>
        <v>6039</v>
      </c>
      <c r="O42" s="323">
        <v>0</v>
      </c>
      <c r="P42" s="372">
        <v>0</v>
      </c>
      <c r="Q42" s="51"/>
      <c r="R42" s="10">
        <v>0</v>
      </c>
      <c r="S42" s="889">
        <v>0</v>
      </c>
      <c r="T42" s="51"/>
      <c r="U42" s="120">
        <v>0</v>
      </c>
      <c r="V42" s="888">
        <v>0</v>
      </c>
      <c r="W42" s="51"/>
      <c r="X42" s="2182">
        <f t="shared" si="1"/>
        <v>0</v>
      </c>
      <c r="Y42" s="2183">
        <f t="shared" si="2"/>
        <v>0</v>
      </c>
      <c r="Z42" s="43"/>
      <c r="AA42" s="1621">
        <f t="shared" si="3"/>
        <v>0</v>
      </c>
      <c r="AB42" s="43"/>
      <c r="AC42" s="43"/>
      <c r="AD42" s="43"/>
      <c r="AE42" s="43"/>
      <c r="AF42" s="43"/>
      <c r="AG42" s="43"/>
      <c r="AH42" s="43"/>
      <c r="AI42" s="43"/>
    </row>
    <row r="43" spans="1:35" ht="15.75">
      <c r="A43" s="88">
        <v>6041</v>
      </c>
      <c r="B43" s="1033" t="s">
        <v>348</v>
      </c>
      <c r="C43" s="1033"/>
      <c r="D43" s="1033"/>
      <c r="E43" s="1033"/>
      <c r="F43" s="1033"/>
      <c r="G43" s="1033"/>
      <c r="H43" s="1033"/>
      <c r="I43" s="1033"/>
      <c r="J43" s="1033"/>
      <c r="K43" s="1033"/>
      <c r="L43" s="90"/>
      <c r="M43" s="51" t="s">
        <v>265</v>
      </c>
      <c r="N43" s="113">
        <f t="shared" si="0"/>
        <v>6041</v>
      </c>
      <c r="O43" s="323">
        <v>0</v>
      </c>
      <c r="P43" s="372">
        <v>0</v>
      </c>
      <c r="Q43" s="51"/>
      <c r="R43" s="120">
        <v>0</v>
      </c>
      <c r="S43" s="888">
        <v>0</v>
      </c>
      <c r="T43" s="51"/>
      <c r="U43" s="120">
        <v>0</v>
      </c>
      <c r="V43" s="888">
        <v>0</v>
      </c>
      <c r="W43" s="51"/>
      <c r="X43" s="351">
        <f t="shared" si="1"/>
        <v>0</v>
      </c>
      <c r="Y43" s="1609">
        <f t="shared" si="2"/>
        <v>0</v>
      </c>
      <c r="Z43" s="43"/>
      <c r="AA43" s="1621">
        <f t="shared" si="3"/>
        <v>0</v>
      </c>
      <c r="AB43" s="43"/>
      <c r="AC43" s="43"/>
      <c r="AD43" s="43"/>
      <c r="AE43" s="43"/>
      <c r="AF43" s="43"/>
      <c r="AG43" s="43"/>
      <c r="AH43" s="43"/>
      <c r="AI43" s="43"/>
    </row>
    <row r="44" spans="1:35" ht="15.75">
      <c r="A44" s="88">
        <v>6042</v>
      </c>
      <c r="B44" s="1033" t="s">
        <v>349</v>
      </c>
      <c r="C44" s="1033"/>
      <c r="D44" s="1033"/>
      <c r="E44" s="1033"/>
      <c r="F44" s="1033"/>
      <c r="G44" s="1033"/>
      <c r="H44" s="1033"/>
      <c r="I44" s="1033"/>
      <c r="J44" s="1033"/>
      <c r="K44" s="1033"/>
      <c r="L44" s="90"/>
      <c r="M44" s="51" t="s">
        <v>265</v>
      </c>
      <c r="N44" s="113">
        <f t="shared" si="0"/>
        <v>6042</v>
      </c>
      <c r="O44" s="323">
        <v>966418.35</v>
      </c>
      <c r="P44" s="372">
        <v>0</v>
      </c>
      <c r="Q44" s="51"/>
      <c r="R44" s="120">
        <v>0</v>
      </c>
      <c r="S44" s="888">
        <v>0</v>
      </c>
      <c r="T44" s="51"/>
      <c r="U44" s="120">
        <v>0</v>
      </c>
      <c r="V44" s="888">
        <v>0</v>
      </c>
      <c r="W44" s="51"/>
      <c r="X44" s="351">
        <f t="shared" si="1"/>
        <v>966418.35</v>
      </c>
      <c r="Y44" s="1609">
        <f t="shared" si="2"/>
        <v>0</v>
      </c>
      <c r="Z44" s="43"/>
      <c r="AA44" s="1621">
        <f t="shared" si="3"/>
        <v>0</v>
      </c>
      <c r="AB44" s="43"/>
      <c r="AC44" s="43"/>
      <c r="AD44" s="43"/>
      <c r="AE44" s="43"/>
      <c r="AF44" s="43"/>
      <c r="AG44" s="43"/>
      <c r="AH44" s="43"/>
      <c r="AI44" s="43"/>
    </row>
    <row r="45" spans="1:35" ht="15.75">
      <c r="A45" s="88">
        <v>6043</v>
      </c>
      <c r="B45" s="1033" t="s">
        <v>350</v>
      </c>
      <c r="C45" s="1033"/>
      <c r="D45" s="1033"/>
      <c r="E45" s="1033"/>
      <c r="F45" s="1033"/>
      <c r="G45" s="1033"/>
      <c r="H45" s="1033"/>
      <c r="I45" s="1033"/>
      <c r="J45" s="1033"/>
      <c r="K45" s="1033"/>
      <c r="L45" s="90"/>
      <c r="M45" s="51" t="s">
        <v>265</v>
      </c>
      <c r="N45" s="113">
        <f t="shared" si="0"/>
        <v>6043</v>
      </c>
      <c r="O45" s="323">
        <v>0</v>
      </c>
      <c r="P45" s="372">
        <v>0</v>
      </c>
      <c r="Q45" s="51"/>
      <c r="R45" s="120">
        <v>0</v>
      </c>
      <c r="S45" s="888">
        <v>0</v>
      </c>
      <c r="T45" s="51"/>
      <c r="U45" s="120">
        <v>0</v>
      </c>
      <c r="V45" s="888">
        <v>0</v>
      </c>
      <c r="W45" s="51"/>
      <c r="X45" s="351">
        <f t="shared" si="1"/>
        <v>0</v>
      </c>
      <c r="Y45" s="1609">
        <f t="shared" si="2"/>
        <v>0</v>
      </c>
      <c r="Z45" s="43"/>
      <c r="AA45" s="1621">
        <f t="shared" si="3"/>
        <v>0</v>
      </c>
      <c r="AB45" s="43"/>
      <c r="AC45" s="43"/>
      <c r="AD45" s="43"/>
      <c r="AE45" s="43"/>
      <c r="AF45" s="43"/>
      <c r="AG45" s="43"/>
      <c r="AH45" s="43"/>
      <c r="AI45" s="43"/>
    </row>
    <row r="46" spans="1:35" ht="15.75">
      <c r="A46" s="88">
        <v>6044</v>
      </c>
      <c r="B46" s="1033" t="s">
        <v>351</v>
      </c>
      <c r="C46" s="1033"/>
      <c r="D46" s="1033"/>
      <c r="E46" s="1033"/>
      <c r="F46" s="1033"/>
      <c r="G46" s="1033"/>
      <c r="H46" s="1033"/>
      <c r="I46" s="1033"/>
      <c r="J46" s="1033"/>
      <c r="K46" s="1033"/>
      <c r="L46" s="90"/>
      <c r="M46" s="51" t="s">
        <v>265</v>
      </c>
      <c r="N46" s="113">
        <f t="shared" si="0"/>
        <v>6044</v>
      </c>
      <c r="O46" s="323">
        <v>6453</v>
      </c>
      <c r="P46" s="372">
        <v>0</v>
      </c>
      <c r="Q46" s="51"/>
      <c r="R46" s="120">
        <v>0</v>
      </c>
      <c r="S46" s="888">
        <v>0</v>
      </c>
      <c r="T46" s="51"/>
      <c r="U46" s="120">
        <v>0</v>
      </c>
      <c r="V46" s="888">
        <v>0</v>
      </c>
      <c r="W46" s="51"/>
      <c r="X46" s="351">
        <f t="shared" si="1"/>
        <v>6453</v>
      </c>
      <c r="Y46" s="1609">
        <f t="shared" si="2"/>
        <v>0</v>
      </c>
      <c r="Z46" s="43"/>
      <c r="AA46" s="1621">
        <f t="shared" si="3"/>
        <v>0</v>
      </c>
      <c r="AB46" s="43"/>
      <c r="AC46" s="43"/>
      <c r="AD46" s="43"/>
      <c r="AE46" s="43"/>
      <c r="AF46" s="43"/>
      <c r="AG46" s="43"/>
      <c r="AH46" s="43"/>
      <c r="AI46" s="43"/>
    </row>
    <row r="47" spans="1:35" ht="15.75">
      <c r="A47" s="88">
        <v>6046</v>
      </c>
      <c r="B47" s="1033" t="s">
        <v>352</v>
      </c>
      <c r="C47" s="1033"/>
      <c r="D47" s="1033"/>
      <c r="E47" s="1033"/>
      <c r="F47" s="1033"/>
      <c r="G47" s="1033"/>
      <c r="H47" s="1033"/>
      <c r="I47" s="1033"/>
      <c r="J47" s="1033"/>
      <c r="K47" s="1033"/>
      <c r="L47" s="90"/>
      <c r="M47" s="51" t="s">
        <v>265</v>
      </c>
      <c r="N47" s="113">
        <f t="shared" si="0"/>
        <v>6046</v>
      </c>
      <c r="O47" s="323">
        <v>0</v>
      </c>
      <c r="P47" s="372">
        <v>0</v>
      </c>
      <c r="Q47" s="51"/>
      <c r="R47" s="120">
        <v>0</v>
      </c>
      <c r="S47" s="888">
        <v>0</v>
      </c>
      <c r="T47" s="51"/>
      <c r="U47" s="120">
        <v>0</v>
      </c>
      <c r="V47" s="888">
        <v>0</v>
      </c>
      <c r="W47" s="51"/>
      <c r="X47" s="351">
        <f t="shared" si="1"/>
        <v>0</v>
      </c>
      <c r="Y47" s="1609">
        <f t="shared" si="2"/>
        <v>0</v>
      </c>
      <c r="Z47" s="43"/>
      <c r="AA47" s="1621">
        <f t="shared" si="3"/>
        <v>0</v>
      </c>
      <c r="AB47" s="43"/>
      <c r="AC47" s="43"/>
      <c r="AD47" s="43"/>
      <c r="AE47" s="43"/>
      <c r="AF47" s="43"/>
      <c r="AG47" s="43"/>
      <c r="AH47" s="43"/>
      <c r="AI47" s="43"/>
    </row>
    <row r="48" spans="1:35" ht="15.75">
      <c r="A48" s="88">
        <v>6047</v>
      </c>
      <c r="B48" s="1032" t="s">
        <v>353</v>
      </c>
      <c r="C48" s="1033"/>
      <c r="D48" s="1033"/>
      <c r="E48" s="1033"/>
      <c r="F48" s="1033"/>
      <c r="G48" s="1033"/>
      <c r="H48" s="1033"/>
      <c r="I48" s="1033"/>
      <c r="J48" s="1033"/>
      <c r="K48" s="1033"/>
      <c r="L48" s="90"/>
      <c r="M48" s="51" t="s">
        <v>265</v>
      </c>
      <c r="N48" s="113">
        <f t="shared" si="0"/>
        <v>6047</v>
      </c>
      <c r="O48" s="120">
        <v>36846.730000000003</v>
      </c>
      <c r="P48" s="890">
        <v>0</v>
      </c>
      <c r="Q48" s="51"/>
      <c r="R48" s="581">
        <v>0</v>
      </c>
      <c r="S48" s="605">
        <v>0</v>
      </c>
      <c r="T48" s="51"/>
      <c r="U48" s="120">
        <v>0</v>
      </c>
      <c r="V48" s="892">
        <v>0</v>
      </c>
      <c r="W48" s="51"/>
      <c r="X48" s="351">
        <f>+ROUND(+O48+R48+U48,2)</f>
        <v>36846.730000000003</v>
      </c>
      <c r="Y48" s="1611">
        <v>0</v>
      </c>
      <c r="Z48" s="43"/>
      <c r="AA48" s="1621">
        <f t="shared" si="3"/>
        <v>0</v>
      </c>
      <c r="AB48" s="43"/>
      <c r="AC48" s="43"/>
      <c r="AD48" s="43"/>
      <c r="AE48" s="43"/>
      <c r="AF48" s="43"/>
      <c r="AG48" s="43"/>
      <c r="AH48" s="43"/>
      <c r="AI48" s="43"/>
    </row>
    <row r="49" spans="1:35" ht="15.75">
      <c r="A49" s="88">
        <v>6048</v>
      </c>
      <c r="B49" s="1032" t="s">
        <v>354</v>
      </c>
      <c r="C49" s="1033"/>
      <c r="D49" s="1033"/>
      <c r="E49" s="1033"/>
      <c r="F49" s="1033"/>
      <c r="G49" s="1033"/>
      <c r="H49" s="1033"/>
      <c r="I49" s="1033"/>
      <c r="J49" s="1033"/>
      <c r="K49" s="1033"/>
      <c r="L49" s="90"/>
      <c r="M49" s="51" t="s">
        <v>265</v>
      </c>
      <c r="N49" s="113">
        <f t="shared" si="0"/>
        <v>6048</v>
      </c>
      <c r="O49" s="954">
        <v>0</v>
      </c>
      <c r="P49" s="888">
        <v>11811.45</v>
      </c>
      <c r="Q49" s="51"/>
      <c r="R49" s="604">
        <v>0</v>
      </c>
      <c r="S49" s="891">
        <v>0</v>
      </c>
      <c r="T49" s="51"/>
      <c r="U49" s="960">
        <v>0</v>
      </c>
      <c r="V49" s="888">
        <v>0</v>
      </c>
      <c r="W49" s="51"/>
      <c r="X49" s="1612">
        <v>0</v>
      </c>
      <c r="Y49" s="1609">
        <f t="shared" ref="Y49:Y80" si="4">+ROUND(+P49+S49+V49,2)</f>
        <v>11811.45</v>
      </c>
      <c r="Z49" s="43"/>
      <c r="AA49" s="1621">
        <f t="shared" si="3"/>
        <v>0</v>
      </c>
      <c r="AB49" s="43"/>
      <c r="AC49" s="43"/>
      <c r="AD49" s="43"/>
      <c r="AE49" s="43"/>
      <c r="AF49" s="43"/>
      <c r="AG49" s="43"/>
      <c r="AH49" s="43"/>
      <c r="AI49" s="43"/>
    </row>
    <row r="50" spans="1:35" ht="15.75">
      <c r="A50" s="88">
        <v>6049</v>
      </c>
      <c r="B50" s="1035" t="s">
        <v>433</v>
      </c>
      <c r="C50" s="1033"/>
      <c r="D50" s="1033"/>
      <c r="E50" s="1033"/>
      <c r="F50" s="1033"/>
      <c r="G50" s="1033"/>
      <c r="H50" s="1033"/>
      <c r="I50" s="1033"/>
      <c r="J50" s="1033"/>
      <c r="K50" s="1033"/>
      <c r="L50" s="90"/>
      <c r="M50" s="51" t="s">
        <v>265</v>
      </c>
      <c r="N50" s="113">
        <f>+A50</f>
        <v>6049</v>
      </c>
      <c r="O50" s="120">
        <v>6109.43</v>
      </c>
      <c r="P50" s="888">
        <v>0</v>
      </c>
      <c r="Q50" s="51"/>
      <c r="R50" s="120">
        <v>0</v>
      </c>
      <c r="S50" s="888">
        <v>0</v>
      </c>
      <c r="T50" s="51"/>
      <c r="U50" s="120">
        <v>0</v>
      </c>
      <c r="V50" s="888">
        <v>0</v>
      </c>
      <c r="W50" s="51"/>
      <c r="X50" s="351">
        <f t="shared" ref="X50:X81" si="5">+ROUND(+O50+R50+U50,2)</f>
        <v>6109.43</v>
      </c>
      <c r="Y50" s="1609">
        <f t="shared" si="4"/>
        <v>0</v>
      </c>
      <c r="Z50" s="43"/>
      <c r="AA50" s="1621">
        <f t="shared" si="3"/>
        <v>0</v>
      </c>
      <c r="AB50" s="43"/>
      <c r="AC50" s="43"/>
      <c r="AD50" s="43"/>
      <c r="AE50" s="43"/>
      <c r="AF50" s="43"/>
      <c r="AG50" s="43"/>
      <c r="AH50" s="43"/>
      <c r="AI50" s="43"/>
    </row>
    <row r="51" spans="1:35" ht="15.75">
      <c r="A51" s="88">
        <v>6051</v>
      </c>
      <c r="B51" s="1033" t="s">
        <v>434</v>
      </c>
      <c r="C51" s="1033"/>
      <c r="D51" s="1033"/>
      <c r="E51" s="1033"/>
      <c r="F51" s="1033"/>
      <c r="G51" s="1033"/>
      <c r="H51" s="1033"/>
      <c r="I51" s="1033"/>
      <c r="J51" s="1033"/>
      <c r="K51" s="1033"/>
      <c r="L51" s="90"/>
      <c r="M51" s="51" t="s">
        <v>265</v>
      </c>
      <c r="N51" s="113">
        <f t="shared" si="0"/>
        <v>6051</v>
      </c>
      <c r="O51" s="120">
        <v>110589.74</v>
      </c>
      <c r="P51" s="888">
        <v>0</v>
      </c>
      <c r="Q51" s="51"/>
      <c r="R51" s="120">
        <v>0</v>
      </c>
      <c r="S51" s="888">
        <v>0</v>
      </c>
      <c r="T51" s="51"/>
      <c r="U51" s="120">
        <v>0</v>
      </c>
      <c r="V51" s="888">
        <v>0</v>
      </c>
      <c r="W51" s="51"/>
      <c r="X51" s="351">
        <f t="shared" si="5"/>
        <v>110589.74</v>
      </c>
      <c r="Y51" s="1609">
        <f t="shared" si="4"/>
        <v>0</v>
      </c>
      <c r="Z51" s="43"/>
      <c r="AA51" s="1621">
        <f t="shared" si="3"/>
        <v>0</v>
      </c>
      <c r="AB51" s="43"/>
      <c r="AC51" s="43"/>
      <c r="AD51" s="43"/>
      <c r="AE51" s="43"/>
      <c r="AF51" s="43"/>
      <c r="AG51" s="43"/>
      <c r="AH51" s="43"/>
      <c r="AI51" s="43"/>
    </row>
    <row r="52" spans="1:35" ht="15.75">
      <c r="A52" s="88">
        <v>6052</v>
      </c>
      <c r="B52" s="1033" t="s">
        <v>435</v>
      </c>
      <c r="C52" s="1033"/>
      <c r="D52" s="1033"/>
      <c r="E52" s="1033"/>
      <c r="F52" s="1033"/>
      <c r="G52" s="1033"/>
      <c r="H52" s="1033"/>
      <c r="I52" s="1033"/>
      <c r="J52" s="1033"/>
      <c r="K52" s="1033"/>
      <c r="L52" s="90"/>
      <c r="M52" s="51" t="s">
        <v>265</v>
      </c>
      <c r="N52" s="113">
        <f t="shared" si="0"/>
        <v>6052</v>
      </c>
      <c r="O52" s="120">
        <v>45747.23</v>
      </c>
      <c r="P52" s="888">
        <v>0</v>
      </c>
      <c r="Q52" s="51"/>
      <c r="R52" s="120">
        <v>0</v>
      </c>
      <c r="S52" s="888">
        <v>0</v>
      </c>
      <c r="T52" s="51"/>
      <c r="U52" s="120">
        <v>0</v>
      </c>
      <c r="V52" s="888">
        <v>0</v>
      </c>
      <c r="W52" s="51"/>
      <c r="X52" s="351">
        <f t="shared" si="5"/>
        <v>45747.23</v>
      </c>
      <c r="Y52" s="1609">
        <f t="shared" si="4"/>
        <v>0</v>
      </c>
      <c r="Z52" s="43"/>
      <c r="AA52" s="1621">
        <f t="shared" si="3"/>
        <v>0</v>
      </c>
      <c r="AB52" s="43"/>
      <c r="AC52" s="43"/>
      <c r="AD52" s="43"/>
      <c r="AE52" s="43"/>
      <c r="AF52" s="43"/>
      <c r="AG52" s="43"/>
      <c r="AH52" s="43"/>
      <c r="AI52" s="43"/>
    </row>
    <row r="53" spans="1:35" ht="15.75">
      <c r="A53" s="88">
        <v>6054</v>
      </c>
      <c r="B53" s="1033" t="s">
        <v>436</v>
      </c>
      <c r="C53" s="1033"/>
      <c r="D53" s="1033"/>
      <c r="E53" s="1033"/>
      <c r="F53" s="1033"/>
      <c r="G53" s="1033"/>
      <c r="H53" s="1033"/>
      <c r="I53" s="1033"/>
      <c r="J53" s="1033"/>
      <c r="K53" s="1033"/>
      <c r="L53" s="90"/>
      <c r="M53" s="51" t="s">
        <v>265</v>
      </c>
      <c r="N53" s="113">
        <f>+A53</f>
        <v>6054</v>
      </c>
      <c r="O53" s="120">
        <v>0</v>
      </c>
      <c r="P53" s="888">
        <v>0</v>
      </c>
      <c r="Q53" s="51"/>
      <c r="R53" s="120">
        <v>0</v>
      </c>
      <c r="S53" s="888">
        <v>0</v>
      </c>
      <c r="T53" s="51"/>
      <c r="U53" s="120">
        <v>0</v>
      </c>
      <c r="V53" s="888">
        <v>0</v>
      </c>
      <c r="W53" s="51"/>
      <c r="X53" s="351">
        <f t="shared" si="5"/>
        <v>0</v>
      </c>
      <c r="Y53" s="1609">
        <f t="shared" si="4"/>
        <v>0</v>
      </c>
      <c r="Z53" s="43"/>
      <c r="AA53" s="1621">
        <f t="shared" si="3"/>
        <v>0</v>
      </c>
      <c r="AB53" s="43"/>
      <c r="AC53" s="43"/>
      <c r="AD53" s="43"/>
      <c r="AE53" s="43"/>
      <c r="AF53" s="43"/>
      <c r="AG53" s="43"/>
      <c r="AH53" s="43"/>
      <c r="AI53" s="43"/>
    </row>
    <row r="54" spans="1:35" ht="15.75">
      <c r="A54" s="88">
        <v>6055</v>
      </c>
      <c r="B54" s="1033" t="s">
        <v>437</v>
      </c>
      <c r="C54" s="1033"/>
      <c r="D54" s="1033"/>
      <c r="E54" s="1033"/>
      <c r="F54" s="1033"/>
      <c r="G54" s="1033"/>
      <c r="H54" s="1033"/>
      <c r="I54" s="1033"/>
      <c r="J54" s="1033"/>
      <c r="K54" s="1033"/>
      <c r="L54" s="90"/>
      <c r="M54" s="51" t="s">
        <v>265</v>
      </c>
      <c r="N54" s="113">
        <f t="shared" si="0"/>
        <v>6055</v>
      </c>
      <c r="O54" s="120">
        <v>21237.200000000001</v>
      </c>
      <c r="P54" s="888">
        <v>0</v>
      </c>
      <c r="Q54" s="51"/>
      <c r="R54" s="120">
        <v>0</v>
      </c>
      <c r="S54" s="888">
        <v>0</v>
      </c>
      <c r="T54" s="51"/>
      <c r="U54" s="120">
        <v>0</v>
      </c>
      <c r="V54" s="888">
        <v>0</v>
      </c>
      <c r="W54" s="51"/>
      <c r="X54" s="351">
        <f t="shared" si="5"/>
        <v>21237.200000000001</v>
      </c>
      <c r="Y54" s="1609">
        <f t="shared" si="4"/>
        <v>0</v>
      </c>
      <c r="Z54" s="43"/>
      <c r="AA54" s="1621">
        <f t="shared" si="3"/>
        <v>0</v>
      </c>
      <c r="AB54" s="43"/>
      <c r="AC54" s="43"/>
      <c r="AD54" s="43"/>
      <c r="AE54" s="43"/>
      <c r="AF54" s="43"/>
      <c r="AG54" s="43"/>
      <c r="AH54" s="43"/>
      <c r="AI54" s="43"/>
    </row>
    <row r="55" spans="1:35" ht="15.75">
      <c r="A55" s="88">
        <v>6056</v>
      </c>
      <c r="B55" s="1033" t="s">
        <v>438</v>
      </c>
      <c r="C55" s="1033"/>
      <c r="D55" s="1033"/>
      <c r="E55" s="1033"/>
      <c r="F55" s="1033"/>
      <c r="G55" s="1033"/>
      <c r="H55" s="1033"/>
      <c r="I55" s="1033"/>
      <c r="J55" s="1033"/>
      <c r="K55" s="1033"/>
      <c r="L55" s="90"/>
      <c r="M55" s="51" t="s">
        <v>265</v>
      </c>
      <c r="N55" s="113">
        <f t="shared" si="0"/>
        <v>6056</v>
      </c>
      <c r="O55" s="120">
        <v>0</v>
      </c>
      <c r="P55" s="888">
        <v>0</v>
      </c>
      <c r="Q55" s="51"/>
      <c r="R55" s="120">
        <v>0</v>
      </c>
      <c r="S55" s="888">
        <v>0</v>
      </c>
      <c r="T55" s="51"/>
      <c r="U55" s="120">
        <v>0</v>
      </c>
      <c r="V55" s="888">
        <v>0</v>
      </c>
      <c r="W55" s="51"/>
      <c r="X55" s="351">
        <f t="shared" si="5"/>
        <v>0</v>
      </c>
      <c r="Y55" s="1609">
        <f t="shared" si="4"/>
        <v>0</v>
      </c>
      <c r="Z55" s="43"/>
      <c r="AA55" s="1621">
        <f t="shared" si="3"/>
        <v>0</v>
      </c>
      <c r="AB55" s="43"/>
      <c r="AC55" s="43"/>
      <c r="AD55" s="43"/>
      <c r="AE55" s="43"/>
      <c r="AF55" s="43"/>
      <c r="AG55" s="43"/>
      <c r="AH55" s="43"/>
      <c r="AI55" s="43"/>
    </row>
    <row r="56" spans="1:35" ht="15.75">
      <c r="A56" s="88">
        <v>6058</v>
      </c>
      <c r="B56" s="1033" t="s">
        <v>439</v>
      </c>
      <c r="C56" s="1033"/>
      <c r="D56" s="1033"/>
      <c r="E56" s="1033"/>
      <c r="F56" s="1033"/>
      <c r="G56" s="1033"/>
      <c r="H56" s="1033"/>
      <c r="I56" s="1033"/>
      <c r="J56" s="1033"/>
      <c r="K56" s="1033"/>
      <c r="L56" s="90"/>
      <c r="M56" s="51" t="s">
        <v>265</v>
      </c>
      <c r="N56" s="113">
        <f t="shared" si="0"/>
        <v>6058</v>
      </c>
      <c r="O56" s="120">
        <v>0</v>
      </c>
      <c r="P56" s="888">
        <v>0</v>
      </c>
      <c r="Q56" s="51"/>
      <c r="R56" s="120">
        <v>0</v>
      </c>
      <c r="S56" s="888">
        <v>0</v>
      </c>
      <c r="T56" s="51"/>
      <c r="U56" s="120">
        <v>0</v>
      </c>
      <c r="V56" s="888">
        <v>0</v>
      </c>
      <c r="W56" s="51"/>
      <c r="X56" s="351">
        <f t="shared" si="5"/>
        <v>0</v>
      </c>
      <c r="Y56" s="1609">
        <f t="shared" si="4"/>
        <v>0</v>
      </c>
      <c r="Z56" s="43"/>
      <c r="AA56" s="1621">
        <f t="shared" si="3"/>
        <v>0</v>
      </c>
      <c r="AB56" s="43"/>
      <c r="AC56" s="43"/>
      <c r="AD56" s="43"/>
      <c r="AE56" s="43"/>
      <c r="AF56" s="43"/>
      <c r="AG56" s="43"/>
      <c r="AH56" s="43"/>
      <c r="AI56" s="43"/>
    </row>
    <row r="57" spans="1:35" ht="15.75">
      <c r="A57" s="88">
        <v>6059</v>
      </c>
      <c r="B57" s="1033" t="s">
        <v>440</v>
      </c>
      <c r="C57" s="1033"/>
      <c r="D57" s="1033"/>
      <c r="E57" s="1033"/>
      <c r="F57" s="1033"/>
      <c r="G57" s="1033"/>
      <c r="H57" s="1033"/>
      <c r="I57" s="1033"/>
      <c r="J57" s="1033"/>
      <c r="K57" s="1033"/>
      <c r="L57" s="90"/>
      <c r="M57" s="51" t="s">
        <v>265</v>
      </c>
      <c r="N57" s="113">
        <f t="shared" si="0"/>
        <v>6059</v>
      </c>
      <c r="O57" s="120">
        <v>33728</v>
      </c>
      <c r="P57" s="888">
        <v>0</v>
      </c>
      <c r="Q57" s="51"/>
      <c r="R57" s="120">
        <v>0</v>
      </c>
      <c r="S57" s="888">
        <v>0</v>
      </c>
      <c r="T57" s="51"/>
      <c r="U57" s="120">
        <v>0</v>
      </c>
      <c r="V57" s="888">
        <v>0</v>
      </c>
      <c r="W57" s="51"/>
      <c r="X57" s="351">
        <f t="shared" si="5"/>
        <v>33728</v>
      </c>
      <c r="Y57" s="1609">
        <f t="shared" si="4"/>
        <v>0</v>
      </c>
      <c r="Z57" s="43"/>
      <c r="AA57" s="1621">
        <f t="shared" si="3"/>
        <v>0</v>
      </c>
      <c r="AB57" s="43"/>
      <c r="AC57" s="43"/>
      <c r="AD57" s="43"/>
      <c r="AE57" s="43"/>
      <c r="AF57" s="43"/>
      <c r="AG57" s="43"/>
      <c r="AH57" s="43"/>
      <c r="AI57" s="43"/>
    </row>
    <row r="58" spans="1:35" ht="15.75">
      <c r="A58" s="88">
        <v>6061</v>
      </c>
      <c r="B58" s="1032" t="s">
        <v>441</v>
      </c>
      <c r="C58" s="1033"/>
      <c r="D58" s="1033"/>
      <c r="E58" s="1033"/>
      <c r="F58" s="1033"/>
      <c r="G58" s="1033"/>
      <c r="H58" s="1033"/>
      <c r="I58" s="1033"/>
      <c r="J58" s="1033"/>
      <c r="K58" s="1033"/>
      <c r="L58" s="90"/>
      <c r="M58" s="51" t="s">
        <v>265</v>
      </c>
      <c r="N58" s="113">
        <f t="shared" si="0"/>
        <v>6061</v>
      </c>
      <c r="O58" s="120">
        <v>840</v>
      </c>
      <c r="P58" s="888">
        <v>0</v>
      </c>
      <c r="Q58" s="51"/>
      <c r="R58" s="120">
        <v>0</v>
      </c>
      <c r="S58" s="888">
        <v>0</v>
      </c>
      <c r="T58" s="51"/>
      <c r="U58" s="120">
        <v>0</v>
      </c>
      <c r="V58" s="888">
        <v>0</v>
      </c>
      <c r="W58" s="51"/>
      <c r="X58" s="351">
        <f t="shared" si="5"/>
        <v>840</v>
      </c>
      <c r="Y58" s="1609">
        <f t="shared" si="4"/>
        <v>0</v>
      </c>
      <c r="Z58" s="43"/>
      <c r="AA58" s="1621">
        <f t="shared" si="3"/>
        <v>0</v>
      </c>
      <c r="AB58" s="43"/>
      <c r="AC58" s="43"/>
      <c r="AD58" s="43"/>
      <c r="AE58" s="43"/>
      <c r="AF58" s="43"/>
      <c r="AG58" s="43"/>
      <c r="AH58" s="43"/>
      <c r="AI58" s="43"/>
    </row>
    <row r="59" spans="1:35" ht="15.75">
      <c r="A59" s="88">
        <v>6062</v>
      </c>
      <c r="B59" s="1032" t="s">
        <v>442</v>
      </c>
      <c r="C59" s="1033"/>
      <c r="D59" s="1033"/>
      <c r="E59" s="1033"/>
      <c r="F59" s="1033"/>
      <c r="G59" s="1033"/>
      <c r="H59" s="1033"/>
      <c r="I59" s="1033"/>
      <c r="J59" s="1033"/>
      <c r="K59" s="1033"/>
      <c r="L59" s="90"/>
      <c r="M59" s="51" t="s">
        <v>265</v>
      </c>
      <c r="N59" s="113">
        <f t="shared" si="0"/>
        <v>6062</v>
      </c>
      <c r="O59" s="120">
        <v>11162.42</v>
      </c>
      <c r="P59" s="888">
        <v>0</v>
      </c>
      <c r="Q59" s="51"/>
      <c r="R59" s="120">
        <v>0</v>
      </c>
      <c r="S59" s="888">
        <v>0</v>
      </c>
      <c r="T59" s="51"/>
      <c r="U59" s="120">
        <v>0</v>
      </c>
      <c r="V59" s="888">
        <v>0</v>
      </c>
      <c r="W59" s="51"/>
      <c r="X59" s="351">
        <f t="shared" si="5"/>
        <v>11162.42</v>
      </c>
      <c r="Y59" s="1609">
        <f t="shared" si="4"/>
        <v>0</v>
      </c>
      <c r="Z59" s="43"/>
      <c r="AA59" s="1621">
        <f t="shared" si="3"/>
        <v>0</v>
      </c>
      <c r="AB59" s="43"/>
      <c r="AC59" s="43"/>
      <c r="AD59" s="43"/>
      <c r="AE59" s="43"/>
      <c r="AF59" s="43"/>
      <c r="AG59" s="43"/>
      <c r="AH59" s="43"/>
      <c r="AI59" s="43"/>
    </row>
    <row r="60" spans="1:35" ht="15.75">
      <c r="A60" s="88">
        <v>6063</v>
      </c>
      <c r="B60" s="1032" t="s">
        <v>443</v>
      </c>
      <c r="C60" s="1033"/>
      <c r="D60" s="1033"/>
      <c r="E60" s="1033"/>
      <c r="F60" s="1033"/>
      <c r="G60" s="1033"/>
      <c r="H60" s="1033"/>
      <c r="I60" s="1033"/>
      <c r="J60" s="1033"/>
      <c r="K60" s="1033"/>
      <c r="L60" s="90"/>
      <c r="M60" s="51" t="s">
        <v>265</v>
      </c>
      <c r="N60" s="113">
        <f t="shared" si="0"/>
        <v>6063</v>
      </c>
      <c r="O60" s="120">
        <v>0</v>
      </c>
      <c r="P60" s="888">
        <v>0</v>
      </c>
      <c r="Q60" s="51"/>
      <c r="R60" s="120">
        <v>0</v>
      </c>
      <c r="S60" s="888">
        <v>0</v>
      </c>
      <c r="T60" s="51"/>
      <c r="U60" s="120">
        <v>0</v>
      </c>
      <c r="V60" s="888">
        <v>0</v>
      </c>
      <c r="W60" s="51"/>
      <c r="X60" s="351">
        <f t="shared" si="5"/>
        <v>0</v>
      </c>
      <c r="Y60" s="1609">
        <f t="shared" si="4"/>
        <v>0</v>
      </c>
      <c r="Z60" s="43"/>
      <c r="AA60" s="1621">
        <f t="shared" si="3"/>
        <v>0</v>
      </c>
      <c r="AB60" s="43"/>
      <c r="AC60" s="43"/>
      <c r="AD60" s="43"/>
      <c r="AE60" s="43"/>
      <c r="AF60" s="43"/>
      <c r="AG60" s="43"/>
      <c r="AH60" s="43"/>
      <c r="AI60" s="43"/>
    </row>
    <row r="61" spans="1:35" ht="15.75">
      <c r="A61" s="88">
        <v>6064</v>
      </c>
      <c r="B61" s="1032" t="s">
        <v>444</v>
      </c>
      <c r="C61" s="1033"/>
      <c r="D61" s="1033"/>
      <c r="E61" s="1033"/>
      <c r="F61" s="1033"/>
      <c r="G61" s="1033"/>
      <c r="H61" s="1033"/>
      <c r="I61" s="1033"/>
      <c r="J61" s="1033"/>
      <c r="K61" s="1033"/>
      <c r="L61" s="90"/>
      <c r="M61" s="51" t="s">
        <v>265</v>
      </c>
      <c r="N61" s="113">
        <f t="shared" si="0"/>
        <v>6064</v>
      </c>
      <c r="O61" s="120">
        <v>0</v>
      </c>
      <c r="P61" s="888">
        <v>0</v>
      </c>
      <c r="Q61" s="51"/>
      <c r="R61" s="120">
        <v>0</v>
      </c>
      <c r="S61" s="888">
        <v>0</v>
      </c>
      <c r="T61" s="51"/>
      <c r="U61" s="120">
        <v>0</v>
      </c>
      <c r="V61" s="888">
        <v>0</v>
      </c>
      <c r="W61" s="51"/>
      <c r="X61" s="351">
        <f t="shared" si="5"/>
        <v>0</v>
      </c>
      <c r="Y61" s="1609">
        <f t="shared" si="4"/>
        <v>0</v>
      </c>
      <c r="Z61" s="43"/>
      <c r="AA61" s="1621">
        <f t="shared" si="3"/>
        <v>0</v>
      </c>
      <c r="AB61" s="43"/>
      <c r="AC61" s="43"/>
      <c r="AD61" s="43"/>
      <c r="AE61" s="43"/>
      <c r="AF61" s="43"/>
      <c r="AG61" s="43"/>
      <c r="AH61" s="43"/>
      <c r="AI61" s="43"/>
    </row>
    <row r="62" spans="1:35" ht="15.75">
      <c r="A62" s="88">
        <v>6065</v>
      </c>
      <c r="B62" s="1032" t="s">
        <v>445</v>
      </c>
      <c r="C62" s="1033"/>
      <c r="D62" s="1033"/>
      <c r="E62" s="1033"/>
      <c r="F62" s="1033"/>
      <c r="G62" s="1033"/>
      <c r="H62" s="1033"/>
      <c r="I62" s="1033"/>
      <c r="J62" s="1033"/>
      <c r="K62" s="1033"/>
      <c r="L62" s="90"/>
      <c r="M62" s="51" t="s">
        <v>265</v>
      </c>
      <c r="N62" s="113">
        <f t="shared" si="0"/>
        <v>6065</v>
      </c>
      <c r="O62" s="120">
        <v>0</v>
      </c>
      <c r="P62" s="888">
        <v>0</v>
      </c>
      <c r="Q62" s="51"/>
      <c r="R62" s="120">
        <v>0</v>
      </c>
      <c r="S62" s="888">
        <v>0</v>
      </c>
      <c r="T62" s="51"/>
      <c r="U62" s="120">
        <v>0</v>
      </c>
      <c r="V62" s="888">
        <v>0</v>
      </c>
      <c r="W62" s="51"/>
      <c r="X62" s="351">
        <f t="shared" si="5"/>
        <v>0</v>
      </c>
      <c r="Y62" s="1609">
        <f t="shared" si="4"/>
        <v>0</v>
      </c>
      <c r="Z62" s="43"/>
      <c r="AA62" s="1621">
        <f t="shared" si="3"/>
        <v>0</v>
      </c>
      <c r="AB62" s="43"/>
      <c r="AC62" s="43"/>
      <c r="AD62" s="43"/>
      <c r="AE62" s="43"/>
      <c r="AF62" s="43"/>
      <c r="AG62" s="43"/>
      <c r="AH62" s="43"/>
      <c r="AI62" s="43"/>
    </row>
    <row r="63" spans="1:35" ht="15.75">
      <c r="A63" s="88">
        <v>6067</v>
      </c>
      <c r="B63" s="1032" t="s">
        <v>446</v>
      </c>
      <c r="C63" s="1033"/>
      <c r="D63" s="1033"/>
      <c r="E63" s="1033"/>
      <c r="F63" s="1033"/>
      <c r="G63" s="1033"/>
      <c r="H63" s="1033"/>
      <c r="I63" s="1033"/>
      <c r="J63" s="1033"/>
      <c r="K63" s="1033"/>
      <c r="L63" s="90"/>
      <c r="M63" s="51" t="s">
        <v>265</v>
      </c>
      <c r="N63" s="113">
        <f t="shared" si="0"/>
        <v>6067</v>
      </c>
      <c r="O63" s="120">
        <v>0</v>
      </c>
      <c r="P63" s="888">
        <v>0</v>
      </c>
      <c r="Q63" s="51"/>
      <c r="R63" s="120">
        <v>0</v>
      </c>
      <c r="S63" s="888">
        <v>0</v>
      </c>
      <c r="T63" s="51"/>
      <c r="U63" s="120">
        <v>0</v>
      </c>
      <c r="V63" s="888">
        <v>0</v>
      </c>
      <c r="W63" s="51"/>
      <c r="X63" s="351">
        <f t="shared" si="5"/>
        <v>0</v>
      </c>
      <c r="Y63" s="1609">
        <f t="shared" si="4"/>
        <v>0</v>
      </c>
      <c r="Z63" s="43"/>
      <c r="AA63" s="1621">
        <f t="shared" si="3"/>
        <v>0</v>
      </c>
      <c r="AB63" s="43"/>
      <c r="AC63" s="43"/>
      <c r="AD63" s="43"/>
      <c r="AE63" s="43"/>
      <c r="AF63" s="43"/>
      <c r="AG63" s="43"/>
      <c r="AH63" s="43"/>
      <c r="AI63" s="43"/>
    </row>
    <row r="64" spans="1:35" ht="15.75">
      <c r="A64" s="88">
        <v>6068</v>
      </c>
      <c r="B64" s="1032" t="s">
        <v>447</v>
      </c>
      <c r="C64" s="1033"/>
      <c r="D64" s="1033"/>
      <c r="E64" s="1033"/>
      <c r="F64" s="1033"/>
      <c r="G64" s="1033"/>
      <c r="H64" s="1033"/>
      <c r="I64" s="1033"/>
      <c r="J64" s="1033"/>
      <c r="K64" s="1033"/>
      <c r="L64" s="90"/>
      <c r="M64" s="51" t="s">
        <v>265</v>
      </c>
      <c r="N64" s="113">
        <f t="shared" si="0"/>
        <v>6068</v>
      </c>
      <c r="O64" s="120">
        <v>0</v>
      </c>
      <c r="P64" s="888">
        <v>0</v>
      </c>
      <c r="Q64" s="51"/>
      <c r="R64" s="120">
        <v>0</v>
      </c>
      <c r="S64" s="888">
        <v>0</v>
      </c>
      <c r="T64" s="51"/>
      <c r="U64" s="120">
        <v>0</v>
      </c>
      <c r="V64" s="888">
        <v>0</v>
      </c>
      <c r="W64" s="51"/>
      <c r="X64" s="351">
        <f t="shared" si="5"/>
        <v>0</v>
      </c>
      <c r="Y64" s="1609">
        <f t="shared" si="4"/>
        <v>0</v>
      </c>
      <c r="Z64" s="43"/>
      <c r="AA64" s="1621">
        <f t="shared" si="3"/>
        <v>0</v>
      </c>
      <c r="AB64" s="43"/>
      <c r="AC64" s="43"/>
      <c r="AD64" s="43"/>
      <c r="AE64" s="43"/>
      <c r="AF64" s="43"/>
      <c r="AG64" s="43"/>
      <c r="AH64" s="43"/>
      <c r="AI64" s="43"/>
    </row>
    <row r="65" spans="1:35" ht="15.75">
      <c r="A65" s="88">
        <v>6069</v>
      </c>
      <c r="B65" s="1032" t="s">
        <v>448</v>
      </c>
      <c r="C65" s="1033"/>
      <c r="D65" s="1033"/>
      <c r="E65" s="1033"/>
      <c r="F65" s="1033"/>
      <c r="G65" s="1033"/>
      <c r="H65" s="1033"/>
      <c r="I65" s="1033"/>
      <c r="J65" s="1033"/>
      <c r="K65" s="1033"/>
      <c r="L65" s="90"/>
      <c r="M65" s="51" t="s">
        <v>265</v>
      </c>
      <c r="N65" s="113">
        <f t="shared" si="0"/>
        <v>6069</v>
      </c>
      <c r="O65" s="120">
        <v>0</v>
      </c>
      <c r="P65" s="888">
        <v>0</v>
      </c>
      <c r="Q65" s="51"/>
      <c r="R65" s="120">
        <v>0</v>
      </c>
      <c r="S65" s="888">
        <v>0</v>
      </c>
      <c r="T65" s="51"/>
      <c r="U65" s="120">
        <v>0</v>
      </c>
      <c r="V65" s="888">
        <v>0</v>
      </c>
      <c r="W65" s="51"/>
      <c r="X65" s="351">
        <f t="shared" si="5"/>
        <v>0</v>
      </c>
      <c r="Y65" s="1609">
        <f t="shared" si="4"/>
        <v>0</v>
      </c>
      <c r="Z65" s="43"/>
      <c r="AA65" s="1621">
        <f t="shared" si="3"/>
        <v>0</v>
      </c>
      <c r="AB65" s="43"/>
      <c r="AC65" s="43"/>
      <c r="AD65" s="43"/>
      <c r="AE65" s="43"/>
      <c r="AF65" s="43"/>
      <c r="AG65" s="43"/>
      <c r="AH65" s="43"/>
      <c r="AI65" s="43"/>
    </row>
    <row r="66" spans="1:35" ht="15.75">
      <c r="A66" s="88">
        <v>6071</v>
      </c>
      <c r="B66" s="1032" t="s">
        <v>449</v>
      </c>
      <c r="C66" s="1033"/>
      <c r="D66" s="1033"/>
      <c r="E66" s="1033"/>
      <c r="F66" s="1033"/>
      <c r="G66" s="1033"/>
      <c r="H66" s="1033"/>
      <c r="I66" s="1033"/>
      <c r="J66" s="1033"/>
      <c r="K66" s="1033"/>
      <c r="L66" s="90"/>
      <c r="M66" s="51" t="s">
        <v>265</v>
      </c>
      <c r="N66" s="113">
        <f t="shared" si="0"/>
        <v>6071</v>
      </c>
      <c r="O66" s="120">
        <v>0</v>
      </c>
      <c r="P66" s="888">
        <v>0</v>
      </c>
      <c r="Q66" s="51"/>
      <c r="R66" s="120">
        <v>0</v>
      </c>
      <c r="S66" s="888">
        <v>0</v>
      </c>
      <c r="T66" s="51"/>
      <c r="U66" s="120">
        <v>0</v>
      </c>
      <c r="V66" s="888">
        <v>0</v>
      </c>
      <c r="W66" s="51"/>
      <c r="X66" s="351">
        <f t="shared" si="5"/>
        <v>0</v>
      </c>
      <c r="Y66" s="1609">
        <f t="shared" si="4"/>
        <v>0</v>
      </c>
      <c r="Z66" s="43"/>
      <c r="AA66" s="1621">
        <f t="shared" si="3"/>
        <v>0</v>
      </c>
      <c r="AB66" s="43"/>
      <c r="AC66" s="43"/>
      <c r="AD66" s="43"/>
      <c r="AE66" s="43"/>
      <c r="AF66" s="43"/>
      <c r="AG66" s="43"/>
      <c r="AH66" s="43"/>
      <c r="AI66" s="43"/>
    </row>
    <row r="67" spans="1:35" ht="15.75">
      <c r="A67" s="88">
        <v>6072</v>
      </c>
      <c r="B67" s="1032" t="s">
        <v>450</v>
      </c>
      <c r="C67" s="1033"/>
      <c r="D67" s="1033"/>
      <c r="E67" s="1033"/>
      <c r="F67" s="1033"/>
      <c r="G67" s="1033"/>
      <c r="H67" s="1033"/>
      <c r="I67" s="1033"/>
      <c r="J67" s="1033"/>
      <c r="K67" s="1033"/>
      <c r="L67" s="90"/>
      <c r="M67" s="51" t="s">
        <v>265</v>
      </c>
      <c r="N67" s="113">
        <f t="shared" si="0"/>
        <v>6072</v>
      </c>
      <c r="O67" s="120">
        <v>0</v>
      </c>
      <c r="P67" s="888">
        <v>0</v>
      </c>
      <c r="Q67" s="51"/>
      <c r="R67" s="120">
        <v>0</v>
      </c>
      <c r="S67" s="888">
        <v>0</v>
      </c>
      <c r="T67" s="51"/>
      <c r="U67" s="120">
        <v>0</v>
      </c>
      <c r="V67" s="888">
        <v>0</v>
      </c>
      <c r="W67" s="51"/>
      <c r="X67" s="351">
        <f t="shared" si="5"/>
        <v>0</v>
      </c>
      <c r="Y67" s="1609">
        <f t="shared" si="4"/>
        <v>0</v>
      </c>
      <c r="Z67" s="43"/>
      <c r="AA67" s="1621">
        <f t="shared" si="3"/>
        <v>0</v>
      </c>
      <c r="AB67" s="43"/>
      <c r="AC67" s="43"/>
      <c r="AD67" s="43"/>
      <c r="AE67" s="43"/>
      <c r="AF67" s="43"/>
      <c r="AG67" s="43"/>
      <c r="AH67" s="43"/>
      <c r="AI67" s="43"/>
    </row>
    <row r="68" spans="1:35" ht="15.75">
      <c r="A68" s="88">
        <v>6073</v>
      </c>
      <c r="B68" s="1032" t="s">
        <v>451</v>
      </c>
      <c r="C68" s="1033"/>
      <c r="D68" s="1033"/>
      <c r="E68" s="1033"/>
      <c r="F68" s="1033"/>
      <c r="G68" s="1033"/>
      <c r="H68" s="1033"/>
      <c r="I68" s="1033"/>
      <c r="J68" s="1033"/>
      <c r="K68" s="1033"/>
      <c r="L68" s="90"/>
      <c r="M68" s="51" t="s">
        <v>265</v>
      </c>
      <c r="N68" s="113">
        <f t="shared" si="0"/>
        <v>6073</v>
      </c>
      <c r="O68" s="120">
        <v>0</v>
      </c>
      <c r="P68" s="888">
        <v>0</v>
      </c>
      <c r="Q68" s="51"/>
      <c r="R68" s="120">
        <v>0</v>
      </c>
      <c r="S68" s="888">
        <v>0</v>
      </c>
      <c r="T68" s="51"/>
      <c r="U68" s="120">
        <v>0</v>
      </c>
      <c r="V68" s="888">
        <v>0</v>
      </c>
      <c r="W68" s="51"/>
      <c r="X68" s="351">
        <f t="shared" si="5"/>
        <v>0</v>
      </c>
      <c r="Y68" s="1609">
        <f t="shared" si="4"/>
        <v>0</v>
      </c>
      <c r="Z68" s="43"/>
      <c r="AA68" s="1621">
        <f t="shared" si="3"/>
        <v>0</v>
      </c>
      <c r="AB68" s="43"/>
      <c r="AC68" s="43"/>
      <c r="AD68" s="43"/>
      <c r="AE68" s="43"/>
      <c r="AF68" s="43"/>
      <c r="AG68" s="43"/>
      <c r="AH68" s="43"/>
      <c r="AI68" s="43"/>
    </row>
    <row r="69" spans="1:35" ht="15.75">
      <c r="A69" s="88">
        <v>6074</v>
      </c>
      <c r="B69" s="1032" t="s">
        <v>452</v>
      </c>
      <c r="C69" s="1033"/>
      <c r="D69" s="1033"/>
      <c r="E69" s="1033"/>
      <c r="F69" s="1033"/>
      <c r="G69" s="1033"/>
      <c r="H69" s="1033"/>
      <c r="I69" s="1033"/>
      <c r="J69" s="1033"/>
      <c r="K69" s="1033"/>
      <c r="L69" s="90"/>
      <c r="M69" s="51" t="s">
        <v>265</v>
      </c>
      <c r="N69" s="113">
        <f t="shared" si="0"/>
        <v>6074</v>
      </c>
      <c r="O69" s="120">
        <v>0</v>
      </c>
      <c r="P69" s="888">
        <v>0</v>
      </c>
      <c r="Q69" s="51"/>
      <c r="R69" s="120">
        <v>0</v>
      </c>
      <c r="S69" s="888">
        <v>0</v>
      </c>
      <c r="T69" s="51"/>
      <c r="U69" s="120">
        <v>0</v>
      </c>
      <c r="V69" s="888">
        <v>0</v>
      </c>
      <c r="W69" s="51"/>
      <c r="X69" s="351">
        <f t="shared" si="5"/>
        <v>0</v>
      </c>
      <c r="Y69" s="1609">
        <f t="shared" si="4"/>
        <v>0</v>
      </c>
      <c r="Z69" s="43"/>
      <c r="AA69" s="1621">
        <f t="shared" si="3"/>
        <v>0</v>
      </c>
      <c r="AB69" s="43"/>
      <c r="AC69" s="43"/>
      <c r="AD69" s="43"/>
      <c r="AE69" s="43"/>
      <c r="AF69" s="43"/>
      <c r="AG69" s="43"/>
      <c r="AH69" s="43"/>
      <c r="AI69" s="43"/>
    </row>
    <row r="70" spans="1:35" ht="15.75">
      <c r="A70" s="88">
        <v>6075</v>
      </c>
      <c r="B70" s="1032" t="s">
        <v>453</v>
      </c>
      <c r="C70" s="1033"/>
      <c r="D70" s="1033"/>
      <c r="E70" s="1033"/>
      <c r="F70" s="1033"/>
      <c r="G70" s="1033"/>
      <c r="H70" s="1033"/>
      <c r="I70" s="1033"/>
      <c r="J70" s="1033"/>
      <c r="K70" s="1033"/>
      <c r="L70" s="90"/>
      <c r="M70" s="51" t="s">
        <v>265</v>
      </c>
      <c r="N70" s="113">
        <f t="shared" si="0"/>
        <v>6075</v>
      </c>
      <c r="O70" s="120">
        <v>0</v>
      </c>
      <c r="P70" s="888">
        <v>0</v>
      </c>
      <c r="Q70" s="51"/>
      <c r="R70" s="120">
        <v>0</v>
      </c>
      <c r="S70" s="888">
        <v>0</v>
      </c>
      <c r="T70" s="51"/>
      <c r="U70" s="960">
        <v>0</v>
      </c>
      <c r="V70" s="892">
        <v>0</v>
      </c>
      <c r="W70" s="51"/>
      <c r="X70" s="351">
        <f t="shared" si="5"/>
        <v>0</v>
      </c>
      <c r="Y70" s="1609">
        <f t="shared" si="4"/>
        <v>0</v>
      </c>
      <c r="Z70" s="43"/>
      <c r="AA70" s="1621">
        <f t="shared" si="3"/>
        <v>0</v>
      </c>
      <c r="AB70" s="43"/>
      <c r="AC70" s="43"/>
      <c r="AD70" s="43"/>
      <c r="AE70" s="43"/>
      <c r="AF70" s="43"/>
      <c r="AG70" s="43"/>
      <c r="AH70" s="43"/>
      <c r="AI70" s="43"/>
    </row>
    <row r="71" spans="1:35" ht="15.75">
      <c r="A71" s="88">
        <v>6076</v>
      </c>
      <c r="B71" s="1032" t="s">
        <v>454</v>
      </c>
      <c r="C71" s="1033"/>
      <c r="D71" s="1033"/>
      <c r="E71" s="1033"/>
      <c r="F71" s="1033"/>
      <c r="G71" s="1033"/>
      <c r="H71" s="1033"/>
      <c r="I71" s="1033"/>
      <c r="J71" s="1033"/>
      <c r="K71" s="1033"/>
      <c r="L71" s="90"/>
      <c r="M71" s="51" t="s">
        <v>265</v>
      </c>
      <c r="N71" s="113">
        <f t="shared" si="0"/>
        <v>6076</v>
      </c>
      <c r="O71" s="120">
        <v>0</v>
      </c>
      <c r="P71" s="888">
        <v>0</v>
      </c>
      <c r="Q71" s="51"/>
      <c r="R71" s="120">
        <v>0</v>
      </c>
      <c r="S71" s="888">
        <v>0</v>
      </c>
      <c r="T71" s="51"/>
      <c r="U71" s="960">
        <v>0</v>
      </c>
      <c r="V71" s="892">
        <v>0</v>
      </c>
      <c r="W71" s="51"/>
      <c r="X71" s="351">
        <f t="shared" si="5"/>
        <v>0</v>
      </c>
      <c r="Y71" s="1609">
        <f t="shared" si="4"/>
        <v>0</v>
      </c>
      <c r="Z71" s="43"/>
      <c r="AA71" s="1621">
        <f t="shared" si="3"/>
        <v>0</v>
      </c>
      <c r="AB71" s="43"/>
      <c r="AC71" s="43"/>
      <c r="AD71" s="43"/>
      <c r="AE71" s="43"/>
      <c r="AF71" s="43"/>
      <c r="AG71" s="43"/>
      <c r="AH71" s="43"/>
      <c r="AI71" s="43"/>
    </row>
    <row r="72" spans="1:35" ht="15.75">
      <c r="A72" s="88">
        <v>6077</v>
      </c>
      <c r="B72" s="1032" t="s">
        <v>455</v>
      </c>
      <c r="C72" s="1033"/>
      <c r="D72" s="1033"/>
      <c r="E72" s="1033"/>
      <c r="F72" s="1033"/>
      <c r="G72" s="1033"/>
      <c r="H72" s="1033"/>
      <c r="I72" s="1033"/>
      <c r="J72" s="1033"/>
      <c r="K72" s="1033"/>
      <c r="L72" s="90"/>
      <c r="M72" s="51" t="s">
        <v>265</v>
      </c>
      <c r="N72" s="113">
        <f t="shared" si="0"/>
        <v>6077</v>
      </c>
      <c r="O72" s="120">
        <v>0</v>
      </c>
      <c r="P72" s="888">
        <v>0</v>
      </c>
      <c r="Q72" s="51"/>
      <c r="R72" s="120">
        <v>0</v>
      </c>
      <c r="S72" s="888">
        <v>0</v>
      </c>
      <c r="T72" s="51"/>
      <c r="U72" s="960">
        <v>0</v>
      </c>
      <c r="V72" s="892">
        <v>0</v>
      </c>
      <c r="W72" s="51"/>
      <c r="X72" s="351">
        <f t="shared" si="5"/>
        <v>0</v>
      </c>
      <c r="Y72" s="1609">
        <f t="shared" si="4"/>
        <v>0</v>
      </c>
      <c r="Z72" s="43"/>
      <c r="AA72" s="1621">
        <f t="shared" si="3"/>
        <v>0</v>
      </c>
      <c r="AB72" s="43"/>
      <c r="AC72" s="43"/>
      <c r="AD72" s="43"/>
      <c r="AE72" s="43"/>
      <c r="AF72" s="43"/>
      <c r="AG72" s="43"/>
      <c r="AH72" s="43"/>
      <c r="AI72" s="43"/>
    </row>
    <row r="73" spans="1:35" ht="15.75">
      <c r="A73" s="88">
        <v>6078</v>
      </c>
      <c r="B73" s="1032" t="s">
        <v>456</v>
      </c>
      <c r="C73" s="1033"/>
      <c r="D73" s="1033"/>
      <c r="E73" s="1033"/>
      <c r="F73" s="1033"/>
      <c r="G73" s="1033"/>
      <c r="H73" s="1033"/>
      <c r="I73" s="1033"/>
      <c r="J73" s="1033"/>
      <c r="K73" s="1033"/>
      <c r="L73" s="90"/>
      <c r="M73" s="51" t="s">
        <v>265</v>
      </c>
      <c r="N73" s="113">
        <f t="shared" si="0"/>
        <v>6078</v>
      </c>
      <c r="O73" s="120">
        <v>0</v>
      </c>
      <c r="P73" s="888">
        <v>0</v>
      </c>
      <c r="Q73" s="51"/>
      <c r="R73" s="120">
        <v>0</v>
      </c>
      <c r="S73" s="888">
        <v>0</v>
      </c>
      <c r="T73" s="51"/>
      <c r="U73" s="960">
        <v>0</v>
      </c>
      <c r="V73" s="892">
        <v>0</v>
      </c>
      <c r="W73" s="51"/>
      <c r="X73" s="351">
        <f t="shared" si="5"/>
        <v>0</v>
      </c>
      <c r="Y73" s="1609">
        <f t="shared" si="4"/>
        <v>0</v>
      </c>
      <c r="Z73" s="43"/>
      <c r="AA73" s="1621">
        <f t="shared" si="3"/>
        <v>0</v>
      </c>
      <c r="AB73" s="43"/>
      <c r="AC73" s="43"/>
      <c r="AD73" s="43"/>
      <c r="AE73" s="43"/>
      <c r="AF73" s="43"/>
      <c r="AG73" s="43"/>
      <c r="AH73" s="43"/>
      <c r="AI73" s="43"/>
    </row>
    <row r="74" spans="1:35" ht="15.75">
      <c r="A74" s="88">
        <v>6079</v>
      </c>
      <c r="B74" s="1032" t="s">
        <v>457</v>
      </c>
      <c r="C74" s="1033"/>
      <c r="D74" s="1033"/>
      <c r="E74" s="1033"/>
      <c r="F74" s="1033"/>
      <c r="G74" s="1033"/>
      <c r="H74" s="1033"/>
      <c r="I74" s="1033"/>
      <c r="J74" s="1033"/>
      <c r="K74" s="1033"/>
      <c r="L74" s="90"/>
      <c r="M74" s="51" t="s">
        <v>265</v>
      </c>
      <c r="N74" s="113">
        <f t="shared" si="0"/>
        <v>6079</v>
      </c>
      <c r="O74" s="120">
        <v>622.45000000000005</v>
      </c>
      <c r="P74" s="888">
        <v>0</v>
      </c>
      <c r="Q74" s="51"/>
      <c r="R74" s="120">
        <v>0</v>
      </c>
      <c r="S74" s="888">
        <v>0</v>
      </c>
      <c r="T74" s="51"/>
      <c r="U74" s="960">
        <v>0</v>
      </c>
      <c r="V74" s="892">
        <v>0</v>
      </c>
      <c r="W74" s="51"/>
      <c r="X74" s="351">
        <f t="shared" si="5"/>
        <v>622.45000000000005</v>
      </c>
      <c r="Y74" s="1609">
        <f t="shared" si="4"/>
        <v>0</v>
      </c>
      <c r="Z74" s="43"/>
      <c r="AA74" s="1621">
        <f t="shared" si="3"/>
        <v>0</v>
      </c>
      <c r="AB74" s="43"/>
      <c r="AC74" s="43"/>
      <c r="AD74" s="43"/>
      <c r="AE74" s="43"/>
      <c r="AF74" s="43"/>
      <c r="AG74" s="43"/>
      <c r="AH74" s="43"/>
      <c r="AI74" s="43"/>
    </row>
    <row r="75" spans="1:35" ht="15.75">
      <c r="A75" s="88">
        <v>6080</v>
      </c>
      <c r="B75" s="1032" t="s">
        <v>458</v>
      </c>
      <c r="C75" s="1033"/>
      <c r="D75" s="1033"/>
      <c r="E75" s="1033"/>
      <c r="F75" s="1033"/>
      <c r="G75" s="1033"/>
      <c r="H75" s="1033"/>
      <c r="I75" s="1033"/>
      <c r="J75" s="1033"/>
      <c r="K75" s="1033"/>
      <c r="L75" s="90"/>
      <c r="M75" s="51" t="s">
        <v>265</v>
      </c>
      <c r="N75" s="113">
        <f>+A75</f>
        <v>6080</v>
      </c>
      <c r="O75" s="120">
        <v>0</v>
      </c>
      <c r="P75" s="888">
        <v>0</v>
      </c>
      <c r="Q75" s="51"/>
      <c r="R75" s="120">
        <v>0</v>
      </c>
      <c r="S75" s="888">
        <v>0</v>
      </c>
      <c r="T75" s="51"/>
      <c r="U75" s="120">
        <v>0</v>
      </c>
      <c r="V75" s="888">
        <v>0</v>
      </c>
      <c r="W75" s="51"/>
      <c r="X75" s="351">
        <f t="shared" si="5"/>
        <v>0</v>
      </c>
      <c r="Y75" s="1609">
        <f t="shared" si="4"/>
        <v>0</v>
      </c>
      <c r="Z75" s="43"/>
      <c r="AA75" s="1621">
        <f t="shared" si="3"/>
        <v>0</v>
      </c>
      <c r="AB75" s="43"/>
      <c r="AC75" s="43"/>
      <c r="AD75" s="43"/>
      <c r="AE75" s="43"/>
      <c r="AF75" s="43"/>
      <c r="AG75" s="43"/>
      <c r="AH75" s="43"/>
      <c r="AI75" s="43"/>
    </row>
    <row r="76" spans="1:35" ht="15.75">
      <c r="A76" s="88">
        <v>6081</v>
      </c>
      <c r="B76" s="1032" t="s">
        <v>459</v>
      </c>
      <c r="C76" s="1033"/>
      <c r="D76" s="1033"/>
      <c r="E76" s="1033"/>
      <c r="F76" s="1033"/>
      <c r="G76" s="1033"/>
      <c r="H76" s="1033"/>
      <c r="I76" s="1033"/>
      <c r="J76" s="1033"/>
      <c r="K76" s="1033"/>
      <c r="L76" s="90"/>
      <c r="M76" s="51" t="s">
        <v>265</v>
      </c>
      <c r="N76" s="113">
        <f>+A76</f>
        <v>6081</v>
      </c>
      <c r="O76" s="120">
        <v>0</v>
      </c>
      <c r="P76" s="888">
        <v>0</v>
      </c>
      <c r="Q76" s="51"/>
      <c r="R76" s="120">
        <v>0</v>
      </c>
      <c r="S76" s="888">
        <v>0</v>
      </c>
      <c r="T76" s="51"/>
      <c r="U76" s="120">
        <v>0</v>
      </c>
      <c r="V76" s="888">
        <v>0</v>
      </c>
      <c r="W76" s="51"/>
      <c r="X76" s="351">
        <f t="shared" si="5"/>
        <v>0</v>
      </c>
      <c r="Y76" s="1609">
        <f t="shared" si="4"/>
        <v>0</v>
      </c>
      <c r="Z76" s="43"/>
      <c r="AA76" s="1621">
        <f t="shared" si="3"/>
        <v>0</v>
      </c>
      <c r="AB76" s="43"/>
      <c r="AC76" s="43"/>
      <c r="AD76" s="43"/>
      <c r="AE76" s="43"/>
      <c r="AF76" s="43"/>
      <c r="AG76" s="43"/>
      <c r="AH76" s="43"/>
      <c r="AI76" s="43"/>
    </row>
    <row r="77" spans="1:35" ht="15.75">
      <c r="A77" s="88">
        <v>6082</v>
      </c>
      <c r="B77" s="1033" t="s">
        <v>460</v>
      </c>
      <c r="C77" s="1033"/>
      <c r="D77" s="1033"/>
      <c r="E77" s="1033"/>
      <c r="F77" s="1033"/>
      <c r="G77" s="1033"/>
      <c r="H77" s="1033"/>
      <c r="I77" s="1033"/>
      <c r="J77" s="1033"/>
      <c r="K77" s="1033"/>
      <c r="L77" s="90"/>
      <c r="M77" s="51" t="s">
        <v>265</v>
      </c>
      <c r="N77" s="113">
        <f t="shared" si="0"/>
        <v>6082</v>
      </c>
      <c r="O77" s="120">
        <v>0</v>
      </c>
      <c r="P77" s="888">
        <v>0</v>
      </c>
      <c r="Q77" s="51"/>
      <c r="R77" s="120">
        <v>0</v>
      </c>
      <c r="S77" s="888">
        <v>0</v>
      </c>
      <c r="T77" s="51"/>
      <c r="U77" s="120">
        <v>0</v>
      </c>
      <c r="V77" s="888">
        <v>0</v>
      </c>
      <c r="W77" s="51"/>
      <c r="X77" s="351">
        <f t="shared" si="5"/>
        <v>0</v>
      </c>
      <c r="Y77" s="1609">
        <f t="shared" si="4"/>
        <v>0</v>
      </c>
      <c r="Z77" s="43"/>
      <c r="AA77" s="1621">
        <f t="shared" si="3"/>
        <v>0</v>
      </c>
      <c r="AB77" s="43"/>
      <c r="AC77" s="43"/>
      <c r="AD77" s="43"/>
      <c r="AE77" s="43"/>
      <c r="AF77" s="43"/>
      <c r="AG77" s="43"/>
      <c r="AH77" s="43"/>
      <c r="AI77" s="43"/>
    </row>
    <row r="78" spans="1:35" ht="15.75">
      <c r="A78" s="88">
        <v>6087</v>
      </c>
      <c r="B78" s="1033" t="s">
        <v>461</v>
      </c>
      <c r="C78" s="1033"/>
      <c r="D78" s="1033"/>
      <c r="E78" s="1033"/>
      <c r="F78" s="1033"/>
      <c r="G78" s="1033"/>
      <c r="H78" s="1033"/>
      <c r="I78" s="1033"/>
      <c r="J78" s="1033"/>
      <c r="K78" s="1033"/>
      <c r="L78" s="90"/>
      <c r="M78" s="51" t="s">
        <v>265</v>
      </c>
      <c r="N78" s="113">
        <f t="shared" si="0"/>
        <v>6087</v>
      </c>
      <c r="O78" s="120">
        <v>0</v>
      </c>
      <c r="P78" s="888">
        <v>0</v>
      </c>
      <c r="Q78" s="51"/>
      <c r="R78" s="120">
        <v>0</v>
      </c>
      <c r="S78" s="888">
        <v>0</v>
      </c>
      <c r="T78" s="51"/>
      <c r="U78" s="120">
        <v>0</v>
      </c>
      <c r="V78" s="888">
        <v>0</v>
      </c>
      <c r="W78" s="51"/>
      <c r="X78" s="351">
        <f t="shared" si="5"/>
        <v>0</v>
      </c>
      <c r="Y78" s="1609">
        <f t="shared" si="4"/>
        <v>0</v>
      </c>
      <c r="Z78" s="43"/>
      <c r="AA78" s="1621">
        <f t="shared" si="3"/>
        <v>0</v>
      </c>
      <c r="AB78" s="43"/>
      <c r="AC78" s="43"/>
      <c r="AD78" s="43"/>
      <c r="AE78" s="43"/>
      <c r="AF78" s="43"/>
      <c r="AG78" s="43"/>
      <c r="AH78" s="43"/>
      <c r="AI78" s="43"/>
    </row>
    <row r="79" spans="1:35" ht="15.75">
      <c r="A79" s="88">
        <v>6089</v>
      </c>
      <c r="B79" s="1033" t="s">
        <v>462</v>
      </c>
      <c r="C79" s="1033"/>
      <c r="D79" s="1033"/>
      <c r="E79" s="1033"/>
      <c r="F79" s="1033"/>
      <c r="G79" s="1033"/>
      <c r="H79" s="1033"/>
      <c r="I79" s="1033"/>
      <c r="J79" s="1033"/>
      <c r="K79" s="1033"/>
      <c r="L79" s="90"/>
      <c r="M79" s="51" t="s">
        <v>265</v>
      </c>
      <c r="N79" s="113">
        <f t="shared" si="0"/>
        <v>6089</v>
      </c>
      <c r="O79" s="120">
        <v>0</v>
      </c>
      <c r="P79" s="888">
        <v>0</v>
      </c>
      <c r="Q79" s="51"/>
      <c r="R79" s="120">
        <v>0</v>
      </c>
      <c r="S79" s="888">
        <v>0</v>
      </c>
      <c r="T79" s="51"/>
      <c r="U79" s="120">
        <v>0</v>
      </c>
      <c r="V79" s="888">
        <v>0</v>
      </c>
      <c r="W79" s="51"/>
      <c r="X79" s="351">
        <f t="shared" si="5"/>
        <v>0</v>
      </c>
      <c r="Y79" s="1609">
        <f t="shared" si="4"/>
        <v>0</v>
      </c>
      <c r="Z79" s="43"/>
      <c r="AA79" s="1621">
        <f t="shared" si="3"/>
        <v>0</v>
      </c>
      <c r="AB79" s="43"/>
      <c r="AC79" s="43"/>
      <c r="AD79" s="43"/>
      <c r="AE79" s="43"/>
      <c r="AF79" s="43"/>
      <c r="AG79" s="43"/>
      <c r="AH79" s="43"/>
      <c r="AI79" s="43"/>
    </row>
    <row r="80" spans="1:35" ht="15.75">
      <c r="A80" s="88">
        <v>6090</v>
      </c>
      <c r="B80" s="1032" t="s">
        <v>463</v>
      </c>
      <c r="C80" s="1033"/>
      <c r="D80" s="1033"/>
      <c r="E80" s="1033"/>
      <c r="F80" s="1033"/>
      <c r="G80" s="1033"/>
      <c r="H80" s="1033"/>
      <c r="I80" s="1033"/>
      <c r="J80" s="1033"/>
      <c r="K80" s="1033"/>
      <c r="L80" s="90"/>
      <c r="M80" s="51" t="s">
        <v>265</v>
      </c>
      <c r="N80" s="113">
        <f>+A80</f>
        <v>6090</v>
      </c>
      <c r="O80" s="120">
        <v>0</v>
      </c>
      <c r="P80" s="888">
        <v>0</v>
      </c>
      <c r="Q80" s="51"/>
      <c r="R80" s="120">
        <v>0</v>
      </c>
      <c r="S80" s="888">
        <v>0</v>
      </c>
      <c r="T80" s="51"/>
      <c r="U80" s="120">
        <v>0</v>
      </c>
      <c r="V80" s="888">
        <v>0</v>
      </c>
      <c r="W80" s="51"/>
      <c r="X80" s="351">
        <f t="shared" si="5"/>
        <v>0</v>
      </c>
      <c r="Y80" s="1609">
        <f t="shared" si="4"/>
        <v>0</v>
      </c>
      <c r="Z80" s="43"/>
      <c r="AA80" s="1621">
        <f t="shared" si="3"/>
        <v>0</v>
      </c>
      <c r="AB80" s="43"/>
      <c r="AC80" s="43"/>
      <c r="AD80" s="43"/>
      <c r="AE80" s="43"/>
      <c r="AF80" s="43"/>
      <c r="AG80" s="43"/>
      <c r="AH80" s="43"/>
      <c r="AI80" s="43"/>
    </row>
    <row r="81" spans="1:35" ht="15.75">
      <c r="A81" s="88">
        <v>6091</v>
      </c>
      <c r="B81" s="1033" t="s">
        <v>464</v>
      </c>
      <c r="C81" s="1033"/>
      <c r="D81" s="1033"/>
      <c r="E81" s="1033"/>
      <c r="F81" s="1033"/>
      <c r="G81" s="1033"/>
      <c r="H81" s="1033"/>
      <c r="I81" s="1033"/>
      <c r="J81" s="1033"/>
      <c r="K81" s="1033"/>
      <c r="L81" s="90"/>
      <c r="M81" s="51" t="s">
        <v>265</v>
      </c>
      <c r="N81" s="113">
        <f t="shared" si="0"/>
        <v>6091</v>
      </c>
      <c r="O81" s="120">
        <v>0</v>
      </c>
      <c r="P81" s="888">
        <v>0</v>
      </c>
      <c r="Q81" s="51"/>
      <c r="R81" s="120">
        <v>0</v>
      </c>
      <c r="S81" s="888">
        <v>0</v>
      </c>
      <c r="T81" s="51"/>
      <c r="U81" s="120">
        <v>0</v>
      </c>
      <c r="V81" s="888">
        <v>0</v>
      </c>
      <c r="W81" s="51"/>
      <c r="X81" s="351">
        <f t="shared" si="5"/>
        <v>0</v>
      </c>
      <c r="Y81" s="1609">
        <f t="shared" ref="Y81:Y112" si="6">+ROUND(+P81+S81+V81,2)</f>
        <v>0</v>
      </c>
      <c r="Z81" s="43"/>
      <c r="AA81" s="1621">
        <f t="shared" ref="AA81:AA144" si="7">+ROUND(+SUM(X81-Y81)-SUM(O81-P81)-SUM(R81-S81)-SUM(U81-V81),2)</f>
        <v>0</v>
      </c>
      <c r="AB81" s="43"/>
      <c r="AC81" s="43"/>
      <c r="AD81" s="43"/>
      <c r="AE81" s="43"/>
      <c r="AF81" s="43"/>
      <c r="AG81" s="43"/>
      <c r="AH81" s="43"/>
      <c r="AI81" s="43"/>
    </row>
    <row r="82" spans="1:35" ht="15.75">
      <c r="A82" s="88">
        <v>6092</v>
      </c>
      <c r="B82" s="1032" t="s">
        <v>465</v>
      </c>
      <c r="C82" s="1033"/>
      <c r="D82" s="1033"/>
      <c r="E82" s="1033"/>
      <c r="F82" s="1033"/>
      <c r="G82" s="1033"/>
      <c r="H82" s="1033"/>
      <c r="I82" s="1033"/>
      <c r="J82" s="1033"/>
      <c r="K82" s="1033"/>
      <c r="L82" s="90"/>
      <c r="M82" s="51" t="s">
        <v>265</v>
      </c>
      <c r="N82" s="113">
        <f>+A82</f>
        <v>6092</v>
      </c>
      <c r="O82" s="120">
        <v>0</v>
      </c>
      <c r="P82" s="888">
        <v>0</v>
      </c>
      <c r="Q82" s="51"/>
      <c r="R82" s="120">
        <v>0</v>
      </c>
      <c r="S82" s="888">
        <v>0</v>
      </c>
      <c r="T82" s="51"/>
      <c r="U82" s="120">
        <v>0</v>
      </c>
      <c r="V82" s="888">
        <v>0</v>
      </c>
      <c r="W82" s="51"/>
      <c r="X82" s="351">
        <f t="shared" ref="X82:X113" si="8">+ROUND(+O82+R82+U82,2)</f>
        <v>0</v>
      </c>
      <c r="Y82" s="1609">
        <f t="shared" si="6"/>
        <v>0</v>
      </c>
      <c r="Z82" s="43"/>
      <c r="AA82" s="1621">
        <f t="shared" si="7"/>
        <v>0</v>
      </c>
      <c r="AB82" s="43"/>
      <c r="AC82" s="43"/>
      <c r="AD82" s="43"/>
      <c r="AE82" s="43"/>
      <c r="AF82" s="43"/>
      <c r="AG82" s="43"/>
      <c r="AH82" s="43"/>
      <c r="AI82" s="43"/>
    </row>
    <row r="83" spans="1:35" ht="15.75">
      <c r="A83" s="88">
        <v>6093</v>
      </c>
      <c r="B83" s="378" t="s">
        <v>466</v>
      </c>
      <c r="C83" s="1033"/>
      <c r="D83" s="1033"/>
      <c r="E83" s="1033"/>
      <c r="F83" s="1033"/>
      <c r="G83" s="1033"/>
      <c r="H83" s="1033"/>
      <c r="I83" s="1033"/>
      <c r="J83" s="1033"/>
      <c r="K83" s="1033"/>
      <c r="L83" s="90"/>
      <c r="M83" s="51" t="s">
        <v>265</v>
      </c>
      <c r="N83" s="113">
        <f t="shared" si="0"/>
        <v>6093</v>
      </c>
      <c r="O83" s="120">
        <v>4582.8</v>
      </c>
      <c r="P83" s="888">
        <v>0</v>
      </c>
      <c r="Q83" s="51"/>
      <c r="R83" s="120">
        <v>0</v>
      </c>
      <c r="S83" s="888">
        <v>0</v>
      </c>
      <c r="T83" s="51"/>
      <c r="U83" s="120">
        <v>0</v>
      </c>
      <c r="V83" s="888">
        <v>0</v>
      </c>
      <c r="W83" s="51"/>
      <c r="X83" s="351">
        <f t="shared" si="8"/>
        <v>4582.8</v>
      </c>
      <c r="Y83" s="1609">
        <f t="shared" si="6"/>
        <v>0</v>
      </c>
      <c r="Z83" s="43"/>
      <c r="AA83" s="1621">
        <f t="shared" si="7"/>
        <v>0</v>
      </c>
      <c r="AB83" s="43"/>
      <c r="AC83" s="43"/>
      <c r="AD83" s="43"/>
      <c r="AE83" s="43"/>
      <c r="AF83" s="43"/>
      <c r="AG83" s="43"/>
      <c r="AH83" s="43"/>
      <c r="AI83" s="43"/>
    </row>
    <row r="84" spans="1:35" ht="15.75">
      <c r="A84" s="88">
        <v>6094</v>
      </c>
      <c r="B84" s="378" t="s">
        <v>467</v>
      </c>
      <c r="C84" s="1033"/>
      <c r="D84" s="1033"/>
      <c r="E84" s="1033"/>
      <c r="F84" s="1033"/>
      <c r="G84" s="1033"/>
      <c r="H84" s="1033"/>
      <c r="I84" s="1033"/>
      <c r="J84" s="1033"/>
      <c r="K84" s="1033"/>
      <c r="L84" s="90"/>
      <c r="M84" s="51" t="s">
        <v>265</v>
      </c>
      <c r="N84" s="113">
        <f t="shared" si="0"/>
        <v>6094</v>
      </c>
      <c r="O84" s="120">
        <v>0</v>
      </c>
      <c r="P84" s="888">
        <v>0</v>
      </c>
      <c r="Q84" s="51"/>
      <c r="R84" s="120">
        <v>0</v>
      </c>
      <c r="S84" s="888">
        <v>0</v>
      </c>
      <c r="T84" s="51"/>
      <c r="U84" s="120">
        <v>0</v>
      </c>
      <c r="V84" s="888">
        <v>0</v>
      </c>
      <c r="W84" s="51"/>
      <c r="X84" s="351">
        <f t="shared" si="8"/>
        <v>0</v>
      </c>
      <c r="Y84" s="1609">
        <f t="shared" si="6"/>
        <v>0</v>
      </c>
      <c r="Z84" s="43"/>
      <c r="AA84" s="1621">
        <f t="shared" si="7"/>
        <v>0</v>
      </c>
      <c r="AB84" s="43"/>
      <c r="AC84" s="43"/>
      <c r="AD84" s="43"/>
      <c r="AE84" s="43"/>
      <c r="AF84" s="43"/>
      <c r="AG84" s="43"/>
      <c r="AH84" s="43"/>
      <c r="AI84" s="43"/>
    </row>
    <row r="85" spans="1:35" ht="15.75">
      <c r="A85" s="88">
        <v>6095</v>
      </c>
      <c r="B85" s="378" t="s">
        <v>468</v>
      </c>
      <c r="C85" s="1033"/>
      <c r="D85" s="1033"/>
      <c r="E85" s="1033"/>
      <c r="F85" s="1033"/>
      <c r="G85" s="1033"/>
      <c r="H85" s="1033"/>
      <c r="I85" s="1033"/>
      <c r="J85" s="1033"/>
      <c r="K85" s="1033"/>
      <c r="L85" s="90"/>
      <c r="M85" s="51" t="s">
        <v>265</v>
      </c>
      <c r="N85" s="113">
        <f t="shared" si="0"/>
        <v>6095</v>
      </c>
      <c r="O85" s="120">
        <v>0</v>
      </c>
      <c r="P85" s="888">
        <v>0</v>
      </c>
      <c r="Q85" s="51"/>
      <c r="R85" s="120">
        <v>0</v>
      </c>
      <c r="S85" s="888">
        <v>0</v>
      </c>
      <c r="T85" s="51"/>
      <c r="U85" s="120">
        <v>0</v>
      </c>
      <c r="V85" s="888">
        <v>0</v>
      </c>
      <c r="W85" s="51"/>
      <c r="X85" s="351">
        <f t="shared" si="8"/>
        <v>0</v>
      </c>
      <c r="Y85" s="1609">
        <f t="shared" si="6"/>
        <v>0</v>
      </c>
      <c r="Z85" s="43"/>
      <c r="AA85" s="1621">
        <f t="shared" si="7"/>
        <v>0</v>
      </c>
      <c r="AB85" s="43"/>
      <c r="AC85" s="43"/>
      <c r="AD85" s="43"/>
      <c r="AE85" s="43"/>
      <c r="AF85" s="43"/>
      <c r="AG85" s="43"/>
      <c r="AH85" s="43"/>
      <c r="AI85" s="43"/>
    </row>
    <row r="86" spans="1:35" ht="15.75">
      <c r="A86" s="88">
        <v>6096</v>
      </c>
      <c r="B86" s="378" t="s">
        <v>469</v>
      </c>
      <c r="C86" s="1033"/>
      <c r="D86" s="1033"/>
      <c r="E86" s="1033"/>
      <c r="F86" s="1033"/>
      <c r="G86" s="1033"/>
      <c r="H86" s="1033"/>
      <c r="I86" s="1033"/>
      <c r="J86" s="1033"/>
      <c r="K86" s="1033"/>
      <c r="L86" s="90"/>
      <c r="M86" s="51" t="s">
        <v>265</v>
      </c>
      <c r="N86" s="113">
        <f t="shared" ref="N86:N160" si="9">+A86</f>
        <v>6096</v>
      </c>
      <c r="O86" s="120">
        <v>0</v>
      </c>
      <c r="P86" s="888">
        <v>0</v>
      </c>
      <c r="Q86" s="51"/>
      <c r="R86" s="120">
        <v>0</v>
      </c>
      <c r="S86" s="888">
        <v>0</v>
      </c>
      <c r="T86" s="51"/>
      <c r="U86" s="120">
        <v>0</v>
      </c>
      <c r="V86" s="888">
        <v>0</v>
      </c>
      <c r="W86" s="51"/>
      <c r="X86" s="351">
        <f t="shared" si="8"/>
        <v>0</v>
      </c>
      <c r="Y86" s="1609">
        <f t="shared" si="6"/>
        <v>0</v>
      </c>
      <c r="Z86" s="43"/>
      <c r="AA86" s="1621">
        <f t="shared" si="7"/>
        <v>0</v>
      </c>
      <c r="AB86" s="43"/>
      <c r="AC86" s="43"/>
      <c r="AD86" s="43"/>
      <c r="AE86" s="43"/>
      <c r="AF86" s="43"/>
      <c r="AG86" s="43"/>
      <c r="AH86" s="43"/>
      <c r="AI86" s="43"/>
    </row>
    <row r="87" spans="1:35" ht="15.75">
      <c r="A87" s="88">
        <v>6098</v>
      </c>
      <c r="B87" s="378" t="s">
        <v>470</v>
      </c>
      <c r="C87" s="1033"/>
      <c r="D87" s="1033"/>
      <c r="E87" s="1033"/>
      <c r="F87" s="1033"/>
      <c r="G87" s="1033"/>
      <c r="H87" s="1033"/>
      <c r="I87" s="1033"/>
      <c r="J87" s="1033"/>
      <c r="K87" s="1033"/>
      <c r="L87" s="90"/>
      <c r="M87" s="51" t="s">
        <v>265</v>
      </c>
      <c r="N87" s="113">
        <f t="shared" si="9"/>
        <v>6098</v>
      </c>
      <c r="O87" s="120">
        <v>173</v>
      </c>
      <c r="P87" s="888">
        <v>0</v>
      </c>
      <c r="Q87" s="51"/>
      <c r="R87" s="120">
        <v>0</v>
      </c>
      <c r="S87" s="888">
        <v>0</v>
      </c>
      <c r="T87" s="51"/>
      <c r="U87" s="120">
        <v>0</v>
      </c>
      <c r="V87" s="888">
        <v>0</v>
      </c>
      <c r="W87" s="51"/>
      <c r="X87" s="351">
        <f t="shared" si="8"/>
        <v>173</v>
      </c>
      <c r="Y87" s="1609">
        <f t="shared" si="6"/>
        <v>0</v>
      </c>
      <c r="Z87" s="43"/>
      <c r="AA87" s="1621">
        <f t="shared" si="7"/>
        <v>0</v>
      </c>
      <c r="AB87" s="43"/>
      <c r="AC87" s="43"/>
      <c r="AD87" s="43"/>
      <c r="AE87" s="43"/>
      <c r="AF87" s="43"/>
      <c r="AG87" s="43"/>
      <c r="AH87" s="43"/>
      <c r="AI87" s="43"/>
    </row>
    <row r="88" spans="1:35" ht="15.75">
      <c r="A88" s="88">
        <v>6099</v>
      </c>
      <c r="B88" s="378" t="s">
        <v>471</v>
      </c>
      <c r="C88" s="1033"/>
      <c r="D88" s="1033"/>
      <c r="E88" s="1033"/>
      <c r="F88" s="1033"/>
      <c r="G88" s="1033"/>
      <c r="H88" s="1033"/>
      <c r="I88" s="1033"/>
      <c r="J88" s="1033"/>
      <c r="K88" s="1033"/>
      <c r="L88" s="90"/>
      <c r="M88" s="51" t="s">
        <v>265</v>
      </c>
      <c r="N88" s="113">
        <f t="shared" si="9"/>
        <v>6099</v>
      </c>
      <c r="O88" s="120">
        <v>0</v>
      </c>
      <c r="P88" s="888">
        <v>0</v>
      </c>
      <c r="Q88" s="51"/>
      <c r="R88" s="120">
        <v>0</v>
      </c>
      <c r="S88" s="888">
        <v>0</v>
      </c>
      <c r="T88" s="51"/>
      <c r="U88" s="120">
        <v>0</v>
      </c>
      <c r="V88" s="888">
        <v>0</v>
      </c>
      <c r="W88" s="51"/>
      <c r="X88" s="351">
        <f t="shared" si="8"/>
        <v>0</v>
      </c>
      <c r="Y88" s="1609">
        <f t="shared" si="6"/>
        <v>0</v>
      </c>
      <c r="Z88" s="43"/>
      <c r="AA88" s="1621">
        <f t="shared" si="7"/>
        <v>0</v>
      </c>
      <c r="AB88" s="43"/>
      <c r="AC88" s="43"/>
      <c r="AD88" s="43"/>
      <c r="AE88" s="43"/>
      <c r="AF88" s="43"/>
      <c r="AG88" s="43"/>
      <c r="AH88" s="43"/>
      <c r="AI88" s="43"/>
    </row>
    <row r="89" spans="1:35" ht="15.75">
      <c r="A89" s="88">
        <v>6111</v>
      </c>
      <c r="B89" s="2296" t="s">
        <v>2148</v>
      </c>
      <c r="C89" s="1033"/>
      <c r="D89" s="1033"/>
      <c r="E89" s="1033"/>
      <c r="F89" s="1033"/>
      <c r="G89" s="1033"/>
      <c r="H89" s="1033"/>
      <c r="I89" s="1033"/>
      <c r="J89" s="1033"/>
      <c r="K89" s="1033"/>
      <c r="L89" s="90"/>
      <c r="M89" s="51" t="s">
        <v>265</v>
      </c>
      <c r="N89" s="113">
        <f t="shared" si="9"/>
        <v>6111</v>
      </c>
      <c r="O89" s="120">
        <v>0</v>
      </c>
      <c r="P89" s="888">
        <v>0</v>
      </c>
      <c r="Q89" s="51"/>
      <c r="R89" s="120">
        <v>0</v>
      </c>
      <c r="S89" s="888">
        <v>0</v>
      </c>
      <c r="T89" s="51"/>
      <c r="U89" s="120">
        <v>0</v>
      </c>
      <c r="V89" s="888">
        <v>0</v>
      </c>
      <c r="W89" s="51"/>
      <c r="X89" s="351">
        <f t="shared" si="8"/>
        <v>0</v>
      </c>
      <c r="Y89" s="1609">
        <f t="shared" si="6"/>
        <v>0</v>
      </c>
      <c r="Z89" s="43"/>
      <c r="AA89" s="1621">
        <f t="shared" si="7"/>
        <v>0</v>
      </c>
      <c r="AB89" s="43"/>
      <c r="AC89" s="43"/>
      <c r="AD89" s="43"/>
      <c r="AE89" s="43"/>
      <c r="AF89" s="43"/>
      <c r="AG89" s="43"/>
      <c r="AH89" s="43"/>
      <c r="AI89" s="43"/>
    </row>
    <row r="90" spans="1:35" ht="15.75">
      <c r="A90" s="88">
        <v>6112</v>
      </c>
      <c r="B90" s="1045" t="s">
        <v>2149</v>
      </c>
      <c r="C90" s="1033"/>
      <c r="D90" s="1033"/>
      <c r="E90" s="1033"/>
      <c r="F90" s="1033"/>
      <c r="G90" s="1033"/>
      <c r="H90" s="1033"/>
      <c r="I90" s="1033"/>
      <c r="J90" s="1033"/>
      <c r="K90" s="1033"/>
      <c r="L90" s="90"/>
      <c r="M90" s="51" t="s">
        <v>265</v>
      </c>
      <c r="N90" s="113">
        <f t="shared" si="9"/>
        <v>6112</v>
      </c>
      <c r="O90" s="120">
        <v>0</v>
      </c>
      <c r="P90" s="888">
        <v>0</v>
      </c>
      <c r="Q90" s="51"/>
      <c r="R90" s="120">
        <v>0</v>
      </c>
      <c r="S90" s="888">
        <v>0</v>
      </c>
      <c r="T90" s="51"/>
      <c r="U90" s="120">
        <v>0</v>
      </c>
      <c r="V90" s="888">
        <v>0</v>
      </c>
      <c r="W90" s="51"/>
      <c r="X90" s="351">
        <f t="shared" si="8"/>
        <v>0</v>
      </c>
      <c r="Y90" s="1609">
        <f t="shared" si="6"/>
        <v>0</v>
      </c>
      <c r="Z90" s="43"/>
      <c r="AA90" s="1621">
        <f t="shared" si="7"/>
        <v>0</v>
      </c>
      <c r="AB90" s="43"/>
      <c r="AC90" s="43"/>
      <c r="AD90" s="43"/>
      <c r="AE90" s="43"/>
      <c r="AF90" s="43"/>
      <c r="AG90" s="43"/>
      <c r="AH90" s="43"/>
      <c r="AI90" s="43"/>
    </row>
    <row r="91" spans="1:35" ht="15.75">
      <c r="A91" s="88">
        <v>6113</v>
      </c>
      <c r="B91" s="1045" t="s">
        <v>2150</v>
      </c>
      <c r="C91" s="1033"/>
      <c r="D91" s="1033"/>
      <c r="E91" s="1033"/>
      <c r="F91" s="1033"/>
      <c r="G91" s="1033"/>
      <c r="H91" s="1033"/>
      <c r="I91" s="1033"/>
      <c r="J91" s="1033"/>
      <c r="K91" s="1033"/>
      <c r="L91" s="90"/>
      <c r="M91" s="51" t="s">
        <v>265</v>
      </c>
      <c r="N91" s="113">
        <f t="shared" si="9"/>
        <v>6113</v>
      </c>
      <c r="O91" s="120">
        <v>0</v>
      </c>
      <c r="P91" s="888">
        <v>0</v>
      </c>
      <c r="Q91" s="51"/>
      <c r="R91" s="120">
        <v>0</v>
      </c>
      <c r="S91" s="888">
        <v>0</v>
      </c>
      <c r="T91" s="51"/>
      <c r="U91" s="120">
        <v>0</v>
      </c>
      <c r="V91" s="888">
        <v>0</v>
      </c>
      <c r="W91" s="51"/>
      <c r="X91" s="351">
        <f t="shared" si="8"/>
        <v>0</v>
      </c>
      <c r="Y91" s="1609">
        <f t="shared" si="6"/>
        <v>0</v>
      </c>
      <c r="Z91" s="43"/>
      <c r="AA91" s="1621">
        <f t="shared" si="7"/>
        <v>0</v>
      </c>
      <c r="AB91" s="43"/>
      <c r="AC91" s="43"/>
      <c r="AD91" s="43"/>
      <c r="AE91" s="43"/>
      <c r="AF91" s="43"/>
      <c r="AG91" s="43"/>
      <c r="AH91" s="43"/>
      <c r="AI91" s="43"/>
    </row>
    <row r="92" spans="1:35" ht="15.75">
      <c r="A92" s="88">
        <v>6114</v>
      </c>
      <c r="B92" s="1045" t="s">
        <v>2151</v>
      </c>
      <c r="C92" s="1033"/>
      <c r="D92" s="1033"/>
      <c r="E92" s="1033"/>
      <c r="F92" s="1033"/>
      <c r="G92" s="1033"/>
      <c r="H92" s="1033"/>
      <c r="I92" s="1033"/>
      <c r="J92" s="1033"/>
      <c r="K92" s="1033"/>
      <c r="L92" s="90"/>
      <c r="M92" s="51" t="s">
        <v>265</v>
      </c>
      <c r="N92" s="113">
        <f t="shared" si="9"/>
        <v>6114</v>
      </c>
      <c r="O92" s="120">
        <v>0</v>
      </c>
      <c r="P92" s="888">
        <v>0</v>
      </c>
      <c r="Q92" s="51"/>
      <c r="R92" s="120">
        <v>0</v>
      </c>
      <c r="S92" s="888">
        <v>0</v>
      </c>
      <c r="T92" s="51"/>
      <c r="U92" s="120">
        <v>0</v>
      </c>
      <c r="V92" s="888">
        <v>0</v>
      </c>
      <c r="W92" s="51"/>
      <c r="X92" s="351">
        <f t="shared" si="8"/>
        <v>0</v>
      </c>
      <c r="Y92" s="1609">
        <f t="shared" si="6"/>
        <v>0</v>
      </c>
      <c r="Z92" s="43"/>
      <c r="AA92" s="1621">
        <f t="shared" si="7"/>
        <v>0</v>
      </c>
      <c r="AB92" s="43"/>
      <c r="AC92" s="43"/>
      <c r="AD92" s="43"/>
      <c r="AE92" s="43"/>
      <c r="AF92" s="43"/>
      <c r="AG92" s="43"/>
      <c r="AH92" s="43"/>
      <c r="AI92" s="43"/>
    </row>
    <row r="93" spans="1:35" ht="15.75">
      <c r="A93" s="88">
        <v>6115</v>
      </c>
      <c r="B93" s="1045" t="s">
        <v>2152</v>
      </c>
      <c r="C93" s="1033"/>
      <c r="D93" s="1033"/>
      <c r="E93" s="1033"/>
      <c r="F93" s="1033"/>
      <c r="G93" s="1033"/>
      <c r="H93" s="1033"/>
      <c r="I93" s="1033"/>
      <c r="J93" s="1033"/>
      <c r="K93" s="1033"/>
      <c r="L93" s="90"/>
      <c r="M93" s="51" t="s">
        <v>265</v>
      </c>
      <c r="N93" s="113">
        <f t="shared" si="9"/>
        <v>6115</v>
      </c>
      <c r="O93" s="120">
        <v>0</v>
      </c>
      <c r="P93" s="888">
        <v>0</v>
      </c>
      <c r="Q93" s="51"/>
      <c r="R93" s="120">
        <v>0</v>
      </c>
      <c r="S93" s="888">
        <v>0</v>
      </c>
      <c r="T93" s="51"/>
      <c r="U93" s="120">
        <v>0</v>
      </c>
      <c r="V93" s="888">
        <v>0</v>
      </c>
      <c r="W93" s="51"/>
      <c r="X93" s="351">
        <f t="shared" si="8"/>
        <v>0</v>
      </c>
      <c r="Y93" s="1609">
        <f t="shared" si="6"/>
        <v>0</v>
      </c>
      <c r="Z93" s="43"/>
      <c r="AA93" s="1621">
        <f t="shared" si="7"/>
        <v>0</v>
      </c>
      <c r="AB93" s="43"/>
      <c r="AC93" s="43"/>
      <c r="AD93" s="43"/>
      <c r="AE93" s="43"/>
      <c r="AF93" s="43"/>
      <c r="AG93" s="43"/>
      <c r="AH93" s="43"/>
      <c r="AI93" s="43"/>
    </row>
    <row r="94" spans="1:35" ht="15.75">
      <c r="A94" s="88">
        <v>6131</v>
      </c>
      <c r="B94" s="1045" t="s">
        <v>2153</v>
      </c>
      <c r="C94" s="1033"/>
      <c r="D94" s="1033"/>
      <c r="E94" s="1033"/>
      <c r="F94" s="1033"/>
      <c r="G94" s="1033"/>
      <c r="H94" s="1033"/>
      <c r="I94" s="1033"/>
      <c r="J94" s="1033"/>
      <c r="K94" s="1033"/>
      <c r="L94" s="90"/>
      <c r="M94" s="51" t="s">
        <v>265</v>
      </c>
      <c r="N94" s="113">
        <f>+A94</f>
        <v>6131</v>
      </c>
      <c r="O94" s="120">
        <v>0</v>
      </c>
      <c r="P94" s="888">
        <v>0</v>
      </c>
      <c r="Q94" s="51"/>
      <c r="R94" s="120">
        <v>0</v>
      </c>
      <c r="S94" s="888">
        <v>0</v>
      </c>
      <c r="T94" s="51"/>
      <c r="U94" s="120">
        <v>0</v>
      </c>
      <c r="V94" s="888">
        <v>0</v>
      </c>
      <c r="W94" s="51"/>
      <c r="X94" s="351">
        <f t="shared" si="8"/>
        <v>0</v>
      </c>
      <c r="Y94" s="1609">
        <f t="shared" si="6"/>
        <v>0</v>
      </c>
      <c r="Z94" s="43"/>
      <c r="AA94" s="1621">
        <f t="shared" si="7"/>
        <v>0</v>
      </c>
      <c r="AB94" s="43"/>
      <c r="AC94" s="43"/>
      <c r="AD94" s="43"/>
      <c r="AE94" s="43"/>
      <c r="AF94" s="43"/>
      <c r="AG94" s="43"/>
      <c r="AH94" s="43"/>
      <c r="AI94" s="43"/>
    </row>
    <row r="95" spans="1:35" ht="15.75">
      <c r="A95" s="88">
        <v>6132</v>
      </c>
      <c r="B95" s="1045" t="s">
        <v>2154</v>
      </c>
      <c r="C95" s="1033"/>
      <c r="D95" s="1033"/>
      <c r="E95" s="1033"/>
      <c r="F95" s="1033"/>
      <c r="G95" s="1033"/>
      <c r="H95" s="1033"/>
      <c r="I95" s="1033"/>
      <c r="J95" s="1033"/>
      <c r="K95" s="1033"/>
      <c r="L95" s="90"/>
      <c r="M95" s="51" t="s">
        <v>265</v>
      </c>
      <c r="N95" s="113">
        <f>+A95</f>
        <v>6132</v>
      </c>
      <c r="O95" s="120">
        <v>0</v>
      </c>
      <c r="P95" s="888">
        <v>0</v>
      </c>
      <c r="Q95" s="51"/>
      <c r="R95" s="120">
        <v>0</v>
      </c>
      <c r="S95" s="888">
        <v>0</v>
      </c>
      <c r="T95" s="51"/>
      <c r="U95" s="120">
        <v>0</v>
      </c>
      <c r="V95" s="888">
        <v>0</v>
      </c>
      <c r="W95" s="51"/>
      <c r="X95" s="351">
        <f t="shared" si="8"/>
        <v>0</v>
      </c>
      <c r="Y95" s="1609">
        <f t="shared" si="6"/>
        <v>0</v>
      </c>
      <c r="Z95" s="43"/>
      <c r="AA95" s="1621">
        <f t="shared" si="7"/>
        <v>0</v>
      </c>
      <c r="AB95" s="43"/>
      <c r="AC95" s="43"/>
      <c r="AD95" s="43"/>
      <c r="AE95" s="43"/>
      <c r="AF95" s="43"/>
      <c r="AG95" s="43"/>
      <c r="AH95" s="43"/>
      <c r="AI95" s="43"/>
    </row>
    <row r="96" spans="1:35" ht="15.75">
      <c r="A96" s="88">
        <v>6133</v>
      </c>
      <c r="B96" s="2300" t="s">
        <v>2155</v>
      </c>
      <c r="C96" s="1033"/>
      <c r="D96" s="1033"/>
      <c r="E96" s="1033"/>
      <c r="F96" s="1033"/>
      <c r="G96" s="1033"/>
      <c r="H96" s="1033"/>
      <c r="I96" s="1033"/>
      <c r="J96" s="1033"/>
      <c r="K96" s="1033"/>
      <c r="L96" s="90"/>
      <c r="M96" s="51" t="s">
        <v>265</v>
      </c>
      <c r="N96" s="113">
        <f>+A96</f>
        <v>6133</v>
      </c>
      <c r="O96" s="120">
        <v>0</v>
      </c>
      <c r="P96" s="888">
        <v>0</v>
      </c>
      <c r="Q96" s="51"/>
      <c r="R96" s="120">
        <v>0</v>
      </c>
      <c r="S96" s="888">
        <v>0</v>
      </c>
      <c r="T96" s="51"/>
      <c r="U96" s="120">
        <v>0</v>
      </c>
      <c r="V96" s="888">
        <v>0</v>
      </c>
      <c r="W96" s="51"/>
      <c r="X96" s="351">
        <f t="shared" si="8"/>
        <v>0</v>
      </c>
      <c r="Y96" s="1609">
        <f t="shared" si="6"/>
        <v>0</v>
      </c>
      <c r="Z96" s="43"/>
      <c r="AA96" s="1621">
        <f t="shared" si="7"/>
        <v>0</v>
      </c>
      <c r="AB96" s="43"/>
      <c r="AC96" s="43"/>
      <c r="AD96" s="43"/>
      <c r="AE96" s="43"/>
      <c r="AF96" s="43"/>
      <c r="AG96" s="43"/>
      <c r="AH96" s="43"/>
      <c r="AI96" s="43"/>
    </row>
    <row r="97" spans="1:35" ht="15.75">
      <c r="A97" s="88">
        <v>6140</v>
      </c>
      <c r="B97" s="1045" t="s">
        <v>2156</v>
      </c>
      <c r="C97" s="1033"/>
      <c r="D97" s="1033"/>
      <c r="E97" s="1033"/>
      <c r="F97" s="1033"/>
      <c r="G97" s="1033"/>
      <c r="H97" s="1033"/>
      <c r="I97" s="1033"/>
      <c r="J97" s="1033"/>
      <c r="K97" s="1033"/>
      <c r="L97" s="90"/>
      <c r="M97" s="51" t="s">
        <v>265</v>
      </c>
      <c r="N97" s="113">
        <f t="shared" si="9"/>
        <v>6140</v>
      </c>
      <c r="O97" s="120">
        <v>0</v>
      </c>
      <c r="P97" s="888">
        <v>0</v>
      </c>
      <c r="Q97" s="51"/>
      <c r="R97" s="120">
        <v>0</v>
      </c>
      <c r="S97" s="888">
        <v>0</v>
      </c>
      <c r="T97" s="51"/>
      <c r="U97" s="120">
        <v>0</v>
      </c>
      <c r="V97" s="888">
        <v>0</v>
      </c>
      <c r="W97" s="51"/>
      <c r="X97" s="351">
        <f t="shared" si="8"/>
        <v>0</v>
      </c>
      <c r="Y97" s="1609">
        <f t="shared" si="6"/>
        <v>0</v>
      </c>
      <c r="Z97" s="43"/>
      <c r="AA97" s="1621">
        <f t="shared" si="7"/>
        <v>0</v>
      </c>
      <c r="AB97" s="43"/>
      <c r="AC97" s="43"/>
      <c r="AD97" s="43"/>
      <c r="AE97" s="43"/>
      <c r="AF97" s="43"/>
      <c r="AG97" s="43"/>
      <c r="AH97" s="43"/>
      <c r="AI97" s="43"/>
    </row>
    <row r="98" spans="1:35" ht="15.75">
      <c r="A98" s="88">
        <v>6141</v>
      </c>
      <c r="B98" s="1045" t="s">
        <v>2157</v>
      </c>
      <c r="C98" s="1033"/>
      <c r="D98" s="1033"/>
      <c r="E98" s="1033"/>
      <c r="F98" s="1033"/>
      <c r="G98" s="1033"/>
      <c r="H98" s="1033"/>
      <c r="I98" s="1033"/>
      <c r="J98" s="1033"/>
      <c r="K98" s="1033"/>
      <c r="L98" s="90"/>
      <c r="M98" s="51" t="s">
        <v>265</v>
      </c>
      <c r="N98" s="113">
        <f>+A98</f>
        <v>6141</v>
      </c>
      <c r="O98" s="120">
        <v>0</v>
      </c>
      <c r="P98" s="888">
        <v>0</v>
      </c>
      <c r="Q98" s="51"/>
      <c r="R98" s="120">
        <v>0</v>
      </c>
      <c r="S98" s="888">
        <v>0</v>
      </c>
      <c r="T98" s="51"/>
      <c r="U98" s="120">
        <v>0</v>
      </c>
      <c r="V98" s="888">
        <v>0</v>
      </c>
      <c r="W98" s="51"/>
      <c r="X98" s="351">
        <f t="shared" si="8"/>
        <v>0</v>
      </c>
      <c r="Y98" s="1609">
        <f t="shared" si="6"/>
        <v>0</v>
      </c>
      <c r="Z98" s="43"/>
      <c r="AA98" s="1621">
        <f t="shared" si="7"/>
        <v>0</v>
      </c>
      <c r="AB98" s="43"/>
      <c r="AC98" s="43"/>
      <c r="AD98" s="43"/>
      <c r="AE98" s="43"/>
      <c r="AF98" s="43"/>
      <c r="AG98" s="43"/>
      <c r="AH98" s="43"/>
      <c r="AI98" s="43"/>
    </row>
    <row r="99" spans="1:35" ht="15.75">
      <c r="A99" s="88">
        <v>6142</v>
      </c>
      <c r="B99" s="1045" t="s">
        <v>2158</v>
      </c>
      <c r="C99" s="1033"/>
      <c r="D99" s="1033"/>
      <c r="E99" s="1033"/>
      <c r="F99" s="1033"/>
      <c r="G99" s="1033"/>
      <c r="H99" s="1033"/>
      <c r="I99" s="1033"/>
      <c r="J99" s="1033"/>
      <c r="K99" s="1033"/>
      <c r="L99" s="90"/>
      <c r="M99" s="51" t="s">
        <v>265</v>
      </c>
      <c r="N99" s="113">
        <f t="shared" si="9"/>
        <v>6142</v>
      </c>
      <c r="O99" s="120">
        <v>0</v>
      </c>
      <c r="P99" s="888">
        <v>0</v>
      </c>
      <c r="Q99" s="51"/>
      <c r="R99" s="120">
        <v>0</v>
      </c>
      <c r="S99" s="888">
        <v>0</v>
      </c>
      <c r="T99" s="51"/>
      <c r="U99" s="120">
        <v>0</v>
      </c>
      <c r="V99" s="888">
        <v>0</v>
      </c>
      <c r="W99" s="51"/>
      <c r="X99" s="351">
        <f t="shared" si="8"/>
        <v>0</v>
      </c>
      <c r="Y99" s="1609">
        <f t="shared" si="6"/>
        <v>0</v>
      </c>
      <c r="Z99" s="43"/>
      <c r="AA99" s="1621">
        <f t="shared" si="7"/>
        <v>0</v>
      </c>
      <c r="AB99" s="43"/>
      <c r="AC99" s="43"/>
      <c r="AD99" s="43"/>
      <c r="AE99" s="43"/>
      <c r="AF99" s="43"/>
      <c r="AG99" s="43"/>
      <c r="AH99" s="43"/>
      <c r="AI99" s="43"/>
    </row>
    <row r="100" spans="1:35" ht="15.75">
      <c r="A100" s="88">
        <v>6143</v>
      </c>
      <c r="B100" s="1045" t="s">
        <v>2159</v>
      </c>
      <c r="C100" s="1033"/>
      <c r="D100" s="1033"/>
      <c r="E100" s="1033"/>
      <c r="F100" s="1033"/>
      <c r="G100" s="1033"/>
      <c r="H100" s="1033"/>
      <c r="I100" s="1033"/>
      <c r="J100" s="1033"/>
      <c r="K100" s="1033"/>
      <c r="L100" s="90"/>
      <c r="M100" s="51" t="s">
        <v>265</v>
      </c>
      <c r="N100" s="113">
        <f t="shared" si="9"/>
        <v>6143</v>
      </c>
      <c r="O100" s="120">
        <v>0</v>
      </c>
      <c r="P100" s="888">
        <v>0</v>
      </c>
      <c r="Q100" s="51"/>
      <c r="R100" s="120">
        <v>0</v>
      </c>
      <c r="S100" s="888">
        <v>0</v>
      </c>
      <c r="T100" s="51"/>
      <c r="U100" s="120">
        <v>0</v>
      </c>
      <c r="V100" s="888">
        <v>0</v>
      </c>
      <c r="W100" s="51"/>
      <c r="X100" s="351">
        <f t="shared" si="8"/>
        <v>0</v>
      </c>
      <c r="Y100" s="1609">
        <f t="shared" si="6"/>
        <v>0</v>
      </c>
      <c r="Z100" s="43"/>
      <c r="AA100" s="1621">
        <f t="shared" si="7"/>
        <v>0</v>
      </c>
      <c r="AB100" s="43"/>
      <c r="AC100" s="43"/>
      <c r="AD100" s="43"/>
      <c r="AE100" s="43"/>
      <c r="AF100" s="43"/>
      <c r="AG100" s="43"/>
      <c r="AH100" s="43"/>
      <c r="AI100" s="43"/>
    </row>
    <row r="101" spans="1:35" ht="15.75">
      <c r="A101" s="88">
        <v>6144</v>
      </c>
      <c r="B101" s="1045" t="s">
        <v>2160</v>
      </c>
      <c r="C101" s="1033"/>
      <c r="D101" s="1033"/>
      <c r="E101" s="1033"/>
      <c r="F101" s="1033"/>
      <c r="G101" s="1033"/>
      <c r="H101" s="1033"/>
      <c r="I101" s="1033"/>
      <c r="J101" s="1033"/>
      <c r="K101" s="1033"/>
      <c r="L101" s="90"/>
      <c r="M101" s="51" t="s">
        <v>265</v>
      </c>
      <c r="N101" s="113">
        <f t="shared" si="9"/>
        <v>6144</v>
      </c>
      <c r="O101" s="120">
        <v>0</v>
      </c>
      <c r="P101" s="888">
        <v>0</v>
      </c>
      <c r="Q101" s="51"/>
      <c r="R101" s="120">
        <v>0</v>
      </c>
      <c r="S101" s="888">
        <v>0</v>
      </c>
      <c r="T101" s="51"/>
      <c r="U101" s="120">
        <v>0</v>
      </c>
      <c r="V101" s="888">
        <v>0</v>
      </c>
      <c r="W101" s="51"/>
      <c r="X101" s="351">
        <f t="shared" si="8"/>
        <v>0</v>
      </c>
      <c r="Y101" s="1609">
        <f t="shared" si="6"/>
        <v>0</v>
      </c>
      <c r="Z101" s="43"/>
      <c r="AA101" s="1621">
        <f t="shared" si="7"/>
        <v>0</v>
      </c>
      <c r="AB101" s="43"/>
      <c r="AC101" s="43"/>
      <c r="AD101" s="43"/>
      <c r="AE101" s="43"/>
      <c r="AF101" s="43"/>
      <c r="AG101" s="43"/>
      <c r="AH101" s="43"/>
      <c r="AI101" s="43"/>
    </row>
    <row r="102" spans="1:35" ht="15.75">
      <c r="A102" s="88">
        <v>6145</v>
      </c>
      <c r="B102" s="1045" t="s">
        <v>2161</v>
      </c>
      <c r="C102" s="1033"/>
      <c r="D102" s="1033"/>
      <c r="E102" s="1033"/>
      <c r="F102" s="1033"/>
      <c r="G102" s="1033"/>
      <c r="H102" s="1033"/>
      <c r="I102" s="1033"/>
      <c r="J102" s="1033"/>
      <c r="K102" s="1033"/>
      <c r="L102" s="90"/>
      <c r="M102" s="51" t="s">
        <v>265</v>
      </c>
      <c r="N102" s="113">
        <f t="shared" si="9"/>
        <v>6145</v>
      </c>
      <c r="O102" s="120">
        <v>0</v>
      </c>
      <c r="P102" s="888">
        <v>0</v>
      </c>
      <c r="Q102" s="51"/>
      <c r="R102" s="120">
        <v>0</v>
      </c>
      <c r="S102" s="888">
        <v>0</v>
      </c>
      <c r="T102" s="51"/>
      <c r="U102" s="120">
        <v>0</v>
      </c>
      <c r="V102" s="888">
        <v>0</v>
      </c>
      <c r="W102" s="51"/>
      <c r="X102" s="351">
        <f t="shared" si="8"/>
        <v>0</v>
      </c>
      <c r="Y102" s="1609">
        <f t="shared" si="6"/>
        <v>0</v>
      </c>
      <c r="Z102" s="43"/>
      <c r="AA102" s="1621">
        <f t="shared" si="7"/>
        <v>0</v>
      </c>
      <c r="AB102" s="43"/>
      <c r="AC102" s="43"/>
      <c r="AD102" s="43"/>
      <c r="AE102" s="43"/>
      <c r="AF102" s="43"/>
      <c r="AG102" s="43"/>
      <c r="AH102" s="43"/>
      <c r="AI102" s="43"/>
    </row>
    <row r="103" spans="1:35" ht="15.75">
      <c r="A103" s="88">
        <v>6146</v>
      </c>
      <c r="B103" s="1045" t="s">
        <v>2162</v>
      </c>
      <c r="C103" s="1033"/>
      <c r="D103" s="1033"/>
      <c r="E103" s="1033"/>
      <c r="F103" s="1033"/>
      <c r="G103" s="1033"/>
      <c r="H103" s="1033"/>
      <c r="I103" s="1033"/>
      <c r="J103" s="1033"/>
      <c r="K103" s="1033"/>
      <c r="L103" s="90"/>
      <c r="M103" s="51" t="s">
        <v>265</v>
      </c>
      <c r="N103" s="113">
        <f t="shared" si="9"/>
        <v>6146</v>
      </c>
      <c r="O103" s="120">
        <v>0</v>
      </c>
      <c r="P103" s="888">
        <v>0</v>
      </c>
      <c r="Q103" s="51"/>
      <c r="R103" s="120">
        <v>0</v>
      </c>
      <c r="S103" s="888">
        <v>0</v>
      </c>
      <c r="T103" s="51"/>
      <c r="U103" s="120">
        <v>0</v>
      </c>
      <c r="V103" s="888">
        <v>0</v>
      </c>
      <c r="W103" s="51"/>
      <c r="X103" s="351">
        <f t="shared" si="8"/>
        <v>0</v>
      </c>
      <c r="Y103" s="1609">
        <f t="shared" si="6"/>
        <v>0</v>
      </c>
      <c r="Z103" s="43"/>
      <c r="AA103" s="1621">
        <f t="shared" si="7"/>
        <v>0</v>
      </c>
      <c r="AB103" s="43"/>
      <c r="AC103" s="43"/>
      <c r="AD103" s="43"/>
      <c r="AE103" s="43"/>
      <c r="AF103" s="43"/>
      <c r="AG103" s="43"/>
      <c r="AH103" s="43"/>
      <c r="AI103" s="43"/>
    </row>
    <row r="104" spans="1:35" ht="15.75">
      <c r="A104" s="88">
        <v>6147</v>
      </c>
      <c r="B104" s="1045" t="s">
        <v>2163</v>
      </c>
      <c r="C104" s="1033"/>
      <c r="D104" s="1033"/>
      <c r="E104" s="1033"/>
      <c r="F104" s="1033"/>
      <c r="G104" s="1033"/>
      <c r="H104" s="1033"/>
      <c r="I104" s="1033"/>
      <c r="J104" s="1033"/>
      <c r="K104" s="1033"/>
      <c r="L104" s="90"/>
      <c r="M104" s="51" t="s">
        <v>265</v>
      </c>
      <c r="N104" s="113">
        <f t="shared" si="9"/>
        <v>6147</v>
      </c>
      <c r="O104" s="120">
        <v>0</v>
      </c>
      <c r="P104" s="888">
        <v>0</v>
      </c>
      <c r="Q104" s="51"/>
      <c r="R104" s="120">
        <v>0</v>
      </c>
      <c r="S104" s="888">
        <v>0</v>
      </c>
      <c r="T104" s="51"/>
      <c r="U104" s="120">
        <v>0</v>
      </c>
      <c r="V104" s="888">
        <v>0</v>
      </c>
      <c r="W104" s="51"/>
      <c r="X104" s="351">
        <f t="shared" si="8"/>
        <v>0</v>
      </c>
      <c r="Y104" s="1609">
        <f t="shared" si="6"/>
        <v>0</v>
      </c>
      <c r="Z104" s="43"/>
      <c r="AA104" s="1621">
        <f t="shared" si="7"/>
        <v>0</v>
      </c>
      <c r="AB104" s="43"/>
      <c r="AC104" s="43"/>
      <c r="AD104" s="43"/>
      <c r="AE104" s="43"/>
      <c r="AF104" s="43"/>
      <c r="AG104" s="43"/>
      <c r="AH104" s="43"/>
      <c r="AI104" s="43"/>
    </row>
    <row r="105" spans="1:35" ht="15.75">
      <c r="A105" s="88">
        <v>6149</v>
      </c>
      <c r="B105" s="1045" t="s">
        <v>2164</v>
      </c>
      <c r="C105" s="1033"/>
      <c r="D105" s="1033"/>
      <c r="E105" s="1033"/>
      <c r="F105" s="1033"/>
      <c r="G105" s="1033"/>
      <c r="H105" s="1033"/>
      <c r="I105" s="1033"/>
      <c r="J105" s="1033"/>
      <c r="K105" s="1033"/>
      <c r="L105" s="90"/>
      <c r="M105" s="51" t="s">
        <v>265</v>
      </c>
      <c r="N105" s="113">
        <f t="shared" si="9"/>
        <v>6149</v>
      </c>
      <c r="O105" s="120">
        <v>0</v>
      </c>
      <c r="P105" s="888">
        <v>0</v>
      </c>
      <c r="Q105" s="51"/>
      <c r="R105" s="120">
        <v>0</v>
      </c>
      <c r="S105" s="888">
        <v>0</v>
      </c>
      <c r="T105" s="51"/>
      <c r="U105" s="120">
        <v>0</v>
      </c>
      <c r="V105" s="888">
        <v>0</v>
      </c>
      <c r="W105" s="51"/>
      <c r="X105" s="351">
        <f t="shared" si="8"/>
        <v>0</v>
      </c>
      <c r="Y105" s="1609">
        <f t="shared" si="6"/>
        <v>0</v>
      </c>
      <c r="Z105" s="43"/>
      <c r="AA105" s="1621">
        <f t="shared" si="7"/>
        <v>0</v>
      </c>
      <c r="AB105" s="43"/>
      <c r="AC105" s="43"/>
      <c r="AD105" s="43"/>
      <c r="AE105" s="43"/>
      <c r="AF105" s="43"/>
      <c r="AG105" s="43"/>
      <c r="AH105" s="43"/>
      <c r="AI105" s="43"/>
    </row>
    <row r="106" spans="1:35" ht="15.75">
      <c r="A106" s="88">
        <v>6151</v>
      </c>
      <c r="B106" s="1045" t="s">
        <v>2165</v>
      </c>
      <c r="C106" s="1033"/>
      <c r="D106" s="1033"/>
      <c r="E106" s="1033"/>
      <c r="F106" s="1033"/>
      <c r="G106" s="1033"/>
      <c r="H106" s="1033"/>
      <c r="I106" s="1033"/>
      <c r="J106" s="1033"/>
      <c r="K106" s="1033"/>
      <c r="L106" s="90"/>
      <c r="M106" s="51" t="s">
        <v>265</v>
      </c>
      <c r="N106" s="113">
        <f t="shared" si="9"/>
        <v>6151</v>
      </c>
      <c r="O106" s="120">
        <v>0</v>
      </c>
      <c r="P106" s="888">
        <v>0</v>
      </c>
      <c r="Q106" s="51"/>
      <c r="R106" s="120">
        <v>0</v>
      </c>
      <c r="S106" s="888">
        <v>0</v>
      </c>
      <c r="T106" s="51"/>
      <c r="U106" s="120">
        <v>0</v>
      </c>
      <c r="V106" s="888">
        <v>0</v>
      </c>
      <c r="W106" s="51"/>
      <c r="X106" s="351">
        <f t="shared" si="8"/>
        <v>0</v>
      </c>
      <c r="Y106" s="1609">
        <f t="shared" si="6"/>
        <v>0</v>
      </c>
      <c r="Z106" s="43"/>
      <c r="AA106" s="1621">
        <f t="shared" si="7"/>
        <v>0</v>
      </c>
      <c r="AB106" s="43"/>
      <c r="AC106" s="43"/>
      <c r="AD106" s="43"/>
      <c r="AE106" s="43"/>
      <c r="AF106" s="43"/>
      <c r="AG106" s="43"/>
      <c r="AH106" s="43"/>
      <c r="AI106" s="43"/>
    </row>
    <row r="107" spans="1:35" ht="15.75">
      <c r="A107" s="88">
        <v>6159</v>
      </c>
      <c r="B107" s="1045" t="s">
        <v>2166</v>
      </c>
      <c r="C107" s="1033"/>
      <c r="D107" s="1033"/>
      <c r="E107" s="1033"/>
      <c r="F107" s="1033"/>
      <c r="G107" s="1033"/>
      <c r="H107" s="1033"/>
      <c r="I107" s="1033"/>
      <c r="J107" s="1033"/>
      <c r="K107" s="1033"/>
      <c r="L107" s="90"/>
      <c r="M107" s="51" t="s">
        <v>265</v>
      </c>
      <c r="N107" s="113">
        <f t="shared" si="9"/>
        <v>6159</v>
      </c>
      <c r="O107" s="120">
        <v>0</v>
      </c>
      <c r="P107" s="888">
        <v>0</v>
      </c>
      <c r="Q107" s="51"/>
      <c r="R107" s="120">
        <v>0</v>
      </c>
      <c r="S107" s="888">
        <v>0</v>
      </c>
      <c r="T107" s="51"/>
      <c r="U107" s="120">
        <v>0</v>
      </c>
      <c r="V107" s="888">
        <v>0</v>
      </c>
      <c r="W107" s="51"/>
      <c r="X107" s="351">
        <f t="shared" si="8"/>
        <v>0</v>
      </c>
      <c r="Y107" s="1609">
        <f t="shared" si="6"/>
        <v>0</v>
      </c>
      <c r="Z107" s="43"/>
      <c r="AA107" s="1621">
        <f t="shared" si="7"/>
        <v>0</v>
      </c>
      <c r="AB107" s="43"/>
      <c r="AC107" s="43"/>
      <c r="AD107" s="43"/>
      <c r="AE107" s="43"/>
      <c r="AF107" s="43"/>
      <c r="AG107" s="43"/>
      <c r="AH107" s="43"/>
      <c r="AI107" s="43"/>
    </row>
    <row r="108" spans="1:35" ht="15.75">
      <c r="A108" s="88">
        <v>6161</v>
      </c>
      <c r="B108" s="1045" t="s">
        <v>2167</v>
      </c>
      <c r="C108" s="1033"/>
      <c r="D108" s="1033"/>
      <c r="E108" s="1033"/>
      <c r="F108" s="1033"/>
      <c r="G108" s="1033"/>
      <c r="H108" s="1033"/>
      <c r="I108" s="1033"/>
      <c r="J108" s="1033"/>
      <c r="K108" s="1033"/>
      <c r="L108" s="90"/>
      <c r="M108" s="51" t="s">
        <v>265</v>
      </c>
      <c r="N108" s="113">
        <f t="shared" si="9"/>
        <v>6161</v>
      </c>
      <c r="O108" s="120">
        <v>0</v>
      </c>
      <c r="P108" s="888">
        <v>0</v>
      </c>
      <c r="Q108" s="51"/>
      <c r="R108" s="120">
        <v>0</v>
      </c>
      <c r="S108" s="888">
        <v>0</v>
      </c>
      <c r="T108" s="51"/>
      <c r="U108" s="120">
        <v>0</v>
      </c>
      <c r="V108" s="888">
        <v>0</v>
      </c>
      <c r="W108" s="51"/>
      <c r="X108" s="351">
        <f t="shared" si="8"/>
        <v>0</v>
      </c>
      <c r="Y108" s="1609">
        <f t="shared" si="6"/>
        <v>0</v>
      </c>
      <c r="Z108" s="43"/>
      <c r="AA108" s="1621">
        <f t="shared" si="7"/>
        <v>0</v>
      </c>
      <c r="AB108" s="43"/>
      <c r="AC108" s="43"/>
      <c r="AD108" s="43"/>
      <c r="AE108" s="43"/>
      <c r="AF108" s="43"/>
      <c r="AG108" s="43"/>
      <c r="AH108" s="43"/>
      <c r="AI108" s="43"/>
    </row>
    <row r="109" spans="1:35" ht="15.75">
      <c r="A109" s="88">
        <v>6162</v>
      </c>
      <c r="B109" s="1045" t="s">
        <v>2168</v>
      </c>
      <c r="C109" s="1033"/>
      <c r="D109" s="1033"/>
      <c r="E109" s="1033"/>
      <c r="F109" s="1033"/>
      <c r="G109" s="1033"/>
      <c r="H109" s="1033"/>
      <c r="I109" s="1033"/>
      <c r="J109" s="1033"/>
      <c r="K109" s="1033"/>
      <c r="L109" s="90"/>
      <c r="M109" s="51" t="s">
        <v>265</v>
      </c>
      <c r="N109" s="113">
        <f t="shared" si="9"/>
        <v>6162</v>
      </c>
      <c r="O109" s="120">
        <v>0</v>
      </c>
      <c r="P109" s="888">
        <v>0</v>
      </c>
      <c r="Q109" s="51"/>
      <c r="R109" s="120">
        <v>0</v>
      </c>
      <c r="S109" s="888">
        <v>0</v>
      </c>
      <c r="T109" s="51"/>
      <c r="U109" s="120">
        <v>0</v>
      </c>
      <c r="V109" s="888">
        <v>0</v>
      </c>
      <c r="W109" s="51"/>
      <c r="X109" s="351">
        <f t="shared" si="8"/>
        <v>0</v>
      </c>
      <c r="Y109" s="1609">
        <f t="shared" si="6"/>
        <v>0</v>
      </c>
      <c r="Z109" s="43"/>
      <c r="AA109" s="1621">
        <f t="shared" si="7"/>
        <v>0</v>
      </c>
      <c r="AB109" s="43"/>
      <c r="AC109" s="43"/>
      <c r="AD109" s="43"/>
      <c r="AE109" s="43"/>
      <c r="AF109" s="43"/>
      <c r="AG109" s="43"/>
      <c r="AH109" s="43"/>
      <c r="AI109" s="43"/>
    </row>
    <row r="110" spans="1:35" ht="15.75">
      <c r="A110" s="88">
        <v>6163</v>
      </c>
      <c r="B110" s="1045" t="s">
        <v>2169</v>
      </c>
      <c r="C110" s="1033"/>
      <c r="D110" s="1033"/>
      <c r="E110" s="1033"/>
      <c r="F110" s="1033"/>
      <c r="G110" s="1033"/>
      <c r="H110" s="1033"/>
      <c r="I110" s="1033"/>
      <c r="J110" s="1033"/>
      <c r="K110" s="1033"/>
      <c r="L110" s="90"/>
      <c r="M110" s="51" t="s">
        <v>265</v>
      </c>
      <c r="N110" s="113">
        <f t="shared" si="9"/>
        <v>6163</v>
      </c>
      <c r="O110" s="120">
        <v>0</v>
      </c>
      <c r="P110" s="888">
        <v>0</v>
      </c>
      <c r="Q110" s="51"/>
      <c r="R110" s="120">
        <v>0</v>
      </c>
      <c r="S110" s="888">
        <v>0</v>
      </c>
      <c r="T110" s="51"/>
      <c r="U110" s="120">
        <v>0</v>
      </c>
      <c r="V110" s="888">
        <v>0</v>
      </c>
      <c r="W110" s="51"/>
      <c r="X110" s="351">
        <f t="shared" si="8"/>
        <v>0</v>
      </c>
      <c r="Y110" s="1609">
        <f t="shared" si="6"/>
        <v>0</v>
      </c>
      <c r="Z110" s="43"/>
      <c r="AA110" s="1621">
        <f t="shared" si="7"/>
        <v>0</v>
      </c>
      <c r="AB110" s="43"/>
      <c r="AC110" s="43"/>
      <c r="AD110" s="43"/>
      <c r="AE110" s="43"/>
      <c r="AF110" s="43"/>
      <c r="AG110" s="43"/>
      <c r="AH110" s="43"/>
      <c r="AI110" s="43"/>
    </row>
    <row r="111" spans="1:35" ht="15.75">
      <c r="A111" s="88">
        <v>6201</v>
      </c>
      <c r="B111" s="1033" t="s">
        <v>432</v>
      </c>
      <c r="C111" s="1033"/>
      <c r="D111" s="1033"/>
      <c r="E111" s="1033"/>
      <c r="F111" s="1033"/>
      <c r="G111" s="1033"/>
      <c r="H111" s="1033"/>
      <c r="I111" s="1033"/>
      <c r="J111" s="1033"/>
      <c r="K111" s="1033"/>
      <c r="L111" s="90"/>
      <c r="M111" s="51" t="s">
        <v>265</v>
      </c>
      <c r="N111" s="113">
        <f t="shared" si="9"/>
        <v>6201</v>
      </c>
      <c r="O111" s="120">
        <v>0</v>
      </c>
      <c r="P111" s="888">
        <v>0</v>
      </c>
      <c r="Q111" s="51"/>
      <c r="R111" s="120">
        <v>0</v>
      </c>
      <c r="S111" s="888">
        <v>0</v>
      </c>
      <c r="T111" s="51"/>
      <c r="U111" s="120">
        <v>0</v>
      </c>
      <c r="V111" s="888">
        <v>0</v>
      </c>
      <c r="W111" s="51"/>
      <c r="X111" s="351">
        <f t="shared" si="8"/>
        <v>0</v>
      </c>
      <c r="Y111" s="1609">
        <f t="shared" si="6"/>
        <v>0</v>
      </c>
      <c r="Z111" s="43"/>
      <c r="AA111" s="1621">
        <f t="shared" si="7"/>
        <v>0</v>
      </c>
      <c r="AB111" s="43"/>
      <c r="AC111" s="43"/>
      <c r="AD111" s="43"/>
      <c r="AE111" s="43"/>
      <c r="AF111" s="43"/>
      <c r="AG111" s="43"/>
      <c r="AH111" s="43"/>
      <c r="AI111" s="43"/>
    </row>
    <row r="112" spans="1:35" ht="15.75">
      <c r="A112" s="88">
        <v>6202</v>
      </c>
      <c r="B112" s="1033" t="s">
        <v>499</v>
      </c>
      <c r="C112" s="1033"/>
      <c r="D112" s="1033"/>
      <c r="E112" s="1033"/>
      <c r="F112" s="1033"/>
      <c r="G112" s="1033"/>
      <c r="H112" s="1033"/>
      <c r="I112" s="1033"/>
      <c r="J112" s="1033"/>
      <c r="K112" s="1033"/>
      <c r="L112" s="90"/>
      <c r="M112" s="51" t="s">
        <v>265</v>
      </c>
      <c r="N112" s="113">
        <f t="shared" si="9"/>
        <v>6202</v>
      </c>
      <c r="O112" s="120">
        <v>0</v>
      </c>
      <c r="P112" s="888">
        <v>0</v>
      </c>
      <c r="Q112" s="51"/>
      <c r="R112" s="120">
        <v>0</v>
      </c>
      <c r="S112" s="888">
        <v>0</v>
      </c>
      <c r="T112" s="51"/>
      <c r="U112" s="120">
        <v>0</v>
      </c>
      <c r="V112" s="888">
        <v>0</v>
      </c>
      <c r="W112" s="51"/>
      <c r="X112" s="351">
        <f t="shared" si="8"/>
        <v>0</v>
      </c>
      <c r="Y112" s="1609">
        <f t="shared" si="6"/>
        <v>0</v>
      </c>
      <c r="Z112" s="43"/>
      <c r="AA112" s="1621">
        <f t="shared" si="7"/>
        <v>0</v>
      </c>
      <c r="AB112" s="43"/>
      <c r="AC112" s="43"/>
      <c r="AD112" s="43"/>
      <c r="AE112" s="43"/>
      <c r="AF112" s="43"/>
      <c r="AG112" s="43"/>
      <c r="AH112" s="43"/>
      <c r="AI112" s="43"/>
    </row>
    <row r="113" spans="1:35" ht="15.75">
      <c r="A113" s="88">
        <v>6203</v>
      </c>
      <c r="B113" s="1033" t="s">
        <v>500</v>
      </c>
      <c r="C113" s="1033"/>
      <c r="D113" s="1033"/>
      <c r="E113" s="1033"/>
      <c r="F113" s="1033"/>
      <c r="G113" s="1033"/>
      <c r="H113" s="1033"/>
      <c r="I113" s="1033"/>
      <c r="J113" s="1033"/>
      <c r="K113" s="1033"/>
      <c r="L113" s="90"/>
      <c r="M113" s="51" t="s">
        <v>265</v>
      </c>
      <c r="N113" s="113">
        <f t="shared" si="9"/>
        <v>6203</v>
      </c>
      <c r="O113" s="120">
        <v>1457.82</v>
      </c>
      <c r="P113" s="888">
        <v>0</v>
      </c>
      <c r="Q113" s="51"/>
      <c r="R113" s="120">
        <v>0</v>
      </c>
      <c r="S113" s="888">
        <v>0</v>
      </c>
      <c r="T113" s="51"/>
      <c r="U113" s="120">
        <v>0</v>
      </c>
      <c r="V113" s="888">
        <v>0</v>
      </c>
      <c r="W113" s="51"/>
      <c r="X113" s="351">
        <f t="shared" si="8"/>
        <v>1457.82</v>
      </c>
      <c r="Y113" s="1609">
        <f t="shared" ref="Y113:Y144" si="10">+ROUND(+P113+S113+V113,2)</f>
        <v>0</v>
      </c>
      <c r="Z113" s="43"/>
      <c r="AA113" s="1621">
        <f t="shared" si="7"/>
        <v>0</v>
      </c>
      <c r="AB113" s="43"/>
      <c r="AC113" s="43"/>
      <c r="AD113" s="43"/>
      <c r="AE113" s="43"/>
      <c r="AF113" s="43"/>
      <c r="AG113" s="43"/>
      <c r="AH113" s="43"/>
      <c r="AI113" s="43"/>
    </row>
    <row r="114" spans="1:35" ht="15.75">
      <c r="A114" s="88">
        <v>6209</v>
      </c>
      <c r="B114" s="1033" t="s">
        <v>501</v>
      </c>
      <c r="C114" s="1033"/>
      <c r="D114" s="1033"/>
      <c r="E114" s="1033"/>
      <c r="F114" s="1033"/>
      <c r="G114" s="1033"/>
      <c r="H114" s="1033"/>
      <c r="I114" s="1033"/>
      <c r="J114" s="1033"/>
      <c r="K114" s="1033"/>
      <c r="L114" s="90"/>
      <c r="M114" s="51" t="s">
        <v>265</v>
      </c>
      <c r="N114" s="113">
        <f t="shared" si="9"/>
        <v>6209</v>
      </c>
      <c r="O114" s="120">
        <v>0</v>
      </c>
      <c r="P114" s="888">
        <v>0</v>
      </c>
      <c r="Q114" s="51"/>
      <c r="R114" s="120">
        <v>0</v>
      </c>
      <c r="S114" s="888">
        <v>0</v>
      </c>
      <c r="T114" s="51"/>
      <c r="U114" s="120">
        <v>0</v>
      </c>
      <c r="V114" s="888">
        <v>0</v>
      </c>
      <c r="W114" s="51"/>
      <c r="X114" s="351">
        <f t="shared" ref="X114:X145" si="11">+ROUND(+O114+R114+U114,2)</f>
        <v>0</v>
      </c>
      <c r="Y114" s="1609">
        <f t="shared" si="10"/>
        <v>0</v>
      </c>
      <c r="Z114" s="43"/>
      <c r="AA114" s="1621">
        <f t="shared" si="7"/>
        <v>0</v>
      </c>
      <c r="AB114" s="43"/>
      <c r="AC114" s="43"/>
      <c r="AD114" s="43"/>
      <c r="AE114" s="43"/>
      <c r="AF114" s="43"/>
      <c r="AG114" s="43"/>
      <c r="AH114" s="43"/>
      <c r="AI114" s="43"/>
    </row>
    <row r="115" spans="1:35" ht="15.75">
      <c r="A115" s="88">
        <v>6211</v>
      </c>
      <c r="B115" s="1033" t="s">
        <v>502</v>
      </c>
      <c r="C115" s="1033"/>
      <c r="D115" s="1033"/>
      <c r="E115" s="1033"/>
      <c r="F115" s="1033"/>
      <c r="G115" s="1033"/>
      <c r="H115" s="1033"/>
      <c r="I115" s="1033"/>
      <c r="J115" s="1033"/>
      <c r="K115" s="1033"/>
      <c r="L115" s="90"/>
      <c r="M115" s="51" t="s">
        <v>265</v>
      </c>
      <c r="N115" s="113">
        <f t="shared" si="9"/>
        <v>6211</v>
      </c>
      <c r="O115" s="120">
        <v>0</v>
      </c>
      <c r="P115" s="888">
        <v>0</v>
      </c>
      <c r="Q115" s="51"/>
      <c r="R115" s="120">
        <v>0</v>
      </c>
      <c r="S115" s="888">
        <v>0</v>
      </c>
      <c r="T115" s="51"/>
      <c r="U115" s="120">
        <v>0</v>
      </c>
      <c r="V115" s="888">
        <v>0</v>
      </c>
      <c r="W115" s="51"/>
      <c r="X115" s="351">
        <f t="shared" si="11"/>
        <v>0</v>
      </c>
      <c r="Y115" s="1609">
        <f t="shared" si="10"/>
        <v>0</v>
      </c>
      <c r="Z115" s="43"/>
      <c r="AA115" s="1621">
        <f t="shared" si="7"/>
        <v>0</v>
      </c>
      <c r="AB115" s="43"/>
      <c r="AC115" s="43"/>
      <c r="AD115" s="43"/>
      <c r="AE115" s="43"/>
      <c r="AF115" s="43"/>
      <c r="AG115" s="43"/>
      <c r="AH115" s="43"/>
      <c r="AI115" s="43"/>
    </row>
    <row r="116" spans="1:35" ht="15.75">
      <c r="A116" s="88">
        <v>6218</v>
      </c>
      <c r="B116" s="1033" t="s">
        <v>503</v>
      </c>
      <c r="C116" s="1033"/>
      <c r="D116" s="1033"/>
      <c r="E116" s="1033"/>
      <c r="F116" s="1033"/>
      <c r="G116" s="1033"/>
      <c r="H116" s="1033"/>
      <c r="I116" s="1033"/>
      <c r="J116" s="1033"/>
      <c r="K116" s="1033"/>
      <c r="L116" s="90"/>
      <c r="M116" s="51" t="s">
        <v>265</v>
      </c>
      <c r="N116" s="113">
        <f>+A116</f>
        <v>6218</v>
      </c>
      <c r="O116" s="120">
        <v>0</v>
      </c>
      <c r="P116" s="888">
        <v>0</v>
      </c>
      <c r="Q116" s="51"/>
      <c r="R116" s="120">
        <v>0</v>
      </c>
      <c r="S116" s="888">
        <v>0</v>
      </c>
      <c r="T116" s="51"/>
      <c r="U116" s="120">
        <v>0</v>
      </c>
      <c r="V116" s="888">
        <v>0</v>
      </c>
      <c r="W116" s="51"/>
      <c r="X116" s="351">
        <f t="shared" si="11"/>
        <v>0</v>
      </c>
      <c r="Y116" s="1609">
        <f t="shared" si="10"/>
        <v>0</v>
      </c>
      <c r="Z116" s="43"/>
      <c r="AA116" s="1621">
        <f t="shared" si="7"/>
        <v>0</v>
      </c>
      <c r="AB116" s="43"/>
      <c r="AC116" s="43"/>
      <c r="AD116" s="43"/>
      <c r="AE116" s="43"/>
      <c r="AF116" s="43"/>
      <c r="AG116" s="43"/>
      <c r="AH116" s="43"/>
      <c r="AI116" s="43"/>
    </row>
    <row r="117" spans="1:35" ht="15.75">
      <c r="A117" s="88">
        <v>6221</v>
      </c>
      <c r="B117" s="1033" t="s">
        <v>504</v>
      </c>
      <c r="C117" s="1033"/>
      <c r="D117" s="1033"/>
      <c r="E117" s="1033"/>
      <c r="F117" s="1033"/>
      <c r="G117" s="1033"/>
      <c r="H117" s="1033"/>
      <c r="I117" s="1033"/>
      <c r="J117" s="1033"/>
      <c r="K117" s="1033"/>
      <c r="L117" s="90"/>
      <c r="M117" s="51" t="s">
        <v>265</v>
      </c>
      <c r="N117" s="113">
        <f t="shared" si="9"/>
        <v>6221</v>
      </c>
      <c r="O117" s="120">
        <v>0</v>
      </c>
      <c r="P117" s="888">
        <v>0</v>
      </c>
      <c r="Q117" s="51"/>
      <c r="R117" s="120">
        <v>0</v>
      </c>
      <c r="S117" s="888">
        <v>0</v>
      </c>
      <c r="T117" s="51"/>
      <c r="U117" s="120">
        <v>0</v>
      </c>
      <c r="V117" s="888">
        <v>0</v>
      </c>
      <c r="W117" s="51"/>
      <c r="X117" s="1613">
        <f t="shared" si="11"/>
        <v>0</v>
      </c>
      <c r="Y117" s="1614">
        <f t="shared" si="10"/>
        <v>0</v>
      </c>
      <c r="Z117" s="43"/>
      <c r="AA117" s="1621">
        <f t="shared" si="7"/>
        <v>0</v>
      </c>
      <c r="AB117" s="43"/>
      <c r="AC117" s="43"/>
      <c r="AD117" s="43"/>
      <c r="AE117" s="43"/>
      <c r="AF117" s="43"/>
      <c r="AG117" s="43"/>
      <c r="AH117" s="43"/>
      <c r="AI117" s="43"/>
    </row>
    <row r="118" spans="1:35" ht="15.75">
      <c r="A118" s="88">
        <v>6224</v>
      </c>
      <c r="B118" s="1033" t="s">
        <v>505</v>
      </c>
      <c r="C118" s="1033"/>
      <c r="D118" s="1033"/>
      <c r="E118" s="1033"/>
      <c r="F118" s="1033"/>
      <c r="G118" s="1033"/>
      <c r="H118" s="1033"/>
      <c r="I118" s="1033"/>
      <c r="J118" s="1033"/>
      <c r="K118" s="1033"/>
      <c r="L118" s="90"/>
      <c r="M118" s="51" t="s">
        <v>265</v>
      </c>
      <c r="N118" s="113">
        <f t="shared" si="9"/>
        <v>6224</v>
      </c>
      <c r="O118" s="120">
        <v>0</v>
      </c>
      <c r="P118" s="888">
        <v>0</v>
      </c>
      <c r="Q118" s="51"/>
      <c r="R118" s="120">
        <v>0</v>
      </c>
      <c r="S118" s="888">
        <v>0</v>
      </c>
      <c r="T118" s="51"/>
      <c r="U118" s="120">
        <v>0</v>
      </c>
      <c r="V118" s="888">
        <v>0</v>
      </c>
      <c r="W118" s="51"/>
      <c r="X118" s="1613">
        <f t="shared" si="11"/>
        <v>0</v>
      </c>
      <c r="Y118" s="1614">
        <f t="shared" si="10"/>
        <v>0</v>
      </c>
      <c r="Z118" s="43"/>
      <c r="AA118" s="1621">
        <f t="shared" si="7"/>
        <v>0</v>
      </c>
      <c r="AB118" s="43"/>
      <c r="AC118" s="43"/>
      <c r="AD118" s="43"/>
      <c r="AE118" s="43"/>
      <c r="AF118" s="43"/>
      <c r="AG118" s="43"/>
      <c r="AH118" s="43"/>
      <c r="AI118" s="43"/>
    </row>
    <row r="119" spans="1:35" ht="15.75">
      <c r="A119" s="88">
        <v>6225</v>
      </c>
      <c r="B119" s="1033" t="s">
        <v>506</v>
      </c>
      <c r="C119" s="1033"/>
      <c r="D119" s="1033"/>
      <c r="E119" s="1033"/>
      <c r="F119" s="1033"/>
      <c r="G119" s="1033"/>
      <c r="H119" s="1033"/>
      <c r="I119" s="1033"/>
      <c r="J119" s="1033"/>
      <c r="K119" s="1033"/>
      <c r="L119" s="90"/>
      <c r="M119" s="51" t="s">
        <v>265</v>
      </c>
      <c r="N119" s="113">
        <f t="shared" si="9"/>
        <v>6225</v>
      </c>
      <c r="O119" s="120">
        <v>0</v>
      </c>
      <c r="P119" s="888">
        <v>0</v>
      </c>
      <c r="Q119" s="51"/>
      <c r="R119" s="120">
        <v>0</v>
      </c>
      <c r="S119" s="888">
        <v>0</v>
      </c>
      <c r="T119" s="51"/>
      <c r="U119" s="120">
        <v>0</v>
      </c>
      <c r="V119" s="888">
        <v>0</v>
      </c>
      <c r="W119" s="51"/>
      <c r="X119" s="1613">
        <f t="shared" si="11"/>
        <v>0</v>
      </c>
      <c r="Y119" s="1614">
        <f t="shared" si="10"/>
        <v>0</v>
      </c>
      <c r="Z119" s="43"/>
      <c r="AA119" s="1621">
        <f t="shared" si="7"/>
        <v>0</v>
      </c>
      <c r="AB119" s="43"/>
      <c r="AC119" s="43"/>
      <c r="AD119" s="43"/>
      <c r="AE119" s="43"/>
      <c r="AF119" s="43"/>
      <c r="AG119" s="43"/>
      <c r="AH119" s="43"/>
      <c r="AI119" s="43"/>
    </row>
    <row r="120" spans="1:35" ht="15.75">
      <c r="A120" s="88">
        <v>6226</v>
      </c>
      <c r="B120" s="1033" t="s">
        <v>507</v>
      </c>
      <c r="C120" s="1033"/>
      <c r="D120" s="1033"/>
      <c r="E120" s="1033"/>
      <c r="F120" s="1033"/>
      <c r="G120" s="1033"/>
      <c r="H120" s="1033"/>
      <c r="I120" s="1033"/>
      <c r="J120" s="1033"/>
      <c r="K120" s="1033"/>
      <c r="L120" s="90"/>
      <c r="M120" s="51" t="s">
        <v>265</v>
      </c>
      <c r="N120" s="113">
        <f t="shared" si="9"/>
        <v>6226</v>
      </c>
      <c r="O120" s="120">
        <v>0</v>
      </c>
      <c r="P120" s="888">
        <v>0</v>
      </c>
      <c r="Q120" s="51"/>
      <c r="R120" s="120">
        <v>0</v>
      </c>
      <c r="S120" s="888">
        <v>0</v>
      </c>
      <c r="T120" s="51"/>
      <c r="U120" s="120">
        <v>0</v>
      </c>
      <c r="V120" s="888">
        <v>0</v>
      </c>
      <c r="W120" s="51"/>
      <c r="X120" s="1613">
        <f t="shared" si="11"/>
        <v>0</v>
      </c>
      <c r="Y120" s="1614">
        <f t="shared" si="10"/>
        <v>0</v>
      </c>
      <c r="Z120" s="43"/>
      <c r="AA120" s="1621">
        <f t="shared" si="7"/>
        <v>0</v>
      </c>
      <c r="AB120" s="43"/>
      <c r="AC120" s="43"/>
      <c r="AD120" s="43"/>
      <c r="AE120" s="43"/>
      <c r="AF120" s="43"/>
      <c r="AG120" s="43"/>
      <c r="AH120" s="43"/>
      <c r="AI120" s="43"/>
    </row>
    <row r="121" spans="1:35" ht="15.75">
      <c r="A121" s="88">
        <v>6227</v>
      </c>
      <c r="B121" s="1033" t="s">
        <v>508</v>
      </c>
      <c r="C121" s="1033"/>
      <c r="D121" s="1033"/>
      <c r="E121" s="1033"/>
      <c r="F121" s="1033"/>
      <c r="G121" s="1033"/>
      <c r="H121" s="1033"/>
      <c r="I121" s="1033"/>
      <c r="J121" s="1033"/>
      <c r="K121" s="1033"/>
      <c r="L121" s="90"/>
      <c r="M121" s="51" t="s">
        <v>265</v>
      </c>
      <c r="N121" s="113">
        <f t="shared" si="9"/>
        <v>6227</v>
      </c>
      <c r="O121" s="120">
        <v>0</v>
      </c>
      <c r="P121" s="888">
        <v>0</v>
      </c>
      <c r="Q121" s="51"/>
      <c r="R121" s="120">
        <v>0</v>
      </c>
      <c r="S121" s="888">
        <v>0</v>
      </c>
      <c r="T121" s="51"/>
      <c r="U121" s="120">
        <v>0</v>
      </c>
      <c r="V121" s="888">
        <v>0</v>
      </c>
      <c r="W121" s="51"/>
      <c r="X121" s="1613">
        <f t="shared" si="11"/>
        <v>0</v>
      </c>
      <c r="Y121" s="1614">
        <f t="shared" si="10"/>
        <v>0</v>
      </c>
      <c r="Z121" s="43"/>
      <c r="AA121" s="1621">
        <f t="shared" si="7"/>
        <v>0</v>
      </c>
      <c r="AB121" s="43"/>
      <c r="AC121" s="43"/>
      <c r="AD121" s="43"/>
      <c r="AE121" s="43"/>
      <c r="AF121" s="43"/>
      <c r="AG121" s="43"/>
      <c r="AH121" s="43"/>
      <c r="AI121" s="43"/>
    </row>
    <row r="122" spans="1:35" ht="15.75">
      <c r="A122" s="88">
        <v>6229</v>
      </c>
      <c r="B122" s="1033" t="s">
        <v>509</v>
      </c>
      <c r="C122" s="1033"/>
      <c r="D122" s="1033"/>
      <c r="E122" s="1033"/>
      <c r="F122" s="1033"/>
      <c r="G122" s="1033"/>
      <c r="H122" s="1033"/>
      <c r="I122" s="1033"/>
      <c r="J122" s="1033"/>
      <c r="K122" s="1033"/>
      <c r="L122" s="90"/>
      <c r="M122" s="51" t="s">
        <v>265</v>
      </c>
      <c r="N122" s="113">
        <f t="shared" si="9"/>
        <v>6229</v>
      </c>
      <c r="O122" s="120">
        <v>0</v>
      </c>
      <c r="P122" s="888">
        <v>0</v>
      </c>
      <c r="Q122" s="51"/>
      <c r="R122" s="120">
        <v>0</v>
      </c>
      <c r="S122" s="888">
        <v>0</v>
      </c>
      <c r="T122" s="51"/>
      <c r="U122" s="120">
        <v>0</v>
      </c>
      <c r="V122" s="888">
        <v>0</v>
      </c>
      <c r="W122" s="51"/>
      <c r="X122" s="1613">
        <f t="shared" si="11"/>
        <v>0</v>
      </c>
      <c r="Y122" s="1614">
        <f t="shared" si="10"/>
        <v>0</v>
      </c>
      <c r="Z122" s="43"/>
      <c r="AA122" s="1621">
        <f t="shared" si="7"/>
        <v>0</v>
      </c>
      <c r="AB122" s="43"/>
      <c r="AC122" s="43"/>
      <c r="AD122" s="43"/>
      <c r="AE122" s="43"/>
      <c r="AF122" s="43"/>
      <c r="AG122" s="43"/>
      <c r="AH122" s="43"/>
      <c r="AI122" s="43"/>
    </row>
    <row r="123" spans="1:35" ht="15.75">
      <c r="A123" s="88">
        <v>6231</v>
      </c>
      <c r="B123" s="1033" t="s">
        <v>510</v>
      </c>
      <c r="C123" s="1033"/>
      <c r="D123" s="1033"/>
      <c r="E123" s="1033"/>
      <c r="F123" s="1033"/>
      <c r="G123" s="1033"/>
      <c r="H123" s="1033"/>
      <c r="I123" s="1033"/>
      <c r="J123" s="1033"/>
      <c r="K123" s="1033"/>
      <c r="L123" s="90"/>
      <c r="M123" s="51" t="s">
        <v>265</v>
      </c>
      <c r="N123" s="113">
        <f t="shared" si="9"/>
        <v>6231</v>
      </c>
      <c r="O123" s="120">
        <v>0</v>
      </c>
      <c r="P123" s="888">
        <v>0</v>
      </c>
      <c r="Q123" s="51"/>
      <c r="R123" s="120">
        <v>0</v>
      </c>
      <c r="S123" s="888">
        <v>0</v>
      </c>
      <c r="T123" s="51"/>
      <c r="U123" s="120">
        <v>0</v>
      </c>
      <c r="V123" s="888">
        <v>0</v>
      </c>
      <c r="W123" s="51"/>
      <c r="X123" s="1613">
        <f t="shared" si="11"/>
        <v>0</v>
      </c>
      <c r="Y123" s="1614">
        <f t="shared" si="10"/>
        <v>0</v>
      </c>
      <c r="Z123" s="43"/>
      <c r="AA123" s="1621">
        <f t="shared" si="7"/>
        <v>0</v>
      </c>
      <c r="AB123" s="43"/>
      <c r="AC123" s="43"/>
      <c r="AD123" s="43"/>
      <c r="AE123" s="43"/>
      <c r="AF123" s="43"/>
      <c r="AG123" s="43"/>
      <c r="AH123" s="43"/>
      <c r="AI123" s="43"/>
    </row>
    <row r="124" spans="1:35" ht="15.75">
      <c r="A124" s="88">
        <v>6232</v>
      </c>
      <c r="B124" s="1033" t="s">
        <v>511</v>
      </c>
      <c r="C124" s="1033"/>
      <c r="D124" s="1033"/>
      <c r="E124" s="1033"/>
      <c r="F124" s="1033"/>
      <c r="G124" s="1033"/>
      <c r="H124" s="1033"/>
      <c r="I124" s="1033"/>
      <c r="J124" s="1033"/>
      <c r="K124" s="1033"/>
      <c r="L124" s="90"/>
      <c r="M124" s="51" t="s">
        <v>265</v>
      </c>
      <c r="N124" s="113">
        <f t="shared" si="9"/>
        <v>6232</v>
      </c>
      <c r="O124" s="120">
        <v>0</v>
      </c>
      <c r="P124" s="888">
        <v>0</v>
      </c>
      <c r="Q124" s="51"/>
      <c r="R124" s="120">
        <v>0</v>
      </c>
      <c r="S124" s="888">
        <v>0</v>
      </c>
      <c r="T124" s="51"/>
      <c r="U124" s="120">
        <v>0</v>
      </c>
      <c r="V124" s="888">
        <v>0</v>
      </c>
      <c r="W124" s="51"/>
      <c r="X124" s="1613">
        <f t="shared" si="11"/>
        <v>0</v>
      </c>
      <c r="Y124" s="1614">
        <f t="shared" si="10"/>
        <v>0</v>
      </c>
      <c r="Z124" s="43"/>
      <c r="AA124" s="1621">
        <f t="shared" si="7"/>
        <v>0</v>
      </c>
      <c r="AB124" s="43"/>
      <c r="AC124" s="43"/>
      <c r="AD124" s="43"/>
      <c r="AE124" s="43"/>
      <c r="AF124" s="43"/>
      <c r="AG124" s="43"/>
      <c r="AH124" s="43"/>
      <c r="AI124" s="43"/>
    </row>
    <row r="125" spans="1:35" ht="15.75">
      <c r="A125" s="88">
        <v>6241</v>
      </c>
      <c r="B125" s="1033" t="s">
        <v>512</v>
      </c>
      <c r="C125" s="1033"/>
      <c r="D125" s="1033"/>
      <c r="E125" s="1033"/>
      <c r="F125" s="1033"/>
      <c r="G125" s="1033"/>
      <c r="H125" s="1033"/>
      <c r="I125" s="1033"/>
      <c r="J125" s="1033"/>
      <c r="K125" s="1033"/>
      <c r="L125" s="90"/>
      <c r="M125" s="51" t="s">
        <v>265</v>
      </c>
      <c r="N125" s="113">
        <f t="shared" si="9"/>
        <v>6241</v>
      </c>
      <c r="O125" s="120">
        <v>0</v>
      </c>
      <c r="P125" s="888">
        <v>0</v>
      </c>
      <c r="Q125" s="51"/>
      <c r="R125" s="120">
        <v>0</v>
      </c>
      <c r="S125" s="888">
        <v>0</v>
      </c>
      <c r="T125" s="51"/>
      <c r="U125" s="120">
        <v>0</v>
      </c>
      <c r="V125" s="888">
        <v>0</v>
      </c>
      <c r="W125" s="51"/>
      <c r="X125" s="1613">
        <f t="shared" si="11"/>
        <v>0</v>
      </c>
      <c r="Y125" s="1614">
        <f t="shared" si="10"/>
        <v>0</v>
      </c>
      <c r="Z125" s="43"/>
      <c r="AA125" s="1621">
        <f t="shared" si="7"/>
        <v>0</v>
      </c>
      <c r="AB125" s="43"/>
      <c r="AC125" s="43"/>
      <c r="AD125" s="43"/>
      <c r="AE125" s="43"/>
      <c r="AF125" s="43"/>
      <c r="AG125" s="43"/>
      <c r="AH125" s="43"/>
      <c r="AI125" s="43"/>
    </row>
    <row r="126" spans="1:35" ht="15.75">
      <c r="A126" s="88">
        <v>6242</v>
      </c>
      <c r="B126" s="1033" t="s">
        <v>513</v>
      </c>
      <c r="C126" s="1033"/>
      <c r="D126" s="1033"/>
      <c r="E126" s="1033"/>
      <c r="F126" s="1033"/>
      <c r="G126" s="1033"/>
      <c r="H126" s="1033"/>
      <c r="I126" s="1033"/>
      <c r="J126" s="1033"/>
      <c r="K126" s="1033"/>
      <c r="L126" s="90"/>
      <c r="M126" s="51" t="s">
        <v>265</v>
      </c>
      <c r="N126" s="113">
        <f t="shared" si="9"/>
        <v>6242</v>
      </c>
      <c r="O126" s="120">
        <v>0</v>
      </c>
      <c r="P126" s="888">
        <v>0</v>
      </c>
      <c r="Q126" s="51"/>
      <c r="R126" s="120">
        <v>0</v>
      </c>
      <c r="S126" s="888">
        <v>0</v>
      </c>
      <c r="T126" s="51"/>
      <c r="U126" s="120">
        <v>0</v>
      </c>
      <c r="V126" s="888">
        <v>0</v>
      </c>
      <c r="W126" s="51"/>
      <c r="X126" s="1613">
        <f t="shared" si="11"/>
        <v>0</v>
      </c>
      <c r="Y126" s="1614">
        <f t="shared" si="10"/>
        <v>0</v>
      </c>
      <c r="Z126" s="43"/>
      <c r="AA126" s="1621">
        <f t="shared" si="7"/>
        <v>0</v>
      </c>
      <c r="AB126" s="43"/>
      <c r="AC126" s="43"/>
      <c r="AD126" s="43"/>
      <c r="AE126" s="43"/>
      <c r="AF126" s="43"/>
      <c r="AG126" s="43"/>
      <c r="AH126" s="43"/>
      <c r="AI126" s="43"/>
    </row>
    <row r="127" spans="1:35" ht="15.75">
      <c r="A127" s="88">
        <v>6270</v>
      </c>
      <c r="B127" s="1033" t="s">
        <v>514</v>
      </c>
      <c r="C127" s="1033"/>
      <c r="D127" s="1033"/>
      <c r="E127" s="1033"/>
      <c r="F127" s="1033"/>
      <c r="G127" s="1033"/>
      <c r="H127" s="1033"/>
      <c r="I127" s="1033"/>
      <c r="J127" s="1033"/>
      <c r="K127" s="1033"/>
      <c r="L127" s="90"/>
      <c r="M127" s="51" t="s">
        <v>265</v>
      </c>
      <c r="N127" s="113">
        <f>+A127</f>
        <v>6270</v>
      </c>
      <c r="O127" s="120">
        <v>0</v>
      </c>
      <c r="P127" s="888">
        <v>0</v>
      </c>
      <c r="Q127" s="51"/>
      <c r="R127" s="120">
        <v>0</v>
      </c>
      <c r="S127" s="888">
        <v>0</v>
      </c>
      <c r="T127" s="51"/>
      <c r="U127" s="120">
        <v>0</v>
      </c>
      <c r="V127" s="888">
        <v>0</v>
      </c>
      <c r="W127" s="51"/>
      <c r="X127" s="1613">
        <f t="shared" si="11"/>
        <v>0</v>
      </c>
      <c r="Y127" s="1614">
        <f t="shared" si="10"/>
        <v>0</v>
      </c>
      <c r="Z127" s="43"/>
      <c r="AA127" s="1621">
        <f t="shared" si="7"/>
        <v>0</v>
      </c>
      <c r="AB127" s="43"/>
      <c r="AC127" s="43"/>
      <c r="AD127" s="43"/>
      <c r="AE127" s="43"/>
      <c r="AF127" s="43"/>
      <c r="AG127" s="43"/>
      <c r="AH127" s="43"/>
      <c r="AI127" s="43"/>
    </row>
    <row r="128" spans="1:35" ht="15.75">
      <c r="A128" s="88">
        <v>6271</v>
      </c>
      <c r="B128" s="1033" t="s">
        <v>515</v>
      </c>
      <c r="C128" s="1033"/>
      <c r="D128" s="1033"/>
      <c r="E128" s="1033"/>
      <c r="F128" s="1033"/>
      <c r="G128" s="1033"/>
      <c r="H128" s="1033"/>
      <c r="I128" s="1033"/>
      <c r="J128" s="1033"/>
      <c r="K128" s="1033"/>
      <c r="L128" s="90"/>
      <c r="M128" s="51" t="s">
        <v>265</v>
      </c>
      <c r="N128" s="113">
        <f t="shared" si="9"/>
        <v>6271</v>
      </c>
      <c r="O128" s="120">
        <v>0</v>
      </c>
      <c r="P128" s="888">
        <v>0</v>
      </c>
      <c r="Q128" s="51"/>
      <c r="R128" s="120">
        <v>0</v>
      </c>
      <c r="S128" s="888">
        <v>0</v>
      </c>
      <c r="T128" s="51"/>
      <c r="U128" s="120">
        <v>0</v>
      </c>
      <c r="V128" s="888">
        <v>0</v>
      </c>
      <c r="W128" s="51"/>
      <c r="X128" s="1613">
        <f t="shared" si="11"/>
        <v>0</v>
      </c>
      <c r="Y128" s="1614">
        <f t="shared" si="10"/>
        <v>0</v>
      </c>
      <c r="Z128" s="43"/>
      <c r="AA128" s="1621">
        <f t="shared" si="7"/>
        <v>0</v>
      </c>
      <c r="AB128" s="43"/>
      <c r="AC128" s="43"/>
      <c r="AD128" s="43"/>
      <c r="AE128" s="43"/>
      <c r="AF128" s="43"/>
      <c r="AG128" s="43"/>
      <c r="AH128" s="43"/>
      <c r="AI128" s="43"/>
    </row>
    <row r="129" spans="1:35" ht="15.75">
      <c r="A129" s="88">
        <v>6272</v>
      </c>
      <c r="B129" s="1033" t="s">
        <v>516</v>
      </c>
      <c r="C129" s="1033"/>
      <c r="D129" s="1033"/>
      <c r="E129" s="1033"/>
      <c r="F129" s="1033"/>
      <c r="G129" s="1033"/>
      <c r="H129" s="1033"/>
      <c r="I129" s="1033"/>
      <c r="J129" s="1033"/>
      <c r="K129" s="1033"/>
      <c r="L129" s="90"/>
      <c r="M129" s="51" t="s">
        <v>265</v>
      </c>
      <c r="N129" s="113">
        <f t="shared" si="9"/>
        <v>6272</v>
      </c>
      <c r="O129" s="120">
        <v>0</v>
      </c>
      <c r="P129" s="888">
        <v>0</v>
      </c>
      <c r="Q129" s="51"/>
      <c r="R129" s="120">
        <v>0</v>
      </c>
      <c r="S129" s="888">
        <v>0</v>
      </c>
      <c r="T129" s="51"/>
      <c r="U129" s="120">
        <v>0</v>
      </c>
      <c r="V129" s="888">
        <v>0</v>
      </c>
      <c r="W129" s="51"/>
      <c r="X129" s="1613">
        <f t="shared" si="11"/>
        <v>0</v>
      </c>
      <c r="Y129" s="1614">
        <f t="shared" si="10"/>
        <v>0</v>
      </c>
      <c r="Z129" s="43"/>
      <c r="AA129" s="1621">
        <f t="shared" si="7"/>
        <v>0</v>
      </c>
      <c r="AB129" s="43"/>
      <c r="AC129" s="43"/>
      <c r="AD129" s="43"/>
      <c r="AE129" s="43"/>
      <c r="AF129" s="43"/>
      <c r="AG129" s="43"/>
      <c r="AH129" s="43"/>
      <c r="AI129" s="43"/>
    </row>
    <row r="130" spans="1:35" ht="15.75">
      <c r="A130" s="88">
        <v>6273</v>
      </c>
      <c r="B130" s="1033" t="s">
        <v>520</v>
      </c>
      <c r="C130" s="1033"/>
      <c r="D130" s="1033"/>
      <c r="E130" s="1033"/>
      <c r="F130" s="1033"/>
      <c r="G130" s="1033"/>
      <c r="H130" s="1033"/>
      <c r="I130" s="1033"/>
      <c r="J130" s="1033"/>
      <c r="K130" s="1033"/>
      <c r="L130" s="90"/>
      <c r="M130" s="51" t="s">
        <v>265</v>
      </c>
      <c r="N130" s="113">
        <f t="shared" si="9"/>
        <v>6273</v>
      </c>
      <c r="O130" s="120">
        <v>0</v>
      </c>
      <c r="P130" s="888">
        <v>0</v>
      </c>
      <c r="Q130" s="51"/>
      <c r="R130" s="120">
        <v>0</v>
      </c>
      <c r="S130" s="888">
        <v>0</v>
      </c>
      <c r="T130" s="51"/>
      <c r="U130" s="120">
        <v>0</v>
      </c>
      <c r="V130" s="888">
        <v>0</v>
      </c>
      <c r="W130" s="51"/>
      <c r="X130" s="1613">
        <f t="shared" si="11"/>
        <v>0</v>
      </c>
      <c r="Y130" s="1614">
        <f t="shared" si="10"/>
        <v>0</v>
      </c>
      <c r="Z130" s="43"/>
      <c r="AA130" s="1621">
        <f t="shared" si="7"/>
        <v>0</v>
      </c>
      <c r="AB130" s="43"/>
      <c r="AC130" s="43"/>
      <c r="AD130" s="43"/>
      <c r="AE130" s="43"/>
      <c r="AF130" s="43"/>
      <c r="AG130" s="43"/>
      <c r="AH130" s="43"/>
      <c r="AI130" s="43"/>
    </row>
    <row r="131" spans="1:35" ht="15.75">
      <c r="A131" s="88">
        <v>6274</v>
      </c>
      <c r="B131" s="1033" t="s">
        <v>521</v>
      </c>
      <c r="C131" s="1033"/>
      <c r="D131" s="1033"/>
      <c r="E131" s="1033"/>
      <c r="F131" s="1033"/>
      <c r="G131" s="1033"/>
      <c r="H131" s="1033"/>
      <c r="I131" s="1033"/>
      <c r="J131" s="1033"/>
      <c r="K131" s="1033"/>
      <c r="L131" s="90"/>
      <c r="M131" s="51" t="s">
        <v>265</v>
      </c>
      <c r="N131" s="113">
        <f t="shared" si="9"/>
        <v>6274</v>
      </c>
      <c r="O131" s="120">
        <v>0</v>
      </c>
      <c r="P131" s="888">
        <v>0</v>
      </c>
      <c r="Q131" s="51"/>
      <c r="R131" s="120">
        <v>0</v>
      </c>
      <c r="S131" s="888">
        <v>0</v>
      </c>
      <c r="T131" s="51"/>
      <c r="U131" s="120">
        <v>0</v>
      </c>
      <c r="V131" s="888">
        <v>0</v>
      </c>
      <c r="W131" s="51"/>
      <c r="X131" s="1613">
        <f t="shared" si="11"/>
        <v>0</v>
      </c>
      <c r="Y131" s="1614">
        <f t="shared" si="10"/>
        <v>0</v>
      </c>
      <c r="Z131" s="43"/>
      <c r="AA131" s="1621">
        <f t="shared" si="7"/>
        <v>0</v>
      </c>
      <c r="AB131" s="43"/>
      <c r="AC131" s="43"/>
      <c r="AD131" s="43"/>
      <c r="AE131" s="43"/>
      <c r="AF131" s="43"/>
      <c r="AG131" s="43"/>
      <c r="AH131" s="43"/>
      <c r="AI131" s="43"/>
    </row>
    <row r="132" spans="1:35" ht="15.75">
      <c r="A132" s="88">
        <v>6275</v>
      </c>
      <c r="B132" s="1033" t="s">
        <v>522</v>
      </c>
      <c r="C132" s="1033"/>
      <c r="D132" s="1033"/>
      <c r="E132" s="1033"/>
      <c r="F132" s="1033"/>
      <c r="G132" s="1033"/>
      <c r="H132" s="1033"/>
      <c r="I132" s="1033"/>
      <c r="J132" s="1033"/>
      <c r="K132" s="1033"/>
      <c r="L132" s="90"/>
      <c r="M132" s="51" t="s">
        <v>265</v>
      </c>
      <c r="N132" s="113">
        <f t="shared" si="9"/>
        <v>6275</v>
      </c>
      <c r="O132" s="120">
        <v>0</v>
      </c>
      <c r="P132" s="888">
        <v>0</v>
      </c>
      <c r="Q132" s="51"/>
      <c r="R132" s="120">
        <v>0</v>
      </c>
      <c r="S132" s="888">
        <v>0</v>
      </c>
      <c r="T132" s="51"/>
      <c r="U132" s="120">
        <v>0</v>
      </c>
      <c r="V132" s="888">
        <v>0</v>
      </c>
      <c r="W132" s="51"/>
      <c r="X132" s="1613">
        <f t="shared" si="11"/>
        <v>0</v>
      </c>
      <c r="Y132" s="1614">
        <f t="shared" si="10"/>
        <v>0</v>
      </c>
      <c r="Z132" s="43"/>
      <c r="AA132" s="1621">
        <f t="shared" si="7"/>
        <v>0</v>
      </c>
      <c r="AB132" s="43"/>
      <c r="AC132" s="43"/>
      <c r="AD132" s="43"/>
      <c r="AE132" s="43"/>
      <c r="AF132" s="43"/>
      <c r="AG132" s="43"/>
      <c r="AH132" s="43"/>
      <c r="AI132" s="43"/>
    </row>
    <row r="133" spans="1:35" ht="15.75">
      <c r="A133" s="88">
        <v>6276</v>
      </c>
      <c r="B133" s="1033" t="s">
        <v>523</v>
      </c>
      <c r="C133" s="1033"/>
      <c r="D133" s="1033"/>
      <c r="E133" s="1033"/>
      <c r="F133" s="1033"/>
      <c r="G133" s="1033"/>
      <c r="H133" s="1033"/>
      <c r="I133" s="1033"/>
      <c r="J133" s="1033"/>
      <c r="K133" s="1033"/>
      <c r="L133" s="90"/>
      <c r="M133" s="51" t="s">
        <v>265</v>
      </c>
      <c r="N133" s="113">
        <f t="shared" si="9"/>
        <v>6276</v>
      </c>
      <c r="O133" s="120">
        <v>0</v>
      </c>
      <c r="P133" s="888">
        <v>0</v>
      </c>
      <c r="Q133" s="51"/>
      <c r="R133" s="120">
        <v>0</v>
      </c>
      <c r="S133" s="888">
        <v>0</v>
      </c>
      <c r="T133" s="51"/>
      <c r="U133" s="120">
        <v>0</v>
      </c>
      <c r="V133" s="888">
        <v>0</v>
      </c>
      <c r="W133" s="51"/>
      <c r="X133" s="1613">
        <f t="shared" si="11"/>
        <v>0</v>
      </c>
      <c r="Y133" s="1614">
        <f t="shared" si="10"/>
        <v>0</v>
      </c>
      <c r="Z133" s="43"/>
      <c r="AA133" s="1621">
        <f t="shared" si="7"/>
        <v>0</v>
      </c>
      <c r="AB133" s="43"/>
      <c r="AC133" s="43"/>
      <c r="AD133" s="43"/>
      <c r="AE133" s="43"/>
      <c r="AF133" s="43"/>
      <c r="AG133" s="43"/>
      <c r="AH133" s="43"/>
      <c r="AI133" s="43"/>
    </row>
    <row r="134" spans="1:35" ht="15.75">
      <c r="A134" s="88">
        <v>6277</v>
      </c>
      <c r="B134" s="1033" t="s">
        <v>524</v>
      </c>
      <c r="C134" s="1033"/>
      <c r="D134" s="1033"/>
      <c r="E134" s="1033"/>
      <c r="F134" s="1033"/>
      <c r="G134" s="1033"/>
      <c r="H134" s="1033"/>
      <c r="I134" s="1033"/>
      <c r="J134" s="1033"/>
      <c r="K134" s="1033"/>
      <c r="L134" s="90"/>
      <c r="M134" s="51" t="s">
        <v>265</v>
      </c>
      <c r="N134" s="113">
        <f t="shared" si="9"/>
        <v>6277</v>
      </c>
      <c r="O134" s="120">
        <v>0</v>
      </c>
      <c r="P134" s="888">
        <v>0</v>
      </c>
      <c r="Q134" s="51"/>
      <c r="R134" s="120">
        <v>0</v>
      </c>
      <c r="S134" s="888">
        <v>0</v>
      </c>
      <c r="T134" s="51"/>
      <c r="U134" s="120">
        <v>0</v>
      </c>
      <c r="V134" s="888">
        <v>0</v>
      </c>
      <c r="W134" s="51"/>
      <c r="X134" s="1613">
        <f t="shared" si="11"/>
        <v>0</v>
      </c>
      <c r="Y134" s="1614">
        <f t="shared" si="10"/>
        <v>0</v>
      </c>
      <c r="Z134" s="43"/>
      <c r="AA134" s="1621">
        <f t="shared" si="7"/>
        <v>0</v>
      </c>
      <c r="AB134" s="43"/>
      <c r="AC134" s="43"/>
      <c r="AD134" s="43"/>
      <c r="AE134" s="43"/>
      <c r="AF134" s="43"/>
      <c r="AG134" s="43"/>
      <c r="AH134" s="43"/>
      <c r="AI134" s="43"/>
    </row>
    <row r="135" spans="1:35" ht="15.75">
      <c r="A135" s="88">
        <v>6278</v>
      </c>
      <c r="B135" s="1033" t="s">
        <v>578</v>
      </c>
      <c r="C135" s="1033"/>
      <c r="D135" s="1033"/>
      <c r="E135" s="1033"/>
      <c r="F135" s="1033"/>
      <c r="G135" s="1033"/>
      <c r="H135" s="1033"/>
      <c r="I135" s="1033"/>
      <c r="J135" s="1033"/>
      <c r="K135" s="1033"/>
      <c r="L135" s="90"/>
      <c r="M135" s="51" t="s">
        <v>265</v>
      </c>
      <c r="N135" s="113">
        <f t="shared" si="9"/>
        <v>6278</v>
      </c>
      <c r="O135" s="120">
        <v>0</v>
      </c>
      <c r="P135" s="888">
        <v>0</v>
      </c>
      <c r="Q135" s="51"/>
      <c r="R135" s="120">
        <v>0</v>
      </c>
      <c r="S135" s="888">
        <v>0</v>
      </c>
      <c r="T135" s="51"/>
      <c r="U135" s="120">
        <v>0</v>
      </c>
      <c r="V135" s="888">
        <v>0</v>
      </c>
      <c r="W135" s="51"/>
      <c r="X135" s="1613">
        <f t="shared" si="11"/>
        <v>0</v>
      </c>
      <c r="Y135" s="1614">
        <f t="shared" si="10"/>
        <v>0</v>
      </c>
      <c r="Z135" s="43"/>
      <c r="AA135" s="1621">
        <f t="shared" si="7"/>
        <v>0</v>
      </c>
      <c r="AB135" s="43"/>
      <c r="AC135" s="43"/>
      <c r="AD135" s="43"/>
      <c r="AE135" s="43"/>
      <c r="AF135" s="43"/>
      <c r="AG135" s="43"/>
      <c r="AH135" s="43"/>
      <c r="AI135" s="43"/>
    </row>
    <row r="136" spans="1:35" ht="15.75">
      <c r="A136" s="88">
        <v>6279</v>
      </c>
      <c r="B136" s="1033" t="s">
        <v>517</v>
      </c>
      <c r="C136" s="1033"/>
      <c r="D136" s="1033"/>
      <c r="E136" s="1033"/>
      <c r="F136" s="1033"/>
      <c r="G136" s="1033"/>
      <c r="H136" s="1033"/>
      <c r="I136" s="1033"/>
      <c r="J136" s="1033"/>
      <c r="K136" s="1033"/>
      <c r="L136" s="90"/>
      <c r="M136" s="51" t="s">
        <v>265</v>
      </c>
      <c r="N136" s="113">
        <f t="shared" si="9"/>
        <v>6279</v>
      </c>
      <c r="O136" s="120">
        <v>0</v>
      </c>
      <c r="P136" s="888">
        <v>0</v>
      </c>
      <c r="Q136" s="51"/>
      <c r="R136" s="120">
        <v>0</v>
      </c>
      <c r="S136" s="888">
        <v>0</v>
      </c>
      <c r="T136" s="51"/>
      <c r="U136" s="120">
        <v>0</v>
      </c>
      <c r="V136" s="888">
        <v>0</v>
      </c>
      <c r="W136" s="51"/>
      <c r="X136" s="1613">
        <f t="shared" si="11"/>
        <v>0</v>
      </c>
      <c r="Y136" s="1614">
        <f t="shared" si="10"/>
        <v>0</v>
      </c>
      <c r="Z136" s="43"/>
      <c r="AA136" s="1621">
        <f t="shared" si="7"/>
        <v>0</v>
      </c>
      <c r="AB136" s="43"/>
      <c r="AC136" s="43"/>
      <c r="AD136" s="43"/>
      <c r="AE136" s="43"/>
      <c r="AF136" s="43"/>
      <c r="AG136" s="43"/>
      <c r="AH136" s="43"/>
      <c r="AI136" s="43"/>
    </row>
    <row r="137" spans="1:35" ht="15.75">
      <c r="A137" s="88">
        <v>6281</v>
      </c>
      <c r="B137" s="1033" t="s">
        <v>560</v>
      </c>
      <c r="C137" s="1033"/>
      <c r="D137" s="1033"/>
      <c r="E137" s="1033"/>
      <c r="F137" s="1033"/>
      <c r="G137" s="1033"/>
      <c r="H137" s="1033"/>
      <c r="I137" s="1033"/>
      <c r="J137" s="1033"/>
      <c r="K137" s="1033"/>
      <c r="L137" s="90"/>
      <c r="M137" s="51" t="s">
        <v>265</v>
      </c>
      <c r="N137" s="113">
        <f t="shared" si="9"/>
        <v>6281</v>
      </c>
      <c r="O137" s="120">
        <v>0</v>
      </c>
      <c r="P137" s="888">
        <v>0</v>
      </c>
      <c r="Q137" s="51"/>
      <c r="R137" s="120">
        <v>0</v>
      </c>
      <c r="S137" s="888">
        <v>0</v>
      </c>
      <c r="T137" s="51"/>
      <c r="U137" s="120">
        <v>0</v>
      </c>
      <c r="V137" s="888">
        <v>0</v>
      </c>
      <c r="W137" s="51"/>
      <c r="X137" s="1613">
        <f t="shared" si="11"/>
        <v>0</v>
      </c>
      <c r="Y137" s="1614">
        <f t="shared" si="10"/>
        <v>0</v>
      </c>
      <c r="Z137" s="43"/>
      <c r="AA137" s="1621">
        <f t="shared" si="7"/>
        <v>0</v>
      </c>
      <c r="AB137" s="43"/>
      <c r="AC137" s="43"/>
      <c r="AD137" s="43"/>
      <c r="AE137" s="43"/>
      <c r="AF137" s="43"/>
      <c r="AG137" s="43"/>
      <c r="AH137" s="43"/>
      <c r="AI137" s="43"/>
    </row>
    <row r="138" spans="1:35" ht="15.75">
      <c r="A138" s="88">
        <v>6282</v>
      </c>
      <c r="B138" s="1033" t="s">
        <v>561</v>
      </c>
      <c r="C138" s="1033"/>
      <c r="D138" s="1033"/>
      <c r="E138" s="1033"/>
      <c r="F138" s="1033"/>
      <c r="G138" s="1033"/>
      <c r="H138" s="1033"/>
      <c r="I138" s="1033"/>
      <c r="J138" s="1033"/>
      <c r="K138" s="1033"/>
      <c r="L138" s="90"/>
      <c r="M138" s="51" t="s">
        <v>265</v>
      </c>
      <c r="N138" s="113">
        <f t="shared" si="9"/>
        <v>6282</v>
      </c>
      <c r="O138" s="120">
        <v>0</v>
      </c>
      <c r="P138" s="888">
        <v>0</v>
      </c>
      <c r="Q138" s="51"/>
      <c r="R138" s="120">
        <v>0</v>
      </c>
      <c r="S138" s="888">
        <v>0</v>
      </c>
      <c r="T138" s="51"/>
      <c r="U138" s="120">
        <v>0</v>
      </c>
      <c r="V138" s="888">
        <v>0</v>
      </c>
      <c r="W138" s="51"/>
      <c r="X138" s="1613">
        <f t="shared" si="11"/>
        <v>0</v>
      </c>
      <c r="Y138" s="1614">
        <f t="shared" si="10"/>
        <v>0</v>
      </c>
      <c r="Z138" s="43"/>
      <c r="AA138" s="1621">
        <f t="shared" si="7"/>
        <v>0</v>
      </c>
      <c r="AB138" s="43"/>
      <c r="AC138" s="43"/>
      <c r="AD138" s="43"/>
      <c r="AE138" s="43"/>
      <c r="AF138" s="43"/>
      <c r="AG138" s="43"/>
      <c r="AH138" s="43"/>
      <c r="AI138" s="43"/>
    </row>
    <row r="139" spans="1:35" ht="15.75">
      <c r="A139" s="88">
        <v>6291</v>
      </c>
      <c r="B139" s="1033" t="s">
        <v>562</v>
      </c>
      <c r="C139" s="1033"/>
      <c r="D139" s="1033"/>
      <c r="E139" s="1033"/>
      <c r="F139" s="1033"/>
      <c r="G139" s="1033"/>
      <c r="H139" s="1033"/>
      <c r="I139" s="1033"/>
      <c r="J139" s="1033"/>
      <c r="K139" s="1033"/>
      <c r="L139" s="90"/>
      <c r="M139" s="51" t="s">
        <v>265</v>
      </c>
      <c r="N139" s="113">
        <f t="shared" si="9"/>
        <v>6291</v>
      </c>
      <c r="O139" s="120">
        <v>0</v>
      </c>
      <c r="P139" s="888">
        <v>0</v>
      </c>
      <c r="Q139" s="51"/>
      <c r="R139" s="120">
        <v>0</v>
      </c>
      <c r="S139" s="888">
        <v>0</v>
      </c>
      <c r="T139" s="51"/>
      <c r="U139" s="120">
        <v>0</v>
      </c>
      <c r="V139" s="888">
        <v>0</v>
      </c>
      <c r="W139" s="51"/>
      <c r="X139" s="1613">
        <f t="shared" si="11"/>
        <v>0</v>
      </c>
      <c r="Y139" s="1614">
        <f t="shared" si="10"/>
        <v>0</v>
      </c>
      <c r="Z139" s="43"/>
      <c r="AA139" s="1621">
        <f t="shared" si="7"/>
        <v>0</v>
      </c>
      <c r="AB139" s="43"/>
      <c r="AC139" s="43"/>
      <c r="AD139" s="43"/>
      <c r="AE139" s="43"/>
      <c r="AF139" s="43"/>
      <c r="AG139" s="43"/>
      <c r="AH139" s="43"/>
      <c r="AI139" s="43"/>
    </row>
    <row r="140" spans="1:35" ht="15.75">
      <c r="A140" s="88">
        <v>6292</v>
      </c>
      <c r="B140" s="1033" t="s">
        <v>563</v>
      </c>
      <c r="C140" s="1033"/>
      <c r="D140" s="1033"/>
      <c r="E140" s="1033"/>
      <c r="F140" s="1033"/>
      <c r="G140" s="1033"/>
      <c r="H140" s="1033"/>
      <c r="I140" s="1033"/>
      <c r="J140" s="1033"/>
      <c r="K140" s="1033"/>
      <c r="L140" s="90"/>
      <c r="M140" s="51" t="s">
        <v>265</v>
      </c>
      <c r="N140" s="113">
        <f t="shared" si="9"/>
        <v>6292</v>
      </c>
      <c r="O140" s="120">
        <v>0</v>
      </c>
      <c r="P140" s="888">
        <v>0</v>
      </c>
      <c r="Q140" s="51"/>
      <c r="R140" s="120">
        <v>0</v>
      </c>
      <c r="S140" s="888">
        <v>0</v>
      </c>
      <c r="T140" s="51"/>
      <c r="U140" s="120">
        <v>0</v>
      </c>
      <c r="V140" s="888">
        <v>0</v>
      </c>
      <c r="W140" s="51"/>
      <c r="X140" s="1613">
        <f t="shared" si="11"/>
        <v>0</v>
      </c>
      <c r="Y140" s="1614">
        <f t="shared" si="10"/>
        <v>0</v>
      </c>
      <c r="Z140" s="43"/>
      <c r="AA140" s="1621">
        <f t="shared" si="7"/>
        <v>0</v>
      </c>
      <c r="AB140" s="43"/>
      <c r="AC140" s="43"/>
      <c r="AD140" s="43"/>
      <c r="AE140" s="43"/>
      <c r="AF140" s="43"/>
      <c r="AG140" s="43"/>
      <c r="AH140" s="43"/>
      <c r="AI140" s="43"/>
    </row>
    <row r="141" spans="1:35" ht="15.75">
      <c r="A141" s="88">
        <v>6298</v>
      </c>
      <c r="B141" s="1033" t="s">
        <v>579</v>
      </c>
      <c r="C141" s="1033"/>
      <c r="D141" s="1033"/>
      <c r="E141" s="1033"/>
      <c r="F141" s="1033"/>
      <c r="G141" s="1033"/>
      <c r="H141" s="1033"/>
      <c r="I141" s="1033"/>
      <c r="J141" s="1033"/>
      <c r="K141" s="1033"/>
      <c r="L141" s="90"/>
      <c r="M141" s="51" t="s">
        <v>265</v>
      </c>
      <c r="N141" s="113">
        <f>+A141</f>
        <v>6298</v>
      </c>
      <c r="O141" s="120">
        <v>0</v>
      </c>
      <c r="P141" s="888">
        <v>0</v>
      </c>
      <c r="Q141" s="51"/>
      <c r="R141" s="120">
        <v>0</v>
      </c>
      <c r="S141" s="888">
        <v>0</v>
      </c>
      <c r="T141" s="51"/>
      <c r="U141" s="120">
        <v>0</v>
      </c>
      <c r="V141" s="888">
        <v>0</v>
      </c>
      <c r="W141" s="51"/>
      <c r="X141" s="1613">
        <f t="shared" si="11"/>
        <v>0</v>
      </c>
      <c r="Y141" s="1614">
        <f t="shared" si="10"/>
        <v>0</v>
      </c>
      <c r="Z141" s="43"/>
      <c r="AA141" s="1621">
        <f t="shared" si="7"/>
        <v>0</v>
      </c>
      <c r="AB141" s="43"/>
      <c r="AC141" s="43"/>
      <c r="AD141" s="43"/>
      <c r="AE141" s="43"/>
      <c r="AF141" s="43"/>
      <c r="AG141" s="43"/>
      <c r="AH141" s="43"/>
      <c r="AI141" s="43"/>
    </row>
    <row r="142" spans="1:35" ht="15.75">
      <c r="A142" s="88">
        <v>6401</v>
      </c>
      <c r="B142" s="1033" t="s">
        <v>580</v>
      </c>
      <c r="C142" s="1033"/>
      <c r="D142" s="1033"/>
      <c r="E142" s="1033"/>
      <c r="F142" s="1033"/>
      <c r="G142" s="1033"/>
      <c r="H142" s="1033"/>
      <c r="I142" s="1033"/>
      <c r="J142" s="1033"/>
      <c r="K142" s="1033"/>
      <c r="L142" s="90"/>
      <c r="M142" s="51" t="s">
        <v>265</v>
      </c>
      <c r="N142" s="113">
        <f t="shared" si="9"/>
        <v>6401</v>
      </c>
      <c r="O142" s="120">
        <v>0</v>
      </c>
      <c r="P142" s="888">
        <v>0</v>
      </c>
      <c r="Q142" s="51"/>
      <c r="R142" s="120">
        <v>0</v>
      </c>
      <c r="S142" s="888">
        <v>0</v>
      </c>
      <c r="T142" s="51"/>
      <c r="U142" s="120">
        <v>0</v>
      </c>
      <c r="V142" s="888">
        <v>0</v>
      </c>
      <c r="W142" s="51"/>
      <c r="X142" s="1613">
        <f t="shared" si="11"/>
        <v>0</v>
      </c>
      <c r="Y142" s="1614">
        <f t="shared" si="10"/>
        <v>0</v>
      </c>
      <c r="Z142" s="43"/>
      <c r="AA142" s="1621">
        <f t="shared" si="7"/>
        <v>0</v>
      </c>
      <c r="AB142" s="43"/>
      <c r="AC142" s="43"/>
      <c r="AD142" s="43"/>
      <c r="AE142" s="43"/>
      <c r="AF142" s="43"/>
      <c r="AG142" s="43"/>
      <c r="AH142" s="43"/>
      <c r="AI142" s="43"/>
    </row>
    <row r="143" spans="1:35" ht="15.75">
      <c r="A143" s="88">
        <v>6402</v>
      </c>
      <c r="B143" s="1033" t="s">
        <v>581</v>
      </c>
      <c r="C143" s="1033"/>
      <c r="D143" s="1033"/>
      <c r="E143" s="1033"/>
      <c r="F143" s="1033"/>
      <c r="G143" s="1033"/>
      <c r="H143" s="1033"/>
      <c r="I143" s="1033"/>
      <c r="J143" s="1033"/>
      <c r="K143" s="1033"/>
      <c r="L143" s="90"/>
      <c r="M143" s="51" t="s">
        <v>265</v>
      </c>
      <c r="N143" s="113">
        <f t="shared" si="9"/>
        <v>6402</v>
      </c>
      <c r="O143" s="120">
        <v>0</v>
      </c>
      <c r="P143" s="888">
        <v>0</v>
      </c>
      <c r="Q143" s="51"/>
      <c r="R143" s="120">
        <v>0</v>
      </c>
      <c r="S143" s="888">
        <v>0</v>
      </c>
      <c r="T143" s="51"/>
      <c r="U143" s="120">
        <v>0</v>
      </c>
      <c r="V143" s="888">
        <v>0</v>
      </c>
      <c r="W143" s="51"/>
      <c r="X143" s="1613">
        <f t="shared" si="11"/>
        <v>0</v>
      </c>
      <c r="Y143" s="1614">
        <f t="shared" si="10"/>
        <v>0</v>
      </c>
      <c r="Z143" s="43"/>
      <c r="AA143" s="1621">
        <f t="shared" si="7"/>
        <v>0</v>
      </c>
      <c r="AB143" s="43"/>
      <c r="AC143" s="43"/>
      <c r="AD143" s="43"/>
      <c r="AE143" s="43"/>
      <c r="AF143" s="43"/>
      <c r="AG143" s="43"/>
      <c r="AH143" s="43"/>
      <c r="AI143" s="43"/>
    </row>
    <row r="144" spans="1:35" ht="15.75">
      <c r="A144" s="88">
        <v>6411</v>
      </c>
      <c r="B144" s="1033" t="s">
        <v>582</v>
      </c>
      <c r="C144" s="1033"/>
      <c r="D144" s="1033"/>
      <c r="E144" s="1033"/>
      <c r="F144" s="1033"/>
      <c r="G144" s="1033"/>
      <c r="H144" s="1033"/>
      <c r="I144" s="1033"/>
      <c r="J144" s="1033"/>
      <c r="K144" s="1033"/>
      <c r="L144" s="90"/>
      <c r="M144" s="51" t="s">
        <v>265</v>
      </c>
      <c r="N144" s="113">
        <f t="shared" si="9"/>
        <v>6411</v>
      </c>
      <c r="O144" s="120">
        <v>0</v>
      </c>
      <c r="P144" s="888">
        <v>0</v>
      </c>
      <c r="Q144" s="51"/>
      <c r="R144" s="120">
        <v>0</v>
      </c>
      <c r="S144" s="888">
        <v>0</v>
      </c>
      <c r="T144" s="51"/>
      <c r="U144" s="120">
        <v>0</v>
      </c>
      <c r="V144" s="888">
        <v>0</v>
      </c>
      <c r="W144" s="51"/>
      <c r="X144" s="1613">
        <f t="shared" si="11"/>
        <v>0</v>
      </c>
      <c r="Y144" s="1614">
        <f t="shared" si="10"/>
        <v>0</v>
      </c>
      <c r="Z144" s="43"/>
      <c r="AA144" s="1621">
        <f t="shared" si="7"/>
        <v>0</v>
      </c>
      <c r="AB144" s="43"/>
      <c r="AC144" s="43"/>
      <c r="AD144" s="43"/>
      <c r="AE144" s="43"/>
      <c r="AF144" s="43"/>
      <c r="AG144" s="43"/>
      <c r="AH144" s="43"/>
      <c r="AI144" s="43"/>
    </row>
    <row r="145" spans="1:35" ht="15.75">
      <c r="A145" s="88">
        <v>6412</v>
      </c>
      <c r="B145" s="1033" t="s">
        <v>583</v>
      </c>
      <c r="C145" s="1033"/>
      <c r="D145" s="1033"/>
      <c r="E145" s="1033"/>
      <c r="F145" s="1033"/>
      <c r="G145" s="1033"/>
      <c r="H145" s="1033"/>
      <c r="I145" s="1033"/>
      <c r="J145" s="1033"/>
      <c r="K145" s="1033"/>
      <c r="L145" s="90"/>
      <c r="M145" s="51" t="s">
        <v>265</v>
      </c>
      <c r="N145" s="113">
        <f t="shared" si="9"/>
        <v>6412</v>
      </c>
      <c r="O145" s="120">
        <v>0</v>
      </c>
      <c r="P145" s="888">
        <v>0</v>
      </c>
      <c r="Q145" s="51"/>
      <c r="R145" s="120">
        <v>0</v>
      </c>
      <c r="S145" s="888">
        <v>0</v>
      </c>
      <c r="T145" s="51"/>
      <c r="U145" s="120">
        <v>0</v>
      </c>
      <c r="V145" s="888">
        <v>0</v>
      </c>
      <c r="W145" s="51"/>
      <c r="X145" s="1613">
        <f t="shared" si="11"/>
        <v>0</v>
      </c>
      <c r="Y145" s="1614">
        <f t="shared" ref="Y145:Y176" si="12">+ROUND(+P145+S145+V145,2)</f>
        <v>0</v>
      </c>
      <c r="Z145" s="43"/>
      <c r="AA145" s="1621">
        <f t="shared" ref="AA145:AA208" si="13">+ROUND(+SUM(X145-Y145)-SUM(O145-P145)-SUM(R145-S145)-SUM(U145-V145),2)</f>
        <v>0</v>
      </c>
      <c r="AB145" s="43"/>
      <c r="AC145" s="43"/>
      <c r="AD145" s="43"/>
      <c r="AE145" s="43"/>
      <c r="AF145" s="43"/>
      <c r="AG145" s="43"/>
      <c r="AH145" s="43"/>
      <c r="AI145" s="43"/>
    </row>
    <row r="146" spans="1:35" ht="15.75">
      <c r="A146" s="88">
        <v>6421</v>
      </c>
      <c r="B146" s="378" t="s">
        <v>584</v>
      </c>
      <c r="C146" s="1033"/>
      <c r="D146" s="1033"/>
      <c r="E146" s="1033"/>
      <c r="F146" s="1033"/>
      <c r="G146" s="1033"/>
      <c r="H146" s="1033"/>
      <c r="I146" s="1033"/>
      <c r="J146" s="1033"/>
      <c r="K146" s="1033"/>
      <c r="L146" s="90"/>
      <c r="M146" s="51" t="s">
        <v>265</v>
      </c>
      <c r="N146" s="113">
        <f t="shared" si="9"/>
        <v>6421</v>
      </c>
      <c r="O146" s="120">
        <v>0</v>
      </c>
      <c r="P146" s="888">
        <v>0</v>
      </c>
      <c r="Q146" s="51"/>
      <c r="R146" s="120">
        <v>0</v>
      </c>
      <c r="S146" s="888">
        <v>0</v>
      </c>
      <c r="T146" s="51"/>
      <c r="U146" s="120">
        <v>0</v>
      </c>
      <c r="V146" s="888">
        <v>0</v>
      </c>
      <c r="W146" s="51"/>
      <c r="X146" s="1613">
        <f t="shared" ref="X146:X177" si="14">+ROUND(+O146+R146+U146,2)</f>
        <v>0</v>
      </c>
      <c r="Y146" s="1614">
        <f t="shared" si="12"/>
        <v>0</v>
      </c>
      <c r="Z146" s="43"/>
      <c r="AA146" s="1621">
        <f t="shared" si="13"/>
        <v>0</v>
      </c>
      <c r="AB146" s="43"/>
      <c r="AC146" s="43"/>
      <c r="AD146" s="43"/>
      <c r="AE146" s="43"/>
      <c r="AF146" s="43"/>
      <c r="AG146" s="43"/>
      <c r="AH146" s="43"/>
      <c r="AI146" s="43"/>
    </row>
    <row r="147" spans="1:35" ht="15.75">
      <c r="A147" s="88">
        <v>6422</v>
      </c>
      <c r="B147" s="378" t="s">
        <v>585</v>
      </c>
      <c r="C147" s="1033"/>
      <c r="D147" s="1033"/>
      <c r="E147" s="1033"/>
      <c r="F147" s="1033"/>
      <c r="G147" s="1033"/>
      <c r="H147" s="1033"/>
      <c r="I147" s="1033"/>
      <c r="J147" s="1033"/>
      <c r="K147" s="1033"/>
      <c r="L147" s="90"/>
      <c r="M147" s="51" t="s">
        <v>265</v>
      </c>
      <c r="N147" s="113">
        <f t="shared" si="9"/>
        <v>6422</v>
      </c>
      <c r="O147" s="120">
        <v>0</v>
      </c>
      <c r="P147" s="888">
        <v>0</v>
      </c>
      <c r="Q147" s="51"/>
      <c r="R147" s="120">
        <v>0</v>
      </c>
      <c r="S147" s="888">
        <v>0</v>
      </c>
      <c r="T147" s="51"/>
      <c r="U147" s="120">
        <v>0</v>
      </c>
      <c r="V147" s="888">
        <v>0</v>
      </c>
      <c r="W147" s="51"/>
      <c r="X147" s="1613">
        <f t="shared" si="14"/>
        <v>0</v>
      </c>
      <c r="Y147" s="1614">
        <f t="shared" si="12"/>
        <v>0</v>
      </c>
      <c r="Z147" s="43"/>
      <c r="AA147" s="1621">
        <f t="shared" si="13"/>
        <v>0</v>
      </c>
      <c r="AB147" s="43"/>
      <c r="AC147" s="43"/>
      <c r="AD147" s="43"/>
      <c r="AE147" s="43"/>
      <c r="AF147" s="43"/>
      <c r="AG147" s="43"/>
      <c r="AH147" s="43"/>
      <c r="AI147" s="43"/>
    </row>
    <row r="148" spans="1:35" ht="15.75">
      <c r="A148" s="88">
        <v>6423</v>
      </c>
      <c r="B148" s="378" t="s">
        <v>586</v>
      </c>
      <c r="C148" s="1033"/>
      <c r="D148" s="1033"/>
      <c r="E148" s="1033"/>
      <c r="F148" s="1033"/>
      <c r="G148" s="1033"/>
      <c r="H148" s="1033"/>
      <c r="I148" s="1033"/>
      <c r="J148" s="1033"/>
      <c r="K148" s="1033"/>
      <c r="L148" s="90"/>
      <c r="M148" s="51" t="s">
        <v>265</v>
      </c>
      <c r="N148" s="113">
        <f t="shared" si="9"/>
        <v>6423</v>
      </c>
      <c r="O148" s="120">
        <v>0</v>
      </c>
      <c r="P148" s="888">
        <v>0</v>
      </c>
      <c r="Q148" s="51"/>
      <c r="R148" s="120">
        <v>0</v>
      </c>
      <c r="S148" s="888">
        <v>0</v>
      </c>
      <c r="T148" s="51"/>
      <c r="U148" s="120">
        <v>0</v>
      </c>
      <c r="V148" s="888">
        <v>0</v>
      </c>
      <c r="W148" s="51"/>
      <c r="X148" s="1613">
        <f t="shared" si="14"/>
        <v>0</v>
      </c>
      <c r="Y148" s="1614">
        <f t="shared" si="12"/>
        <v>0</v>
      </c>
      <c r="Z148" s="43"/>
      <c r="AA148" s="1621">
        <f t="shared" si="13"/>
        <v>0</v>
      </c>
      <c r="AB148" s="43"/>
      <c r="AC148" s="43"/>
      <c r="AD148" s="43"/>
      <c r="AE148" s="43"/>
      <c r="AF148" s="43"/>
      <c r="AG148" s="43"/>
      <c r="AH148" s="43"/>
      <c r="AI148" s="43"/>
    </row>
    <row r="149" spans="1:35" ht="15.75">
      <c r="A149" s="88">
        <v>6424</v>
      </c>
      <c r="B149" s="378" t="s">
        <v>587</v>
      </c>
      <c r="C149" s="1033"/>
      <c r="D149" s="1033"/>
      <c r="E149" s="1033"/>
      <c r="F149" s="1033"/>
      <c r="G149" s="1033"/>
      <c r="H149" s="1033"/>
      <c r="I149" s="1033"/>
      <c r="J149" s="1033"/>
      <c r="K149" s="1033"/>
      <c r="L149" s="90"/>
      <c r="M149" s="51" t="s">
        <v>265</v>
      </c>
      <c r="N149" s="113">
        <f t="shared" si="9"/>
        <v>6424</v>
      </c>
      <c r="O149" s="120">
        <v>0</v>
      </c>
      <c r="P149" s="888">
        <v>0</v>
      </c>
      <c r="Q149" s="51"/>
      <c r="R149" s="120">
        <v>0</v>
      </c>
      <c r="S149" s="888">
        <v>0</v>
      </c>
      <c r="T149" s="51"/>
      <c r="U149" s="120">
        <v>0</v>
      </c>
      <c r="V149" s="888">
        <v>0</v>
      </c>
      <c r="W149" s="51"/>
      <c r="X149" s="1613">
        <f t="shared" si="14"/>
        <v>0</v>
      </c>
      <c r="Y149" s="1614">
        <f t="shared" si="12"/>
        <v>0</v>
      </c>
      <c r="Z149" s="43"/>
      <c r="AA149" s="1621">
        <f t="shared" si="13"/>
        <v>0</v>
      </c>
      <c r="AB149" s="43"/>
      <c r="AC149" s="43"/>
      <c r="AD149" s="43"/>
      <c r="AE149" s="43"/>
      <c r="AF149" s="43"/>
      <c r="AG149" s="43"/>
      <c r="AH149" s="43"/>
      <c r="AI149" s="43"/>
    </row>
    <row r="150" spans="1:35" ht="15.75">
      <c r="A150" s="88">
        <v>6425</v>
      </c>
      <c r="B150" s="378" t="s">
        <v>588</v>
      </c>
      <c r="C150" s="1033"/>
      <c r="D150" s="1033"/>
      <c r="E150" s="1033"/>
      <c r="F150" s="1033"/>
      <c r="G150" s="1033"/>
      <c r="H150" s="1033"/>
      <c r="I150" s="1033"/>
      <c r="J150" s="1033"/>
      <c r="K150" s="1033"/>
      <c r="L150" s="90"/>
      <c r="M150" s="51" t="s">
        <v>265</v>
      </c>
      <c r="N150" s="113">
        <f t="shared" si="9"/>
        <v>6425</v>
      </c>
      <c r="O150" s="120">
        <v>0</v>
      </c>
      <c r="P150" s="888">
        <v>0</v>
      </c>
      <c r="Q150" s="51"/>
      <c r="R150" s="120">
        <v>0</v>
      </c>
      <c r="S150" s="888">
        <v>0</v>
      </c>
      <c r="T150" s="51"/>
      <c r="U150" s="120">
        <v>0</v>
      </c>
      <c r="V150" s="888">
        <v>0</v>
      </c>
      <c r="W150" s="51"/>
      <c r="X150" s="1613">
        <f t="shared" si="14"/>
        <v>0</v>
      </c>
      <c r="Y150" s="1614">
        <f t="shared" si="12"/>
        <v>0</v>
      </c>
      <c r="Z150" s="43"/>
      <c r="AA150" s="1621">
        <f t="shared" si="13"/>
        <v>0</v>
      </c>
      <c r="AB150" s="43"/>
      <c r="AC150" s="43"/>
      <c r="AD150" s="43"/>
      <c r="AE150" s="43"/>
      <c r="AF150" s="43"/>
      <c r="AG150" s="43"/>
      <c r="AH150" s="43"/>
      <c r="AI150" s="43"/>
    </row>
    <row r="151" spans="1:35" ht="15.75">
      <c r="A151" s="88">
        <v>6426</v>
      </c>
      <c r="B151" s="378" t="s">
        <v>589</v>
      </c>
      <c r="C151" s="1033"/>
      <c r="D151" s="1033"/>
      <c r="E151" s="1033"/>
      <c r="F151" s="1033"/>
      <c r="G151" s="1033"/>
      <c r="H151" s="1033"/>
      <c r="I151" s="1033"/>
      <c r="J151" s="1033"/>
      <c r="K151" s="1033"/>
      <c r="L151" s="90"/>
      <c r="M151" s="51" t="s">
        <v>265</v>
      </c>
      <c r="N151" s="113">
        <f t="shared" si="9"/>
        <v>6426</v>
      </c>
      <c r="O151" s="120">
        <v>0</v>
      </c>
      <c r="P151" s="888">
        <v>0</v>
      </c>
      <c r="Q151" s="51"/>
      <c r="R151" s="120">
        <v>0</v>
      </c>
      <c r="S151" s="888">
        <v>0</v>
      </c>
      <c r="T151" s="51"/>
      <c r="U151" s="120">
        <v>0</v>
      </c>
      <c r="V151" s="888">
        <v>0</v>
      </c>
      <c r="W151" s="51"/>
      <c r="X151" s="1613">
        <f t="shared" si="14"/>
        <v>0</v>
      </c>
      <c r="Y151" s="1614">
        <f t="shared" si="12"/>
        <v>0</v>
      </c>
      <c r="Z151" s="43"/>
      <c r="AA151" s="1621">
        <f t="shared" si="13"/>
        <v>0</v>
      </c>
      <c r="AB151" s="43"/>
      <c r="AC151" s="43"/>
      <c r="AD151" s="43"/>
      <c r="AE151" s="43"/>
      <c r="AF151" s="43"/>
      <c r="AG151" s="43"/>
      <c r="AH151" s="43"/>
      <c r="AI151" s="43"/>
    </row>
    <row r="152" spans="1:35" ht="15.75">
      <c r="A152" s="88">
        <v>6427</v>
      </c>
      <c r="B152" s="378" t="s">
        <v>598</v>
      </c>
      <c r="C152" s="1033"/>
      <c r="D152" s="1033"/>
      <c r="E152" s="1033"/>
      <c r="F152" s="1033"/>
      <c r="G152" s="1033"/>
      <c r="H152" s="1033"/>
      <c r="I152" s="1033"/>
      <c r="J152" s="1033"/>
      <c r="K152" s="1033"/>
      <c r="L152" s="90"/>
      <c r="M152" s="51" t="s">
        <v>265</v>
      </c>
      <c r="N152" s="113">
        <f t="shared" si="9"/>
        <v>6427</v>
      </c>
      <c r="O152" s="120">
        <v>0</v>
      </c>
      <c r="P152" s="888">
        <v>0</v>
      </c>
      <c r="Q152" s="51"/>
      <c r="R152" s="120">
        <v>0</v>
      </c>
      <c r="S152" s="888">
        <v>0</v>
      </c>
      <c r="T152" s="51"/>
      <c r="U152" s="120">
        <v>0</v>
      </c>
      <c r="V152" s="888">
        <v>0</v>
      </c>
      <c r="W152" s="51"/>
      <c r="X152" s="1613">
        <f t="shared" si="14"/>
        <v>0</v>
      </c>
      <c r="Y152" s="1614">
        <f t="shared" si="12"/>
        <v>0</v>
      </c>
      <c r="Z152" s="43"/>
      <c r="AA152" s="1621">
        <f t="shared" si="13"/>
        <v>0</v>
      </c>
      <c r="AB152" s="43"/>
      <c r="AC152" s="43"/>
      <c r="AD152" s="43"/>
      <c r="AE152" s="43"/>
      <c r="AF152" s="43"/>
      <c r="AG152" s="43"/>
      <c r="AH152" s="43"/>
      <c r="AI152" s="43"/>
    </row>
    <row r="153" spans="1:35" ht="15.75">
      <c r="A153" s="88">
        <v>6428</v>
      </c>
      <c r="B153" s="378" t="s">
        <v>599</v>
      </c>
      <c r="C153" s="1033"/>
      <c r="D153" s="1033"/>
      <c r="E153" s="1033"/>
      <c r="F153" s="1033"/>
      <c r="G153" s="1033"/>
      <c r="H153" s="1033"/>
      <c r="I153" s="1033"/>
      <c r="J153" s="1033"/>
      <c r="K153" s="1033"/>
      <c r="L153" s="90"/>
      <c r="M153" s="51" t="s">
        <v>265</v>
      </c>
      <c r="N153" s="113">
        <f t="shared" si="9"/>
        <v>6428</v>
      </c>
      <c r="O153" s="120">
        <v>0</v>
      </c>
      <c r="P153" s="888">
        <v>0</v>
      </c>
      <c r="Q153" s="51"/>
      <c r="R153" s="120">
        <v>0</v>
      </c>
      <c r="S153" s="888">
        <v>0</v>
      </c>
      <c r="T153" s="51"/>
      <c r="U153" s="120">
        <v>0</v>
      </c>
      <c r="V153" s="888">
        <v>0</v>
      </c>
      <c r="W153" s="51"/>
      <c r="X153" s="1613">
        <f t="shared" si="14"/>
        <v>0</v>
      </c>
      <c r="Y153" s="1614">
        <f t="shared" si="12"/>
        <v>0</v>
      </c>
      <c r="Z153" s="43"/>
      <c r="AA153" s="1621">
        <f t="shared" si="13"/>
        <v>0</v>
      </c>
      <c r="AB153" s="43"/>
      <c r="AC153" s="43"/>
      <c r="AD153" s="43"/>
      <c r="AE153" s="43"/>
      <c r="AF153" s="43"/>
      <c r="AG153" s="43"/>
      <c r="AH153" s="43"/>
      <c r="AI153" s="43"/>
    </row>
    <row r="154" spans="1:35" ht="15.75">
      <c r="A154" s="88">
        <v>6430</v>
      </c>
      <c r="B154" s="1033" t="s">
        <v>899</v>
      </c>
      <c r="C154" s="1033"/>
      <c r="D154" s="1033"/>
      <c r="E154" s="1033"/>
      <c r="F154" s="1033"/>
      <c r="G154" s="1033"/>
      <c r="H154" s="1033"/>
      <c r="I154" s="1033"/>
      <c r="J154" s="1033"/>
      <c r="K154" s="1033"/>
      <c r="L154" s="90"/>
      <c r="M154" s="51" t="s">
        <v>265</v>
      </c>
      <c r="N154" s="113">
        <f t="shared" si="9"/>
        <v>6430</v>
      </c>
      <c r="O154" s="120">
        <v>0</v>
      </c>
      <c r="P154" s="888">
        <v>0</v>
      </c>
      <c r="Q154" s="51"/>
      <c r="R154" s="120">
        <v>0</v>
      </c>
      <c r="S154" s="888">
        <v>0</v>
      </c>
      <c r="T154" s="51"/>
      <c r="U154" s="120">
        <v>0</v>
      </c>
      <c r="V154" s="888">
        <v>0</v>
      </c>
      <c r="W154" s="51"/>
      <c r="X154" s="1613">
        <f t="shared" si="14"/>
        <v>0</v>
      </c>
      <c r="Y154" s="1614">
        <f t="shared" si="12"/>
        <v>0</v>
      </c>
      <c r="Z154" s="43"/>
      <c r="AA154" s="1621">
        <f t="shared" si="13"/>
        <v>0</v>
      </c>
      <c r="AB154" s="43"/>
      <c r="AC154" s="43"/>
      <c r="AD154" s="43"/>
      <c r="AE154" s="43"/>
      <c r="AF154" s="43"/>
      <c r="AG154" s="43"/>
      <c r="AH154" s="43"/>
      <c r="AI154" s="43"/>
    </row>
    <row r="155" spans="1:35" ht="15.75">
      <c r="A155" s="88">
        <v>6437</v>
      </c>
      <c r="B155" s="1033" t="s">
        <v>600</v>
      </c>
      <c r="C155" s="1033"/>
      <c r="D155" s="1033"/>
      <c r="E155" s="1033"/>
      <c r="F155" s="1033"/>
      <c r="G155" s="1033"/>
      <c r="H155" s="1033"/>
      <c r="I155" s="1033"/>
      <c r="J155" s="1033"/>
      <c r="K155" s="1033"/>
      <c r="L155" s="90"/>
      <c r="M155" s="51" t="s">
        <v>265</v>
      </c>
      <c r="N155" s="113">
        <f>+A155</f>
        <v>6437</v>
      </c>
      <c r="O155" s="120">
        <v>0</v>
      </c>
      <c r="P155" s="888">
        <v>0</v>
      </c>
      <c r="Q155" s="51"/>
      <c r="R155" s="120">
        <v>0</v>
      </c>
      <c r="S155" s="888">
        <v>0</v>
      </c>
      <c r="T155" s="51"/>
      <c r="U155" s="120">
        <v>0</v>
      </c>
      <c r="V155" s="888">
        <v>0</v>
      </c>
      <c r="W155" s="51"/>
      <c r="X155" s="1613">
        <f t="shared" si="14"/>
        <v>0</v>
      </c>
      <c r="Y155" s="1614">
        <f t="shared" si="12"/>
        <v>0</v>
      </c>
      <c r="Z155" s="43"/>
      <c r="AA155" s="1621">
        <f t="shared" si="13"/>
        <v>0</v>
      </c>
      <c r="AB155" s="43"/>
      <c r="AC155" s="43"/>
      <c r="AD155" s="43"/>
      <c r="AE155" s="43"/>
      <c r="AF155" s="43"/>
      <c r="AG155" s="43"/>
      <c r="AH155" s="43"/>
      <c r="AI155" s="43"/>
    </row>
    <row r="156" spans="1:35" ht="15.75">
      <c r="A156" s="88">
        <v>6438</v>
      </c>
      <c r="B156" s="1033" t="s">
        <v>601</v>
      </c>
      <c r="C156" s="1033"/>
      <c r="D156" s="1033"/>
      <c r="E156" s="1033"/>
      <c r="F156" s="1033"/>
      <c r="G156" s="1033"/>
      <c r="H156" s="1033"/>
      <c r="I156" s="1033"/>
      <c r="J156" s="1033"/>
      <c r="K156" s="1033"/>
      <c r="L156" s="90"/>
      <c r="M156" s="51" t="s">
        <v>265</v>
      </c>
      <c r="N156" s="113">
        <f>+A156</f>
        <v>6438</v>
      </c>
      <c r="O156" s="120">
        <v>0</v>
      </c>
      <c r="P156" s="888">
        <v>0</v>
      </c>
      <c r="Q156" s="51"/>
      <c r="R156" s="120">
        <v>0</v>
      </c>
      <c r="S156" s="888">
        <v>0</v>
      </c>
      <c r="T156" s="51"/>
      <c r="U156" s="120">
        <v>0</v>
      </c>
      <c r="V156" s="888">
        <v>0</v>
      </c>
      <c r="W156" s="51"/>
      <c r="X156" s="1613">
        <f t="shared" si="14"/>
        <v>0</v>
      </c>
      <c r="Y156" s="1614">
        <f t="shared" si="12"/>
        <v>0</v>
      </c>
      <c r="Z156" s="43"/>
      <c r="AA156" s="1621">
        <f t="shared" si="13"/>
        <v>0</v>
      </c>
      <c r="AB156" s="43"/>
      <c r="AC156" s="43"/>
      <c r="AD156" s="43"/>
      <c r="AE156" s="43"/>
      <c r="AF156" s="43"/>
      <c r="AG156" s="43"/>
      <c r="AH156" s="43"/>
      <c r="AI156" s="43"/>
    </row>
    <row r="157" spans="1:35" ht="15.75">
      <c r="A157" s="88">
        <v>6440</v>
      </c>
      <c r="B157" s="1033" t="s">
        <v>602</v>
      </c>
      <c r="C157" s="1033"/>
      <c r="D157" s="1033"/>
      <c r="E157" s="1033"/>
      <c r="F157" s="1033"/>
      <c r="G157" s="1033"/>
      <c r="H157" s="1033"/>
      <c r="I157" s="1033"/>
      <c r="J157" s="1033"/>
      <c r="K157" s="1033"/>
      <c r="L157" s="90"/>
      <c r="M157" s="51" t="s">
        <v>265</v>
      </c>
      <c r="N157" s="113">
        <f>+A157</f>
        <v>6440</v>
      </c>
      <c r="O157" s="120">
        <v>0</v>
      </c>
      <c r="P157" s="888">
        <v>0</v>
      </c>
      <c r="Q157" s="51"/>
      <c r="R157" s="120">
        <v>0</v>
      </c>
      <c r="S157" s="888">
        <v>0</v>
      </c>
      <c r="T157" s="51"/>
      <c r="U157" s="120">
        <v>0</v>
      </c>
      <c r="V157" s="888">
        <v>0</v>
      </c>
      <c r="W157" s="51"/>
      <c r="X157" s="1613">
        <f t="shared" si="14"/>
        <v>0</v>
      </c>
      <c r="Y157" s="1614">
        <f t="shared" si="12"/>
        <v>0</v>
      </c>
      <c r="Z157" s="43"/>
      <c r="AA157" s="1621">
        <f t="shared" si="13"/>
        <v>0</v>
      </c>
      <c r="AB157" s="43"/>
      <c r="AC157" s="43"/>
      <c r="AD157" s="43"/>
      <c r="AE157" s="43"/>
      <c r="AF157" s="43"/>
      <c r="AG157" s="43"/>
      <c r="AH157" s="43"/>
      <c r="AI157" s="43"/>
    </row>
    <row r="158" spans="1:35" ht="15.75">
      <c r="A158" s="606">
        <v>6441</v>
      </c>
      <c r="B158" s="378" t="s">
        <v>603</v>
      </c>
      <c r="C158" s="1033"/>
      <c r="D158" s="1033"/>
      <c r="E158" s="1033"/>
      <c r="F158" s="1033"/>
      <c r="G158" s="1033"/>
      <c r="H158" s="1033"/>
      <c r="I158" s="1033"/>
      <c r="J158" s="1033"/>
      <c r="K158" s="1033"/>
      <c r="L158" s="90"/>
      <c r="M158" s="51" t="s">
        <v>265</v>
      </c>
      <c r="N158" s="113">
        <f t="shared" si="9"/>
        <v>6441</v>
      </c>
      <c r="O158" s="120">
        <v>0</v>
      </c>
      <c r="P158" s="888">
        <v>0</v>
      </c>
      <c r="Q158" s="51"/>
      <c r="R158" s="120">
        <v>0</v>
      </c>
      <c r="S158" s="888">
        <v>0</v>
      </c>
      <c r="T158" s="51"/>
      <c r="U158" s="120">
        <v>0</v>
      </c>
      <c r="V158" s="888">
        <v>0</v>
      </c>
      <c r="W158" s="51"/>
      <c r="X158" s="1613">
        <f t="shared" si="14"/>
        <v>0</v>
      </c>
      <c r="Y158" s="1614">
        <f t="shared" si="12"/>
        <v>0</v>
      </c>
      <c r="Z158" s="43"/>
      <c r="AA158" s="1621">
        <f t="shared" si="13"/>
        <v>0</v>
      </c>
      <c r="AB158" s="43"/>
      <c r="AC158" s="43"/>
      <c r="AD158" s="43"/>
      <c r="AE158" s="43"/>
      <c r="AF158" s="43"/>
      <c r="AG158" s="43"/>
      <c r="AH158" s="43"/>
      <c r="AI158" s="43"/>
    </row>
    <row r="159" spans="1:35" ht="15.75">
      <c r="A159" s="606">
        <v>6442</v>
      </c>
      <c r="B159" s="378" t="s">
        <v>604</v>
      </c>
      <c r="C159" s="1033"/>
      <c r="D159" s="1033"/>
      <c r="E159" s="1033"/>
      <c r="F159" s="1033"/>
      <c r="G159" s="1033"/>
      <c r="H159" s="1033"/>
      <c r="I159" s="1033"/>
      <c r="J159" s="1033"/>
      <c r="K159" s="1033"/>
      <c r="L159" s="90"/>
      <c r="M159" s="51" t="s">
        <v>265</v>
      </c>
      <c r="N159" s="113">
        <f t="shared" si="9"/>
        <v>6442</v>
      </c>
      <c r="O159" s="120">
        <v>0</v>
      </c>
      <c r="P159" s="888">
        <v>0</v>
      </c>
      <c r="Q159" s="51"/>
      <c r="R159" s="120">
        <v>0</v>
      </c>
      <c r="S159" s="888">
        <v>0</v>
      </c>
      <c r="T159" s="51"/>
      <c r="U159" s="120">
        <v>0</v>
      </c>
      <c r="V159" s="888">
        <v>0</v>
      </c>
      <c r="W159" s="51"/>
      <c r="X159" s="1613">
        <f t="shared" si="14"/>
        <v>0</v>
      </c>
      <c r="Y159" s="1614">
        <f t="shared" si="12"/>
        <v>0</v>
      </c>
      <c r="Z159" s="43"/>
      <c r="AA159" s="1621">
        <f t="shared" si="13"/>
        <v>0</v>
      </c>
      <c r="AB159" s="43"/>
      <c r="AC159" s="43"/>
      <c r="AD159" s="43"/>
      <c r="AE159" s="43"/>
      <c r="AF159" s="43"/>
      <c r="AG159" s="43"/>
      <c r="AH159" s="43"/>
      <c r="AI159" s="43"/>
    </row>
    <row r="160" spans="1:35" ht="15.75">
      <c r="A160" s="606">
        <v>6443</v>
      </c>
      <c r="B160" s="378" t="s">
        <v>605</v>
      </c>
      <c r="C160" s="1033"/>
      <c r="D160" s="1033"/>
      <c r="E160" s="1033"/>
      <c r="F160" s="1033"/>
      <c r="G160" s="1033"/>
      <c r="H160" s="1033"/>
      <c r="I160" s="1033"/>
      <c r="J160" s="1033"/>
      <c r="K160" s="1033"/>
      <c r="L160" s="90"/>
      <c r="M160" s="51" t="s">
        <v>265</v>
      </c>
      <c r="N160" s="113">
        <f t="shared" si="9"/>
        <v>6443</v>
      </c>
      <c r="O160" s="120">
        <v>0</v>
      </c>
      <c r="P160" s="888">
        <v>0</v>
      </c>
      <c r="Q160" s="51"/>
      <c r="R160" s="120">
        <v>0</v>
      </c>
      <c r="S160" s="888">
        <v>0</v>
      </c>
      <c r="T160" s="51"/>
      <c r="U160" s="120">
        <v>0</v>
      </c>
      <c r="V160" s="888">
        <v>0</v>
      </c>
      <c r="W160" s="51"/>
      <c r="X160" s="1613">
        <f t="shared" si="14"/>
        <v>0</v>
      </c>
      <c r="Y160" s="1614">
        <f t="shared" si="12"/>
        <v>0</v>
      </c>
      <c r="Z160" s="43"/>
      <c r="AA160" s="1621">
        <f t="shared" si="13"/>
        <v>0</v>
      </c>
      <c r="AB160" s="43"/>
      <c r="AC160" s="43"/>
      <c r="AD160" s="43"/>
      <c r="AE160" s="43"/>
      <c r="AF160" s="43"/>
      <c r="AG160" s="43"/>
      <c r="AH160" s="43"/>
      <c r="AI160" s="43"/>
    </row>
    <row r="161" spans="1:35" ht="15.75">
      <c r="A161" s="606">
        <v>6444</v>
      </c>
      <c r="B161" s="378" t="s">
        <v>606</v>
      </c>
      <c r="C161" s="1033"/>
      <c r="D161" s="1033"/>
      <c r="E161" s="1033"/>
      <c r="F161" s="1033"/>
      <c r="G161" s="1033"/>
      <c r="H161" s="1033"/>
      <c r="I161" s="1033"/>
      <c r="J161" s="1033"/>
      <c r="K161" s="1033"/>
      <c r="L161" s="90"/>
      <c r="M161" s="51" t="s">
        <v>265</v>
      </c>
      <c r="N161" s="113">
        <f t="shared" ref="N161:N226" si="15">+A161</f>
        <v>6444</v>
      </c>
      <c r="O161" s="120">
        <v>0</v>
      </c>
      <c r="P161" s="888">
        <v>0</v>
      </c>
      <c r="Q161" s="51"/>
      <c r="R161" s="120">
        <v>0</v>
      </c>
      <c r="S161" s="888">
        <v>0</v>
      </c>
      <c r="T161" s="51"/>
      <c r="U161" s="120">
        <v>0</v>
      </c>
      <c r="V161" s="888">
        <v>0</v>
      </c>
      <c r="W161" s="51"/>
      <c r="X161" s="1613">
        <f t="shared" si="14"/>
        <v>0</v>
      </c>
      <c r="Y161" s="1614">
        <f t="shared" si="12"/>
        <v>0</v>
      </c>
      <c r="Z161" s="43"/>
      <c r="AA161" s="1621">
        <f t="shared" si="13"/>
        <v>0</v>
      </c>
      <c r="AB161" s="43"/>
      <c r="AC161" s="43"/>
      <c r="AD161" s="43"/>
      <c r="AE161" s="43"/>
      <c r="AF161" s="43"/>
      <c r="AG161" s="43"/>
      <c r="AH161" s="43"/>
      <c r="AI161" s="43"/>
    </row>
    <row r="162" spans="1:35" ht="15.75">
      <c r="A162" s="606">
        <v>6445</v>
      </c>
      <c r="B162" s="378" t="s">
        <v>607</v>
      </c>
      <c r="C162" s="1033"/>
      <c r="D162" s="1033"/>
      <c r="E162" s="1033"/>
      <c r="F162" s="1033"/>
      <c r="G162" s="1033"/>
      <c r="H162" s="1033"/>
      <c r="I162" s="1033"/>
      <c r="J162" s="1033"/>
      <c r="K162" s="1033"/>
      <c r="L162" s="90"/>
      <c r="M162" s="51" t="s">
        <v>265</v>
      </c>
      <c r="N162" s="113">
        <f t="shared" si="15"/>
        <v>6445</v>
      </c>
      <c r="O162" s="120">
        <v>0</v>
      </c>
      <c r="P162" s="888">
        <v>0</v>
      </c>
      <c r="Q162" s="51"/>
      <c r="R162" s="120">
        <v>0</v>
      </c>
      <c r="S162" s="888">
        <v>0</v>
      </c>
      <c r="T162" s="51"/>
      <c r="U162" s="120">
        <v>0</v>
      </c>
      <c r="V162" s="888">
        <v>0</v>
      </c>
      <c r="W162" s="51"/>
      <c r="X162" s="1613">
        <f t="shared" si="14"/>
        <v>0</v>
      </c>
      <c r="Y162" s="1614">
        <f t="shared" si="12"/>
        <v>0</v>
      </c>
      <c r="Z162" s="43"/>
      <c r="AA162" s="1621">
        <f t="shared" si="13"/>
        <v>0</v>
      </c>
      <c r="AB162" s="43"/>
      <c r="AC162" s="43"/>
      <c r="AD162" s="43"/>
      <c r="AE162" s="43"/>
      <c r="AF162" s="43"/>
      <c r="AG162" s="43"/>
      <c r="AH162" s="43"/>
      <c r="AI162" s="43"/>
    </row>
    <row r="163" spans="1:35" ht="15.75">
      <c r="A163" s="606">
        <v>6446</v>
      </c>
      <c r="B163" s="378" t="s">
        <v>608</v>
      </c>
      <c r="C163" s="1033"/>
      <c r="D163" s="1033"/>
      <c r="E163" s="1033"/>
      <c r="F163" s="1033"/>
      <c r="G163" s="1033"/>
      <c r="H163" s="1033"/>
      <c r="I163" s="1033"/>
      <c r="J163" s="1033"/>
      <c r="K163" s="1033"/>
      <c r="L163" s="90"/>
      <c r="M163" s="51" t="s">
        <v>265</v>
      </c>
      <c r="N163" s="113">
        <f t="shared" si="15"/>
        <v>6446</v>
      </c>
      <c r="O163" s="120">
        <v>0</v>
      </c>
      <c r="P163" s="888">
        <v>0</v>
      </c>
      <c r="Q163" s="51"/>
      <c r="R163" s="120">
        <v>0</v>
      </c>
      <c r="S163" s="888">
        <v>0</v>
      </c>
      <c r="T163" s="51"/>
      <c r="U163" s="120">
        <v>0</v>
      </c>
      <c r="V163" s="888">
        <v>0</v>
      </c>
      <c r="W163" s="51"/>
      <c r="X163" s="1613">
        <f t="shared" si="14"/>
        <v>0</v>
      </c>
      <c r="Y163" s="1614">
        <f t="shared" si="12"/>
        <v>0</v>
      </c>
      <c r="Z163" s="43"/>
      <c r="AA163" s="1621">
        <f t="shared" si="13"/>
        <v>0</v>
      </c>
      <c r="AB163" s="43"/>
      <c r="AC163" s="43"/>
      <c r="AD163" s="43"/>
      <c r="AE163" s="43"/>
      <c r="AF163" s="43"/>
      <c r="AG163" s="43"/>
      <c r="AH163" s="43"/>
      <c r="AI163" s="43"/>
    </row>
    <row r="164" spans="1:35" ht="15.75">
      <c r="A164" s="606">
        <v>6447</v>
      </c>
      <c r="B164" s="378" t="s">
        <v>609</v>
      </c>
      <c r="C164" s="1033"/>
      <c r="D164" s="1033"/>
      <c r="E164" s="1033"/>
      <c r="F164" s="1033"/>
      <c r="G164" s="1033"/>
      <c r="H164" s="1033"/>
      <c r="I164" s="1033"/>
      <c r="J164" s="1033"/>
      <c r="K164" s="1033"/>
      <c r="L164" s="90"/>
      <c r="M164" s="51" t="s">
        <v>265</v>
      </c>
      <c r="N164" s="113">
        <f t="shared" si="15"/>
        <v>6447</v>
      </c>
      <c r="O164" s="120">
        <v>0</v>
      </c>
      <c r="P164" s="888">
        <v>0</v>
      </c>
      <c r="Q164" s="51"/>
      <c r="R164" s="120">
        <v>0</v>
      </c>
      <c r="S164" s="888">
        <v>0</v>
      </c>
      <c r="T164" s="51"/>
      <c r="U164" s="120">
        <v>0</v>
      </c>
      <c r="V164" s="888">
        <v>0</v>
      </c>
      <c r="W164" s="51"/>
      <c r="X164" s="1613">
        <f t="shared" si="14"/>
        <v>0</v>
      </c>
      <c r="Y164" s="1614">
        <f t="shared" si="12"/>
        <v>0</v>
      </c>
      <c r="Z164" s="43"/>
      <c r="AA164" s="1621">
        <f t="shared" si="13"/>
        <v>0</v>
      </c>
      <c r="AB164" s="43"/>
      <c r="AC164" s="43"/>
      <c r="AD164" s="43"/>
      <c r="AE164" s="43"/>
      <c r="AF164" s="43"/>
      <c r="AG164" s="43"/>
      <c r="AH164" s="43"/>
      <c r="AI164" s="43"/>
    </row>
    <row r="165" spans="1:35" ht="15.75">
      <c r="A165" s="606">
        <v>6448</v>
      </c>
      <c r="B165" s="378" t="s">
        <v>610</v>
      </c>
      <c r="C165" s="1033"/>
      <c r="D165" s="1033"/>
      <c r="E165" s="1033"/>
      <c r="F165" s="1033"/>
      <c r="G165" s="1033"/>
      <c r="H165" s="1033"/>
      <c r="I165" s="1033"/>
      <c r="J165" s="1033"/>
      <c r="K165" s="1033"/>
      <c r="L165" s="90"/>
      <c r="M165" s="51" t="s">
        <v>265</v>
      </c>
      <c r="N165" s="113">
        <f t="shared" si="15"/>
        <v>6448</v>
      </c>
      <c r="O165" s="120">
        <v>0</v>
      </c>
      <c r="P165" s="888">
        <v>0</v>
      </c>
      <c r="Q165" s="51"/>
      <c r="R165" s="120">
        <v>0</v>
      </c>
      <c r="S165" s="888">
        <v>0</v>
      </c>
      <c r="T165" s="51"/>
      <c r="U165" s="120">
        <v>0</v>
      </c>
      <c r="V165" s="888">
        <v>0</v>
      </c>
      <c r="W165" s="51"/>
      <c r="X165" s="1613">
        <f t="shared" si="14"/>
        <v>0</v>
      </c>
      <c r="Y165" s="1614">
        <f t="shared" si="12"/>
        <v>0</v>
      </c>
      <c r="Z165" s="43"/>
      <c r="AA165" s="1621">
        <f t="shared" si="13"/>
        <v>0</v>
      </c>
      <c r="AB165" s="43"/>
      <c r="AC165" s="43"/>
      <c r="AD165" s="43"/>
      <c r="AE165" s="43"/>
      <c r="AF165" s="43"/>
      <c r="AG165" s="43"/>
      <c r="AH165" s="43"/>
      <c r="AI165" s="43"/>
    </row>
    <row r="166" spans="1:35" ht="15.75">
      <c r="A166" s="606">
        <v>6449</v>
      </c>
      <c r="B166" s="378" t="s">
        <v>525</v>
      </c>
      <c r="C166" s="1033"/>
      <c r="D166" s="1033"/>
      <c r="E166" s="1033"/>
      <c r="F166" s="1033"/>
      <c r="G166" s="1033"/>
      <c r="H166" s="1033"/>
      <c r="I166" s="1033"/>
      <c r="J166" s="1033"/>
      <c r="K166" s="1033"/>
      <c r="L166" s="90"/>
      <c r="M166" s="51" t="s">
        <v>265</v>
      </c>
      <c r="N166" s="113">
        <f>+A166</f>
        <v>6449</v>
      </c>
      <c r="O166" s="120">
        <v>0</v>
      </c>
      <c r="P166" s="888">
        <v>0</v>
      </c>
      <c r="Q166" s="51"/>
      <c r="R166" s="120">
        <v>0</v>
      </c>
      <c r="S166" s="888">
        <v>0</v>
      </c>
      <c r="T166" s="51"/>
      <c r="U166" s="120">
        <v>0</v>
      </c>
      <c r="V166" s="888">
        <v>0</v>
      </c>
      <c r="W166" s="51"/>
      <c r="X166" s="1613">
        <f t="shared" si="14"/>
        <v>0</v>
      </c>
      <c r="Y166" s="1614">
        <f t="shared" si="12"/>
        <v>0</v>
      </c>
      <c r="Z166" s="43"/>
      <c r="AA166" s="1621">
        <f t="shared" si="13"/>
        <v>0</v>
      </c>
      <c r="AB166" s="43"/>
      <c r="AC166" s="43"/>
      <c r="AD166" s="43"/>
      <c r="AE166" s="43"/>
      <c r="AF166" s="43"/>
      <c r="AG166" s="43"/>
      <c r="AH166" s="43"/>
      <c r="AI166" s="43"/>
    </row>
    <row r="167" spans="1:35" ht="15.75">
      <c r="A167" s="88">
        <v>6451</v>
      </c>
      <c r="B167" s="378" t="s">
        <v>526</v>
      </c>
      <c r="C167" s="1033"/>
      <c r="D167" s="1033"/>
      <c r="E167" s="1033"/>
      <c r="F167" s="1033"/>
      <c r="G167" s="1033"/>
      <c r="H167" s="1033"/>
      <c r="I167" s="1033"/>
      <c r="J167" s="1033"/>
      <c r="K167" s="1033"/>
      <c r="L167" s="90"/>
      <c r="M167" s="51" t="s">
        <v>265</v>
      </c>
      <c r="N167" s="113">
        <f t="shared" si="15"/>
        <v>6451</v>
      </c>
      <c r="O167" s="120">
        <v>0</v>
      </c>
      <c r="P167" s="888">
        <v>0</v>
      </c>
      <c r="Q167" s="51"/>
      <c r="R167" s="120">
        <v>0</v>
      </c>
      <c r="S167" s="888">
        <v>0</v>
      </c>
      <c r="T167" s="51"/>
      <c r="U167" s="120">
        <v>0</v>
      </c>
      <c r="V167" s="888">
        <v>0</v>
      </c>
      <c r="W167" s="51"/>
      <c r="X167" s="1613">
        <f t="shared" si="14"/>
        <v>0</v>
      </c>
      <c r="Y167" s="1614">
        <f t="shared" si="12"/>
        <v>0</v>
      </c>
      <c r="Z167" s="43"/>
      <c r="AA167" s="1621">
        <f t="shared" si="13"/>
        <v>0</v>
      </c>
      <c r="AB167" s="43"/>
      <c r="AC167" s="43"/>
      <c r="AD167" s="43"/>
      <c r="AE167" s="43"/>
      <c r="AF167" s="43"/>
      <c r="AG167" s="43"/>
      <c r="AH167" s="43"/>
      <c r="AI167" s="43"/>
    </row>
    <row r="168" spans="1:35" ht="15.75">
      <c r="A168" s="88">
        <v>6453</v>
      </c>
      <c r="B168" s="1032" t="s">
        <v>527</v>
      </c>
      <c r="C168" s="1033"/>
      <c r="D168" s="1033"/>
      <c r="E168" s="1033"/>
      <c r="F168" s="1033"/>
      <c r="G168" s="1033"/>
      <c r="H168" s="1033"/>
      <c r="I168" s="1033"/>
      <c r="J168" s="1033"/>
      <c r="K168" s="1033"/>
      <c r="L168" s="90"/>
      <c r="M168" s="51" t="s">
        <v>265</v>
      </c>
      <c r="N168" s="113">
        <f t="shared" si="15"/>
        <v>6453</v>
      </c>
      <c r="O168" s="120">
        <v>0</v>
      </c>
      <c r="P168" s="888">
        <v>0</v>
      </c>
      <c r="Q168" s="51"/>
      <c r="R168" s="120">
        <v>0</v>
      </c>
      <c r="S168" s="888">
        <v>0</v>
      </c>
      <c r="T168" s="51"/>
      <c r="U168" s="120">
        <v>0</v>
      </c>
      <c r="V168" s="888">
        <v>0</v>
      </c>
      <c r="W168" s="51"/>
      <c r="X168" s="1613">
        <f t="shared" si="14"/>
        <v>0</v>
      </c>
      <c r="Y168" s="1614">
        <f t="shared" si="12"/>
        <v>0</v>
      </c>
      <c r="Z168" s="43"/>
      <c r="AA168" s="1621">
        <f t="shared" si="13"/>
        <v>0</v>
      </c>
      <c r="AB168" s="43"/>
      <c r="AC168" s="43"/>
      <c r="AD168" s="43"/>
      <c r="AE168" s="43"/>
      <c r="AF168" s="43"/>
      <c r="AG168" s="43"/>
      <c r="AH168" s="43"/>
      <c r="AI168" s="43"/>
    </row>
    <row r="169" spans="1:35" ht="15.75">
      <c r="A169" s="88">
        <v>6454</v>
      </c>
      <c r="B169" s="1032" t="s">
        <v>528</v>
      </c>
      <c r="C169" s="1033"/>
      <c r="D169" s="1033"/>
      <c r="E169" s="1033"/>
      <c r="F169" s="1033"/>
      <c r="G169" s="1033"/>
      <c r="H169" s="1033"/>
      <c r="I169" s="1033"/>
      <c r="J169" s="1033"/>
      <c r="K169" s="1033"/>
      <c r="L169" s="90"/>
      <c r="M169" s="51" t="s">
        <v>265</v>
      </c>
      <c r="N169" s="113">
        <f t="shared" si="15"/>
        <v>6454</v>
      </c>
      <c r="O169" s="120">
        <v>0</v>
      </c>
      <c r="P169" s="888">
        <v>0</v>
      </c>
      <c r="Q169" s="51"/>
      <c r="R169" s="120">
        <v>0</v>
      </c>
      <c r="S169" s="888">
        <v>0</v>
      </c>
      <c r="T169" s="51"/>
      <c r="U169" s="120">
        <v>0</v>
      </c>
      <c r="V169" s="888">
        <v>0</v>
      </c>
      <c r="W169" s="51"/>
      <c r="X169" s="1613">
        <f t="shared" si="14"/>
        <v>0</v>
      </c>
      <c r="Y169" s="1614">
        <f t="shared" si="12"/>
        <v>0</v>
      </c>
      <c r="Z169" s="43"/>
      <c r="AA169" s="1621">
        <f t="shared" si="13"/>
        <v>0</v>
      </c>
      <c r="AB169" s="43"/>
      <c r="AC169" s="43"/>
      <c r="AD169" s="43"/>
      <c r="AE169" s="43"/>
      <c r="AF169" s="43"/>
      <c r="AG169" s="43"/>
      <c r="AH169" s="43"/>
      <c r="AI169" s="43"/>
    </row>
    <row r="170" spans="1:35" ht="15.75">
      <c r="A170" s="88">
        <v>6455</v>
      </c>
      <c r="B170" s="1032" t="s">
        <v>529</v>
      </c>
      <c r="C170" s="1033"/>
      <c r="D170" s="1033"/>
      <c r="E170" s="1033"/>
      <c r="F170" s="1033"/>
      <c r="G170" s="1033"/>
      <c r="H170" s="1033"/>
      <c r="I170" s="1033"/>
      <c r="J170" s="1033"/>
      <c r="K170" s="1033"/>
      <c r="L170" s="90"/>
      <c r="M170" s="51" t="s">
        <v>265</v>
      </c>
      <c r="N170" s="113">
        <f t="shared" si="15"/>
        <v>6455</v>
      </c>
      <c r="O170" s="120">
        <v>0</v>
      </c>
      <c r="P170" s="888">
        <v>0</v>
      </c>
      <c r="Q170" s="51"/>
      <c r="R170" s="120">
        <v>0</v>
      </c>
      <c r="S170" s="888">
        <v>0</v>
      </c>
      <c r="T170" s="51"/>
      <c r="U170" s="120">
        <v>0</v>
      </c>
      <c r="V170" s="888">
        <v>0</v>
      </c>
      <c r="W170" s="51"/>
      <c r="X170" s="1613">
        <f t="shared" si="14"/>
        <v>0</v>
      </c>
      <c r="Y170" s="1614">
        <f t="shared" si="12"/>
        <v>0</v>
      </c>
      <c r="Z170" s="43"/>
      <c r="AA170" s="1621">
        <f t="shared" si="13"/>
        <v>0</v>
      </c>
      <c r="AB170" s="43"/>
      <c r="AC170" s="43"/>
      <c r="AD170" s="43"/>
      <c r="AE170" s="43"/>
      <c r="AF170" s="43"/>
      <c r="AG170" s="43"/>
      <c r="AH170" s="43"/>
      <c r="AI170" s="43"/>
    </row>
    <row r="171" spans="1:35" ht="15.75">
      <c r="A171" s="88">
        <v>6457</v>
      </c>
      <c r="B171" s="1032" t="s">
        <v>530</v>
      </c>
      <c r="C171" s="1033"/>
      <c r="D171" s="1033"/>
      <c r="E171" s="1033"/>
      <c r="F171" s="1033"/>
      <c r="G171" s="1033"/>
      <c r="H171" s="1033"/>
      <c r="I171" s="1033"/>
      <c r="J171" s="1033"/>
      <c r="K171" s="1033"/>
      <c r="L171" s="90"/>
      <c r="M171" s="51" t="s">
        <v>265</v>
      </c>
      <c r="N171" s="113">
        <f t="shared" si="15"/>
        <v>6457</v>
      </c>
      <c r="O171" s="120">
        <v>0</v>
      </c>
      <c r="P171" s="888">
        <v>0</v>
      </c>
      <c r="Q171" s="51"/>
      <c r="R171" s="120">
        <v>0</v>
      </c>
      <c r="S171" s="888">
        <v>0</v>
      </c>
      <c r="T171" s="51"/>
      <c r="U171" s="120">
        <v>0</v>
      </c>
      <c r="V171" s="888">
        <v>0</v>
      </c>
      <c r="W171" s="51"/>
      <c r="X171" s="1613">
        <f t="shared" si="14"/>
        <v>0</v>
      </c>
      <c r="Y171" s="1614">
        <f t="shared" si="12"/>
        <v>0</v>
      </c>
      <c r="Z171" s="43"/>
      <c r="AA171" s="1621">
        <f t="shared" si="13"/>
        <v>0</v>
      </c>
      <c r="AB171" s="43"/>
      <c r="AC171" s="43"/>
      <c r="AD171" s="43"/>
      <c r="AE171" s="43"/>
      <c r="AF171" s="43"/>
      <c r="AG171" s="43"/>
      <c r="AH171" s="43"/>
      <c r="AI171" s="43"/>
    </row>
    <row r="172" spans="1:35" ht="15.75">
      <c r="A172" s="88">
        <v>6458</v>
      </c>
      <c r="B172" s="1032" t="s">
        <v>531</v>
      </c>
      <c r="C172" s="1033"/>
      <c r="D172" s="1033"/>
      <c r="E172" s="1033"/>
      <c r="F172" s="1033"/>
      <c r="G172" s="1033"/>
      <c r="H172" s="1033"/>
      <c r="I172" s="1033"/>
      <c r="J172" s="1033"/>
      <c r="K172" s="1033"/>
      <c r="L172" s="90"/>
      <c r="M172" s="51" t="s">
        <v>265</v>
      </c>
      <c r="N172" s="113">
        <f t="shared" si="15"/>
        <v>6458</v>
      </c>
      <c r="O172" s="120">
        <v>0</v>
      </c>
      <c r="P172" s="888">
        <v>0</v>
      </c>
      <c r="Q172" s="51"/>
      <c r="R172" s="120">
        <v>0</v>
      </c>
      <c r="S172" s="888">
        <v>0</v>
      </c>
      <c r="T172" s="51"/>
      <c r="U172" s="120">
        <v>0</v>
      </c>
      <c r="V172" s="888">
        <v>0</v>
      </c>
      <c r="W172" s="51"/>
      <c r="X172" s="1613">
        <f t="shared" si="14"/>
        <v>0</v>
      </c>
      <c r="Y172" s="1614">
        <f t="shared" si="12"/>
        <v>0</v>
      </c>
      <c r="Z172" s="43"/>
      <c r="AA172" s="1621">
        <f t="shared" si="13"/>
        <v>0</v>
      </c>
      <c r="AB172" s="43"/>
      <c r="AC172" s="43"/>
      <c r="AD172" s="43"/>
      <c r="AE172" s="43"/>
      <c r="AF172" s="43"/>
      <c r="AG172" s="43"/>
      <c r="AH172" s="43"/>
      <c r="AI172" s="43"/>
    </row>
    <row r="173" spans="1:35" ht="15.75">
      <c r="A173" s="88">
        <v>6460</v>
      </c>
      <c r="B173" s="1032" t="s">
        <v>532</v>
      </c>
      <c r="C173" s="1033"/>
      <c r="D173" s="1033"/>
      <c r="E173" s="1033"/>
      <c r="F173" s="1033"/>
      <c r="G173" s="1033"/>
      <c r="H173" s="1033"/>
      <c r="I173" s="1033"/>
      <c r="J173" s="1033"/>
      <c r="K173" s="1033"/>
      <c r="L173" s="90"/>
      <c r="M173" s="51" t="s">
        <v>265</v>
      </c>
      <c r="N173" s="113">
        <f t="shared" si="15"/>
        <v>6460</v>
      </c>
      <c r="O173" s="120">
        <v>0</v>
      </c>
      <c r="P173" s="888">
        <v>0</v>
      </c>
      <c r="Q173" s="51"/>
      <c r="R173" s="120">
        <v>0</v>
      </c>
      <c r="S173" s="888">
        <v>0</v>
      </c>
      <c r="T173" s="51"/>
      <c r="U173" s="120">
        <v>0</v>
      </c>
      <c r="V173" s="888">
        <v>0</v>
      </c>
      <c r="W173" s="51"/>
      <c r="X173" s="1613">
        <f t="shared" si="14"/>
        <v>0</v>
      </c>
      <c r="Y173" s="1614">
        <f t="shared" si="12"/>
        <v>0</v>
      </c>
      <c r="Z173" s="43"/>
      <c r="AA173" s="1621">
        <f t="shared" si="13"/>
        <v>0</v>
      </c>
      <c r="AB173" s="43"/>
      <c r="AC173" s="43"/>
      <c r="AD173" s="43"/>
      <c r="AE173" s="43"/>
      <c r="AF173" s="43"/>
      <c r="AG173" s="43"/>
      <c r="AH173" s="43"/>
      <c r="AI173" s="43"/>
    </row>
    <row r="174" spans="1:35" ht="15.75">
      <c r="A174" s="88">
        <v>6461</v>
      </c>
      <c r="B174" s="1032" t="s">
        <v>533</v>
      </c>
      <c r="C174" s="1033"/>
      <c r="D174" s="1033"/>
      <c r="E174" s="1033"/>
      <c r="F174" s="1033"/>
      <c r="G174" s="1033"/>
      <c r="H174" s="1033"/>
      <c r="I174" s="1033"/>
      <c r="J174" s="1033"/>
      <c r="K174" s="1033"/>
      <c r="L174" s="90"/>
      <c r="M174" s="51" t="s">
        <v>265</v>
      </c>
      <c r="N174" s="113">
        <f t="shared" si="15"/>
        <v>6461</v>
      </c>
      <c r="O174" s="120">
        <v>0</v>
      </c>
      <c r="P174" s="888">
        <v>0</v>
      </c>
      <c r="Q174" s="51"/>
      <c r="R174" s="120">
        <v>0</v>
      </c>
      <c r="S174" s="888">
        <v>0</v>
      </c>
      <c r="T174" s="51"/>
      <c r="U174" s="120">
        <v>0</v>
      </c>
      <c r="V174" s="888">
        <v>0</v>
      </c>
      <c r="W174" s="51"/>
      <c r="X174" s="1613">
        <f t="shared" si="14"/>
        <v>0</v>
      </c>
      <c r="Y174" s="1614">
        <f t="shared" si="12"/>
        <v>0</v>
      </c>
      <c r="Z174" s="43"/>
      <c r="AA174" s="1621">
        <f t="shared" si="13"/>
        <v>0</v>
      </c>
      <c r="AB174" s="43"/>
      <c r="AC174" s="43"/>
      <c r="AD174" s="43"/>
      <c r="AE174" s="43"/>
      <c r="AF174" s="43"/>
      <c r="AG174" s="43"/>
      <c r="AH174" s="43"/>
      <c r="AI174" s="43"/>
    </row>
    <row r="175" spans="1:35" ht="15.75">
      <c r="A175" s="88">
        <v>6462</v>
      </c>
      <c r="B175" s="1032" t="s">
        <v>535</v>
      </c>
      <c r="C175" s="1033"/>
      <c r="D175" s="1033"/>
      <c r="E175" s="1033"/>
      <c r="F175" s="1033"/>
      <c r="G175" s="1033"/>
      <c r="H175" s="1033"/>
      <c r="I175" s="1033"/>
      <c r="J175" s="1033"/>
      <c r="K175" s="1033"/>
      <c r="L175" s="90"/>
      <c r="M175" s="51" t="s">
        <v>265</v>
      </c>
      <c r="N175" s="113">
        <f t="shared" si="15"/>
        <v>6462</v>
      </c>
      <c r="O175" s="120">
        <v>0</v>
      </c>
      <c r="P175" s="888">
        <v>0</v>
      </c>
      <c r="Q175" s="51"/>
      <c r="R175" s="120">
        <v>0</v>
      </c>
      <c r="S175" s="888">
        <v>0</v>
      </c>
      <c r="T175" s="51"/>
      <c r="U175" s="120">
        <v>0</v>
      </c>
      <c r="V175" s="888">
        <v>0</v>
      </c>
      <c r="W175" s="51"/>
      <c r="X175" s="1613">
        <f t="shared" si="14"/>
        <v>0</v>
      </c>
      <c r="Y175" s="1614">
        <f t="shared" si="12"/>
        <v>0</v>
      </c>
      <c r="Z175" s="43"/>
      <c r="AA175" s="1621">
        <f t="shared" si="13"/>
        <v>0</v>
      </c>
      <c r="AB175" s="43"/>
      <c r="AC175" s="43"/>
      <c r="AD175" s="43"/>
      <c r="AE175" s="43"/>
      <c r="AF175" s="43"/>
      <c r="AG175" s="43"/>
      <c r="AH175" s="43"/>
      <c r="AI175" s="43"/>
    </row>
    <row r="176" spans="1:35" ht="15.75">
      <c r="A176" s="88">
        <v>6463</v>
      </c>
      <c r="B176" s="1032" t="s">
        <v>536</v>
      </c>
      <c r="C176" s="1033"/>
      <c r="D176" s="1033"/>
      <c r="E176" s="1033"/>
      <c r="F176" s="1033"/>
      <c r="G176" s="1033"/>
      <c r="H176" s="1033"/>
      <c r="I176" s="1033"/>
      <c r="J176" s="1033"/>
      <c r="K176" s="1033"/>
      <c r="L176" s="90"/>
      <c r="M176" s="51" t="s">
        <v>265</v>
      </c>
      <c r="N176" s="113">
        <f t="shared" si="15"/>
        <v>6463</v>
      </c>
      <c r="O176" s="120">
        <v>0</v>
      </c>
      <c r="P176" s="888">
        <v>0</v>
      </c>
      <c r="Q176" s="51"/>
      <c r="R176" s="120">
        <v>0</v>
      </c>
      <c r="S176" s="888">
        <v>0</v>
      </c>
      <c r="T176" s="51"/>
      <c r="U176" s="120">
        <v>0</v>
      </c>
      <c r="V176" s="888">
        <v>0</v>
      </c>
      <c r="W176" s="51"/>
      <c r="X176" s="1613">
        <f t="shared" si="14"/>
        <v>0</v>
      </c>
      <c r="Y176" s="1614">
        <f t="shared" si="12"/>
        <v>0</v>
      </c>
      <c r="Z176" s="43"/>
      <c r="AA176" s="1621">
        <f t="shared" si="13"/>
        <v>0</v>
      </c>
      <c r="AB176" s="43"/>
      <c r="AC176" s="43"/>
      <c r="AD176" s="43"/>
      <c r="AE176" s="43"/>
      <c r="AF176" s="43"/>
      <c r="AG176" s="43"/>
      <c r="AH176" s="43"/>
      <c r="AI176" s="43"/>
    </row>
    <row r="177" spans="1:35" ht="15.75">
      <c r="A177" s="88">
        <v>6464</v>
      </c>
      <c r="B177" s="1032" t="s">
        <v>537</v>
      </c>
      <c r="C177" s="1033"/>
      <c r="D177" s="1033"/>
      <c r="E177" s="1033"/>
      <c r="F177" s="1033"/>
      <c r="G177" s="1033"/>
      <c r="H177" s="1033"/>
      <c r="I177" s="1033"/>
      <c r="J177" s="1033"/>
      <c r="K177" s="1033"/>
      <c r="L177" s="90"/>
      <c r="M177" s="51" t="s">
        <v>265</v>
      </c>
      <c r="N177" s="113">
        <f t="shared" si="15"/>
        <v>6464</v>
      </c>
      <c r="O177" s="120">
        <v>0</v>
      </c>
      <c r="P177" s="888">
        <v>0</v>
      </c>
      <c r="Q177" s="51"/>
      <c r="R177" s="120">
        <v>0</v>
      </c>
      <c r="S177" s="888">
        <v>0</v>
      </c>
      <c r="T177" s="51"/>
      <c r="U177" s="120">
        <v>0</v>
      </c>
      <c r="V177" s="888">
        <v>0</v>
      </c>
      <c r="W177" s="51"/>
      <c r="X177" s="1613">
        <f t="shared" si="14"/>
        <v>0</v>
      </c>
      <c r="Y177" s="1614">
        <f t="shared" ref="Y177:Y202" si="16">+ROUND(+P177+S177+V177,2)</f>
        <v>0</v>
      </c>
      <c r="Z177" s="43"/>
      <c r="AA177" s="1621">
        <f t="shared" si="13"/>
        <v>0</v>
      </c>
      <c r="AB177" s="43"/>
      <c r="AC177" s="43"/>
      <c r="AD177" s="43"/>
      <c r="AE177" s="43"/>
      <c r="AF177" s="43"/>
      <c r="AG177" s="43"/>
      <c r="AH177" s="43"/>
      <c r="AI177" s="43"/>
    </row>
    <row r="178" spans="1:35" ht="15.75">
      <c r="A178" s="88">
        <v>6465</v>
      </c>
      <c r="B178" s="1032" t="s">
        <v>538</v>
      </c>
      <c r="C178" s="1033"/>
      <c r="D178" s="1033"/>
      <c r="E178" s="1033"/>
      <c r="F178" s="1033"/>
      <c r="G178" s="1033"/>
      <c r="H178" s="1033"/>
      <c r="I178" s="1033"/>
      <c r="J178" s="1033"/>
      <c r="K178" s="1033"/>
      <c r="L178" s="90"/>
      <c r="M178" s="51" t="s">
        <v>265</v>
      </c>
      <c r="N178" s="113">
        <f t="shared" si="15"/>
        <v>6465</v>
      </c>
      <c r="O178" s="120">
        <v>0</v>
      </c>
      <c r="P178" s="888">
        <v>0</v>
      </c>
      <c r="Q178" s="51"/>
      <c r="R178" s="120">
        <v>0</v>
      </c>
      <c r="S178" s="888">
        <v>0</v>
      </c>
      <c r="T178" s="51"/>
      <c r="U178" s="120">
        <v>0</v>
      </c>
      <c r="V178" s="888">
        <v>0</v>
      </c>
      <c r="W178" s="51"/>
      <c r="X178" s="1613">
        <f t="shared" ref="X178:X198" si="17">+ROUND(+O178+R178+U178,2)</f>
        <v>0</v>
      </c>
      <c r="Y178" s="1614">
        <f t="shared" si="16"/>
        <v>0</v>
      </c>
      <c r="Z178" s="43"/>
      <c r="AA178" s="1621">
        <f t="shared" si="13"/>
        <v>0</v>
      </c>
      <c r="AB178" s="43"/>
      <c r="AC178" s="43"/>
      <c r="AD178" s="43"/>
      <c r="AE178" s="43"/>
      <c r="AF178" s="43"/>
      <c r="AG178" s="43"/>
      <c r="AH178" s="43"/>
      <c r="AI178" s="43"/>
    </row>
    <row r="179" spans="1:35" ht="15.75">
      <c r="A179" s="88">
        <v>6466</v>
      </c>
      <c r="B179" s="1032" t="s">
        <v>539</v>
      </c>
      <c r="C179" s="1033"/>
      <c r="D179" s="1033"/>
      <c r="E179" s="1033"/>
      <c r="F179" s="1033"/>
      <c r="G179" s="1033"/>
      <c r="H179" s="1033"/>
      <c r="I179" s="1033"/>
      <c r="J179" s="1033"/>
      <c r="K179" s="1033"/>
      <c r="L179" s="90"/>
      <c r="M179" s="51" t="s">
        <v>265</v>
      </c>
      <c r="N179" s="113">
        <f t="shared" si="15"/>
        <v>6466</v>
      </c>
      <c r="O179" s="120">
        <v>0</v>
      </c>
      <c r="P179" s="888">
        <v>0</v>
      </c>
      <c r="Q179" s="51"/>
      <c r="R179" s="120">
        <v>0</v>
      </c>
      <c r="S179" s="888">
        <v>0</v>
      </c>
      <c r="T179" s="51"/>
      <c r="U179" s="120">
        <v>0</v>
      </c>
      <c r="V179" s="888">
        <v>0</v>
      </c>
      <c r="W179" s="51"/>
      <c r="X179" s="1613">
        <f t="shared" si="17"/>
        <v>0</v>
      </c>
      <c r="Y179" s="1614">
        <f t="shared" si="16"/>
        <v>0</v>
      </c>
      <c r="Z179" s="43"/>
      <c r="AA179" s="1621">
        <f t="shared" si="13"/>
        <v>0</v>
      </c>
      <c r="AB179" s="43"/>
      <c r="AC179" s="43"/>
      <c r="AD179" s="43"/>
      <c r="AE179" s="43"/>
      <c r="AF179" s="43"/>
      <c r="AG179" s="43"/>
      <c r="AH179" s="43"/>
      <c r="AI179" s="43"/>
    </row>
    <row r="180" spans="1:35" ht="15.75">
      <c r="A180" s="88">
        <v>6467</v>
      </c>
      <c r="B180" s="1032" t="s">
        <v>540</v>
      </c>
      <c r="C180" s="1033"/>
      <c r="D180" s="1033"/>
      <c r="E180" s="1033"/>
      <c r="F180" s="1033"/>
      <c r="G180" s="1033"/>
      <c r="H180" s="1033"/>
      <c r="I180" s="1033"/>
      <c r="J180" s="1033"/>
      <c r="K180" s="1033"/>
      <c r="L180" s="90"/>
      <c r="M180" s="51" t="s">
        <v>265</v>
      </c>
      <c r="N180" s="113">
        <f t="shared" si="15"/>
        <v>6467</v>
      </c>
      <c r="O180" s="120">
        <v>0</v>
      </c>
      <c r="P180" s="888">
        <v>0</v>
      </c>
      <c r="Q180" s="51"/>
      <c r="R180" s="120">
        <v>0</v>
      </c>
      <c r="S180" s="888">
        <v>0</v>
      </c>
      <c r="T180" s="51"/>
      <c r="U180" s="120">
        <v>0</v>
      </c>
      <c r="V180" s="888">
        <v>0</v>
      </c>
      <c r="W180" s="51"/>
      <c r="X180" s="1613">
        <f t="shared" si="17"/>
        <v>0</v>
      </c>
      <c r="Y180" s="1614">
        <f t="shared" si="16"/>
        <v>0</v>
      </c>
      <c r="Z180" s="43"/>
      <c r="AA180" s="1621">
        <f t="shared" si="13"/>
        <v>0</v>
      </c>
      <c r="AB180" s="43"/>
      <c r="AC180" s="43"/>
      <c r="AD180" s="43"/>
      <c r="AE180" s="43"/>
      <c r="AF180" s="43"/>
      <c r="AG180" s="43"/>
      <c r="AH180" s="43"/>
      <c r="AI180" s="43"/>
    </row>
    <row r="181" spans="1:35" ht="15.75">
      <c r="A181" s="88">
        <v>6468</v>
      </c>
      <c r="B181" s="1032" t="s">
        <v>541</v>
      </c>
      <c r="C181" s="1033"/>
      <c r="D181" s="1033"/>
      <c r="E181" s="1033"/>
      <c r="F181" s="1033"/>
      <c r="G181" s="1033"/>
      <c r="H181" s="1033"/>
      <c r="I181" s="1033"/>
      <c r="J181" s="1033"/>
      <c r="K181" s="1033"/>
      <c r="L181" s="90"/>
      <c r="M181" s="51" t="s">
        <v>265</v>
      </c>
      <c r="N181" s="113">
        <f t="shared" si="15"/>
        <v>6468</v>
      </c>
      <c r="O181" s="120">
        <v>0</v>
      </c>
      <c r="P181" s="888">
        <v>0</v>
      </c>
      <c r="Q181" s="51"/>
      <c r="R181" s="120">
        <v>0</v>
      </c>
      <c r="S181" s="888">
        <v>0</v>
      </c>
      <c r="T181" s="51"/>
      <c r="U181" s="120">
        <v>0</v>
      </c>
      <c r="V181" s="888">
        <v>0</v>
      </c>
      <c r="W181" s="51"/>
      <c r="X181" s="1613">
        <f t="shared" si="17"/>
        <v>0</v>
      </c>
      <c r="Y181" s="1614">
        <f t="shared" si="16"/>
        <v>0</v>
      </c>
      <c r="Z181" s="43"/>
      <c r="AA181" s="1621">
        <f t="shared" si="13"/>
        <v>0</v>
      </c>
      <c r="AB181" s="43"/>
      <c r="AC181" s="43"/>
      <c r="AD181" s="43"/>
      <c r="AE181" s="43"/>
      <c r="AF181" s="43"/>
      <c r="AG181" s="43"/>
      <c r="AH181" s="43"/>
      <c r="AI181" s="43"/>
    </row>
    <row r="182" spans="1:35" ht="15.75">
      <c r="A182" s="88">
        <v>6469</v>
      </c>
      <c r="B182" s="1032" t="s">
        <v>542</v>
      </c>
      <c r="C182" s="1033"/>
      <c r="D182" s="1033"/>
      <c r="E182" s="1033"/>
      <c r="F182" s="1033"/>
      <c r="G182" s="1033"/>
      <c r="H182" s="1033"/>
      <c r="I182" s="1033"/>
      <c r="J182" s="1033"/>
      <c r="K182" s="1033"/>
      <c r="L182" s="90"/>
      <c r="M182" s="51" t="s">
        <v>265</v>
      </c>
      <c r="N182" s="113">
        <f t="shared" si="15"/>
        <v>6469</v>
      </c>
      <c r="O182" s="120">
        <v>0</v>
      </c>
      <c r="P182" s="888">
        <v>0</v>
      </c>
      <c r="Q182" s="51"/>
      <c r="R182" s="120">
        <v>0</v>
      </c>
      <c r="S182" s="888">
        <v>0</v>
      </c>
      <c r="T182" s="51"/>
      <c r="U182" s="120">
        <v>0</v>
      </c>
      <c r="V182" s="888">
        <v>0</v>
      </c>
      <c r="W182" s="51"/>
      <c r="X182" s="1613">
        <f t="shared" si="17"/>
        <v>0</v>
      </c>
      <c r="Y182" s="1614">
        <f t="shared" si="16"/>
        <v>0</v>
      </c>
      <c r="Z182" s="43"/>
      <c r="AA182" s="1621">
        <f t="shared" si="13"/>
        <v>0</v>
      </c>
      <c r="AB182" s="43"/>
      <c r="AC182" s="43"/>
      <c r="AD182" s="43"/>
      <c r="AE182" s="43"/>
      <c r="AF182" s="43"/>
      <c r="AG182" s="43"/>
      <c r="AH182" s="43"/>
      <c r="AI182" s="43"/>
    </row>
    <row r="183" spans="1:35" ht="15.75">
      <c r="A183" s="88">
        <v>6471</v>
      </c>
      <c r="B183" s="1033" t="s">
        <v>543</v>
      </c>
      <c r="C183" s="1033"/>
      <c r="D183" s="1033"/>
      <c r="E183" s="1033"/>
      <c r="F183" s="1033"/>
      <c r="G183" s="1033"/>
      <c r="H183" s="1033"/>
      <c r="I183" s="1033"/>
      <c r="J183" s="1033"/>
      <c r="K183" s="1033"/>
      <c r="L183" s="90"/>
      <c r="M183" s="51" t="s">
        <v>265</v>
      </c>
      <c r="N183" s="113">
        <f t="shared" si="15"/>
        <v>6471</v>
      </c>
      <c r="O183" s="120">
        <v>0</v>
      </c>
      <c r="P183" s="888">
        <v>0</v>
      </c>
      <c r="Q183" s="51"/>
      <c r="R183" s="120">
        <v>0</v>
      </c>
      <c r="S183" s="888">
        <v>0</v>
      </c>
      <c r="T183" s="51"/>
      <c r="U183" s="120">
        <v>0</v>
      </c>
      <c r="V183" s="888">
        <v>0</v>
      </c>
      <c r="W183" s="51"/>
      <c r="X183" s="1613">
        <f t="shared" si="17"/>
        <v>0</v>
      </c>
      <c r="Y183" s="1614">
        <f t="shared" si="16"/>
        <v>0</v>
      </c>
      <c r="Z183" s="43"/>
      <c r="AA183" s="1621">
        <f t="shared" si="13"/>
        <v>0</v>
      </c>
      <c r="AB183" s="43"/>
      <c r="AC183" s="43"/>
      <c r="AD183" s="43"/>
      <c r="AE183" s="43"/>
      <c r="AF183" s="43"/>
      <c r="AG183" s="43"/>
      <c r="AH183" s="43"/>
      <c r="AI183" s="43"/>
    </row>
    <row r="184" spans="1:35" ht="15.75">
      <c r="A184" s="88">
        <f>2+A183</f>
        <v>6473</v>
      </c>
      <c r="B184" s="1033" t="s">
        <v>544</v>
      </c>
      <c r="C184" s="1033"/>
      <c r="D184" s="1033"/>
      <c r="E184" s="1033"/>
      <c r="F184" s="1033"/>
      <c r="G184" s="1033"/>
      <c r="H184" s="1033"/>
      <c r="I184" s="1033"/>
      <c r="J184" s="1033"/>
      <c r="K184" s="1033"/>
      <c r="L184" s="90"/>
      <c r="M184" s="51" t="s">
        <v>265</v>
      </c>
      <c r="N184" s="113">
        <f t="shared" si="15"/>
        <v>6473</v>
      </c>
      <c r="O184" s="120">
        <v>0</v>
      </c>
      <c r="P184" s="888">
        <v>0</v>
      </c>
      <c r="Q184" s="51"/>
      <c r="R184" s="120">
        <v>0</v>
      </c>
      <c r="S184" s="888">
        <v>0</v>
      </c>
      <c r="T184" s="51"/>
      <c r="U184" s="120">
        <v>0</v>
      </c>
      <c r="V184" s="888">
        <v>0</v>
      </c>
      <c r="W184" s="51"/>
      <c r="X184" s="1613">
        <f t="shared" si="17"/>
        <v>0</v>
      </c>
      <c r="Y184" s="1614">
        <f t="shared" si="16"/>
        <v>0</v>
      </c>
      <c r="Z184" s="43"/>
      <c r="AA184" s="1621">
        <f t="shared" si="13"/>
        <v>0</v>
      </c>
      <c r="AB184" s="43"/>
      <c r="AC184" s="43"/>
      <c r="AD184" s="43"/>
      <c r="AE184" s="43"/>
      <c r="AF184" s="43"/>
      <c r="AG184" s="43"/>
      <c r="AH184" s="43"/>
      <c r="AI184" s="43"/>
    </row>
    <row r="185" spans="1:35" ht="15.75">
      <c r="A185" s="88">
        <f>2+A184</f>
        <v>6475</v>
      </c>
      <c r="B185" s="1033" t="s">
        <v>545</v>
      </c>
      <c r="C185" s="1033"/>
      <c r="D185" s="1033"/>
      <c r="E185" s="1033"/>
      <c r="F185" s="1033"/>
      <c r="G185" s="1033"/>
      <c r="H185" s="1033"/>
      <c r="I185" s="1033"/>
      <c r="J185" s="1033"/>
      <c r="K185" s="1033"/>
      <c r="L185" s="90"/>
      <c r="M185" s="51" t="s">
        <v>265</v>
      </c>
      <c r="N185" s="113">
        <f t="shared" si="15"/>
        <v>6475</v>
      </c>
      <c r="O185" s="120">
        <v>0</v>
      </c>
      <c r="P185" s="888">
        <v>0</v>
      </c>
      <c r="Q185" s="51"/>
      <c r="R185" s="120">
        <v>0</v>
      </c>
      <c r="S185" s="888">
        <v>0</v>
      </c>
      <c r="T185" s="51"/>
      <c r="U185" s="120">
        <v>0</v>
      </c>
      <c r="V185" s="888">
        <v>0</v>
      </c>
      <c r="W185" s="51"/>
      <c r="X185" s="1613">
        <f t="shared" si="17"/>
        <v>0</v>
      </c>
      <c r="Y185" s="1614">
        <f t="shared" si="16"/>
        <v>0</v>
      </c>
      <c r="Z185" s="43"/>
      <c r="AA185" s="1621">
        <f t="shared" si="13"/>
        <v>0</v>
      </c>
      <c r="AB185" s="43"/>
      <c r="AC185" s="43"/>
      <c r="AD185" s="43"/>
      <c r="AE185" s="43"/>
      <c r="AF185" s="43"/>
      <c r="AG185" s="43"/>
      <c r="AH185" s="43"/>
      <c r="AI185" s="43"/>
    </row>
    <row r="186" spans="1:35" ht="15.75">
      <c r="A186" s="88">
        <f>2+A185</f>
        <v>6477</v>
      </c>
      <c r="B186" s="1033" t="s">
        <v>546</v>
      </c>
      <c r="C186" s="1033"/>
      <c r="D186" s="1033"/>
      <c r="E186" s="1033"/>
      <c r="F186" s="1033"/>
      <c r="G186" s="1033"/>
      <c r="H186" s="1033"/>
      <c r="I186" s="1033"/>
      <c r="J186" s="1033"/>
      <c r="K186" s="1033"/>
      <c r="L186" s="90"/>
      <c r="M186" s="51" t="s">
        <v>265</v>
      </c>
      <c r="N186" s="113">
        <f t="shared" si="15"/>
        <v>6477</v>
      </c>
      <c r="O186" s="120">
        <v>0</v>
      </c>
      <c r="P186" s="888">
        <v>0</v>
      </c>
      <c r="Q186" s="51"/>
      <c r="R186" s="120">
        <v>0</v>
      </c>
      <c r="S186" s="888">
        <v>0</v>
      </c>
      <c r="T186" s="51"/>
      <c r="U186" s="120">
        <v>0</v>
      </c>
      <c r="V186" s="888">
        <v>0</v>
      </c>
      <c r="W186" s="51"/>
      <c r="X186" s="1613">
        <f t="shared" si="17"/>
        <v>0</v>
      </c>
      <c r="Y186" s="1614">
        <f t="shared" si="16"/>
        <v>0</v>
      </c>
      <c r="Z186" s="43"/>
      <c r="AA186" s="1621">
        <f t="shared" si="13"/>
        <v>0</v>
      </c>
      <c r="AB186" s="43"/>
      <c r="AC186" s="43"/>
      <c r="AD186" s="43"/>
      <c r="AE186" s="43"/>
      <c r="AF186" s="43"/>
      <c r="AG186" s="43"/>
      <c r="AH186" s="43"/>
      <c r="AI186" s="43"/>
    </row>
    <row r="187" spans="1:35" ht="15.75">
      <c r="A187" s="88">
        <v>6479</v>
      </c>
      <c r="B187" s="1033" t="s">
        <v>547</v>
      </c>
      <c r="C187" s="1033"/>
      <c r="D187" s="1033"/>
      <c r="E187" s="1033"/>
      <c r="F187" s="1033"/>
      <c r="G187" s="1033"/>
      <c r="H187" s="1033"/>
      <c r="I187" s="1033"/>
      <c r="J187" s="1033"/>
      <c r="K187" s="1033"/>
      <c r="L187" s="90"/>
      <c r="M187" s="51" t="s">
        <v>265</v>
      </c>
      <c r="N187" s="113">
        <f>+A187</f>
        <v>6479</v>
      </c>
      <c r="O187" s="120">
        <v>0</v>
      </c>
      <c r="P187" s="888">
        <v>0</v>
      </c>
      <c r="Q187" s="51"/>
      <c r="R187" s="120">
        <v>0</v>
      </c>
      <c r="S187" s="888">
        <v>0</v>
      </c>
      <c r="T187" s="51"/>
      <c r="U187" s="120">
        <v>0</v>
      </c>
      <c r="V187" s="888">
        <v>0</v>
      </c>
      <c r="W187" s="51"/>
      <c r="X187" s="1613">
        <f t="shared" si="17"/>
        <v>0</v>
      </c>
      <c r="Y187" s="1614">
        <f t="shared" si="16"/>
        <v>0</v>
      </c>
      <c r="Z187" s="43"/>
      <c r="AA187" s="1621">
        <f t="shared" si="13"/>
        <v>0</v>
      </c>
      <c r="AB187" s="43"/>
      <c r="AC187" s="43"/>
      <c r="AD187" s="43"/>
      <c r="AE187" s="43"/>
      <c r="AF187" s="43"/>
      <c r="AG187" s="43"/>
      <c r="AH187" s="43"/>
      <c r="AI187" s="43"/>
    </row>
    <row r="188" spans="1:35" ht="15.75">
      <c r="A188" s="88">
        <v>6480</v>
      </c>
      <c r="B188" s="1033" t="s">
        <v>567</v>
      </c>
      <c r="C188" s="1033"/>
      <c r="D188" s="1033"/>
      <c r="E188" s="1033"/>
      <c r="F188" s="1033"/>
      <c r="G188" s="1033"/>
      <c r="H188" s="1033"/>
      <c r="I188" s="1033"/>
      <c r="J188" s="1033"/>
      <c r="K188" s="1033"/>
      <c r="L188" s="90"/>
      <c r="M188" s="51" t="s">
        <v>265</v>
      </c>
      <c r="N188" s="113">
        <f>+A188</f>
        <v>6480</v>
      </c>
      <c r="O188" s="120">
        <v>0</v>
      </c>
      <c r="P188" s="888">
        <v>0</v>
      </c>
      <c r="Q188" s="51"/>
      <c r="R188" s="120">
        <v>0</v>
      </c>
      <c r="S188" s="888">
        <v>0</v>
      </c>
      <c r="T188" s="51"/>
      <c r="U188" s="120">
        <v>0</v>
      </c>
      <c r="V188" s="888">
        <v>0</v>
      </c>
      <c r="W188" s="51"/>
      <c r="X188" s="1613">
        <f t="shared" si="17"/>
        <v>0</v>
      </c>
      <c r="Y188" s="1614">
        <f t="shared" si="16"/>
        <v>0</v>
      </c>
      <c r="Z188" s="43"/>
      <c r="AA188" s="1621">
        <f t="shared" si="13"/>
        <v>0</v>
      </c>
      <c r="AB188" s="43"/>
      <c r="AC188" s="43"/>
      <c r="AD188" s="43"/>
      <c r="AE188" s="43"/>
      <c r="AF188" s="43"/>
      <c r="AG188" s="43"/>
      <c r="AH188" s="43"/>
      <c r="AI188" s="43"/>
    </row>
    <row r="189" spans="1:35" ht="15.75">
      <c r="A189" s="88">
        <v>6481</v>
      </c>
      <c r="B189" s="1033" t="s">
        <v>568</v>
      </c>
      <c r="C189" s="1033"/>
      <c r="D189" s="1033"/>
      <c r="E189" s="1033"/>
      <c r="F189" s="1033"/>
      <c r="G189" s="1033"/>
      <c r="H189" s="1033"/>
      <c r="I189" s="1033"/>
      <c r="J189" s="1033"/>
      <c r="K189" s="1033"/>
      <c r="L189" s="90"/>
      <c r="M189" s="51" t="s">
        <v>265</v>
      </c>
      <c r="N189" s="113">
        <f t="shared" si="15"/>
        <v>6481</v>
      </c>
      <c r="O189" s="120">
        <v>0</v>
      </c>
      <c r="P189" s="888">
        <v>0</v>
      </c>
      <c r="Q189" s="51"/>
      <c r="R189" s="120">
        <v>0</v>
      </c>
      <c r="S189" s="888">
        <v>0</v>
      </c>
      <c r="T189" s="51"/>
      <c r="U189" s="120">
        <v>0</v>
      </c>
      <c r="V189" s="888">
        <v>0</v>
      </c>
      <c r="W189" s="51"/>
      <c r="X189" s="1613">
        <f t="shared" si="17"/>
        <v>0</v>
      </c>
      <c r="Y189" s="1614">
        <f t="shared" si="16"/>
        <v>0</v>
      </c>
      <c r="Z189" s="43"/>
      <c r="AA189" s="1621">
        <f t="shared" si="13"/>
        <v>0</v>
      </c>
      <c r="AB189" s="43"/>
      <c r="AC189" s="43"/>
      <c r="AD189" s="43"/>
      <c r="AE189" s="43"/>
      <c r="AF189" s="43"/>
      <c r="AG189" s="43"/>
      <c r="AH189" s="43"/>
      <c r="AI189" s="43"/>
    </row>
    <row r="190" spans="1:35" ht="15.75">
      <c r="A190" s="88">
        <f>2+A189</f>
        <v>6483</v>
      </c>
      <c r="B190" s="1033" t="s">
        <v>569</v>
      </c>
      <c r="C190" s="1033"/>
      <c r="D190" s="1033"/>
      <c r="E190" s="1033"/>
      <c r="F190" s="1033"/>
      <c r="G190" s="1033"/>
      <c r="H190" s="1033"/>
      <c r="I190" s="1033"/>
      <c r="J190" s="1033"/>
      <c r="K190" s="1033"/>
      <c r="L190" s="90"/>
      <c r="M190" s="51" t="s">
        <v>265</v>
      </c>
      <c r="N190" s="113">
        <f t="shared" si="15"/>
        <v>6483</v>
      </c>
      <c r="O190" s="120">
        <v>0</v>
      </c>
      <c r="P190" s="888">
        <v>0</v>
      </c>
      <c r="Q190" s="51"/>
      <c r="R190" s="120">
        <v>0</v>
      </c>
      <c r="S190" s="888">
        <v>0</v>
      </c>
      <c r="T190" s="51"/>
      <c r="U190" s="120">
        <v>0</v>
      </c>
      <c r="V190" s="888">
        <v>0</v>
      </c>
      <c r="W190" s="51"/>
      <c r="X190" s="1613">
        <f t="shared" si="17"/>
        <v>0</v>
      </c>
      <c r="Y190" s="1614">
        <f t="shared" si="16"/>
        <v>0</v>
      </c>
      <c r="Z190" s="43"/>
      <c r="AA190" s="1621">
        <f t="shared" si="13"/>
        <v>0</v>
      </c>
      <c r="AB190" s="43"/>
      <c r="AC190" s="43"/>
      <c r="AD190" s="43"/>
      <c r="AE190" s="43"/>
      <c r="AF190" s="43"/>
      <c r="AG190" s="43"/>
      <c r="AH190" s="43"/>
      <c r="AI190" s="43"/>
    </row>
    <row r="191" spans="1:35" ht="15.75">
      <c r="A191" s="88">
        <f>2+A190</f>
        <v>6485</v>
      </c>
      <c r="B191" s="1033" t="s">
        <v>570</v>
      </c>
      <c r="C191" s="1033"/>
      <c r="D191" s="1033"/>
      <c r="E191" s="1033"/>
      <c r="F191" s="1033"/>
      <c r="G191" s="1033"/>
      <c r="H191" s="1033"/>
      <c r="I191" s="1033"/>
      <c r="J191" s="1033"/>
      <c r="K191" s="1033"/>
      <c r="L191" s="90"/>
      <c r="M191" s="51" t="s">
        <v>265</v>
      </c>
      <c r="N191" s="113">
        <f t="shared" si="15"/>
        <v>6485</v>
      </c>
      <c r="O191" s="120">
        <v>0</v>
      </c>
      <c r="P191" s="888">
        <v>0</v>
      </c>
      <c r="Q191" s="51"/>
      <c r="R191" s="120">
        <v>0</v>
      </c>
      <c r="S191" s="888">
        <v>0</v>
      </c>
      <c r="T191" s="51"/>
      <c r="U191" s="120">
        <v>0</v>
      </c>
      <c r="V191" s="888">
        <v>0</v>
      </c>
      <c r="W191" s="51"/>
      <c r="X191" s="1613">
        <f t="shared" si="17"/>
        <v>0</v>
      </c>
      <c r="Y191" s="1614">
        <f t="shared" si="16"/>
        <v>0</v>
      </c>
      <c r="Z191" s="43"/>
      <c r="AA191" s="1621">
        <f t="shared" si="13"/>
        <v>0</v>
      </c>
      <c r="AB191" s="43"/>
      <c r="AC191" s="43"/>
      <c r="AD191" s="43"/>
      <c r="AE191" s="43"/>
      <c r="AF191" s="43"/>
      <c r="AG191" s="43"/>
      <c r="AH191" s="43"/>
      <c r="AI191" s="43"/>
    </row>
    <row r="192" spans="1:35" ht="15.75">
      <c r="A192" s="88">
        <f>2+A191</f>
        <v>6487</v>
      </c>
      <c r="B192" s="1033" t="s">
        <v>571</v>
      </c>
      <c r="C192" s="1033"/>
      <c r="D192" s="1033"/>
      <c r="E192" s="1033"/>
      <c r="F192" s="1033"/>
      <c r="G192" s="1033"/>
      <c r="H192" s="1033"/>
      <c r="I192" s="1033"/>
      <c r="J192" s="1033"/>
      <c r="K192" s="1033"/>
      <c r="L192" s="90"/>
      <c r="M192" s="51" t="s">
        <v>265</v>
      </c>
      <c r="N192" s="113">
        <f t="shared" si="15"/>
        <v>6487</v>
      </c>
      <c r="O192" s="120">
        <v>0</v>
      </c>
      <c r="P192" s="888">
        <v>0</v>
      </c>
      <c r="Q192" s="51"/>
      <c r="R192" s="120">
        <v>0</v>
      </c>
      <c r="S192" s="888">
        <v>0</v>
      </c>
      <c r="T192" s="51"/>
      <c r="U192" s="120">
        <v>0</v>
      </c>
      <c r="V192" s="888">
        <v>0</v>
      </c>
      <c r="W192" s="51"/>
      <c r="X192" s="1613">
        <f t="shared" si="17"/>
        <v>0</v>
      </c>
      <c r="Y192" s="1614">
        <f t="shared" si="16"/>
        <v>0</v>
      </c>
      <c r="Z192" s="43"/>
      <c r="AA192" s="1621">
        <f t="shared" si="13"/>
        <v>0</v>
      </c>
      <c r="AB192" s="43"/>
      <c r="AC192" s="43"/>
      <c r="AD192" s="43"/>
      <c r="AE192" s="43"/>
      <c r="AF192" s="43"/>
      <c r="AG192" s="43"/>
      <c r="AH192" s="43"/>
      <c r="AI192" s="43"/>
    </row>
    <row r="193" spans="1:35" ht="15.75">
      <c r="A193" s="88">
        <v>6489</v>
      </c>
      <c r="B193" s="1033" t="s">
        <v>572</v>
      </c>
      <c r="C193" s="1033"/>
      <c r="D193" s="1033"/>
      <c r="E193" s="1033"/>
      <c r="F193" s="1033"/>
      <c r="G193" s="1033"/>
      <c r="H193" s="1033"/>
      <c r="I193" s="1033"/>
      <c r="J193" s="1033"/>
      <c r="K193" s="1033"/>
      <c r="L193" s="90"/>
      <c r="M193" s="51" t="s">
        <v>265</v>
      </c>
      <c r="N193" s="113">
        <f>+A193</f>
        <v>6489</v>
      </c>
      <c r="O193" s="120">
        <v>0</v>
      </c>
      <c r="P193" s="888">
        <v>0</v>
      </c>
      <c r="Q193" s="51"/>
      <c r="R193" s="120">
        <v>0</v>
      </c>
      <c r="S193" s="888">
        <v>0</v>
      </c>
      <c r="T193" s="51"/>
      <c r="U193" s="120">
        <v>0</v>
      </c>
      <c r="V193" s="888">
        <v>0</v>
      </c>
      <c r="W193" s="51"/>
      <c r="X193" s="1613">
        <f t="shared" si="17"/>
        <v>0</v>
      </c>
      <c r="Y193" s="1614">
        <f t="shared" si="16"/>
        <v>0</v>
      </c>
      <c r="Z193" s="43"/>
      <c r="AA193" s="1621">
        <f t="shared" si="13"/>
        <v>0</v>
      </c>
      <c r="AB193" s="43"/>
      <c r="AC193" s="43"/>
      <c r="AD193" s="43"/>
      <c r="AE193" s="43"/>
      <c r="AF193" s="43"/>
      <c r="AG193" s="43"/>
      <c r="AH193" s="43"/>
      <c r="AI193" s="43"/>
    </row>
    <row r="194" spans="1:35" ht="15.75">
      <c r="A194" s="88">
        <v>6491</v>
      </c>
      <c r="B194" s="1033" t="s">
        <v>573</v>
      </c>
      <c r="C194" s="1033"/>
      <c r="D194" s="1033"/>
      <c r="E194" s="1033"/>
      <c r="F194" s="1033"/>
      <c r="G194" s="1033"/>
      <c r="H194" s="1033"/>
      <c r="I194" s="1033"/>
      <c r="J194" s="1033"/>
      <c r="K194" s="1033"/>
      <c r="L194" s="90"/>
      <c r="M194" s="51" t="s">
        <v>265</v>
      </c>
      <c r="N194" s="113">
        <f t="shared" si="15"/>
        <v>6491</v>
      </c>
      <c r="O194" s="120">
        <v>0</v>
      </c>
      <c r="P194" s="888">
        <v>0</v>
      </c>
      <c r="Q194" s="51"/>
      <c r="R194" s="120">
        <v>0</v>
      </c>
      <c r="S194" s="888">
        <v>0</v>
      </c>
      <c r="T194" s="51"/>
      <c r="U194" s="120">
        <v>0</v>
      </c>
      <c r="V194" s="888">
        <v>0</v>
      </c>
      <c r="W194" s="51"/>
      <c r="X194" s="1613">
        <f t="shared" si="17"/>
        <v>0</v>
      </c>
      <c r="Y194" s="1614">
        <f t="shared" si="16"/>
        <v>0</v>
      </c>
      <c r="Z194" s="43"/>
      <c r="AA194" s="1621">
        <f t="shared" si="13"/>
        <v>0</v>
      </c>
      <c r="AB194" s="43"/>
      <c r="AC194" s="43"/>
      <c r="AD194" s="43"/>
      <c r="AE194" s="43"/>
      <c r="AF194" s="43"/>
      <c r="AG194" s="43"/>
      <c r="AH194" s="43"/>
      <c r="AI194" s="43"/>
    </row>
    <row r="195" spans="1:35" ht="15.75">
      <c r="A195" s="88">
        <f>2+A194</f>
        <v>6493</v>
      </c>
      <c r="B195" s="1033" t="s">
        <v>574</v>
      </c>
      <c r="C195" s="1033"/>
      <c r="D195" s="1033"/>
      <c r="E195" s="1033"/>
      <c r="F195" s="1033"/>
      <c r="G195" s="1033"/>
      <c r="H195" s="1033"/>
      <c r="I195" s="1033"/>
      <c r="J195" s="1033"/>
      <c r="K195" s="1033"/>
      <c r="L195" s="90"/>
      <c r="M195" s="51" t="s">
        <v>265</v>
      </c>
      <c r="N195" s="113">
        <f t="shared" si="15"/>
        <v>6493</v>
      </c>
      <c r="O195" s="120">
        <v>0</v>
      </c>
      <c r="P195" s="888">
        <v>0</v>
      </c>
      <c r="Q195" s="51"/>
      <c r="R195" s="120">
        <v>0</v>
      </c>
      <c r="S195" s="888">
        <v>0</v>
      </c>
      <c r="T195" s="51"/>
      <c r="U195" s="120">
        <v>0</v>
      </c>
      <c r="V195" s="888">
        <v>0</v>
      </c>
      <c r="W195" s="51"/>
      <c r="X195" s="1613">
        <f t="shared" si="17"/>
        <v>0</v>
      </c>
      <c r="Y195" s="1614">
        <f t="shared" si="16"/>
        <v>0</v>
      </c>
      <c r="Z195" s="43"/>
      <c r="AA195" s="1621">
        <f t="shared" si="13"/>
        <v>0</v>
      </c>
      <c r="AB195" s="43"/>
      <c r="AC195" s="43"/>
      <c r="AD195" s="43"/>
      <c r="AE195" s="43"/>
      <c r="AF195" s="43"/>
      <c r="AG195" s="43"/>
      <c r="AH195" s="43"/>
      <c r="AI195" s="43"/>
    </row>
    <row r="196" spans="1:35" ht="15.75">
      <c r="A196" s="88">
        <f>2+A195</f>
        <v>6495</v>
      </c>
      <c r="B196" s="1033" t="s">
        <v>575</v>
      </c>
      <c r="C196" s="1033"/>
      <c r="D196" s="1033"/>
      <c r="E196" s="1033"/>
      <c r="F196" s="1033"/>
      <c r="G196" s="1033"/>
      <c r="H196" s="1033"/>
      <c r="I196" s="1033"/>
      <c r="J196" s="1033"/>
      <c r="K196" s="1033"/>
      <c r="L196" s="90"/>
      <c r="M196" s="51" t="s">
        <v>265</v>
      </c>
      <c r="N196" s="113">
        <f t="shared" si="15"/>
        <v>6495</v>
      </c>
      <c r="O196" s="120">
        <v>0</v>
      </c>
      <c r="P196" s="888">
        <v>0</v>
      </c>
      <c r="Q196" s="51"/>
      <c r="R196" s="120">
        <v>0</v>
      </c>
      <c r="S196" s="888">
        <v>0</v>
      </c>
      <c r="T196" s="51"/>
      <c r="U196" s="120">
        <v>0</v>
      </c>
      <c r="V196" s="888">
        <v>0</v>
      </c>
      <c r="W196" s="51"/>
      <c r="X196" s="1613">
        <f t="shared" si="17"/>
        <v>0</v>
      </c>
      <c r="Y196" s="1614">
        <f t="shared" si="16"/>
        <v>0</v>
      </c>
      <c r="Z196" s="43"/>
      <c r="AA196" s="1621">
        <f t="shared" si="13"/>
        <v>0</v>
      </c>
      <c r="AB196" s="43"/>
      <c r="AC196" s="43"/>
      <c r="AD196" s="43"/>
      <c r="AE196" s="43"/>
      <c r="AF196" s="43"/>
      <c r="AG196" s="43"/>
      <c r="AH196" s="43"/>
      <c r="AI196" s="43"/>
    </row>
    <row r="197" spans="1:35" ht="15.75">
      <c r="A197" s="88">
        <f>2+A196</f>
        <v>6497</v>
      </c>
      <c r="B197" s="1033" t="s">
        <v>576</v>
      </c>
      <c r="C197" s="1033"/>
      <c r="D197" s="1033"/>
      <c r="E197" s="1033"/>
      <c r="F197" s="1033"/>
      <c r="G197" s="1033"/>
      <c r="H197" s="1033"/>
      <c r="I197" s="1033"/>
      <c r="J197" s="1033"/>
      <c r="K197" s="1033"/>
      <c r="L197" s="90"/>
      <c r="M197" s="51" t="s">
        <v>265</v>
      </c>
      <c r="N197" s="113">
        <f t="shared" si="15"/>
        <v>6497</v>
      </c>
      <c r="O197" s="120">
        <v>0</v>
      </c>
      <c r="P197" s="888">
        <v>0</v>
      </c>
      <c r="Q197" s="51"/>
      <c r="R197" s="120">
        <v>0</v>
      </c>
      <c r="S197" s="888">
        <v>0</v>
      </c>
      <c r="T197" s="51"/>
      <c r="U197" s="120">
        <v>0</v>
      </c>
      <c r="V197" s="888">
        <v>0</v>
      </c>
      <c r="W197" s="51"/>
      <c r="X197" s="1613">
        <f t="shared" si="17"/>
        <v>0</v>
      </c>
      <c r="Y197" s="1614">
        <f t="shared" si="16"/>
        <v>0</v>
      </c>
      <c r="Z197" s="43"/>
      <c r="AA197" s="1621">
        <f t="shared" si="13"/>
        <v>0</v>
      </c>
      <c r="AB197" s="43"/>
      <c r="AC197" s="43"/>
      <c r="AD197" s="43"/>
      <c r="AE197" s="43"/>
      <c r="AF197" s="43"/>
      <c r="AG197" s="43"/>
      <c r="AH197" s="43"/>
      <c r="AI197" s="43"/>
    </row>
    <row r="198" spans="1:35" ht="15.75">
      <c r="A198" s="88">
        <v>6499</v>
      </c>
      <c r="B198" s="1033" t="s">
        <v>577</v>
      </c>
      <c r="C198" s="1033"/>
      <c r="D198" s="1033"/>
      <c r="E198" s="1033"/>
      <c r="F198" s="1033"/>
      <c r="G198" s="1033"/>
      <c r="H198" s="1033"/>
      <c r="I198" s="1033"/>
      <c r="J198" s="1033"/>
      <c r="K198" s="1033"/>
      <c r="L198" s="90"/>
      <c r="M198" s="51" t="s">
        <v>265</v>
      </c>
      <c r="N198" s="113">
        <f>+A198</f>
        <v>6499</v>
      </c>
      <c r="O198" s="120">
        <v>0</v>
      </c>
      <c r="P198" s="888">
        <v>0</v>
      </c>
      <c r="Q198" s="51"/>
      <c r="R198" s="120">
        <v>0</v>
      </c>
      <c r="S198" s="888">
        <v>0</v>
      </c>
      <c r="T198" s="51"/>
      <c r="U198" s="120">
        <v>0</v>
      </c>
      <c r="V198" s="888">
        <v>0</v>
      </c>
      <c r="W198" s="51"/>
      <c r="X198" s="1613">
        <f t="shared" si="17"/>
        <v>0</v>
      </c>
      <c r="Y198" s="1614">
        <f t="shared" si="16"/>
        <v>0</v>
      </c>
      <c r="Z198" s="43"/>
      <c r="AA198" s="1621">
        <f t="shared" si="13"/>
        <v>0</v>
      </c>
      <c r="AB198" s="43"/>
      <c r="AC198" s="43"/>
      <c r="AD198" s="43"/>
      <c r="AE198" s="43"/>
      <c r="AF198" s="43"/>
      <c r="AG198" s="43"/>
      <c r="AH198" s="43"/>
      <c r="AI198" s="43"/>
    </row>
    <row r="199" spans="1:35" ht="15.75">
      <c r="A199" s="88">
        <v>6501</v>
      </c>
      <c r="B199" s="1032" t="s">
        <v>655</v>
      </c>
      <c r="C199" s="1033"/>
      <c r="D199" s="1033"/>
      <c r="E199" s="1033"/>
      <c r="F199" s="1033"/>
      <c r="G199" s="1033"/>
      <c r="H199" s="1033"/>
      <c r="I199" s="1033"/>
      <c r="J199" s="1033"/>
      <c r="K199" s="1033"/>
      <c r="L199" s="90"/>
      <c r="M199" s="51" t="s">
        <v>265</v>
      </c>
      <c r="N199" s="113">
        <f t="shared" si="15"/>
        <v>6501</v>
      </c>
      <c r="O199" s="954">
        <v>0</v>
      </c>
      <c r="P199" s="888">
        <v>0</v>
      </c>
      <c r="Q199" s="51"/>
      <c r="R199" s="604">
        <v>0</v>
      </c>
      <c r="S199" s="891">
        <v>0</v>
      </c>
      <c r="T199" s="51"/>
      <c r="U199" s="960">
        <v>0</v>
      </c>
      <c r="V199" s="888">
        <v>0</v>
      </c>
      <c r="W199" s="51"/>
      <c r="X199" s="1612">
        <v>0</v>
      </c>
      <c r="Y199" s="1614">
        <f t="shared" si="16"/>
        <v>0</v>
      </c>
      <c r="Z199" s="43"/>
      <c r="AA199" s="1621">
        <f t="shared" si="13"/>
        <v>0</v>
      </c>
      <c r="AB199" s="43"/>
      <c r="AC199" s="43"/>
      <c r="AD199" s="43"/>
      <c r="AE199" s="43"/>
      <c r="AF199" s="43"/>
      <c r="AG199" s="43"/>
      <c r="AH199" s="43"/>
      <c r="AI199" s="43"/>
    </row>
    <row r="200" spans="1:35" ht="15.75">
      <c r="A200" s="88">
        <v>6502</v>
      </c>
      <c r="B200" s="1032" t="s">
        <v>656</v>
      </c>
      <c r="C200" s="1033"/>
      <c r="D200" s="1033"/>
      <c r="E200" s="1033"/>
      <c r="F200" s="1033"/>
      <c r="G200" s="1033"/>
      <c r="H200" s="1033"/>
      <c r="I200" s="1033"/>
      <c r="J200" s="1033"/>
      <c r="K200" s="1033"/>
      <c r="L200" s="90"/>
      <c r="M200" s="51" t="s">
        <v>265</v>
      </c>
      <c r="N200" s="113">
        <f t="shared" si="15"/>
        <v>6502</v>
      </c>
      <c r="O200" s="954">
        <v>0</v>
      </c>
      <c r="P200" s="888">
        <v>0</v>
      </c>
      <c r="Q200" s="51"/>
      <c r="R200" s="604">
        <v>0</v>
      </c>
      <c r="S200" s="891">
        <v>0</v>
      </c>
      <c r="T200" s="51"/>
      <c r="U200" s="960">
        <v>0</v>
      </c>
      <c r="V200" s="888">
        <v>0</v>
      </c>
      <c r="W200" s="51"/>
      <c r="X200" s="1612">
        <v>0</v>
      </c>
      <c r="Y200" s="1614">
        <f t="shared" si="16"/>
        <v>0</v>
      </c>
      <c r="Z200" s="43"/>
      <c r="AA200" s="1621">
        <f t="shared" si="13"/>
        <v>0</v>
      </c>
      <c r="AB200" s="43"/>
      <c r="AC200" s="43"/>
      <c r="AD200" s="43"/>
      <c r="AE200" s="43"/>
      <c r="AF200" s="43"/>
      <c r="AG200" s="43"/>
      <c r="AH200" s="43"/>
      <c r="AI200" s="43"/>
    </row>
    <row r="201" spans="1:35" ht="15.75">
      <c r="A201" s="88">
        <v>6503</v>
      </c>
      <c r="B201" s="1032" t="s">
        <v>657</v>
      </c>
      <c r="C201" s="1033"/>
      <c r="D201" s="1033"/>
      <c r="E201" s="1033"/>
      <c r="F201" s="1033"/>
      <c r="G201" s="1033"/>
      <c r="H201" s="1033"/>
      <c r="I201" s="1033"/>
      <c r="J201" s="1033"/>
      <c r="K201" s="1033"/>
      <c r="L201" s="90"/>
      <c r="M201" s="51" t="s">
        <v>265</v>
      </c>
      <c r="N201" s="113">
        <f t="shared" si="15"/>
        <v>6503</v>
      </c>
      <c r="O201" s="954">
        <v>0</v>
      </c>
      <c r="P201" s="888">
        <v>0</v>
      </c>
      <c r="Q201" s="51"/>
      <c r="R201" s="604">
        <v>0</v>
      </c>
      <c r="S201" s="891">
        <v>0</v>
      </c>
      <c r="T201" s="51"/>
      <c r="U201" s="960">
        <v>0</v>
      </c>
      <c r="V201" s="888">
        <v>0</v>
      </c>
      <c r="W201" s="51"/>
      <c r="X201" s="1612">
        <v>0</v>
      </c>
      <c r="Y201" s="1614">
        <f t="shared" si="16"/>
        <v>0</v>
      </c>
      <c r="Z201" s="43"/>
      <c r="AA201" s="1621">
        <f t="shared" si="13"/>
        <v>0</v>
      </c>
      <c r="AB201" s="43"/>
      <c r="AC201" s="43"/>
      <c r="AD201" s="43"/>
      <c r="AE201" s="43"/>
      <c r="AF201" s="43"/>
      <c r="AG201" s="43"/>
      <c r="AH201" s="43"/>
      <c r="AI201" s="43"/>
    </row>
    <row r="202" spans="1:35" ht="15.75">
      <c r="A202" s="88">
        <v>6504</v>
      </c>
      <c r="B202" s="1032" t="s">
        <v>658</v>
      </c>
      <c r="C202" s="1033"/>
      <c r="D202" s="1033"/>
      <c r="E202" s="1033"/>
      <c r="F202" s="1033"/>
      <c r="G202" s="1033"/>
      <c r="H202" s="1033"/>
      <c r="I202" s="1033"/>
      <c r="J202" s="1033"/>
      <c r="K202" s="1033"/>
      <c r="L202" s="90"/>
      <c r="M202" s="51" t="s">
        <v>265</v>
      </c>
      <c r="N202" s="113">
        <f t="shared" si="15"/>
        <v>6504</v>
      </c>
      <c r="O202" s="954">
        <v>0</v>
      </c>
      <c r="P202" s="888">
        <v>0</v>
      </c>
      <c r="Q202" s="51"/>
      <c r="R202" s="604">
        <v>0</v>
      </c>
      <c r="S202" s="891">
        <v>0</v>
      </c>
      <c r="T202" s="51"/>
      <c r="U202" s="960">
        <v>0</v>
      </c>
      <c r="V202" s="888">
        <v>0</v>
      </c>
      <c r="W202" s="51"/>
      <c r="X202" s="1612">
        <v>0</v>
      </c>
      <c r="Y202" s="1614">
        <f t="shared" si="16"/>
        <v>0</v>
      </c>
      <c r="Z202" s="43"/>
      <c r="AA202" s="1621">
        <f t="shared" si="13"/>
        <v>0</v>
      </c>
      <c r="AB202" s="43"/>
      <c r="AC202" s="43"/>
      <c r="AD202" s="43"/>
      <c r="AE202" s="43"/>
      <c r="AF202" s="43"/>
      <c r="AG202" s="43"/>
      <c r="AH202" s="43"/>
      <c r="AI202" s="43"/>
    </row>
    <row r="203" spans="1:35" ht="15.75">
      <c r="A203" s="88">
        <v>6506</v>
      </c>
      <c r="B203" s="1032" t="s">
        <v>659</v>
      </c>
      <c r="C203" s="1033"/>
      <c r="D203" s="1033"/>
      <c r="E203" s="1033"/>
      <c r="F203" s="1033"/>
      <c r="G203" s="1033"/>
      <c r="H203" s="1033"/>
      <c r="I203" s="1033"/>
      <c r="J203" s="1033"/>
      <c r="K203" s="1033"/>
      <c r="L203" s="90"/>
      <c r="M203" s="51" t="s">
        <v>265</v>
      </c>
      <c r="N203" s="113">
        <f t="shared" si="15"/>
        <v>6506</v>
      </c>
      <c r="O203" s="954">
        <v>0</v>
      </c>
      <c r="P203" s="890">
        <v>0</v>
      </c>
      <c r="Q203" s="51"/>
      <c r="R203" s="604">
        <v>0</v>
      </c>
      <c r="S203" s="605">
        <v>0</v>
      </c>
      <c r="T203" s="51"/>
      <c r="U203" s="960">
        <v>0</v>
      </c>
      <c r="V203" s="892">
        <v>0</v>
      </c>
      <c r="W203" s="51"/>
      <c r="X203" s="1612">
        <v>0</v>
      </c>
      <c r="Y203" s="1611">
        <v>0</v>
      </c>
      <c r="Z203" s="43"/>
      <c r="AA203" s="1621">
        <f t="shared" si="13"/>
        <v>0</v>
      </c>
      <c r="AB203" s="43"/>
      <c r="AC203" s="43"/>
      <c r="AD203" s="43"/>
      <c r="AE203" s="43"/>
      <c r="AF203" s="43"/>
      <c r="AG203" s="43"/>
      <c r="AH203" s="43"/>
      <c r="AI203" s="43"/>
    </row>
    <row r="204" spans="1:35" ht="15.75">
      <c r="A204" s="88">
        <v>6507</v>
      </c>
      <c r="B204" s="1032" t="s">
        <v>660</v>
      </c>
      <c r="C204" s="1033"/>
      <c r="D204" s="1033"/>
      <c r="E204" s="1033"/>
      <c r="F204" s="1033"/>
      <c r="G204" s="1033"/>
      <c r="H204" s="1033"/>
      <c r="I204" s="1033"/>
      <c r="J204" s="1033"/>
      <c r="K204" s="1033"/>
      <c r="L204" s="90"/>
      <c r="M204" s="51" t="s">
        <v>265</v>
      </c>
      <c r="N204" s="113">
        <f t="shared" si="15"/>
        <v>6507</v>
      </c>
      <c r="O204" s="954">
        <v>0</v>
      </c>
      <c r="P204" s="888">
        <v>0</v>
      </c>
      <c r="Q204" s="51"/>
      <c r="R204" s="604">
        <v>0</v>
      </c>
      <c r="S204" s="891">
        <v>0</v>
      </c>
      <c r="T204" s="51"/>
      <c r="U204" s="960">
        <v>0</v>
      </c>
      <c r="V204" s="888">
        <v>0</v>
      </c>
      <c r="W204" s="51"/>
      <c r="X204" s="1612">
        <v>0</v>
      </c>
      <c r="Y204" s="1614">
        <f>+ROUND(+P204+S204+V204,2)</f>
        <v>0</v>
      </c>
      <c r="Z204" s="43"/>
      <c r="AA204" s="1621">
        <f t="shared" si="13"/>
        <v>0</v>
      </c>
      <c r="AB204" s="43"/>
      <c r="AC204" s="43"/>
      <c r="AD204" s="43"/>
      <c r="AE204" s="43"/>
      <c r="AF204" s="43"/>
      <c r="AG204" s="43"/>
      <c r="AH204" s="43"/>
      <c r="AI204" s="43"/>
    </row>
    <row r="205" spans="1:35" ht="15.75">
      <c r="A205" s="88">
        <v>6508</v>
      </c>
      <c r="B205" s="1032" t="s">
        <v>661</v>
      </c>
      <c r="C205" s="1033"/>
      <c r="D205" s="1033"/>
      <c r="E205" s="1033"/>
      <c r="F205" s="1033"/>
      <c r="G205" s="1033"/>
      <c r="H205" s="1033"/>
      <c r="I205" s="1033"/>
      <c r="J205" s="1033"/>
      <c r="K205" s="1033"/>
      <c r="L205" s="90"/>
      <c r="M205" s="51" t="s">
        <v>265</v>
      </c>
      <c r="N205" s="113">
        <f t="shared" si="15"/>
        <v>6508</v>
      </c>
      <c r="O205" s="954">
        <v>0</v>
      </c>
      <c r="P205" s="888">
        <v>0</v>
      </c>
      <c r="Q205" s="51"/>
      <c r="R205" s="604">
        <v>0</v>
      </c>
      <c r="S205" s="891">
        <v>0</v>
      </c>
      <c r="T205" s="51"/>
      <c r="U205" s="960">
        <v>0</v>
      </c>
      <c r="V205" s="888">
        <v>0</v>
      </c>
      <c r="W205" s="51"/>
      <c r="X205" s="1612">
        <v>0</v>
      </c>
      <c r="Y205" s="1614">
        <f>+ROUND(+P205+S205+V205,2)</f>
        <v>0</v>
      </c>
      <c r="Z205" s="43"/>
      <c r="AA205" s="1621">
        <f t="shared" si="13"/>
        <v>0</v>
      </c>
      <c r="AB205" s="43"/>
      <c r="AC205" s="43"/>
      <c r="AD205" s="43"/>
      <c r="AE205" s="43"/>
      <c r="AF205" s="43"/>
      <c r="AG205" s="43"/>
      <c r="AH205" s="43"/>
      <c r="AI205" s="43"/>
    </row>
    <row r="206" spans="1:35" ht="15.75">
      <c r="A206" s="88">
        <v>6711</v>
      </c>
      <c r="B206" s="1033" t="s">
        <v>662</v>
      </c>
      <c r="C206" s="1033"/>
      <c r="D206" s="1033"/>
      <c r="E206" s="1033"/>
      <c r="F206" s="1033"/>
      <c r="G206" s="1033"/>
      <c r="H206" s="1033"/>
      <c r="I206" s="1033"/>
      <c r="J206" s="1033"/>
      <c r="K206" s="1033"/>
      <c r="L206" s="90"/>
      <c r="M206" s="51" t="s">
        <v>265</v>
      </c>
      <c r="N206" s="113">
        <f t="shared" si="15"/>
        <v>6711</v>
      </c>
      <c r="O206" s="120">
        <v>0</v>
      </c>
      <c r="P206" s="890">
        <v>0</v>
      </c>
      <c r="Q206" s="51"/>
      <c r="R206" s="581">
        <v>0</v>
      </c>
      <c r="S206" s="605">
        <v>0</v>
      </c>
      <c r="T206" s="51"/>
      <c r="U206" s="120">
        <v>0</v>
      </c>
      <c r="V206" s="892">
        <v>0</v>
      </c>
      <c r="W206" s="51"/>
      <c r="X206" s="1613">
        <f>+ROUND(+O206+R206+U206,2)</f>
        <v>0</v>
      </c>
      <c r="Y206" s="1611">
        <v>0</v>
      </c>
      <c r="Z206" s="43"/>
      <c r="AA206" s="1621">
        <f t="shared" si="13"/>
        <v>0</v>
      </c>
      <c r="AB206" s="43"/>
      <c r="AC206" s="43"/>
      <c r="AD206" s="43"/>
      <c r="AE206" s="43"/>
      <c r="AF206" s="43"/>
      <c r="AG206" s="43"/>
      <c r="AH206" s="43"/>
      <c r="AI206" s="43"/>
    </row>
    <row r="207" spans="1:35" ht="15.75">
      <c r="A207" s="88">
        <v>6713</v>
      </c>
      <c r="B207" s="1033" t="s">
        <v>663</v>
      </c>
      <c r="C207" s="1033"/>
      <c r="D207" s="1033"/>
      <c r="E207" s="1033"/>
      <c r="F207" s="1033"/>
      <c r="G207" s="1033"/>
      <c r="H207" s="1033"/>
      <c r="I207" s="1033"/>
      <c r="J207" s="1033"/>
      <c r="K207" s="1033"/>
      <c r="L207" s="90"/>
      <c r="M207" s="51" t="s">
        <v>265</v>
      </c>
      <c r="N207" s="113">
        <f t="shared" si="15"/>
        <v>6713</v>
      </c>
      <c r="O207" s="120">
        <v>0</v>
      </c>
      <c r="P207" s="890">
        <v>0</v>
      </c>
      <c r="Q207" s="51"/>
      <c r="R207" s="581">
        <v>0</v>
      </c>
      <c r="S207" s="605">
        <v>0</v>
      </c>
      <c r="T207" s="51"/>
      <c r="U207" s="120">
        <v>0</v>
      </c>
      <c r="V207" s="892">
        <v>0</v>
      </c>
      <c r="W207" s="51"/>
      <c r="X207" s="1613">
        <f>+ROUND(+O207+R207+U207,2)</f>
        <v>0</v>
      </c>
      <c r="Y207" s="1611">
        <v>0</v>
      </c>
      <c r="Z207" s="43"/>
      <c r="AA207" s="1621">
        <f t="shared" si="13"/>
        <v>0</v>
      </c>
      <c r="AB207" s="43"/>
      <c r="AC207" s="43"/>
      <c r="AD207" s="43"/>
      <c r="AE207" s="43"/>
      <c r="AF207" s="43"/>
      <c r="AG207" s="43"/>
      <c r="AH207" s="43"/>
      <c r="AI207" s="43"/>
    </row>
    <row r="208" spans="1:35" ht="15.75">
      <c r="A208" s="88">
        <v>6717</v>
      </c>
      <c r="B208" s="1033" t="s">
        <v>9</v>
      </c>
      <c r="C208" s="1033"/>
      <c r="D208" s="1033"/>
      <c r="E208" s="1033"/>
      <c r="F208" s="1033"/>
      <c r="G208" s="1033"/>
      <c r="H208" s="1033"/>
      <c r="I208" s="1033"/>
      <c r="J208" s="1033"/>
      <c r="K208" s="1033"/>
      <c r="L208" s="90"/>
      <c r="M208" s="51" t="s">
        <v>265</v>
      </c>
      <c r="N208" s="113">
        <f t="shared" si="15"/>
        <v>6717</v>
      </c>
      <c r="O208" s="120">
        <v>0</v>
      </c>
      <c r="P208" s="890">
        <v>0</v>
      </c>
      <c r="Q208" s="51"/>
      <c r="R208" s="581">
        <v>0</v>
      </c>
      <c r="S208" s="605">
        <v>0</v>
      </c>
      <c r="T208" s="51"/>
      <c r="U208" s="120">
        <v>0</v>
      </c>
      <c r="V208" s="892">
        <v>0</v>
      </c>
      <c r="W208" s="51"/>
      <c r="X208" s="1613">
        <f>+ROUND(+O208+R208+U208,2)</f>
        <v>0</v>
      </c>
      <c r="Y208" s="1611">
        <v>0</v>
      </c>
      <c r="Z208" s="43"/>
      <c r="AA208" s="1621">
        <f t="shared" si="13"/>
        <v>0</v>
      </c>
      <c r="AB208" s="43"/>
      <c r="AC208" s="43"/>
      <c r="AD208" s="43"/>
      <c r="AE208" s="43"/>
      <c r="AF208" s="43"/>
      <c r="AG208" s="43"/>
      <c r="AH208" s="43"/>
      <c r="AI208" s="43"/>
    </row>
    <row r="209" spans="1:35" ht="15.75">
      <c r="A209" s="88">
        <v>6721</v>
      </c>
      <c r="B209" s="1033" t="s">
        <v>10</v>
      </c>
      <c r="C209" s="1033"/>
      <c r="D209" s="1033"/>
      <c r="E209" s="1033"/>
      <c r="F209" s="1033"/>
      <c r="G209" s="1033"/>
      <c r="H209" s="1033"/>
      <c r="I209" s="1033"/>
      <c r="J209" s="1033"/>
      <c r="K209" s="1033"/>
      <c r="L209" s="90"/>
      <c r="M209" s="51" t="s">
        <v>265</v>
      </c>
      <c r="N209" s="113">
        <f t="shared" si="15"/>
        <v>6721</v>
      </c>
      <c r="O209" s="954">
        <v>0</v>
      </c>
      <c r="P209" s="888">
        <v>0</v>
      </c>
      <c r="Q209" s="51"/>
      <c r="R209" s="604">
        <v>0</v>
      </c>
      <c r="S209" s="891">
        <v>0</v>
      </c>
      <c r="T209" s="51"/>
      <c r="U209" s="960">
        <v>0</v>
      </c>
      <c r="V209" s="888">
        <v>0</v>
      </c>
      <c r="W209" s="51"/>
      <c r="X209" s="1612">
        <v>0</v>
      </c>
      <c r="Y209" s="1614">
        <f>+ROUND(+P209+S209+V209,2)</f>
        <v>0</v>
      </c>
      <c r="Z209" s="43"/>
      <c r="AA209" s="1621">
        <f t="shared" ref="AA209:AA233" si="18">+ROUND(+SUM(X209-Y209)-SUM(O209-P209)-SUM(R209-S209)-SUM(U209-V209),2)</f>
        <v>0</v>
      </c>
      <c r="AB209" s="43"/>
      <c r="AC209" s="43"/>
      <c r="AD209" s="43"/>
      <c r="AE209" s="43"/>
      <c r="AF209" s="43"/>
      <c r="AG209" s="43"/>
      <c r="AH209" s="43"/>
      <c r="AI209" s="43"/>
    </row>
    <row r="210" spans="1:35" ht="15.75">
      <c r="A210" s="88">
        <v>6723</v>
      </c>
      <c r="B210" s="1033" t="s">
        <v>11</v>
      </c>
      <c r="C210" s="1033"/>
      <c r="D210" s="1033"/>
      <c r="E210" s="1033"/>
      <c r="F210" s="1033"/>
      <c r="G210" s="1033"/>
      <c r="H210" s="1033"/>
      <c r="I210" s="1033"/>
      <c r="J210" s="1033"/>
      <c r="K210" s="1033"/>
      <c r="L210" s="90"/>
      <c r="M210" s="51" t="s">
        <v>265</v>
      </c>
      <c r="N210" s="113">
        <f t="shared" si="15"/>
        <v>6723</v>
      </c>
      <c r="O210" s="954">
        <v>0</v>
      </c>
      <c r="P210" s="888">
        <v>0</v>
      </c>
      <c r="Q210" s="51"/>
      <c r="R210" s="604">
        <v>0</v>
      </c>
      <c r="S210" s="891">
        <v>0</v>
      </c>
      <c r="T210" s="51"/>
      <c r="U210" s="960">
        <v>0</v>
      </c>
      <c r="V210" s="888">
        <v>0</v>
      </c>
      <c r="W210" s="51"/>
      <c r="X210" s="1612">
        <v>0</v>
      </c>
      <c r="Y210" s="1614">
        <f>+ROUND(+P210+S210+V210,2)</f>
        <v>0</v>
      </c>
      <c r="Z210" s="43"/>
      <c r="AA210" s="1621">
        <f t="shared" si="18"/>
        <v>0</v>
      </c>
      <c r="AB210" s="43"/>
      <c r="AC210" s="43"/>
      <c r="AD210" s="43"/>
      <c r="AE210" s="43"/>
      <c r="AF210" s="43"/>
      <c r="AG210" s="43"/>
      <c r="AH210" s="43"/>
      <c r="AI210" s="43"/>
    </row>
    <row r="211" spans="1:35" ht="15.75">
      <c r="A211" s="88">
        <v>6727</v>
      </c>
      <c r="B211" s="1033" t="s">
        <v>12</v>
      </c>
      <c r="C211" s="1033"/>
      <c r="D211" s="1033"/>
      <c r="E211" s="1033"/>
      <c r="F211" s="1033"/>
      <c r="G211" s="1033"/>
      <c r="H211" s="1033"/>
      <c r="I211" s="1033"/>
      <c r="J211" s="1033"/>
      <c r="K211" s="1033"/>
      <c r="L211" s="90"/>
      <c r="M211" s="51" t="s">
        <v>265</v>
      </c>
      <c r="N211" s="113">
        <f t="shared" si="15"/>
        <v>6727</v>
      </c>
      <c r="O211" s="954">
        <v>0</v>
      </c>
      <c r="P211" s="888">
        <v>0</v>
      </c>
      <c r="Q211" s="51"/>
      <c r="R211" s="604">
        <v>0</v>
      </c>
      <c r="S211" s="891">
        <v>0</v>
      </c>
      <c r="T211" s="51"/>
      <c r="U211" s="960">
        <v>0</v>
      </c>
      <c r="V211" s="888">
        <v>0</v>
      </c>
      <c r="W211" s="51"/>
      <c r="X211" s="1612">
        <v>0</v>
      </c>
      <c r="Y211" s="1614">
        <f>+ROUND(+P211+S211+V211,2)</f>
        <v>0</v>
      </c>
      <c r="Z211" s="43"/>
      <c r="AA211" s="1621">
        <f t="shared" si="18"/>
        <v>0</v>
      </c>
      <c r="AB211" s="43"/>
      <c r="AC211" s="43"/>
      <c r="AD211" s="43"/>
      <c r="AE211" s="43"/>
      <c r="AF211" s="43"/>
      <c r="AG211" s="43"/>
      <c r="AH211" s="43"/>
      <c r="AI211" s="43"/>
    </row>
    <row r="212" spans="1:35" ht="15.75">
      <c r="A212" s="88">
        <v>6791</v>
      </c>
      <c r="B212" s="378" t="s">
        <v>13</v>
      </c>
      <c r="C212" s="1033"/>
      <c r="D212" s="1033"/>
      <c r="E212" s="1033"/>
      <c r="F212" s="1033"/>
      <c r="G212" s="1033"/>
      <c r="H212" s="1033"/>
      <c r="I212" s="1033"/>
      <c r="J212" s="1033"/>
      <c r="K212" s="1033"/>
      <c r="L212" s="90"/>
      <c r="M212" s="51" t="s">
        <v>265</v>
      </c>
      <c r="N212" s="113">
        <f t="shared" si="15"/>
        <v>6791</v>
      </c>
      <c r="O212" s="120">
        <v>0</v>
      </c>
      <c r="P212" s="890">
        <v>0</v>
      </c>
      <c r="Q212" s="51"/>
      <c r="R212" s="581">
        <v>0</v>
      </c>
      <c r="S212" s="605">
        <v>0</v>
      </c>
      <c r="T212" s="51"/>
      <c r="U212" s="120">
        <v>0</v>
      </c>
      <c r="V212" s="892">
        <v>0</v>
      </c>
      <c r="W212" s="51"/>
      <c r="X212" s="1613">
        <f t="shared" ref="X212:X233" si="19">+ROUND(+O212+R212+U212,2)</f>
        <v>0</v>
      </c>
      <c r="Y212" s="1611">
        <v>0</v>
      </c>
      <c r="Z212" s="43"/>
      <c r="AA212" s="1621">
        <f t="shared" si="18"/>
        <v>0</v>
      </c>
      <c r="AB212" s="43"/>
      <c r="AC212" s="43"/>
      <c r="AD212" s="43"/>
      <c r="AE212" s="43"/>
      <c r="AF212" s="43"/>
      <c r="AG212" s="43"/>
      <c r="AH212" s="43"/>
      <c r="AI212" s="43"/>
    </row>
    <row r="213" spans="1:35" ht="15.75">
      <c r="A213" s="88">
        <v>6799</v>
      </c>
      <c r="B213" s="378" t="s">
        <v>14</v>
      </c>
      <c r="C213" s="1033"/>
      <c r="D213" s="1033"/>
      <c r="E213" s="1033"/>
      <c r="F213" s="1033"/>
      <c r="G213" s="1033"/>
      <c r="H213" s="1033"/>
      <c r="I213" s="1033"/>
      <c r="J213" s="1033"/>
      <c r="K213" s="1033"/>
      <c r="L213" s="90"/>
      <c r="M213" s="51" t="s">
        <v>265</v>
      </c>
      <c r="N213" s="113">
        <f t="shared" si="15"/>
        <v>6799</v>
      </c>
      <c r="O213" s="954">
        <v>0</v>
      </c>
      <c r="P213" s="888">
        <v>0</v>
      </c>
      <c r="Q213" s="51"/>
      <c r="R213" s="604">
        <v>0</v>
      </c>
      <c r="S213" s="891">
        <v>0</v>
      </c>
      <c r="T213" s="51"/>
      <c r="U213" s="120">
        <v>0</v>
      </c>
      <c r="V213" s="888">
        <v>0</v>
      </c>
      <c r="W213" s="51"/>
      <c r="X213" s="1613">
        <f t="shared" si="19"/>
        <v>0</v>
      </c>
      <c r="Y213" s="1614">
        <f t="shared" ref="Y213:Y233" si="20">+ROUND(+P213+S213+V213,2)</f>
        <v>0</v>
      </c>
      <c r="Z213" s="43"/>
      <c r="AA213" s="1621">
        <f t="shared" si="18"/>
        <v>0</v>
      </c>
      <c r="AB213" s="43"/>
      <c r="AC213" s="43"/>
      <c r="AD213" s="43"/>
      <c r="AE213" s="43"/>
      <c r="AF213" s="43"/>
      <c r="AG213" s="43"/>
      <c r="AH213" s="43"/>
      <c r="AI213" s="43"/>
    </row>
    <row r="214" spans="1:35" ht="15.75">
      <c r="A214" s="88">
        <v>6901</v>
      </c>
      <c r="B214" s="378" t="s">
        <v>15</v>
      </c>
      <c r="C214" s="1033"/>
      <c r="D214" s="1033"/>
      <c r="E214" s="1033"/>
      <c r="F214" s="1033"/>
      <c r="G214" s="1033"/>
      <c r="H214" s="1033"/>
      <c r="I214" s="1033"/>
      <c r="J214" s="1033"/>
      <c r="K214" s="1033"/>
      <c r="L214" s="90"/>
      <c r="M214" s="51" t="s">
        <v>265</v>
      </c>
      <c r="N214" s="113">
        <f t="shared" si="15"/>
        <v>6901</v>
      </c>
      <c r="O214" s="120">
        <v>0</v>
      </c>
      <c r="P214" s="888">
        <v>0</v>
      </c>
      <c r="Q214" s="51"/>
      <c r="R214" s="581">
        <v>0</v>
      </c>
      <c r="S214" s="891">
        <v>0</v>
      </c>
      <c r="T214" s="51"/>
      <c r="U214" s="120">
        <v>0</v>
      </c>
      <c r="V214" s="888">
        <v>0</v>
      </c>
      <c r="W214" s="51"/>
      <c r="X214" s="1613">
        <f t="shared" si="19"/>
        <v>0</v>
      </c>
      <c r="Y214" s="1614">
        <f t="shared" si="20"/>
        <v>0</v>
      </c>
      <c r="Z214" s="43"/>
      <c r="AA214" s="1621">
        <f t="shared" si="18"/>
        <v>0</v>
      </c>
      <c r="AB214" s="43"/>
      <c r="AC214" s="43"/>
      <c r="AD214" s="43"/>
      <c r="AE214" s="43"/>
      <c r="AF214" s="43"/>
      <c r="AG214" s="43"/>
      <c r="AH214" s="43"/>
      <c r="AI214" s="43"/>
    </row>
    <row r="215" spans="1:35" ht="15.75">
      <c r="A215" s="88">
        <v>6902</v>
      </c>
      <c r="B215" s="378" t="s">
        <v>16</v>
      </c>
      <c r="C215" s="1033"/>
      <c r="D215" s="1033"/>
      <c r="E215" s="1033"/>
      <c r="F215" s="1033"/>
      <c r="G215" s="1033"/>
      <c r="H215" s="1033"/>
      <c r="I215" s="1033"/>
      <c r="J215" s="1033"/>
      <c r="K215" s="1033"/>
      <c r="L215" s="90"/>
      <c r="M215" s="51" t="s">
        <v>265</v>
      </c>
      <c r="N215" s="113">
        <f t="shared" si="15"/>
        <v>6902</v>
      </c>
      <c r="O215" s="120">
        <v>0</v>
      </c>
      <c r="P215" s="888">
        <v>0</v>
      </c>
      <c r="Q215" s="51"/>
      <c r="R215" s="581">
        <v>0</v>
      </c>
      <c r="S215" s="891">
        <v>0</v>
      </c>
      <c r="T215" s="51"/>
      <c r="U215" s="120">
        <v>0</v>
      </c>
      <c r="V215" s="888">
        <v>0</v>
      </c>
      <c r="W215" s="51"/>
      <c r="X215" s="1613">
        <f t="shared" si="19"/>
        <v>0</v>
      </c>
      <c r="Y215" s="1614">
        <f t="shared" si="20"/>
        <v>0</v>
      </c>
      <c r="Z215" s="43"/>
      <c r="AA215" s="1621">
        <f t="shared" si="18"/>
        <v>0</v>
      </c>
      <c r="AB215" s="43"/>
      <c r="AC215" s="43"/>
      <c r="AD215" s="43"/>
      <c r="AE215" s="43"/>
      <c r="AF215" s="43"/>
      <c r="AG215" s="43"/>
      <c r="AH215" s="43"/>
      <c r="AI215" s="43"/>
    </row>
    <row r="216" spans="1:35" ht="15.75">
      <c r="A216" s="88">
        <v>6903</v>
      </c>
      <c r="B216" s="378" t="s">
        <v>17</v>
      </c>
      <c r="C216" s="1033"/>
      <c r="D216" s="1033"/>
      <c r="E216" s="1033"/>
      <c r="F216" s="1033"/>
      <c r="G216" s="1033"/>
      <c r="H216" s="1033"/>
      <c r="I216" s="1033"/>
      <c r="J216" s="1033"/>
      <c r="K216" s="1033"/>
      <c r="L216" s="90"/>
      <c r="M216" s="51" t="s">
        <v>265</v>
      </c>
      <c r="N216" s="113">
        <f t="shared" si="15"/>
        <v>6903</v>
      </c>
      <c r="O216" s="120">
        <v>0</v>
      </c>
      <c r="P216" s="888">
        <v>0</v>
      </c>
      <c r="Q216" s="51"/>
      <c r="R216" s="581">
        <v>0</v>
      </c>
      <c r="S216" s="891">
        <v>0</v>
      </c>
      <c r="T216" s="51"/>
      <c r="U216" s="120">
        <v>0</v>
      </c>
      <c r="V216" s="888">
        <v>0</v>
      </c>
      <c r="W216" s="51"/>
      <c r="X216" s="1613">
        <f t="shared" si="19"/>
        <v>0</v>
      </c>
      <c r="Y216" s="1614">
        <f t="shared" si="20"/>
        <v>0</v>
      </c>
      <c r="Z216" s="43"/>
      <c r="AA216" s="1621">
        <f t="shared" si="18"/>
        <v>0</v>
      </c>
      <c r="AB216" s="43"/>
      <c r="AC216" s="43"/>
      <c r="AD216" s="43"/>
      <c r="AE216" s="43"/>
      <c r="AF216" s="43"/>
      <c r="AG216" s="43"/>
      <c r="AH216" s="43"/>
      <c r="AI216" s="43"/>
    </row>
    <row r="217" spans="1:35" ht="15.75">
      <c r="A217" s="88">
        <v>6904</v>
      </c>
      <c r="B217" s="378" t="s">
        <v>18</v>
      </c>
      <c r="C217" s="1033"/>
      <c r="D217" s="1033"/>
      <c r="E217" s="1033"/>
      <c r="F217" s="1033"/>
      <c r="G217" s="1033"/>
      <c r="H217" s="1033"/>
      <c r="I217" s="1033"/>
      <c r="J217" s="1033"/>
      <c r="K217" s="1033"/>
      <c r="L217" s="90"/>
      <c r="M217" s="51" t="s">
        <v>265</v>
      </c>
      <c r="N217" s="113">
        <f t="shared" si="15"/>
        <v>6904</v>
      </c>
      <c r="O217" s="120">
        <v>0</v>
      </c>
      <c r="P217" s="888">
        <v>0</v>
      </c>
      <c r="Q217" s="51"/>
      <c r="R217" s="581">
        <v>0</v>
      </c>
      <c r="S217" s="891">
        <v>0</v>
      </c>
      <c r="T217" s="51"/>
      <c r="U217" s="120">
        <v>0</v>
      </c>
      <c r="V217" s="888">
        <v>0</v>
      </c>
      <c r="W217" s="51"/>
      <c r="X217" s="1613">
        <f t="shared" si="19"/>
        <v>0</v>
      </c>
      <c r="Y217" s="1614">
        <f t="shared" si="20"/>
        <v>0</v>
      </c>
      <c r="Z217" s="43"/>
      <c r="AA217" s="1621">
        <f t="shared" si="18"/>
        <v>0</v>
      </c>
      <c r="AB217" s="43"/>
      <c r="AC217" s="43"/>
      <c r="AD217" s="43"/>
      <c r="AE217" s="43"/>
      <c r="AF217" s="43"/>
      <c r="AG217" s="43"/>
      <c r="AH217" s="43"/>
      <c r="AI217" s="43"/>
    </row>
    <row r="218" spans="1:35" ht="15.75">
      <c r="A218" s="88">
        <v>6905</v>
      </c>
      <c r="B218" s="378" t="s">
        <v>19</v>
      </c>
      <c r="C218" s="1033"/>
      <c r="D218" s="1033"/>
      <c r="E218" s="1033"/>
      <c r="F218" s="1033"/>
      <c r="G218" s="1033"/>
      <c r="H218" s="1033"/>
      <c r="I218" s="1033"/>
      <c r="J218" s="1033"/>
      <c r="K218" s="1033"/>
      <c r="L218" s="90"/>
      <c r="M218" s="51" t="s">
        <v>265</v>
      </c>
      <c r="N218" s="113">
        <f t="shared" si="15"/>
        <v>6905</v>
      </c>
      <c r="O218" s="120">
        <v>0</v>
      </c>
      <c r="P218" s="888">
        <v>0</v>
      </c>
      <c r="Q218" s="51"/>
      <c r="R218" s="581">
        <v>0</v>
      </c>
      <c r="S218" s="891">
        <v>0</v>
      </c>
      <c r="T218" s="51"/>
      <c r="U218" s="120">
        <v>0</v>
      </c>
      <c r="V218" s="888">
        <v>0</v>
      </c>
      <c r="W218" s="51"/>
      <c r="X218" s="1613">
        <f t="shared" si="19"/>
        <v>0</v>
      </c>
      <c r="Y218" s="1614">
        <f t="shared" si="20"/>
        <v>0</v>
      </c>
      <c r="Z218" s="43"/>
      <c r="AA218" s="1621">
        <f t="shared" si="18"/>
        <v>0</v>
      </c>
      <c r="AB218" s="43"/>
      <c r="AC218" s="43"/>
      <c r="AD218" s="43"/>
      <c r="AE218" s="43"/>
      <c r="AF218" s="43"/>
      <c r="AG218" s="43"/>
      <c r="AH218" s="43"/>
      <c r="AI218" s="43"/>
    </row>
    <row r="219" spans="1:35" ht="15.75">
      <c r="A219" s="88">
        <v>6906</v>
      </c>
      <c r="B219" s="378" t="s">
        <v>20</v>
      </c>
      <c r="C219" s="1033"/>
      <c r="D219" s="1033"/>
      <c r="E219" s="1033"/>
      <c r="F219" s="1033"/>
      <c r="G219" s="1033"/>
      <c r="H219" s="1033"/>
      <c r="I219" s="1033"/>
      <c r="J219" s="1033"/>
      <c r="K219" s="1033"/>
      <c r="L219" s="90"/>
      <c r="M219" s="51" t="s">
        <v>265</v>
      </c>
      <c r="N219" s="113">
        <f t="shared" si="15"/>
        <v>6906</v>
      </c>
      <c r="O219" s="120">
        <v>0</v>
      </c>
      <c r="P219" s="888">
        <v>0</v>
      </c>
      <c r="Q219" s="51"/>
      <c r="R219" s="581">
        <v>0</v>
      </c>
      <c r="S219" s="891">
        <v>0</v>
      </c>
      <c r="T219" s="51"/>
      <c r="U219" s="120">
        <v>0</v>
      </c>
      <c r="V219" s="888">
        <v>0</v>
      </c>
      <c r="W219" s="51"/>
      <c r="X219" s="1613">
        <f t="shared" si="19"/>
        <v>0</v>
      </c>
      <c r="Y219" s="1614">
        <f t="shared" si="20"/>
        <v>0</v>
      </c>
      <c r="Z219" s="43"/>
      <c r="AA219" s="1621">
        <f t="shared" si="18"/>
        <v>0</v>
      </c>
      <c r="AB219" s="43"/>
      <c r="AC219" s="43"/>
      <c r="AD219" s="43"/>
      <c r="AE219" s="43"/>
      <c r="AF219" s="43"/>
      <c r="AG219" s="43"/>
      <c r="AH219" s="43"/>
      <c r="AI219" s="43"/>
    </row>
    <row r="220" spans="1:35" ht="15.75">
      <c r="A220" s="88">
        <v>6910</v>
      </c>
      <c r="B220" s="378" t="s">
        <v>21</v>
      </c>
      <c r="C220" s="1033"/>
      <c r="D220" s="1033"/>
      <c r="E220" s="1033"/>
      <c r="F220" s="1033"/>
      <c r="G220" s="1033"/>
      <c r="H220" s="1033"/>
      <c r="I220" s="1033"/>
      <c r="J220" s="1033"/>
      <c r="K220" s="1033"/>
      <c r="L220" s="90"/>
      <c r="M220" s="51" t="s">
        <v>265</v>
      </c>
      <c r="N220" s="113">
        <f t="shared" si="15"/>
        <v>6910</v>
      </c>
      <c r="O220" s="120">
        <v>0</v>
      </c>
      <c r="P220" s="888">
        <v>0</v>
      </c>
      <c r="Q220" s="51"/>
      <c r="R220" s="581">
        <v>0</v>
      </c>
      <c r="S220" s="891">
        <v>0</v>
      </c>
      <c r="T220" s="51"/>
      <c r="U220" s="120">
        <v>0</v>
      </c>
      <c r="V220" s="888">
        <v>0</v>
      </c>
      <c r="W220" s="51"/>
      <c r="X220" s="1613">
        <f t="shared" si="19"/>
        <v>0</v>
      </c>
      <c r="Y220" s="1614">
        <f t="shared" si="20"/>
        <v>0</v>
      </c>
      <c r="Z220" s="43"/>
      <c r="AA220" s="1621">
        <f t="shared" si="18"/>
        <v>0</v>
      </c>
      <c r="AB220" s="43"/>
      <c r="AC220" s="43"/>
      <c r="AD220" s="43"/>
      <c r="AE220" s="43"/>
      <c r="AF220" s="43"/>
      <c r="AG220" s="43"/>
      <c r="AH220" s="43"/>
      <c r="AI220" s="43"/>
    </row>
    <row r="221" spans="1:35" ht="15.75">
      <c r="A221" s="88">
        <v>6911</v>
      </c>
      <c r="B221" s="1033" t="s">
        <v>22</v>
      </c>
      <c r="C221" s="1033"/>
      <c r="D221" s="1033"/>
      <c r="E221" s="1033"/>
      <c r="F221" s="1033"/>
      <c r="G221" s="1033"/>
      <c r="H221" s="1033"/>
      <c r="I221" s="1033"/>
      <c r="J221" s="1033"/>
      <c r="K221" s="1033"/>
      <c r="L221" s="90"/>
      <c r="M221" s="51" t="s">
        <v>265</v>
      </c>
      <c r="N221" s="113">
        <f t="shared" si="15"/>
        <v>6911</v>
      </c>
      <c r="O221" s="120">
        <v>0</v>
      </c>
      <c r="P221" s="888">
        <v>0</v>
      </c>
      <c r="Q221" s="51"/>
      <c r="R221" s="581">
        <v>0</v>
      </c>
      <c r="S221" s="891">
        <v>0</v>
      </c>
      <c r="T221" s="51"/>
      <c r="U221" s="120">
        <v>0</v>
      </c>
      <c r="V221" s="888">
        <v>0</v>
      </c>
      <c r="W221" s="51"/>
      <c r="X221" s="1613">
        <f t="shared" si="19"/>
        <v>0</v>
      </c>
      <c r="Y221" s="1614">
        <f t="shared" si="20"/>
        <v>0</v>
      </c>
      <c r="Z221" s="43"/>
      <c r="AA221" s="1621">
        <f t="shared" si="18"/>
        <v>0</v>
      </c>
      <c r="AB221" s="43"/>
      <c r="AC221" s="43"/>
      <c r="AD221" s="43"/>
      <c r="AE221" s="43"/>
      <c r="AF221" s="43"/>
      <c r="AG221" s="43"/>
      <c r="AH221" s="43"/>
      <c r="AI221" s="43"/>
    </row>
    <row r="222" spans="1:35" ht="15.75">
      <c r="A222" s="88">
        <v>6912</v>
      </c>
      <c r="B222" s="1033" t="s">
        <v>23</v>
      </c>
      <c r="C222" s="1033"/>
      <c r="D222" s="1033"/>
      <c r="E222" s="1033"/>
      <c r="F222" s="1033"/>
      <c r="G222" s="1033"/>
      <c r="H222" s="1033"/>
      <c r="I222" s="1033"/>
      <c r="J222" s="1033"/>
      <c r="K222" s="1033"/>
      <c r="L222" s="90"/>
      <c r="M222" s="51" t="s">
        <v>265</v>
      </c>
      <c r="N222" s="113">
        <f t="shared" si="15"/>
        <v>6912</v>
      </c>
      <c r="O222" s="120">
        <v>0</v>
      </c>
      <c r="P222" s="888">
        <v>0</v>
      </c>
      <c r="Q222" s="51"/>
      <c r="R222" s="581">
        <v>0</v>
      </c>
      <c r="S222" s="891">
        <v>0</v>
      </c>
      <c r="T222" s="51"/>
      <c r="U222" s="120">
        <v>0</v>
      </c>
      <c r="V222" s="888">
        <v>0</v>
      </c>
      <c r="W222" s="51"/>
      <c r="X222" s="1613">
        <f t="shared" si="19"/>
        <v>0</v>
      </c>
      <c r="Y222" s="1614">
        <f t="shared" si="20"/>
        <v>0</v>
      </c>
      <c r="Z222" s="43"/>
      <c r="AA222" s="1621">
        <f t="shared" si="18"/>
        <v>0</v>
      </c>
      <c r="AB222" s="43"/>
      <c r="AC222" s="43"/>
      <c r="AD222" s="43"/>
      <c r="AE222" s="43"/>
      <c r="AF222" s="43"/>
      <c r="AG222" s="43"/>
      <c r="AH222" s="43"/>
      <c r="AI222" s="43"/>
    </row>
    <row r="223" spans="1:35" ht="15.75">
      <c r="A223" s="88">
        <v>6915</v>
      </c>
      <c r="B223" s="1033" t="s">
        <v>24</v>
      </c>
      <c r="C223" s="1033"/>
      <c r="D223" s="1033"/>
      <c r="E223" s="1033"/>
      <c r="F223" s="1033"/>
      <c r="G223" s="1033"/>
      <c r="H223" s="1033"/>
      <c r="I223" s="1033"/>
      <c r="J223" s="1033"/>
      <c r="K223" s="1033"/>
      <c r="L223" s="90"/>
      <c r="M223" s="51" t="s">
        <v>265</v>
      </c>
      <c r="N223" s="113">
        <f>+A223</f>
        <v>6915</v>
      </c>
      <c r="O223" s="120">
        <v>0</v>
      </c>
      <c r="P223" s="888">
        <v>0</v>
      </c>
      <c r="Q223" s="51"/>
      <c r="R223" s="581">
        <v>0</v>
      </c>
      <c r="S223" s="891">
        <v>0</v>
      </c>
      <c r="T223" s="51"/>
      <c r="U223" s="120">
        <v>0</v>
      </c>
      <c r="V223" s="888">
        <v>0</v>
      </c>
      <c r="W223" s="51"/>
      <c r="X223" s="1613">
        <f t="shared" si="19"/>
        <v>0</v>
      </c>
      <c r="Y223" s="1614">
        <f t="shared" si="20"/>
        <v>0</v>
      </c>
      <c r="Z223" s="43"/>
      <c r="AA223" s="1621">
        <f t="shared" si="18"/>
        <v>0</v>
      </c>
      <c r="AB223" s="43"/>
      <c r="AC223" s="43"/>
      <c r="AD223" s="43"/>
      <c r="AE223" s="43"/>
      <c r="AF223" s="43"/>
      <c r="AG223" s="43"/>
      <c r="AH223" s="43"/>
      <c r="AI223" s="43"/>
    </row>
    <row r="224" spans="1:35" ht="15.75">
      <c r="A224" s="88">
        <v>6916</v>
      </c>
      <c r="B224" s="1033" t="s">
        <v>25</v>
      </c>
      <c r="C224" s="1033"/>
      <c r="D224" s="1033"/>
      <c r="E224" s="1033"/>
      <c r="F224" s="1033"/>
      <c r="G224" s="1033"/>
      <c r="H224" s="1033"/>
      <c r="I224" s="1033"/>
      <c r="J224" s="1033"/>
      <c r="K224" s="1033"/>
      <c r="L224" s="90"/>
      <c r="M224" s="51" t="s">
        <v>265</v>
      </c>
      <c r="N224" s="113">
        <f>+A224</f>
        <v>6916</v>
      </c>
      <c r="O224" s="120">
        <v>0</v>
      </c>
      <c r="P224" s="888">
        <v>0</v>
      </c>
      <c r="Q224" s="51"/>
      <c r="R224" s="581">
        <v>0</v>
      </c>
      <c r="S224" s="891">
        <v>0</v>
      </c>
      <c r="T224" s="51"/>
      <c r="U224" s="120">
        <v>0</v>
      </c>
      <c r="V224" s="888">
        <v>0</v>
      </c>
      <c r="W224" s="51"/>
      <c r="X224" s="1613">
        <f t="shared" si="19"/>
        <v>0</v>
      </c>
      <c r="Y224" s="1614">
        <f t="shared" si="20"/>
        <v>0</v>
      </c>
      <c r="Z224" s="43"/>
      <c r="AA224" s="1621">
        <f t="shared" si="18"/>
        <v>0</v>
      </c>
      <c r="AB224" s="43"/>
      <c r="AC224" s="43"/>
      <c r="AD224" s="43"/>
      <c r="AE224" s="43"/>
      <c r="AF224" s="43"/>
      <c r="AG224" s="43"/>
      <c r="AH224" s="43"/>
      <c r="AI224" s="43"/>
    </row>
    <row r="225" spans="1:35" ht="15.75">
      <c r="A225" s="88">
        <v>6917</v>
      </c>
      <c r="B225" s="1033" t="s">
        <v>26</v>
      </c>
      <c r="C225" s="1033"/>
      <c r="D225" s="1033"/>
      <c r="E225" s="1033"/>
      <c r="F225" s="1033"/>
      <c r="G225" s="1033"/>
      <c r="H225" s="1033"/>
      <c r="I225" s="1033"/>
      <c r="J225" s="1033"/>
      <c r="K225" s="1033"/>
      <c r="L225" s="90"/>
      <c r="M225" s="51" t="s">
        <v>265</v>
      </c>
      <c r="N225" s="113">
        <f t="shared" si="15"/>
        <v>6917</v>
      </c>
      <c r="O225" s="120">
        <v>0</v>
      </c>
      <c r="P225" s="888">
        <v>0</v>
      </c>
      <c r="Q225" s="51"/>
      <c r="R225" s="581">
        <v>0</v>
      </c>
      <c r="S225" s="891">
        <v>0</v>
      </c>
      <c r="T225" s="51"/>
      <c r="U225" s="120">
        <v>0</v>
      </c>
      <c r="V225" s="888">
        <v>0</v>
      </c>
      <c r="W225" s="51"/>
      <c r="X225" s="1613">
        <f t="shared" si="19"/>
        <v>0</v>
      </c>
      <c r="Y225" s="1614">
        <f t="shared" si="20"/>
        <v>0</v>
      </c>
      <c r="Z225" s="43"/>
      <c r="AA225" s="1621">
        <f t="shared" si="18"/>
        <v>0</v>
      </c>
      <c r="AB225" s="43"/>
      <c r="AC225" s="43"/>
      <c r="AD225" s="43"/>
      <c r="AE225" s="43"/>
      <c r="AF225" s="43"/>
      <c r="AG225" s="43"/>
      <c r="AH225" s="43"/>
      <c r="AI225" s="43"/>
    </row>
    <row r="226" spans="1:35" ht="15.75">
      <c r="A226" s="88">
        <v>6918</v>
      </c>
      <c r="B226" s="1033" t="s">
        <v>27</v>
      </c>
      <c r="C226" s="1033"/>
      <c r="D226" s="1033"/>
      <c r="E226" s="1033"/>
      <c r="F226" s="1033"/>
      <c r="G226" s="1033"/>
      <c r="H226" s="1033"/>
      <c r="I226" s="1033"/>
      <c r="J226" s="1033"/>
      <c r="K226" s="1033"/>
      <c r="L226" s="90"/>
      <c r="M226" s="51" t="s">
        <v>265</v>
      </c>
      <c r="N226" s="113">
        <f t="shared" si="15"/>
        <v>6918</v>
      </c>
      <c r="O226" s="120">
        <v>0</v>
      </c>
      <c r="P226" s="888">
        <v>0</v>
      </c>
      <c r="Q226" s="51"/>
      <c r="R226" s="581">
        <v>0</v>
      </c>
      <c r="S226" s="891">
        <v>0</v>
      </c>
      <c r="T226" s="51"/>
      <c r="U226" s="120">
        <v>0</v>
      </c>
      <c r="V226" s="888">
        <v>0</v>
      </c>
      <c r="W226" s="51"/>
      <c r="X226" s="1613">
        <f t="shared" si="19"/>
        <v>0</v>
      </c>
      <c r="Y226" s="1614">
        <f t="shared" si="20"/>
        <v>0</v>
      </c>
      <c r="Z226" s="43"/>
      <c r="AA226" s="1621">
        <f t="shared" si="18"/>
        <v>0</v>
      </c>
      <c r="AB226" s="43"/>
      <c r="AC226" s="43"/>
      <c r="AD226" s="43"/>
      <c r="AE226" s="43"/>
      <c r="AF226" s="43"/>
      <c r="AG226" s="43"/>
      <c r="AH226" s="43"/>
      <c r="AI226" s="43"/>
    </row>
    <row r="227" spans="1:35" ht="15.75">
      <c r="A227" s="88">
        <v>6992</v>
      </c>
      <c r="B227" s="1033" t="s">
        <v>28</v>
      </c>
      <c r="C227" s="1033"/>
      <c r="D227" s="1033"/>
      <c r="E227" s="1033"/>
      <c r="F227" s="1033"/>
      <c r="G227" s="1033"/>
      <c r="H227" s="1033"/>
      <c r="I227" s="1033"/>
      <c r="J227" s="1033"/>
      <c r="K227" s="1033"/>
      <c r="L227" s="90"/>
      <c r="M227" s="51" t="s">
        <v>265</v>
      </c>
      <c r="N227" s="113">
        <f t="shared" ref="N227:N233" si="21">+A227</f>
        <v>6992</v>
      </c>
      <c r="O227" s="120">
        <v>0</v>
      </c>
      <c r="P227" s="888">
        <v>0</v>
      </c>
      <c r="Q227" s="51"/>
      <c r="R227" s="581">
        <v>0</v>
      </c>
      <c r="S227" s="891">
        <v>0</v>
      </c>
      <c r="T227" s="51"/>
      <c r="U227" s="120">
        <v>0</v>
      </c>
      <c r="V227" s="888">
        <v>0</v>
      </c>
      <c r="W227" s="51"/>
      <c r="X227" s="1613">
        <f t="shared" si="19"/>
        <v>0</v>
      </c>
      <c r="Y227" s="1614">
        <f t="shared" si="20"/>
        <v>0</v>
      </c>
      <c r="Z227" s="43"/>
      <c r="AA227" s="1621">
        <f t="shared" si="18"/>
        <v>0</v>
      </c>
      <c r="AB227" s="43"/>
      <c r="AC227" s="43"/>
      <c r="AD227" s="43"/>
      <c r="AE227" s="43"/>
      <c r="AF227" s="43"/>
      <c r="AG227" s="43"/>
      <c r="AH227" s="43"/>
      <c r="AI227" s="43"/>
    </row>
    <row r="228" spans="1:35" ht="15.75">
      <c r="A228" s="88">
        <v>6993</v>
      </c>
      <c r="B228" s="1033" t="s">
        <v>29</v>
      </c>
      <c r="C228" s="1033"/>
      <c r="D228" s="1033"/>
      <c r="E228" s="1033"/>
      <c r="F228" s="1033"/>
      <c r="G228" s="1033"/>
      <c r="H228" s="1033"/>
      <c r="I228" s="1033"/>
      <c r="J228" s="1033"/>
      <c r="K228" s="1033"/>
      <c r="L228" s="90"/>
      <c r="M228" s="51" t="s">
        <v>265</v>
      </c>
      <c r="N228" s="113">
        <f t="shared" si="21"/>
        <v>6993</v>
      </c>
      <c r="O228" s="120">
        <v>0</v>
      </c>
      <c r="P228" s="888">
        <v>0</v>
      </c>
      <c r="Q228" s="51"/>
      <c r="R228" s="581">
        <v>0</v>
      </c>
      <c r="S228" s="891">
        <v>0</v>
      </c>
      <c r="T228" s="51"/>
      <c r="U228" s="120">
        <v>0</v>
      </c>
      <c r="V228" s="888">
        <v>0</v>
      </c>
      <c r="W228" s="51"/>
      <c r="X228" s="1613">
        <f t="shared" si="19"/>
        <v>0</v>
      </c>
      <c r="Y228" s="1614">
        <f t="shared" si="20"/>
        <v>0</v>
      </c>
      <c r="Z228" s="43"/>
      <c r="AA228" s="1621">
        <f t="shared" si="18"/>
        <v>0</v>
      </c>
      <c r="AB228" s="43"/>
      <c r="AC228" s="43"/>
      <c r="AD228" s="43"/>
      <c r="AE228" s="43"/>
      <c r="AF228" s="43"/>
      <c r="AG228" s="43"/>
      <c r="AH228" s="43"/>
      <c r="AI228" s="43"/>
    </row>
    <row r="229" spans="1:35" ht="15.75">
      <c r="A229" s="88">
        <v>6994</v>
      </c>
      <c r="B229" s="1033" t="s">
        <v>30</v>
      </c>
      <c r="C229" s="1033"/>
      <c r="D229" s="1033"/>
      <c r="E229" s="1033"/>
      <c r="F229" s="1033"/>
      <c r="G229" s="1033"/>
      <c r="H229" s="1033"/>
      <c r="I229" s="1033"/>
      <c r="J229" s="1033"/>
      <c r="K229" s="1033"/>
      <c r="L229" s="90"/>
      <c r="M229" s="51" t="s">
        <v>265</v>
      </c>
      <c r="N229" s="113">
        <f t="shared" si="21"/>
        <v>6994</v>
      </c>
      <c r="O229" s="120">
        <v>0</v>
      </c>
      <c r="P229" s="888">
        <v>0</v>
      </c>
      <c r="Q229" s="51"/>
      <c r="R229" s="581">
        <v>0</v>
      </c>
      <c r="S229" s="891">
        <v>0</v>
      </c>
      <c r="T229" s="51"/>
      <c r="U229" s="120">
        <v>0</v>
      </c>
      <c r="V229" s="888">
        <v>0</v>
      </c>
      <c r="W229" s="51"/>
      <c r="X229" s="1613">
        <f t="shared" si="19"/>
        <v>0</v>
      </c>
      <c r="Y229" s="1614">
        <f t="shared" si="20"/>
        <v>0</v>
      </c>
      <c r="Z229" s="43"/>
      <c r="AA229" s="1621">
        <f t="shared" si="18"/>
        <v>0</v>
      </c>
      <c r="AB229" s="43"/>
      <c r="AC229" s="43"/>
      <c r="AD229" s="43"/>
      <c r="AE229" s="43"/>
      <c r="AF229" s="43"/>
      <c r="AG229" s="43"/>
      <c r="AH229" s="43"/>
      <c r="AI229" s="43"/>
    </row>
    <row r="230" spans="1:35" ht="15.75">
      <c r="A230" s="88">
        <v>6995</v>
      </c>
      <c r="B230" s="1033" t="s">
        <v>31</v>
      </c>
      <c r="C230" s="1033"/>
      <c r="D230" s="1033"/>
      <c r="E230" s="1033"/>
      <c r="F230" s="1033"/>
      <c r="G230" s="1033"/>
      <c r="H230" s="1033"/>
      <c r="I230" s="1033"/>
      <c r="J230" s="1033"/>
      <c r="K230" s="1033"/>
      <c r="L230" s="90"/>
      <c r="M230" s="51" t="s">
        <v>265</v>
      </c>
      <c r="N230" s="113">
        <f t="shared" si="21"/>
        <v>6995</v>
      </c>
      <c r="O230" s="120">
        <v>0</v>
      </c>
      <c r="P230" s="888">
        <v>0</v>
      </c>
      <c r="Q230" s="51"/>
      <c r="R230" s="581">
        <v>0</v>
      </c>
      <c r="S230" s="891">
        <v>0</v>
      </c>
      <c r="T230" s="51"/>
      <c r="U230" s="120">
        <v>0</v>
      </c>
      <c r="V230" s="888">
        <v>0</v>
      </c>
      <c r="W230" s="51"/>
      <c r="X230" s="1613">
        <f t="shared" si="19"/>
        <v>0</v>
      </c>
      <c r="Y230" s="1614">
        <f t="shared" si="20"/>
        <v>0</v>
      </c>
      <c r="Z230" s="43"/>
      <c r="AA230" s="1621">
        <f t="shared" si="18"/>
        <v>0</v>
      </c>
      <c r="AB230" s="43"/>
      <c r="AC230" s="43"/>
      <c r="AD230" s="43"/>
      <c r="AE230" s="43"/>
      <c r="AF230" s="43"/>
      <c r="AG230" s="43"/>
      <c r="AH230" s="43"/>
      <c r="AI230" s="43"/>
    </row>
    <row r="231" spans="1:35" ht="15.75">
      <c r="A231" s="88">
        <v>6996</v>
      </c>
      <c r="B231" s="1033" t="s">
        <v>32</v>
      </c>
      <c r="C231" s="1033"/>
      <c r="D231" s="1033"/>
      <c r="E231" s="1033"/>
      <c r="F231" s="1033"/>
      <c r="G231" s="1033"/>
      <c r="H231" s="1033"/>
      <c r="I231" s="1033"/>
      <c r="J231" s="1033"/>
      <c r="K231" s="1033"/>
      <c r="L231" s="90"/>
      <c r="M231" s="51" t="s">
        <v>265</v>
      </c>
      <c r="N231" s="113">
        <f t="shared" si="21"/>
        <v>6996</v>
      </c>
      <c r="O231" s="120">
        <v>0</v>
      </c>
      <c r="P231" s="888">
        <v>0</v>
      </c>
      <c r="Q231" s="51"/>
      <c r="R231" s="581">
        <v>0</v>
      </c>
      <c r="S231" s="891">
        <v>0</v>
      </c>
      <c r="T231" s="51"/>
      <c r="U231" s="120">
        <v>0</v>
      </c>
      <c r="V231" s="888">
        <v>0</v>
      </c>
      <c r="W231" s="51"/>
      <c r="X231" s="1613">
        <f t="shared" si="19"/>
        <v>0</v>
      </c>
      <c r="Y231" s="1614">
        <f t="shared" si="20"/>
        <v>0</v>
      </c>
      <c r="Z231" s="43"/>
      <c r="AA231" s="1621">
        <f t="shared" si="18"/>
        <v>0</v>
      </c>
      <c r="AB231" s="43"/>
      <c r="AC231" s="43"/>
      <c r="AD231" s="43"/>
      <c r="AE231" s="43"/>
      <c r="AF231" s="43"/>
      <c r="AG231" s="43"/>
      <c r="AH231" s="43"/>
      <c r="AI231" s="43"/>
    </row>
    <row r="232" spans="1:35" ht="15.75">
      <c r="A232" s="88">
        <v>6997</v>
      </c>
      <c r="B232" s="1033" t="s">
        <v>33</v>
      </c>
      <c r="C232" s="1033"/>
      <c r="D232" s="1033"/>
      <c r="E232" s="1033"/>
      <c r="F232" s="1033"/>
      <c r="G232" s="1033"/>
      <c r="H232" s="1033"/>
      <c r="I232" s="1033"/>
      <c r="J232" s="1033"/>
      <c r="K232" s="1033"/>
      <c r="L232" s="90"/>
      <c r="M232" s="51" t="s">
        <v>265</v>
      </c>
      <c r="N232" s="113">
        <f t="shared" si="21"/>
        <v>6997</v>
      </c>
      <c r="O232" s="120">
        <v>0</v>
      </c>
      <c r="P232" s="888">
        <v>0</v>
      </c>
      <c r="Q232" s="51"/>
      <c r="R232" s="581">
        <v>0</v>
      </c>
      <c r="S232" s="891">
        <v>0</v>
      </c>
      <c r="T232" s="51"/>
      <c r="U232" s="120">
        <v>0</v>
      </c>
      <c r="V232" s="888">
        <v>0</v>
      </c>
      <c r="W232" s="51"/>
      <c r="X232" s="1613">
        <f t="shared" si="19"/>
        <v>0</v>
      </c>
      <c r="Y232" s="1614">
        <f t="shared" si="20"/>
        <v>0</v>
      </c>
      <c r="Z232" s="43"/>
      <c r="AA232" s="1621">
        <f t="shared" si="18"/>
        <v>0</v>
      </c>
      <c r="AB232" s="43"/>
      <c r="AC232" s="43"/>
      <c r="AD232" s="43"/>
      <c r="AE232" s="43"/>
      <c r="AF232" s="43"/>
      <c r="AG232" s="43"/>
      <c r="AH232" s="43"/>
      <c r="AI232" s="43"/>
    </row>
    <row r="233" spans="1:35" ht="15.75">
      <c r="A233" s="612">
        <v>6998</v>
      </c>
      <c r="B233" s="1012" t="s">
        <v>34</v>
      </c>
      <c r="C233" s="1012"/>
      <c r="D233" s="1012"/>
      <c r="E233" s="1012"/>
      <c r="F233" s="1012"/>
      <c r="G233" s="1012"/>
      <c r="H233" s="1012"/>
      <c r="I233" s="1012"/>
      <c r="J233" s="1012"/>
      <c r="K233" s="1012"/>
      <c r="L233" s="613"/>
      <c r="M233" s="51" t="s">
        <v>265</v>
      </c>
      <c r="N233" s="113">
        <f t="shared" si="21"/>
        <v>6998</v>
      </c>
      <c r="O233" s="120">
        <v>0</v>
      </c>
      <c r="P233" s="888">
        <v>0</v>
      </c>
      <c r="Q233" s="51"/>
      <c r="R233" s="581">
        <v>0</v>
      </c>
      <c r="S233" s="891">
        <v>0</v>
      </c>
      <c r="T233" s="51"/>
      <c r="U233" s="120">
        <v>0</v>
      </c>
      <c r="V233" s="888">
        <v>0</v>
      </c>
      <c r="W233" s="51"/>
      <c r="X233" s="1613">
        <f t="shared" si="19"/>
        <v>0</v>
      </c>
      <c r="Y233" s="1614">
        <f t="shared" si="20"/>
        <v>0</v>
      </c>
      <c r="Z233" s="43"/>
      <c r="AA233" s="1621">
        <f t="shared" si="18"/>
        <v>0</v>
      </c>
      <c r="AB233" s="43"/>
      <c r="AC233" s="43"/>
      <c r="AD233" s="43"/>
      <c r="AE233" s="43"/>
      <c r="AF233" s="43"/>
      <c r="AG233" s="43"/>
      <c r="AH233" s="43"/>
      <c r="AI233" s="43"/>
    </row>
    <row r="234" spans="1:35" ht="15.75">
      <c r="A234" s="904" t="s">
        <v>1122</v>
      </c>
      <c r="B234" s="901"/>
      <c r="C234" s="899"/>
      <c r="D234" s="899"/>
      <c r="E234" s="899"/>
      <c r="F234" s="899"/>
      <c r="G234" s="899"/>
      <c r="H234" s="899"/>
      <c r="I234" s="899"/>
      <c r="J234" s="899"/>
      <c r="K234" s="899"/>
      <c r="L234" s="900"/>
      <c r="M234" s="51" t="s">
        <v>265</v>
      </c>
      <c r="N234" s="917">
        <v>7</v>
      </c>
      <c r="O234" s="952"/>
      <c r="P234" s="953"/>
      <c r="Q234" s="51"/>
      <c r="R234" s="952"/>
      <c r="S234" s="953"/>
      <c r="T234" s="51"/>
      <c r="U234" s="952"/>
      <c r="V234" s="953"/>
      <c r="W234" s="51"/>
      <c r="X234" s="384"/>
      <c r="Y234" s="387"/>
      <c r="Z234" s="43"/>
      <c r="AA234" s="1623"/>
      <c r="AB234" s="43"/>
      <c r="AC234" s="43"/>
      <c r="AD234" s="43"/>
      <c r="AE234" s="43"/>
      <c r="AF234" s="43"/>
      <c r="AG234" s="43"/>
      <c r="AH234" s="43"/>
      <c r="AI234" s="43"/>
    </row>
    <row r="235" spans="1:35" ht="15.75">
      <c r="A235" s="85">
        <v>7011</v>
      </c>
      <c r="B235" s="419" t="s">
        <v>667</v>
      </c>
      <c r="C235" s="86"/>
      <c r="D235" s="86"/>
      <c r="E235" s="86"/>
      <c r="F235" s="86"/>
      <c r="G235" s="86"/>
      <c r="H235" s="86"/>
      <c r="I235" s="86"/>
      <c r="J235" s="86"/>
      <c r="K235" s="86"/>
      <c r="L235" s="87"/>
      <c r="M235" s="51" t="s">
        <v>265</v>
      </c>
      <c r="N235" s="112">
        <f t="shared" ref="N235:N303" si="22">+A235</f>
        <v>7011</v>
      </c>
      <c r="O235" s="323">
        <v>0</v>
      </c>
      <c r="P235" s="372">
        <v>0</v>
      </c>
      <c r="Q235" s="51"/>
      <c r="R235" s="323">
        <v>0</v>
      </c>
      <c r="S235" s="372">
        <v>0</v>
      </c>
      <c r="T235" s="51"/>
      <c r="U235" s="323">
        <v>0</v>
      </c>
      <c r="V235" s="372">
        <v>0</v>
      </c>
      <c r="W235" s="51"/>
      <c r="X235" s="1613">
        <f>+ROUND(+O235+R235+U235,2)</f>
        <v>0</v>
      </c>
      <c r="Y235" s="1614">
        <f>+ROUND(+P235+S235+V235,2)</f>
        <v>0</v>
      </c>
      <c r="Z235" s="43"/>
      <c r="AA235" s="1621">
        <f t="shared" ref="AA235:AA298" si="23">+ROUND(+SUM(X235-Y235)-SUM(O235-P235)-SUM(R235-S235)-SUM(U235-V235),2)</f>
        <v>0</v>
      </c>
      <c r="AB235" s="43"/>
      <c r="AC235" s="43"/>
      <c r="AD235" s="43"/>
      <c r="AE235" s="43"/>
      <c r="AF235" s="43"/>
      <c r="AG235" s="43"/>
      <c r="AH235" s="43"/>
      <c r="AI235" s="43"/>
    </row>
    <row r="236" spans="1:35" ht="15.75">
      <c r="A236" s="88">
        <v>7012</v>
      </c>
      <c r="B236" s="1032" t="s">
        <v>668</v>
      </c>
      <c r="C236" s="1033"/>
      <c r="D236" s="1033"/>
      <c r="E236" s="1033"/>
      <c r="F236" s="1033"/>
      <c r="G236" s="1033"/>
      <c r="H236" s="1033"/>
      <c r="I236" s="1033"/>
      <c r="J236" s="1033"/>
      <c r="K236" s="1033"/>
      <c r="L236" s="90"/>
      <c r="M236" s="51" t="s">
        <v>265</v>
      </c>
      <c r="N236" s="113">
        <f t="shared" si="22"/>
        <v>7012</v>
      </c>
      <c r="O236" s="120">
        <v>0</v>
      </c>
      <c r="P236" s="888">
        <v>0</v>
      </c>
      <c r="Q236" s="51"/>
      <c r="R236" s="120">
        <v>0</v>
      </c>
      <c r="S236" s="888">
        <v>0</v>
      </c>
      <c r="T236" s="51"/>
      <c r="U236" s="120">
        <v>0</v>
      </c>
      <c r="V236" s="888">
        <v>0</v>
      </c>
      <c r="W236" s="51"/>
      <c r="X236" s="1613">
        <f>+ROUND(+O236+R236+U236,2)</f>
        <v>0</v>
      </c>
      <c r="Y236" s="1614">
        <f>+ROUND(+P236+S236+V236,2)</f>
        <v>0</v>
      </c>
      <c r="Z236" s="43"/>
      <c r="AA236" s="1621">
        <f t="shared" si="23"/>
        <v>0</v>
      </c>
      <c r="AB236" s="43"/>
      <c r="AC236" s="43"/>
      <c r="AD236" s="43"/>
      <c r="AE236" s="43"/>
      <c r="AF236" s="43"/>
      <c r="AG236" s="43"/>
      <c r="AH236" s="43"/>
      <c r="AI236" s="43"/>
    </row>
    <row r="237" spans="1:35" ht="15.75">
      <c r="A237" s="88">
        <v>7013</v>
      </c>
      <c r="B237" s="1032" t="s">
        <v>669</v>
      </c>
      <c r="C237" s="1033"/>
      <c r="D237" s="1033"/>
      <c r="E237" s="1033"/>
      <c r="F237" s="1033"/>
      <c r="G237" s="1033"/>
      <c r="H237" s="1033"/>
      <c r="I237" s="1033"/>
      <c r="J237" s="1033"/>
      <c r="K237" s="1033"/>
      <c r="L237" s="90"/>
      <c r="M237" s="51" t="s">
        <v>265</v>
      </c>
      <c r="N237" s="113">
        <f t="shared" si="22"/>
        <v>7013</v>
      </c>
      <c r="O237" s="120">
        <v>0</v>
      </c>
      <c r="P237" s="890">
        <v>0</v>
      </c>
      <c r="Q237" s="51"/>
      <c r="R237" s="120">
        <v>0</v>
      </c>
      <c r="S237" s="605">
        <v>0</v>
      </c>
      <c r="T237" s="51"/>
      <c r="U237" s="120">
        <v>0</v>
      </c>
      <c r="V237" s="892">
        <v>0</v>
      </c>
      <c r="W237" s="51"/>
      <c r="X237" s="1613">
        <f t="shared" ref="X237:X299" si="24">+ROUND(+O237+R237+U237,2)</f>
        <v>0</v>
      </c>
      <c r="Y237" s="1611">
        <v>0</v>
      </c>
      <c r="Z237" s="43"/>
      <c r="AA237" s="1621">
        <f t="shared" si="23"/>
        <v>0</v>
      </c>
      <c r="AB237" s="43"/>
      <c r="AC237" s="43"/>
      <c r="AD237" s="43"/>
      <c r="AE237" s="43"/>
      <c r="AF237" s="43"/>
      <c r="AG237" s="43"/>
      <c r="AH237" s="43"/>
      <c r="AI237" s="43"/>
    </row>
    <row r="238" spans="1:35" ht="15.75">
      <c r="A238" s="88">
        <v>7014</v>
      </c>
      <c r="B238" s="1032" t="s">
        <v>670</v>
      </c>
      <c r="C238" s="1033"/>
      <c r="D238" s="1033"/>
      <c r="E238" s="1033"/>
      <c r="F238" s="1033"/>
      <c r="G238" s="1033"/>
      <c r="H238" s="1033"/>
      <c r="I238" s="1033"/>
      <c r="J238" s="1033"/>
      <c r="K238" s="1033"/>
      <c r="L238" s="90"/>
      <c r="M238" s="51" t="s">
        <v>265</v>
      </c>
      <c r="N238" s="113">
        <f t="shared" si="22"/>
        <v>7014</v>
      </c>
      <c r="O238" s="120">
        <v>0</v>
      </c>
      <c r="P238" s="888">
        <v>0</v>
      </c>
      <c r="Q238" s="51"/>
      <c r="R238" s="120">
        <v>0</v>
      </c>
      <c r="S238" s="888">
        <v>0</v>
      </c>
      <c r="T238" s="51"/>
      <c r="U238" s="120">
        <v>0</v>
      </c>
      <c r="V238" s="888">
        <v>0</v>
      </c>
      <c r="W238" s="51"/>
      <c r="X238" s="1613">
        <f t="shared" si="24"/>
        <v>0</v>
      </c>
      <c r="Y238" s="1614">
        <f>+ROUND(+P238+S238+V238,2)</f>
        <v>0</v>
      </c>
      <c r="Z238" s="43"/>
      <c r="AA238" s="1621">
        <f t="shared" si="23"/>
        <v>0</v>
      </c>
      <c r="AB238" s="43"/>
      <c r="AC238" s="43"/>
      <c r="AD238" s="43"/>
      <c r="AE238" s="43"/>
      <c r="AF238" s="43"/>
      <c r="AG238" s="43"/>
      <c r="AH238" s="43"/>
      <c r="AI238" s="43"/>
    </row>
    <row r="239" spans="1:35" ht="15.75">
      <c r="A239" s="88">
        <v>7041</v>
      </c>
      <c r="B239" s="1032" t="s">
        <v>1936</v>
      </c>
      <c r="C239" s="1033"/>
      <c r="D239" s="1033"/>
      <c r="E239" s="1033"/>
      <c r="F239" s="1033"/>
      <c r="G239" s="1033"/>
      <c r="H239" s="1033"/>
      <c r="I239" s="1033"/>
      <c r="J239" s="1033"/>
      <c r="K239" s="1033"/>
      <c r="L239" s="90"/>
      <c r="M239" s="51" t="s">
        <v>265</v>
      </c>
      <c r="N239" s="113">
        <f t="shared" si="22"/>
        <v>7041</v>
      </c>
      <c r="O239" s="120">
        <v>0</v>
      </c>
      <c r="P239" s="888">
        <v>0</v>
      </c>
      <c r="Q239" s="51"/>
      <c r="R239" s="120">
        <v>0</v>
      </c>
      <c r="S239" s="888">
        <v>0</v>
      </c>
      <c r="T239" s="51"/>
      <c r="U239" s="120">
        <v>0</v>
      </c>
      <c r="V239" s="888">
        <v>0</v>
      </c>
      <c r="W239" s="51"/>
      <c r="X239" s="1613">
        <f t="shared" si="24"/>
        <v>0</v>
      </c>
      <c r="Y239" s="1614">
        <f>+ROUND(+P239+S239+V239,2)</f>
        <v>0</v>
      </c>
      <c r="Z239" s="43"/>
      <c r="AA239" s="1621">
        <f t="shared" si="23"/>
        <v>0</v>
      </c>
      <c r="AB239" s="43"/>
      <c r="AC239" s="43"/>
      <c r="AD239" s="43"/>
      <c r="AE239" s="43"/>
      <c r="AF239" s="43"/>
      <c r="AG239" s="43"/>
      <c r="AH239" s="43"/>
      <c r="AI239" s="43"/>
    </row>
    <row r="240" spans="1:35" ht="15.75">
      <c r="A240" s="88">
        <v>7042</v>
      </c>
      <c r="B240" s="1032" t="s">
        <v>1937</v>
      </c>
      <c r="C240" s="1033"/>
      <c r="D240" s="1033"/>
      <c r="E240" s="1033"/>
      <c r="F240" s="1033"/>
      <c r="G240" s="1033"/>
      <c r="H240" s="1033"/>
      <c r="I240" s="1033"/>
      <c r="J240" s="1033"/>
      <c r="K240" s="1033"/>
      <c r="L240" s="90"/>
      <c r="M240" s="51" t="s">
        <v>265</v>
      </c>
      <c r="N240" s="113">
        <f t="shared" si="22"/>
        <v>7042</v>
      </c>
      <c r="O240" s="120">
        <v>0</v>
      </c>
      <c r="P240" s="888">
        <v>0</v>
      </c>
      <c r="Q240" s="51"/>
      <c r="R240" s="581">
        <v>0</v>
      </c>
      <c r="S240" s="891">
        <v>0</v>
      </c>
      <c r="T240" s="51"/>
      <c r="U240" s="120">
        <v>0</v>
      </c>
      <c r="V240" s="888">
        <v>0</v>
      </c>
      <c r="W240" s="51"/>
      <c r="X240" s="1613">
        <f t="shared" si="24"/>
        <v>0</v>
      </c>
      <c r="Y240" s="1614">
        <f>+ROUND(+P240+S240+V240,2)</f>
        <v>0</v>
      </c>
      <c r="Z240" s="43"/>
      <c r="AA240" s="1621">
        <f t="shared" si="23"/>
        <v>0</v>
      </c>
      <c r="AB240" s="43"/>
      <c r="AC240" s="43"/>
      <c r="AD240" s="43"/>
      <c r="AE240" s="43"/>
      <c r="AF240" s="43"/>
      <c r="AG240" s="43"/>
      <c r="AH240" s="43"/>
      <c r="AI240" s="43"/>
    </row>
    <row r="241" spans="1:35" ht="15.75">
      <c r="A241" s="88">
        <v>7043</v>
      </c>
      <c r="B241" s="1032" t="s">
        <v>1938</v>
      </c>
      <c r="C241" s="1033"/>
      <c r="D241" s="1033"/>
      <c r="E241" s="1033"/>
      <c r="F241" s="1033"/>
      <c r="G241" s="1033"/>
      <c r="H241" s="1033"/>
      <c r="I241" s="1033"/>
      <c r="J241" s="1033"/>
      <c r="K241" s="1033"/>
      <c r="L241" s="90"/>
      <c r="M241" s="51" t="s">
        <v>265</v>
      </c>
      <c r="N241" s="113">
        <f t="shared" si="22"/>
        <v>7043</v>
      </c>
      <c r="O241" s="120">
        <v>0</v>
      </c>
      <c r="P241" s="890">
        <v>0</v>
      </c>
      <c r="Q241" s="51"/>
      <c r="R241" s="120">
        <v>0</v>
      </c>
      <c r="S241" s="605">
        <v>0</v>
      </c>
      <c r="T241" s="51"/>
      <c r="U241" s="120">
        <v>0</v>
      </c>
      <c r="V241" s="892">
        <v>0</v>
      </c>
      <c r="W241" s="51"/>
      <c r="X241" s="1613">
        <f t="shared" si="24"/>
        <v>0</v>
      </c>
      <c r="Y241" s="1611">
        <v>0</v>
      </c>
      <c r="Z241" s="43"/>
      <c r="AA241" s="1621">
        <f t="shared" si="23"/>
        <v>0</v>
      </c>
      <c r="AB241" s="43"/>
      <c r="AC241" s="43"/>
      <c r="AD241" s="43"/>
      <c r="AE241" s="43"/>
      <c r="AF241" s="43"/>
      <c r="AG241" s="43"/>
      <c r="AH241" s="43"/>
      <c r="AI241" s="43"/>
    </row>
    <row r="242" spans="1:35" ht="15.75">
      <c r="A242" s="88">
        <v>7044</v>
      </c>
      <c r="B242" s="1032" t="s">
        <v>1939</v>
      </c>
      <c r="C242" s="1033"/>
      <c r="D242" s="1033"/>
      <c r="E242" s="1033"/>
      <c r="F242" s="1033"/>
      <c r="G242" s="1033"/>
      <c r="H242" s="1033"/>
      <c r="I242" s="1033"/>
      <c r="J242" s="1033"/>
      <c r="K242" s="1033"/>
      <c r="L242" s="90"/>
      <c r="M242" s="51" t="s">
        <v>265</v>
      </c>
      <c r="N242" s="113">
        <f t="shared" si="22"/>
        <v>7044</v>
      </c>
      <c r="O242" s="120">
        <v>0</v>
      </c>
      <c r="P242" s="888">
        <v>0</v>
      </c>
      <c r="Q242" s="51"/>
      <c r="R242" s="581">
        <v>0</v>
      </c>
      <c r="S242" s="891">
        <v>0</v>
      </c>
      <c r="T242" s="51"/>
      <c r="U242" s="120">
        <v>0</v>
      </c>
      <c r="V242" s="888">
        <v>0</v>
      </c>
      <c r="W242" s="51"/>
      <c r="X242" s="1613">
        <f t="shared" si="24"/>
        <v>0</v>
      </c>
      <c r="Y242" s="1614">
        <f t="shared" ref="Y242:Y305" si="25">+ROUND(+P242+S242+V242,2)</f>
        <v>0</v>
      </c>
      <c r="Z242" s="43"/>
      <c r="AA242" s="1621">
        <f t="shared" si="23"/>
        <v>0</v>
      </c>
      <c r="AB242" s="43"/>
      <c r="AC242" s="43"/>
      <c r="AD242" s="43"/>
      <c r="AE242" s="43"/>
      <c r="AF242" s="43"/>
      <c r="AG242" s="43"/>
      <c r="AH242" s="43"/>
      <c r="AI242" s="43"/>
    </row>
    <row r="243" spans="1:35" ht="15.75">
      <c r="A243" s="88">
        <v>7051</v>
      </c>
      <c r="B243" s="1032" t="s">
        <v>671</v>
      </c>
      <c r="C243" s="1033"/>
      <c r="D243" s="1033"/>
      <c r="E243" s="1033"/>
      <c r="F243" s="1033"/>
      <c r="G243" s="1033"/>
      <c r="H243" s="1033"/>
      <c r="I243" s="1033"/>
      <c r="J243" s="1033"/>
      <c r="K243" s="1033"/>
      <c r="L243" s="90"/>
      <c r="M243" s="51" t="s">
        <v>265</v>
      </c>
      <c r="N243" s="113">
        <f t="shared" si="22"/>
        <v>7051</v>
      </c>
      <c r="O243" s="120">
        <v>0</v>
      </c>
      <c r="P243" s="888">
        <v>0</v>
      </c>
      <c r="Q243" s="51"/>
      <c r="R243" s="581">
        <v>0</v>
      </c>
      <c r="S243" s="891">
        <v>0</v>
      </c>
      <c r="T243" s="51"/>
      <c r="U243" s="120">
        <v>0</v>
      </c>
      <c r="V243" s="888">
        <v>0</v>
      </c>
      <c r="W243" s="51"/>
      <c r="X243" s="1613">
        <f t="shared" si="24"/>
        <v>0</v>
      </c>
      <c r="Y243" s="1614">
        <f t="shared" si="25"/>
        <v>0</v>
      </c>
      <c r="Z243" s="43"/>
      <c r="AA243" s="1621">
        <f t="shared" si="23"/>
        <v>0</v>
      </c>
      <c r="AB243" s="43"/>
      <c r="AC243" s="43"/>
      <c r="AD243" s="43"/>
      <c r="AE243" s="43"/>
      <c r="AF243" s="43"/>
      <c r="AG243" s="43"/>
      <c r="AH243" s="43"/>
      <c r="AI243" s="43"/>
    </row>
    <row r="244" spans="1:35" ht="15.75">
      <c r="A244" s="88">
        <v>7052</v>
      </c>
      <c r="B244" s="1032" t="s">
        <v>672</v>
      </c>
      <c r="C244" s="1033"/>
      <c r="D244" s="1033"/>
      <c r="E244" s="1033"/>
      <c r="F244" s="1033"/>
      <c r="G244" s="1033"/>
      <c r="H244" s="1033"/>
      <c r="I244" s="1033"/>
      <c r="J244" s="1033"/>
      <c r="K244" s="1033"/>
      <c r="L244" s="90"/>
      <c r="M244" s="51" t="s">
        <v>265</v>
      </c>
      <c r="N244" s="113">
        <f t="shared" si="22"/>
        <v>7052</v>
      </c>
      <c r="O244" s="120">
        <v>0</v>
      </c>
      <c r="P244" s="888">
        <v>0</v>
      </c>
      <c r="Q244" s="51"/>
      <c r="R244" s="581">
        <v>0</v>
      </c>
      <c r="S244" s="891">
        <v>0</v>
      </c>
      <c r="T244" s="51"/>
      <c r="U244" s="120">
        <v>0</v>
      </c>
      <c r="V244" s="888">
        <v>0</v>
      </c>
      <c r="W244" s="51"/>
      <c r="X244" s="1613">
        <f t="shared" si="24"/>
        <v>0</v>
      </c>
      <c r="Y244" s="1614">
        <f t="shared" si="25"/>
        <v>0</v>
      </c>
      <c r="Z244" s="43"/>
      <c r="AA244" s="1621">
        <f t="shared" si="23"/>
        <v>0</v>
      </c>
      <c r="AB244" s="43"/>
      <c r="AC244" s="43"/>
      <c r="AD244" s="43"/>
      <c r="AE244" s="43"/>
      <c r="AF244" s="43"/>
      <c r="AG244" s="43"/>
      <c r="AH244" s="43"/>
      <c r="AI244" s="43"/>
    </row>
    <row r="245" spans="1:35" ht="15.75">
      <c r="A245" s="88">
        <v>7090</v>
      </c>
      <c r="B245" s="1035" t="s">
        <v>673</v>
      </c>
      <c r="C245" s="1033"/>
      <c r="D245" s="1033"/>
      <c r="E245" s="1033"/>
      <c r="F245" s="1033"/>
      <c r="G245" s="1033"/>
      <c r="H245" s="1033"/>
      <c r="I245" s="1033"/>
      <c r="J245" s="1033"/>
      <c r="K245" s="1033"/>
      <c r="L245" s="90"/>
      <c r="M245" s="51" t="s">
        <v>265</v>
      </c>
      <c r="N245" s="113">
        <f t="shared" si="22"/>
        <v>7090</v>
      </c>
      <c r="O245" s="120">
        <v>0</v>
      </c>
      <c r="P245" s="888">
        <v>0</v>
      </c>
      <c r="Q245" s="51"/>
      <c r="R245" s="581">
        <v>0</v>
      </c>
      <c r="S245" s="891">
        <v>0</v>
      </c>
      <c r="T245" s="51"/>
      <c r="U245" s="120">
        <v>0</v>
      </c>
      <c r="V245" s="888">
        <v>0</v>
      </c>
      <c r="W245" s="51"/>
      <c r="X245" s="1613">
        <f t="shared" si="24"/>
        <v>0</v>
      </c>
      <c r="Y245" s="1614">
        <f t="shared" si="25"/>
        <v>0</v>
      </c>
      <c r="Z245" s="43"/>
      <c r="AA245" s="1621">
        <f t="shared" si="23"/>
        <v>0</v>
      </c>
      <c r="AB245" s="43"/>
      <c r="AC245" s="43"/>
      <c r="AD245" s="43"/>
      <c r="AE245" s="43"/>
      <c r="AF245" s="43"/>
      <c r="AG245" s="43"/>
      <c r="AH245" s="43"/>
      <c r="AI245" s="43"/>
    </row>
    <row r="246" spans="1:35" ht="15.75">
      <c r="A246" s="88">
        <v>7110</v>
      </c>
      <c r="B246" s="1033" t="s">
        <v>674</v>
      </c>
      <c r="C246" s="1033"/>
      <c r="D246" s="1033"/>
      <c r="E246" s="1033"/>
      <c r="F246" s="1033"/>
      <c r="G246" s="1033"/>
      <c r="H246" s="1033"/>
      <c r="I246" s="1033"/>
      <c r="J246" s="1033"/>
      <c r="K246" s="1033"/>
      <c r="L246" s="90"/>
      <c r="M246" s="51" t="s">
        <v>265</v>
      </c>
      <c r="N246" s="113">
        <f t="shared" si="22"/>
        <v>7110</v>
      </c>
      <c r="O246" s="120">
        <v>0</v>
      </c>
      <c r="P246" s="888">
        <v>0</v>
      </c>
      <c r="Q246" s="51"/>
      <c r="R246" s="581">
        <v>0</v>
      </c>
      <c r="S246" s="891">
        <v>0</v>
      </c>
      <c r="T246" s="51"/>
      <c r="U246" s="120">
        <v>0</v>
      </c>
      <c r="V246" s="888">
        <v>0</v>
      </c>
      <c r="W246" s="51"/>
      <c r="X246" s="1613">
        <f t="shared" si="24"/>
        <v>0</v>
      </c>
      <c r="Y246" s="1614">
        <f t="shared" si="25"/>
        <v>0</v>
      </c>
      <c r="Z246" s="43"/>
      <c r="AA246" s="1621">
        <f t="shared" si="23"/>
        <v>0</v>
      </c>
      <c r="AB246" s="43"/>
      <c r="AC246" s="43"/>
      <c r="AD246" s="43"/>
      <c r="AE246" s="43"/>
      <c r="AF246" s="43"/>
      <c r="AG246" s="43"/>
      <c r="AH246" s="43"/>
      <c r="AI246" s="43"/>
    </row>
    <row r="247" spans="1:35" ht="15.75">
      <c r="A247" s="88">
        <v>7111</v>
      </c>
      <c r="B247" s="1033" t="s">
        <v>675</v>
      </c>
      <c r="C247" s="1033"/>
      <c r="D247" s="1033"/>
      <c r="E247" s="1033"/>
      <c r="F247" s="1033"/>
      <c r="G247" s="1033"/>
      <c r="H247" s="1033"/>
      <c r="I247" s="1033"/>
      <c r="J247" s="1033"/>
      <c r="K247" s="1033"/>
      <c r="L247" s="90"/>
      <c r="M247" s="51" t="s">
        <v>265</v>
      </c>
      <c r="N247" s="113">
        <f t="shared" si="22"/>
        <v>7111</v>
      </c>
      <c r="O247" s="120">
        <v>0</v>
      </c>
      <c r="P247" s="888">
        <v>0</v>
      </c>
      <c r="Q247" s="51"/>
      <c r="R247" s="581">
        <v>0</v>
      </c>
      <c r="S247" s="891">
        <v>0</v>
      </c>
      <c r="T247" s="51"/>
      <c r="U247" s="120">
        <v>0</v>
      </c>
      <c r="V247" s="888">
        <v>0</v>
      </c>
      <c r="W247" s="51"/>
      <c r="X247" s="1613">
        <f t="shared" si="24"/>
        <v>0</v>
      </c>
      <c r="Y247" s="1614">
        <f t="shared" si="25"/>
        <v>0</v>
      </c>
      <c r="Z247" s="43"/>
      <c r="AA247" s="1621">
        <f t="shared" si="23"/>
        <v>0</v>
      </c>
      <c r="AB247" s="43"/>
      <c r="AC247" s="43"/>
      <c r="AD247" s="43"/>
      <c r="AE247" s="43"/>
      <c r="AF247" s="43"/>
      <c r="AG247" s="43"/>
      <c r="AH247" s="43"/>
      <c r="AI247" s="43"/>
    </row>
    <row r="248" spans="1:35" ht="15.75">
      <c r="A248" s="88">
        <v>7112</v>
      </c>
      <c r="B248" s="1033" t="s">
        <v>676</v>
      </c>
      <c r="C248" s="1033"/>
      <c r="D248" s="1033"/>
      <c r="E248" s="1033"/>
      <c r="F248" s="1033"/>
      <c r="G248" s="1033"/>
      <c r="H248" s="1033"/>
      <c r="I248" s="1033"/>
      <c r="J248" s="1033"/>
      <c r="K248" s="1033"/>
      <c r="L248" s="90"/>
      <c r="M248" s="51" t="s">
        <v>265</v>
      </c>
      <c r="N248" s="113">
        <f t="shared" si="22"/>
        <v>7112</v>
      </c>
      <c r="O248" s="120">
        <v>0</v>
      </c>
      <c r="P248" s="888">
        <v>0</v>
      </c>
      <c r="Q248" s="51"/>
      <c r="R248" s="581">
        <v>0</v>
      </c>
      <c r="S248" s="891">
        <v>0</v>
      </c>
      <c r="T248" s="51"/>
      <c r="U248" s="120">
        <v>0</v>
      </c>
      <c r="V248" s="888">
        <v>0</v>
      </c>
      <c r="W248" s="51"/>
      <c r="X248" s="1613">
        <f t="shared" si="24"/>
        <v>0</v>
      </c>
      <c r="Y248" s="1614">
        <f t="shared" si="25"/>
        <v>0</v>
      </c>
      <c r="Z248" s="43"/>
      <c r="AA248" s="1621">
        <f t="shared" si="23"/>
        <v>0</v>
      </c>
      <c r="AB248" s="43"/>
      <c r="AC248" s="43"/>
      <c r="AD248" s="43"/>
      <c r="AE248" s="43"/>
      <c r="AF248" s="43"/>
      <c r="AG248" s="43"/>
      <c r="AH248" s="43"/>
      <c r="AI248" s="43"/>
    </row>
    <row r="249" spans="1:35" ht="15.75">
      <c r="A249" s="88">
        <v>7113</v>
      </c>
      <c r="B249" s="1033" t="s">
        <v>677</v>
      </c>
      <c r="C249" s="1033"/>
      <c r="D249" s="1033"/>
      <c r="E249" s="1033"/>
      <c r="F249" s="1033"/>
      <c r="G249" s="1033"/>
      <c r="H249" s="1033"/>
      <c r="I249" s="1033"/>
      <c r="J249" s="1033"/>
      <c r="K249" s="1033"/>
      <c r="L249" s="90"/>
      <c r="M249" s="51" t="s">
        <v>265</v>
      </c>
      <c r="N249" s="113">
        <f t="shared" si="22"/>
        <v>7113</v>
      </c>
      <c r="O249" s="120">
        <v>0</v>
      </c>
      <c r="P249" s="888">
        <v>0</v>
      </c>
      <c r="Q249" s="51"/>
      <c r="R249" s="581">
        <v>0</v>
      </c>
      <c r="S249" s="891">
        <v>0</v>
      </c>
      <c r="T249" s="51"/>
      <c r="U249" s="120">
        <v>0</v>
      </c>
      <c r="V249" s="888">
        <v>0</v>
      </c>
      <c r="W249" s="51"/>
      <c r="X249" s="1613">
        <f t="shared" si="24"/>
        <v>0</v>
      </c>
      <c r="Y249" s="1614">
        <f t="shared" si="25"/>
        <v>0</v>
      </c>
      <c r="Z249" s="43"/>
      <c r="AA249" s="1621">
        <f t="shared" si="23"/>
        <v>0</v>
      </c>
      <c r="AB249" s="43"/>
      <c r="AC249" s="43"/>
      <c r="AD249" s="43"/>
      <c r="AE249" s="43"/>
      <c r="AF249" s="43"/>
      <c r="AG249" s="43"/>
      <c r="AH249" s="43"/>
      <c r="AI249" s="43"/>
    </row>
    <row r="250" spans="1:35" ht="15.75">
      <c r="A250" s="88">
        <v>7114</v>
      </c>
      <c r="B250" s="1033" t="s">
        <v>678</v>
      </c>
      <c r="C250" s="1033"/>
      <c r="D250" s="1033"/>
      <c r="E250" s="1033"/>
      <c r="F250" s="1033"/>
      <c r="G250" s="1033"/>
      <c r="H250" s="1033"/>
      <c r="I250" s="1033"/>
      <c r="J250" s="1033"/>
      <c r="K250" s="1033"/>
      <c r="L250" s="90"/>
      <c r="M250" s="51" t="s">
        <v>265</v>
      </c>
      <c r="N250" s="113">
        <f t="shared" si="22"/>
        <v>7114</v>
      </c>
      <c r="O250" s="120">
        <v>0</v>
      </c>
      <c r="P250" s="888">
        <v>0</v>
      </c>
      <c r="Q250" s="51"/>
      <c r="R250" s="581">
        <v>0</v>
      </c>
      <c r="S250" s="891">
        <v>0</v>
      </c>
      <c r="T250" s="51"/>
      <c r="U250" s="120">
        <v>0</v>
      </c>
      <c r="V250" s="888">
        <v>0</v>
      </c>
      <c r="W250" s="51"/>
      <c r="X250" s="1613">
        <f t="shared" si="24"/>
        <v>0</v>
      </c>
      <c r="Y250" s="1614">
        <f t="shared" si="25"/>
        <v>0</v>
      </c>
      <c r="Z250" s="43"/>
      <c r="AA250" s="1621">
        <f t="shared" si="23"/>
        <v>0</v>
      </c>
      <c r="AB250" s="43"/>
      <c r="AC250" s="43"/>
      <c r="AD250" s="43"/>
      <c r="AE250" s="43"/>
      <c r="AF250" s="43"/>
      <c r="AG250" s="43"/>
      <c r="AH250" s="43"/>
      <c r="AI250" s="43"/>
    </row>
    <row r="251" spans="1:35" ht="15.75">
      <c r="A251" s="88">
        <v>7115</v>
      </c>
      <c r="B251" s="1033" t="s">
        <v>679</v>
      </c>
      <c r="C251" s="1033"/>
      <c r="D251" s="1033"/>
      <c r="E251" s="1033"/>
      <c r="F251" s="1033"/>
      <c r="G251" s="1033"/>
      <c r="H251" s="1033"/>
      <c r="I251" s="1033"/>
      <c r="J251" s="1033"/>
      <c r="K251" s="1033"/>
      <c r="L251" s="90"/>
      <c r="M251" s="51" t="s">
        <v>265</v>
      </c>
      <c r="N251" s="113">
        <f t="shared" si="22"/>
        <v>7115</v>
      </c>
      <c r="O251" s="120">
        <v>0</v>
      </c>
      <c r="P251" s="888">
        <v>0</v>
      </c>
      <c r="Q251" s="51"/>
      <c r="R251" s="581">
        <v>0</v>
      </c>
      <c r="S251" s="891">
        <v>0</v>
      </c>
      <c r="T251" s="51"/>
      <c r="U251" s="120">
        <v>0</v>
      </c>
      <c r="V251" s="888">
        <v>0</v>
      </c>
      <c r="W251" s="51"/>
      <c r="X251" s="1613">
        <f t="shared" si="24"/>
        <v>0</v>
      </c>
      <c r="Y251" s="1614">
        <f t="shared" si="25"/>
        <v>0</v>
      </c>
      <c r="Z251" s="43"/>
      <c r="AA251" s="1621">
        <f t="shared" si="23"/>
        <v>0</v>
      </c>
      <c r="AB251" s="43"/>
      <c r="AC251" s="43"/>
      <c r="AD251" s="43"/>
      <c r="AE251" s="43"/>
      <c r="AF251" s="43"/>
      <c r="AG251" s="43"/>
      <c r="AH251" s="43"/>
      <c r="AI251" s="43"/>
    </row>
    <row r="252" spans="1:35" ht="15.75">
      <c r="A252" s="88">
        <v>7121</v>
      </c>
      <c r="B252" s="1033" t="s">
        <v>680</v>
      </c>
      <c r="C252" s="1033"/>
      <c r="D252" s="1033"/>
      <c r="E252" s="1033"/>
      <c r="F252" s="1033"/>
      <c r="G252" s="1033"/>
      <c r="H252" s="1033"/>
      <c r="I252" s="1033"/>
      <c r="J252" s="1033"/>
      <c r="K252" s="1033"/>
      <c r="L252" s="90"/>
      <c r="M252" s="51" t="s">
        <v>265</v>
      </c>
      <c r="N252" s="113">
        <f t="shared" si="22"/>
        <v>7121</v>
      </c>
      <c r="O252" s="120">
        <v>0</v>
      </c>
      <c r="P252" s="888">
        <v>0</v>
      </c>
      <c r="Q252" s="51"/>
      <c r="R252" s="581">
        <v>0</v>
      </c>
      <c r="S252" s="891">
        <v>0</v>
      </c>
      <c r="T252" s="51"/>
      <c r="U252" s="120">
        <v>0</v>
      </c>
      <c r="V252" s="888">
        <v>0</v>
      </c>
      <c r="W252" s="51"/>
      <c r="X252" s="1613">
        <f t="shared" si="24"/>
        <v>0</v>
      </c>
      <c r="Y252" s="1614">
        <f t="shared" si="25"/>
        <v>0</v>
      </c>
      <c r="Z252" s="43"/>
      <c r="AA252" s="1621">
        <f t="shared" si="23"/>
        <v>0</v>
      </c>
      <c r="AB252" s="43"/>
      <c r="AC252" s="43"/>
      <c r="AD252" s="43"/>
      <c r="AE252" s="43"/>
      <c r="AF252" s="43"/>
      <c r="AG252" s="43"/>
      <c r="AH252" s="43"/>
      <c r="AI252" s="43"/>
    </row>
    <row r="253" spans="1:35" ht="15.75">
      <c r="A253" s="88">
        <v>7122</v>
      </c>
      <c r="B253" s="1033" t="s">
        <v>681</v>
      </c>
      <c r="C253" s="1033"/>
      <c r="D253" s="1033"/>
      <c r="E253" s="1033"/>
      <c r="F253" s="1033"/>
      <c r="G253" s="1033"/>
      <c r="H253" s="1033"/>
      <c r="I253" s="1033"/>
      <c r="J253" s="1033"/>
      <c r="K253" s="1033"/>
      <c r="L253" s="90"/>
      <c r="M253" s="51" t="s">
        <v>265</v>
      </c>
      <c r="N253" s="113">
        <f t="shared" si="22"/>
        <v>7122</v>
      </c>
      <c r="O253" s="120">
        <v>0</v>
      </c>
      <c r="P253" s="888">
        <v>0</v>
      </c>
      <c r="Q253" s="51"/>
      <c r="R253" s="581">
        <v>0</v>
      </c>
      <c r="S253" s="891">
        <v>0</v>
      </c>
      <c r="T253" s="51"/>
      <c r="U253" s="120">
        <v>0</v>
      </c>
      <c r="V253" s="888">
        <v>0</v>
      </c>
      <c r="W253" s="51"/>
      <c r="X253" s="1613">
        <f t="shared" si="24"/>
        <v>0</v>
      </c>
      <c r="Y253" s="1614">
        <f t="shared" si="25"/>
        <v>0</v>
      </c>
      <c r="Z253" s="43"/>
      <c r="AA253" s="1621">
        <f t="shared" si="23"/>
        <v>0</v>
      </c>
      <c r="AB253" s="43"/>
      <c r="AC253" s="43"/>
      <c r="AD253" s="43"/>
      <c r="AE253" s="43"/>
      <c r="AF253" s="43"/>
      <c r="AG253" s="43"/>
      <c r="AH253" s="43"/>
      <c r="AI253" s="43"/>
    </row>
    <row r="254" spans="1:35" ht="15.75">
      <c r="A254" s="88">
        <v>7123</v>
      </c>
      <c r="B254" s="1033" t="s">
        <v>682</v>
      </c>
      <c r="C254" s="1033"/>
      <c r="D254" s="1033"/>
      <c r="E254" s="1033"/>
      <c r="F254" s="1033"/>
      <c r="G254" s="1033"/>
      <c r="H254" s="1033"/>
      <c r="I254" s="1033"/>
      <c r="J254" s="1033"/>
      <c r="K254" s="1033"/>
      <c r="L254" s="90"/>
      <c r="M254" s="51" t="s">
        <v>265</v>
      </c>
      <c r="N254" s="113">
        <f t="shared" si="22"/>
        <v>7123</v>
      </c>
      <c r="O254" s="120">
        <v>0</v>
      </c>
      <c r="P254" s="888">
        <v>0</v>
      </c>
      <c r="Q254" s="51"/>
      <c r="R254" s="581">
        <v>0</v>
      </c>
      <c r="S254" s="891">
        <v>0</v>
      </c>
      <c r="T254" s="51"/>
      <c r="U254" s="120">
        <v>0</v>
      </c>
      <c r="V254" s="888">
        <v>0</v>
      </c>
      <c r="W254" s="51"/>
      <c r="X254" s="1613">
        <f t="shared" si="24"/>
        <v>0</v>
      </c>
      <c r="Y254" s="1614">
        <f t="shared" si="25"/>
        <v>0</v>
      </c>
      <c r="Z254" s="43"/>
      <c r="AA254" s="1621">
        <f t="shared" si="23"/>
        <v>0</v>
      </c>
      <c r="AB254" s="43"/>
      <c r="AC254" s="43"/>
      <c r="AD254" s="43"/>
      <c r="AE254" s="43"/>
      <c r="AF254" s="43"/>
      <c r="AG254" s="43"/>
      <c r="AH254" s="43"/>
      <c r="AI254" s="43"/>
    </row>
    <row r="255" spans="1:35" ht="15.75">
      <c r="A255" s="88">
        <v>7124</v>
      </c>
      <c r="B255" s="1033" t="s">
        <v>683</v>
      </c>
      <c r="C255" s="1033"/>
      <c r="D255" s="1033"/>
      <c r="E255" s="1033"/>
      <c r="F255" s="1033"/>
      <c r="G255" s="1033"/>
      <c r="H255" s="1033"/>
      <c r="I255" s="1033"/>
      <c r="J255" s="1033"/>
      <c r="K255" s="1033"/>
      <c r="L255" s="90"/>
      <c r="M255" s="51" t="s">
        <v>265</v>
      </c>
      <c r="N255" s="113">
        <f t="shared" si="22"/>
        <v>7124</v>
      </c>
      <c r="O255" s="120">
        <v>0</v>
      </c>
      <c r="P255" s="888">
        <v>0</v>
      </c>
      <c r="Q255" s="51"/>
      <c r="R255" s="581">
        <v>0</v>
      </c>
      <c r="S255" s="891">
        <v>0</v>
      </c>
      <c r="T255" s="51"/>
      <c r="U255" s="120">
        <v>0</v>
      </c>
      <c r="V255" s="888">
        <v>0</v>
      </c>
      <c r="W255" s="51"/>
      <c r="X255" s="1613">
        <f t="shared" si="24"/>
        <v>0</v>
      </c>
      <c r="Y255" s="1614">
        <f t="shared" si="25"/>
        <v>0</v>
      </c>
      <c r="Z255" s="43"/>
      <c r="AA255" s="1621">
        <f t="shared" si="23"/>
        <v>0</v>
      </c>
      <c r="AB255" s="43"/>
      <c r="AC255" s="43"/>
      <c r="AD255" s="43"/>
      <c r="AE255" s="43"/>
      <c r="AF255" s="43"/>
      <c r="AG255" s="43"/>
      <c r="AH255" s="43"/>
      <c r="AI255" s="43"/>
    </row>
    <row r="256" spans="1:35" ht="15.75">
      <c r="A256" s="88">
        <v>7131</v>
      </c>
      <c r="B256" s="1033" t="s">
        <v>684</v>
      </c>
      <c r="C256" s="1033"/>
      <c r="D256" s="1033"/>
      <c r="E256" s="1033"/>
      <c r="F256" s="1033"/>
      <c r="G256" s="1033"/>
      <c r="H256" s="1033"/>
      <c r="I256" s="1033"/>
      <c r="J256" s="1033"/>
      <c r="K256" s="1033"/>
      <c r="L256" s="90"/>
      <c r="M256" s="51" t="s">
        <v>265</v>
      </c>
      <c r="N256" s="113">
        <f t="shared" si="22"/>
        <v>7131</v>
      </c>
      <c r="O256" s="120">
        <v>0</v>
      </c>
      <c r="P256" s="888">
        <v>0</v>
      </c>
      <c r="Q256" s="51"/>
      <c r="R256" s="581">
        <v>0</v>
      </c>
      <c r="S256" s="891">
        <v>0</v>
      </c>
      <c r="T256" s="51"/>
      <c r="U256" s="120">
        <v>0</v>
      </c>
      <c r="V256" s="888">
        <v>0</v>
      </c>
      <c r="W256" s="51"/>
      <c r="X256" s="1613">
        <f t="shared" si="24"/>
        <v>0</v>
      </c>
      <c r="Y256" s="1614">
        <f t="shared" si="25"/>
        <v>0</v>
      </c>
      <c r="Z256" s="43"/>
      <c r="AA256" s="1621">
        <f t="shared" si="23"/>
        <v>0</v>
      </c>
      <c r="AB256" s="43"/>
      <c r="AC256" s="43"/>
      <c r="AD256" s="43"/>
      <c r="AE256" s="43"/>
      <c r="AF256" s="43"/>
      <c r="AG256" s="43"/>
      <c r="AH256" s="43"/>
      <c r="AI256" s="43"/>
    </row>
    <row r="257" spans="1:35" ht="15.75">
      <c r="A257" s="88">
        <f>1+A256</f>
        <v>7132</v>
      </c>
      <c r="B257" s="1033" t="s">
        <v>685</v>
      </c>
      <c r="C257" s="1033"/>
      <c r="D257" s="1033"/>
      <c r="E257" s="1033"/>
      <c r="F257" s="1033"/>
      <c r="G257" s="1033"/>
      <c r="H257" s="1033"/>
      <c r="I257" s="1033"/>
      <c r="J257" s="1033"/>
      <c r="K257" s="1033"/>
      <c r="L257" s="90"/>
      <c r="M257" s="51" t="s">
        <v>265</v>
      </c>
      <c r="N257" s="113">
        <f t="shared" si="22"/>
        <v>7132</v>
      </c>
      <c r="O257" s="120">
        <v>0</v>
      </c>
      <c r="P257" s="888">
        <v>0</v>
      </c>
      <c r="Q257" s="51"/>
      <c r="R257" s="581">
        <v>0</v>
      </c>
      <c r="S257" s="891">
        <v>0</v>
      </c>
      <c r="T257" s="51"/>
      <c r="U257" s="120">
        <v>0</v>
      </c>
      <c r="V257" s="888">
        <v>0</v>
      </c>
      <c r="W257" s="51"/>
      <c r="X257" s="1613">
        <f t="shared" si="24"/>
        <v>0</v>
      </c>
      <c r="Y257" s="1614">
        <f t="shared" si="25"/>
        <v>0</v>
      </c>
      <c r="Z257" s="43"/>
      <c r="AA257" s="1621">
        <f t="shared" si="23"/>
        <v>0</v>
      </c>
      <c r="AB257" s="43"/>
      <c r="AC257" s="43"/>
      <c r="AD257" s="43"/>
      <c r="AE257" s="43"/>
      <c r="AF257" s="43"/>
      <c r="AG257" s="43"/>
      <c r="AH257" s="43"/>
      <c r="AI257" s="43"/>
    </row>
    <row r="258" spans="1:35" ht="15.75">
      <c r="A258" s="88">
        <v>7133</v>
      </c>
      <c r="B258" s="1033" t="s">
        <v>686</v>
      </c>
      <c r="C258" s="1033"/>
      <c r="D258" s="1033"/>
      <c r="E258" s="1033"/>
      <c r="F258" s="1033"/>
      <c r="G258" s="1033"/>
      <c r="H258" s="1033"/>
      <c r="I258" s="1033"/>
      <c r="J258" s="1033"/>
      <c r="K258" s="1033"/>
      <c r="L258" s="90"/>
      <c r="M258" s="51" t="s">
        <v>265</v>
      </c>
      <c r="N258" s="113">
        <f t="shared" si="22"/>
        <v>7133</v>
      </c>
      <c r="O258" s="120">
        <v>0</v>
      </c>
      <c r="P258" s="888">
        <v>0</v>
      </c>
      <c r="Q258" s="51"/>
      <c r="R258" s="581">
        <v>0</v>
      </c>
      <c r="S258" s="891">
        <v>0</v>
      </c>
      <c r="T258" s="51"/>
      <c r="U258" s="120">
        <v>0</v>
      </c>
      <c r="V258" s="888">
        <v>0</v>
      </c>
      <c r="W258" s="51"/>
      <c r="X258" s="1613">
        <f t="shared" si="24"/>
        <v>0</v>
      </c>
      <c r="Y258" s="1614">
        <f t="shared" si="25"/>
        <v>0</v>
      </c>
      <c r="Z258" s="43"/>
      <c r="AA258" s="1621">
        <f t="shared" si="23"/>
        <v>0</v>
      </c>
      <c r="AB258" s="43"/>
      <c r="AC258" s="43"/>
      <c r="AD258" s="43"/>
      <c r="AE258" s="43"/>
      <c r="AF258" s="43"/>
      <c r="AG258" s="43"/>
      <c r="AH258" s="43"/>
      <c r="AI258" s="43"/>
    </row>
    <row r="259" spans="1:35" ht="15.75">
      <c r="A259" s="88">
        <v>7140</v>
      </c>
      <c r="B259" s="1033" t="s">
        <v>687</v>
      </c>
      <c r="C259" s="1033"/>
      <c r="D259" s="1033"/>
      <c r="E259" s="1033"/>
      <c r="F259" s="1033"/>
      <c r="G259" s="1033"/>
      <c r="H259" s="1033"/>
      <c r="I259" s="1033"/>
      <c r="J259" s="1033"/>
      <c r="K259" s="1033"/>
      <c r="L259" s="90"/>
      <c r="M259" s="51" t="s">
        <v>265</v>
      </c>
      <c r="N259" s="113">
        <f t="shared" si="22"/>
        <v>7140</v>
      </c>
      <c r="O259" s="120">
        <v>0</v>
      </c>
      <c r="P259" s="888">
        <v>0</v>
      </c>
      <c r="Q259" s="51"/>
      <c r="R259" s="581">
        <v>0</v>
      </c>
      <c r="S259" s="891">
        <v>0</v>
      </c>
      <c r="T259" s="51"/>
      <c r="U259" s="120">
        <v>0</v>
      </c>
      <c r="V259" s="888">
        <v>0</v>
      </c>
      <c r="W259" s="51"/>
      <c r="X259" s="1613">
        <f t="shared" si="24"/>
        <v>0</v>
      </c>
      <c r="Y259" s="1614">
        <f t="shared" si="25"/>
        <v>0</v>
      </c>
      <c r="Z259" s="43"/>
      <c r="AA259" s="1621">
        <f t="shared" si="23"/>
        <v>0</v>
      </c>
      <c r="AB259" s="43"/>
      <c r="AC259" s="43"/>
      <c r="AD259" s="43"/>
      <c r="AE259" s="43"/>
      <c r="AF259" s="43"/>
      <c r="AG259" s="43"/>
      <c r="AH259" s="43"/>
      <c r="AI259" s="43"/>
    </row>
    <row r="260" spans="1:35" ht="15.75">
      <c r="A260" s="88">
        <v>7141</v>
      </c>
      <c r="B260" s="1033" t="s">
        <v>688</v>
      </c>
      <c r="C260" s="1033"/>
      <c r="D260" s="1033"/>
      <c r="E260" s="1033"/>
      <c r="F260" s="1033"/>
      <c r="G260" s="1033"/>
      <c r="H260" s="1033"/>
      <c r="I260" s="1033"/>
      <c r="J260" s="1033"/>
      <c r="K260" s="1033"/>
      <c r="L260" s="90"/>
      <c r="M260" s="51" t="s">
        <v>265</v>
      </c>
      <c r="N260" s="113">
        <f t="shared" si="22"/>
        <v>7141</v>
      </c>
      <c r="O260" s="120">
        <v>0</v>
      </c>
      <c r="P260" s="888">
        <v>0</v>
      </c>
      <c r="Q260" s="51"/>
      <c r="R260" s="581">
        <v>0</v>
      </c>
      <c r="S260" s="891">
        <v>0</v>
      </c>
      <c r="T260" s="51"/>
      <c r="U260" s="120">
        <v>0</v>
      </c>
      <c r="V260" s="888">
        <v>0</v>
      </c>
      <c r="W260" s="51"/>
      <c r="X260" s="1613">
        <f t="shared" si="24"/>
        <v>0</v>
      </c>
      <c r="Y260" s="1614">
        <f t="shared" si="25"/>
        <v>0</v>
      </c>
      <c r="Z260" s="43"/>
      <c r="AA260" s="1621">
        <f t="shared" si="23"/>
        <v>0</v>
      </c>
      <c r="AB260" s="43"/>
      <c r="AC260" s="43"/>
      <c r="AD260" s="43"/>
      <c r="AE260" s="43"/>
      <c r="AF260" s="43"/>
      <c r="AG260" s="43"/>
      <c r="AH260" s="43"/>
      <c r="AI260" s="43"/>
    </row>
    <row r="261" spans="1:35" ht="15.75">
      <c r="A261" s="88">
        <v>7142</v>
      </c>
      <c r="B261" s="1033" t="s">
        <v>689</v>
      </c>
      <c r="C261" s="1033"/>
      <c r="D261" s="1033"/>
      <c r="E261" s="1033"/>
      <c r="F261" s="1033"/>
      <c r="G261" s="1033"/>
      <c r="H261" s="1033"/>
      <c r="I261" s="1033"/>
      <c r="J261" s="1033"/>
      <c r="K261" s="1033"/>
      <c r="L261" s="90"/>
      <c r="M261" s="51" t="s">
        <v>265</v>
      </c>
      <c r="N261" s="113">
        <f t="shared" si="22"/>
        <v>7142</v>
      </c>
      <c r="O261" s="120">
        <v>0</v>
      </c>
      <c r="P261" s="888">
        <v>0</v>
      </c>
      <c r="Q261" s="51"/>
      <c r="R261" s="581">
        <v>0</v>
      </c>
      <c r="S261" s="891">
        <v>0</v>
      </c>
      <c r="T261" s="51"/>
      <c r="U261" s="120">
        <v>0</v>
      </c>
      <c r="V261" s="888">
        <v>0</v>
      </c>
      <c r="W261" s="51"/>
      <c r="X261" s="1613">
        <f t="shared" si="24"/>
        <v>0</v>
      </c>
      <c r="Y261" s="1614">
        <f t="shared" si="25"/>
        <v>0</v>
      </c>
      <c r="Z261" s="43"/>
      <c r="AA261" s="1621">
        <f t="shared" si="23"/>
        <v>0</v>
      </c>
      <c r="AB261" s="43"/>
      <c r="AC261" s="43"/>
      <c r="AD261" s="43"/>
      <c r="AE261" s="43"/>
      <c r="AF261" s="43"/>
      <c r="AG261" s="43"/>
      <c r="AH261" s="43"/>
      <c r="AI261" s="43"/>
    </row>
    <row r="262" spans="1:35" ht="15.75">
      <c r="A262" s="88">
        <v>7143</v>
      </c>
      <c r="B262" s="1033" t="s">
        <v>690</v>
      </c>
      <c r="C262" s="1033"/>
      <c r="D262" s="1033"/>
      <c r="E262" s="1033"/>
      <c r="F262" s="1033"/>
      <c r="G262" s="1033"/>
      <c r="H262" s="1033"/>
      <c r="I262" s="1033"/>
      <c r="J262" s="1033"/>
      <c r="K262" s="1033"/>
      <c r="L262" s="90"/>
      <c r="M262" s="51" t="s">
        <v>265</v>
      </c>
      <c r="N262" s="113">
        <f t="shared" si="22"/>
        <v>7143</v>
      </c>
      <c r="O262" s="120">
        <v>0</v>
      </c>
      <c r="P262" s="888">
        <v>0</v>
      </c>
      <c r="Q262" s="51"/>
      <c r="R262" s="581">
        <v>0</v>
      </c>
      <c r="S262" s="891">
        <v>0</v>
      </c>
      <c r="T262" s="51"/>
      <c r="U262" s="120">
        <v>0</v>
      </c>
      <c r="V262" s="888">
        <v>0</v>
      </c>
      <c r="W262" s="51"/>
      <c r="X262" s="1613">
        <f t="shared" si="24"/>
        <v>0</v>
      </c>
      <c r="Y262" s="1614">
        <f t="shared" si="25"/>
        <v>0</v>
      </c>
      <c r="Z262" s="43"/>
      <c r="AA262" s="1621">
        <f t="shared" si="23"/>
        <v>0</v>
      </c>
      <c r="AB262" s="43"/>
      <c r="AC262" s="43"/>
      <c r="AD262" s="43"/>
      <c r="AE262" s="43"/>
      <c r="AF262" s="43"/>
      <c r="AG262" s="43"/>
      <c r="AH262" s="43"/>
      <c r="AI262" s="43"/>
    </row>
    <row r="263" spans="1:35" ht="15.75">
      <c r="A263" s="88">
        <v>7144</v>
      </c>
      <c r="B263" s="1033" t="s">
        <v>615</v>
      </c>
      <c r="C263" s="1033"/>
      <c r="D263" s="1033"/>
      <c r="E263" s="1033"/>
      <c r="F263" s="1033"/>
      <c r="G263" s="1033"/>
      <c r="H263" s="1033"/>
      <c r="I263" s="1033"/>
      <c r="J263" s="1033"/>
      <c r="K263" s="1033"/>
      <c r="L263" s="90"/>
      <c r="M263" s="51" t="s">
        <v>265</v>
      </c>
      <c r="N263" s="113">
        <f t="shared" si="22"/>
        <v>7144</v>
      </c>
      <c r="O263" s="120">
        <v>0</v>
      </c>
      <c r="P263" s="888">
        <v>0</v>
      </c>
      <c r="Q263" s="51"/>
      <c r="R263" s="581">
        <v>0</v>
      </c>
      <c r="S263" s="891">
        <v>0</v>
      </c>
      <c r="T263" s="51"/>
      <c r="U263" s="120">
        <v>0</v>
      </c>
      <c r="V263" s="888">
        <v>0</v>
      </c>
      <c r="W263" s="51"/>
      <c r="X263" s="1613">
        <f t="shared" si="24"/>
        <v>0</v>
      </c>
      <c r="Y263" s="1614">
        <f t="shared" si="25"/>
        <v>0</v>
      </c>
      <c r="Z263" s="43"/>
      <c r="AA263" s="1621">
        <f t="shared" si="23"/>
        <v>0</v>
      </c>
      <c r="AB263" s="43"/>
      <c r="AC263" s="43"/>
      <c r="AD263" s="43"/>
      <c r="AE263" s="43"/>
      <c r="AF263" s="43"/>
      <c r="AG263" s="43"/>
      <c r="AH263" s="43"/>
      <c r="AI263" s="43"/>
    </row>
    <row r="264" spans="1:35" ht="15.75">
      <c r="A264" s="88">
        <v>7145</v>
      </c>
      <c r="B264" s="1033" t="s">
        <v>616</v>
      </c>
      <c r="C264" s="1033"/>
      <c r="D264" s="1033"/>
      <c r="E264" s="1033"/>
      <c r="F264" s="1033"/>
      <c r="G264" s="1033"/>
      <c r="H264" s="1033"/>
      <c r="I264" s="1033"/>
      <c r="J264" s="1033"/>
      <c r="K264" s="1033"/>
      <c r="L264" s="90"/>
      <c r="M264" s="51" t="s">
        <v>265</v>
      </c>
      <c r="N264" s="113">
        <f t="shared" si="22"/>
        <v>7145</v>
      </c>
      <c r="O264" s="120">
        <v>0</v>
      </c>
      <c r="P264" s="888">
        <v>0</v>
      </c>
      <c r="Q264" s="51"/>
      <c r="R264" s="581">
        <v>0</v>
      </c>
      <c r="S264" s="891">
        <v>0</v>
      </c>
      <c r="T264" s="51"/>
      <c r="U264" s="120">
        <v>0</v>
      </c>
      <c r="V264" s="888">
        <v>0</v>
      </c>
      <c r="W264" s="51"/>
      <c r="X264" s="1613">
        <f t="shared" si="24"/>
        <v>0</v>
      </c>
      <c r="Y264" s="1614">
        <f t="shared" si="25"/>
        <v>0</v>
      </c>
      <c r="Z264" s="43"/>
      <c r="AA264" s="1621">
        <f t="shared" si="23"/>
        <v>0</v>
      </c>
      <c r="AB264" s="43"/>
      <c r="AC264" s="43"/>
      <c r="AD264" s="43"/>
      <c r="AE264" s="43"/>
      <c r="AF264" s="43"/>
      <c r="AG264" s="43"/>
      <c r="AH264" s="43"/>
      <c r="AI264" s="43"/>
    </row>
    <row r="265" spans="1:35" ht="15.75">
      <c r="A265" s="88">
        <v>7146</v>
      </c>
      <c r="B265" s="1033" t="s">
        <v>617</v>
      </c>
      <c r="C265" s="1033"/>
      <c r="D265" s="1033"/>
      <c r="E265" s="1033"/>
      <c r="F265" s="1033"/>
      <c r="G265" s="1033"/>
      <c r="H265" s="1033"/>
      <c r="I265" s="1033"/>
      <c r="J265" s="1033"/>
      <c r="K265" s="1033"/>
      <c r="L265" s="90"/>
      <c r="M265" s="51" t="s">
        <v>265</v>
      </c>
      <c r="N265" s="113">
        <f t="shared" si="22"/>
        <v>7146</v>
      </c>
      <c r="O265" s="120">
        <v>0</v>
      </c>
      <c r="P265" s="888">
        <v>0</v>
      </c>
      <c r="Q265" s="51"/>
      <c r="R265" s="581">
        <v>0</v>
      </c>
      <c r="S265" s="891">
        <v>0</v>
      </c>
      <c r="T265" s="51"/>
      <c r="U265" s="120">
        <v>0</v>
      </c>
      <c r="V265" s="888">
        <v>0</v>
      </c>
      <c r="W265" s="51"/>
      <c r="X265" s="1613">
        <f t="shared" si="24"/>
        <v>0</v>
      </c>
      <c r="Y265" s="1614">
        <f t="shared" si="25"/>
        <v>0</v>
      </c>
      <c r="Z265" s="43"/>
      <c r="AA265" s="1621">
        <f t="shared" si="23"/>
        <v>0</v>
      </c>
      <c r="AB265" s="43"/>
      <c r="AC265" s="43"/>
      <c r="AD265" s="43"/>
      <c r="AE265" s="43"/>
      <c r="AF265" s="43"/>
      <c r="AG265" s="43"/>
      <c r="AH265" s="43"/>
      <c r="AI265" s="43"/>
    </row>
    <row r="266" spans="1:35" ht="15.75">
      <c r="A266" s="88">
        <v>7147</v>
      </c>
      <c r="B266" s="1033" t="s">
        <v>618</v>
      </c>
      <c r="C266" s="1033"/>
      <c r="D266" s="1033"/>
      <c r="E266" s="1033"/>
      <c r="F266" s="1033"/>
      <c r="G266" s="1033"/>
      <c r="H266" s="1033"/>
      <c r="I266" s="1033"/>
      <c r="J266" s="1033"/>
      <c r="K266" s="1033"/>
      <c r="L266" s="90"/>
      <c r="M266" s="51" t="s">
        <v>265</v>
      </c>
      <c r="N266" s="113">
        <f t="shared" si="22"/>
        <v>7147</v>
      </c>
      <c r="O266" s="120">
        <v>0</v>
      </c>
      <c r="P266" s="888">
        <v>0</v>
      </c>
      <c r="Q266" s="51"/>
      <c r="R266" s="581">
        <v>0</v>
      </c>
      <c r="S266" s="891">
        <v>0</v>
      </c>
      <c r="T266" s="51"/>
      <c r="U266" s="120">
        <v>0</v>
      </c>
      <c r="V266" s="888">
        <v>0</v>
      </c>
      <c r="W266" s="51"/>
      <c r="X266" s="1613">
        <f t="shared" si="24"/>
        <v>0</v>
      </c>
      <c r="Y266" s="1614">
        <f t="shared" si="25"/>
        <v>0</v>
      </c>
      <c r="Z266" s="43"/>
      <c r="AA266" s="1621">
        <f t="shared" si="23"/>
        <v>0</v>
      </c>
      <c r="AB266" s="43"/>
      <c r="AC266" s="43"/>
      <c r="AD266" s="43"/>
      <c r="AE266" s="43"/>
      <c r="AF266" s="43"/>
      <c r="AG266" s="43"/>
      <c r="AH266" s="43"/>
      <c r="AI266" s="43"/>
    </row>
    <row r="267" spans="1:35" ht="15.75">
      <c r="A267" s="88">
        <v>7149</v>
      </c>
      <c r="B267" s="1033" t="s">
        <v>619</v>
      </c>
      <c r="C267" s="1033"/>
      <c r="D267" s="1033"/>
      <c r="E267" s="1033"/>
      <c r="F267" s="1033"/>
      <c r="G267" s="1033"/>
      <c r="H267" s="1033"/>
      <c r="I267" s="1033"/>
      <c r="J267" s="1033"/>
      <c r="K267" s="1033"/>
      <c r="L267" s="90"/>
      <c r="M267" s="51" t="s">
        <v>265</v>
      </c>
      <c r="N267" s="113">
        <f t="shared" si="22"/>
        <v>7149</v>
      </c>
      <c r="O267" s="120">
        <v>0</v>
      </c>
      <c r="P267" s="888">
        <v>0</v>
      </c>
      <c r="Q267" s="51"/>
      <c r="R267" s="581">
        <v>0</v>
      </c>
      <c r="S267" s="891">
        <v>0</v>
      </c>
      <c r="T267" s="51"/>
      <c r="U267" s="120">
        <v>0</v>
      </c>
      <c r="V267" s="888">
        <v>0</v>
      </c>
      <c r="W267" s="51"/>
      <c r="X267" s="1613">
        <f t="shared" si="24"/>
        <v>0</v>
      </c>
      <c r="Y267" s="1614">
        <f t="shared" si="25"/>
        <v>0</v>
      </c>
      <c r="Z267" s="43"/>
      <c r="AA267" s="1621">
        <f t="shared" si="23"/>
        <v>0</v>
      </c>
      <c r="AB267" s="43"/>
      <c r="AC267" s="43"/>
      <c r="AD267" s="43"/>
      <c r="AE267" s="43"/>
      <c r="AF267" s="43"/>
      <c r="AG267" s="43"/>
      <c r="AH267" s="43"/>
      <c r="AI267" s="43"/>
    </row>
    <row r="268" spans="1:35" ht="15.75">
      <c r="A268" s="88">
        <v>7151</v>
      </c>
      <c r="B268" s="1033" t="s">
        <v>620</v>
      </c>
      <c r="C268" s="1033"/>
      <c r="D268" s="1033"/>
      <c r="E268" s="1033"/>
      <c r="F268" s="1033"/>
      <c r="G268" s="1033"/>
      <c r="H268" s="1033"/>
      <c r="I268" s="1033"/>
      <c r="J268" s="1033"/>
      <c r="K268" s="1033"/>
      <c r="L268" s="90"/>
      <c r="M268" s="51" t="s">
        <v>265</v>
      </c>
      <c r="N268" s="113">
        <f t="shared" si="22"/>
        <v>7151</v>
      </c>
      <c r="O268" s="120">
        <v>0</v>
      </c>
      <c r="P268" s="888">
        <v>0</v>
      </c>
      <c r="Q268" s="51"/>
      <c r="R268" s="581">
        <v>0</v>
      </c>
      <c r="S268" s="891">
        <v>0</v>
      </c>
      <c r="T268" s="51"/>
      <c r="U268" s="120">
        <v>0</v>
      </c>
      <c r="V268" s="888">
        <v>0</v>
      </c>
      <c r="W268" s="51"/>
      <c r="X268" s="1613">
        <f t="shared" si="24"/>
        <v>0</v>
      </c>
      <c r="Y268" s="1614">
        <f t="shared" si="25"/>
        <v>0</v>
      </c>
      <c r="Z268" s="43"/>
      <c r="AA268" s="1621">
        <f t="shared" si="23"/>
        <v>0</v>
      </c>
      <c r="AB268" s="43"/>
      <c r="AC268" s="43"/>
      <c r="AD268" s="43"/>
      <c r="AE268" s="43"/>
      <c r="AF268" s="43"/>
      <c r="AG268" s="43"/>
      <c r="AH268" s="43"/>
      <c r="AI268" s="43"/>
    </row>
    <row r="269" spans="1:35" ht="15.75">
      <c r="A269" s="88">
        <v>7159</v>
      </c>
      <c r="B269" s="1033" t="s">
        <v>621</v>
      </c>
      <c r="C269" s="1033"/>
      <c r="D269" s="1033"/>
      <c r="E269" s="1033"/>
      <c r="F269" s="1033"/>
      <c r="G269" s="1033"/>
      <c r="H269" s="1033"/>
      <c r="I269" s="1033"/>
      <c r="J269" s="1033"/>
      <c r="K269" s="1033"/>
      <c r="L269" s="90"/>
      <c r="M269" s="51" t="s">
        <v>265</v>
      </c>
      <c r="N269" s="113">
        <f t="shared" si="22"/>
        <v>7159</v>
      </c>
      <c r="O269" s="120">
        <v>0</v>
      </c>
      <c r="P269" s="888">
        <v>0</v>
      </c>
      <c r="Q269" s="51"/>
      <c r="R269" s="581">
        <v>0</v>
      </c>
      <c r="S269" s="891">
        <v>0</v>
      </c>
      <c r="T269" s="51"/>
      <c r="U269" s="120">
        <v>0</v>
      </c>
      <c r="V269" s="888">
        <v>0</v>
      </c>
      <c r="W269" s="51"/>
      <c r="X269" s="1613">
        <f t="shared" si="24"/>
        <v>0</v>
      </c>
      <c r="Y269" s="1614">
        <f t="shared" si="25"/>
        <v>0</v>
      </c>
      <c r="Z269" s="43"/>
      <c r="AA269" s="1621">
        <f t="shared" si="23"/>
        <v>0</v>
      </c>
      <c r="AB269" s="43"/>
      <c r="AC269" s="43"/>
      <c r="AD269" s="43"/>
      <c r="AE269" s="43"/>
      <c r="AF269" s="43"/>
      <c r="AG269" s="43"/>
      <c r="AH269" s="43"/>
      <c r="AI269" s="43"/>
    </row>
    <row r="270" spans="1:35" ht="15.75">
      <c r="A270" s="88">
        <v>7161</v>
      </c>
      <c r="B270" s="1033" t="s">
        <v>622</v>
      </c>
      <c r="C270" s="1033"/>
      <c r="D270" s="1033"/>
      <c r="E270" s="1033"/>
      <c r="F270" s="1033"/>
      <c r="G270" s="1033"/>
      <c r="H270" s="1033"/>
      <c r="I270" s="1033"/>
      <c r="J270" s="1033"/>
      <c r="K270" s="1033"/>
      <c r="L270" s="90"/>
      <c r="M270" s="51" t="s">
        <v>265</v>
      </c>
      <c r="N270" s="113">
        <f t="shared" si="22"/>
        <v>7161</v>
      </c>
      <c r="O270" s="120">
        <v>0</v>
      </c>
      <c r="P270" s="888">
        <v>0</v>
      </c>
      <c r="Q270" s="51"/>
      <c r="R270" s="581">
        <v>0</v>
      </c>
      <c r="S270" s="891">
        <v>0</v>
      </c>
      <c r="T270" s="51"/>
      <c r="U270" s="120">
        <v>0</v>
      </c>
      <c r="V270" s="888">
        <v>0</v>
      </c>
      <c r="W270" s="51"/>
      <c r="X270" s="1613">
        <f t="shared" si="24"/>
        <v>0</v>
      </c>
      <c r="Y270" s="1614">
        <f t="shared" si="25"/>
        <v>0</v>
      </c>
      <c r="Z270" s="43"/>
      <c r="AA270" s="1621">
        <f t="shared" si="23"/>
        <v>0</v>
      </c>
      <c r="AB270" s="43"/>
      <c r="AC270" s="43"/>
      <c r="AD270" s="43"/>
      <c r="AE270" s="43"/>
      <c r="AF270" s="43"/>
      <c r="AG270" s="43"/>
      <c r="AH270" s="43"/>
      <c r="AI270" s="43"/>
    </row>
    <row r="271" spans="1:35" ht="15.75">
      <c r="A271" s="88">
        <v>7162</v>
      </c>
      <c r="B271" s="1033" t="s">
        <v>623</v>
      </c>
      <c r="C271" s="1033"/>
      <c r="D271" s="1033"/>
      <c r="E271" s="1033"/>
      <c r="F271" s="1033"/>
      <c r="G271" s="1033"/>
      <c r="H271" s="1033"/>
      <c r="I271" s="1033"/>
      <c r="J271" s="1033"/>
      <c r="K271" s="1033"/>
      <c r="L271" s="90"/>
      <c r="M271" s="51" t="s">
        <v>265</v>
      </c>
      <c r="N271" s="113">
        <f t="shared" si="22"/>
        <v>7162</v>
      </c>
      <c r="O271" s="120">
        <v>0</v>
      </c>
      <c r="P271" s="888">
        <v>0</v>
      </c>
      <c r="Q271" s="51"/>
      <c r="R271" s="581">
        <v>0</v>
      </c>
      <c r="S271" s="891">
        <v>0</v>
      </c>
      <c r="T271" s="51"/>
      <c r="U271" s="120">
        <v>0</v>
      </c>
      <c r="V271" s="888">
        <v>0</v>
      </c>
      <c r="W271" s="51"/>
      <c r="X271" s="1613">
        <f t="shared" si="24"/>
        <v>0</v>
      </c>
      <c r="Y271" s="1614">
        <f t="shared" si="25"/>
        <v>0</v>
      </c>
      <c r="Z271" s="43"/>
      <c r="AA271" s="1621">
        <f t="shared" si="23"/>
        <v>0</v>
      </c>
      <c r="AB271" s="43"/>
      <c r="AC271" s="43"/>
      <c r="AD271" s="43"/>
      <c r="AE271" s="43"/>
      <c r="AF271" s="43"/>
      <c r="AG271" s="43"/>
      <c r="AH271" s="43"/>
      <c r="AI271" s="43"/>
    </row>
    <row r="272" spans="1:35" ht="15.75">
      <c r="A272" s="88">
        <v>7163</v>
      </c>
      <c r="B272" s="1033" t="s">
        <v>624</v>
      </c>
      <c r="C272" s="1033"/>
      <c r="D272" s="1033"/>
      <c r="E272" s="1033"/>
      <c r="F272" s="1033"/>
      <c r="G272" s="1033"/>
      <c r="H272" s="1033"/>
      <c r="I272" s="1033"/>
      <c r="J272" s="1033"/>
      <c r="K272" s="1033"/>
      <c r="L272" s="90"/>
      <c r="M272" s="51" t="s">
        <v>265</v>
      </c>
      <c r="N272" s="113">
        <f t="shared" si="22"/>
        <v>7163</v>
      </c>
      <c r="O272" s="120">
        <v>0</v>
      </c>
      <c r="P272" s="888">
        <v>0</v>
      </c>
      <c r="Q272" s="51"/>
      <c r="R272" s="581">
        <v>0</v>
      </c>
      <c r="S272" s="891">
        <v>0</v>
      </c>
      <c r="T272" s="51"/>
      <c r="U272" s="120">
        <v>0</v>
      </c>
      <c r="V272" s="888">
        <v>0</v>
      </c>
      <c r="W272" s="51"/>
      <c r="X272" s="1613">
        <f t="shared" si="24"/>
        <v>0</v>
      </c>
      <c r="Y272" s="1614">
        <f t="shared" si="25"/>
        <v>0</v>
      </c>
      <c r="Z272" s="43"/>
      <c r="AA272" s="1621">
        <f t="shared" si="23"/>
        <v>0</v>
      </c>
      <c r="AB272" s="43"/>
      <c r="AC272" s="43"/>
      <c r="AD272" s="43"/>
      <c r="AE272" s="43"/>
      <c r="AF272" s="43"/>
      <c r="AG272" s="43"/>
      <c r="AH272" s="43"/>
      <c r="AI272" s="43"/>
    </row>
    <row r="273" spans="1:35" ht="15.75">
      <c r="A273" s="1185">
        <v>7170</v>
      </c>
      <c r="B273" s="1187" t="s">
        <v>625</v>
      </c>
      <c r="C273" s="2293"/>
      <c r="D273" s="2293"/>
      <c r="E273" s="2293"/>
      <c r="F273" s="2293"/>
      <c r="G273" s="2293"/>
      <c r="H273" s="2293"/>
      <c r="I273" s="2293"/>
      <c r="J273" s="2293"/>
      <c r="K273" s="2293"/>
      <c r="L273" s="2294"/>
      <c r="M273" s="51" t="s">
        <v>265</v>
      </c>
      <c r="N273" s="611">
        <f t="shared" si="22"/>
        <v>7170</v>
      </c>
      <c r="O273" s="2295"/>
      <c r="P273" s="2271"/>
      <c r="Q273" s="51"/>
      <c r="R273" s="10">
        <v>0</v>
      </c>
      <c r="S273" s="889">
        <v>0</v>
      </c>
      <c r="T273" s="51"/>
      <c r="U273" s="10">
        <v>0</v>
      </c>
      <c r="V273" s="889">
        <v>0</v>
      </c>
      <c r="W273" s="51"/>
      <c r="X273" s="1610">
        <f>+IF($C$8=9900,+ROUND(+O273+R273+U273,2),0)</f>
        <v>0</v>
      </c>
      <c r="Y273" s="828">
        <f>+IF($C$8=9900,+ROUND(+P273+S273+V273,2),0)</f>
        <v>0</v>
      </c>
      <c r="Z273" s="43"/>
      <c r="AA273" s="1621">
        <f t="shared" si="23"/>
        <v>0</v>
      </c>
      <c r="AB273" s="43"/>
      <c r="AC273" s="43"/>
      <c r="AD273" s="43"/>
      <c r="AE273" s="43"/>
      <c r="AF273" s="43"/>
      <c r="AG273" s="43"/>
      <c r="AH273" s="43"/>
      <c r="AI273" s="43"/>
    </row>
    <row r="274" spans="1:35" ht="15.75">
      <c r="A274" s="88">
        <v>7171</v>
      </c>
      <c r="B274" s="1033" t="s">
        <v>626</v>
      </c>
      <c r="C274" s="1033"/>
      <c r="D274" s="1033"/>
      <c r="E274" s="1033"/>
      <c r="F274" s="1033"/>
      <c r="G274" s="1033"/>
      <c r="H274" s="1033"/>
      <c r="I274" s="1033"/>
      <c r="J274" s="1033"/>
      <c r="K274" s="1033"/>
      <c r="L274" s="90"/>
      <c r="M274" s="51" t="s">
        <v>265</v>
      </c>
      <c r="N274" s="113">
        <f t="shared" si="22"/>
        <v>7171</v>
      </c>
      <c r="O274" s="120">
        <v>0</v>
      </c>
      <c r="P274" s="888">
        <v>0</v>
      </c>
      <c r="Q274" s="51"/>
      <c r="R274" s="581">
        <v>0</v>
      </c>
      <c r="S274" s="891">
        <v>0</v>
      </c>
      <c r="T274" s="51"/>
      <c r="U274" s="120">
        <v>0</v>
      </c>
      <c r="V274" s="888">
        <v>0</v>
      </c>
      <c r="W274" s="51"/>
      <c r="X274" s="1613">
        <f t="shared" si="24"/>
        <v>0</v>
      </c>
      <c r="Y274" s="1614">
        <f t="shared" si="25"/>
        <v>0</v>
      </c>
      <c r="Z274" s="43"/>
      <c r="AA274" s="1621">
        <f t="shared" si="23"/>
        <v>0</v>
      </c>
      <c r="AB274" s="43"/>
      <c r="AC274" s="43"/>
      <c r="AD274" s="43"/>
      <c r="AE274" s="43"/>
      <c r="AF274" s="43"/>
      <c r="AG274" s="43"/>
      <c r="AH274" s="43"/>
      <c r="AI274" s="43"/>
    </row>
    <row r="275" spans="1:35" ht="15.75">
      <c r="A275" s="88">
        <v>7172</v>
      </c>
      <c r="B275" s="1033" t="s">
        <v>627</v>
      </c>
      <c r="C275" s="1033"/>
      <c r="D275" s="1033"/>
      <c r="E275" s="1033"/>
      <c r="F275" s="1033"/>
      <c r="G275" s="1033"/>
      <c r="H275" s="1033"/>
      <c r="I275" s="1033"/>
      <c r="J275" s="1033"/>
      <c r="K275" s="1033"/>
      <c r="L275" s="90"/>
      <c r="M275" s="51" t="s">
        <v>265</v>
      </c>
      <c r="N275" s="113">
        <f t="shared" si="22"/>
        <v>7172</v>
      </c>
      <c r="O275" s="120">
        <v>0</v>
      </c>
      <c r="P275" s="888">
        <v>0</v>
      </c>
      <c r="Q275" s="51"/>
      <c r="R275" s="581">
        <v>0</v>
      </c>
      <c r="S275" s="891">
        <v>0</v>
      </c>
      <c r="T275" s="51"/>
      <c r="U275" s="120">
        <v>0</v>
      </c>
      <c r="V275" s="888">
        <v>0</v>
      </c>
      <c r="W275" s="51"/>
      <c r="X275" s="1613">
        <f t="shared" si="24"/>
        <v>0</v>
      </c>
      <c r="Y275" s="1614">
        <f t="shared" si="25"/>
        <v>0</v>
      </c>
      <c r="Z275" s="43"/>
      <c r="AA275" s="1621">
        <f t="shared" si="23"/>
        <v>0</v>
      </c>
      <c r="AB275" s="43"/>
      <c r="AC275" s="43"/>
      <c r="AD275" s="43"/>
      <c r="AE275" s="43"/>
      <c r="AF275" s="43"/>
      <c r="AG275" s="43"/>
      <c r="AH275" s="43"/>
      <c r="AI275" s="43"/>
    </row>
    <row r="276" spans="1:35" ht="15.75">
      <c r="A276" s="88">
        <v>7173</v>
      </c>
      <c r="B276" s="1035" t="s">
        <v>1169</v>
      </c>
      <c r="C276" s="1033"/>
      <c r="D276" s="1033"/>
      <c r="E276" s="1033"/>
      <c r="F276" s="1033"/>
      <c r="G276" s="1033"/>
      <c r="H276" s="1033"/>
      <c r="I276" s="1033"/>
      <c r="J276" s="1033"/>
      <c r="K276" s="1033"/>
      <c r="L276" s="90"/>
      <c r="M276" s="51" t="s">
        <v>265</v>
      </c>
      <c r="N276" s="113">
        <f t="shared" si="22"/>
        <v>7173</v>
      </c>
      <c r="O276" s="120">
        <v>0</v>
      </c>
      <c r="P276" s="888">
        <v>0</v>
      </c>
      <c r="Q276" s="51"/>
      <c r="R276" s="581">
        <v>0</v>
      </c>
      <c r="S276" s="891">
        <v>0</v>
      </c>
      <c r="T276" s="51"/>
      <c r="U276" s="120">
        <v>0</v>
      </c>
      <c r="V276" s="888">
        <v>0</v>
      </c>
      <c r="W276" s="51"/>
      <c r="X276" s="1613">
        <f t="shared" si="24"/>
        <v>0</v>
      </c>
      <c r="Y276" s="1614">
        <f t="shared" si="25"/>
        <v>0</v>
      </c>
      <c r="Z276" s="43"/>
      <c r="AA276" s="1621">
        <f t="shared" si="23"/>
        <v>0</v>
      </c>
      <c r="AB276" s="43"/>
      <c r="AC276" s="43"/>
      <c r="AD276" s="43"/>
      <c r="AE276" s="43"/>
      <c r="AF276" s="43"/>
      <c r="AG276" s="43"/>
      <c r="AH276" s="43"/>
      <c r="AI276" s="43"/>
    </row>
    <row r="277" spans="1:35" ht="15.75">
      <c r="A277" s="88">
        <v>7174</v>
      </c>
      <c r="B277" s="1035" t="s">
        <v>1170</v>
      </c>
      <c r="C277" s="1033"/>
      <c r="D277" s="1033"/>
      <c r="E277" s="1033"/>
      <c r="F277" s="1033"/>
      <c r="G277" s="1033"/>
      <c r="H277" s="1033"/>
      <c r="I277" s="1033"/>
      <c r="J277" s="1033"/>
      <c r="K277" s="1033"/>
      <c r="L277" s="90"/>
      <c r="M277" s="51" t="s">
        <v>265</v>
      </c>
      <c r="N277" s="113">
        <f t="shared" si="22"/>
        <v>7174</v>
      </c>
      <c r="O277" s="120">
        <v>0</v>
      </c>
      <c r="P277" s="888">
        <v>0</v>
      </c>
      <c r="Q277" s="51"/>
      <c r="R277" s="581">
        <v>0</v>
      </c>
      <c r="S277" s="891">
        <v>0</v>
      </c>
      <c r="T277" s="51"/>
      <c r="U277" s="120">
        <v>0</v>
      </c>
      <c r="V277" s="888">
        <v>0</v>
      </c>
      <c r="W277" s="51"/>
      <c r="X277" s="1613">
        <f t="shared" si="24"/>
        <v>0</v>
      </c>
      <c r="Y277" s="1614">
        <f t="shared" si="25"/>
        <v>0</v>
      </c>
      <c r="Z277" s="43"/>
      <c r="AA277" s="1621">
        <f t="shared" si="23"/>
        <v>0</v>
      </c>
      <c r="AB277" s="43"/>
      <c r="AC277" s="43"/>
      <c r="AD277" s="43"/>
      <c r="AE277" s="43"/>
      <c r="AF277" s="43"/>
      <c r="AG277" s="43"/>
      <c r="AH277" s="43"/>
      <c r="AI277" s="43"/>
    </row>
    <row r="278" spans="1:35" ht="15.75">
      <c r="A278" s="88">
        <v>7175</v>
      </c>
      <c r="B278" s="1035" t="s">
        <v>628</v>
      </c>
      <c r="C278" s="1033"/>
      <c r="D278" s="1033"/>
      <c r="E278" s="1033"/>
      <c r="F278" s="1033"/>
      <c r="G278" s="1033"/>
      <c r="H278" s="1033"/>
      <c r="I278" s="1033"/>
      <c r="J278" s="1033"/>
      <c r="K278" s="1033"/>
      <c r="L278" s="90"/>
      <c r="M278" s="51" t="s">
        <v>265</v>
      </c>
      <c r="N278" s="113">
        <f t="shared" si="22"/>
        <v>7175</v>
      </c>
      <c r="O278" s="120">
        <v>0</v>
      </c>
      <c r="P278" s="888">
        <v>0</v>
      </c>
      <c r="Q278" s="51"/>
      <c r="R278" s="581">
        <v>0</v>
      </c>
      <c r="S278" s="891">
        <v>0</v>
      </c>
      <c r="T278" s="51"/>
      <c r="U278" s="120">
        <v>0</v>
      </c>
      <c r="V278" s="888">
        <v>0</v>
      </c>
      <c r="W278" s="51"/>
      <c r="X278" s="1613">
        <f t="shared" si="24"/>
        <v>0</v>
      </c>
      <c r="Y278" s="1614">
        <f t="shared" si="25"/>
        <v>0</v>
      </c>
      <c r="Z278" s="43"/>
      <c r="AA278" s="1621">
        <f t="shared" si="23"/>
        <v>0</v>
      </c>
      <c r="AB278" s="43"/>
      <c r="AC278" s="43"/>
      <c r="AD278" s="43"/>
      <c r="AE278" s="43"/>
      <c r="AF278" s="43"/>
      <c r="AG278" s="43"/>
      <c r="AH278" s="43"/>
      <c r="AI278" s="43"/>
    </row>
    <row r="279" spans="1:35" ht="15.75">
      <c r="A279" s="88">
        <v>7176</v>
      </c>
      <c r="B279" s="1035" t="s">
        <v>629</v>
      </c>
      <c r="C279" s="1033"/>
      <c r="D279" s="1033"/>
      <c r="E279" s="1033"/>
      <c r="F279" s="1033"/>
      <c r="G279" s="1033"/>
      <c r="H279" s="1033"/>
      <c r="I279" s="1033"/>
      <c r="J279" s="1033"/>
      <c r="K279" s="1033"/>
      <c r="L279" s="90"/>
      <c r="M279" s="51" t="s">
        <v>265</v>
      </c>
      <c r="N279" s="113">
        <f t="shared" si="22"/>
        <v>7176</v>
      </c>
      <c r="O279" s="120">
        <v>0</v>
      </c>
      <c r="P279" s="888">
        <v>0</v>
      </c>
      <c r="Q279" s="51"/>
      <c r="R279" s="581">
        <v>0</v>
      </c>
      <c r="S279" s="891">
        <v>0</v>
      </c>
      <c r="T279" s="51"/>
      <c r="U279" s="120">
        <v>0</v>
      </c>
      <c r="V279" s="888">
        <v>0</v>
      </c>
      <c r="W279" s="51"/>
      <c r="X279" s="1613">
        <f t="shared" si="24"/>
        <v>0</v>
      </c>
      <c r="Y279" s="1614">
        <f t="shared" si="25"/>
        <v>0</v>
      </c>
      <c r="Z279" s="43"/>
      <c r="AA279" s="1621">
        <f t="shared" si="23"/>
        <v>0</v>
      </c>
      <c r="AB279" s="43"/>
      <c r="AC279" s="43"/>
      <c r="AD279" s="43"/>
      <c r="AE279" s="43"/>
      <c r="AF279" s="43"/>
      <c r="AG279" s="43"/>
      <c r="AH279" s="43"/>
      <c r="AI279" s="43"/>
    </row>
    <row r="280" spans="1:35" ht="15.75">
      <c r="A280" s="88">
        <v>7177</v>
      </c>
      <c r="B280" s="1035" t="s">
        <v>1171</v>
      </c>
      <c r="C280" s="1033"/>
      <c r="D280" s="1033"/>
      <c r="E280" s="1033"/>
      <c r="F280" s="1033"/>
      <c r="G280" s="1033"/>
      <c r="H280" s="1033"/>
      <c r="I280" s="1033"/>
      <c r="J280" s="1033"/>
      <c r="K280" s="1033"/>
      <c r="L280" s="90"/>
      <c r="M280" s="51" t="s">
        <v>265</v>
      </c>
      <c r="N280" s="113">
        <f t="shared" si="22"/>
        <v>7177</v>
      </c>
      <c r="O280" s="120">
        <v>0</v>
      </c>
      <c r="P280" s="888">
        <v>0</v>
      </c>
      <c r="Q280" s="51"/>
      <c r="R280" s="581">
        <v>0</v>
      </c>
      <c r="S280" s="891">
        <v>0</v>
      </c>
      <c r="T280" s="51"/>
      <c r="U280" s="120">
        <v>0</v>
      </c>
      <c r="V280" s="888">
        <v>0</v>
      </c>
      <c r="W280" s="51"/>
      <c r="X280" s="1613">
        <f t="shared" si="24"/>
        <v>0</v>
      </c>
      <c r="Y280" s="1614">
        <f t="shared" si="25"/>
        <v>0</v>
      </c>
      <c r="Z280" s="43"/>
      <c r="AA280" s="1621">
        <f t="shared" si="23"/>
        <v>0</v>
      </c>
      <c r="AB280" s="43"/>
      <c r="AC280" s="43"/>
      <c r="AD280" s="43"/>
      <c r="AE280" s="43"/>
      <c r="AF280" s="43"/>
      <c r="AG280" s="43"/>
      <c r="AH280" s="43"/>
      <c r="AI280" s="43"/>
    </row>
    <row r="281" spans="1:35" ht="15.75">
      <c r="A281" s="88">
        <v>7178</v>
      </c>
      <c r="B281" s="1035" t="s">
        <v>1172</v>
      </c>
      <c r="C281" s="1033"/>
      <c r="D281" s="1033"/>
      <c r="E281" s="1033"/>
      <c r="F281" s="1033"/>
      <c r="G281" s="1033"/>
      <c r="H281" s="1033"/>
      <c r="I281" s="1033"/>
      <c r="J281" s="1033"/>
      <c r="K281" s="1033"/>
      <c r="L281" s="90"/>
      <c r="M281" s="51" t="s">
        <v>265</v>
      </c>
      <c r="N281" s="113">
        <f t="shared" si="22"/>
        <v>7178</v>
      </c>
      <c r="O281" s="120">
        <v>0</v>
      </c>
      <c r="P281" s="888">
        <v>0</v>
      </c>
      <c r="Q281" s="51"/>
      <c r="R281" s="581">
        <v>0</v>
      </c>
      <c r="S281" s="891">
        <v>0</v>
      </c>
      <c r="T281" s="51"/>
      <c r="U281" s="120">
        <v>0</v>
      </c>
      <c r="V281" s="888">
        <v>0</v>
      </c>
      <c r="W281" s="51"/>
      <c r="X281" s="1613">
        <f t="shared" si="24"/>
        <v>0</v>
      </c>
      <c r="Y281" s="1614">
        <f t="shared" si="25"/>
        <v>0</v>
      </c>
      <c r="Z281" s="43"/>
      <c r="AA281" s="1621">
        <f t="shared" si="23"/>
        <v>0</v>
      </c>
      <c r="AB281" s="43"/>
      <c r="AC281" s="43"/>
      <c r="AD281" s="43"/>
      <c r="AE281" s="43"/>
      <c r="AF281" s="43"/>
      <c r="AG281" s="43"/>
      <c r="AH281" s="43"/>
      <c r="AI281" s="43"/>
    </row>
    <row r="282" spans="1:35" ht="15.75">
      <c r="A282" s="88">
        <v>7179</v>
      </c>
      <c r="B282" s="89" t="s">
        <v>630</v>
      </c>
      <c r="C282" s="1033"/>
      <c r="D282" s="1033"/>
      <c r="E282" s="1033"/>
      <c r="F282" s="1033"/>
      <c r="G282" s="1033"/>
      <c r="H282" s="1033"/>
      <c r="I282" s="1033"/>
      <c r="J282" s="1033"/>
      <c r="K282" s="1033"/>
      <c r="L282" s="90"/>
      <c r="M282" s="51" t="s">
        <v>265</v>
      </c>
      <c r="N282" s="113">
        <f t="shared" si="22"/>
        <v>7179</v>
      </c>
      <c r="O282" s="120">
        <v>0</v>
      </c>
      <c r="P282" s="888">
        <v>0</v>
      </c>
      <c r="Q282" s="51"/>
      <c r="R282" s="581">
        <v>0</v>
      </c>
      <c r="S282" s="891">
        <v>0</v>
      </c>
      <c r="T282" s="51"/>
      <c r="U282" s="120">
        <v>0</v>
      </c>
      <c r="V282" s="888">
        <v>0</v>
      </c>
      <c r="W282" s="51"/>
      <c r="X282" s="1613">
        <f t="shared" si="24"/>
        <v>0</v>
      </c>
      <c r="Y282" s="1614">
        <f t="shared" si="25"/>
        <v>0</v>
      </c>
      <c r="Z282" s="43"/>
      <c r="AA282" s="1621">
        <f t="shared" si="23"/>
        <v>0</v>
      </c>
      <c r="AB282" s="43"/>
      <c r="AC282" s="43"/>
      <c r="AD282" s="43"/>
      <c r="AE282" s="43"/>
      <c r="AF282" s="43"/>
      <c r="AG282" s="43"/>
      <c r="AH282" s="43"/>
      <c r="AI282" s="43"/>
    </row>
    <row r="283" spans="1:35" ht="15.75">
      <c r="A283" s="88">
        <v>7180</v>
      </c>
      <c r="B283" s="89" t="s">
        <v>631</v>
      </c>
      <c r="C283" s="1033"/>
      <c r="D283" s="1033"/>
      <c r="E283" s="1033"/>
      <c r="F283" s="1033"/>
      <c r="G283" s="1033"/>
      <c r="H283" s="1033"/>
      <c r="I283" s="1033"/>
      <c r="J283" s="1033"/>
      <c r="K283" s="1033"/>
      <c r="L283" s="90"/>
      <c r="M283" s="51" t="s">
        <v>265</v>
      </c>
      <c r="N283" s="113">
        <f>+A283</f>
        <v>7180</v>
      </c>
      <c r="O283" s="120">
        <v>0</v>
      </c>
      <c r="P283" s="888">
        <v>0</v>
      </c>
      <c r="Q283" s="51"/>
      <c r="R283" s="581">
        <v>0</v>
      </c>
      <c r="S283" s="891">
        <v>0</v>
      </c>
      <c r="T283" s="51"/>
      <c r="U283" s="120">
        <v>0</v>
      </c>
      <c r="V283" s="888">
        <v>0</v>
      </c>
      <c r="W283" s="51"/>
      <c r="X283" s="1613">
        <f t="shared" si="24"/>
        <v>0</v>
      </c>
      <c r="Y283" s="1614">
        <f t="shared" si="25"/>
        <v>0</v>
      </c>
      <c r="Z283" s="43"/>
      <c r="AA283" s="1621">
        <f t="shared" si="23"/>
        <v>0</v>
      </c>
      <c r="AB283" s="43"/>
      <c r="AC283" s="43"/>
      <c r="AD283" s="43"/>
      <c r="AE283" s="43"/>
      <c r="AF283" s="43"/>
      <c r="AG283" s="43"/>
      <c r="AH283" s="43"/>
      <c r="AI283" s="43"/>
    </row>
    <row r="284" spans="1:35" ht="15.75">
      <c r="A284" s="88">
        <v>7181</v>
      </c>
      <c r="B284" s="1033" t="s">
        <v>632</v>
      </c>
      <c r="C284" s="1033"/>
      <c r="D284" s="1033"/>
      <c r="E284" s="1033"/>
      <c r="F284" s="1033"/>
      <c r="G284" s="1033"/>
      <c r="H284" s="1033"/>
      <c r="I284" s="1033"/>
      <c r="J284" s="1033"/>
      <c r="K284" s="1033"/>
      <c r="L284" s="90"/>
      <c r="M284" s="51" t="s">
        <v>265</v>
      </c>
      <c r="N284" s="113">
        <f t="shared" si="22"/>
        <v>7181</v>
      </c>
      <c r="O284" s="120">
        <v>0</v>
      </c>
      <c r="P284" s="888">
        <v>0</v>
      </c>
      <c r="Q284" s="51"/>
      <c r="R284" s="581">
        <v>0</v>
      </c>
      <c r="S284" s="891">
        <v>0</v>
      </c>
      <c r="T284" s="51"/>
      <c r="U284" s="120">
        <v>0</v>
      </c>
      <c r="V284" s="888">
        <v>0</v>
      </c>
      <c r="W284" s="51"/>
      <c r="X284" s="1613">
        <f t="shared" si="24"/>
        <v>0</v>
      </c>
      <c r="Y284" s="1614">
        <f t="shared" si="25"/>
        <v>0</v>
      </c>
      <c r="Z284" s="43"/>
      <c r="AA284" s="1621">
        <f t="shared" si="23"/>
        <v>0</v>
      </c>
      <c r="AB284" s="43"/>
      <c r="AC284" s="43"/>
      <c r="AD284" s="43"/>
      <c r="AE284" s="43"/>
      <c r="AF284" s="43"/>
      <c r="AG284" s="43"/>
      <c r="AH284" s="43"/>
      <c r="AI284" s="43"/>
    </row>
    <row r="285" spans="1:35" ht="15.75">
      <c r="A285" s="88">
        <v>7182</v>
      </c>
      <c r="B285" s="378" t="s">
        <v>633</v>
      </c>
      <c r="C285" s="1033"/>
      <c r="D285" s="1033"/>
      <c r="E285" s="1033"/>
      <c r="F285" s="1033"/>
      <c r="G285" s="1033"/>
      <c r="H285" s="1033"/>
      <c r="I285" s="1033"/>
      <c r="J285" s="1033"/>
      <c r="K285" s="1033"/>
      <c r="L285" s="90"/>
      <c r="M285" s="51" t="s">
        <v>265</v>
      </c>
      <c r="N285" s="113">
        <f t="shared" si="22"/>
        <v>7182</v>
      </c>
      <c r="O285" s="120">
        <v>0</v>
      </c>
      <c r="P285" s="888">
        <v>0</v>
      </c>
      <c r="Q285" s="51"/>
      <c r="R285" s="581">
        <v>0</v>
      </c>
      <c r="S285" s="891">
        <v>0</v>
      </c>
      <c r="T285" s="51"/>
      <c r="U285" s="120">
        <v>0</v>
      </c>
      <c r="V285" s="888">
        <v>0</v>
      </c>
      <c r="W285" s="51"/>
      <c r="X285" s="1613">
        <f t="shared" si="24"/>
        <v>0</v>
      </c>
      <c r="Y285" s="1614">
        <f t="shared" si="25"/>
        <v>0</v>
      </c>
      <c r="Z285" s="43"/>
      <c r="AA285" s="1621">
        <f t="shared" si="23"/>
        <v>0</v>
      </c>
      <c r="AB285" s="43"/>
      <c r="AC285" s="43"/>
      <c r="AD285" s="43"/>
      <c r="AE285" s="43"/>
      <c r="AF285" s="43"/>
      <c r="AG285" s="43"/>
      <c r="AH285" s="43"/>
      <c r="AI285" s="43"/>
    </row>
    <row r="286" spans="1:35" ht="15.75">
      <c r="A286" s="88">
        <v>7189</v>
      </c>
      <c r="B286" s="1033" t="s">
        <v>634</v>
      </c>
      <c r="C286" s="1033"/>
      <c r="D286" s="1033"/>
      <c r="E286" s="1033"/>
      <c r="F286" s="1033"/>
      <c r="G286" s="1033"/>
      <c r="H286" s="1033"/>
      <c r="I286" s="1033"/>
      <c r="J286" s="1033"/>
      <c r="K286" s="1033"/>
      <c r="L286" s="90"/>
      <c r="M286" s="51" t="s">
        <v>265</v>
      </c>
      <c r="N286" s="113">
        <f t="shared" si="22"/>
        <v>7189</v>
      </c>
      <c r="O286" s="120">
        <v>0</v>
      </c>
      <c r="P286" s="888">
        <v>0</v>
      </c>
      <c r="Q286" s="51"/>
      <c r="R286" s="581">
        <v>0</v>
      </c>
      <c r="S286" s="891">
        <v>0</v>
      </c>
      <c r="T286" s="51"/>
      <c r="U286" s="120">
        <v>0</v>
      </c>
      <c r="V286" s="888">
        <v>0</v>
      </c>
      <c r="W286" s="51"/>
      <c r="X286" s="1613">
        <f t="shared" si="24"/>
        <v>0</v>
      </c>
      <c r="Y286" s="1614">
        <f t="shared" si="25"/>
        <v>0</v>
      </c>
      <c r="Z286" s="43"/>
      <c r="AA286" s="1621">
        <f t="shared" si="23"/>
        <v>0</v>
      </c>
      <c r="AB286" s="43"/>
      <c r="AC286" s="43"/>
      <c r="AD286" s="43"/>
      <c r="AE286" s="43"/>
      <c r="AF286" s="43"/>
      <c r="AG286" s="43"/>
      <c r="AH286" s="43"/>
      <c r="AI286" s="43"/>
    </row>
    <row r="287" spans="1:35" ht="15.75">
      <c r="A287" s="88">
        <v>7190</v>
      </c>
      <c r="B287" s="1032" t="s">
        <v>635</v>
      </c>
      <c r="C287" s="1033"/>
      <c r="D287" s="1033"/>
      <c r="E287" s="1033"/>
      <c r="F287" s="1033"/>
      <c r="G287" s="1033"/>
      <c r="H287" s="1033"/>
      <c r="I287" s="1033"/>
      <c r="J287" s="1033"/>
      <c r="K287" s="1033"/>
      <c r="L287" s="90"/>
      <c r="M287" s="51" t="s">
        <v>265</v>
      </c>
      <c r="N287" s="113">
        <f>+A287</f>
        <v>7190</v>
      </c>
      <c r="O287" s="120">
        <v>0</v>
      </c>
      <c r="P287" s="888">
        <v>0</v>
      </c>
      <c r="Q287" s="51"/>
      <c r="R287" s="581">
        <v>0</v>
      </c>
      <c r="S287" s="891">
        <v>0</v>
      </c>
      <c r="T287" s="51"/>
      <c r="U287" s="120">
        <v>0</v>
      </c>
      <c r="V287" s="888">
        <v>0</v>
      </c>
      <c r="W287" s="51"/>
      <c r="X287" s="1613">
        <f t="shared" si="24"/>
        <v>0</v>
      </c>
      <c r="Y287" s="1614">
        <f t="shared" si="25"/>
        <v>0</v>
      </c>
      <c r="Z287" s="43"/>
      <c r="AA287" s="1621">
        <f t="shared" si="23"/>
        <v>0</v>
      </c>
      <c r="AB287" s="43"/>
      <c r="AC287" s="43"/>
      <c r="AD287" s="43"/>
      <c r="AE287" s="43"/>
      <c r="AF287" s="43"/>
      <c r="AG287" s="43"/>
      <c r="AH287" s="43"/>
      <c r="AI287" s="43"/>
    </row>
    <row r="288" spans="1:35" ht="15.75">
      <c r="A288" s="88">
        <v>7191</v>
      </c>
      <c r="B288" s="1032" t="s">
        <v>636</v>
      </c>
      <c r="C288" s="1033"/>
      <c r="D288" s="1033"/>
      <c r="E288" s="1033"/>
      <c r="F288" s="1033"/>
      <c r="G288" s="1033"/>
      <c r="H288" s="1033"/>
      <c r="I288" s="1033"/>
      <c r="J288" s="1033"/>
      <c r="K288" s="1033"/>
      <c r="L288" s="90"/>
      <c r="M288" s="51" t="s">
        <v>265</v>
      </c>
      <c r="N288" s="113">
        <f t="shared" si="22"/>
        <v>7191</v>
      </c>
      <c r="O288" s="120">
        <v>0</v>
      </c>
      <c r="P288" s="888">
        <v>0</v>
      </c>
      <c r="Q288" s="51"/>
      <c r="R288" s="581">
        <v>0</v>
      </c>
      <c r="S288" s="891">
        <v>0</v>
      </c>
      <c r="T288" s="51"/>
      <c r="U288" s="120">
        <v>0</v>
      </c>
      <c r="V288" s="888">
        <v>0</v>
      </c>
      <c r="W288" s="51"/>
      <c r="X288" s="1613">
        <f t="shared" si="24"/>
        <v>0</v>
      </c>
      <c r="Y288" s="1614">
        <f t="shared" si="25"/>
        <v>0</v>
      </c>
      <c r="Z288" s="43"/>
      <c r="AA288" s="1621">
        <f t="shared" si="23"/>
        <v>0</v>
      </c>
      <c r="AB288" s="43"/>
      <c r="AC288" s="43"/>
      <c r="AD288" s="43"/>
      <c r="AE288" s="43"/>
      <c r="AF288" s="43"/>
      <c r="AG288" s="43"/>
      <c r="AH288" s="43"/>
      <c r="AI288" s="43"/>
    </row>
    <row r="289" spans="1:35" ht="15.75">
      <c r="A289" s="88">
        <v>7192</v>
      </c>
      <c r="B289" s="1032" t="s">
        <v>637</v>
      </c>
      <c r="C289" s="1033"/>
      <c r="D289" s="1033"/>
      <c r="E289" s="1033"/>
      <c r="F289" s="1033"/>
      <c r="G289" s="1033"/>
      <c r="H289" s="1033"/>
      <c r="I289" s="1033"/>
      <c r="J289" s="1033"/>
      <c r="K289" s="1033"/>
      <c r="L289" s="90"/>
      <c r="M289" s="51" t="s">
        <v>265</v>
      </c>
      <c r="N289" s="113">
        <f t="shared" si="22"/>
        <v>7192</v>
      </c>
      <c r="O289" s="120">
        <v>0</v>
      </c>
      <c r="P289" s="888">
        <v>0</v>
      </c>
      <c r="Q289" s="51"/>
      <c r="R289" s="581">
        <v>0</v>
      </c>
      <c r="S289" s="891">
        <v>0</v>
      </c>
      <c r="T289" s="51"/>
      <c r="U289" s="120">
        <v>0</v>
      </c>
      <c r="V289" s="888">
        <v>0</v>
      </c>
      <c r="W289" s="51"/>
      <c r="X289" s="1613">
        <f t="shared" si="24"/>
        <v>0</v>
      </c>
      <c r="Y289" s="1614">
        <f t="shared" si="25"/>
        <v>0</v>
      </c>
      <c r="Z289" s="43"/>
      <c r="AA289" s="1621">
        <f t="shared" si="23"/>
        <v>0</v>
      </c>
      <c r="AB289" s="43"/>
      <c r="AC289" s="43"/>
      <c r="AD289" s="43"/>
      <c r="AE289" s="43"/>
      <c r="AF289" s="43"/>
      <c r="AG289" s="43"/>
      <c r="AH289" s="43"/>
      <c r="AI289" s="43"/>
    </row>
    <row r="290" spans="1:35" ht="15.75">
      <c r="A290" s="88">
        <v>7198</v>
      </c>
      <c r="B290" s="1032" t="s">
        <v>638</v>
      </c>
      <c r="C290" s="1033"/>
      <c r="D290" s="1033"/>
      <c r="E290" s="1033"/>
      <c r="F290" s="1033"/>
      <c r="G290" s="1033"/>
      <c r="H290" s="1033"/>
      <c r="I290" s="1033"/>
      <c r="J290" s="1033"/>
      <c r="K290" s="1033"/>
      <c r="L290" s="90"/>
      <c r="M290" s="51" t="s">
        <v>265</v>
      </c>
      <c r="N290" s="113">
        <f>+A290</f>
        <v>7198</v>
      </c>
      <c r="O290" s="120">
        <v>0</v>
      </c>
      <c r="P290" s="888">
        <v>0</v>
      </c>
      <c r="Q290" s="51"/>
      <c r="R290" s="581">
        <v>0</v>
      </c>
      <c r="S290" s="891">
        <v>0</v>
      </c>
      <c r="T290" s="51"/>
      <c r="U290" s="120">
        <v>0</v>
      </c>
      <c r="V290" s="888">
        <v>0</v>
      </c>
      <c r="W290" s="51"/>
      <c r="X290" s="1613">
        <f t="shared" si="24"/>
        <v>0</v>
      </c>
      <c r="Y290" s="1614">
        <f t="shared" si="25"/>
        <v>0</v>
      </c>
      <c r="Z290" s="43"/>
      <c r="AA290" s="1621">
        <f t="shared" si="23"/>
        <v>0</v>
      </c>
      <c r="AB290" s="43"/>
      <c r="AC290" s="43"/>
      <c r="AD290" s="43"/>
      <c r="AE290" s="43"/>
      <c r="AF290" s="43"/>
      <c r="AG290" s="43"/>
      <c r="AH290" s="43"/>
      <c r="AI290" s="43"/>
    </row>
    <row r="291" spans="1:35" ht="15.75">
      <c r="A291" s="88">
        <v>7199</v>
      </c>
      <c r="B291" s="1032" t="s">
        <v>639</v>
      </c>
      <c r="C291" s="1033"/>
      <c r="D291" s="1033"/>
      <c r="E291" s="1033"/>
      <c r="F291" s="1033"/>
      <c r="G291" s="1033"/>
      <c r="H291" s="1033"/>
      <c r="I291" s="1033"/>
      <c r="J291" s="1033"/>
      <c r="K291" s="1033"/>
      <c r="L291" s="90"/>
      <c r="M291" s="51" t="s">
        <v>265</v>
      </c>
      <c r="N291" s="113">
        <f t="shared" si="22"/>
        <v>7199</v>
      </c>
      <c r="O291" s="120">
        <v>0</v>
      </c>
      <c r="P291" s="888">
        <v>0</v>
      </c>
      <c r="Q291" s="51"/>
      <c r="R291" s="581">
        <v>0</v>
      </c>
      <c r="S291" s="891">
        <v>0</v>
      </c>
      <c r="T291" s="51"/>
      <c r="U291" s="120">
        <v>0</v>
      </c>
      <c r="V291" s="888">
        <v>0</v>
      </c>
      <c r="W291" s="51"/>
      <c r="X291" s="1613">
        <f t="shared" si="24"/>
        <v>0</v>
      </c>
      <c r="Y291" s="1614">
        <f t="shared" si="25"/>
        <v>0</v>
      </c>
      <c r="Z291" s="43"/>
      <c r="AA291" s="1621">
        <f t="shared" si="23"/>
        <v>0</v>
      </c>
      <c r="AB291" s="43"/>
      <c r="AC291" s="43"/>
      <c r="AD291" s="43"/>
      <c r="AE291" s="43"/>
      <c r="AF291" s="43"/>
      <c r="AG291" s="43"/>
      <c r="AH291" s="43"/>
      <c r="AI291" s="43"/>
    </row>
    <row r="292" spans="1:35" ht="15.75">
      <c r="A292" s="88">
        <v>7200</v>
      </c>
      <c r="B292" s="1033" t="s">
        <v>692</v>
      </c>
      <c r="C292" s="1033"/>
      <c r="D292" s="1033"/>
      <c r="E292" s="1033"/>
      <c r="F292" s="1033"/>
      <c r="G292" s="1033"/>
      <c r="H292" s="1033"/>
      <c r="I292" s="1033"/>
      <c r="J292" s="1033"/>
      <c r="K292" s="1033"/>
      <c r="L292" s="90"/>
      <c r="M292" s="51" t="s">
        <v>265</v>
      </c>
      <c r="N292" s="113">
        <f t="shared" si="22"/>
        <v>7200</v>
      </c>
      <c r="O292" s="120">
        <v>0</v>
      </c>
      <c r="P292" s="888">
        <v>0</v>
      </c>
      <c r="Q292" s="51"/>
      <c r="R292" s="581">
        <v>0</v>
      </c>
      <c r="S292" s="891">
        <v>0</v>
      </c>
      <c r="T292" s="51"/>
      <c r="U292" s="120">
        <v>0</v>
      </c>
      <c r="V292" s="888">
        <v>0</v>
      </c>
      <c r="W292" s="51"/>
      <c r="X292" s="1613">
        <f t="shared" si="24"/>
        <v>0</v>
      </c>
      <c r="Y292" s="1614">
        <f t="shared" si="25"/>
        <v>0</v>
      </c>
      <c r="Z292" s="43"/>
      <c r="AA292" s="1621">
        <f t="shared" si="23"/>
        <v>0</v>
      </c>
      <c r="AB292" s="43"/>
      <c r="AC292" s="43"/>
      <c r="AD292" s="43"/>
      <c r="AE292" s="43"/>
      <c r="AF292" s="43"/>
      <c r="AG292" s="43"/>
      <c r="AH292" s="43"/>
      <c r="AI292" s="43"/>
    </row>
    <row r="293" spans="1:35" ht="15.75">
      <c r="A293" s="88">
        <v>7211</v>
      </c>
      <c r="B293" s="1032" t="s">
        <v>640</v>
      </c>
      <c r="C293" s="1033"/>
      <c r="D293" s="1033"/>
      <c r="E293" s="1033"/>
      <c r="F293" s="1033"/>
      <c r="G293" s="1033"/>
      <c r="H293" s="1033"/>
      <c r="I293" s="1033"/>
      <c r="J293" s="1033"/>
      <c r="K293" s="1033"/>
      <c r="L293" s="90"/>
      <c r="M293" s="51" t="s">
        <v>265</v>
      </c>
      <c r="N293" s="113">
        <f t="shared" si="22"/>
        <v>7211</v>
      </c>
      <c r="O293" s="120">
        <v>0</v>
      </c>
      <c r="P293" s="888">
        <v>0</v>
      </c>
      <c r="Q293" s="51"/>
      <c r="R293" s="581">
        <v>0</v>
      </c>
      <c r="S293" s="891">
        <v>0</v>
      </c>
      <c r="T293" s="51"/>
      <c r="U293" s="120">
        <v>0</v>
      </c>
      <c r="V293" s="888">
        <v>0</v>
      </c>
      <c r="W293" s="51"/>
      <c r="X293" s="1613">
        <f t="shared" si="24"/>
        <v>0</v>
      </c>
      <c r="Y293" s="1614">
        <f t="shared" si="25"/>
        <v>0</v>
      </c>
      <c r="Z293" s="43"/>
      <c r="AA293" s="1621">
        <f t="shared" si="23"/>
        <v>0</v>
      </c>
      <c r="AB293" s="43"/>
      <c r="AC293" s="43"/>
      <c r="AD293" s="43"/>
      <c r="AE293" s="43"/>
      <c r="AF293" s="43"/>
      <c r="AG293" s="43"/>
      <c r="AH293" s="43"/>
      <c r="AI293" s="43"/>
    </row>
    <row r="294" spans="1:35" ht="15.75">
      <c r="A294" s="88">
        <v>7212</v>
      </c>
      <c r="B294" s="1032" t="s">
        <v>641</v>
      </c>
      <c r="C294" s="1033"/>
      <c r="D294" s="1033"/>
      <c r="E294" s="1033"/>
      <c r="F294" s="1033"/>
      <c r="G294" s="1033"/>
      <c r="H294" s="1033"/>
      <c r="I294" s="1033"/>
      <c r="J294" s="1033"/>
      <c r="K294" s="1033"/>
      <c r="L294" s="90"/>
      <c r="M294" s="51" t="s">
        <v>265</v>
      </c>
      <c r="N294" s="113">
        <f t="shared" si="22"/>
        <v>7212</v>
      </c>
      <c r="O294" s="120">
        <v>0</v>
      </c>
      <c r="P294" s="888">
        <v>0</v>
      </c>
      <c r="Q294" s="51"/>
      <c r="R294" s="581">
        <v>0</v>
      </c>
      <c r="S294" s="891">
        <v>0</v>
      </c>
      <c r="T294" s="51"/>
      <c r="U294" s="120">
        <v>0</v>
      </c>
      <c r="V294" s="888">
        <v>0</v>
      </c>
      <c r="W294" s="51"/>
      <c r="X294" s="1613">
        <f t="shared" si="24"/>
        <v>0</v>
      </c>
      <c r="Y294" s="1614">
        <f t="shared" si="25"/>
        <v>0</v>
      </c>
      <c r="Z294" s="43"/>
      <c r="AA294" s="1621">
        <f t="shared" si="23"/>
        <v>0</v>
      </c>
      <c r="AB294" s="43"/>
      <c r="AC294" s="43"/>
      <c r="AD294" s="43"/>
      <c r="AE294" s="43"/>
      <c r="AF294" s="43"/>
      <c r="AG294" s="43"/>
      <c r="AH294" s="43"/>
      <c r="AI294" s="43"/>
    </row>
    <row r="295" spans="1:35" ht="15.75">
      <c r="A295" s="88">
        <v>7215</v>
      </c>
      <c r="B295" s="1032" t="s">
        <v>642</v>
      </c>
      <c r="C295" s="1033"/>
      <c r="D295" s="1033"/>
      <c r="E295" s="1033"/>
      <c r="F295" s="1033"/>
      <c r="G295" s="1033"/>
      <c r="H295" s="1033"/>
      <c r="I295" s="1033"/>
      <c r="J295" s="1033"/>
      <c r="K295" s="1033"/>
      <c r="L295" s="90"/>
      <c r="M295" s="51" t="s">
        <v>265</v>
      </c>
      <c r="N295" s="113">
        <f t="shared" si="22"/>
        <v>7215</v>
      </c>
      <c r="O295" s="120">
        <v>0</v>
      </c>
      <c r="P295" s="888">
        <v>0</v>
      </c>
      <c r="Q295" s="51"/>
      <c r="R295" s="581">
        <v>0</v>
      </c>
      <c r="S295" s="891">
        <v>0</v>
      </c>
      <c r="T295" s="51"/>
      <c r="U295" s="120">
        <v>0</v>
      </c>
      <c r="V295" s="888">
        <v>0</v>
      </c>
      <c r="W295" s="51"/>
      <c r="X295" s="1613">
        <f t="shared" si="24"/>
        <v>0</v>
      </c>
      <c r="Y295" s="1614">
        <f t="shared" si="25"/>
        <v>0</v>
      </c>
      <c r="Z295" s="43"/>
      <c r="AA295" s="1621">
        <f t="shared" si="23"/>
        <v>0</v>
      </c>
      <c r="AB295" s="43"/>
      <c r="AC295" s="43"/>
      <c r="AD295" s="43"/>
      <c r="AE295" s="43"/>
      <c r="AF295" s="43"/>
      <c r="AG295" s="43"/>
      <c r="AH295" s="43"/>
      <c r="AI295" s="43"/>
    </row>
    <row r="296" spans="1:35" ht="15.75">
      <c r="A296" s="88">
        <v>7216</v>
      </c>
      <c r="B296" s="1032" t="s">
        <v>643</v>
      </c>
      <c r="C296" s="1033"/>
      <c r="D296" s="1033"/>
      <c r="E296" s="1033"/>
      <c r="F296" s="1033"/>
      <c r="G296" s="1033"/>
      <c r="H296" s="1033"/>
      <c r="I296" s="1033"/>
      <c r="J296" s="1033"/>
      <c r="K296" s="1033"/>
      <c r="L296" s="90"/>
      <c r="M296" s="51" t="s">
        <v>265</v>
      </c>
      <c r="N296" s="113">
        <f t="shared" si="22"/>
        <v>7216</v>
      </c>
      <c r="O296" s="120">
        <v>0</v>
      </c>
      <c r="P296" s="888">
        <v>0</v>
      </c>
      <c r="Q296" s="51"/>
      <c r="R296" s="581">
        <v>0</v>
      </c>
      <c r="S296" s="891">
        <v>0</v>
      </c>
      <c r="T296" s="51"/>
      <c r="U296" s="120">
        <v>0</v>
      </c>
      <c r="V296" s="888">
        <v>0</v>
      </c>
      <c r="W296" s="51"/>
      <c r="X296" s="1613">
        <f t="shared" si="24"/>
        <v>0</v>
      </c>
      <c r="Y296" s="1614">
        <f t="shared" si="25"/>
        <v>0</v>
      </c>
      <c r="Z296" s="43"/>
      <c r="AA296" s="1621">
        <f t="shared" si="23"/>
        <v>0</v>
      </c>
      <c r="AB296" s="43"/>
      <c r="AC296" s="43"/>
      <c r="AD296" s="43"/>
      <c r="AE296" s="43"/>
      <c r="AF296" s="43"/>
      <c r="AG296" s="43"/>
      <c r="AH296" s="43"/>
      <c r="AI296" s="43"/>
    </row>
    <row r="297" spans="1:35" ht="15.75">
      <c r="A297" s="88">
        <v>7217</v>
      </c>
      <c r="B297" s="1032" t="s">
        <v>644</v>
      </c>
      <c r="C297" s="1033"/>
      <c r="D297" s="1033"/>
      <c r="E297" s="1033"/>
      <c r="F297" s="1033"/>
      <c r="G297" s="1033"/>
      <c r="H297" s="1033"/>
      <c r="I297" s="1033"/>
      <c r="J297" s="1033"/>
      <c r="K297" s="1033"/>
      <c r="L297" s="90"/>
      <c r="M297" s="51" t="s">
        <v>265</v>
      </c>
      <c r="N297" s="113">
        <f t="shared" si="22"/>
        <v>7217</v>
      </c>
      <c r="O297" s="120">
        <v>0</v>
      </c>
      <c r="P297" s="888">
        <v>0</v>
      </c>
      <c r="Q297" s="51"/>
      <c r="R297" s="581">
        <v>0</v>
      </c>
      <c r="S297" s="891">
        <v>0</v>
      </c>
      <c r="T297" s="51"/>
      <c r="U297" s="120">
        <v>0</v>
      </c>
      <c r="V297" s="888">
        <v>0</v>
      </c>
      <c r="W297" s="51"/>
      <c r="X297" s="1613">
        <f t="shared" si="24"/>
        <v>0</v>
      </c>
      <c r="Y297" s="1614">
        <f t="shared" si="25"/>
        <v>0</v>
      </c>
      <c r="Z297" s="43"/>
      <c r="AA297" s="1621">
        <f t="shared" si="23"/>
        <v>0</v>
      </c>
      <c r="AB297" s="43"/>
      <c r="AC297" s="43"/>
      <c r="AD297" s="43"/>
      <c r="AE297" s="43"/>
      <c r="AF297" s="43"/>
      <c r="AG297" s="43"/>
      <c r="AH297" s="43"/>
      <c r="AI297" s="43"/>
    </row>
    <row r="298" spans="1:35" ht="15.75">
      <c r="A298" s="88">
        <v>7218</v>
      </c>
      <c r="B298" s="1032" t="s">
        <v>645</v>
      </c>
      <c r="C298" s="1033"/>
      <c r="D298" s="1033"/>
      <c r="E298" s="1033"/>
      <c r="F298" s="1033"/>
      <c r="G298" s="1033"/>
      <c r="H298" s="1033"/>
      <c r="I298" s="1033"/>
      <c r="J298" s="1033"/>
      <c r="K298" s="1033"/>
      <c r="L298" s="90"/>
      <c r="M298" s="51" t="s">
        <v>265</v>
      </c>
      <c r="N298" s="113">
        <f t="shared" si="22"/>
        <v>7218</v>
      </c>
      <c r="O298" s="120">
        <v>0</v>
      </c>
      <c r="P298" s="888">
        <v>0</v>
      </c>
      <c r="Q298" s="51"/>
      <c r="R298" s="581">
        <v>0</v>
      </c>
      <c r="S298" s="891">
        <v>0</v>
      </c>
      <c r="T298" s="51"/>
      <c r="U298" s="120">
        <v>0</v>
      </c>
      <c r="V298" s="888">
        <v>0</v>
      </c>
      <c r="W298" s="51"/>
      <c r="X298" s="1613">
        <f t="shared" si="24"/>
        <v>0</v>
      </c>
      <c r="Y298" s="1614">
        <f t="shared" si="25"/>
        <v>0</v>
      </c>
      <c r="Z298" s="43"/>
      <c r="AA298" s="1621">
        <f t="shared" si="23"/>
        <v>0</v>
      </c>
      <c r="AB298" s="43"/>
      <c r="AC298" s="43"/>
      <c r="AD298" s="43"/>
      <c r="AE298" s="43"/>
      <c r="AF298" s="43"/>
      <c r="AG298" s="43"/>
      <c r="AH298" s="43"/>
      <c r="AI298" s="43"/>
    </row>
    <row r="299" spans="1:35" ht="15.75">
      <c r="A299" s="88">
        <v>7219</v>
      </c>
      <c r="B299" s="1032" t="s">
        <v>646</v>
      </c>
      <c r="C299" s="1033"/>
      <c r="D299" s="1033"/>
      <c r="E299" s="1033"/>
      <c r="F299" s="1033"/>
      <c r="G299" s="1033"/>
      <c r="H299" s="1033"/>
      <c r="I299" s="1033"/>
      <c r="J299" s="1033"/>
      <c r="K299" s="1033"/>
      <c r="L299" s="90"/>
      <c r="M299" s="51" t="s">
        <v>265</v>
      </c>
      <c r="N299" s="113">
        <f t="shared" si="22"/>
        <v>7219</v>
      </c>
      <c r="O299" s="120">
        <v>0</v>
      </c>
      <c r="P299" s="888">
        <v>0</v>
      </c>
      <c r="Q299" s="51"/>
      <c r="R299" s="581">
        <v>0</v>
      </c>
      <c r="S299" s="891">
        <v>0</v>
      </c>
      <c r="T299" s="51"/>
      <c r="U299" s="120">
        <v>0</v>
      </c>
      <c r="V299" s="888">
        <v>0</v>
      </c>
      <c r="W299" s="51"/>
      <c r="X299" s="1613">
        <f t="shared" si="24"/>
        <v>0</v>
      </c>
      <c r="Y299" s="1614">
        <f t="shared" si="25"/>
        <v>0</v>
      </c>
      <c r="Z299" s="43"/>
      <c r="AA299" s="1621">
        <f t="shared" ref="AA299:AA362" si="26">+ROUND(+SUM(X299-Y299)-SUM(O299-P299)-SUM(R299-S299)-SUM(U299-V299),2)</f>
        <v>0</v>
      </c>
      <c r="AB299" s="43"/>
      <c r="AC299" s="43"/>
      <c r="AD299" s="43"/>
      <c r="AE299" s="43"/>
      <c r="AF299" s="43"/>
      <c r="AG299" s="43"/>
      <c r="AH299" s="43"/>
      <c r="AI299" s="43"/>
    </row>
    <row r="300" spans="1:35" ht="15.75">
      <c r="A300" s="1185">
        <v>7220</v>
      </c>
      <c r="B300" s="2293" t="s">
        <v>647</v>
      </c>
      <c r="C300" s="2293"/>
      <c r="D300" s="2293"/>
      <c r="E300" s="2293"/>
      <c r="F300" s="2293"/>
      <c r="G300" s="2293"/>
      <c r="H300" s="2293"/>
      <c r="I300" s="2293"/>
      <c r="J300" s="2293"/>
      <c r="K300" s="2293"/>
      <c r="L300" s="2294"/>
      <c r="M300" s="51" t="s">
        <v>265</v>
      </c>
      <c r="N300" s="611">
        <f t="shared" si="22"/>
        <v>7220</v>
      </c>
      <c r="O300" s="2295"/>
      <c r="P300" s="2271"/>
      <c r="Q300" s="51"/>
      <c r="R300" s="10">
        <v>0</v>
      </c>
      <c r="S300" s="889">
        <v>0</v>
      </c>
      <c r="T300" s="51"/>
      <c r="U300" s="10">
        <v>0</v>
      </c>
      <c r="V300" s="889">
        <v>0</v>
      </c>
      <c r="W300" s="51"/>
      <c r="X300" s="1610">
        <f>+IF($C$8=9900,+ROUND(+O300+R300+U300,2),0)</f>
        <v>0</v>
      </c>
      <c r="Y300" s="828">
        <f>+IF($C$8=9900,+ROUND(+P300+S300+V300,2),0)</f>
        <v>0</v>
      </c>
      <c r="Z300" s="43"/>
      <c r="AA300" s="1621">
        <f t="shared" si="26"/>
        <v>0</v>
      </c>
      <c r="AB300" s="43"/>
      <c r="AC300" s="43"/>
      <c r="AD300" s="43"/>
      <c r="AE300" s="43"/>
      <c r="AF300" s="43"/>
      <c r="AG300" s="43"/>
      <c r="AH300" s="43"/>
      <c r="AI300" s="43"/>
    </row>
    <row r="301" spans="1:35" ht="15.75">
      <c r="A301" s="88">
        <v>7221</v>
      </c>
      <c r="B301" s="1033" t="s">
        <v>648</v>
      </c>
      <c r="C301" s="1033"/>
      <c r="D301" s="1033"/>
      <c r="E301" s="1033"/>
      <c r="F301" s="1033"/>
      <c r="G301" s="1033"/>
      <c r="H301" s="1033"/>
      <c r="I301" s="1033"/>
      <c r="J301" s="1033"/>
      <c r="K301" s="1033"/>
      <c r="L301" s="90"/>
      <c r="M301" s="51" t="s">
        <v>265</v>
      </c>
      <c r="N301" s="113">
        <f t="shared" si="22"/>
        <v>7221</v>
      </c>
      <c r="O301" s="120">
        <v>0</v>
      </c>
      <c r="P301" s="888">
        <v>0</v>
      </c>
      <c r="Q301" s="51"/>
      <c r="R301" s="120">
        <v>0</v>
      </c>
      <c r="S301" s="888">
        <v>0</v>
      </c>
      <c r="T301" s="51"/>
      <c r="U301" s="120">
        <v>0</v>
      </c>
      <c r="V301" s="888">
        <v>0</v>
      </c>
      <c r="W301" s="51"/>
      <c r="X301" s="1613">
        <f t="shared" ref="X301:X364" si="27">+ROUND(+O301+R301+U301,2)</f>
        <v>0</v>
      </c>
      <c r="Y301" s="1614">
        <f t="shared" si="25"/>
        <v>0</v>
      </c>
      <c r="Z301" s="43"/>
      <c r="AA301" s="1621">
        <f t="shared" si="26"/>
        <v>0</v>
      </c>
      <c r="AB301" s="43"/>
      <c r="AC301" s="43"/>
      <c r="AD301" s="43"/>
      <c r="AE301" s="43"/>
      <c r="AF301" s="43"/>
      <c r="AG301" s="43"/>
      <c r="AH301" s="43"/>
      <c r="AI301" s="43"/>
    </row>
    <row r="302" spans="1:35" ht="15.75">
      <c r="A302" s="88">
        <v>7222</v>
      </c>
      <c r="B302" s="1033" t="s">
        <v>649</v>
      </c>
      <c r="C302" s="1033"/>
      <c r="D302" s="1033"/>
      <c r="E302" s="1033"/>
      <c r="F302" s="1033"/>
      <c r="G302" s="1033"/>
      <c r="H302" s="1033"/>
      <c r="I302" s="1033"/>
      <c r="J302" s="1033"/>
      <c r="K302" s="1033"/>
      <c r="L302" s="90"/>
      <c r="M302" s="51" t="s">
        <v>265</v>
      </c>
      <c r="N302" s="113">
        <f t="shared" si="22"/>
        <v>7222</v>
      </c>
      <c r="O302" s="120">
        <v>0</v>
      </c>
      <c r="P302" s="888">
        <v>0</v>
      </c>
      <c r="Q302" s="51"/>
      <c r="R302" s="120">
        <v>0</v>
      </c>
      <c r="S302" s="888">
        <v>0</v>
      </c>
      <c r="T302" s="51"/>
      <c r="U302" s="120">
        <v>0</v>
      </c>
      <c r="V302" s="888">
        <v>0</v>
      </c>
      <c r="W302" s="51"/>
      <c r="X302" s="1613">
        <f t="shared" si="27"/>
        <v>0</v>
      </c>
      <c r="Y302" s="1614">
        <f t="shared" si="25"/>
        <v>0</v>
      </c>
      <c r="Z302" s="43"/>
      <c r="AA302" s="1621">
        <f t="shared" si="26"/>
        <v>0</v>
      </c>
      <c r="AB302" s="43"/>
      <c r="AC302" s="43"/>
      <c r="AD302" s="43"/>
      <c r="AE302" s="43"/>
      <c r="AF302" s="43"/>
      <c r="AG302" s="43"/>
      <c r="AH302" s="43"/>
      <c r="AI302" s="43"/>
    </row>
    <row r="303" spans="1:35" ht="15.75">
      <c r="A303" s="88">
        <v>7223</v>
      </c>
      <c r="B303" s="1033" t="s">
        <v>650</v>
      </c>
      <c r="C303" s="1033"/>
      <c r="D303" s="1033"/>
      <c r="E303" s="1033"/>
      <c r="F303" s="1033"/>
      <c r="G303" s="1033"/>
      <c r="H303" s="1033"/>
      <c r="I303" s="1033"/>
      <c r="J303" s="1033"/>
      <c r="K303" s="1033"/>
      <c r="L303" s="90"/>
      <c r="M303" s="51" t="s">
        <v>265</v>
      </c>
      <c r="N303" s="113">
        <f t="shared" si="22"/>
        <v>7223</v>
      </c>
      <c r="O303" s="120">
        <v>0</v>
      </c>
      <c r="P303" s="888">
        <v>0</v>
      </c>
      <c r="Q303" s="51"/>
      <c r="R303" s="120">
        <v>0</v>
      </c>
      <c r="S303" s="888">
        <v>0</v>
      </c>
      <c r="T303" s="51"/>
      <c r="U303" s="120">
        <v>0</v>
      </c>
      <c r="V303" s="888">
        <v>0</v>
      </c>
      <c r="W303" s="51"/>
      <c r="X303" s="1613">
        <f t="shared" si="27"/>
        <v>0</v>
      </c>
      <c r="Y303" s="1614">
        <f t="shared" si="25"/>
        <v>0</v>
      </c>
      <c r="Z303" s="43"/>
      <c r="AA303" s="1621">
        <f t="shared" si="26"/>
        <v>0</v>
      </c>
      <c r="AB303" s="43"/>
      <c r="AC303" s="43"/>
      <c r="AD303" s="43"/>
      <c r="AE303" s="43"/>
      <c r="AF303" s="43"/>
      <c r="AG303" s="43"/>
      <c r="AH303" s="43"/>
      <c r="AI303" s="43"/>
    </row>
    <row r="304" spans="1:35" ht="15.75">
      <c r="A304" s="88">
        <v>7224</v>
      </c>
      <c r="B304" s="1033" t="s">
        <v>651</v>
      </c>
      <c r="C304" s="1033"/>
      <c r="D304" s="1033"/>
      <c r="E304" s="1033"/>
      <c r="F304" s="1033"/>
      <c r="G304" s="1033"/>
      <c r="H304" s="1033"/>
      <c r="I304" s="1033"/>
      <c r="J304" s="1033"/>
      <c r="K304" s="1033"/>
      <c r="L304" s="90"/>
      <c r="M304" s="51" t="s">
        <v>265</v>
      </c>
      <c r="N304" s="113">
        <f t="shared" ref="N304:N402" si="28">+A304</f>
        <v>7224</v>
      </c>
      <c r="O304" s="120">
        <v>0</v>
      </c>
      <c r="P304" s="888">
        <v>0</v>
      </c>
      <c r="Q304" s="51"/>
      <c r="R304" s="120">
        <v>0</v>
      </c>
      <c r="S304" s="888">
        <v>0</v>
      </c>
      <c r="T304" s="51"/>
      <c r="U304" s="120">
        <v>0</v>
      </c>
      <c r="V304" s="888">
        <v>0</v>
      </c>
      <c r="W304" s="51"/>
      <c r="X304" s="1613">
        <f t="shared" si="27"/>
        <v>0</v>
      </c>
      <c r="Y304" s="1614">
        <f t="shared" si="25"/>
        <v>0</v>
      </c>
      <c r="Z304" s="43"/>
      <c r="AA304" s="1621">
        <f t="shared" si="26"/>
        <v>0</v>
      </c>
      <c r="AB304" s="43"/>
      <c r="AC304" s="43"/>
      <c r="AD304" s="43"/>
      <c r="AE304" s="43"/>
      <c r="AF304" s="43"/>
      <c r="AG304" s="43"/>
      <c r="AH304" s="43"/>
      <c r="AI304" s="43"/>
    </row>
    <row r="305" spans="1:35" ht="15.75">
      <c r="A305" s="88">
        <v>7226</v>
      </c>
      <c r="B305" s="1033" t="s">
        <v>652</v>
      </c>
      <c r="C305" s="1033"/>
      <c r="D305" s="1033"/>
      <c r="E305" s="1033"/>
      <c r="F305" s="1033"/>
      <c r="G305" s="1033"/>
      <c r="H305" s="1033"/>
      <c r="I305" s="1033"/>
      <c r="J305" s="1033"/>
      <c r="K305" s="1033"/>
      <c r="L305" s="90"/>
      <c r="M305" s="51" t="s">
        <v>265</v>
      </c>
      <c r="N305" s="113">
        <f>+A305</f>
        <v>7226</v>
      </c>
      <c r="O305" s="120">
        <v>0</v>
      </c>
      <c r="P305" s="888">
        <v>0</v>
      </c>
      <c r="Q305" s="51"/>
      <c r="R305" s="120">
        <v>0</v>
      </c>
      <c r="S305" s="888">
        <v>0</v>
      </c>
      <c r="T305" s="51"/>
      <c r="U305" s="120">
        <v>0</v>
      </c>
      <c r="V305" s="888">
        <v>0</v>
      </c>
      <c r="W305" s="51"/>
      <c r="X305" s="1613">
        <f t="shared" si="27"/>
        <v>0</v>
      </c>
      <c r="Y305" s="1614">
        <f t="shared" si="25"/>
        <v>0</v>
      </c>
      <c r="Z305" s="43"/>
      <c r="AA305" s="1621">
        <f t="shared" si="26"/>
        <v>0</v>
      </c>
      <c r="AB305" s="43"/>
      <c r="AC305" s="43"/>
      <c r="AD305" s="43"/>
      <c r="AE305" s="43"/>
      <c r="AF305" s="43"/>
      <c r="AG305" s="43"/>
      <c r="AH305" s="43"/>
      <c r="AI305" s="43"/>
    </row>
    <row r="306" spans="1:35" ht="15.75">
      <c r="A306" s="88">
        <v>7229</v>
      </c>
      <c r="B306" s="1033" t="s">
        <v>653</v>
      </c>
      <c r="C306" s="1033"/>
      <c r="D306" s="1033"/>
      <c r="E306" s="1033"/>
      <c r="F306" s="1033"/>
      <c r="G306" s="1033"/>
      <c r="H306" s="1033"/>
      <c r="I306" s="1033"/>
      <c r="J306" s="1033"/>
      <c r="K306" s="1033"/>
      <c r="L306" s="90"/>
      <c r="M306" s="51" t="s">
        <v>265</v>
      </c>
      <c r="N306" s="113">
        <f>+A306</f>
        <v>7229</v>
      </c>
      <c r="O306" s="120">
        <v>0</v>
      </c>
      <c r="P306" s="888">
        <v>0</v>
      </c>
      <c r="Q306" s="51"/>
      <c r="R306" s="120">
        <v>0</v>
      </c>
      <c r="S306" s="888">
        <v>0</v>
      </c>
      <c r="T306" s="51"/>
      <c r="U306" s="120">
        <v>0</v>
      </c>
      <c r="V306" s="888">
        <v>0</v>
      </c>
      <c r="W306" s="51"/>
      <c r="X306" s="1613">
        <f t="shared" si="27"/>
        <v>0</v>
      </c>
      <c r="Y306" s="1614">
        <f t="shared" ref="Y306:Y369" si="29">+ROUND(+P306+S306+V306,2)</f>
        <v>0</v>
      </c>
      <c r="Z306" s="43"/>
      <c r="AA306" s="1621">
        <f t="shared" si="26"/>
        <v>0</v>
      </c>
      <c r="AB306" s="43"/>
      <c r="AC306" s="43"/>
      <c r="AD306" s="43"/>
      <c r="AE306" s="43"/>
      <c r="AF306" s="43"/>
      <c r="AG306" s="43"/>
      <c r="AH306" s="43"/>
      <c r="AI306" s="43"/>
    </row>
    <row r="307" spans="1:35" ht="15.75">
      <c r="A307" s="88">
        <v>7231</v>
      </c>
      <c r="B307" s="1033" t="s">
        <v>654</v>
      </c>
      <c r="C307" s="1033"/>
      <c r="D307" s="1033"/>
      <c r="E307" s="1033"/>
      <c r="F307" s="1033"/>
      <c r="G307" s="1033"/>
      <c r="H307" s="1033"/>
      <c r="I307" s="1033"/>
      <c r="J307" s="1033"/>
      <c r="K307" s="1033"/>
      <c r="L307" s="90"/>
      <c r="M307" s="51" t="s">
        <v>265</v>
      </c>
      <c r="N307" s="113">
        <f t="shared" si="28"/>
        <v>7231</v>
      </c>
      <c r="O307" s="120">
        <v>0</v>
      </c>
      <c r="P307" s="888">
        <v>0</v>
      </c>
      <c r="Q307" s="51"/>
      <c r="R307" s="120">
        <v>0</v>
      </c>
      <c r="S307" s="888">
        <v>0</v>
      </c>
      <c r="T307" s="51"/>
      <c r="U307" s="120">
        <v>0</v>
      </c>
      <c r="V307" s="888">
        <v>0</v>
      </c>
      <c r="W307" s="51"/>
      <c r="X307" s="1613">
        <f t="shared" si="27"/>
        <v>0</v>
      </c>
      <c r="Y307" s="1614">
        <f t="shared" si="29"/>
        <v>0</v>
      </c>
      <c r="Z307" s="43"/>
      <c r="AA307" s="1621">
        <f t="shared" si="26"/>
        <v>0</v>
      </c>
      <c r="AB307" s="43"/>
      <c r="AC307" s="43"/>
      <c r="AD307" s="43"/>
      <c r="AE307" s="43"/>
      <c r="AF307" s="43"/>
      <c r="AG307" s="43"/>
      <c r="AH307" s="43"/>
      <c r="AI307" s="43"/>
    </row>
    <row r="308" spans="1:35" ht="15.75">
      <c r="A308" s="88">
        <v>7232</v>
      </c>
      <c r="B308" s="1033" t="s">
        <v>0</v>
      </c>
      <c r="C308" s="1033"/>
      <c r="D308" s="1033"/>
      <c r="E308" s="1033"/>
      <c r="F308" s="1033"/>
      <c r="G308" s="1033"/>
      <c r="H308" s="1033"/>
      <c r="I308" s="1033"/>
      <c r="J308" s="1033"/>
      <c r="K308" s="1033"/>
      <c r="L308" s="90"/>
      <c r="M308" s="51" t="s">
        <v>265</v>
      </c>
      <c r="N308" s="113">
        <f t="shared" si="28"/>
        <v>7232</v>
      </c>
      <c r="O308" s="120">
        <v>0</v>
      </c>
      <c r="P308" s="888">
        <v>0</v>
      </c>
      <c r="Q308" s="51"/>
      <c r="R308" s="120">
        <v>0</v>
      </c>
      <c r="S308" s="888">
        <v>0</v>
      </c>
      <c r="T308" s="51"/>
      <c r="U308" s="120">
        <v>0</v>
      </c>
      <c r="V308" s="888">
        <v>0</v>
      </c>
      <c r="W308" s="51"/>
      <c r="X308" s="1613">
        <f t="shared" si="27"/>
        <v>0</v>
      </c>
      <c r="Y308" s="1614">
        <f t="shared" si="29"/>
        <v>0</v>
      </c>
      <c r="Z308" s="43"/>
      <c r="AA308" s="1621">
        <f t="shared" si="26"/>
        <v>0</v>
      </c>
      <c r="AB308" s="43"/>
      <c r="AC308" s="43"/>
      <c r="AD308" s="43"/>
      <c r="AE308" s="43"/>
      <c r="AF308" s="43"/>
      <c r="AG308" s="43"/>
      <c r="AH308" s="43"/>
      <c r="AI308" s="43"/>
    </row>
    <row r="309" spans="1:35" ht="15.75">
      <c r="A309" s="88">
        <v>7241</v>
      </c>
      <c r="B309" s="1033" t="s">
        <v>1</v>
      </c>
      <c r="C309" s="1033"/>
      <c r="D309" s="1033"/>
      <c r="E309" s="1033"/>
      <c r="F309" s="1033"/>
      <c r="G309" s="1033"/>
      <c r="H309" s="1033"/>
      <c r="I309" s="1033"/>
      <c r="J309" s="1033"/>
      <c r="K309" s="1033"/>
      <c r="L309" s="90"/>
      <c r="M309" s="51" t="s">
        <v>265</v>
      </c>
      <c r="N309" s="113">
        <f t="shared" si="28"/>
        <v>7241</v>
      </c>
      <c r="O309" s="120">
        <v>0</v>
      </c>
      <c r="P309" s="888">
        <v>0</v>
      </c>
      <c r="Q309" s="51"/>
      <c r="R309" s="120">
        <v>0</v>
      </c>
      <c r="S309" s="888">
        <v>0</v>
      </c>
      <c r="T309" s="51"/>
      <c r="U309" s="120">
        <v>0</v>
      </c>
      <c r="V309" s="888">
        <v>0</v>
      </c>
      <c r="W309" s="51"/>
      <c r="X309" s="1613">
        <f t="shared" si="27"/>
        <v>0</v>
      </c>
      <c r="Y309" s="1614">
        <f t="shared" si="29"/>
        <v>0</v>
      </c>
      <c r="Z309" s="43"/>
      <c r="AA309" s="1621">
        <f t="shared" si="26"/>
        <v>0</v>
      </c>
      <c r="AB309" s="43"/>
      <c r="AC309" s="43"/>
      <c r="AD309" s="43"/>
      <c r="AE309" s="43"/>
      <c r="AF309" s="43"/>
      <c r="AG309" s="43"/>
      <c r="AH309" s="43"/>
      <c r="AI309" s="43"/>
    </row>
    <row r="310" spans="1:35" ht="15.75">
      <c r="A310" s="88">
        <v>7242</v>
      </c>
      <c r="B310" s="1033" t="s">
        <v>2</v>
      </c>
      <c r="C310" s="1033"/>
      <c r="D310" s="1033"/>
      <c r="E310" s="1033"/>
      <c r="F310" s="1033"/>
      <c r="G310" s="1033"/>
      <c r="H310" s="1033"/>
      <c r="I310" s="1033"/>
      <c r="J310" s="1033"/>
      <c r="K310" s="1033"/>
      <c r="L310" s="90"/>
      <c r="M310" s="51" t="s">
        <v>265</v>
      </c>
      <c r="N310" s="113">
        <f t="shared" si="28"/>
        <v>7242</v>
      </c>
      <c r="O310" s="120">
        <v>0</v>
      </c>
      <c r="P310" s="888">
        <v>0</v>
      </c>
      <c r="Q310" s="51"/>
      <c r="R310" s="120">
        <v>0</v>
      </c>
      <c r="S310" s="888">
        <v>0</v>
      </c>
      <c r="T310" s="51"/>
      <c r="U310" s="120">
        <v>0</v>
      </c>
      <c r="V310" s="888">
        <v>0</v>
      </c>
      <c r="W310" s="51"/>
      <c r="X310" s="1613">
        <f t="shared" si="27"/>
        <v>0</v>
      </c>
      <c r="Y310" s="1614">
        <f t="shared" si="29"/>
        <v>0</v>
      </c>
      <c r="Z310" s="43"/>
      <c r="AA310" s="1621">
        <f t="shared" si="26"/>
        <v>0</v>
      </c>
      <c r="AB310" s="43"/>
      <c r="AC310" s="43"/>
      <c r="AD310" s="43"/>
      <c r="AE310" s="43"/>
      <c r="AF310" s="43"/>
      <c r="AG310" s="43"/>
      <c r="AH310" s="43"/>
      <c r="AI310" s="43"/>
    </row>
    <row r="311" spans="1:35" ht="15.75">
      <c r="A311" s="88">
        <v>7250</v>
      </c>
      <c r="B311" s="378" t="s">
        <v>3</v>
      </c>
      <c r="C311" s="1033"/>
      <c r="D311" s="1033"/>
      <c r="E311" s="1033"/>
      <c r="F311" s="1033"/>
      <c r="G311" s="1033"/>
      <c r="H311" s="1033"/>
      <c r="I311" s="1033"/>
      <c r="J311" s="1033"/>
      <c r="K311" s="1033"/>
      <c r="L311" s="90"/>
      <c r="M311" s="51" t="s">
        <v>265</v>
      </c>
      <c r="N311" s="113">
        <f t="shared" si="28"/>
        <v>7250</v>
      </c>
      <c r="O311" s="120">
        <v>0</v>
      </c>
      <c r="P311" s="888">
        <v>0</v>
      </c>
      <c r="Q311" s="51"/>
      <c r="R311" s="120">
        <v>0</v>
      </c>
      <c r="S311" s="888">
        <v>0</v>
      </c>
      <c r="T311" s="51"/>
      <c r="U311" s="120">
        <v>0</v>
      </c>
      <c r="V311" s="888">
        <v>0</v>
      </c>
      <c r="W311" s="51"/>
      <c r="X311" s="1613">
        <f t="shared" si="27"/>
        <v>0</v>
      </c>
      <c r="Y311" s="1614">
        <f t="shared" si="29"/>
        <v>0</v>
      </c>
      <c r="Z311" s="43"/>
      <c r="AA311" s="1621">
        <f t="shared" si="26"/>
        <v>0</v>
      </c>
      <c r="AB311" s="43"/>
      <c r="AC311" s="43"/>
      <c r="AD311" s="43"/>
      <c r="AE311" s="43"/>
      <c r="AF311" s="43"/>
      <c r="AG311" s="43"/>
      <c r="AH311" s="43"/>
      <c r="AI311" s="43"/>
    </row>
    <row r="312" spans="1:35" ht="15.75">
      <c r="A312" s="88">
        <v>7251</v>
      </c>
      <c r="B312" s="1033" t="s">
        <v>4</v>
      </c>
      <c r="C312" s="1033"/>
      <c r="D312" s="1033"/>
      <c r="E312" s="1033"/>
      <c r="F312" s="1033"/>
      <c r="G312" s="1033"/>
      <c r="H312" s="1033"/>
      <c r="I312" s="1033"/>
      <c r="J312" s="1033"/>
      <c r="K312" s="1033"/>
      <c r="L312" s="90"/>
      <c r="M312" s="51" t="s">
        <v>265</v>
      </c>
      <c r="N312" s="113">
        <f t="shared" si="28"/>
        <v>7251</v>
      </c>
      <c r="O312" s="120">
        <v>0</v>
      </c>
      <c r="P312" s="888">
        <v>0</v>
      </c>
      <c r="Q312" s="51"/>
      <c r="R312" s="120">
        <v>0</v>
      </c>
      <c r="S312" s="888">
        <v>0</v>
      </c>
      <c r="T312" s="51"/>
      <c r="U312" s="120">
        <v>0</v>
      </c>
      <c r="V312" s="888">
        <v>0</v>
      </c>
      <c r="W312" s="51"/>
      <c r="X312" s="1613">
        <f t="shared" si="27"/>
        <v>0</v>
      </c>
      <c r="Y312" s="1614">
        <f t="shared" si="29"/>
        <v>0</v>
      </c>
      <c r="Z312" s="43"/>
      <c r="AA312" s="1621">
        <f t="shared" si="26"/>
        <v>0</v>
      </c>
      <c r="AB312" s="43"/>
      <c r="AC312" s="43"/>
      <c r="AD312" s="43"/>
      <c r="AE312" s="43"/>
      <c r="AF312" s="43"/>
      <c r="AG312" s="43"/>
      <c r="AH312" s="43"/>
      <c r="AI312" s="43"/>
    </row>
    <row r="313" spans="1:35" ht="15.75">
      <c r="A313" s="88">
        <v>7252</v>
      </c>
      <c r="B313" s="1033" t="s">
        <v>5</v>
      </c>
      <c r="C313" s="1033"/>
      <c r="D313" s="1033"/>
      <c r="E313" s="1033"/>
      <c r="F313" s="1033"/>
      <c r="G313" s="1033"/>
      <c r="H313" s="1033"/>
      <c r="I313" s="1033"/>
      <c r="J313" s="1033"/>
      <c r="K313" s="1033"/>
      <c r="L313" s="90"/>
      <c r="M313" s="51" t="s">
        <v>265</v>
      </c>
      <c r="N313" s="113">
        <f t="shared" si="28"/>
        <v>7252</v>
      </c>
      <c r="O313" s="120">
        <v>0</v>
      </c>
      <c r="P313" s="888">
        <v>0</v>
      </c>
      <c r="Q313" s="51"/>
      <c r="R313" s="120">
        <v>0</v>
      </c>
      <c r="S313" s="888">
        <v>0</v>
      </c>
      <c r="T313" s="51"/>
      <c r="U313" s="120">
        <v>0</v>
      </c>
      <c r="V313" s="888">
        <v>0</v>
      </c>
      <c r="W313" s="51"/>
      <c r="X313" s="1613">
        <f t="shared" si="27"/>
        <v>0</v>
      </c>
      <c r="Y313" s="1614">
        <f t="shared" si="29"/>
        <v>0</v>
      </c>
      <c r="Z313" s="43"/>
      <c r="AA313" s="1621">
        <f t="shared" si="26"/>
        <v>0</v>
      </c>
      <c r="AB313" s="43"/>
      <c r="AC313" s="43"/>
      <c r="AD313" s="43"/>
      <c r="AE313" s="43"/>
      <c r="AF313" s="43"/>
      <c r="AG313" s="43"/>
      <c r="AH313" s="43"/>
      <c r="AI313" s="43"/>
    </row>
    <row r="314" spans="1:35" ht="15.75">
      <c r="A314" s="88">
        <v>7258</v>
      </c>
      <c r="B314" s="1033" t="s">
        <v>6</v>
      </c>
      <c r="C314" s="1033"/>
      <c r="D314" s="1033"/>
      <c r="E314" s="1033"/>
      <c r="F314" s="1033"/>
      <c r="G314" s="1033"/>
      <c r="H314" s="1033"/>
      <c r="I314" s="1033"/>
      <c r="J314" s="1033"/>
      <c r="K314" s="1033"/>
      <c r="L314" s="90"/>
      <c r="M314" s="51" t="s">
        <v>265</v>
      </c>
      <c r="N314" s="113">
        <f t="shared" si="28"/>
        <v>7258</v>
      </c>
      <c r="O314" s="120">
        <v>0</v>
      </c>
      <c r="P314" s="888">
        <v>0</v>
      </c>
      <c r="Q314" s="51"/>
      <c r="R314" s="120">
        <v>0</v>
      </c>
      <c r="S314" s="888">
        <v>0</v>
      </c>
      <c r="T314" s="51"/>
      <c r="U314" s="120">
        <v>0</v>
      </c>
      <c r="V314" s="888">
        <v>0</v>
      </c>
      <c r="W314" s="51"/>
      <c r="X314" s="1613">
        <f t="shared" si="27"/>
        <v>0</v>
      </c>
      <c r="Y314" s="1614">
        <f t="shared" si="29"/>
        <v>0</v>
      </c>
      <c r="Z314" s="43"/>
      <c r="AA314" s="1621">
        <f t="shared" si="26"/>
        <v>0</v>
      </c>
      <c r="AB314" s="43"/>
      <c r="AC314" s="43"/>
      <c r="AD314" s="43"/>
      <c r="AE314" s="43"/>
      <c r="AF314" s="43"/>
      <c r="AG314" s="43"/>
      <c r="AH314" s="43"/>
      <c r="AI314" s="43"/>
    </row>
    <row r="315" spans="1:35" ht="15.75">
      <c r="A315" s="88">
        <v>7270</v>
      </c>
      <c r="B315" s="378" t="s">
        <v>7</v>
      </c>
      <c r="C315" s="1033"/>
      <c r="D315" s="1033"/>
      <c r="E315" s="1033"/>
      <c r="F315" s="1033"/>
      <c r="G315" s="1033"/>
      <c r="H315" s="1033"/>
      <c r="I315" s="1033"/>
      <c r="J315" s="1033"/>
      <c r="K315" s="1033"/>
      <c r="L315" s="90"/>
      <c r="M315" s="51" t="s">
        <v>265</v>
      </c>
      <c r="N315" s="113">
        <f>+A315</f>
        <v>7270</v>
      </c>
      <c r="O315" s="120">
        <v>0</v>
      </c>
      <c r="P315" s="888">
        <v>0</v>
      </c>
      <c r="Q315" s="51"/>
      <c r="R315" s="120">
        <v>0</v>
      </c>
      <c r="S315" s="888">
        <v>0</v>
      </c>
      <c r="T315" s="51"/>
      <c r="U315" s="120">
        <v>0</v>
      </c>
      <c r="V315" s="888">
        <v>0</v>
      </c>
      <c r="W315" s="51"/>
      <c r="X315" s="1613">
        <f t="shared" si="27"/>
        <v>0</v>
      </c>
      <c r="Y315" s="1614">
        <f t="shared" si="29"/>
        <v>0</v>
      </c>
      <c r="Z315" s="43"/>
      <c r="AA315" s="1621">
        <f t="shared" si="26"/>
        <v>0</v>
      </c>
      <c r="AB315" s="43"/>
      <c r="AC315" s="43"/>
      <c r="AD315" s="43"/>
      <c r="AE315" s="43"/>
      <c r="AF315" s="43"/>
      <c r="AG315" s="43"/>
      <c r="AH315" s="43"/>
      <c r="AI315" s="43"/>
    </row>
    <row r="316" spans="1:35" ht="15.75">
      <c r="A316" s="88">
        <v>7271</v>
      </c>
      <c r="B316" s="1033" t="s">
        <v>8</v>
      </c>
      <c r="C316" s="1033"/>
      <c r="D316" s="1033"/>
      <c r="E316" s="1033"/>
      <c r="F316" s="1033"/>
      <c r="G316" s="1033"/>
      <c r="H316" s="1033"/>
      <c r="I316" s="1033"/>
      <c r="J316" s="1033"/>
      <c r="K316" s="1033"/>
      <c r="L316" s="90"/>
      <c r="M316" s="51" t="s">
        <v>265</v>
      </c>
      <c r="N316" s="113">
        <f t="shared" si="28"/>
        <v>7271</v>
      </c>
      <c r="O316" s="120">
        <v>0</v>
      </c>
      <c r="P316" s="888">
        <v>0</v>
      </c>
      <c r="Q316" s="51"/>
      <c r="R316" s="120">
        <v>0</v>
      </c>
      <c r="S316" s="888">
        <v>0</v>
      </c>
      <c r="T316" s="51"/>
      <c r="U316" s="120">
        <v>0</v>
      </c>
      <c r="V316" s="888">
        <v>0</v>
      </c>
      <c r="W316" s="51"/>
      <c r="X316" s="1613">
        <f t="shared" si="27"/>
        <v>0</v>
      </c>
      <c r="Y316" s="1614">
        <f t="shared" si="29"/>
        <v>0</v>
      </c>
      <c r="Z316" s="43"/>
      <c r="AA316" s="1621">
        <f t="shared" si="26"/>
        <v>0</v>
      </c>
      <c r="AB316" s="43"/>
      <c r="AC316" s="43"/>
      <c r="AD316" s="43"/>
      <c r="AE316" s="43"/>
      <c r="AF316" s="43"/>
      <c r="AG316" s="43"/>
      <c r="AH316" s="43"/>
      <c r="AI316" s="43"/>
    </row>
    <row r="317" spans="1:35" ht="15.75">
      <c r="A317" s="88">
        <v>7274</v>
      </c>
      <c r="B317" s="378" t="s">
        <v>725</v>
      </c>
      <c r="C317" s="1033"/>
      <c r="D317" s="1033"/>
      <c r="E317" s="1033"/>
      <c r="F317" s="1033"/>
      <c r="G317" s="1033"/>
      <c r="H317" s="1033"/>
      <c r="I317" s="1033"/>
      <c r="J317" s="1033"/>
      <c r="K317" s="1033"/>
      <c r="L317" s="90"/>
      <c r="M317" s="51" t="s">
        <v>265</v>
      </c>
      <c r="N317" s="113">
        <f t="shared" si="28"/>
        <v>7274</v>
      </c>
      <c r="O317" s="120">
        <v>0</v>
      </c>
      <c r="P317" s="888">
        <v>0</v>
      </c>
      <c r="Q317" s="51"/>
      <c r="R317" s="120">
        <v>0</v>
      </c>
      <c r="S317" s="888">
        <v>0</v>
      </c>
      <c r="T317" s="51"/>
      <c r="U317" s="120">
        <v>0</v>
      </c>
      <c r="V317" s="888">
        <v>0</v>
      </c>
      <c r="W317" s="51"/>
      <c r="X317" s="1613">
        <f t="shared" si="27"/>
        <v>0</v>
      </c>
      <c r="Y317" s="1614">
        <f t="shared" si="29"/>
        <v>0</v>
      </c>
      <c r="Z317" s="43"/>
      <c r="AA317" s="1621">
        <f t="shared" si="26"/>
        <v>0</v>
      </c>
      <c r="AB317" s="43"/>
      <c r="AC317" s="43"/>
      <c r="AD317" s="43"/>
      <c r="AE317" s="43"/>
      <c r="AF317" s="43"/>
      <c r="AG317" s="43"/>
      <c r="AH317" s="43"/>
      <c r="AI317" s="43"/>
    </row>
    <row r="318" spans="1:35" ht="15.75">
      <c r="A318" s="88">
        <v>7275</v>
      </c>
      <c r="B318" s="378" t="s">
        <v>726</v>
      </c>
      <c r="C318" s="1033"/>
      <c r="D318" s="1033"/>
      <c r="E318" s="1033"/>
      <c r="F318" s="1033"/>
      <c r="G318" s="1033"/>
      <c r="H318" s="1033"/>
      <c r="I318" s="1033"/>
      <c r="J318" s="1033"/>
      <c r="K318" s="1033"/>
      <c r="L318" s="90"/>
      <c r="M318" s="51" t="s">
        <v>265</v>
      </c>
      <c r="N318" s="113">
        <f>+A318</f>
        <v>7275</v>
      </c>
      <c r="O318" s="120">
        <v>0</v>
      </c>
      <c r="P318" s="888">
        <v>0</v>
      </c>
      <c r="Q318" s="51"/>
      <c r="R318" s="120">
        <v>0</v>
      </c>
      <c r="S318" s="888">
        <v>0</v>
      </c>
      <c r="T318" s="51"/>
      <c r="U318" s="120">
        <v>0</v>
      </c>
      <c r="V318" s="888">
        <v>0</v>
      </c>
      <c r="W318" s="51"/>
      <c r="X318" s="1613">
        <f t="shared" si="27"/>
        <v>0</v>
      </c>
      <c r="Y318" s="1614">
        <f t="shared" si="29"/>
        <v>0</v>
      </c>
      <c r="Z318" s="43"/>
      <c r="AA318" s="1621">
        <f t="shared" si="26"/>
        <v>0</v>
      </c>
      <c r="AB318" s="43"/>
      <c r="AC318" s="43"/>
      <c r="AD318" s="43"/>
      <c r="AE318" s="43"/>
      <c r="AF318" s="43"/>
      <c r="AG318" s="43"/>
      <c r="AH318" s="43"/>
      <c r="AI318" s="43"/>
    </row>
    <row r="319" spans="1:35" ht="15.75">
      <c r="A319" s="88">
        <v>7277</v>
      </c>
      <c r="B319" s="1033" t="s">
        <v>727</v>
      </c>
      <c r="C319" s="1033"/>
      <c r="D319" s="1033"/>
      <c r="E319" s="1033"/>
      <c r="F319" s="1033"/>
      <c r="G319" s="1033"/>
      <c r="H319" s="1033"/>
      <c r="I319" s="1033"/>
      <c r="J319" s="1033"/>
      <c r="K319" s="1033"/>
      <c r="L319" s="90"/>
      <c r="M319" s="51" t="s">
        <v>265</v>
      </c>
      <c r="N319" s="113">
        <f t="shared" si="28"/>
        <v>7277</v>
      </c>
      <c r="O319" s="120">
        <v>0</v>
      </c>
      <c r="P319" s="888">
        <v>0</v>
      </c>
      <c r="Q319" s="51"/>
      <c r="R319" s="120">
        <v>0</v>
      </c>
      <c r="S319" s="888">
        <v>0</v>
      </c>
      <c r="T319" s="51"/>
      <c r="U319" s="120">
        <v>0</v>
      </c>
      <c r="V319" s="888">
        <v>0</v>
      </c>
      <c r="W319" s="51"/>
      <c r="X319" s="1613">
        <f t="shared" si="27"/>
        <v>0</v>
      </c>
      <c r="Y319" s="1614">
        <f t="shared" si="29"/>
        <v>0</v>
      </c>
      <c r="Z319" s="43"/>
      <c r="AA319" s="1621">
        <f t="shared" si="26"/>
        <v>0</v>
      </c>
      <c r="AB319" s="43"/>
      <c r="AC319" s="43"/>
      <c r="AD319" s="43"/>
      <c r="AE319" s="43"/>
      <c r="AF319" s="43"/>
      <c r="AG319" s="43"/>
      <c r="AH319" s="43"/>
      <c r="AI319" s="43"/>
    </row>
    <row r="320" spans="1:35" ht="15.75">
      <c r="A320" s="88">
        <v>7278</v>
      </c>
      <c r="B320" s="1033" t="s">
        <v>728</v>
      </c>
      <c r="C320" s="1033"/>
      <c r="D320" s="1033"/>
      <c r="E320" s="1033"/>
      <c r="F320" s="1033"/>
      <c r="G320" s="1033"/>
      <c r="H320" s="1033"/>
      <c r="I320" s="1033"/>
      <c r="J320" s="1033"/>
      <c r="K320" s="1033"/>
      <c r="L320" s="90"/>
      <c r="M320" s="51" t="s">
        <v>265</v>
      </c>
      <c r="N320" s="113">
        <f t="shared" si="28"/>
        <v>7278</v>
      </c>
      <c r="O320" s="120">
        <v>0</v>
      </c>
      <c r="P320" s="888">
        <v>0</v>
      </c>
      <c r="Q320" s="51"/>
      <c r="R320" s="120">
        <v>0</v>
      </c>
      <c r="S320" s="888">
        <v>0</v>
      </c>
      <c r="T320" s="51"/>
      <c r="U320" s="120">
        <v>0</v>
      </c>
      <c r="V320" s="888">
        <v>0</v>
      </c>
      <c r="W320" s="51"/>
      <c r="X320" s="1613">
        <f t="shared" si="27"/>
        <v>0</v>
      </c>
      <c r="Y320" s="1614">
        <f t="shared" si="29"/>
        <v>0</v>
      </c>
      <c r="Z320" s="43"/>
      <c r="AA320" s="1621">
        <f t="shared" si="26"/>
        <v>0</v>
      </c>
      <c r="AB320" s="43"/>
      <c r="AC320" s="43"/>
      <c r="AD320" s="43"/>
      <c r="AE320" s="43"/>
      <c r="AF320" s="43"/>
      <c r="AG320" s="43"/>
      <c r="AH320" s="43"/>
      <c r="AI320" s="43"/>
    </row>
    <row r="321" spans="1:35" ht="15.75">
      <c r="A321" s="88">
        <v>7282</v>
      </c>
      <c r="B321" s="1033" t="s">
        <v>729</v>
      </c>
      <c r="C321" s="1033"/>
      <c r="D321" s="1033"/>
      <c r="E321" s="1033"/>
      <c r="F321" s="1033"/>
      <c r="G321" s="1033"/>
      <c r="H321" s="1033"/>
      <c r="I321" s="1033"/>
      <c r="J321" s="1033"/>
      <c r="K321" s="1033"/>
      <c r="L321" s="90"/>
      <c r="M321" s="51" t="s">
        <v>265</v>
      </c>
      <c r="N321" s="113">
        <f t="shared" si="28"/>
        <v>7282</v>
      </c>
      <c r="O321" s="120">
        <v>0</v>
      </c>
      <c r="P321" s="888">
        <v>0</v>
      </c>
      <c r="Q321" s="51"/>
      <c r="R321" s="120">
        <v>0</v>
      </c>
      <c r="S321" s="888">
        <v>0</v>
      </c>
      <c r="T321" s="51"/>
      <c r="U321" s="120">
        <v>0</v>
      </c>
      <c r="V321" s="888">
        <v>0</v>
      </c>
      <c r="W321" s="51"/>
      <c r="X321" s="1613">
        <f t="shared" si="27"/>
        <v>0</v>
      </c>
      <c r="Y321" s="1614">
        <f t="shared" si="29"/>
        <v>0</v>
      </c>
      <c r="Z321" s="43"/>
      <c r="AA321" s="1621">
        <f t="shared" si="26"/>
        <v>0</v>
      </c>
      <c r="AB321" s="43"/>
      <c r="AC321" s="43"/>
      <c r="AD321" s="43"/>
      <c r="AE321" s="43"/>
      <c r="AF321" s="43"/>
      <c r="AG321" s="43"/>
      <c r="AH321" s="43"/>
      <c r="AI321" s="43"/>
    </row>
    <row r="322" spans="1:35" ht="15.75">
      <c r="A322" s="88">
        <v>7289</v>
      </c>
      <c r="B322" s="1033" t="s">
        <v>730</v>
      </c>
      <c r="C322" s="1033"/>
      <c r="D322" s="1033"/>
      <c r="E322" s="1033"/>
      <c r="F322" s="1033"/>
      <c r="G322" s="1033"/>
      <c r="H322" s="1033"/>
      <c r="I322" s="1033"/>
      <c r="J322" s="1033"/>
      <c r="K322" s="1033"/>
      <c r="L322" s="90"/>
      <c r="M322" s="51" t="s">
        <v>265</v>
      </c>
      <c r="N322" s="113">
        <f t="shared" si="28"/>
        <v>7289</v>
      </c>
      <c r="O322" s="120">
        <v>0</v>
      </c>
      <c r="P322" s="888">
        <v>0</v>
      </c>
      <c r="Q322" s="51"/>
      <c r="R322" s="120">
        <v>0</v>
      </c>
      <c r="S322" s="888">
        <v>0</v>
      </c>
      <c r="T322" s="51"/>
      <c r="U322" s="120">
        <v>0</v>
      </c>
      <c r="V322" s="888">
        <v>0</v>
      </c>
      <c r="W322" s="51"/>
      <c r="X322" s="1613">
        <f t="shared" si="27"/>
        <v>0</v>
      </c>
      <c r="Y322" s="1614">
        <f t="shared" si="29"/>
        <v>0</v>
      </c>
      <c r="Z322" s="43"/>
      <c r="AA322" s="1621">
        <f t="shared" si="26"/>
        <v>0</v>
      </c>
      <c r="AB322" s="43"/>
      <c r="AC322" s="43"/>
      <c r="AD322" s="43"/>
      <c r="AE322" s="43"/>
      <c r="AF322" s="43"/>
      <c r="AG322" s="43"/>
      <c r="AH322" s="43"/>
      <c r="AI322" s="43"/>
    </row>
    <row r="323" spans="1:35" ht="15.75">
      <c r="A323" s="88">
        <v>7291</v>
      </c>
      <c r="B323" s="1033" t="s">
        <v>731</v>
      </c>
      <c r="C323" s="1033"/>
      <c r="D323" s="1033"/>
      <c r="E323" s="1033"/>
      <c r="F323" s="1033"/>
      <c r="G323" s="1033"/>
      <c r="H323" s="1033"/>
      <c r="I323" s="1033"/>
      <c r="J323" s="1033"/>
      <c r="K323" s="1033"/>
      <c r="L323" s="90"/>
      <c r="M323" s="51" t="s">
        <v>265</v>
      </c>
      <c r="N323" s="113">
        <f t="shared" si="28"/>
        <v>7291</v>
      </c>
      <c r="O323" s="120">
        <v>0</v>
      </c>
      <c r="P323" s="888">
        <v>0</v>
      </c>
      <c r="Q323" s="51"/>
      <c r="R323" s="120">
        <v>0</v>
      </c>
      <c r="S323" s="888">
        <v>0</v>
      </c>
      <c r="T323" s="51"/>
      <c r="U323" s="120">
        <v>0</v>
      </c>
      <c r="V323" s="888">
        <v>0</v>
      </c>
      <c r="W323" s="51"/>
      <c r="X323" s="1613">
        <f t="shared" si="27"/>
        <v>0</v>
      </c>
      <c r="Y323" s="1614">
        <f t="shared" si="29"/>
        <v>0</v>
      </c>
      <c r="Z323" s="43"/>
      <c r="AA323" s="1621">
        <f t="shared" si="26"/>
        <v>0</v>
      </c>
      <c r="AB323" s="43"/>
      <c r="AC323" s="43"/>
      <c r="AD323" s="43"/>
      <c r="AE323" s="43"/>
      <c r="AF323" s="43"/>
      <c r="AG323" s="43"/>
      <c r="AH323" s="43"/>
      <c r="AI323" s="43"/>
    </row>
    <row r="324" spans="1:35" ht="15.75">
      <c r="A324" s="88">
        <v>7292</v>
      </c>
      <c r="B324" s="1033" t="s">
        <v>732</v>
      </c>
      <c r="C324" s="1033"/>
      <c r="D324" s="1033"/>
      <c r="E324" s="1033"/>
      <c r="F324" s="1033"/>
      <c r="G324" s="1033"/>
      <c r="H324" s="1033"/>
      <c r="I324" s="1033"/>
      <c r="J324" s="1033"/>
      <c r="K324" s="1033"/>
      <c r="L324" s="90"/>
      <c r="M324" s="51" t="s">
        <v>265</v>
      </c>
      <c r="N324" s="113">
        <f t="shared" si="28"/>
        <v>7292</v>
      </c>
      <c r="O324" s="120">
        <v>0</v>
      </c>
      <c r="P324" s="888">
        <v>0</v>
      </c>
      <c r="Q324" s="51"/>
      <c r="R324" s="120">
        <v>0</v>
      </c>
      <c r="S324" s="888">
        <v>0</v>
      </c>
      <c r="T324" s="51"/>
      <c r="U324" s="120">
        <v>0</v>
      </c>
      <c r="V324" s="888">
        <v>0</v>
      </c>
      <c r="W324" s="51"/>
      <c r="X324" s="1613">
        <f t="shared" si="27"/>
        <v>0</v>
      </c>
      <c r="Y324" s="1614">
        <f t="shared" si="29"/>
        <v>0</v>
      </c>
      <c r="Z324" s="43"/>
      <c r="AA324" s="1621">
        <f t="shared" si="26"/>
        <v>0</v>
      </c>
      <c r="AB324" s="43"/>
      <c r="AC324" s="43"/>
      <c r="AD324" s="43"/>
      <c r="AE324" s="43"/>
      <c r="AF324" s="43"/>
      <c r="AG324" s="43"/>
      <c r="AH324" s="43"/>
      <c r="AI324" s="43"/>
    </row>
    <row r="325" spans="1:35" ht="15.75">
      <c r="A325" s="88">
        <v>7298</v>
      </c>
      <c r="B325" s="1033" t="s">
        <v>733</v>
      </c>
      <c r="C325" s="1033"/>
      <c r="D325" s="1033"/>
      <c r="E325" s="1033"/>
      <c r="F325" s="1033"/>
      <c r="G325" s="1033"/>
      <c r="H325" s="1033"/>
      <c r="I325" s="1033"/>
      <c r="J325" s="1033"/>
      <c r="K325" s="1033"/>
      <c r="L325" s="90"/>
      <c r="M325" s="51" t="s">
        <v>265</v>
      </c>
      <c r="N325" s="113">
        <f t="shared" si="28"/>
        <v>7298</v>
      </c>
      <c r="O325" s="120">
        <v>0</v>
      </c>
      <c r="P325" s="888">
        <v>0</v>
      </c>
      <c r="Q325" s="51"/>
      <c r="R325" s="120">
        <v>0</v>
      </c>
      <c r="S325" s="888">
        <v>0</v>
      </c>
      <c r="T325" s="51"/>
      <c r="U325" s="120">
        <v>0</v>
      </c>
      <c r="V325" s="888">
        <v>0</v>
      </c>
      <c r="W325" s="51"/>
      <c r="X325" s="1613">
        <f t="shared" si="27"/>
        <v>0</v>
      </c>
      <c r="Y325" s="1614">
        <f t="shared" si="29"/>
        <v>0</v>
      </c>
      <c r="Z325" s="43"/>
      <c r="AA325" s="1621">
        <f t="shared" si="26"/>
        <v>0</v>
      </c>
      <c r="AB325" s="43"/>
      <c r="AC325" s="43"/>
      <c r="AD325" s="43"/>
      <c r="AE325" s="43"/>
      <c r="AF325" s="43"/>
      <c r="AG325" s="43"/>
      <c r="AH325" s="43"/>
      <c r="AI325" s="43"/>
    </row>
    <row r="326" spans="1:35" ht="15.75">
      <c r="A326" s="88">
        <v>7311</v>
      </c>
      <c r="B326" s="1035" t="s">
        <v>1173</v>
      </c>
      <c r="C326" s="1033"/>
      <c r="D326" s="1033"/>
      <c r="E326" s="1033"/>
      <c r="F326" s="1033"/>
      <c r="G326" s="1033"/>
      <c r="H326" s="1033"/>
      <c r="I326" s="1033"/>
      <c r="J326" s="1033"/>
      <c r="K326" s="1033"/>
      <c r="L326" s="90"/>
      <c r="M326" s="51" t="s">
        <v>265</v>
      </c>
      <c r="N326" s="113">
        <f t="shared" si="28"/>
        <v>7311</v>
      </c>
      <c r="O326" s="120">
        <v>0</v>
      </c>
      <c r="P326" s="888">
        <v>0</v>
      </c>
      <c r="Q326" s="51"/>
      <c r="R326" s="120">
        <v>0</v>
      </c>
      <c r="S326" s="888">
        <v>0</v>
      </c>
      <c r="T326" s="51"/>
      <c r="U326" s="120">
        <v>0</v>
      </c>
      <c r="V326" s="888">
        <v>0</v>
      </c>
      <c r="W326" s="51"/>
      <c r="X326" s="1613">
        <f t="shared" si="27"/>
        <v>0</v>
      </c>
      <c r="Y326" s="1614">
        <f t="shared" si="29"/>
        <v>0</v>
      </c>
      <c r="Z326" s="43"/>
      <c r="AA326" s="1621">
        <f t="shared" si="26"/>
        <v>0</v>
      </c>
      <c r="AB326" s="43"/>
      <c r="AC326" s="43"/>
      <c r="AD326" s="43"/>
      <c r="AE326" s="43"/>
      <c r="AF326" s="43"/>
      <c r="AG326" s="43"/>
      <c r="AH326" s="43"/>
      <c r="AI326" s="43"/>
    </row>
    <row r="327" spans="1:35" ht="15.75">
      <c r="A327" s="88">
        <v>7313</v>
      </c>
      <c r="B327" s="1035" t="s">
        <v>1174</v>
      </c>
      <c r="C327" s="1033"/>
      <c r="D327" s="1033"/>
      <c r="E327" s="1033"/>
      <c r="F327" s="1033"/>
      <c r="G327" s="1033"/>
      <c r="H327" s="1033"/>
      <c r="I327" s="1033"/>
      <c r="J327" s="1033"/>
      <c r="K327" s="1033"/>
      <c r="L327" s="90"/>
      <c r="M327" s="51" t="s">
        <v>265</v>
      </c>
      <c r="N327" s="113">
        <f>+A327</f>
        <v>7313</v>
      </c>
      <c r="O327" s="120">
        <v>0</v>
      </c>
      <c r="P327" s="888">
        <v>0</v>
      </c>
      <c r="Q327" s="51"/>
      <c r="R327" s="120">
        <v>0</v>
      </c>
      <c r="S327" s="888">
        <v>0</v>
      </c>
      <c r="T327" s="51"/>
      <c r="U327" s="120">
        <v>0</v>
      </c>
      <c r="V327" s="888">
        <v>0</v>
      </c>
      <c r="W327" s="51"/>
      <c r="X327" s="1613">
        <f t="shared" si="27"/>
        <v>0</v>
      </c>
      <c r="Y327" s="1614">
        <f t="shared" si="29"/>
        <v>0</v>
      </c>
      <c r="Z327" s="43"/>
      <c r="AA327" s="1621">
        <f t="shared" si="26"/>
        <v>0</v>
      </c>
      <c r="AB327" s="43"/>
      <c r="AC327" s="43"/>
      <c r="AD327" s="43"/>
      <c r="AE327" s="43"/>
      <c r="AF327" s="43"/>
      <c r="AG327" s="43"/>
      <c r="AH327" s="43"/>
      <c r="AI327" s="43"/>
    </row>
    <row r="328" spans="1:35" ht="15.75">
      <c r="A328" s="88">
        <v>7319</v>
      </c>
      <c r="B328" s="1035" t="s">
        <v>1175</v>
      </c>
      <c r="C328" s="1033"/>
      <c r="D328" s="1033"/>
      <c r="E328" s="1033"/>
      <c r="F328" s="1033"/>
      <c r="G328" s="1033"/>
      <c r="H328" s="1033"/>
      <c r="I328" s="1033"/>
      <c r="J328" s="1033"/>
      <c r="K328" s="1033"/>
      <c r="L328" s="90"/>
      <c r="M328" s="51" t="s">
        <v>265</v>
      </c>
      <c r="N328" s="113">
        <f t="shared" si="28"/>
        <v>7319</v>
      </c>
      <c r="O328" s="120">
        <v>0</v>
      </c>
      <c r="P328" s="888">
        <v>0</v>
      </c>
      <c r="Q328" s="51"/>
      <c r="R328" s="120">
        <v>0</v>
      </c>
      <c r="S328" s="888">
        <v>0</v>
      </c>
      <c r="T328" s="51"/>
      <c r="U328" s="120">
        <v>0</v>
      </c>
      <c r="V328" s="888">
        <v>0</v>
      </c>
      <c r="W328" s="51"/>
      <c r="X328" s="1613">
        <f t="shared" si="27"/>
        <v>0</v>
      </c>
      <c r="Y328" s="1614">
        <f t="shared" si="29"/>
        <v>0</v>
      </c>
      <c r="Z328" s="43"/>
      <c r="AA328" s="1621">
        <f t="shared" si="26"/>
        <v>0</v>
      </c>
      <c r="AB328" s="43"/>
      <c r="AC328" s="43"/>
      <c r="AD328" s="43"/>
      <c r="AE328" s="43"/>
      <c r="AF328" s="43"/>
      <c r="AG328" s="43"/>
      <c r="AH328" s="43"/>
      <c r="AI328" s="43"/>
    </row>
    <row r="329" spans="1:35" ht="15.75">
      <c r="A329" s="88">
        <v>7381</v>
      </c>
      <c r="B329" s="1033" t="s">
        <v>734</v>
      </c>
      <c r="C329" s="1033"/>
      <c r="D329" s="1033"/>
      <c r="E329" s="1033"/>
      <c r="F329" s="1033"/>
      <c r="G329" s="1033"/>
      <c r="H329" s="1033"/>
      <c r="I329" s="1033"/>
      <c r="J329" s="1033"/>
      <c r="K329" s="1033"/>
      <c r="L329" s="90"/>
      <c r="M329" s="51" t="s">
        <v>265</v>
      </c>
      <c r="N329" s="113">
        <f t="shared" si="28"/>
        <v>7381</v>
      </c>
      <c r="O329" s="120">
        <v>0</v>
      </c>
      <c r="P329" s="888">
        <v>0</v>
      </c>
      <c r="Q329" s="51"/>
      <c r="R329" s="120">
        <v>0</v>
      </c>
      <c r="S329" s="888">
        <v>0</v>
      </c>
      <c r="T329" s="51"/>
      <c r="U329" s="120">
        <v>0</v>
      </c>
      <c r="V329" s="888">
        <v>0</v>
      </c>
      <c r="W329" s="51"/>
      <c r="X329" s="1613">
        <f t="shared" si="27"/>
        <v>0</v>
      </c>
      <c r="Y329" s="1614">
        <f t="shared" si="29"/>
        <v>0</v>
      </c>
      <c r="Z329" s="43"/>
      <c r="AA329" s="1621">
        <f t="shared" si="26"/>
        <v>0</v>
      </c>
      <c r="AB329" s="43"/>
      <c r="AC329" s="43"/>
      <c r="AD329" s="43"/>
      <c r="AE329" s="43"/>
      <c r="AF329" s="43"/>
      <c r="AG329" s="43"/>
      <c r="AH329" s="43"/>
      <c r="AI329" s="43"/>
    </row>
    <row r="330" spans="1:35" ht="15.75">
      <c r="A330" s="88">
        <v>7382</v>
      </c>
      <c r="B330" s="1033" t="s">
        <v>735</v>
      </c>
      <c r="C330" s="1033"/>
      <c r="D330" s="1033"/>
      <c r="E330" s="1033"/>
      <c r="F330" s="1033"/>
      <c r="G330" s="1033"/>
      <c r="H330" s="1033"/>
      <c r="I330" s="1033"/>
      <c r="J330" s="1033"/>
      <c r="K330" s="1033"/>
      <c r="L330" s="90"/>
      <c r="M330" s="51" t="s">
        <v>265</v>
      </c>
      <c r="N330" s="113">
        <f t="shared" si="28"/>
        <v>7382</v>
      </c>
      <c r="O330" s="120">
        <v>0</v>
      </c>
      <c r="P330" s="888">
        <v>0</v>
      </c>
      <c r="Q330" s="51"/>
      <c r="R330" s="120">
        <v>0</v>
      </c>
      <c r="S330" s="888">
        <v>0</v>
      </c>
      <c r="T330" s="51"/>
      <c r="U330" s="120">
        <v>0</v>
      </c>
      <c r="V330" s="888">
        <v>0</v>
      </c>
      <c r="W330" s="51"/>
      <c r="X330" s="1613">
        <f t="shared" si="27"/>
        <v>0</v>
      </c>
      <c r="Y330" s="1614">
        <f t="shared" si="29"/>
        <v>0</v>
      </c>
      <c r="Z330" s="43"/>
      <c r="AA330" s="1621">
        <f t="shared" si="26"/>
        <v>0</v>
      </c>
      <c r="AB330" s="43"/>
      <c r="AC330" s="43"/>
      <c r="AD330" s="43"/>
      <c r="AE330" s="43"/>
      <c r="AF330" s="43"/>
      <c r="AG330" s="43"/>
      <c r="AH330" s="43"/>
      <c r="AI330" s="43"/>
    </row>
    <row r="331" spans="1:35" ht="15.75">
      <c r="A331" s="88">
        <v>7383</v>
      </c>
      <c r="B331" s="1033" t="s">
        <v>736</v>
      </c>
      <c r="C331" s="1033"/>
      <c r="D331" s="1033"/>
      <c r="E331" s="1033"/>
      <c r="F331" s="1033"/>
      <c r="G331" s="1033"/>
      <c r="H331" s="1033"/>
      <c r="I331" s="1033"/>
      <c r="J331" s="1033"/>
      <c r="K331" s="1033"/>
      <c r="L331" s="90"/>
      <c r="M331" s="51" t="s">
        <v>265</v>
      </c>
      <c r="N331" s="113">
        <f t="shared" si="28"/>
        <v>7383</v>
      </c>
      <c r="O331" s="120">
        <v>0</v>
      </c>
      <c r="P331" s="888">
        <v>0</v>
      </c>
      <c r="Q331" s="51"/>
      <c r="R331" s="120">
        <v>0</v>
      </c>
      <c r="S331" s="888">
        <v>0</v>
      </c>
      <c r="T331" s="51"/>
      <c r="U331" s="120">
        <v>0</v>
      </c>
      <c r="V331" s="888">
        <v>0</v>
      </c>
      <c r="W331" s="51"/>
      <c r="X331" s="1613">
        <f t="shared" si="27"/>
        <v>0</v>
      </c>
      <c r="Y331" s="1614">
        <f t="shared" si="29"/>
        <v>0</v>
      </c>
      <c r="Z331" s="43"/>
      <c r="AA331" s="1621">
        <f t="shared" si="26"/>
        <v>0</v>
      </c>
      <c r="AB331" s="43"/>
      <c r="AC331" s="43"/>
      <c r="AD331" s="43"/>
      <c r="AE331" s="43"/>
      <c r="AF331" s="43"/>
      <c r="AG331" s="43"/>
      <c r="AH331" s="43"/>
      <c r="AI331" s="43"/>
    </row>
    <row r="332" spans="1:35" ht="15.75">
      <c r="A332" s="88">
        <v>7384</v>
      </c>
      <c r="B332" s="1033" t="s">
        <v>737</v>
      </c>
      <c r="C332" s="1033"/>
      <c r="D332" s="1033"/>
      <c r="E332" s="1033"/>
      <c r="F332" s="1033"/>
      <c r="G332" s="1033"/>
      <c r="H332" s="1033"/>
      <c r="I332" s="1033"/>
      <c r="J332" s="1033"/>
      <c r="K332" s="1033"/>
      <c r="L332" s="90"/>
      <c r="M332" s="51" t="s">
        <v>265</v>
      </c>
      <c r="N332" s="113">
        <f>+A332</f>
        <v>7384</v>
      </c>
      <c r="O332" s="120">
        <v>0</v>
      </c>
      <c r="P332" s="888">
        <v>0</v>
      </c>
      <c r="Q332" s="51"/>
      <c r="R332" s="120">
        <v>0</v>
      </c>
      <c r="S332" s="888">
        <v>0</v>
      </c>
      <c r="T332" s="51"/>
      <c r="U332" s="120">
        <v>0</v>
      </c>
      <c r="V332" s="888">
        <v>0</v>
      </c>
      <c r="W332" s="51"/>
      <c r="X332" s="1613">
        <f t="shared" si="27"/>
        <v>0</v>
      </c>
      <c r="Y332" s="1614">
        <f t="shared" si="29"/>
        <v>0</v>
      </c>
      <c r="Z332" s="43"/>
      <c r="AA332" s="1621">
        <f t="shared" si="26"/>
        <v>0</v>
      </c>
      <c r="AB332" s="43"/>
      <c r="AC332" s="43"/>
      <c r="AD332" s="43"/>
      <c r="AE332" s="43"/>
      <c r="AF332" s="43"/>
      <c r="AG332" s="43"/>
      <c r="AH332" s="43"/>
      <c r="AI332" s="43"/>
    </row>
    <row r="333" spans="1:35" ht="15.75">
      <c r="A333" s="88">
        <v>7385</v>
      </c>
      <c r="B333" s="1033" t="s">
        <v>738</v>
      </c>
      <c r="C333" s="1033"/>
      <c r="D333" s="1033"/>
      <c r="E333" s="1033"/>
      <c r="F333" s="1033"/>
      <c r="G333" s="1033"/>
      <c r="H333" s="1033"/>
      <c r="I333" s="1033"/>
      <c r="J333" s="1033"/>
      <c r="K333" s="1033"/>
      <c r="L333" s="90"/>
      <c r="M333" s="51" t="s">
        <v>265</v>
      </c>
      <c r="N333" s="113">
        <f>+A333</f>
        <v>7385</v>
      </c>
      <c r="O333" s="120">
        <v>0</v>
      </c>
      <c r="P333" s="888">
        <v>0</v>
      </c>
      <c r="Q333" s="51"/>
      <c r="R333" s="120">
        <v>0</v>
      </c>
      <c r="S333" s="888">
        <v>0</v>
      </c>
      <c r="T333" s="51"/>
      <c r="U333" s="120">
        <v>0</v>
      </c>
      <c r="V333" s="888">
        <v>0</v>
      </c>
      <c r="W333" s="51"/>
      <c r="X333" s="1613">
        <f t="shared" si="27"/>
        <v>0</v>
      </c>
      <c r="Y333" s="1614">
        <f t="shared" si="29"/>
        <v>0</v>
      </c>
      <c r="Z333" s="43"/>
      <c r="AA333" s="1621">
        <f t="shared" si="26"/>
        <v>0</v>
      </c>
      <c r="AB333" s="43"/>
      <c r="AC333" s="43"/>
      <c r="AD333" s="43"/>
      <c r="AE333" s="43"/>
      <c r="AF333" s="43"/>
      <c r="AG333" s="43"/>
      <c r="AH333" s="43"/>
      <c r="AI333" s="43"/>
    </row>
    <row r="334" spans="1:35" ht="15.75">
      <c r="A334" s="88">
        <v>7386</v>
      </c>
      <c r="B334" s="1033" t="s">
        <v>739</v>
      </c>
      <c r="C334" s="1033"/>
      <c r="D334" s="1033"/>
      <c r="E334" s="1033"/>
      <c r="F334" s="1033"/>
      <c r="G334" s="1033"/>
      <c r="H334" s="1033"/>
      <c r="I334" s="1033"/>
      <c r="J334" s="1033"/>
      <c r="K334" s="1033"/>
      <c r="L334" s="90"/>
      <c r="M334" s="51" t="s">
        <v>265</v>
      </c>
      <c r="N334" s="113">
        <f>+A334</f>
        <v>7386</v>
      </c>
      <c r="O334" s="120">
        <v>0</v>
      </c>
      <c r="P334" s="888">
        <v>0</v>
      </c>
      <c r="Q334" s="51"/>
      <c r="R334" s="120">
        <v>0</v>
      </c>
      <c r="S334" s="888">
        <v>0</v>
      </c>
      <c r="T334" s="51"/>
      <c r="U334" s="120">
        <v>0</v>
      </c>
      <c r="V334" s="888">
        <v>0</v>
      </c>
      <c r="W334" s="51"/>
      <c r="X334" s="1613">
        <f t="shared" si="27"/>
        <v>0</v>
      </c>
      <c r="Y334" s="1614">
        <f t="shared" si="29"/>
        <v>0</v>
      </c>
      <c r="Z334" s="43"/>
      <c r="AA334" s="1621">
        <f t="shared" si="26"/>
        <v>0</v>
      </c>
      <c r="AB334" s="43"/>
      <c r="AC334" s="43"/>
      <c r="AD334" s="43"/>
      <c r="AE334" s="43"/>
      <c r="AF334" s="43"/>
      <c r="AG334" s="43"/>
      <c r="AH334" s="43"/>
      <c r="AI334" s="43"/>
    </row>
    <row r="335" spans="1:35" ht="15.75">
      <c r="A335" s="88">
        <v>7387</v>
      </c>
      <c r="B335" s="1033" t="s">
        <v>740</v>
      </c>
      <c r="C335" s="1033"/>
      <c r="D335" s="1033"/>
      <c r="E335" s="1033"/>
      <c r="F335" s="1033"/>
      <c r="G335" s="1033"/>
      <c r="H335" s="1033"/>
      <c r="I335" s="1033"/>
      <c r="J335" s="1033"/>
      <c r="K335" s="1033"/>
      <c r="L335" s="90"/>
      <c r="M335" s="51" t="s">
        <v>265</v>
      </c>
      <c r="N335" s="113">
        <f>+A335</f>
        <v>7387</v>
      </c>
      <c r="O335" s="120">
        <v>0</v>
      </c>
      <c r="P335" s="888">
        <v>0</v>
      </c>
      <c r="Q335" s="51"/>
      <c r="R335" s="120">
        <v>0</v>
      </c>
      <c r="S335" s="888">
        <v>0</v>
      </c>
      <c r="T335" s="51"/>
      <c r="U335" s="120">
        <v>0</v>
      </c>
      <c r="V335" s="888">
        <v>0</v>
      </c>
      <c r="W335" s="51"/>
      <c r="X335" s="1613">
        <f t="shared" si="27"/>
        <v>0</v>
      </c>
      <c r="Y335" s="1614">
        <f t="shared" si="29"/>
        <v>0</v>
      </c>
      <c r="Z335" s="43"/>
      <c r="AA335" s="1621">
        <f t="shared" si="26"/>
        <v>0</v>
      </c>
      <c r="AB335" s="43"/>
      <c r="AC335" s="43"/>
      <c r="AD335" s="43"/>
      <c r="AE335" s="43"/>
      <c r="AF335" s="43"/>
      <c r="AG335" s="43"/>
      <c r="AH335" s="43"/>
      <c r="AI335" s="43"/>
    </row>
    <row r="336" spans="1:35" ht="15.75">
      <c r="A336" s="88">
        <v>7388</v>
      </c>
      <c r="B336" s="1033" t="s">
        <v>741</v>
      </c>
      <c r="C336" s="1033"/>
      <c r="D336" s="1033"/>
      <c r="E336" s="1033"/>
      <c r="F336" s="1033"/>
      <c r="G336" s="1033"/>
      <c r="H336" s="1033"/>
      <c r="I336" s="1033"/>
      <c r="J336" s="1033"/>
      <c r="K336" s="1033"/>
      <c r="L336" s="90"/>
      <c r="M336" s="51" t="s">
        <v>265</v>
      </c>
      <c r="N336" s="113">
        <f>+A336</f>
        <v>7388</v>
      </c>
      <c r="O336" s="120">
        <v>0</v>
      </c>
      <c r="P336" s="888">
        <v>0</v>
      </c>
      <c r="Q336" s="51"/>
      <c r="R336" s="120">
        <v>0</v>
      </c>
      <c r="S336" s="888">
        <v>0</v>
      </c>
      <c r="T336" s="51"/>
      <c r="U336" s="120">
        <v>0</v>
      </c>
      <c r="V336" s="888">
        <v>0</v>
      </c>
      <c r="W336" s="51"/>
      <c r="X336" s="1613">
        <f t="shared" si="27"/>
        <v>0</v>
      </c>
      <c r="Y336" s="1614">
        <f t="shared" si="29"/>
        <v>0</v>
      </c>
      <c r="Z336" s="43"/>
      <c r="AA336" s="1621">
        <f t="shared" si="26"/>
        <v>0</v>
      </c>
      <c r="AB336" s="43"/>
      <c r="AC336" s="43"/>
      <c r="AD336" s="43"/>
      <c r="AE336" s="43"/>
      <c r="AF336" s="43"/>
      <c r="AG336" s="43"/>
      <c r="AH336" s="43"/>
      <c r="AI336" s="43"/>
    </row>
    <row r="337" spans="1:35" ht="15.75">
      <c r="A337" s="88">
        <v>7391</v>
      </c>
      <c r="B337" s="1035" t="s">
        <v>1176</v>
      </c>
      <c r="C337" s="1033"/>
      <c r="D337" s="1033"/>
      <c r="E337" s="1033"/>
      <c r="F337" s="1033"/>
      <c r="G337" s="1033"/>
      <c r="H337" s="1033"/>
      <c r="I337" s="1033"/>
      <c r="J337" s="1033"/>
      <c r="K337" s="1033"/>
      <c r="L337" s="90"/>
      <c r="M337" s="51" t="s">
        <v>265</v>
      </c>
      <c r="N337" s="113">
        <f t="shared" si="28"/>
        <v>7391</v>
      </c>
      <c r="O337" s="120">
        <v>0</v>
      </c>
      <c r="P337" s="888">
        <v>0</v>
      </c>
      <c r="Q337" s="51"/>
      <c r="R337" s="120">
        <v>0</v>
      </c>
      <c r="S337" s="888">
        <v>0</v>
      </c>
      <c r="T337" s="51"/>
      <c r="U337" s="120">
        <v>0</v>
      </c>
      <c r="V337" s="888">
        <v>0</v>
      </c>
      <c r="W337" s="51"/>
      <c r="X337" s="1613">
        <f t="shared" si="27"/>
        <v>0</v>
      </c>
      <c r="Y337" s="1614">
        <f t="shared" si="29"/>
        <v>0</v>
      </c>
      <c r="Z337" s="43"/>
      <c r="AA337" s="1621">
        <f t="shared" si="26"/>
        <v>0</v>
      </c>
      <c r="AB337" s="43"/>
      <c r="AC337" s="43"/>
      <c r="AD337" s="43"/>
      <c r="AE337" s="43"/>
      <c r="AF337" s="43"/>
      <c r="AG337" s="43"/>
      <c r="AH337" s="43"/>
      <c r="AI337" s="43"/>
    </row>
    <row r="338" spans="1:35" ht="15.75">
      <c r="A338" s="88">
        <v>7392</v>
      </c>
      <c r="B338" s="1035" t="s">
        <v>1177</v>
      </c>
      <c r="C338" s="1033"/>
      <c r="D338" s="1033"/>
      <c r="E338" s="1033"/>
      <c r="F338" s="1033"/>
      <c r="G338" s="1033"/>
      <c r="H338" s="1033"/>
      <c r="I338" s="1033"/>
      <c r="J338" s="1033"/>
      <c r="K338" s="1033"/>
      <c r="L338" s="90"/>
      <c r="M338" s="51" t="s">
        <v>265</v>
      </c>
      <c r="N338" s="113">
        <f t="shared" si="28"/>
        <v>7392</v>
      </c>
      <c r="O338" s="120">
        <v>0</v>
      </c>
      <c r="P338" s="888">
        <v>0</v>
      </c>
      <c r="Q338" s="51"/>
      <c r="R338" s="120">
        <v>0</v>
      </c>
      <c r="S338" s="888">
        <v>0</v>
      </c>
      <c r="T338" s="51"/>
      <c r="U338" s="120">
        <v>0</v>
      </c>
      <c r="V338" s="888">
        <v>0</v>
      </c>
      <c r="W338" s="51"/>
      <c r="X338" s="1613">
        <f t="shared" si="27"/>
        <v>0</v>
      </c>
      <c r="Y338" s="1614">
        <f t="shared" si="29"/>
        <v>0</v>
      </c>
      <c r="Z338" s="43"/>
      <c r="AA338" s="1621">
        <f t="shared" si="26"/>
        <v>0</v>
      </c>
      <c r="AB338" s="43"/>
      <c r="AC338" s="43"/>
      <c r="AD338" s="43"/>
      <c r="AE338" s="43"/>
      <c r="AF338" s="43"/>
      <c r="AG338" s="43"/>
      <c r="AH338" s="43"/>
      <c r="AI338" s="43"/>
    </row>
    <row r="339" spans="1:35" ht="15.75">
      <c r="A339" s="88">
        <v>7400</v>
      </c>
      <c r="B339" s="1033" t="s">
        <v>742</v>
      </c>
      <c r="C339" s="1033"/>
      <c r="D339" s="1033"/>
      <c r="E339" s="1033"/>
      <c r="F339" s="1033"/>
      <c r="G339" s="1033"/>
      <c r="H339" s="1033"/>
      <c r="I339" s="1033"/>
      <c r="J339" s="1033"/>
      <c r="K339" s="1033"/>
      <c r="L339" s="90"/>
      <c r="M339" s="51" t="s">
        <v>265</v>
      </c>
      <c r="N339" s="113">
        <f t="shared" si="28"/>
        <v>7400</v>
      </c>
      <c r="O339" s="120">
        <v>0</v>
      </c>
      <c r="P339" s="888">
        <v>0</v>
      </c>
      <c r="Q339" s="51"/>
      <c r="R339" s="120">
        <v>0</v>
      </c>
      <c r="S339" s="888">
        <v>0</v>
      </c>
      <c r="T339" s="51"/>
      <c r="U339" s="120">
        <v>0</v>
      </c>
      <c r="V339" s="888">
        <v>0</v>
      </c>
      <c r="W339" s="51"/>
      <c r="X339" s="1613">
        <f t="shared" si="27"/>
        <v>0</v>
      </c>
      <c r="Y339" s="1614">
        <f t="shared" si="29"/>
        <v>0</v>
      </c>
      <c r="Z339" s="43"/>
      <c r="AA339" s="1621">
        <f t="shared" si="26"/>
        <v>0</v>
      </c>
      <c r="AB339" s="43"/>
      <c r="AC339" s="43"/>
      <c r="AD339" s="43"/>
      <c r="AE339" s="43"/>
      <c r="AF339" s="43"/>
      <c r="AG339" s="43"/>
      <c r="AH339" s="43"/>
      <c r="AI339" s="43"/>
    </row>
    <row r="340" spans="1:35" ht="15.75">
      <c r="A340" s="88">
        <v>7401</v>
      </c>
      <c r="B340" s="1033" t="s">
        <v>743</v>
      </c>
      <c r="C340" s="1033"/>
      <c r="D340" s="1033"/>
      <c r="E340" s="1033"/>
      <c r="F340" s="1033"/>
      <c r="G340" s="1033"/>
      <c r="H340" s="1033"/>
      <c r="I340" s="1033"/>
      <c r="J340" s="1033"/>
      <c r="K340" s="1033"/>
      <c r="L340" s="90"/>
      <c r="M340" s="51" t="s">
        <v>265</v>
      </c>
      <c r="N340" s="113">
        <f t="shared" si="28"/>
        <v>7401</v>
      </c>
      <c r="O340" s="120">
        <v>0</v>
      </c>
      <c r="P340" s="888">
        <v>0</v>
      </c>
      <c r="Q340" s="51"/>
      <c r="R340" s="120">
        <v>0</v>
      </c>
      <c r="S340" s="888">
        <v>0</v>
      </c>
      <c r="T340" s="51"/>
      <c r="U340" s="120">
        <v>0</v>
      </c>
      <c r="V340" s="888">
        <v>0</v>
      </c>
      <c r="W340" s="51"/>
      <c r="X340" s="1613">
        <f t="shared" si="27"/>
        <v>0</v>
      </c>
      <c r="Y340" s="1614">
        <f t="shared" si="29"/>
        <v>0</v>
      </c>
      <c r="Z340" s="43"/>
      <c r="AA340" s="1621">
        <f t="shared" si="26"/>
        <v>0</v>
      </c>
      <c r="AB340" s="43"/>
      <c r="AC340" s="43"/>
      <c r="AD340" s="43"/>
      <c r="AE340" s="43"/>
      <c r="AF340" s="43"/>
      <c r="AG340" s="43"/>
      <c r="AH340" s="43"/>
      <c r="AI340" s="43"/>
    </row>
    <row r="341" spans="1:35" ht="15.75">
      <c r="A341" s="88">
        <v>7402</v>
      </c>
      <c r="B341" s="1033" t="s">
        <v>744</v>
      </c>
      <c r="C341" s="1033"/>
      <c r="D341" s="1033"/>
      <c r="E341" s="1033"/>
      <c r="F341" s="1033"/>
      <c r="G341" s="1033"/>
      <c r="H341" s="1033"/>
      <c r="I341" s="1033"/>
      <c r="J341" s="1033"/>
      <c r="K341" s="1033"/>
      <c r="L341" s="90"/>
      <c r="M341" s="51" t="s">
        <v>265</v>
      </c>
      <c r="N341" s="113">
        <f t="shared" si="28"/>
        <v>7402</v>
      </c>
      <c r="O341" s="120">
        <v>0</v>
      </c>
      <c r="P341" s="888">
        <v>0</v>
      </c>
      <c r="Q341" s="51"/>
      <c r="R341" s="120">
        <v>0</v>
      </c>
      <c r="S341" s="888">
        <v>0</v>
      </c>
      <c r="T341" s="51"/>
      <c r="U341" s="120">
        <v>0</v>
      </c>
      <c r="V341" s="888">
        <v>0</v>
      </c>
      <c r="W341" s="51"/>
      <c r="X341" s="1613">
        <f t="shared" si="27"/>
        <v>0</v>
      </c>
      <c r="Y341" s="1614">
        <f t="shared" si="29"/>
        <v>0</v>
      </c>
      <c r="Z341" s="43"/>
      <c r="AA341" s="1621">
        <f t="shared" si="26"/>
        <v>0</v>
      </c>
      <c r="AB341" s="43"/>
      <c r="AC341" s="43"/>
      <c r="AD341" s="43"/>
      <c r="AE341" s="43"/>
      <c r="AF341" s="43"/>
      <c r="AG341" s="43"/>
      <c r="AH341" s="43"/>
      <c r="AI341" s="43"/>
    </row>
    <row r="342" spans="1:35" ht="15.75">
      <c r="A342" s="88">
        <v>7403</v>
      </c>
      <c r="B342" s="1033" t="s">
        <v>745</v>
      </c>
      <c r="C342" s="1033"/>
      <c r="D342" s="1033"/>
      <c r="E342" s="1033"/>
      <c r="F342" s="1033"/>
      <c r="G342" s="1033"/>
      <c r="H342" s="1033"/>
      <c r="I342" s="1033"/>
      <c r="J342" s="1033"/>
      <c r="K342" s="1033"/>
      <c r="L342" s="90"/>
      <c r="M342" s="51" t="s">
        <v>265</v>
      </c>
      <c r="N342" s="113">
        <f t="shared" si="28"/>
        <v>7403</v>
      </c>
      <c r="O342" s="120">
        <v>0</v>
      </c>
      <c r="P342" s="888">
        <v>0</v>
      </c>
      <c r="Q342" s="51"/>
      <c r="R342" s="120">
        <v>0</v>
      </c>
      <c r="S342" s="888">
        <v>0</v>
      </c>
      <c r="T342" s="51"/>
      <c r="U342" s="120">
        <v>0</v>
      </c>
      <c r="V342" s="888">
        <v>0</v>
      </c>
      <c r="W342" s="51"/>
      <c r="X342" s="1613">
        <f t="shared" si="27"/>
        <v>0</v>
      </c>
      <c r="Y342" s="1614">
        <f t="shared" si="29"/>
        <v>0</v>
      </c>
      <c r="Z342" s="43"/>
      <c r="AA342" s="1621">
        <f t="shared" si="26"/>
        <v>0</v>
      </c>
      <c r="AB342" s="43"/>
      <c r="AC342" s="43"/>
      <c r="AD342" s="43"/>
      <c r="AE342" s="43"/>
      <c r="AF342" s="43"/>
      <c r="AG342" s="43"/>
      <c r="AH342" s="43"/>
      <c r="AI342" s="43"/>
    </row>
    <row r="343" spans="1:35" ht="15.75">
      <c r="A343" s="88">
        <v>7404</v>
      </c>
      <c r="B343" s="1033" t="s">
        <v>746</v>
      </c>
      <c r="C343" s="1033"/>
      <c r="D343" s="1033"/>
      <c r="E343" s="1033"/>
      <c r="F343" s="1033"/>
      <c r="G343" s="1033"/>
      <c r="H343" s="1033"/>
      <c r="I343" s="1033"/>
      <c r="J343" s="1033"/>
      <c r="K343" s="1033"/>
      <c r="L343" s="90"/>
      <c r="M343" s="51" t="s">
        <v>265</v>
      </c>
      <c r="N343" s="113">
        <f t="shared" si="28"/>
        <v>7404</v>
      </c>
      <c r="O343" s="120">
        <v>0</v>
      </c>
      <c r="P343" s="888">
        <v>0</v>
      </c>
      <c r="Q343" s="51"/>
      <c r="R343" s="120">
        <v>0</v>
      </c>
      <c r="S343" s="888">
        <v>0</v>
      </c>
      <c r="T343" s="51"/>
      <c r="U343" s="120">
        <v>0</v>
      </c>
      <c r="V343" s="888">
        <v>0</v>
      </c>
      <c r="W343" s="51"/>
      <c r="X343" s="1613">
        <f t="shared" si="27"/>
        <v>0</v>
      </c>
      <c r="Y343" s="1614">
        <f t="shared" si="29"/>
        <v>0</v>
      </c>
      <c r="Z343" s="43"/>
      <c r="AA343" s="1621">
        <f t="shared" si="26"/>
        <v>0</v>
      </c>
      <c r="AB343" s="43"/>
      <c r="AC343" s="43"/>
      <c r="AD343" s="43"/>
      <c r="AE343" s="43"/>
      <c r="AF343" s="43"/>
      <c r="AG343" s="43"/>
      <c r="AH343" s="43"/>
      <c r="AI343" s="43"/>
    </row>
    <row r="344" spans="1:35" ht="15.75">
      <c r="A344" s="88">
        <v>7405</v>
      </c>
      <c r="B344" s="1033" t="s">
        <v>747</v>
      </c>
      <c r="C344" s="1033"/>
      <c r="D344" s="1033"/>
      <c r="E344" s="1033"/>
      <c r="F344" s="1033"/>
      <c r="G344" s="1033"/>
      <c r="H344" s="1033"/>
      <c r="I344" s="1033"/>
      <c r="J344" s="1033"/>
      <c r="K344" s="1033"/>
      <c r="L344" s="90"/>
      <c r="M344" s="51" t="s">
        <v>265</v>
      </c>
      <c r="N344" s="113">
        <f t="shared" si="28"/>
        <v>7405</v>
      </c>
      <c r="O344" s="120">
        <v>0</v>
      </c>
      <c r="P344" s="888">
        <v>0</v>
      </c>
      <c r="Q344" s="51"/>
      <c r="R344" s="120">
        <v>0</v>
      </c>
      <c r="S344" s="888">
        <v>0</v>
      </c>
      <c r="T344" s="51"/>
      <c r="U344" s="120">
        <v>0</v>
      </c>
      <c r="V344" s="888">
        <v>0</v>
      </c>
      <c r="W344" s="51"/>
      <c r="X344" s="1613">
        <f t="shared" si="27"/>
        <v>0</v>
      </c>
      <c r="Y344" s="1614">
        <f t="shared" si="29"/>
        <v>0</v>
      </c>
      <c r="Z344" s="43"/>
      <c r="AA344" s="1621">
        <f t="shared" si="26"/>
        <v>0</v>
      </c>
      <c r="AB344" s="43"/>
      <c r="AC344" s="43"/>
      <c r="AD344" s="43"/>
      <c r="AE344" s="43"/>
      <c r="AF344" s="43"/>
      <c r="AG344" s="43"/>
      <c r="AH344" s="43"/>
      <c r="AI344" s="43"/>
    </row>
    <row r="345" spans="1:35" ht="15.75">
      <c r="A345" s="88">
        <v>7406</v>
      </c>
      <c r="B345" s="1033" t="s">
        <v>748</v>
      </c>
      <c r="C345" s="1033"/>
      <c r="D345" s="1033"/>
      <c r="E345" s="1033"/>
      <c r="F345" s="1033"/>
      <c r="G345" s="1033"/>
      <c r="H345" s="1033"/>
      <c r="I345" s="1033"/>
      <c r="J345" s="1033"/>
      <c r="K345" s="1033"/>
      <c r="L345" s="90"/>
      <c r="M345" s="51" t="s">
        <v>265</v>
      </c>
      <c r="N345" s="113">
        <f t="shared" si="28"/>
        <v>7406</v>
      </c>
      <c r="O345" s="120">
        <v>0</v>
      </c>
      <c r="P345" s="888">
        <v>0</v>
      </c>
      <c r="Q345" s="51"/>
      <c r="R345" s="120">
        <v>0</v>
      </c>
      <c r="S345" s="888">
        <v>0</v>
      </c>
      <c r="T345" s="51"/>
      <c r="U345" s="120">
        <v>0</v>
      </c>
      <c r="V345" s="888">
        <v>0</v>
      </c>
      <c r="W345" s="51"/>
      <c r="X345" s="1613">
        <f t="shared" si="27"/>
        <v>0</v>
      </c>
      <c r="Y345" s="1614">
        <f t="shared" si="29"/>
        <v>0</v>
      </c>
      <c r="Z345" s="43"/>
      <c r="AA345" s="1621">
        <f t="shared" si="26"/>
        <v>0</v>
      </c>
      <c r="AB345" s="43"/>
      <c r="AC345" s="43"/>
      <c r="AD345" s="43"/>
      <c r="AE345" s="43"/>
      <c r="AF345" s="43"/>
      <c r="AG345" s="43"/>
      <c r="AH345" s="43"/>
      <c r="AI345" s="43"/>
    </row>
    <row r="346" spans="1:35" ht="15.75">
      <c r="A346" s="88">
        <v>7407</v>
      </c>
      <c r="B346" s="1033" t="s">
        <v>749</v>
      </c>
      <c r="C346" s="1033"/>
      <c r="D346" s="1033"/>
      <c r="E346" s="1033"/>
      <c r="F346" s="1033"/>
      <c r="G346" s="1033"/>
      <c r="H346" s="1033"/>
      <c r="I346" s="1033"/>
      <c r="J346" s="1033"/>
      <c r="K346" s="1033"/>
      <c r="L346" s="90"/>
      <c r="M346" s="51" t="s">
        <v>265</v>
      </c>
      <c r="N346" s="113">
        <f t="shared" si="28"/>
        <v>7407</v>
      </c>
      <c r="O346" s="120">
        <v>0</v>
      </c>
      <c r="P346" s="888">
        <v>0</v>
      </c>
      <c r="Q346" s="51"/>
      <c r="R346" s="120">
        <v>0</v>
      </c>
      <c r="S346" s="888">
        <v>0</v>
      </c>
      <c r="T346" s="51"/>
      <c r="U346" s="120">
        <v>0</v>
      </c>
      <c r="V346" s="888">
        <v>0</v>
      </c>
      <c r="W346" s="51"/>
      <c r="X346" s="1613">
        <f t="shared" si="27"/>
        <v>0</v>
      </c>
      <c r="Y346" s="1614">
        <f t="shared" si="29"/>
        <v>0</v>
      </c>
      <c r="Z346" s="43"/>
      <c r="AA346" s="1621">
        <f t="shared" si="26"/>
        <v>0</v>
      </c>
      <c r="AB346" s="43"/>
      <c r="AC346" s="43"/>
      <c r="AD346" s="43"/>
      <c r="AE346" s="43"/>
      <c r="AF346" s="43"/>
      <c r="AG346" s="43"/>
      <c r="AH346" s="43"/>
      <c r="AI346" s="43"/>
    </row>
    <row r="347" spans="1:35" ht="15.75">
      <c r="A347" s="88">
        <v>7408</v>
      </c>
      <c r="B347" s="1033" t="s">
        <v>750</v>
      </c>
      <c r="C347" s="1033"/>
      <c r="D347" s="1033"/>
      <c r="E347" s="1033"/>
      <c r="F347" s="1033"/>
      <c r="G347" s="1033"/>
      <c r="H347" s="1033"/>
      <c r="I347" s="1033"/>
      <c r="J347" s="1033"/>
      <c r="K347" s="1033"/>
      <c r="L347" s="90"/>
      <c r="M347" s="51" t="s">
        <v>265</v>
      </c>
      <c r="N347" s="113">
        <f t="shared" si="28"/>
        <v>7408</v>
      </c>
      <c r="O347" s="120">
        <v>0</v>
      </c>
      <c r="P347" s="888">
        <v>0</v>
      </c>
      <c r="Q347" s="51"/>
      <c r="R347" s="120">
        <v>0</v>
      </c>
      <c r="S347" s="888">
        <v>0</v>
      </c>
      <c r="T347" s="51"/>
      <c r="U347" s="120">
        <v>0</v>
      </c>
      <c r="V347" s="888">
        <v>0</v>
      </c>
      <c r="W347" s="51"/>
      <c r="X347" s="1613">
        <f t="shared" si="27"/>
        <v>0</v>
      </c>
      <c r="Y347" s="1614">
        <f t="shared" si="29"/>
        <v>0</v>
      </c>
      <c r="Z347" s="43"/>
      <c r="AA347" s="1621">
        <f t="shared" si="26"/>
        <v>0</v>
      </c>
      <c r="AB347" s="43"/>
      <c r="AC347" s="43"/>
      <c r="AD347" s="43"/>
      <c r="AE347" s="43"/>
      <c r="AF347" s="43"/>
      <c r="AG347" s="43"/>
      <c r="AH347" s="43"/>
      <c r="AI347" s="43"/>
    </row>
    <row r="348" spans="1:35" ht="15.75">
      <c r="A348" s="88">
        <v>7409</v>
      </c>
      <c r="B348" s="1033" t="s">
        <v>751</v>
      </c>
      <c r="C348" s="1033"/>
      <c r="D348" s="1033"/>
      <c r="E348" s="1033"/>
      <c r="F348" s="1033"/>
      <c r="G348" s="1033"/>
      <c r="H348" s="1033"/>
      <c r="I348" s="1033"/>
      <c r="J348" s="1033"/>
      <c r="K348" s="1033"/>
      <c r="L348" s="90"/>
      <c r="M348" s="51" t="s">
        <v>265</v>
      </c>
      <c r="N348" s="113">
        <f t="shared" si="28"/>
        <v>7409</v>
      </c>
      <c r="O348" s="120">
        <v>0</v>
      </c>
      <c r="P348" s="888">
        <v>0</v>
      </c>
      <c r="Q348" s="51"/>
      <c r="R348" s="120">
        <v>0</v>
      </c>
      <c r="S348" s="888">
        <v>0</v>
      </c>
      <c r="T348" s="51"/>
      <c r="U348" s="120">
        <v>0</v>
      </c>
      <c r="V348" s="888">
        <v>0</v>
      </c>
      <c r="W348" s="51"/>
      <c r="X348" s="1613">
        <f t="shared" si="27"/>
        <v>0</v>
      </c>
      <c r="Y348" s="1614">
        <f t="shared" si="29"/>
        <v>0</v>
      </c>
      <c r="Z348" s="43"/>
      <c r="AA348" s="1621">
        <f t="shared" si="26"/>
        <v>0</v>
      </c>
      <c r="AB348" s="43"/>
      <c r="AC348" s="43"/>
      <c r="AD348" s="43"/>
      <c r="AE348" s="43"/>
      <c r="AF348" s="43"/>
      <c r="AG348" s="43"/>
      <c r="AH348" s="43"/>
      <c r="AI348" s="43"/>
    </row>
    <row r="349" spans="1:35" ht="15.75">
      <c r="A349" s="88">
        <v>7411</v>
      </c>
      <c r="B349" s="1032" t="s">
        <v>752</v>
      </c>
      <c r="C349" s="1033"/>
      <c r="D349" s="1033"/>
      <c r="E349" s="1033"/>
      <c r="F349" s="1033"/>
      <c r="G349" s="1033"/>
      <c r="H349" s="1033"/>
      <c r="I349" s="1033"/>
      <c r="J349" s="1033"/>
      <c r="K349" s="1033"/>
      <c r="L349" s="90"/>
      <c r="M349" s="51" t="s">
        <v>265</v>
      </c>
      <c r="N349" s="113">
        <f t="shared" si="28"/>
        <v>7411</v>
      </c>
      <c r="O349" s="120">
        <v>0</v>
      </c>
      <c r="P349" s="888">
        <v>0</v>
      </c>
      <c r="Q349" s="51"/>
      <c r="R349" s="120">
        <v>0</v>
      </c>
      <c r="S349" s="888">
        <v>0</v>
      </c>
      <c r="T349" s="51"/>
      <c r="U349" s="120">
        <v>0</v>
      </c>
      <c r="V349" s="888">
        <v>0</v>
      </c>
      <c r="W349" s="51"/>
      <c r="X349" s="1613">
        <f t="shared" si="27"/>
        <v>0</v>
      </c>
      <c r="Y349" s="1614">
        <f t="shared" si="29"/>
        <v>0</v>
      </c>
      <c r="Z349" s="43"/>
      <c r="AA349" s="1621">
        <f t="shared" si="26"/>
        <v>0</v>
      </c>
      <c r="AB349" s="43"/>
      <c r="AC349" s="43"/>
      <c r="AD349" s="43"/>
      <c r="AE349" s="43"/>
      <c r="AF349" s="43"/>
      <c r="AG349" s="43"/>
      <c r="AH349" s="43"/>
      <c r="AI349" s="43"/>
    </row>
    <row r="350" spans="1:35" ht="15.75">
      <c r="A350" s="88">
        <v>7412</v>
      </c>
      <c r="B350" s="1032" t="s">
        <v>753</v>
      </c>
      <c r="C350" s="1033"/>
      <c r="D350" s="1033"/>
      <c r="E350" s="1033"/>
      <c r="F350" s="1033"/>
      <c r="G350" s="1033"/>
      <c r="H350" s="1033"/>
      <c r="I350" s="1033"/>
      <c r="J350" s="1033"/>
      <c r="K350" s="1033"/>
      <c r="L350" s="90"/>
      <c r="M350" s="51" t="s">
        <v>265</v>
      </c>
      <c r="N350" s="113">
        <f t="shared" si="28"/>
        <v>7412</v>
      </c>
      <c r="O350" s="120">
        <v>0</v>
      </c>
      <c r="P350" s="888">
        <v>0</v>
      </c>
      <c r="Q350" s="51"/>
      <c r="R350" s="120">
        <v>0</v>
      </c>
      <c r="S350" s="888">
        <v>0</v>
      </c>
      <c r="T350" s="51"/>
      <c r="U350" s="120">
        <v>0</v>
      </c>
      <c r="V350" s="888">
        <v>0</v>
      </c>
      <c r="W350" s="51"/>
      <c r="X350" s="1613">
        <f t="shared" si="27"/>
        <v>0</v>
      </c>
      <c r="Y350" s="1614">
        <f t="shared" si="29"/>
        <v>0</v>
      </c>
      <c r="Z350" s="43"/>
      <c r="AA350" s="1621">
        <f t="shared" si="26"/>
        <v>0</v>
      </c>
      <c r="AB350" s="43"/>
      <c r="AC350" s="43"/>
      <c r="AD350" s="43"/>
      <c r="AE350" s="43"/>
      <c r="AF350" s="43"/>
      <c r="AG350" s="43"/>
      <c r="AH350" s="43"/>
      <c r="AI350" s="43"/>
    </row>
    <row r="351" spans="1:35" ht="15.75">
      <c r="A351" s="88">
        <v>7413</v>
      </c>
      <c r="B351" s="1032" t="s">
        <v>754</v>
      </c>
      <c r="C351" s="1033"/>
      <c r="D351" s="1033"/>
      <c r="E351" s="1033"/>
      <c r="F351" s="1033"/>
      <c r="G351" s="1033"/>
      <c r="H351" s="1033"/>
      <c r="I351" s="1033"/>
      <c r="J351" s="1033"/>
      <c r="K351" s="1033"/>
      <c r="L351" s="90"/>
      <c r="M351" s="51" t="s">
        <v>265</v>
      </c>
      <c r="N351" s="113">
        <f t="shared" si="28"/>
        <v>7413</v>
      </c>
      <c r="O351" s="120">
        <v>0</v>
      </c>
      <c r="P351" s="888">
        <v>0</v>
      </c>
      <c r="Q351" s="51"/>
      <c r="R351" s="120">
        <v>0</v>
      </c>
      <c r="S351" s="888">
        <v>0</v>
      </c>
      <c r="T351" s="51"/>
      <c r="U351" s="120">
        <v>0</v>
      </c>
      <c r="V351" s="888">
        <v>0</v>
      </c>
      <c r="W351" s="51"/>
      <c r="X351" s="1613">
        <f t="shared" si="27"/>
        <v>0</v>
      </c>
      <c r="Y351" s="1614">
        <f t="shared" si="29"/>
        <v>0</v>
      </c>
      <c r="Z351" s="43"/>
      <c r="AA351" s="1621">
        <f t="shared" si="26"/>
        <v>0</v>
      </c>
      <c r="AB351" s="43"/>
      <c r="AC351" s="43"/>
      <c r="AD351" s="43"/>
      <c r="AE351" s="43"/>
      <c r="AF351" s="43"/>
      <c r="AG351" s="43"/>
      <c r="AH351" s="43"/>
      <c r="AI351" s="43"/>
    </row>
    <row r="352" spans="1:35" ht="15.75">
      <c r="A352" s="88">
        <v>7414</v>
      </c>
      <c r="B352" s="1032" t="s">
        <v>755</v>
      </c>
      <c r="C352" s="1033"/>
      <c r="D352" s="1033"/>
      <c r="E352" s="1033"/>
      <c r="F352" s="1033"/>
      <c r="G352" s="1033"/>
      <c r="H352" s="1033"/>
      <c r="I352" s="1033"/>
      <c r="J352" s="1033"/>
      <c r="K352" s="1033"/>
      <c r="L352" s="90"/>
      <c r="M352" s="51" t="s">
        <v>265</v>
      </c>
      <c r="N352" s="113">
        <f t="shared" si="28"/>
        <v>7414</v>
      </c>
      <c r="O352" s="120">
        <v>0</v>
      </c>
      <c r="P352" s="888">
        <v>0</v>
      </c>
      <c r="Q352" s="51"/>
      <c r="R352" s="120">
        <v>0</v>
      </c>
      <c r="S352" s="888">
        <v>0</v>
      </c>
      <c r="T352" s="51"/>
      <c r="U352" s="120">
        <v>0</v>
      </c>
      <c r="V352" s="888">
        <v>0</v>
      </c>
      <c r="W352" s="51"/>
      <c r="X352" s="1613">
        <f t="shared" si="27"/>
        <v>0</v>
      </c>
      <c r="Y352" s="1614">
        <f t="shared" si="29"/>
        <v>0</v>
      </c>
      <c r="Z352" s="43"/>
      <c r="AA352" s="1621">
        <f t="shared" si="26"/>
        <v>0</v>
      </c>
      <c r="AB352" s="43"/>
      <c r="AC352" s="43"/>
      <c r="AD352" s="43"/>
      <c r="AE352" s="43"/>
      <c r="AF352" s="43"/>
      <c r="AG352" s="43"/>
      <c r="AH352" s="43"/>
      <c r="AI352" s="43"/>
    </row>
    <row r="353" spans="1:35" ht="15.75">
      <c r="A353" s="88">
        <v>7419</v>
      </c>
      <c r="B353" s="1032" t="s">
        <v>756</v>
      </c>
      <c r="C353" s="1033"/>
      <c r="D353" s="1033"/>
      <c r="E353" s="1033"/>
      <c r="F353" s="1033"/>
      <c r="G353" s="1033"/>
      <c r="H353" s="1033"/>
      <c r="I353" s="1033"/>
      <c r="J353" s="1033"/>
      <c r="K353" s="1033"/>
      <c r="L353" s="90"/>
      <c r="M353" s="51" t="s">
        <v>265</v>
      </c>
      <c r="N353" s="113">
        <f t="shared" si="28"/>
        <v>7419</v>
      </c>
      <c r="O353" s="120">
        <v>0</v>
      </c>
      <c r="P353" s="888">
        <v>0</v>
      </c>
      <c r="Q353" s="51"/>
      <c r="R353" s="120">
        <v>0</v>
      </c>
      <c r="S353" s="888">
        <v>0</v>
      </c>
      <c r="T353" s="51"/>
      <c r="U353" s="120">
        <v>0</v>
      </c>
      <c r="V353" s="888">
        <v>0</v>
      </c>
      <c r="W353" s="51"/>
      <c r="X353" s="1613">
        <f t="shared" si="27"/>
        <v>0</v>
      </c>
      <c r="Y353" s="1614">
        <f t="shared" si="29"/>
        <v>0</v>
      </c>
      <c r="Z353" s="43"/>
      <c r="AA353" s="1621">
        <f t="shared" si="26"/>
        <v>0</v>
      </c>
      <c r="AB353" s="43"/>
      <c r="AC353" s="43"/>
      <c r="AD353" s="43"/>
      <c r="AE353" s="43"/>
      <c r="AF353" s="43"/>
      <c r="AG353" s="43"/>
      <c r="AH353" s="43"/>
      <c r="AI353" s="43"/>
    </row>
    <row r="354" spans="1:35" ht="15.75">
      <c r="A354" s="88">
        <v>7450</v>
      </c>
      <c r="B354" s="2181" t="s">
        <v>2088</v>
      </c>
      <c r="C354" s="1033"/>
      <c r="D354" s="1033"/>
      <c r="E354" s="1033"/>
      <c r="F354" s="1033"/>
      <c r="G354" s="1033"/>
      <c r="H354" s="1033"/>
      <c r="I354" s="1033"/>
      <c r="J354" s="1033"/>
      <c r="K354" s="1033"/>
      <c r="L354" s="90"/>
      <c r="M354" s="51" t="s">
        <v>265</v>
      </c>
      <c r="N354" s="113">
        <f t="shared" si="28"/>
        <v>7450</v>
      </c>
      <c r="O354" s="120">
        <v>0</v>
      </c>
      <c r="P354" s="888">
        <v>0</v>
      </c>
      <c r="Q354" s="51"/>
      <c r="R354" s="120">
        <v>0</v>
      </c>
      <c r="S354" s="888">
        <v>0</v>
      </c>
      <c r="T354" s="51"/>
      <c r="U354" s="120">
        <v>0</v>
      </c>
      <c r="V354" s="888">
        <v>0</v>
      </c>
      <c r="W354" s="51"/>
      <c r="X354" s="1613">
        <f t="shared" si="27"/>
        <v>0</v>
      </c>
      <c r="Y354" s="1614">
        <f t="shared" si="29"/>
        <v>0</v>
      </c>
      <c r="Z354" s="43"/>
      <c r="AA354" s="1621">
        <f t="shared" si="26"/>
        <v>0</v>
      </c>
      <c r="AB354" s="43"/>
      <c r="AC354" s="43"/>
      <c r="AD354" s="43"/>
      <c r="AE354" s="43"/>
      <c r="AF354" s="43"/>
      <c r="AG354" s="43"/>
      <c r="AH354" s="43"/>
      <c r="AI354" s="43"/>
    </row>
    <row r="355" spans="1:35" ht="15.75">
      <c r="A355" s="88">
        <v>7471</v>
      </c>
      <c r="B355" s="1033" t="s">
        <v>757</v>
      </c>
      <c r="C355" s="1033"/>
      <c r="D355" s="1033"/>
      <c r="E355" s="1033"/>
      <c r="F355" s="1033"/>
      <c r="G355" s="1033"/>
      <c r="H355" s="1033"/>
      <c r="I355" s="1033"/>
      <c r="J355" s="1033"/>
      <c r="K355" s="1033"/>
      <c r="L355" s="90"/>
      <c r="M355" s="51" t="s">
        <v>265</v>
      </c>
      <c r="N355" s="113">
        <f t="shared" si="28"/>
        <v>7471</v>
      </c>
      <c r="O355" s="120">
        <v>0</v>
      </c>
      <c r="P355" s="888">
        <v>0</v>
      </c>
      <c r="Q355" s="51"/>
      <c r="R355" s="120">
        <v>0</v>
      </c>
      <c r="S355" s="888">
        <v>0</v>
      </c>
      <c r="T355" s="51"/>
      <c r="U355" s="120">
        <v>0</v>
      </c>
      <c r="V355" s="888">
        <v>0</v>
      </c>
      <c r="W355" s="51"/>
      <c r="X355" s="1613">
        <f t="shared" si="27"/>
        <v>0</v>
      </c>
      <c r="Y355" s="1614">
        <f t="shared" si="29"/>
        <v>0</v>
      </c>
      <c r="Z355" s="43"/>
      <c r="AA355" s="1621">
        <f t="shared" si="26"/>
        <v>0</v>
      </c>
      <c r="AB355" s="43"/>
      <c r="AC355" s="43"/>
      <c r="AD355" s="43"/>
      <c r="AE355" s="43"/>
      <c r="AF355" s="43"/>
      <c r="AG355" s="43"/>
      <c r="AH355" s="43"/>
      <c r="AI355" s="43"/>
    </row>
    <row r="356" spans="1:35" ht="15.75">
      <c r="A356" s="88">
        <v>7472</v>
      </c>
      <c r="B356" s="1033" t="s">
        <v>758</v>
      </c>
      <c r="C356" s="1033"/>
      <c r="D356" s="1033"/>
      <c r="E356" s="1033"/>
      <c r="F356" s="1033"/>
      <c r="G356" s="1033"/>
      <c r="H356" s="1033"/>
      <c r="I356" s="1033"/>
      <c r="J356" s="1033"/>
      <c r="K356" s="1033"/>
      <c r="L356" s="90"/>
      <c r="M356" s="51" t="s">
        <v>265</v>
      </c>
      <c r="N356" s="113">
        <f t="shared" si="28"/>
        <v>7472</v>
      </c>
      <c r="O356" s="120">
        <v>0</v>
      </c>
      <c r="P356" s="888">
        <v>0</v>
      </c>
      <c r="Q356" s="51"/>
      <c r="R356" s="120">
        <v>0</v>
      </c>
      <c r="S356" s="888">
        <v>0</v>
      </c>
      <c r="T356" s="51"/>
      <c r="U356" s="120">
        <v>0</v>
      </c>
      <c r="V356" s="888">
        <v>0</v>
      </c>
      <c r="W356" s="51"/>
      <c r="X356" s="1613">
        <f t="shared" si="27"/>
        <v>0</v>
      </c>
      <c r="Y356" s="1614">
        <f t="shared" si="29"/>
        <v>0</v>
      </c>
      <c r="Z356" s="43"/>
      <c r="AA356" s="1621">
        <f t="shared" si="26"/>
        <v>0</v>
      </c>
      <c r="AB356" s="43"/>
      <c r="AC356" s="43"/>
      <c r="AD356" s="43"/>
      <c r="AE356" s="43"/>
      <c r="AF356" s="43"/>
      <c r="AG356" s="43"/>
      <c r="AH356" s="43"/>
      <c r="AI356" s="43"/>
    </row>
    <row r="357" spans="1:35" ht="15.75">
      <c r="A357" s="88">
        <v>7473</v>
      </c>
      <c r="B357" s="1033" t="s">
        <v>759</v>
      </c>
      <c r="C357" s="1033"/>
      <c r="D357" s="1033"/>
      <c r="E357" s="1033"/>
      <c r="F357" s="1033"/>
      <c r="G357" s="1033"/>
      <c r="H357" s="1033"/>
      <c r="I357" s="1033"/>
      <c r="J357" s="1033"/>
      <c r="K357" s="1033"/>
      <c r="L357" s="90"/>
      <c r="M357" s="51" t="s">
        <v>265</v>
      </c>
      <c r="N357" s="113">
        <f t="shared" si="28"/>
        <v>7473</v>
      </c>
      <c r="O357" s="120">
        <v>0</v>
      </c>
      <c r="P357" s="888">
        <v>0</v>
      </c>
      <c r="Q357" s="51"/>
      <c r="R357" s="120">
        <v>0</v>
      </c>
      <c r="S357" s="888">
        <v>0</v>
      </c>
      <c r="T357" s="51"/>
      <c r="U357" s="120">
        <v>0</v>
      </c>
      <c r="V357" s="888">
        <v>0</v>
      </c>
      <c r="W357" s="51"/>
      <c r="X357" s="1613">
        <f t="shared" si="27"/>
        <v>0</v>
      </c>
      <c r="Y357" s="1614">
        <f t="shared" si="29"/>
        <v>0</v>
      </c>
      <c r="Z357" s="43"/>
      <c r="AA357" s="1621">
        <f t="shared" si="26"/>
        <v>0</v>
      </c>
      <c r="AB357" s="43"/>
      <c r="AC357" s="43"/>
      <c r="AD357" s="43"/>
      <c r="AE357" s="43"/>
      <c r="AF357" s="43"/>
      <c r="AG357" s="43"/>
      <c r="AH357" s="43"/>
      <c r="AI357" s="43"/>
    </row>
    <row r="358" spans="1:35" ht="15.75">
      <c r="A358" s="88">
        <v>7474</v>
      </c>
      <c r="B358" s="1033" t="s">
        <v>760</v>
      </c>
      <c r="C358" s="1033"/>
      <c r="D358" s="1033"/>
      <c r="E358" s="1033"/>
      <c r="F358" s="1033"/>
      <c r="G358" s="1033"/>
      <c r="H358" s="1033"/>
      <c r="I358" s="1033"/>
      <c r="J358" s="1033"/>
      <c r="K358" s="1033"/>
      <c r="L358" s="90"/>
      <c r="M358" s="51" t="s">
        <v>265</v>
      </c>
      <c r="N358" s="113">
        <f t="shared" si="28"/>
        <v>7474</v>
      </c>
      <c r="O358" s="120">
        <v>0</v>
      </c>
      <c r="P358" s="888">
        <v>0</v>
      </c>
      <c r="Q358" s="51"/>
      <c r="R358" s="120">
        <v>0</v>
      </c>
      <c r="S358" s="888">
        <v>0</v>
      </c>
      <c r="T358" s="51"/>
      <c r="U358" s="120">
        <v>0</v>
      </c>
      <c r="V358" s="888">
        <v>0</v>
      </c>
      <c r="W358" s="51"/>
      <c r="X358" s="1613">
        <f t="shared" si="27"/>
        <v>0</v>
      </c>
      <c r="Y358" s="1614">
        <f t="shared" si="29"/>
        <v>0</v>
      </c>
      <c r="Z358" s="43"/>
      <c r="AA358" s="1621">
        <f t="shared" si="26"/>
        <v>0</v>
      </c>
      <c r="AB358" s="43"/>
      <c r="AC358" s="43"/>
      <c r="AD358" s="43"/>
      <c r="AE358" s="43"/>
      <c r="AF358" s="43"/>
      <c r="AG358" s="43"/>
      <c r="AH358" s="43"/>
      <c r="AI358" s="43"/>
    </row>
    <row r="359" spans="1:35" ht="15.75">
      <c r="A359" s="88">
        <v>7481</v>
      </c>
      <c r="B359" s="1033" t="s">
        <v>761</v>
      </c>
      <c r="C359" s="1033"/>
      <c r="D359" s="1033"/>
      <c r="E359" s="1033"/>
      <c r="F359" s="1033"/>
      <c r="G359" s="1033"/>
      <c r="H359" s="1033"/>
      <c r="I359" s="1033"/>
      <c r="J359" s="1033"/>
      <c r="K359" s="1033"/>
      <c r="L359" s="90"/>
      <c r="M359" s="51" t="s">
        <v>265</v>
      </c>
      <c r="N359" s="113">
        <f t="shared" si="28"/>
        <v>7481</v>
      </c>
      <c r="O359" s="120">
        <v>0</v>
      </c>
      <c r="P359" s="888">
        <v>0</v>
      </c>
      <c r="Q359" s="51"/>
      <c r="R359" s="120">
        <v>0</v>
      </c>
      <c r="S359" s="888">
        <v>0</v>
      </c>
      <c r="T359" s="51"/>
      <c r="U359" s="120">
        <v>0</v>
      </c>
      <c r="V359" s="888">
        <v>0</v>
      </c>
      <c r="W359" s="51"/>
      <c r="X359" s="1613">
        <f t="shared" si="27"/>
        <v>0</v>
      </c>
      <c r="Y359" s="1614">
        <f t="shared" si="29"/>
        <v>0</v>
      </c>
      <c r="Z359" s="43"/>
      <c r="AA359" s="1621">
        <f t="shared" si="26"/>
        <v>0</v>
      </c>
      <c r="AB359" s="43"/>
      <c r="AC359" s="43"/>
      <c r="AD359" s="43"/>
      <c r="AE359" s="43"/>
      <c r="AF359" s="43"/>
      <c r="AG359" s="43"/>
      <c r="AH359" s="43"/>
      <c r="AI359" s="43"/>
    </row>
    <row r="360" spans="1:35" ht="15.75">
      <c r="A360" s="88">
        <v>7482</v>
      </c>
      <c r="B360" s="1033" t="s">
        <v>762</v>
      </c>
      <c r="C360" s="1033"/>
      <c r="D360" s="1033"/>
      <c r="E360" s="1033"/>
      <c r="F360" s="1033"/>
      <c r="G360" s="1033"/>
      <c r="H360" s="1033"/>
      <c r="I360" s="1033"/>
      <c r="J360" s="1033"/>
      <c r="K360" s="1033"/>
      <c r="L360" s="90"/>
      <c r="M360" s="51" t="s">
        <v>265</v>
      </c>
      <c r="N360" s="113">
        <f t="shared" si="28"/>
        <v>7482</v>
      </c>
      <c r="O360" s="120">
        <v>0</v>
      </c>
      <c r="P360" s="888">
        <v>0</v>
      </c>
      <c r="Q360" s="51"/>
      <c r="R360" s="120">
        <v>0</v>
      </c>
      <c r="S360" s="888">
        <v>0</v>
      </c>
      <c r="T360" s="51"/>
      <c r="U360" s="120">
        <v>0</v>
      </c>
      <c r="V360" s="888">
        <v>0</v>
      </c>
      <c r="W360" s="51"/>
      <c r="X360" s="1613">
        <f t="shared" si="27"/>
        <v>0</v>
      </c>
      <c r="Y360" s="1614">
        <f t="shared" si="29"/>
        <v>0</v>
      </c>
      <c r="Z360" s="43"/>
      <c r="AA360" s="1621">
        <f t="shared" si="26"/>
        <v>0</v>
      </c>
      <c r="AB360" s="43"/>
      <c r="AC360" s="43"/>
      <c r="AD360" s="43"/>
      <c r="AE360" s="43"/>
      <c r="AF360" s="43"/>
      <c r="AG360" s="43"/>
      <c r="AH360" s="43"/>
      <c r="AI360" s="43"/>
    </row>
    <row r="361" spans="1:35" ht="15.75">
      <c r="A361" s="88">
        <v>7483</v>
      </c>
      <c r="B361" s="1033" t="s">
        <v>763</v>
      </c>
      <c r="C361" s="1033"/>
      <c r="D361" s="1033"/>
      <c r="E361" s="1033"/>
      <c r="F361" s="1033"/>
      <c r="G361" s="1033"/>
      <c r="H361" s="1033"/>
      <c r="I361" s="1033"/>
      <c r="J361" s="1033"/>
      <c r="K361" s="1033"/>
      <c r="L361" s="90"/>
      <c r="M361" s="51" t="s">
        <v>265</v>
      </c>
      <c r="N361" s="113">
        <f t="shared" si="28"/>
        <v>7483</v>
      </c>
      <c r="O361" s="120">
        <v>0</v>
      </c>
      <c r="P361" s="888">
        <v>0</v>
      </c>
      <c r="Q361" s="51"/>
      <c r="R361" s="120">
        <v>0</v>
      </c>
      <c r="S361" s="888">
        <v>0</v>
      </c>
      <c r="T361" s="51"/>
      <c r="U361" s="120">
        <v>0</v>
      </c>
      <c r="V361" s="888">
        <v>0</v>
      </c>
      <c r="W361" s="51"/>
      <c r="X361" s="1613">
        <f t="shared" si="27"/>
        <v>0</v>
      </c>
      <c r="Y361" s="1614">
        <f t="shared" si="29"/>
        <v>0</v>
      </c>
      <c r="Z361" s="43"/>
      <c r="AA361" s="1621">
        <f t="shared" si="26"/>
        <v>0</v>
      </c>
      <c r="AB361" s="43"/>
      <c r="AC361" s="43"/>
      <c r="AD361" s="43"/>
      <c r="AE361" s="43"/>
      <c r="AF361" s="43"/>
      <c r="AG361" s="43"/>
      <c r="AH361" s="43"/>
      <c r="AI361" s="43"/>
    </row>
    <row r="362" spans="1:35" ht="15.75">
      <c r="A362" s="88">
        <v>7484</v>
      </c>
      <c r="B362" s="1033" t="s">
        <v>764</v>
      </c>
      <c r="C362" s="1033"/>
      <c r="D362" s="1033"/>
      <c r="E362" s="1033"/>
      <c r="F362" s="1033"/>
      <c r="G362" s="1033"/>
      <c r="H362" s="1033"/>
      <c r="I362" s="1033"/>
      <c r="J362" s="1033"/>
      <c r="K362" s="1033"/>
      <c r="L362" s="90"/>
      <c r="M362" s="51" t="s">
        <v>265</v>
      </c>
      <c r="N362" s="113">
        <f t="shared" si="28"/>
        <v>7484</v>
      </c>
      <c r="O362" s="120">
        <v>0</v>
      </c>
      <c r="P362" s="888">
        <v>0</v>
      </c>
      <c r="Q362" s="51"/>
      <c r="R362" s="120">
        <v>0</v>
      </c>
      <c r="S362" s="888">
        <v>0</v>
      </c>
      <c r="T362" s="51"/>
      <c r="U362" s="120">
        <v>0</v>
      </c>
      <c r="V362" s="888">
        <v>0</v>
      </c>
      <c r="W362" s="51"/>
      <c r="X362" s="1613">
        <f t="shared" si="27"/>
        <v>0</v>
      </c>
      <c r="Y362" s="1614">
        <f t="shared" si="29"/>
        <v>0</v>
      </c>
      <c r="Z362" s="43"/>
      <c r="AA362" s="1621">
        <f t="shared" si="26"/>
        <v>0</v>
      </c>
      <c r="AB362" s="43"/>
      <c r="AC362" s="43"/>
      <c r="AD362" s="43"/>
      <c r="AE362" s="43"/>
      <c r="AF362" s="43"/>
      <c r="AG362" s="43"/>
      <c r="AH362" s="43"/>
      <c r="AI362" s="43"/>
    </row>
    <row r="363" spans="1:35" ht="15.75">
      <c r="A363" s="88">
        <v>7485</v>
      </c>
      <c r="B363" s="1032" t="s">
        <v>765</v>
      </c>
      <c r="C363" s="1033"/>
      <c r="D363" s="1033"/>
      <c r="E363" s="1033"/>
      <c r="F363" s="1033"/>
      <c r="G363" s="1033"/>
      <c r="H363" s="1033"/>
      <c r="I363" s="1033"/>
      <c r="J363" s="1033"/>
      <c r="K363" s="1033"/>
      <c r="L363" s="90"/>
      <c r="M363" s="51" t="s">
        <v>265</v>
      </c>
      <c r="N363" s="113">
        <f t="shared" si="28"/>
        <v>7485</v>
      </c>
      <c r="O363" s="120">
        <v>0</v>
      </c>
      <c r="P363" s="888">
        <v>0</v>
      </c>
      <c r="Q363" s="51"/>
      <c r="R363" s="120">
        <v>0</v>
      </c>
      <c r="S363" s="888">
        <v>0</v>
      </c>
      <c r="T363" s="51"/>
      <c r="U363" s="120">
        <v>0</v>
      </c>
      <c r="V363" s="888">
        <v>0</v>
      </c>
      <c r="W363" s="51"/>
      <c r="X363" s="1613">
        <f t="shared" si="27"/>
        <v>0</v>
      </c>
      <c r="Y363" s="1614">
        <f t="shared" si="29"/>
        <v>0</v>
      </c>
      <c r="Z363" s="43"/>
      <c r="AA363" s="1621">
        <f t="shared" ref="AA363:AA426" si="30">+ROUND(+SUM(X363-Y363)-SUM(O363-P363)-SUM(R363-S363)-SUM(U363-V363),2)</f>
        <v>0</v>
      </c>
      <c r="AB363" s="43"/>
      <c r="AC363" s="43"/>
      <c r="AD363" s="43"/>
      <c r="AE363" s="43"/>
      <c r="AF363" s="43"/>
      <c r="AG363" s="43"/>
      <c r="AH363" s="43"/>
      <c r="AI363" s="43"/>
    </row>
    <row r="364" spans="1:35" ht="15.75">
      <c r="A364" s="88">
        <v>7486</v>
      </c>
      <c r="B364" s="1032" t="s">
        <v>766</v>
      </c>
      <c r="C364" s="1033"/>
      <c r="D364" s="1033"/>
      <c r="E364" s="1033"/>
      <c r="F364" s="1033"/>
      <c r="G364" s="1033"/>
      <c r="H364" s="1033"/>
      <c r="I364" s="1033"/>
      <c r="J364" s="1033"/>
      <c r="K364" s="1033"/>
      <c r="L364" s="90"/>
      <c r="M364" s="51" t="s">
        <v>265</v>
      </c>
      <c r="N364" s="113">
        <f t="shared" si="28"/>
        <v>7486</v>
      </c>
      <c r="O364" s="120">
        <v>0</v>
      </c>
      <c r="P364" s="888">
        <v>0</v>
      </c>
      <c r="Q364" s="51"/>
      <c r="R364" s="120">
        <v>0</v>
      </c>
      <c r="S364" s="888">
        <v>0</v>
      </c>
      <c r="T364" s="51"/>
      <c r="U364" s="120">
        <v>0</v>
      </c>
      <c r="V364" s="888">
        <v>0</v>
      </c>
      <c r="W364" s="51"/>
      <c r="X364" s="1613">
        <f t="shared" si="27"/>
        <v>0</v>
      </c>
      <c r="Y364" s="1614">
        <f t="shared" si="29"/>
        <v>0</v>
      </c>
      <c r="Z364" s="43"/>
      <c r="AA364" s="1621">
        <f t="shared" si="30"/>
        <v>0</v>
      </c>
      <c r="AB364" s="43"/>
      <c r="AC364" s="43"/>
      <c r="AD364" s="43"/>
      <c r="AE364" s="43"/>
      <c r="AF364" s="43"/>
      <c r="AG364" s="43"/>
      <c r="AH364" s="43"/>
      <c r="AI364" s="43"/>
    </row>
    <row r="365" spans="1:35" ht="15.75">
      <c r="A365" s="88">
        <v>7487</v>
      </c>
      <c r="B365" s="1032" t="s">
        <v>767</v>
      </c>
      <c r="C365" s="1033"/>
      <c r="D365" s="1033"/>
      <c r="E365" s="1033"/>
      <c r="F365" s="1033"/>
      <c r="G365" s="1033"/>
      <c r="H365" s="1033"/>
      <c r="I365" s="1033"/>
      <c r="J365" s="1033"/>
      <c r="K365" s="1033"/>
      <c r="L365" s="90"/>
      <c r="M365" s="51" t="s">
        <v>265</v>
      </c>
      <c r="N365" s="113">
        <f t="shared" si="28"/>
        <v>7487</v>
      </c>
      <c r="O365" s="120">
        <v>0</v>
      </c>
      <c r="P365" s="888">
        <v>0</v>
      </c>
      <c r="Q365" s="51"/>
      <c r="R365" s="120">
        <v>0</v>
      </c>
      <c r="S365" s="888">
        <v>0</v>
      </c>
      <c r="T365" s="51"/>
      <c r="U365" s="120">
        <v>0</v>
      </c>
      <c r="V365" s="888">
        <v>0</v>
      </c>
      <c r="W365" s="51"/>
      <c r="X365" s="1613">
        <f t="shared" ref="X365:X428" si="31">+ROUND(+O365+R365+U365,2)</f>
        <v>0</v>
      </c>
      <c r="Y365" s="1614">
        <f t="shared" si="29"/>
        <v>0</v>
      </c>
      <c r="Z365" s="43"/>
      <c r="AA365" s="1621">
        <f t="shared" si="30"/>
        <v>0</v>
      </c>
      <c r="AB365" s="43"/>
      <c r="AC365" s="43"/>
      <c r="AD365" s="43"/>
      <c r="AE365" s="43"/>
      <c r="AF365" s="43"/>
      <c r="AG365" s="43"/>
      <c r="AH365" s="43"/>
      <c r="AI365" s="43"/>
    </row>
    <row r="366" spans="1:35" ht="15.75">
      <c r="A366" s="88">
        <v>7488</v>
      </c>
      <c r="B366" s="1032" t="s">
        <v>768</v>
      </c>
      <c r="C366" s="1033"/>
      <c r="D366" s="1033"/>
      <c r="E366" s="1033"/>
      <c r="F366" s="1033"/>
      <c r="G366" s="1033"/>
      <c r="H366" s="1033"/>
      <c r="I366" s="1033"/>
      <c r="J366" s="1033"/>
      <c r="K366" s="1033"/>
      <c r="L366" s="90"/>
      <c r="M366" s="51" t="s">
        <v>265</v>
      </c>
      <c r="N366" s="113">
        <f t="shared" si="28"/>
        <v>7488</v>
      </c>
      <c r="O366" s="120">
        <v>0</v>
      </c>
      <c r="P366" s="888">
        <v>0</v>
      </c>
      <c r="Q366" s="51"/>
      <c r="R366" s="120">
        <v>0</v>
      </c>
      <c r="S366" s="888">
        <v>0</v>
      </c>
      <c r="T366" s="51"/>
      <c r="U366" s="120">
        <v>0</v>
      </c>
      <c r="V366" s="888">
        <v>0</v>
      </c>
      <c r="W366" s="51"/>
      <c r="X366" s="1613">
        <f t="shared" si="31"/>
        <v>0</v>
      </c>
      <c r="Y366" s="1614">
        <f t="shared" si="29"/>
        <v>0</v>
      </c>
      <c r="Z366" s="43"/>
      <c r="AA366" s="1621">
        <f t="shared" si="30"/>
        <v>0</v>
      </c>
      <c r="AB366" s="43"/>
      <c r="AC366" s="43"/>
      <c r="AD366" s="43"/>
      <c r="AE366" s="43"/>
      <c r="AF366" s="43"/>
      <c r="AG366" s="43"/>
      <c r="AH366" s="43"/>
      <c r="AI366" s="43"/>
    </row>
    <row r="367" spans="1:35" ht="15.75">
      <c r="A367" s="88">
        <v>7491</v>
      </c>
      <c r="B367" s="1033" t="s">
        <v>769</v>
      </c>
      <c r="C367" s="1033"/>
      <c r="D367" s="1033"/>
      <c r="E367" s="1033"/>
      <c r="F367" s="1033"/>
      <c r="G367" s="1033"/>
      <c r="H367" s="1033"/>
      <c r="I367" s="1033"/>
      <c r="J367" s="1033"/>
      <c r="K367" s="1033"/>
      <c r="L367" s="90"/>
      <c r="M367" s="51" t="s">
        <v>265</v>
      </c>
      <c r="N367" s="113">
        <f t="shared" si="28"/>
        <v>7491</v>
      </c>
      <c r="O367" s="120">
        <v>0</v>
      </c>
      <c r="P367" s="888">
        <v>0</v>
      </c>
      <c r="Q367" s="51"/>
      <c r="R367" s="120">
        <v>0</v>
      </c>
      <c r="S367" s="888">
        <v>0</v>
      </c>
      <c r="T367" s="51"/>
      <c r="U367" s="120">
        <v>0</v>
      </c>
      <c r="V367" s="888">
        <v>0</v>
      </c>
      <c r="W367" s="51"/>
      <c r="X367" s="1613">
        <f t="shared" si="31"/>
        <v>0</v>
      </c>
      <c r="Y367" s="1614">
        <f t="shared" si="29"/>
        <v>0</v>
      </c>
      <c r="Z367" s="43"/>
      <c r="AA367" s="1621">
        <f t="shared" si="30"/>
        <v>0</v>
      </c>
      <c r="AB367" s="43"/>
      <c r="AC367" s="43"/>
      <c r="AD367" s="43"/>
      <c r="AE367" s="43"/>
      <c r="AF367" s="43"/>
      <c r="AG367" s="43"/>
      <c r="AH367" s="43"/>
      <c r="AI367" s="43"/>
    </row>
    <row r="368" spans="1:35" ht="15.75">
      <c r="A368" s="88">
        <v>7492</v>
      </c>
      <c r="B368" s="1033" t="s">
        <v>770</v>
      </c>
      <c r="C368" s="1033"/>
      <c r="D368" s="1033"/>
      <c r="E368" s="1033"/>
      <c r="F368" s="1033"/>
      <c r="G368" s="1033"/>
      <c r="H368" s="1033"/>
      <c r="I368" s="1033"/>
      <c r="J368" s="1033"/>
      <c r="K368" s="1033"/>
      <c r="L368" s="90"/>
      <c r="M368" s="51" t="s">
        <v>265</v>
      </c>
      <c r="N368" s="113">
        <f t="shared" si="28"/>
        <v>7492</v>
      </c>
      <c r="O368" s="120">
        <v>0</v>
      </c>
      <c r="P368" s="888">
        <v>0</v>
      </c>
      <c r="Q368" s="51"/>
      <c r="R368" s="120">
        <v>0</v>
      </c>
      <c r="S368" s="888">
        <v>0</v>
      </c>
      <c r="T368" s="51"/>
      <c r="U368" s="120">
        <v>0</v>
      </c>
      <c r="V368" s="888">
        <v>0</v>
      </c>
      <c r="W368" s="51"/>
      <c r="X368" s="1613">
        <f t="shared" si="31"/>
        <v>0</v>
      </c>
      <c r="Y368" s="1614">
        <f t="shared" si="29"/>
        <v>0</v>
      </c>
      <c r="Z368" s="43"/>
      <c r="AA368" s="1621">
        <f t="shared" si="30"/>
        <v>0</v>
      </c>
      <c r="AB368" s="43"/>
      <c r="AC368" s="43"/>
      <c r="AD368" s="43"/>
      <c r="AE368" s="43"/>
      <c r="AF368" s="43"/>
      <c r="AG368" s="43"/>
      <c r="AH368" s="43"/>
      <c r="AI368" s="43"/>
    </row>
    <row r="369" spans="1:35" ht="15.75">
      <c r="A369" s="88">
        <v>7493</v>
      </c>
      <c r="B369" s="1033" t="s">
        <v>771</v>
      </c>
      <c r="C369" s="1033"/>
      <c r="D369" s="1033"/>
      <c r="E369" s="1033"/>
      <c r="F369" s="1033"/>
      <c r="G369" s="1033"/>
      <c r="H369" s="1033"/>
      <c r="I369" s="1033"/>
      <c r="J369" s="1033"/>
      <c r="K369" s="1033"/>
      <c r="L369" s="90"/>
      <c r="M369" s="51" t="s">
        <v>265</v>
      </c>
      <c r="N369" s="113">
        <f t="shared" si="28"/>
        <v>7493</v>
      </c>
      <c r="O369" s="120">
        <v>0</v>
      </c>
      <c r="P369" s="888">
        <v>0</v>
      </c>
      <c r="Q369" s="51"/>
      <c r="R369" s="120">
        <v>0</v>
      </c>
      <c r="S369" s="888">
        <v>0</v>
      </c>
      <c r="T369" s="51"/>
      <c r="U369" s="120">
        <v>0</v>
      </c>
      <c r="V369" s="888">
        <v>0</v>
      </c>
      <c r="W369" s="51"/>
      <c r="X369" s="1613">
        <f t="shared" si="31"/>
        <v>0</v>
      </c>
      <c r="Y369" s="1614">
        <f t="shared" si="29"/>
        <v>0</v>
      </c>
      <c r="Z369" s="43"/>
      <c r="AA369" s="1621">
        <f t="shared" si="30"/>
        <v>0</v>
      </c>
      <c r="AB369" s="43"/>
      <c r="AC369" s="43"/>
      <c r="AD369" s="43"/>
      <c r="AE369" s="43"/>
      <c r="AF369" s="43"/>
      <c r="AG369" s="43"/>
      <c r="AH369" s="43"/>
      <c r="AI369" s="43"/>
    </row>
    <row r="370" spans="1:35" ht="15.75">
      <c r="A370" s="88">
        <v>7494</v>
      </c>
      <c r="B370" s="1033" t="s">
        <v>772</v>
      </c>
      <c r="C370" s="1033"/>
      <c r="D370" s="1033"/>
      <c r="E370" s="1033"/>
      <c r="F370" s="1033"/>
      <c r="G370" s="1033"/>
      <c r="H370" s="1033"/>
      <c r="I370" s="1033"/>
      <c r="J370" s="1033"/>
      <c r="K370" s="1033"/>
      <c r="L370" s="90"/>
      <c r="M370" s="51" t="s">
        <v>265</v>
      </c>
      <c r="N370" s="113">
        <f t="shared" si="28"/>
        <v>7494</v>
      </c>
      <c r="O370" s="120">
        <v>0</v>
      </c>
      <c r="P370" s="888">
        <v>0</v>
      </c>
      <c r="Q370" s="51"/>
      <c r="R370" s="120">
        <v>0</v>
      </c>
      <c r="S370" s="888">
        <v>0</v>
      </c>
      <c r="T370" s="51"/>
      <c r="U370" s="120">
        <v>0</v>
      </c>
      <c r="V370" s="888">
        <v>0</v>
      </c>
      <c r="W370" s="51"/>
      <c r="X370" s="1613">
        <f t="shared" si="31"/>
        <v>0</v>
      </c>
      <c r="Y370" s="1614">
        <f t="shared" ref="Y370:Y433" si="32">+ROUND(+P370+S370+V370,2)</f>
        <v>0</v>
      </c>
      <c r="Z370" s="43"/>
      <c r="AA370" s="1621">
        <f t="shared" si="30"/>
        <v>0</v>
      </c>
      <c r="AB370" s="43"/>
      <c r="AC370" s="43"/>
      <c r="AD370" s="43"/>
      <c r="AE370" s="43"/>
      <c r="AF370" s="43"/>
      <c r="AG370" s="43"/>
      <c r="AH370" s="43"/>
      <c r="AI370" s="43"/>
    </row>
    <row r="371" spans="1:35" ht="15.75">
      <c r="A371" s="88">
        <v>7499</v>
      </c>
      <c r="B371" s="1033" t="s">
        <v>47</v>
      </c>
      <c r="C371" s="1033"/>
      <c r="D371" s="1033"/>
      <c r="E371" s="1033"/>
      <c r="F371" s="1033"/>
      <c r="G371" s="1033"/>
      <c r="H371" s="1033"/>
      <c r="I371" s="1033"/>
      <c r="J371" s="1033"/>
      <c r="K371" s="1033"/>
      <c r="L371" s="90"/>
      <c r="M371" s="51" t="s">
        <v>265</v>
      </c>
      <c r="N371" s="113">
        <f>+A371</f>
        <v>7499</v>
      </c>
      <c r="O371" s="120">
        <v>0</v>
      </c>
      <c r="P371" s="888">
        <v>0</v>
      </c>
      <c r="Q371" s="51"/>
      <c r="R371" s="120">
        <v>0</v>
      </c>
      <c r="S371" s="888">
        <v>0</v>
      </c>
      <c r="T371" s="51"/>
      <c r="U371" s="120">
        <v>0</v>
      </c>
      <c r="V371" s="888">
        <v>0</v>
      </c>
      <c r="W371" s="51"/>
      <c r="X371" s="1613">
        <f t="shared" si="31"/>
        <v>0</v>
      </c>
      <c r="Y371" s="1614">
        <f t="shared" si="32"/>
        <v>0</v>
      </c>
      <c r="Z371" s="43"/>
      <c r="AA371" s="1621">
        <f t="shared" si="30"/>
        <v>0</v>
      </c>
      <c r="AB371" s="43"/>
      <c r="AC371" s="43"/>
      <c r="AD371" s="43"/>
      <c r="AE371" s="43"/>
      <c r="AF371" s="43"/>
      <c r="AG371" s="43"/>
      <c r="AH371" s="43"/>
      <c r="AI371" s="43"/>
    </row>
    <row r="372" spans="1:35" ht="15.75">
      <c r="A372" s="88">
        <v>7500</v>
      </c>
      <c r="B372" s="378" t="s">
        <v>48</v>
      </c>
      <c r="C372" s="1033"/>
      <c r="D372" s="1033"/>
      <c r="E372" s="1033"/>
      <c r="F372" s="1033"/>
      <c r="G372" s="1033"/>
      <c r="H372" s="1033"/>
      <c r="I372" s="1033"/>
      <c r="J372" s="1033"/>
      <c r="K372" s="1033"/>
      <c r="L372" s="90"/>
      <c r="M372" s="51" t="s">
        <v>265</v>
      </c>
      <c r="N372" s="113">
        <f t="shared" si="28"/>
        <v>7500</v>
      </c>
      <c r="O372" s="120">
        <v>0</v>
      </c>
      <c r="P372" s="888">
        <v>0</v>
      </c>
      <c r="Q372" s="51"/>
      <c r="R372" s="120">
        <v>0</v>
      </c>
      <c r="S372" s="888">
        <v>0</v>
      </c>
      <c r="T372" s="51"/>
      <c r="U372" s="120">
        <v>0</v>
      </c>
      <c r="V372" s="888">
        <v>0</v>
      </c>
      <c r="W372" s="51"/>
      <c r="X372" s="1613">
        <f t="shared" si="31"/>
        <v>0</v>
      </c>
      <c r="Y372" s="1614">
        <f t="shared" si="32"/>
        <v>0</v>
      </c>
      <c r="Z372" s="43"/>
      <c r="AA372" s="1621">
        <f t="shared" si="30"/>
        <v>0</v>
      </c>
      <c r="AB372" s="43"/>
      <c r="AC372" s="43"/>
      <c r="AD372" s="43"/>
      <c r="AE372" s="43"/>
      <c r="AF372" s="43"/>
      <c r="AG372" s="43"/>
      <c r="AH372" s="43"/>
      <c r="AI372" s="43"/>
    </row>
    <row r="373" spans="1:35" ht="15.75">
      <c r="A373" s="88">
        <v>7501</v>
      </c>
      <c r="B373" s="378" t="s">
        <v>49</v>
      </c>
      <c r="C373" s="1033"/>
      <c r="D373" s="1033"/>
      <c r="E373" s="1033"/>
      <c r="F373" s="1033"/>
      <c r="G373" s="1033"/>
      <c r="H373" s="1033"/>
      <c r="I373" s="1033"/>
      <c r="J373" s="1033"/>
      <c r="K373" s="1033"/>
      <c r="L373" s="90"/>
      <c r="M373" s="51" t="s">
        <v>265</v>
      </c>
      <c r="N373" s="113">
        <f t="shared" si="28"/>
        <v>7501</v>
      </c>
      <c r="O373" s="120">
        <v>0</v>
      </c>
      <c r="P373" s="888">
        <v>1364703.95</v>
      </c>
      <c r="Q373" s="51"/>
      <c r="R373" s="120">
        <v>0</v>
      </c>
      <c r="S373" s="888">
        <v>0</v>
      </c>
      <c r="T373" s="51"/>
      <c r="U373" s="120">
        <v>0</v>
      </c>
      <c r="V373" s="888">
        <v>0</v>
      </c>
      <c r="W373" s="51"/>
      <c r="X373" s="1613">
        <f t="shared" si="31"/>
        <v>0</v>
      </c>
      <c r="Y373" s="1614">
        <f t="shared" si="32"/>
        <v>1364703.95</v>
      </c>
      <c r="Z373" s="43"/>
      <c r="AA373" s="1621">
        <f t="shared" si="30"/>
        <v>0</v>
      </c>
      <c r="AB373" s="43"/>
      <c r="AC373" s="43"/>
      <c r="AD373" s="43"/>
      <c r="AE373" s="43"/>
      <c r="AF373" s="43"/>
      <c r="AG373" s="43"/>
      <c r="AH373" s="43"/>
      <c r="AI373" s="43"/>
    </row>
    <row r="374" spans="1:35" ht="15.75">
      <c r="A374" s="88">
        <v>7502</v>
      </c>
      <c r="B374" s="378" t="s">
        <v>50</v>
      </c>
      <c r="C374" s="1033"/>
      <c r="D374" s="1033"/>
      <c r="E374" s="1033"/>
      <c r="F374" s="1033"/>
      <c r="G374" s="1033"/>
      <c r="H374" s="1033"/>
      <c r="I374" s="1033"/>
      <c r="J374" s="1033"/>
      <c r="K374" s="1033"/>
      <c r="L374" s="90"/>
      <c r="M374" s="51" t="s">
        <v>265</v>
      </c>
      <c r="N374" s="113">
        <f t="shared" si="28"/>
        <v>7502</v>
      </c>
      <c r="O374" s="120">
        <v>0</v>
      </c>
      <c r="P374" s="888">
        <v>0</v>
      </c>
      <c r="Q374" s="51"/>
      <c r="R374" s="120">
        <v>0</v>
      </c>
      <c r="S374" s="888">
        <v>0</v>
      </c>
      <c r="T374" s="51"/>
      <c r="U374" s="120">
        <v>0</v>
      </c>
      <c r="V374" s="888">
        <v>0</v>
      </c>
      <c r="W374" s="51"/>
      <c r="X374" s="1613">
        <f t="shared" si="31"/>
        <v>0</v>
      </c>
      <c r="Y374" s="1614">
        <f t="shared" si="32"/>
        <v>0</v>
      </c>
      <c r="Z374" s="43"/>
      <c r="AA374" s="1621">
        <f t="shared" si="30"/>
        <v>0</v>
      </c>
      <c r="AB374" s="43"/>
      <c r="AC374" s="43"/>
      <c r="AD374" s="43"/>
      <c r="AE374" s="43"/>
      <c r="AF374" s="43"/>
      <c r="AG374" s="43"/>
      <c r="AH374" s="43"/>
      <c r="AI374" s="43"/>
    </row>
    <row r="375" spans="1:35" ht="15.75">
      <c r="A375" s="88">
        <v>7511</v>
      </c>
      <c r="B375" s="1033" t="s">
        <v>302</v>
      </c>
      <c r="C375" s="1033"/>
      <c r="D375" s="1033"/>
      <c r="E375" s="1033"/>
      <c r="F375" s="1033"/>
      <c r="G375" s="1033"/>
      <c r="H375" s="1033"/>
      <c r="I375" s="1033"/>
      <c r="J375" s="1033"/>
      <c r="K375" s="1033"/>
      <c r="L375" s="90"/>
      <c r="M375" s="51" t="s">
        <v>265</v>
      </c>
      <c r="N375" s="113">
        <f t="shared" si="28"/>
        <v>7511</v>
      </c>
      <c r="O375" s="120">
        <v>0</v>
      </c>
      <c r="P375" s="888">
        <v>0</v>
      </c>
      <c r="Q375" s="51"/>
      <c r="R375" s="120">
        <v>0</v>
      </c>
      <c r="S375" s="888">
        <v>0</v>
      </c>
      <c r="T375" s="51"/>
      <c r="U375" s="120">
        <v>0</v>
      </c>
      <c r="V375" s="888">
        <v>0</v>
      </c>
      <c r="W375" s="51"/>
      <c r="X375" s="1613">
        <f t="shared" si="31"/>
        <v>0</v>
      </c>
      <c r="Y375" s="1614">
        <f t="shared" si="32"/>
        <v>0</v>
      </c>
      <c r="Z375" s="43"/>
      <c r="AA375" s="1621">
        <f t="shared" si="30"/>
        <v>0</v>
      </c>
      <c r="AB375" s="43"/>
      <c r="AC375" s="43"/>
      <c r="AD375" s="43"/>
      <c r="AE375" s="43"/>
      <c r="AF375" s="43"/>
      <c r="AG375" s="43"/>
      <c r="AH375" s="43"/>
      <c r="AI375" s="43"/>
    </row>
    <row r="376" spans="1:35" ht="15.75">
      <c r="A376" s="88">
        <v>7519</v>
      </c>
      <c r="B376" s="1033" t="s">
        <v>51</v>
      </c>
      <c r="C376" s="1033"/>
      <c r="D376" s="1033"/>
      <c r="E376" s="1033"/>
      <c r="F376" s="1033"/>
      <c r="G376" s="1033"/>
      <c r="H376" s="1033"/>
      <c r="I376" s="1033"/>
      <c r="J376" s="1033"/>
      <c r="K376" s="1033"/>
      <c r="L376" s="90"/>
      <c r="M376" s="51" t="s">
        <v>265</v>
      </c>
      <c r="N376" s="113">
        <f t="shared" si="28"/>
        <v>7519</v>
      </c>
      <c r="O376" s="120">
        <v>0</v>
      </c>
      <c r="P376" s="888">
        <v>0</v>
      </c>
      <c r="Q376" s="51"/>
      <c r="R376" s="120">
        <v>0</v>
      </c>
      <c r="S376" s="888">
        <v>0</v>
      </c>
      <c r="T376" s="51"/>
      <c r="U376" s="120">
        <v>0</v>
      </c>
      <c r="V376" s="888">
        <v>0</v>
      </c>
      <c r="W376" s="51"/>
      <c r="X376" s="1613">
        <f t="shared" si="31"/>
        <v>0</v>
      </c>
      <c r="Y376" s="1614">
        <f t="shared" si="32"/>
        <v>0</v>
      </c>
      <c r="Z376" s="43"/>
      <c r="AA376" s="1621">
        <f t="shared" si="30"/>
        <v>0</v>
      </c>
      <c r="AB376" s="43"/>
      <c r="AC376" s="43"/>
      <c r="AD376" s="43"/>
      <c r="AE376" s="43"/>
      <c r="AF376" s="43"/>
      <c r="AG376" s="43"/>
      <c r="AH376" s="43"/>
      <c r="AI376" s="43"/>
    </row>
    <row r="377" spans="1:35" ht="15.75">
      <c r="A377" s="88">
        <v>7522</v>
      </c>
      <c r="B377" s="1033" t="s">
        <v>52</v>
      </c>
      <c r="C377" s="1033"/>
      <c r="D377" s="1033"/>
      <c r="E377" s="1033"/>
      <c r="F377" s="1033"/>
      <c r="G377" s="1033"/>
      <c r="H377" s="1033"/>
      <c r="I377" s="1033"/>
      <c r="J377" s="1033"/>
      <c r="K377" s="1033"/>
      <c r="L377" s="90"/>
      <c r="M377" s="51" t="s">
        <v>265</v>
      </c>
      <c r="N377" s="113">
        <f t="shared" si="28"/>
        <v>7522</v>
      </c>
      <c r="O377" s="120">
        <v>0</v>
      </c>
      <c r="P377" s="888">
        <v>232653.75</v>
      </c>
      <c r="Q377" s="51"/>
      <c r="R377" s="120">
        <v>0</v>
      </c>
      <c r="S377" s="888">
        <v>0</v>
      </c>
      <c r="T377" s="51"/>
      <c r="U377" s="120">
        <v>0</v>
      </c>
      <c r="V377" s="888">
        <v>0</v>
      </c>
      <c r="W377" s="51"/>
      <c r="X377" s="1613">
        <f t="shared" si="31"/>
        <v>0</v>
      </c>
      <c r="Y377" s="1614">
        <f t="shared" si="32"/>
        <v>232653.75</v>
      </c>
      <c r="Z377" s="43"/>
      <c r="AA377" s="1621">
        <f t="shared" si="30"/>
        <v>0</v>
      </c>
      <c r="AB377" s="43"/>
      <c r="AC377" s="43"/>
      <c r="AD377" s="43"/>
      <c r="AE377" s="43"/>
      <c r="AF377" s="43"/>
      <c r="AG377" s="43"/>
      <c r="AH377" s="43"/>
      <c r="AI377" s="43"/>
    </row>
    <row r="378" spans="1:35" ht="15.75">
      <c r="A378" s="88">
        <v>7524</v>
      </c>
      <c r="B378" s="1033" t="s">
        <v>53</v>
      </c>
      <c r="C378" s="1033"/>
      <c r="D378" s="1033"/>
      <c r="E378" s="1033"/>
      <c r="F378" s="1033"/>
      <c r="G378" s="1033"/>
      <c r="H378" s="1033"/>
      <c r="I378" s="1033"/>
      <c r="J378" s="1033"/>
      <c r="K378" s="1033"/>
      <c r="L378" s="90"/>
      <c r="M378" s="51" t="s">
        <v>265</v>
      </c>
      <c r="N378" s="113">
        <f t="shared" si="28"/>
        <v>7524</v>
      </c>
      <c r="O378" s="120">
        <v>0</v>
      </c>
      <c r="P378" s="888">
        <v>0</v>
      </c>
      <c r="Q378" s="51"/>
      <c r="R378" s="120">
        <v>0</v>
      </c>
      <c r="S378" s="888">
        <v>0</v>
      </c>
      <c r="T378" s="51"/>
      <c r="U378" s="120">
        <v>0</v>
      </c>
      <c r="V378" s="888">
        <v>0</v>
      </c>
      <c r="W378" s="51"/>
      <c r="X378" s="1613">
        <f t="shared" si="31"/>
        <v>0</v>
      </c>
      <c r="Y378" s="1614">
        <f t="shared" si="32"/>
        <v>0</v>
      </c>
      <c r="Z378" s="43"/>
      <c r="AA378" s="1621">
        <f t="shared" si="30"/>
        <v>0</v>
      </c>
      <c r="AB378" s="43"/>
      <c r="AC378" s="43"/>
      <c r="AD378" s="43"/>
      <c r="AE378" s="43"/>
      <c r="AF378" s="43"/>
      <c r="AG378" s="43"/>
      <c r="AH378" s="43"/>
      <c r="AI378" s="43"/>
    </row>
    <row r="379" spans="1:35" ht="15.75">
      <c r="A379" s="88">
        <v>7525</v>
      </c>
      <c r="B379" s="1033" t="s">
        <v>54</v>
      </c>
      <c r="C379" s="1033"/>
      <c r="D379" s="1033"/>
      <c r="E379" s="1033"/>
      <c r="F379" s="1033"/>
      <c r="G379" s="1033"/>
      <c r="H379" s="1033"/>
      <c r="I379" s="1033"/>
      <c r="J379" s="1033"/>
      <c r="K379" s="1033"/>
      <c r="L379" s="90"/>
      <c r="M379" s="51" t="s">
        <v>265</v>
      </c>
      <c r="N379" s="113">
        <f>+A379</f>
        <v>7525</v>
      </c>
      <c r="O379" s="120">
        <v>0</v>
      </c>
      <c r="P379" s="888">
        <v>0</v>
      </c>
      <c r="Q379" s="51"/>
      <c r="R379" s="120">
        <v>0</v>
      </c>
      <c r="S379" s="888">
        <v>0</v>
      </c>
      <c r="T379" s="51"/>
      <c r="U379" s="120">
        <v>0</v>
      </c>
      <c r="V379" s="888">
        <v>0</v>
      </c>
      <c r="W379" s="51"/>
      <c r="X379" s="1613">
        <f t="shared" si="31"/>
        <v>0</v>
      </c>
      <c r="Y379" s="1614">
        <f t="shared" si="32"/>
        <v>0</v>
      </c>
      <c r="Z379" s="43"/>
      <c r="AA379" s="1621">
        <f t="shared" si="30"/>
        <v>0</v>
      </c>
      <c r="AB379" s="43"/>
      <c r="AC379" s="43"/>
      <c r="AD379" s="43"/>
      <c r="AE379" s="43"/>
      <c r="AF379" s="43"/>
      <c r="AG379" s="43"/>
      <c r="AH379" s="43"/>
      <c r="AI379" s="43"/>
    </row>
    <row r="380" spans="1:35" ht="15.75">
      <c r="A380" s="88">
        <v>7532</v>
      </c>
      <c r="B380" s="1033" t="s">
        <v>55</v>
      </c>
      <c r="C380" s="1033"/>
      <c r="D380" s="1033"/>
      <c r="E380" s="1033"/>
      <c r="F380" s="1033"/>
      <c r="G380" s="1033"/>
      <c r="H380" s="1033"/>
      <c r="I380" s="1033"/>
      <c r="J380" s="1033"/>
      <c r="K380" s="1033"/>
      <c r="L380" s="90"/>
      <c r="M380" s="51" t="s">
        <v>265</v>
      </c>
      <c r="N380" s="113">
        <f>+A380</f>
        <v>7532</v>
      </c>
      <c r="O380" s="120">
        <v>0</v>
      </c>
      <c r="P380" s="888">
        <v>0</v>
      </c>
      <c r="Q380" s="51"/>
      <c r="R380" s="120">
        <v>0</v>
      </c>
      <c r="S380" s="888">
        <v>0</v>
      </c>
      <c r="T380" s="51"/>
      <c r="U380" s="120">
        <v>0</v>
      </c>
      <c r="V380" s="888">
        <v>0</v>
      </c>
      <c r="W380" s="51"/>
      <c r="X380" s="1613">
        <f t="shared" si="31"/>
        <v>0</v>
      </c>
      <c r="Y380" s="1614">
        <f t="shared" si="32"/>
        <v>0</v>
      </c>
      <c r="Z380" s="43"/>
      <c r="AA380" s="1621">
        <f t="shared" si="30"/>
        <v>0</v>
      </c>
      <c r="AB380" s="43"/>
      <c r="AC380" s="43"/>
      <c r="AD380" s="43"/>
      <c r="AE380" s="43"/>
      <c r="AF380" s="43"/>
      <c r="AG380" s="43"/>
      <c r="AH380" s="43"/>
      <c r="AI380" s="43"/>
    </row>
    <row r="381" spans="1:35" ht="15.75">
      <c r="A381" s="88">
        <v>7534</v>
      </c>
      <c r="B381" s="1033" t="s">
        <v>56</v>
      </c>
      <c r="C381" s="1033"/>
      <c r="D381" s="1033"/>
      <c r="E381" s="1033"/>
      <c r="F381" s="1033"/>
      <c r="G381" s="1033"/>
      <c r="H381" s="1033"/>
      <c r="I381" s="1033"/>
      <c r="J381" s="1033"/>
      <c r="K381" s="1033"/>
      <c r="L381" s="90"/>
      <c r="M381" s="51" t="s">
        <v>265</v>
      </c>
      <c r="N381" s="113">
        <f>+A381</f>
        <v>7534</v>
      </c>
      <c r="O381" s="120">
        <v>0</v>
      </c>
      <c r="P381" s="888">
        <v>0</v>
      </c>
      <c r="Q381" s="51"/>
      <c r="R381" s="120">
        <v>0</v>
      </c>
      <c r="S381" s="888">
        <v>0</v>
      </c>
      <c r="T381" s="51"/>
      <c r="U381" s="120">
        <v>0</v>
      </c>
      <c r="V381" s="888">
        <v>0</v>
      </c>
      <c r="W381" s="51"/>
      <c r="X381" s="1613">
        <f t="shared" si="31"/>
        <v>0</v>
      </c>
      <c r="Y381" s="1614">
        <f t="shared" si="32"/>
        <v>0</v>
      </c>
      <c r="Z381" s="43"/>
      <c r="AA381" s="1621">
        <f t="shared" si="30"/>
        <v>0</v>
      </c>
      <c r="AB381" s="43"/>
      <c r="AC381" s="43"/>
      <c r="AD381" s="43"/>
      <c r="AE381" s="43"/>
      <c r="AF381" s="43"/>
      <c r="AG381" s="43"/>
      <c r="AH381" s="43"/>
      <c r="AI381" s="43"/>
    </row>
    <row r="382" spans="1:35" ht="15.75">
      <c r="A382" s="88">
        <v>7535</v>
      </c>
      <c r="B382" s="1033" t="s">
        <v>57</v>
      </c>
      <c r="C382" s="1033"/>
      <c r="D382" s="1033"/>
      <c r="E382" s="1033"/>
      <c r="F382" s="1033"/>
      <c r="G382" s="1033"/>
      <c r="H382" s="1033"/>
      <c r="I382" s="1033"/>
      <c r="J382" s="1033"/>
      <c r="K382" s="1033"/>
      <c r="L382" s="90"/>
      <c r="M382" s="51" t="s">
        <v>265</v>
      </c>
      <c r="N382" s="113">
        <f>+A382</f>
        <v>7535</v>
      </c>
      <c r="O382" s="120">
        <v>0</v>
      </c>
      <c r="P382" s="888">
        <v>0</v>
      </c>
      <c r="Q382" s="51"/>
      <c r="R382" s="120">
        <v>0</v>
      </c>
      <c r="S382" s="888">
        <v>0</v>
      </c>
      <c r="T382" s="51"/>
      <c r="U382" s="120">
        <v>0</v>
      </c>
      <c r="V382" s="888">
        <v>0</v>
      </c>
      <c r="W382" s="51"/>
      <c r="X382" s="1613">
        <f t="shared" si="31"/>
        <v>0</v>
      </c>
      <c r="Y382" s="1614">
        <f t="shared" si="32"/>
        <v>0</v>
      </c>
      <c r="Z382" s="43"/>
      <c r="AA382" s="1621">
        <f t="shared" si="30"/>
        <v>0</v>
      </c>
      <c r="AB382" s="43"/>
      <c r="AC382" s="43"/>
      <c r="AD382" s="43"/>
      <c r="AE382" s="43"/>
      <c r="AF382" s="43"/>
      <c r="AG382" s="43"/>
      <c r="AH382" s="43"/>
      <c r="AI382" s="43"/>
    </row>
    <row r="383" spans="1:35" ht="15.75">
      <c r="A383" s="88">
        <v>7582</v>
      </c>
      <c r="B383" s="1033" t="s">
        <v>58</v>
      </c>
      <c r="C383" s="1033"/>
      <c r="D383" s="1033"/>
      <c r="E383" s="1033"/>
      <c r="F383" s="1033"/>
      <c r="G383" s="1033"/>
      <c r="H383" s="1033"/>
      <c r="I383" s="1033"/>
      <c r="J383" s="1033"/>
      <c r="K383" s="1033"/>
      <c r="L383" s="90"/>
      <c r="M383" s="51" t="s">
        <v>265</v>
      </c>
      <c r="N383" s="113">
        <f t="shared" si="28"/>
        <v>7582</v>
      </c>
      <c r="O383" s="120">
        <v>0</v>
      </c>
      <c r="P383" s="888">
        <v>0</v>
      </c>
      <c r="Q383" s="51"/>
      <c r="R383" s="120">
        <v>0</v>
      </c>
      <c r="S383" s="888">
        <v>0</v>
      </c>
      <c r="T383" s="51"/>
      <c r="U383" s="120">
        <v>0</v>
      </c>
      <c r="V383" s="888">
        <v>0</v>
      </c>
      <c r="W383" s="51"/>
      <c r="X383" s="1613">
        <f t="shared" si="31"/>
        <v>0</v>
      </c>
      <c r="Y383" s="1614">
        <f t="shared" si="32"/>
        <v>0</v>
      </c>
      <c r="Z383" s="43"/>
      <c r="AA383" s="1621">
        <f t="shared" si="30"/>
        <v>0</v>
      </c>
      <c r="AB383" s="43"/>
      <c r="AC383" s="43"/>
      <c r="AD383" s="43"/>
      <c r="AE383" s="43"/>
      <c r="AF383" s="43"/>
      <c r="AG383" s="43"/>
      <c r="AH383" s="43"/>
      <c r="AI383" s="43"/>
    </row>
    <row r="384" spans="1:35" ht="15.75">
      <c r="A384" s="88">
        <v>7584</v>
      </c>
      <c r="B384" s="1033" t="s">
        <v>59</v>
      </c>
      <c r="C384" s="1033"/>
      <c r="D384" s="1033"/>
      <c r="E384" s="1033"/>
      <c r="F384" s="1033"/>
      <c r="G384" s="1033"/>
      <c r="H384" s="1033"/>
      <c r="I384" s="1033"/>
      <c r="J384" s="1033"/>
      <c r="K384" s="1033"/>
      <c r="L384" s="90"/>
      <c r="M384" s="51" t="s">
        <v>265</v>
      </c>
      <c r="N384" s="113">
        <f t="shared" si="28"/>
        <v>7584</v>
      </c>
      <c r="O384" s="120">
        <v>0</v>
      </c>
      <c r="P384" s="888">
        <v>0</v>
      </c>
      <c r="Q384" s="51"/>
      <c r="R384" s="120">
        <v>0</v>
      </c>
      <c r="S384" s="888">
        <v>0</v>
      </c>
      <c r="T384" s="51"/>
      <c r="U384" s="120">
        <v>0</v>
      </c>
      <c r="V384" s="888">
        <v>0</v>
      </c>
      <c r="W384" s="51"/>
      <c r="X384" s="1613">
        <f t="shared" si="31"/>
        <v>0</v>
      </c>
      <c r="Y384" s="1614">
        <f t="shared" si="32"/>
        <v>0</v>
      </c>
      <c r="Z384" s="43"/>
      <c r="AA384" s="1621">
        <f t="shared" si="30"/>
        <v>0</v>
      </c>
      <c r="AB384" s="43"/>
      <c r="AC384" s="43"/>
      <c r="AD384" s="43"/>
      <c r="AE384" s="43"/>
      <c r="AF384" s="43"/>
      <c r="AG384" s="43"/>
      <c r="AH384" s="43"/>
      <c r="AI384" s="43"/>
    </row>
    <row r="385" spans="1:35" ht="15.75">
      <c r="A385" s="88">
        <v>7585</v>
      </c>
      <c r="B385" s="1033" t="s">
        <v>60</v>
      </c>
      <c r="C385" s="1033"/>
      <c r="D385" s="1033"/>
      <c r="E385" s="1033"/>
      <c r="F385" s="1033"/>
      <c r="G385" s="1033"/>
      <c r="H385" s="1033"/>
      <c r="I385" s="1033"/>
      <c r="J385" s="1033"/>
      <c r="K385" s="1033"/>
      <c r="L385" s="90"/>
      <c r="M385" s="51" t="s">
        <v>265</v>
      </c>
      <c r="N385" s="113">
        <f t="shared" si="28"/>
        <v>7585</v>
      </c>
      <c r="O385" s="120">
        <v>0</v>
      </c>
      <c r="P385" s="888">
        <v>0</v>
      </c>
      <c r="Q385" s="51"/>
      <c r="R385" s="120">
        <v>0</v>
      </c>
      <c r="S385" s="888">
        <v>0</v>
      </c>
      <c r="T385" s="51"/>
      <c r="U385" s="120">
        <v>0</v>
      </c>
      <c r="V385" s="888">
        <v>0</v>
      </c>
      <c r="W385" s="51"/>
      <c r="X385" s="1613">
        <f t="shared" si="31"/>
        <v>0</v>
      </c>
      <c r="Y385" s="1614">
        <f t="shared" si="32"/>
        <v>0</v>
      </c>
      <c r="Z385" s="43"/>
      <c r="AA385" s="1621">
        <f t="shared" si="30"/>
        <v>0</v>
      </c>
      <c r="AB385" s="43"/>
      <c r="AC385" s="43"/>
      <c r="AD385" s="43"/>
      <c r="AE385" s="43"/>
      <c r="AF385" s="43"/>
      <c r="AG385" s="43"/>
      <c r="AH385" s="43"/>
      <c r="AI385" s="43"/>
    </row>
    <row r="386" spans="1:35" ht="15.75">
      <c r="A386" s="88">
        <v>7591</v>
      </c>
      <c r="B386" s="1042" t="s">
        <v>61</v>
      </c>
      <c r="C386" s="1051"/>
      <c r="D386" s="1051"/>
      <c r="E386" s="1051"/>
      <c r="F386" s="1051"/>
      <c r="G386" s="1051"/>
      <c r="H386" s="1051"/>
      <c r="I386" s="1051"/>
      <c r="J386" s="1051"/>
      <c r="K386" s="1051"/>
      <c r="L386" s="90"/>
      <c r="M386" s="51" t="s">
        <v>265</v>
      </c>
      <c r="N386" s="113">
        <f t="shared" si="28"/>
        <v>7591</v>
      </c>
      <c r="O386" s="120">
        <v>0</v>
      </c>
      <c r="P386" s="888">
        <v>0</v>
      </c>
      <c r="Q386" s="51"/>
      <c r="R386" s="120">
        <v>0</v>
      </c>
      <c r="S386" s="888">
        <v>0</v>
      </c>
      <c r="T386" s="51"/>
      <c r="U386" s="120">
        <v>0</v>
      </c>
      <c r="V386" s="888">
        <v>0</v>
      </c>
      <c r="W386" s="51"/>
      <c r="X386" s="1613">
        <f t="shared" si="31"/>
        <v>0</v>
      </c>
      <c r="Y386" s="1614">
        <f t="shared" si="32"/>
        <v>0</v>
      </c>
      <c r="Z386" s="43"/>
      <c r="AA386" s="1621">
        <f t="shared" si="30"/>
        <v>0</v>
      </c>
      <c r="AB386" s="43"/>
      <c r="AC386" s="43"/>
      <c r="AD386" s="43"/>
      <c r="AE386" s="43"/>
      <c r="AF386" s="43"/>
      <c r="AG386" s="43"/>
      <c r="AH386" s="43"/>
      <c r="AI386" s="43"/>
    </row>
    <row r="387" spans="1:35" ht="15.75">
      <c r="A387" s="88">
        <v>7595</v>
      </c>
      <c r="B387" s="1042" t="s">
        <v>62</v>
      </c>
      <c r="C387" s="1051"/>
      <c r="D387" s="1051"/>
      <c r="E387" s="1051"/>
      <c r="F387" s="1051"/>
      <c r="G387" s="1051"/>
      <c r="H387" s="1051"/>
      <c r="I387" s="1051"/>
      <c r="J387" s="1051"/>
      <c r="K387" s="1051"/>
      <c r="L387" s="90"/>
      <c r="M387" s="51" t="s">
        <v>265</v>
      </c>
      <c r="N387" s="113">
        <f t="shared" si="28"/>
        <v>7595</v>
      </c>
      <c r="O387" s="120">
        <v>0</v>
      </c>
      <c r="P387" s="888">
        <v>0</v>
      </c>
      <c r="Q387" s="51"/>
      <c r="R387" s="120">
        <v>0</v>
      </c>
      <c r="S387" s="888">
        <v>0</v>
      </c>
      <c r="T387" s="51"/>
      <c r="U387" s="120">
        <v>0</v>
      </c>
      <c r="V387" s="888">
        <v>0</v>
      </c>
      <c r="W387" s="51"/>
      <c r="X387" s="1613">
        <f t="shared" si="31"/>
        <v>0</v>
      </c>
      <c r="Y387" s="1614">
        <f t="shared" si="32"/>
        <v>0</v>
      </c>
      <c r="Z387" s="43"/>
      <c r="AA387" s="1621">
        <f t="shared" si="30"/>
        <v>0</v>
      </c>
      <c r="AB387" s="43"/>
      <c r="AC387" s="43"/>
      <c r="AD387" s="43"/>
      <c r="AE387" s="43"/>
      <c r="AF387" s="43"/>
      <c r="AG387" s="43"/>
      <c r="AH387" s="43"/>
      <c r="AI387" s="43"/>
    </row>
    <row r="388" spans="1:35" ht="15.75">
      <c r="A388" s="88">
        <v>7596</v>
      </c>
      <c r="B388" s="1042" t="s">
        <v>63</v>
      </c>
      <c r="C388" s="1051"/>
      <c r="D388" s="1051"/>
      <c r="E388" s="1051"/>
      <c r="F388" s="1051"/>
      <c r="G388" s="1051"/>
      <c r="H388" s="1051"/>
      <c r="I388" s="1051"/>
      <c r="J388" s="1051"/>
      <c r="K388" s="1051"/>
      <c r="L388" s="90"/>
      <c r="M388" s="51" t="s">
        <v>265</v>
      </c>
      <c r="N388" s="113">
        <f t="shared" si="28"/>
        <v>7596</v>
      </c>
      <c r="O388" s="120">
        <v>0</v>
      </c>
      <c r="P388" s="888">
        <v>0</v>
      </c>
      <c r="Q388" s="51"/>
      <c r="R388" s="120">
        <v>0</v>
      </c>
      <c r="S388" s="888">
        <v>0</v>
      </c>
      <c r="T388" s="51"/>
      <c r="U388" s="120">
        <v>0</v>
      </c>
      <c r="V388" s="888">
        <v>0</v>
      </c>
      <c r="W388" s="51"/>
      <c r="X388" s="1613">
        <f t="shared" si="31"/>
        <v>0</v>
      </c>
      <c r="Y388" s="1614">
        <f t="shared" si="32"/>
        <v>0</v>
      </c>
      <c r="Z388" s="43"/>
      <c r="AA388" s="1621">
        <f t="shared" si="30"/>
        <v>0</v>
      </c>
      <c r="AB388" s="43"/>
      <c r="AC388" s="43"/>
      <c r="AD388" s="43"/>
      <c r="AE388" s="43"/>
      <c r="AF388" s="43"/>
      <c r="AG388" s="43"/>
      <c r="AH388" s="43"/>
      <c r="AI388" s="43"/>
    </row>
    <row r="389" spans="1:35" ht="15.75" customHeight="1">
      <c r="A389" s="88">
        <v>7597</v>
      </c>
      <c r="B389" s="1042" t="s">
        <v>64</v>
      </c>
      <c r="C389" s="1042"/>
      <c r="D389" s="1042"/>
      <c r="E389" s="1042"/>
      <c r="F389" s="1042"/>
      <c r="G389" s="1042"/>
      <c r="H389" s="1042"/>
      <c r="I389" s="1042"/>
      <c r="J389" s="1042"/>
      <c r="K389" s="1042"/>
      <c r="L389" s="90"/>
      <c r="M389" s="51" t="s">
        <v>265</v>
      </c>
      <c r="N389" s="113">
        <f t="shared" si="28"/>
        <v>7597</v>
      </c>
      <c r="O389" s="120">
        <v>0</v>
      </c>
      <c r="P389" s="888">
        <v>0</v>
      </c>
      <c r="Q389" s="51"/>
      <c r="R389" s="120">
        <v>0</v>
      </c>
      <c r="S389" s="888">
        <v>0</v>
      </c>
      <c r="T389" s="51"/>
      <c r="U389" s="120">
        <v>0</v>
      </c>
      <c r="V389" s="888">
        <v>0</v>
      </c>
      <c r="W389" s="51"/>
      <c r="X389" s="1613">
        <f t="shared" si="31"/>
        <v>0</v>
      </c>
      <c r="Y389" s="1614">
        <f t="shared" si="32"/>
        <v>0</v>
      </c>
      <c r="Z389" s="43"/>
      <c r="AA389" s="1621">
        <f t="shared" si="30"/>
        <v>0</v>
      </c>
      <c r="AB389" s="43"/>
      <c r="AC389" s="43"/>
      <c r="AD389" s="43"/>
      <c r="AE389" s="43"/>
      <c r="AF389" s="43"/>
      <c r="AG389" s="43"/>
      <c r="AH389" s="43"/>
      <c r="AI389" s="43"/>
    </row>
    <row r="390" spans="1:35" ht="15.75">
      <c r="A390" s="88">
        <v>7598</v>
      </c>
      <c r="B390" s="1042" t="s">
        <v>65</v>
      </c>
      <c r="C390" s="1051"/>
      <c r="D390" s="1051"/>
      <c r="E390" s="1051"/>
      <c r="F390" s="1051"/>
      <c r="G390" s="1051"/>
      <c r="H390" s="1051"/>
      <c r="I390" s="1051"/>
      <c r="J390" s="1051"/>
      <c r="K390" s="1051"/>
      <c r="L390" s="90"/>
      <c r="M390" s="51" t="s">
        <v>265</v>
      </c>
      <c r="N390" s="113">
        <f t="shared" si="28"/>
        <v>7598</v>
      </c>
      <c r="O390" s="120">
        <v>0</v>
      </c>
      <c r="P390" s="888">
        <v>0</v>
      </c>
      <c r="Q390" s="51"/>
      <c r="R390" s="120">
        <v>0</v>
      </c>
      <c r="S390" s="888">
        <v>0</v>
      </c>
      <c r="T390" s="51"/>
      <c r="U390" s="120">
        <v>0</v>
      </c>
      <c r="V390" s="888">
        <v>0</v>
      </c>
      <c r="W390" s="51"/>
      <c r="X390" s="1613">
        <f t="shared" si="31"/>
        <v>0</v>
      </c>
      <c r="Y390" s="1614">
        <f t="shared" si="32"/>
        <v>0</v>
      </c>
      <c r="Z390" s="43"/>
      <c r="AA390" s="1621">
        <f t="shared" si="30"/>
        <v>0</v>
      </c>
      <c r="AB390" s="43"/>
      <c r="AC390" s="43"/>
      <c r="AD390" s="43"/>
      <c r="AE390" s="43"/>
      <c r="AF390" s="43"/>
      <c r="AG390" s="43"/>
      <c r="AH390" s="43"/>
      <c r="AI390" s="43"/>
    </row>
    <row r="391" spans="1:35" ht="15.75">
      <c r="A391" s="88">
        <v>7599</v>
      </c>
      <c r="B391" s="1042" t="s">
        <v>66</v>
      </c>
      <c r="C391" s="1051"/>
      <c r="D391" s="1051"/>
      <c r="E391" s="1051"/>
      <c r="F391" s="1051"/>
      <c r="G391" s="1051"/>
      <c r="H391" s="1051"/>
      <c r="I391" s="1051"/>
      <c r="J391" s="1051"/>
      <c r="K391" s="1051"/>
      <c r="L391" s="90"/>
      <c r="M391" s="51" t="s">
        <v>265</v>
      </c>
      <c r="N391" s="113">
        <f t="shared" si="28"/>
        <v>7599</v>
      </c>
      <c r="O391" s="120">
        <v>0</v>
      </c>
      <c r="P391" s="888">
        <v>0</v>
      </c>
      <c r="Q391" s="51"/>
      <c r="R391" s="120">
        <v>0</v>
      </c>
      <c r="S391" s="888">
        <v>0</v>
      </c>
      <c r="T391" s="51"/>
      <c r="U391" s="120">
        <v>0</v>
      </c>
      <c r="V391" s="888">
        <v>0</v>
      </c>
      <c r="W391" s="51"/>
      <c r="X391" s="1613">
        <f t="shared" si="31"/>
        <v>0</v>
      </c>
      <c r="Y391" s="1614">
        <f t="shared" si="32"/>
        <v>0</v>
      </c>
      <c r="Z391" s="43"/>
      <c r="AA391" s="1621">
        <f t="shared" si="30"/>
        <v>0</v>
      </c>
      <c r="AB391" s="43"/>
      <c r="AC391" s="43"/>
      <c r="AD391" s="43"/>
      <c r="AE391" s="43"/>
      <c r="AF391" s="43"/>
      <c r="AG391" s="43"/>
      <c r="AH391" s="43"/>
      <c r="AI391" s="43"/>
    </row>
    <row r="392" spans="1:35" ht="15.75">
      <c r="A392" s="88">
        <v>7600</v>
      </c>
      <c r="B392" s="1045" t="s">
        <v>2192</v>
      </c>
      <c r="C392" s="1035"/>
      <c r="D392" s="1035"/>
      <c r="E392" s="1035"/>
      <c r="F392" s="1035"/>
      <c r="G392" s="1035"/>
      <c r="H392" s="1035"/>
      <c r="I392" s="1035"/>
      <c r="J392" s="1035"/>
      <c r="K392" s="1035"/>
      <c r="L392" s="90"/>
      <c r="M392" s="51" t="s">
        <v>265</v>
      </c>
      <c r="N392" s="113">
        <f t="shared" si="28"/>
        <v>7600</v>
      </c>
      <c r="O392" s="120">
        <v>0</v>
      </c>
      <c r="P392" s="888">
        <v>0</v>
      </c>
      <c r="Q392" s="51"/>
      <c r="R392" s="120">
        <v>0</v>
      </c>
      <c r="S392" s="888">
        <v>0</v>
      </c>
      <c r="T392" s="51"/>
      <c r="U392" s="120">
        <v>0</v>
      </c>
      <c r="V392" s="888">
        <v>0</v>
      </c>
      <c r="W392" s="51"/>
      <c r="X392" s="1613">
        <f t="shared" si="31"/>
        <v>0</v>
      </c>
      <c r="Y392" s="1614">
        <f t="shared" si="32"/>
        <v>0</v>
      </c>
      <c r="Z392" s="43"/>
      <c r="AA392" s="1621">
        <f t="shared" si="30"/>
        <v>0</v>
      </c>
      <c r="AB392" s="43"/>
      <c r="AC392" s="43"/>
      <c r="AD392" s="43"/>
      <c r="AE392" s="43"/>
      <c r="AF392" s="43"/>
      <c r="AG392" s="43"/>
      <c r="AH392" s="43"/>
      <c r="AI392" s="43"/>
    </row>
    <row r="393" spans="1:35" ht="15.75" customHeight="1">
      <c r="A393" s="88">
        <v>7601</v>
      </c>
      <c r="B393" s="2417" t="s">
        <v>2193</v>
      </c>
      <c r="C393" s="2418"/>
      <c r="D393" s="2418"/>
      <c r="E393" s="2418"/>
      <c r="F393" s="2418"/>
      <c r="G393" s="2418"/>
      <c r="H393" s="2418"/>
      <c r="I393" s="2418"/>
      <c r="J393" s="2418"/>
      <c r="K393" s="1035"/>
      <c r="L393" s="90"/>
      <c r="M393" s="51" t="s">
        <v>265</v>
      </c>
      <c r="N393" s="113">
        <f t="shared" si="28"/>
        <v>7601</v>
      </c>
      <c r="O393" s="120">
        <v>0</v>
      </c>
      <c r="P393" s="888">
        <v>0</v>
      </c>
      <c r="Q393" s="51"/>
      <c r="R393" s="120">
        <v>0</v>
      </c>
      <c r="S393" s="888">
        <v>0</v>
      </c>
      <c r="T393" s="51"/>
      <c r="U393" s="120">
        <v>0</v>
      </c>
      <c r="V393" s="888">
        <v>0</v>
      </c>
      <c r="W393" s="51"/>
      <c r="X393" s="1613">
        <f t="shared" si="31"/>
        <v>0</v>
      </c>
      <c r="Y393" s="1614">
        <f t="shared" si="32"/>
        <v>0</v>
      </c>
      <c r="Z393" s="43"/>
      <c r="AA393" s="1621">
        <f t="shared" si="30"/>
        <v>0</v>
      </c>
      <c r="AB393" s="43"/>
      <c r="AC393" s="43"/>
      <c r="AD393" s="43"/>
      <c r="AE393" s="43"/>
      <c r="AF393" s="43"/>
      <c r="AG393" s="43"/>
      <c r="AH393" s="43"/>
      <c r="AI393" s="43"/>
    </row>
    <row r="394" spans="1:35" ht="15.75">
      <c r="A394" s="88">
        <v>7602</v>
      </c>
      <c r="B394" s="1045" t="s">
        <v>2194</v>
      </c>
      <c r="C394" s="1035"/>
      <c r="D394" s="1035"/>
      <c r="E394" s="1035"/>
      <c r="F394" s="1035"/>
      <c r="G394" s="1035"/>
      <c r="H394" s="1035"/>
      <c r="I394" s="1035"/>
      <c r="J394" s="1035"/>
      <c r="K394" s="1035"/>
      <c r="L394" s="90"/>
      <c r="M394" s="51" t="s">
        <v>265</v>
      </c>
      <c r="N394" s="113">
        <f t="shared" si="28"/>
        <v>7602</v>
      </c>
      <c r="O394" s="120">
        <v>0</v>
      </c>
      <c r="P394" s="888">
        <v>0</v>
      </c>
      <c r="Q394" s="51"/>
      <c r="R394" s="120">
        <v>0</v>
      </c>
      <c r="S394" s="888">
        <v>0</v>
      </c>
      <c r="T394" s="51"/>
      <c r="U394" s="120">
        <v>0</v>
      </c>
      <c r="V394" s="888">
        <v>0</v>
      </c>
      <c r="W394" s="51"/>
      <c r="X394" s="1613">
        <f t="shared" si="31"/>
        <v>0</v>
      </c>
      <c r="Y394" s="1614">
        <f t="shared" si="32"/>
        <v>0</v>
      </c>
      <c r="Z394" s="43"/>
      <c r="AA394" s="1621">
        <f t="shared" si="30"/>
        <v>0</v>
      </c>
      <c r="AB394" s="43"/>
      <c r="AC394" s="43"/>
      <c r="AD394" s="43"/>
      <c r="AE394" s="43"/>
      <c r="AF394" s="43"/>
      <c r="AG394" s="43"/>
      <c r="AH394" s="43"/>
      <c r="AI394" s="43"/>
    </row>
    <row r="395" spans="1:35" ht="15.75" customHeight="1">
      <c r="A395" s="88">
        <v>7603</v>
      </c>
      <c r="B395" s="2417" t="s">
        <v>2195</v>
      </c>
      <c r="C395" s="2419"/>
      <c r="D395" s="2419"/>
      <c r="E395" s="2419"/>
      <c r="F395" s="2419"/>
      <c r="G395" s="2419"/>
      <c r="H395" s="2419"/>
      <c r="I395" s="2419"/>
      <c r="J395" s="2419"/>
      <c r="K395" s="2419"/>
      <c r="L395" s="90"/>
      <c r="M395" s="51" t="s">
        <v>265</v>
      </c>
      <c r="N395" s="113">
        <f>+A395</f>
        <v>7603</v>
      </c>
      <c r="O395" s="120">
        <v>0</v>
      </c>
      <c r="P395" s="888">
        <v>0</v>
      </c>
      <c r="Q395" s="51"/>
      <c r="R395" s="120">
        <v>0</v>
      </c>
      <c r="S395" s="888">
        <v>0</v>
      </c>
      <c r="T395" s="51"/>
      <c r="U395" s="120">
        <v>0</v>
      </c>
      <c r="V395" s="888">
        <v>0</v>
      </c>
      <c r="W395" s="51"/>
      <c r="X395" s="1613">
        <f t="shared" si="31"/>
        <v>0</v>
      </c>
      <c r="Y395" s="1614">
        <f t="shared" si="32"/>
        <v>0</v>
      </c>
      <c r="Z395" s="43"/>
      <c r="AA395" s="1621">
        <f t="shared" si="30"/>
        <v>0</v>
      </c>
      <c r="AB395" s="43"/>
      <c r="AC395" s="43"/>
      <c r="AD395" s="43"/>
      <c r="AE395" s="43"/>
      <c r="AF395" s="43"/>
      <c r="AG395" s="43"/>
      <c r="AH395" s="43"/>
      <c r="AI395" s="43"/>
    </row>
    <row r="396" spans="1:35" ht="15.75">
      <c r="A396" s="88">
        <v>7609</v>
      </c>
      <c r="B396" s="1042" t="s">
        <v>67</v>
      </c>
      <c r="C396" s="1051"/>
      <c r="D396" s="1051"/>
      <c r="E396" s="1051"/>
      <c r="F396" s="1051"/>
      <c r="G396" s="1051"/>
      <c r="H396" s="1051"/>
      <c r="I396" s="1051"/>
      <c r="J396" s="1051"/>
      <c r="K396" s="1051"/>
      <c r="L396" s="90"/>
      <c r="M396" s="51" t="s">
        <v>265</v>
      </c>
      <c r="N396" s="113">
        <f>+A396</f>
        <v>7609</v>
      </c>
      <c r="O396" s="954">
        <v>0</v>
      </c>
      <c r="P396" s="890">
        <v>0</v>
      </c>
      <c r="Q396" s="51"/>
      <c r="R396" s="604">
        <v>0</v>
      </c>
      <c r="S396" s="605">
        <v>0</v>
      </c>
      <c r="T396" s="51"/>
      <c r="U396" s="120">
        <v>0</v>
      </c>
      <c r="V396" s="888">
        <v>622.45000000000005</v>
      </c>
      <c r="W396" s="51"/>
      <c r="X396" s="1613">
        <f t="shared" si="31"/>
        <v>0</v>
      </c>
      <c r="Y396" s="1614">
        <f t="shared" si="32"/>
        <v>622.45000000000005</v>
      </c>
      <c r="Z396" s="43"/>
      <c r="AA396" s="1621">
        <f t="shared" si="30"/>
        <v>0</v>
      </c>
      <c r="AB396" s="43"/>
      <c r="AC396" s="43"/>
      <c r="AD396" s="43"/>
      <c r="AE396" s="43"/>
      <c r="AF396" s="43"/>
      <c r="AG396" s="43"/>
      <c r="AH396" s="43"/>
      <c r="AI396" s="43"/>
    </row>
    <row r="397" spans="1:35" ht="15.75">
      <c r="A397" s="88">
        <v>7612</v>
      </c>
      <c r="B397" s="1033" t="s">
        <v>68</v>
      </c>
      <c r="C397" s="1033"/>
      <c r="D397" s="1033"/>
      <c r="E397" s="1033"/>
      <c r="F397" s="1033"/>
      <c r="G397" s="1033"/>
      <c r="H397" s="1033"/>
      <c r="I397" s="1033"/>
      <c r="J397" s="1033"/>
      <c r="K397" s="1033"/>
      <c r="L397" s="90"/>
      <c r="M397" s="51" t="s">
        <v>265</v>
      </c>
      <c r="N397" s="113">
        <f t="shared" si="28"/>
        <v>7612</v>
      </c>
      <c r="O397" s="120">
        <v>0</v>
      </c>
      <c r="P397" s="888">
        <v>0</v>
      </c>
      <c r="Q397" s="51"/>
      <c r="R397" s="581">
        <v>0</v>
      </c>
      <c r="S397" s="891">
        <v>0</v>
      </c>
      <c r="T397" s="51"/>
      <c r="U397" s="120">
        <v>0</v>
      </c>
      <c r="V397" s="888">
        <v>0</v>
      </c>
      <c r="W397" s="51"/>
      <c r="X397" s="1613">
        <f t="shared" si="31"/>
        <v>0</v>
      </c>
      <c r="Y397" s="1614">
        <f t="shared" si="32"/>
        <v>0</v>
      </c>
      <c r="Z397" s="43"/>
      <c r="AA397" s="1621">
        <f t="shared" si="30"/>
        <v>0</v>
      </c>
      <c r="AB397" s="43"/>
      <c r="AC397" s="43"/>
      <c r="AD397" s="43"/>
      <c r="AE397" s="43"/>
      <c r="AF397" s="43"/>
      <c r="AG397" s="43"/>
      <c r="AH397" s="43"/>
      <c r="AI397" s="43"/>
    </row>
    <row r="398" spans="1:35" ht="15.75">
      <c r="A398" s="88">
        <v>7613</v>
      </c>
      <c r="B398" s="1042" t="s">
        <v>69</v>
      </c>
      <c r="C398" s="1051"/>
      <c r="D398" s="1051"/>
      <c r="E398" s="1051"/>
      <c r="F398" s="1051"/>
      <c r="G398" s="1051"/>
      <c r="H398" s="1051"/>
      <c r="I398" s="1051"/>
      <c r="J398" s="1051"/>
      <c r="K398" s="1051"/>
      <c r="L398" s="90"/>
      <c r="M398" s="51" t="s">
        <v>265</v>
      </c>
      <c r="N398" s="113">
        <f t="shared" si="28"/>
        <v>7613</v>
      </c>
      <c r="O398" s="120">
        <v>0</v>
      </c>
      <c r="P398" s="888">
        <v>0</v>
      </c>
      <c r="Q398" s="51"/>
      <c r="R398" s="581">
        <v>0</v>
      </c>
      <c r="S398" s="891">
        <v>0</v>
      </c>
      <c r="T398" s="51"/>
      <c r="U398" s="120">
        <v>0</v>
      </c>
      <c r="V398" s="888">
        <v>0</v>
      </c>
      <c r="W398" s="51"/>
      <c r="X398" s="1613">
        <f t="shared" si="31"/>
        <v>0</v>
      </c>
      <c r="Y398" s="1614">
        <f t="shared" si="32"/>
        <v>0</v>
      </c>
      <c r="Z398" s="43"/>
      <c r="AA398" s="1621">
        <f t="shared" si="30"/>
        <v>0</v>
      </c>
      <c r="AB398" s="43"/>
      <c r="AC398" s="43"/>
      <c r="AD398" s="43"/>
      <c r="AE398" s="43"/>
      <c r="AF398" s="43"/>
      <c r="AG398" s="43"/>
      <c r="AH398" s="43"/>
      <c r="AI398" s="43"/>
    </row>
    <row r="399" spans="1:35" ht="15.75">
      <c r="A399" s="88">
        <v>7614</v>
      </c>
      <c r="B399" s="1042" t="s">
        <v>70</v>
      </c>
      <c r="C399" s="1051"/>
      <c r="D399" s="1051"/>
      <c r="E399" s="1051"/>
      <c r="F399" s="1051"/>
      <c r="G399" s="1051"/>
      <c r="H399" s="1051"/>
      <c r="I399" s="1051"/>
      <c r="J399" s="1051"/>
      <c r="K399" s="1051"/>
      <c r="L399" s="90"/>
      <c r="M399" s="51" t="s">
        <v>265</v>
      </c>
      <c r="N399" s="113">
        <f t="shared" si="28"/>
        <v>7614</v>
      </c>
      <c r="O399" s="120">
        <v>0</v>
      </c>
      <c r="P399" s="888">
        <v>0</v>
      </c>
      <c r="Q399" s="51"/>
      <c r="R399" s="581">
        <v>0</v>
      </c>
      <c r="S399" s="891">
        <v>0</v>
      </c>
      <c r="T399" s="51"/>
      <c r="U399" s="120">
        <v>0</v>
      </c>
      <c r="V399" s="888">
        <v>0</v>
      </c>
      <c r="W399" s="51"/>
      <c r="X399" s="1613">
        <f t="shared" si="31"/>
        <v>0</v>
      </c>
      <c r="Y399" s="1614">
        <f t="shared" si="32"/>
        <v>0</v>
      </c>
      <c r="Z399" s="43"/>
      <c r="AA399" s="1621">
        <f t="shared" si="30"/>
        <v>0</v>
      </c>
      <c r="AB399" s="43"/>
      <c r="AC399" s="43"/>
      <c r="AD399" s="43"/>
      <c r="AE399" s="43"/>
      <c r="AF399" s="43"/>
      <c r="AG399" s="43"/>
      <c r="AH399" s="43"/>
      <c r="AI399" s="43"/>
    </row>
    <row r="400" spans="1:35" ht="15.75">
      <c r="A400" s="88">
        <v>7615</v>
      </c>
      <c r="B400" s="1042" t="s">
        <v>71</v>
      </c>
      <c r="C400" s="1051"/>
      <c r="D400" s="1051"/>
      <c r="E400" s="1051"/>
      <c r="F400" s="1051"/>
      <c r="G400" s="1051"/>
      <c r="H400" s="1051"/>
      <c r="I400" s="1051"/>
      <c r="J400" s="1051"/>
      <c r="K400" s="1051"/>
      <c r="L400" s="90"/>
      <c r="M400" s="51" t="s">
        <v>265</v>
      </c>
      <c r="N400" s="113">
        <f t="shared" si="28"/>
        <v>7615</v>
      </c>
      <c r="O400" s="120">
        <v>0</v>
      </c>
      <c r="P400" s="888">
        <v>0</v>
      </c>
      <c r="Q400" s="51"/>
      <c r="R400" s="581">
        <v>0</v>
      </c>
      <c r="S400" s="891">
        <v>0</v>
      </c>
      <c r="T400" s="51"/>
      <c r="U400" s="120">
        <v>0</v>
      </c>
      <c r="V400" s="888">
        <v>0</v>
      </c>
      <c r="W400" s="51"/>
      <c r="X400" s="1613">
        <f t="shared" si="31"/>
        <v>0</v>
      </c>
      <c r="Y400" s="1614">
        <f t="shared" si="32"/>
        <v>0</v>
      </c>
      <c r="Z400" s="43"/>
      <c r="AA400" s="1621">
        <f t="shared" si="30"/>
        <v>0</v>
      </c>
      <c r="AB400" s="43"/>
      <c r="AC400" s="43"/>
      <c r="AD400" s="43"/>
      <c r="AE400" s="43"/>
      <c r="AF400" s="43"/>
      <c r="AG400" s="43"/>
      <c r="AH400" s="43"/>
      <c r="AI400" s="43"/>
    </row>
    <row r="401" spans="1:35" ht="15.75">
      <c r="A401" s="88">
        <v>7617</v>
      </c>
      <c r="B401" s="1033" t="s">
        <v>72</v>
      </c>
      <c r="C401" s="1033"/>
      <c r="D401" s="1033"/>
      <c r="E401" s="1033"/>
      <c r="F401" s="1033"/>
      <c r="G401" s="1033"/>
      <c r="H401" s="1033"/>
      <c r="I401" s="1033"/>
      <c r="J401" s="1033"/>
      <c r="K401" s="1033"/>
      <c r="L401" s="90"/>
      <c r="M401" s="51" t="s">
        <v>265</v>
      </c>
      <c r="N401" s="113">
        <f t="shared" si="28"/>
        <v>7617</v>
      </c>
      <c r="O401" s="120">
        <v>0</v>
      </c>
      <c r="P401" s="888">
        <v>0</v>
      </c>
      <c r="Q401" s="51"/>
      <c r="R401" s="581">
        <v>0</v>
      </c>
      <c r="S401" s="891">
        <v>0</v>
      </c>
      <c r="T401" s="51"/>
      <c r="U401" s="120">
        <v>0</v>
      </c>
      <c r="V401" s="888">
        <v>0</v>
      </c>
      <c r="W401" s="51"/>
      <c r="X401" s="1613">
        <f t="shared" si="31"/>
        <v>0</v>
      </c>
      <c r="Y401" s="1614">
        <f t="shared" si="32"/>
        <v>0</v>
      </c>
      <c r="Z401" s="43"/>
      <c r="AA401" s="1621">
        <f t="shared" si="30"/>
        <v>0</v>
      </c>
      <c r="AB401" s="43"/>
      <c r="AC401" s="43"/>
      <c r="AD401" s="43"/>
      <c r="AE401" s="43"/>
      <c r="AF401" s="43"/>
      <c r="AG401" s="43"/>
      <c r="AH401" s="43"/>
      <c r="AI401" s="43"/>
    </row>
    <row r="402" spans="1:35" ht="15.75">
      <c r="A402" s="88">
        <v>7618</v>
      </c>
      <c r="B402" s="1033" t="s">
        <v>73</v>
      </c>
      <c r="C402" s="1033"/>
      <c r="D402" s="1033"/>
      <c r="E402" s="1033"/>
      <c r="F402" s="1033"/>
      <c r="G402" s="1033"/>
      <c r="H402" s="1033"/>
      <c r="I402" s="1033"/>
      <c r="J402" s="1033"/>
      <c r="K402" s="1033"/>
      <c r="L402" s="90"/>
      <c r="M402" s="51" t="s">
        <v>265</v>
      </c>
      <c r="N402" s="113">
        <f t="shared" si="28"/>
        <v>7618</v>
      </c>
      <c r="O402" s="120">
        <v>0</v>
      </c>
      <c r="P402" s="888">
        <v>0</v>
      </c>
      <c r="Q402" s="51"/>
      <c r="R402" s="581">
        <v>0</v>
      </c>
      <c r="S402" s="891">
        <v>0</v>
      </c>
      <c r="T402" s="51"/>
      <c r="U402" s="120">
        <v>0</v>
      </c>
      <c r="V402" s="888">
        <v>0</v>
      </c>
      <c r="W402" s="51"/>
      <c r="X402" s="1613">
        <f t="shared" si="31"/>
        <v>0</v>
      </c>
      <c r="Y402" s="1614">
        <f t="shared" si="32"/>
        <v>0</v>
      </c>
      <c r="Z402" s="43"/>
      <c r="AA402" s="1621">
        <f t="shared" si="30"/>
        <v>0</v>
      </c>
      <c r="AB402" s="43"/>
      <c r="AC402" s="43"/>
      <c r="AD402" s="43"/>
      <c r="AE402" s="43"/>
      <c r="AF402" s="43"/>
      <c r="AG402" s="43"/>
      <c r="AH402" s="43"/>
      <c r="AI402" s="43"/>
    </row>
    <row r="403" spans="1:35" ht="15.75">
      <c r="A403" s="88">
        <v>7642</v>
      </c>
      <c r="B403" s="1033" t="s">
        <v>74</v>
      </c>
      <c r="C403" s="1033"/>
      <c r="D403" s="1033"/>
      <c r="E403" s="1033"/>
      <c r="F403" s="1033"/>
      <c r="G403" s="1033"/>
      <c r="H403" s="1033"/>
      <c r="I403" s="1033"/>
      <c r="J403" s="1033"/>
      <c r="K403" s="1033"/>
      <c r="L403" s="90"/>
      <c r="M403" s="51" t="s">
        <v>265</v>
      </c>
      <c r="N403" s="113">
        <f t="shared" ref="N403:N461" si="33">+A403</f>
        <v>7642</v>
      </c>
      <c r="O403" s="120">
        <v>0</v>
      </c>
      <c r="P403" s="888">
        <v>0</v>
      </c>
      <c r="Q403" s="51"/>
      <c r="R403" s="581">
        <v>0</v>
      </c>
      <c r="S403" s="891">
        <v>0</v>
      </c>
      <c r="T403" s="51"/>
      <c r="U403" s="120">
        <v>0</v>
      </c>
      <c r="V403" s="888">
        <v>0</v>
      </c>
      <c r="W403" s="51"/>
      <c r="X403" s="1613">
        <f t="shared" si="31"/>
        <v>0</v>
      </c>
      <c r="Y403" s="1614">
        <f t="shared" si="32"/>
        <v>0</v>
      </c>
      <c r="Z403" s="43"/>
      <c r="AA403" s="1621">
        <f t="shared" si="30"/>
        <v>0</v>
      </c>
      <c r="AB403" s="43"/>
      <c r="AC403" s="43"/>
      <c r="AD403" s="43"/>
      <c r="AE403" s="43"/>
      <c r="AF403" s="43"/>
      <c r="AG403" s="43"/>
      <c r="AH403" s="43"/>
      <c r="AI403" s="43"/>
    </row>
    <row r="404" spans="1:35" ht="15.75">
      <c r="A404" s="88">
        <v>7643</v>
      </c>
      <c r="B404" s="1033" t="s">
        <v>75</v>
      </c>
      <c r="C404" s="1033"/>
      <c r="D404" s="1033"/>
      <c r="E404" s="1033"/>
      <c r="F404" s="1033"/>
      <c r="G404" s="1033"/>
      <c r="H404" s="1033"/>
      <c r="I404" s="1033"/>
      <c r="J404" s="1033"/>
      <c r="K404" s="1033"/>
      <c r="L404" s="90"/>
      <c r="M404" s="51" t="s">
        <v>265</v>
      </c>
      <c r="N404" s="113">
        <f t="shared" si="33"/>
        <v>7643</v>
      </c>
      <c r="O404" s="120">
        <v>0</v>
      </c>
      <c r="P404" s="888">
        <v>0</v>
      </c>
      <c r="Q404" s="51"/>
      <c r="R404" s="581">
        <v>0</v>
      </c>
      <c r="S404" s="891">
        <v>0</v>
      </c>
      <c r="T404" s="51"/>
      <c r="U404" s="120">
        <v>0</v>
      </c>
      <c r="V404" s="888">
        <v>0</v>
      </c>
      <c r="W404" s="51"/>
      <c r="X404" s="1613">
        <f t="shared" si="31"/>
        <v>0</v>
      </c>
      <c r="Y404" s="1614">
        <f t="shared" si="32"/>
        <v>0</v>
      </c>
      <c r="Z404" s="43"/>
      <c r="AA404" s="1621">
        <f t="shared" si="30"/>
        <v>0</v>
      </c>
      <c r="AB404" s="43"/>
      <c r="AC404" s="43"/>
      <c r="AD404" s="43"/>
      <c r="AE404" s="43"/>
      <c r="AF404" s="43"/>
      <c r="AG404" s="43"/>
      <c r="AH404" s="43"/>
      <c r="AI404" s="43"/>
    </row>
    <row r="405" spans="1:35" ht="15.75">
      <c r="A405" s="88">
        <v>7644</v>
      </c>
      <c r="B405" s="1033" t="s">
        <v>76</v>
      </c>
      <c r="C405" s="1033"/>
      <c r="D405" s="1033"/>
      <c r="E405" s="1033"/>
      <c r="F405" s="1033"/>
      <c r="G405" s="1033"/>
      <c r="H405" s="1033"/>
      <c r="I405" s="1033"/>
      <c r="J405" s="1033"/>
      <c r="K405" s="1033"/>
      <c r="L405" s="90"/>
      <c r="M405" s="51" t="s">
        <v>265</v>
      </c>
      <c r="N405" s="113">
        <f t="shared" si="33"/>
        <v>7644</v>
      </c>
      <c r="O405" s="120">
        <v>0</v>
      </c>
      <c r="P405" s="888">
        <v>0</v>
      </c>
      <c r="Q405" s="51"/>
      <c r="R405" s="581">
        <v>0</v>
      </c>
      <c r="S405" s="891">
        <v>0</v>
      </c>
      <c r="T405" s="51"/>
      <c r="U405" s="120">
        <v>0</v>
      </c>
      <c r="V405" s="888">
        <v>0</v>
      </c>
      <c r="W405" s="51"/>
      <c r="X405" s="1613">
        <f t="shared" si="31"/>
        <v>0</v>
      </c>
      <c r="Y405" s="1614">
        <f t="shared" si="32"/>
        <v>0</v>
      </c>
      <c r="Z405" s="43"/>
      <c r="AA405" s="1621">
        <f t="shared" si="30"/>
        <v>0</v>
      </c>
      <c r="AB405" s="43"/>
      <c r="AC405" s="43"/>
      <c r="AD405" s="43"/>
      <c r="AE405" s="43"/>
      <c r="AF405" s="43"/>
      <c r="AG405" s="43"/>
      <c r="AH405" s="43"/>
      <c r="AI405" s="43"/>
    </row>
    <row r="406" spans="1:35" ht="15.75">
      <c r="A406" s="88">
        <v>7645</v>
      </c>
      <c r="B406" s="1033" t="s">
        <v>77</v>
      </c>
      <c r="C406" s="1033"/>
      <c r="D406" s="1033"/>
      <c r="E406" s="1033"/>
      <c r="F406" s="1033"/>
      <c r="G406" s="1033"/>
      <c r="H406" s="1033"/>
      <c r="I406" s="1033"/>
      <c r="J406" s="1033"/>
      <c r="K406" s="1033"/>
      <c r="L406" s="90"/>
      <c r="M406" s="51" t="s">
        <v>265</v>
      </c>
      <c r="N406" s="113">
        <f t="shared" si="33"/>
        <v>7645</v>
      </c>
      <c r="O406" s="120">
        <v>0</v>
      </c>
      <c r="P406" s="888">
        <v>0</v>
      </c>
      <c r="Q406" s="51"/>
      <c r="R406" s="581">
        <v>0</v>
      </c>
      <c r="S406" s="891">
        <v>0</v>
      </c>
      <c r="T406" s="51"/>
      <c r="U406" s="120">
        <v>0</v>
      </c>
      <c r="V406" s="888">
        <v>0</v>
      </c>
      <c r="W406" s="51"/>
      <c r="X406" s="1613">
        <f t="shared" si="31"/>
        <v>0</v>
      </c>
      <c r="Y406" s="1614">
        <f t="shared" si="32"/>
        <v>0</v>
      </c>
      <c r="Z406" s="43"/>
      <c r="AA406" s="1621">
        <f t="shared" si="30"/>
        <v>0</v>
      </c>
      <c r="AB406" s="43"/>
      <c r="AC406" s="43"/>
      <c r="AD406" s="43"/>
      <c r="AE406" s="43"/>
      <c r="AF406" s="43"/>
      <c r="AG406" s="43"/>
      <c r="AH406" s="43"/>
      <c r="AI406" s="43"/>
    </row>
    <row r="407" spans="1:35" ht="15.75">
      <c r="A407" s="88">
        <v>7647</v>
      </c>
      <c r="B407" s="1033" t="s">
        <v>78</v>
      </c>
      <c r="C407" s="1033"/>
      <c r="D407" s="1033"/>
      <c r="E407" s="1033"/>
      <c r="F407" s="1033"/>
      <c r="G407" s="1033"/>
      <c r="H407" s="1033"/>
      <c r="I407" s="1033"/>
      <c r="J407" s="1033"/>
      <c r="K407" s="1033"/>
      <c r="L407" s="90"/>
      <c r="M407" s="51" t="s">
        <v>265</v>
      </c>
      <c r="N407" s="113">
        <f t="shared" si="33"/>
        <v>7647</v>
      </c>
      <c r="O407" s="120">
        <v>0</v>
      </c>
      <c r="P407" s="888">
        <v>0</v>
      </c>
      <c r="Q407" s="51"/>
      <c r="R407" s="581">
        <v>0</v>
      </c>
      <c r="S407" s="891">
        <v>0</v>
      </c>
      <c r="T407" s="51"/>
      <c r="U407" s="120">
        <v>0</v>
      </c>
      <c r="V407" s="888">
        <v>0</v>
      </c>
      <c r="W407" s="51"/>
      <c r="X407" s="1613">
        <f t="shared" si="31"/>
        <v>0</v>
      </c>
      <c r="Y407" s="1614">
        <f t="shared" si="32"/>
        <v>0</v>
      </c>
      <c r="Z407" s="43"/>
      <c r="AA407" s="1621">
        <f t="shared" si="30"/>
        <v>0</v>
      </c>
      <c r="AB407" s="43"/>
      <c r="AC407" s="43"/>
      <c r="AD407" s="43"/>
      <c r="AE407" s="43"/>
      <c r="AF407" s="43"/>
      <c r="AG407" s="43"/>
      <c r="AH407" s="43"/>
      <c r="AI407" s="43"/>
    </row>
    <row r="408" spans="1:35" ht="15.75">
      <c r="A408" s="88">
        <v>7648</v>
      </c>
      <c r="B408" s="1033" t="s">
        <v>79</v>
      </c>
      <c r="C408" s="1033"/>
      <c r="D408" s="1033"/>
      <c r="E408" s="1033"/>
      <c r="F408" s="1033"/>
      <c r="G408" s="1033"/>
      <c r="H408" s="1033"/>
      <c r="I408" s="1033"/>
      <c r="J408" s="1033"/>
      <c r="K408" s="1033"/>
      <c r="L408" s="90"/>
      <c r="M408" s="51" t="s">
        <v>265</v>
      </c>
      <c r="N408" s="113">
        <f t="shared" si="33"/>
        <v>7648</v>
      </c>
      <c r="O408" s="120">
        <v>0</v>
      </c>
      <c r="P408" s="888">
        <v>0</v>
      </c>
      <c r="Q408" s="51"/>
      <c r="R408" s="581">
        <v>0</v>
      </c>
      <c r="S408" s="891">
        <v>0</v>
      </c>
      <c r="T408" s="51"/>
      <c r="U408" s="120">
        <v>0</v>
      </c>
      <c r="V408" s="888">
        <v>0</v>
      </c>
      <c r="W408" s="51"/>
      <c r="X408" s="1613">
        <f t="shared" si="31"/>
        <v>0</v>
      </c>
      <c r="Y408" s="1614">
        <f t="shared" si="32"/>
        <v>0</v>
      </c>
      <c r="Z408" s="43"/>
      <c r="AA408" s="1621">
        <f t="shared" si="30"/>
        <v>0</v>
      </c>
      <c r="AB408" s="43"/>
      <c r="AC408" s="43"/>
      <c r="AD408" s="43"/>
      <c r="AE408" s="43"/>
      <c r="AF408" s="43"/>
      <c r="AG408" s="43"/>
      <c r="AH408" s="43"/>
      <c r="AI408" s="43"/>
    </row>
    <row r="409" spans="1:35" ht="15.75">
      <c r="A409" s="88">
        <v>7652</v>
      </c>
      <c r="B409" s="1033" t="s">
        <v>80</v>
      </c>
      <c r="C409" s="1033"/>
      <c r="D409" s="1033"/>
      <c r="E409" s="1033"/>
      <c r="F409" s="1033"/>
      <c r="G409" s="1033"/>
      <c r="H409" s="1033"/>
      <c r="I409" s="1033"/>
      <c r="J409" s="1033"/>
      <c r="K409" s="1033"/>
      <c r="L409" s="90"/>
      <c r="M409" s="51" t="s">
        <v>265</v>
      </c>
      <c r="N409" s="113">
        <f t="shared" si="33"/>
        <v>7652</v>
      </c>
      <c r="O409" s="120">
        <v>0</v>
      </c>
      <c r="P409" s="888">
        <v>0</v>
      </c>
      <c r="Q409" s="51"/>
      <c r="R409" s="581">
        <v>0</v>
      </c>
      <c r="S409" s="891">
        <v>0</v>
      </c>
      <c r="T409" s="51"/>
      <c r="U409" s="120">
        <v>0</v>
      </c>
      <c r="V409" s="888">
        <v>0</v>
      </c>
      <c r="W409" s="51"/>
      <c r="X409" s="1613">
        <f t="shared" si="31"/>
        <v>0</v>
      </c>
      <c r="Y409" s="1614">
        <f t="shared" si="32"/>
        <v>0</v>
      </c>
      <c r="Z409" s="43"/>
      <c r="AA409" s="1621">
        <f t="shared" si="30"/>
        <v>0</v>
      </c>
      <c r="AB409" s="43"/>
      <c r="AC409" s="43"/>
      <c r="AD409" s="43"/>
      <c r="AE409" s="43"/>
      <c r="AF409" s="43"/>
      <c r="AG409" s="43"/>
      <c r="AH409" s="43"/>
      <c r="AI409" s="43"/>
    </row>
    <row r="410" spans="1:35" ht="15.75">
      <c r="A410" s="88">
        <v>7653</v>
      </c>
      <c r="B410" s="1033" t="s">
        <v>81</v>
      </c>
      <c r="C410" s="1033"/>
      <c r="D410" s="1033"/>
      <c r="E410" s="1033"/>
      <c r="F410" s="1033"/>
      <c r="G410" s="1033"/>
      <c r="H410" s="1033"/>
      <c r="I410" s="1033"/>
      <c r="J410" s="1033"/>
      <c r="K410" s="1033"/>
      <c r="L410" s="90"/>
      <c r="M410" s="51" t="s">
        <v>265</v>
      </c>
      <c r="N410" s="113">
        <f t="shared" si="33"/>
        <v>7653</v>
      </c>
      <c r="O410" s="120">
        <v>0</v>
      </c>
      <c r="P410" s="888">
        <v>0</v>
      </c>
      <c r="Q410" s="51"/>
      <c r="R410" s="581">
        <v>0</v>
      </c>
      <c r="S410" s="891">
        <v>0</v>
      </c>
      <c r="T410" s="51"/>
      <c r="U410" s="120">
        <v>0</v>
      </c>
      <c r="V410" s="888">
        <v>0</v>
      </c>
      <c r="W410" s="51"/>
      <c r="X410" s="1613">
        <f t="shared" si="31"/>
        <v>0</v>
      </c>
      <c r="Y410" s="1614">
        <f t="shared" si="32"/>
        <v>0</v>
      </c>
      <c r="Z410" s="43"/>
      <c r="AA410" s="1621">
        <f t="shared" si="30"/>
        <v>0</v>
      </c>
      <c r="AB410" s="43"/>
      <c r="AC410" s="43"/>
      <c r="AD410" s="43"/>
      <c r="AE410" s="43"/>
      <c r="AF410" s="43"/>
      <c r="AG410" s="43"/>
      <c r="AH410" s="43"/>
      <c r="AI410" s="43"/>
    </row>
    <row r="411" spans="1:35" ht="15.75">
      <c r="A411" s="88">
        <v>7654</v>
      </c>
      <c r="B411" s="1033" t="s">
        <v>82</v>
      </c>
      <c r="C411" s="1033"/>
      <c r="D411" s="1033"/>
      <c r="E411" s="1033"/>
      <c r="F411" s="1033"/>
      <c r="G411" s="1033"/>
      <c r="H411" s="1033"/>
      <c r="I411" s="1033"/>
      <c r="J411" s="1033"/>
      <c r="K411" s="1033"/>
      <c r="L411" s="90"/>
      <c r="M411" s="51" t="s">
        <v>265</v>
      </c>
      <c r="N411" s="113">
        <f t="shared" si="33"/>
        <v>7654</v>
      </c>
      <c r="O411" s="120">
        <v>0</v>
      </c>
      <c r="P411" s="888">
        <v>0</v>
      </c>
      <c r="Q411" s="51"/>
      <c r="R411" s="581">
        <v>0</v>
      </c>
      <c r="S411" s="891">
        <v>0</v>
      </c>
      <c r="T411" s="51"/>
      <c r="U411" s="120">
        <v>0</v>
      </c>
      <c r="V411" s="888">
        <v>0</v>
      </c>
      <c r="W411" s="51"/>
      <c r="X411" s="1613">
        <f t="shared" si="31"/>
        <v>0</v>
      </c>
      <c r="Y411" s="1614">
        <f t="shared" si="32"/>
        <v>0</v>
      </c>
      <c r="Z411" s="43"/>
      <c r="AA411" s="1621">
        <f t="shared" si="30"/>
        <v>0</v>
      </c>
      <c r="AB411" s="43"/>
      <c r="AC411" s="43"/>
      <c r="AD411" s="43"/>
      <c r="AE411" s="43"/>
      <c r="AF411" s="43"/>
      <c r="AG411" s="43"/>
      <c r="AH411" s="43"/>
      <c r="AI411" s="43"/>
    </row>
    <row r="412" spans="1:35" ht="15.75">
      <c r="A412" s="88">
        <v>7655</v>
      </c>
      <c r="B412" s="1033" t="s">
        <v>83</v>
      </c>
      <c r="C412" s="1033"/>
      <c r="D412" s="1033"/>
      <c r="E412" s="1033"/>
      <c r="F412" s="1033"/>
      <c r="G412" s="1033"/>
      <c r="H412" s="1033"/>
      <c r="I412" s="1033"/>
      <c r="J412" s="1033"/>
      <c r="K412" s="1033"/>
      <c r="L412" s="90"/>
      <c r="M412" s="51" t="s">
        <v>265</v>
      </c>
      <c r="N412" s="113">
        <f t="shared" si="33"/>
        <v>7655</v>
      </c>
      <c r="O412" s="120">
        <v>0</v>
      </c>
      <c r="P412" s="888">
        <v>0</v>
      </c>
      <c r="Q412" s="51"/>
      <c r="R412" s="581">
        <v>0</v>
      </c>
      <c r="S412" s="891">
        <v>0</v>
      </c>
      <c r="T412" s="51"/>
      <c r="U412" s="120">
        <v>0</v>
      </c>
      <c r="V412" s="888">
        <v>0</v>
      </c>
      <c r="W412" s="51"/>
      <c r="X412" s="1613">
        <f t="shared" si="31"/>
        <v>0</v>
      </c>
      <c r="Y412" s="1614">
        <f t="shared" si="32"/>
        <v>0</v>
      </c>
      <c r="Z412" s="43"/>
      <c r="AA412" s="1621">
        <f t="shared" si="30"/>
        <v>0</v>
      </c>
      <c r="AB412" s="43"/>
      <c r="AC412" s="43"/>
      <c r="AD412" s="43"/>
      <c r="AE412" s="43"/>
      <c r="AF412" s="43"/>
      <c r="AG412" s="43"/>
      <c r="AH412" s="43"/>
      <c r="AI412" s="43"/>
    </row>
    <row r="413" spans="1:35" ht="15.75">
      <c r="A413" s="88">
        <v>7657</v>
      </c>
      <c r="B413" s="1033" t="s">
        <v>84</v>
      </c>
      <c r="C413" s="1033"/>
      <c r="D413" s="1033"/>
      <c r="E413" s="1033"/>
      <c r="F413" s="1033"/>
      <c r="G413" s="1033"/>
      <c r="H413" s="1033"/>
      <c r="I413" s="1033"/>
      <c r="J413" s="1033"/>
      <c r="K413" s="1033"/>
      <c r="L413" s="90"/>
      <c r="M413" s="51" t="s">
        <v>265</v>
      </c>
      <c r="N413" s="113">
        <f t="shared" si="33"/>
        <v>7657</v>
      </c>
      <c r="O413" s="120">
        <v>0</v>
      </c>
      <c r="P413" s="888">
        <v>0</v>
      </c>
      <c r="Q413" s="51"/>
      <c r="R413" s="581">
        <v>0</v>
      </c>
      <c r="S413" s="891">
        <v>0</v>
      </c>
      <c r="T413" s="51"/>
      <c r="U413" s="120">
        <v>0</v>
      </c>
      <c r="V413" s="888">
        <v>0</v>
      </c>
      <c r="W413" s="51"/>
      <c r="X413" s="1613">
        <f t="shared" si="31"/>
        <v>0</v>
      </c>
      <c r="Y413" s="1614">
        <f t="shared" si="32"/>
        <v>0</v>
      </c>
      <c r="Z413" s="43"/>
      <c r="AA413" s="1621">
        <f t="shared" si="30"/>
        <v>0</v>
      </c>
      <c r="AB413" s="43"/>
      <c r="AC413" s="43"/>
      <c r="AD413" s="43"/>
      <c r="AE413" s="43"/>
      <c r="AF413" s="43"/>
      <c r="AG413" s="43"/>
      <c r="AH413" s="43"/>
      <c r="AI413" s="43"/>
    </row>
    <row r="414" spans="1:35" ht="15.75">
      <c r="A414" s="88">
        <v>7658</v>
      </c>
      <c r="B414" s="1033" t="s">
        <v>85</v>
      </c>
      <c r="C414" s="1033"/>
      <c r="D414" s="1033"/>
      <c r="E414" s="1033"/>
      <c r="F414" s="1033"/>
      <c r="G414" s="1033"/>
      <c r="H414" s="1033"/>
      <c r="I414" s="1033"/>
      <c r="J414" s="1033"/>
      <c r="K414" s="1033"/>
      <c r="L414" s="90"/>
      <c r="M414" s="51" t="s">
        <v>265</v>
      </c>
      <c r="N414" s="113">
        <f t="shared" si="33"/>
        <v>7658</v>
      </c>
      <c r="O414" s="120">
        <v>0</v>
      </c>
      <c r="P414" s="888">
        <v>0</v>
      </c>
      <c r="Q414" s="51"/>
      <c r="R414" s="581">
        <v>0</v>
      </c>
      <c r="S414" s="891">
        <v>0</v>
      </c>
      <c r="T414" s="51"/>
      <c r="U414" s="120">
        <v>0</v>
      </c>
      <c r="V414" s="888">
        <v>0</v>
      </c>
      <c r="W414" s="51"/>
      <c r="X414" s="1613">
        <f t="shared" si="31"/>
        <v>0</v>
      </c>
      <c r="Y414" s="1614">
        <f t="shared" si="32"/>
        <v>0</v>
      </c>
      <c r="Z414" s="43"/>
      <c r="AA414" s="1621">
        <f t="shared" si="30"/>
        <v>0</v>
      </c>
      <c r="AB414" s="43"/>
      <c r="AC414" s="43"/>
      <c r="AD414" s="43"/>
      <c r="AE414" s="43"/>
      <c r="AF414" s="43"/>
      <c r="AG414" s="43"/>
      <c r="AH414" s="43"/>
      <c r="AI414" s="43"/>
    </row>
    <row r="415" spans="1:35" ht="15.75">
      <c r="A415" s="88">
        <v>7672</v>
      </c>
      <c r="B415" s="1033" t="s">
        <v>86</v>
      </c>
      <c r="C415" s="1033"/>
      <c r="D415" s="1033"/>
      <c r="E415" s="1033"/>
      <c r="F415" s="1033"/>
      <c r="G415" s="1033"/>
      <c r="H415" s="1033"/>
      <c r="I415" s="1033"/>
      <c r="J415" s="1033"/>
      <c r="K415" s="1033"/>
      <c r="L415" s="90"/>
      <c r="M415" s="51" t="s">
        <v>265</v>
      </c>
      <c r="N415" s="113">
        <f t="shared" si="33"/>
        <v>7672</v>
      </c>
      <c r="O415" s="120">
        <v>0</v>
      </c>
      <c r="P415" s="888">
        <v>0</v>
      </c>
      <c r="Q415" s="51"/>
      <c r="R415" s="581">
        <v>0</v>
      </c>
      <c r="S415" s="891">
        <v>0</v>
      </c>
      <c r="T415" s="51"/>
      <c r="U415" s="120">
        <v>0</v>
      </c>
      <c r="V415" s="888">
        <v>0</v>
      </c>
      <c r="W415" s="51"/>
      <c r="X415" s="1613">
        <f t="shared" si="31"/>
        <v>0</v>
      </c>
      <c r="Y415" s="1614">
        <f t="shared" si="32"/>
        <v>0</v>
      </c>
      <c r="Z415" s="43"/>
      <c r="AA415" s="1621">
        <f t="shared" si="30"/>
        <v>0</v>
      </c>
      <c r="AB415" s="43"/>
      <c r="AC415" s="43"/>
      <c r="AD415" s="43"/>
      <c r="AE415" s="43"/>
      <c r="AF415" s="43"/>
      <c r="AG415" s="43"/>
      <c r="AH415" s="43"/>
      <c r="AI415" s="43"/>
    </row>
    <row r="416" spans="1:35" ht="15.75">
      <c r="A416" s="88">
        <v>7673</v>
      </c>
      <c r="B416" s="1033" t="s">
        <v>813</v>
      </c>
      <c r="C416" s="1033"/>
      <c r="D416" s="1033"/>
      <c r="E416" s="1033"/>
      <c r="F416" s="1033"/>
      <c r="G416" s="1033"/>
      <c r="H416" s="1033"/>
      <c r="I416" s="1033"/>
      <c r="J416" s="1033"/>
      <c r="K416" s="1033"/>
      <c r="L416" s="90"/>
      <c r="M416" s="51" t="s">
        <v>265</v>
      </c>
      <c r="N416" s="113">
        <f t="shared" si="33"/>
        <v>7673</v>
      </c>
      <c r="O416" s="120">
        <v>0</v>
      </c>
      <c r="P416" s="888">
        <v>0</v>
      </c>
      <c r="Q416" s="51"/>
      <c r="R416" s="581">
        <v>0</v>
      </c>
      <c r="S416" s="891">
        <v>0</v>
      </c>
      <c r="T416" s="51"/>
      <c r="U416" s="120">
        <v>0</v>
      </c>
      <c r="V416" s="888">
        <v>0</v>
      </c>
      <c r="W416" s="51"/>
      <c r="X416" s="1613">
        <f t="shared" si="31"/>
        <v>0</v>
      </c>
      <c r="Y416" s="1614">
        <f t="shared" si="32"/>
        <v>0</v>
      </c>
      <c r="Z416" s="43"/>
      <c r="AA416" s="1621">
        <f t="shared" si="30"/>
        <v>0</v>
      </c>
      <c r="AB416" s="43"/>
      <c r="AC416" s="43"/>
      <c r="AD416" s="43"/>
      <c r="AE416" s="43"/>
      <c r="AF416" s="43"/>
      <c r="AG416" s="43"/>
      <c r="AH416" s="43"/>
      <c r="AI416" s="43"/>
    </row>
    <row r="417" spans="1:35" ht="15.75">
      <c r="A417" s="88">
        <v>7674</v>
      </c>
      <c r="B417" s="1033" t="s">
        <v>814</v>
      </c>
      <c r="C417" s="1033"/>
      <c r="D417" s="1033"/>
      <c r="E417" s="1033"/>
      <c r="F417" s="1033"/>
      <c r="G417" s="1033"/>
      <c r="H417" s="1033"/>
      <c r="I417" s="1033"/>
      <c r="J417" s="1033"/>
      <c r="K417" s="1033"/>
      <c r="L417" s="90"/>
      <c r="M417" s="51" t="s">
        <v>265</v>
      </c>
      <c r="N417" s="113">
        <f t="shared" si="33"/>
        <v>7674</v>
      </c>
      <c r="O417" s="120">
        <v>0</v>
      </c>
      <c r="P417" s="888">
        <v>0</v>
      </c>
      <c r="Q417" s="51"/>
      <c r="R417" s="581">
        <v>0</v>
      </c>
      <c r="S417" s="891">
        <v>0</v>
      </c>
      <c r="T417" s="51"/>
      <c r="U417" s="120">
        <v>0</v>
      </c>
      <c r="V417" s="888">
        <v>0</v>
      </c>
      <c r="W417" s="51"/>
      <c r="X417" s="1613">
        <f t="shared" si="31"/>
        <v>0</v>
      </c>
      <c r="Y417" s="1614">
        <f t="shared" si="32"/>
        <v>0</v>
      </c>
      <c r="Z417" s="43"/>
      <c r="AA417" s="1621">
        <f t="shared" si="30"/>
        <v>0</v>
      </c>
      <c r="AB417" s="43"/>
      <c r="AC417" s="43"/>
      <c r="AD417" s="43"/>
      <c r="AE417" s="43"/>
      <c r="AF417" s="43"/>
      <c r="AG417" s="43"/>
      <c r="AH417" s="43"/>
      <c r="AI417" s="43"/>
    </row>
    <row r="418" spans="1:35" ht="15.75">
      <c r="A418" s="88">
        <v>7675</v>
      </c>
      <c r="B418" s="1033" t="s">
        <v>815</v>
      </c>
      <c r="C418" s="1033"/>
      <c r="D418" s="1033"/>
      <c r="E418" s="1033"/>
      <c r="F418" s="1033"/>
      <c r="G418" s="1033"/>
      <c r="H418" s="1033"/>
      <c r="I418" s="1033"/>
      <c r="J418" s="1033"/>
      <c r="K418" s="1033"/>
      <c r="L418" s="90"/>
      <c r="M418" s="51" t="s">
        <v>265</v>
      </c>
      <c r="N418" s="113">
        <f>+A418</f>
        <v>7675</v>
      </c>
      <c r="O418" s="120">
        <v>0</v>
      </c>
      <c r="P418" s="888">
        <v>0</v>
      </c>
      <c r="Q418" s="51"/>
      <c r="R418" s="581">
        <v>0</v>
      </c>
      <c r="S418" s="891">
        <v>0</v>
      </c>
      <c r="T418" s="51"/>
      <c r="U418" s="120">
        <v>0</v>
      </c>
      <c r="V418" s="888">
        <v>0</v>
      </c>
      <c r="W418" s="51"/>
      <c r="X418" s="1613">
        <f t="shared" si="31"/>
        <v>0</v>
      </c>
      <c r="Y418" s="1614">
        <f t="shared" si="32"/>
        <v>0</v>
      </c>
      <c r="Z418" s="43"/>
      <c r="AA418" s="1621">
        <f t="shared" si="30"/>
        <v>0</v>
      </c>
      <c r="AB418" s="43"/>
      <c r="AC418" s="43"/>
      <c r="AD418" s="43"/>
      <c r="AE418" s="43"/>
      <c r="AF418" s="43"/>
      <c r="AG418" s="43"/>
      <c r="AH418" s="43"/>
      <c r="AI418" s="43"/>
    </row>
    <row r="419" spans="1:35" ht="15.75">
      <c r="A419" s="88">
        <v>7677</v>
      </c>
      <c r="B419" s="1033" t="s">
        <v>816</v>
      </c>
      <c r="C419" s="1033"/>
      <c r="D419" s="1033"/>
      <c r="E419" s="1033"/>
      <c r="F419" s="1033"/>
      <c r="G419" s="1033"/>
      <c r="H419" s="1033"/>
      <c r="I419" s="1033"/>
      <c r="J419" s="1033"/>
      <c r="K419" s="1033"/>
      <c r="L419" s="90"/>
      <c r="M419" s="51" t="s">
        <v>265</v>
      </c>
      <c r="N419" s="113">
        <f>+A419</f>
        <v>7677</v>
      </c>
      <c r="O419" s="120">
        <v>0</v>
      </c>
      <c r="P419" s="888">
        <v>0</v>
      </c>
      <c r="Q419" s="51"/>
      <c r="R419" s="581">
        <v>0</v>
      </c>
      <c r="S419" s="891">
        <v>0</v>
      </c>
      <c r="T419" s="51"/>
      <c r="U419" s="120">
        <v>0</v>
      </c>
      <c r="V419" s="888">
        <v>0</v>
      </c>
      <c r="W419" s="51"/>
      <c r="X419" s="1613">
        <f t="shared" si="31"/>
        <v>0</v>
      </c>
      <c r="Y419" s="1614">
        <f t="shared" si="32"/>
        <v>0</v>
      </c>
      <c r="Z419" s="43"/>
      <c r="AA419" s="1621">
        <f t="shared" si="30"/>
        <v>0</v>
      </c>
      <c r="AB419" s="43"/>
      <c r="AC419" s="43"/>
      <c r="AD419" s="43"/>
      <c r="AE419" s="43"/>
      <c r="AF419" s="43"/>
      <c r="AG419" s="43"/>
      <c r="AH419" s="43"/>
      <c r="AI419" s="43"/>
    </row>
    <row r="420" spans="1:35" ht="15.75">
      <c r="A420" s="88">
        <v>7678</v>
      </c>
      <c r="B420" s="1033" t="s">
        <v>817</v>
      </c>
      <c r="C420" s="1033"/>
      <c r="D420" s="1033"/>
      <c r="E420" s="1033"/>
      <c r="F420" s="1033"/>
      <c r="G420" s="1033"/>
      <c r="H420" s="1033"/>
      <c r="I420" s="1033"/>
      <c r="J420" s="1033"/>
      <c r="K420" s="1033"/>
      <c r="L420" s="90"/>
      <c r="M420" s="51" t="s">
        <v>265</v>
      </c>
      <c r="N420" s="113">
        <f>+A420</f>
        <v>7678</v>
      </c>
      <c r="O420" s="120">
        <v>0</v>
      </c>
      <c r="P420" s="888">
        <v>0</v>
      </c>
      <c r="Q420" s="51"/>
      <c r="R420" s="581">
        <v>0</v>
      </c>
      <c r="S420" s="891">
        <v>0</v>
      </c>
      <c r="T420" s="51"/>
      <c r="U420" s="120">
        <v>0</v>
      </c>
      <c r="V420" s="888">
        <v>0</v>
      </c>
      <c r="W420" s="51"/>
      <c r="X420" s="1613">
        <f t="shared" si="31"/>
        <v>0</v>
      </c>
      <c r="Y420" s="1614">
        <f t="shared" si="32"/>
        <v>0</v>
      </c>
      <c r="Z420" s="43"/>
      <c r="AA420" s="1621">
        <f t="shared" si="30"/>
        <v>0</v>
      </c>
      <c r="AB420" s="43"/>
      <c r="AC420" s="43"/>
      <c r="AD420" s="43"/>
      <c r="AE420" s="43"/>
      <c r="AF420" s="43"/>
      <c r="AG420" s="43"/>
      <c r="AH420" s="43"/>
      <c r="AI420" s="43"/>
    </row>
    <row r="421" spans="1:35" ht="15.75">
      <c r="A421" s="88">
        <v>7682</v>
      </c>
      <c r="B421" s="1042" t="s">
        <v>818</v>
      </c>
      <c r="C421" s="1033"/>
      <c r="D421" s="1033"/>
      <c r="E421" s="1033"/>
      <c r="F421" s="1033"/>
      <c r="G421" s="1033"/>
      <c r="H421" s="1033"/>
      <c r="I421" s="1033"/>
      <c r="J421" s="1033"/>
      <c r="K421" s="1033"/>
      <c r="L421" s="90"/>
      <c r="M421" s="51" t="s">
        <v>265</v>
      </c>
      <c r="N421" s="113">
        <f t="shared" si="33"/>
        <v>7682</v>
      </c>
      <c r="O421" s="120">
        <v>0</v>
      </c>
      <c r="P421" s="888">
        <v>0</v>
      </c>
      <c r="Q421" s="51"/>
      <c r="R421" s="581">
        <v>0</v>
      </c>
      <c r="S421" s="891">
        <v>0</v>
      </c>
      <c r="T421" s="51"/>
      <c r="U421" s="120">
        <v>0</v>
      </c>
      <c r="V421" s="888">
        <v>0</v>
      </c>
      <c r="W421" s="51"/>
      <c r="X421" s="1613">
        <f t="shared" si="31"/>
        <v>0</v>
      </c>
      <c r="Y421" s="1614">
        <f t="shared" si="32"/>
        <v>0</v>
      </c>
      <c r="Z421" s="43"/>
      <c r="AA421" s="1621">
        <f t="shared" si="30"/>
        <v>0</v>
      </c>
      <c r="AB421" s="43"/>
      <c r="AC421" s="43"/>
      <c r="AD421" s="43"/>
      <c r="AE421" s="43"/>
      <c r="AF421" s="43"/>
      <c r="AG421" s="43"/>
      <c r="AH421" s="43"/>
      <c r="AI421" s="43"/>
    </row>
    <row r="422" spans="1:35" ht="15.75">
      <c r="A422" s="88">
        <v>7684</v>
      </c>
      <c r="B422" s="1042" t="s">
        <v>819</v>
      </c>
      <c r="C422" s="1033"/>
      <c r="D422" s="1033"/>
      <c r="E422" s="1033"/>
      <c r="F422" s="1033"/>
      <c r="G422" s="1033"/>
      <c r="H422" s="1033"/>
      <c r="I422" s="1033"/>
      <c r="J422" s="1033"/>
      <c r="K422" s="1033"/>
      <c r="L422" s="90"/>
      <c r="M422" s="51" t="s">
        <v>265</v>
      </c>
      <c r="N422" s="113">
        <f t="shared" si="33"/>
        <v>7684</v>
      </c>
      <c r="O422" s="120">
        <v>0</v>
      </c>
      <c r="P422" s="888">
        <v>0</v>
      </c>
      <c r="Q422" s="51"/>
      <c r="R422" s="581">
        <v>0</v>
      </c>
      <c r="S422" s="891">
        <v>0</v>
      </c>
      <c r="T422" s="51"/>
      <c r="U422" s="120">
        <v>0</v>
      </c>
      <c r="V422" s="888">
        <v>0</v>
      </c>
      <c r="W422" s="51"/>
      <c r="X422" s="1613">
        <f t="shared" si="31"/>
        <v>0</v>
      </c>
      <c r="Y422" s="1614">
        <f t="shared" si="32"/>
        <v>0</v>
      </c>
      <c r="Z422" s="43"/>
      <c r="AA422" s="1621">
        <f t="shared" si="30"/>
        <v>0</v>
      </c>
      <c r="AB422" s="43"/>
      <c r="AC422" s="43"/>
      <c r="AD422" s="43"/>
      <c r="AE422" s="43"/>
      <c r="AF422" s="43"/>
      <c r="AG422" s="43"/>
      <c r="AH422" s="43"/>
      <c r="AI422" s="43"/>
    </row>
    <row r="423" spans="1:35" ht="15.75">
      <c r="A423" s="88">
        <v>7685</v>
      </c>
      <c r="B423" s="1042" t="s">
        <v>820</v>
      </c>
      <c r="C423" s="1033"/>
      <c r="D423" s="1033"/>
      <c r="E423" s="1033"/>
      <c r="F423" s="1033"/>
      <c r="G423" s="1033"/>
      <c r="H423" s="1033"/>
      <c r="I423" s="1033"/>
      <c r="J423" s="1033"/>
      <c r="K423" s="1033"/>
      <c r="L423" s="90"/>
      <c r="M423" s="51" t="s">
        <v>265</v>
      </c>
      <c r="N423" s="113">
        <f t="shared" si="33"/>
        <v>7685</v>
      </c>
      <c r="O423" s="120">
        <v>0</v>
      </c>
      <c r="P423" s="888">
        <v>0</v>
      </c>
      <c r="Q423" s="51"/>
      <c r="R423" s="581">
        <v>0</v>
      </c>
      <c r="S423" s="891">
        <v>0</v>
      </c>
      <c r="T423" s="51"/>
      <c r="U423" s="120">
        <v>0</v>
      </c>
      <c r="V423" s="888">
        <v>0</v>
      </c>
      <c r="W423" s="51"/>
      <c r="X423" s="1613">
        <f t="shared" si="31"/>
        <v>0</v>
      </c>
      <c r="Y423" s="1614">
        <f t="shared" si="32"/>
        <v>0</v>
      </c>
      <c r="Z423" s="43"/>
      <c r="AA423" s="1621">
        <f t="shared" si="30"/>
        <v>0</v>
      </c>
      <c r="AB423" s="43"/>
      <c r="AC423" s="43"/>
      <c r="AD423" s="43"/>
      <c r="AE423" s="43"/>
      <c r="AF423" s="43"/>
      <c r="AG423" s="43"/>
      <c r="AH423" s="43"/>
      <c r="AI423" s="43"/>
    </row>
    <row r="424" spans="1:35" ht="15.75">
      <c r="A424" s="88">
        <v>7689</v>
      </c>
      <c r="B424" s="1042" t="s">
        <v>821</v>
      </c>
      <c r="C424" s="1033"/>
      <c r="D424" s="1033"/>
      <c r="E424" s="1033"/>
      <c r="F424" s="1033"/>
      <c r="G424" s="1033"/>
      <c r="H424" s="1033"/>
      <c r="I424" s="1033"/>
      <c r="J424" s="1033"/>
      <c r="K424" s="1033"/>
      <c r="L424" s="90"/>
      <c r="M424" s="51" t="s">
        <v>265</v>
      </c>
      <c r="N424" s="113">
        <f t="shared" si="33"/>
        <v>7689</v>
      </c>
      <c r="O424" s="120">
        <v>0</v>
      </c>
      <c r="P424" s="888">
        <v>0</v>
      </c>
      <c r="Q424" s="51"/>
      <c r="R424" s="581">
        <v>0</v>
      </c>
      <c r="S424" s="891">
        <v>0</v>
      </c>
      <c r="T424" s="51"/>
      <c r="U424" s="120">
        <v>0</v>
      </c>
      <c r="V424" s="888">
        <v>0</v>
      </c>
      <c r="W424" s="51"/>
      <c r="X424" s="1613">
        <f t="shared" si="31"/>
        <v>0</v>
      </c>
      <c r="Y424" s="1614">
        <f t="shared" si="32"/>
        <v>0</v>
      </c>
      <c r="Z424" s="43"/>
      <c r="AA424" s="1621">
        <f t="shared" si="30"/>
        <v>0</v>
      </c>
      <c r="AB424" s="43"/>
      <c r="AC424" s="43"/>
      <c r="AD424" s="43"/>
      <c r="AE424" s="43"/>
      <c r="AF424" s="43"/>
      <c r="AG424" s="43"/>
      <c r="AH424" s="43"/>
      <c r="AI424" s="43"/>
    </row>
    <row r="425" spans="1:35" ht="15.75">
      <c r="A425" s="88">
        <v>7692</v>
      </c>
      <c r="B425" s="378" t="s">
        <v>822</v>
      </c>
      <c r="C425" s="1033"/>
      <c r="D425" s="1033"/>
      <c r="E425" s="1033"/>
      <c r="F425" s="1033"/>
      <c r="G425" s="1033"/>
      <c r="H425" s="1033"/>
      <c r="I425" s="1033"/>
      <c r="J425" s="1033"/>
      <c r="K425" s="1033"/>
      <c r="L425" s="90"/>
      <c r="M425" s="51" t="s">
        <v>265</v>
      </c>
      <c r="N425" s="113">
        <f t="shared" si="33"/>
        <v>7692</v>
      </c>
      <c r="O425" s="120">
        <v>0</v>
      </c>
      <c r="P425" s="888">
        <v>0</v>
      </c>
      <c r="Q425" s="51"/>
      <c r="R425" s="581">
        <v>0</v>
      </c>
      <c r="S425" s="891">
        <v>0</v>
      </c>
      <c r="T425" s="51"/>
      <c r="U425" s="120">
        <v>0</v>
      </c>
      <c r="V425" s="888">
        <v>0</v>
      </c>
      <c r="W425" s="51"/>
      <c r="X425" s="1613">
        <f t="shared" si="31"/>
        <v>0</v>
      </c>
      <c r="Y425" s="1614">
        <f t="shared" si="32"/>
        <v>0</v>
      </c>
      <c r="Z425" s="43"/>
      <c r="AA425" s="1621">
        <f t="shared" si="30"/>
        <v>0</v>
      </c>
      <c r="AB425" s="43"/>
      <c r="AC425" s="43"/>
      <c r="AD425" s="43"/>
      <c r="AE425" s="43"/>
      <c r="AF425" s="43"/>
      <c r="AG425" s="43"/>
      <c r="AH425" s="43"/>
      <c r="AI425" s="43"/>
    </row>
    <row r="426" spans="1:35" ht="15.75">
      <c r="A426" s="88">
        <v>7693</v>
      </c>
      <c r="B426" s="1042" t="s">
        <v>823</v>
      </c>
      <c r="C426" s="1033"/>
      <c r="D426" s="1033"/>
      <c r="E426" s="1033"/>
      <c r="F426" s="1033"/>
      <c r="G426" s="1033"/>
      <c r="H426" s="1033"/>
      <c r="I426" s="1033"/>
      <c r="J426" s="1033"/>
      <c r="K426" s="1033"/>
      <c r="L426" s="90"/>
      <c r="M426" s="51" t="s">
        <v>265</v>
      </c>
      <c r="N426" s="113">
        <f t="shared" si="33"/>
        <v>7693</v>
      </c>
      <c r="O426" s="120">
        <v>0</v>
      </c>
      <c r="P426" s="888">
        <v>0</v>
      </c>
      <c r="Q426" s="51"/>
      <c r="R426" s="581">
        <v>0</v>
      </c>
      <c r="S426" s="891">
        <v>0</v>
      </c>
      <c r="T426" s="51"/>
      <c r="U426" s="120">
        <v>0</v>
      </c>
      <c r="V426" s="888">
        <v>0</v>
      </c>
      <c r="W426" s="51"/>
      <c r="X426" s="1613">
        <f t="shared" si="31"/>
        <v>0</v>
      </c>
      <c r="Y426" s="1614">
        <f t="shared" si="32"/>
        <v>0</v>
      </c>
      <c r="Z426" s="43"/>
      <c r="AA426" s="1621">
        <f t="shared" si="30"/>
        <v>0</v>
      </c>
      <c r="AB426" s="43"/>
      <c r="AC426" s="43"/>
      <c r="AD426" s="43"/>
      <c r="AE426" s="43"/>
      <c r="AF426" s="43"/>
      <c r="AG426" s="43"/>
      <c r="AH426" s="43"/>
      <c r="AI426" s="43"/>
    </row>
    <row r="427" spans="1:35" ht="15.75">
      <c r="A427" s="88">
        <v>7694</v>
      </c>
      <c r="B427" s="1042" t="s">
        <v>824</v>
      </c>
      <c r="C427" s="1033"/>
      <c r="D427" s="1033"/>
      <c r="E427" s="1033"/>
      <c r="F427" s="1033"/>
      <c r="G427" s="1033"/>
      <c r="H427" s="1033"/>
      <c r="I427" s="1033"/>
      <c r="J427" s="1033"/>
      <c r="K427" s="1033"/>
      <c r="L427" s="90"/>
      <c r="M427" s="51" t="s">
        <v>265</v>
      </c>
      <c r="N427" s="113">
        <f t="shared" si="33"/>
        <v>7694</v>
      </c>
      <c r="O427" s="120">
        <v>0</v>
      </c>
      <c r="P427" s="888">
        <v>0</v>
      </c>
      <c r="Q427" s="51"/>
      <c r="R427" s="581">
        <v>0</v>
      </c>
      <c r="S427" s="891">
        <v>0</v>
      </c>
      <c r="T427" s="51"/>
      <c r="U427" s="120">
        <v>0</v>
      </c>
      <c r="V427" s="888">
        <v>0</v>
      </c>
      <c r="W427" s="51"/>
      <c r="X427" s="1613">
        <f t="shared" si="31"/>
        <v>0</v>
      </c>
      <c r="Y427" s="1614">
        <f t="shared" si="32"/>
        <v>0</v>
      </c>
      <c r="Z427" s="43"/>
      <c r="AA427" s="1621">
        <f t="shared" ref="AA427:AA461" si="34">+ROUND(+SUM(X427-Y427)-SUM(O427-P427)-SUM(R427-S427)-SUM(U427-V427),2)</f>
        <v>0</v>
      </c>
      <c r="AB427" s="43"/>
      <c r="AC427" s="43"/>
      <c r="AD427" s="43"/>
      <c r="AE427" s="43"/>
      <c r="AF427" s="43"/>
      <c r="AG427" s="43"/>
      <c r="AH427" s="43"/>
      <c r="AI427" s="43"/>
    </row>
    <row r="428" spans="1:35" ht="15.75">
      <c r="A428" s="88">
        <v>7695</v>
      </c>
      <c r="B428" s="1042" t="s">
        <v>2108</v>
      </c>
      <c r="C428" s="1033"/>
      <c r="D428" s="1033"/>
      <c r="E428" s="1033"/>
      <c r="F428" s="1033"/>
      <c r="G428" s="1033"/>
      <c r="H428" s="1033"/>
      <c r="I428" s="1033"/>
      <c r="J428" s="1033"/>
      <c r="K428" s="1033"/>
      <c r="L428" s="90"/>
      <c r="M428" s="51" t="s">
        <v>265</v>
      </c>
      <c r="N428" s="113">
        <f t="shared" si="33"/>
        <v>7695</v>
      </c>
      <c r="O428" s="120">
        <v>0</v>
      </c>
      <c r="P428" s="888">
        <v>0</v>
      </c>
      <c r="Q428" s="51"/>
      <c r="R428" s="581">
        <v>0</v>
      </c>
      <c r="S428" s="891">
        <v>0</v>
      </c>
      <c r="T428" s="51"/>
      <c r="U428" s="120">
        <v>0</v>
      </c>
      <c r="V428" s="888">
        <v>0</v>
      </c>
      <c r="W428" s="51"/>
      <c r="X428" s="1613">
        <f t="shared" si="31"/>
        <v>0</v>
      </c>
      <c r="Y428" s="1614">
        <f t="shared" si="32"/>
        <v>0</v>
      </c>
      <c r="Z428" s="43"/>
      <c r="AA428" s="1621">
        <f t="shared" si="34"/>
        <v>0</v>
      </c>
      <c r="AB428" s="43"/>
      <c r="AC428" s="43"/>
      <c r="AD428" s="43"/>
      <c r="AE428" s="43"/>
      <c r="AF428" s="43"/>
      <c r="AG428" s="43"/>
      <c r="AH428" s="43"/>
      <c r="AI428" s="43"/>
    </row>
    <row r="429" spans="1:35" ht="15.75">
      <c r="A429" s="88">
        <v>7697</v>
      </c>
      <c r="B429" s="378" t="s">
        <v>825</v>
      </c>
      <c r="C429" s="1033"/>
      <c r="D429" s="1033"/>
      <c r="E429" s="1033"/>
      <c r="F429" s="1033"/>
      <c r="G429" s="1033"/>
      <c r="H429" s="1033"/>
      <c r="I429" s="1033"/>
      <c r="J429" s="1033"/>
      <c r="K429" s="1033"/>
      <c r="L429" s="90"/>
      <c r="M429" s="51" t="s">
        <v>265</v>
      </c>
      <c r="N429" s="113">
        <f t="shared" si="33"/>
        <v>7697</v>
      </c>
      <c r="O429" s="120">
        <v>0</v>
      </c>
      <c r="P429" s="888">
        <v>0</v>
      </c>
      <c r="Q429" s="51"/>
      <c r="R429" s="581">
        <v>0</v>
      </c>
      <c r="S429" s="891">
        <v>0</v>
      </c>
      <c r="T429" s="51"/>
      <c r="U429" s="120">
        <v>0</v>
      </c>
      <c r="V429" s="888">
        <v>0</v>
      </c>
      <c r="W429" s="51"/>
      <c r="X429" s="1613">
        <f t="shared" ref="X429:X461" si="35">+ROUND(+O429+R429+U429,2)</f>
        <v>0</v>
      </c>
      <c r="Y429" s="1614">
        <f t="shared" si="32"/>
        <v>0</v>
      </c>
      <c r="Z429" s="43"/>
      <c r="AA429" s="1621">
        <f t="shared" si="34"/>
        <v>0</v>
      </c>
      <c r="AB429" s="43"/>
      <c r="AC429" s="43"/>
      <c r="AD429" s="43"/>
      <c r="AE429" s="43"/>
      <c r="AF429" s="43"/>
      <c r="AG429" s="43"/>
      <c r="AH429" s="43"/>
      <c r="AI429" s="43"/>
    </row>
    <row r="430" spans="1:35" ht="15.75">
      <c r="A430" s="88">
        <v>7698</v>
      </c>
      <c r="B430" s="378" t="s">
        <v>826</v>
      </c>
      <c r="C430" s="1033"/>
      <c r="D430" s="1033"/>
      <c r="E430" s="1033"/>
      <c r="F430" s="1033"/>
      <c r="G430" s="1033"/>
      <c r="H430" s="1033"/>
      <c r="I430" s="1033"/>
      <c r="J430" s="1033"/>
      <c r="K430" s="1033"/>
      <c r="L430" s="90"/>
      <c r="M430" s="51" t="s">
        <v>265</v>
      </c>
      <c r="N430" s="113">
        <f t="shared" si="33"/>
        <v>7698</v>
      </c>
      <c r="O430" s="120">
        <v>0</v>
      </c>
      <c r="P430" s="888">
        <v>0</v>
      </c>
      <c r="Q430" s="51"/>
      <c r="R430" s="581">
        <v>0</v>
      </c>
      <c r="S430" s="891">
        <v>0</v>
      </c>
      <c r="T430" s="51"/>
      <c r="U430" s="120">
        <v>0</v>
      </c>
      <c r="V430" s="888">
        <v>0</v>
      </c>
      <c r="W430" s="51"/>
      <c r="X430" s="1613">
        <f t="shared" si="35"/>
        <v>0</v>
      </c>
      <c r="Y430" s="1614">
        <f t="shared" si="32"/>
        <v>0</v>
      </c>
      <c r="Z430" s="43"/>
      <c r="AA430" s="1621">
        <f t="shared" si="34"/>
        <v>0</v>
      </c>
      <c r="AB430" s="43"/>
      <c r="AC430" s="43"/>
      <c r="AD430" s="43"/>
      <c r="AE430" s="43"/>
      <c r="AF430" s="43"/>
      <c r="AG430" s="43"/>
      <c r="AH430" s="43"/>
      <c r="AI430" s="43"/>
    </row>
    <row r="431" spans="1:35" ht="15.75">
      <c r="A431" s="88">
        <v>7699</v>
      </c>
      <c r="B431" s="1032" t="s">
        <v>827</v>
      </c>
      <c r="C431" s="1033"/>
      <c r="D431" s="1033"/>
      <c r="E431" s="1033"/>
      <c r="F431" s="1033"/>
      <c r="G431" s="1033"/>
      <c r="H431" s="1033"/>
      <c r="I431" s="1033"/>
      <c r="J431" s="1033"/>
      <c r="K431" s="1033"/>
      <c r="L431" s="90"/>
      <c r="M431" s="51" t="s">
        <v>265</v>
      </c>
      <c r="N431" s="113">
        <f>+A431</f>
        <v>7699</v>
      </c>
      <c r="O431" s="120">
        <v>0</v>
      </c>
      <c r="P431" s="888">
        <v>0</v>
      </c>
      <c r="Q431" s="51"/>
      <c r="R431" s="581">
        <v>0</v>
      </c>
      <c r="S431" s="891">
        <v>0</v>
      </c>
      <c r="T431" s="51"/>
      <c r="U431" s="120">
        <v>0</v>
      </c>
      <c r="V431" s="888">
        <v>0</v>
      </c>
      <c r="W431" s="51"/>
      <c r="X431" s="1613">
        <f t="shared" si="35"/>
        <v>0</v>
      </c>
      <c r="Y431" s="1614">
        <f t="shared" si="32"/>
        <v>0</v>
      </c>
      <c r="Z431" s="43"/>
      <c r="AA431" s="1621">
        <f t="shared" si="34"/>
        <v>0</v>
      </c>
      <c r="AB431" s="43"/>
      <c r="AC431" s="43"/>
      <c r="AD431" s="43"/>
      <c r="AE431" s="43"/>
      <c r="AF431" s="43"/>
      <c r="AG431" s="43"/>
      <c r="AH431" s="43"/>
      <c r="AI431" s="43"/>
    </row>
    <row r="432" spans="1:35" ht="15.75">
      <c r="A432" s="88">
        <v>7801</v>
      </c>
      <c r="B432" s="378" t="s">
        <v>828</v>
      </c>
      <c r="C432" s="1033"/>
      <c r="D432" s="1033"/>
      <c r="E432" s="1033"/>
      <c r="F432" s="1033"/>
      <c r="G432" s="1033"/>
      <c r="H432" s="1033"/>
      <c r="I432" s="1033"/>
      <c r="J432" s="1033"/>
      <c r="K432" s="1033"/>
      <c r="L432" s="90"/>
      <c r="M432" s="51" t="s">
        <v>265</v>
      </c>
      <c r="N432" s="113">
        <f t="shared" si="33"/>
        <v>7801</v>
      </c>
      <c r="O432" s="120">
        <v>22674.97</v>
      </c>
      <c r="P432" s="888">
        <v>0</v>
      </c>
      <c r="Q432" s="51"/>
      <c r="R432" s="581">
        <v>0</v>
      </c>
      <c r="S432" s="891">
        <v>0</v>
      </c>
      <c r="T432" s="51"/>
      <c r="U432" s="120">
        <v>0</v>
      </c>
      <c r="V432" s="888">
        <v>0</v>
      </c>
      <c r="W432" s="51"/>
      <c r="X432" s="1613">
        <f t="shared" si="35"/>
        <v>22674.97</v>
      </c>
      <c r="Y432" s="1614">
        <f t="shared" si="32"/>
        <v>0</v>
      </c>
      <c r="Z432" s="43"/>
      <c r="AA432" s="1621">
        <f t="shared" si="34"/>
        <v>0</v>
      </c>
      <c r="AB432" s="43"/>
      <c r="AC432" s="43"/>
      <c r="AD432" s="43"/>
      <c r="AE432" s="43"/>
      <c r="AF432" s="43"/>
      <c r="AG432" s="43"/>
      <c r="AH432" s="43"/>
      <c r="AI432" s="43"/>
    </row>
    <row r="433" spans="1:35" ht="15.75">
      <c r="A433" s="88">
        <v>7802</v>
      </c>
      <c r="B433" s="378" t="s">
        <v>829</v>
      </c>
      <c r="C433" s="1033"/>
      <c r="D433" s="1033"/>
      <c r="E433" s="1033"/>
      <c r="F433" s="1033"/>
      <c r="G433" s="1033"/>
      <c r="H433" s="1033"/>
      <c r="I433" s="1033"/>
      <c r="J433" s="1033"/>
      <c r="K433" s="1033"/>
      <c r="L433" s="90"/>
      <c r="M433" s="51" t="s">
        <v>265</v>
      </c>
      <c r="N433" s="113">
        <f t="shared" si="33"/>
        <v>7802</v>
      </c>
      <c r="O433" s="120">
        <v>0</v>
      </c>
      <c r="P433" s="888">
        <v>0</v>
      </c>
      <c r="Q433" s="51"/>
      <c r="R433" s="581">
        <v>0</v>
      </c>
      <c r="S433" s="891">
        <v>0</v>
      </c>
      <c r="T433" s="51"/>
      <c r="U433" s="120">
        <v>0</v>
      </c>
      <c r="V433" s="888">
        <v>0</v>
      </c>
      <c r="W433" s="51"/>
      <c r="X433" s="1613">
        <f t="shared" si="35"/>
        <v>0</v>
      </c>
      <c r="Y433" s="1614">
        <f t="shared" si="32"/>
        <v>0</v>
      </c>
      <c r="Z433" s="43"/>
      <c r="AA433" s="1621">
        <f t="shared" si="34"/>
        <v>0</v>
      </c>
      <c r="AB433" s="43"/>
      <c r="AC433" s="43"/>
      <c r="AD433" s="43"/>
      <c r="AE433" s="43"/>
      <c r="AF433" s="43"/>
      <c r="AG433" s="43"/>
      <c r="AH433" s="43"/>
      <c r="AI433" s="43"/>
    </row>
    <row r="434" spans="1:35" ht="15.75">
      <c r="A434" s="88">
        <v>7803</v>
      </c>
      <c r="B434" s="1042" t="s">
        <v>830</v>
      </c>
      <c r="C434" s="1033"/>
      <c r="D434" s="1033"/>
      <c r="E434" s="1033"/>
      <c r="F434" s="1033"/>
      <c r="G434" s="1033"/>
      <c r="H434" s="1033"/>
      <c r="I434" s="1033"/>
      <c r="J434" s="1033"/>
      <c r="K434" s="1033"/>
      <c r="L434" s="90"/>
      <c r="M434" s="51" t="s">
        <v>265</v>
      </c>
      <c r="N434" s="113">
        <f>+A434</f>
        <v>7803</v>
      </c>
      <c r="O434" s="120">
        <v>0</v>
      </c>
      <c r="P434" s="888">
        <v>0</v>
      </c>
      <c r="Q434" s="51"/>
      <c r="R434" s="581">
        <v>0</v>
      </c>
      <c r="S434" s="891">
        <v>0</v>
      </c>
      <c r="T434" s="51"/>
      <c r="U434" s="120">
        <v>0</v>
      </c>
      <c r="V434" s="888">
        <v>0</v>
      </c>
      <c r="W434" s="51"/>
      <c r="X434" s="1613">
        <f t="shared" si="35"/>
        <v>0</v>
      </c>
      <c r="Y434" s="1614">
        <f t="shared" ref="Y434:Y461" si="36">+ROUND(+P434+S434+V434,2)</f>
        <v>0</v>
      </c>
      <c r="Z434" s="43"/>
      <c r="AA434" s="1621">
        <f t="shared" si="34"/>
        <v>0</v>
      </c>
      <c r="AB434" s="43"/>
      <c r="AC434" s="43"/>
      <c r="AD434" s="43"/>
      <c r="AE434" s="43"/>
      <c r="AF434" s="43"/>
      <c r="AG434" s="43"/>
      <c r="AH434" s="43"/>
      <c r="AI434" s="43"/>
    </row>
    <row r="435" spans="1:35" ht="15.75">
      <c r="A435" s="88">
        <v>7804</v>
      </c>
      <c r="B435" s="1042" t="s">
        <v>831</v>
      </c>
      <c r="C435" s="1033"/>
      <c r="D435" s="1033"/>
      <c r="E435" s="1033"/>
      <c r="F435" s="1033"/>
      <c r="G435" s="1033"/>
      <c r="H435" s="1033"/>
      <c r="I435" s="1033"/>
      <c r="J435" s="1033"/>
      <c r="K435" s="1033"/>
      <c r="L435" s="90"/>
      <c r="M435" s="51" t="s">
        <v>265</v>
      </c>
      <c r="N435" s="113">
        <f>+A435</f>
        <v>7804</v>
      </c>
      <c r="O435" s="120">
        <v>0</v>
      </c>
      <c r="P435" s="888">
        <v>0</v>
      </c>
      <c r="Q435" s="51"/>
      <c r="R435" s="581">
        <v>0</v>
      </c>
      <c r="S435" s="891">
        <v>0</v>
      </c>
      <c r="T435" s="51"/>
      <c r="U435" s="120">
        <v>0</v>
      </c>
      <c r="V435" s="888">
        <v>0</v>
      </c>
      <c r="W435" s="51"/>
      <c r="X435" s="1613">
        <f t="shared" si="35"/>
        <v>0</v>
      </c>
      <c r="Y435" s="1614">
        <f t="shared" si="36"/>
        <v>0</v>
      </c>
      <c r="Z435" s="43"/>
      <c r="AA435" s="1621">
        <f t="shared" si="34"/>
        <v>0</v>
      </c>
      <c r="AB435" s="43"/>
      <c r="AC435" s="43"/>
      <c r="AD435" s="43"/>
      <c r="AE435" s="43"/>
      <c r="AF435" s="43"/>
      <c r="AG435" s="43"/>
      <c r="AH435" s="43"/>
      <c r="AI435" s="43"/>
    </row>
    <row r="436" spans="1:35" ht="15.75">
      <c r="A436" s="88">
        <v>7807</v>
      </c>
      <c r="B436" s="378" t="s">
        <v>832</v>
      </c>
      <c r="C436" s="1033"/>
      <c r="D436" s="1033"/>
      <c r="E436" s="1033"/>
      <c r="F436" s="1033"/>
      <c r="G436" s="1033"/>
      <c r="H436" s="1033"/>
      <c r="I436" s="1033"/>
      <c r="J436" s="1033"/>
      <c r="K436" s="1033"/>
      <c r="L436" s="90"/>
      <c r="M436" s="51" t="s">
        <v>265</v>
      </c>
      <c r="N436" s="113">
        <f t="shared" si="33"/>
        <v>7807</v>
      </c>
      <c r="O436" s="120">
        <v>0</v>
      </c>
      <c r="P436" s="888">
        <v>0</v>
      </c>
      <c r="Q436" s="51"/>
      <c r="R436" s="581">
        <v>0</v>
      </c>
      <c r="S436" s="891">
        <v>0</v>
      </c>
      <c r="T436" s="51"/>
      <c r="U436" s="120">
        <v>0</v>
      </c>
      <c r="V436" s="888">
        <v>0</v>
      </c>
      <c r="W436" s="51"/>
      <c r="X436" s="1613">
        <f t="shared" si="35"/>
        <v>0</v>
      </c>
      <c r="Y436" s="1614">
        <f t="shared" si="36"/>
        <v>0</v>
      </c>
      <c r="Z436" s="43"/>
      <c r="AA436" s="1621">
        <f t="shared" si="34"/>
        <v>0</v>
      </c>
      <c r="AB436" s="43"/>
      <c r="AC436" s="43"/>
      <c r="AD436" s="43"/>
      <c r="AE436" s="43"/>
      <c r="AF436" s="43"/>
      <c r="AG436" s="43"/>
      <c r="AH436" s="43"/>
      <c r="AI436" s="43"/>
    </row>
    <row r="437" spans="1:35" ht="15.75">
      <c r="A437" s="88">
        <v>7808</v>
      </c>
      <c r="B437" s="378" t="s">
        <v>833</v>
      </c>
      <c r="C437" s="1033"/>
      <c r="D437" s="1033"/>
      <c r="E437" s="1033"/>
      <c r="F437" s="1033"/>
      <c r="G437" s="1033"/>
      <c r="H437" s="1033"/>
      <c r="I437" s="1033"/>
      <c r="J437" s="1033"/>
      <c r="K437" s="1033"/>
      <c r="L437" s="90"/>
      <c r="M437" s="51" t="s">
        <v>265</v>
      </c>
      <c r="N437" s="113">
        <f t="shared" si="33"/>
        <v>7808</v>
      </c>
      <c r="O437" s="120">
        <v>0</v>
      </c>
      <c r="P437" s="888">
        <v>0</v>
      </c>
      <c r="Q437" s="51"/>
      <c r="R437" s="581">
        <v>0</v>
      </c>
      <c r="S437" s="891">
        <v>0</v>
      </c>
      <c r="T437" s="51"/>
      <c r="U437" s="120">
        <v>0</v>
      </c>
      <c r="V437" s="888">
        <v>0</v>
      </c>
      <c r="W437" s="51"/>
      <c r="X437" s="1613">
        <f t="shared" si="35"/>
        <v>0</v>
      </c>
      <c r="Y437" s="1614">
        <f t="shared" si="36"/>
        <v>0</v>
      </c>
      <c r="Z437" s="43"/>
      <c r="AA437" s="1621">
        <f t="shared" si="34"/>
        <v>0</v>
      </c>
      <c r="AB437" s="43"/>
      <c r="AC437" s="43"/>
      <c r="AD437" s="43"/>
      <c r="AE437" s="43"/>
      <c r="AF437" s="43"/>
      <c r="AG437" s="43"/>
      <c r="AH437" s="43"/>
      <c r="AI437" s="43"/>
    </row>
    <row r="438" spans="1:35" ht="15.75">
      <c r="A438" s="88">
        <v>7901</v>
      </c>
      <c r="B438" s="1042" t="s">
        <v>834</v>
      </c>
      <c r="C438" s="1033"/>
      <c r="D438" s="1033"/>
      <c r="E438" s="1033"/>
      <c r="F438" s="1033"/>
      <c r="G438" s="1033"/>
      <c r="H438" s="1033"/>
      <c r="I438" s="1033"/>
      <c r="J438" s="1033"/>
      <c r="K438" s="1033"/>
      <c r="L438" s="90"/>
      <c r="M438" s="51" t="s">
        <v>265</v>
      </c>
      <c r="N438" s="113">
        <f t="shared" si="33"/>
        <v>7901</v>
      </c>
      <c r="O438" s="120">
        <v>0</v>
      </c>
      <c r="P438" s="888">
        <v>0</v>
      </c>
      <c r="Q438" s="51"/>
      <c r="R438" s="581">
        <v>0</v>
      </c>
      <c r="S438" s="891">
        <v>0</v>
      </c>
      <c r="T438" s="51"/>
      <c r="U438" s="120">
        <v>0</v>
      </c>
      <c r="V438" s="888">
        <v>0</v>
      </c>
      <c r="W438" s="51"/>
      <c r="X438" s="1613">
        <f t="shared" si="35"/>
        <v>0</v>
      </c>
      <c r="Y438" s="1614">
        <f t="shared" si="36"/>
        <v>0</v>
      </c>
      <c r="Z438" s="43"/>
      <c r="AA438" s="1621">
        <f t="shared" si="34"/>
        <v>0</v>
      </c>
      <c r="AB438" s="43"/>
      <c r="AC438" s="43"/>
      <c r="AD438" s="43"/>
      <c r="AE438" s="43"/>
      <c r="AF438" s="43"/>
      <c r="AG438" s="43"/>
      <c r="AH438" s="43"/>
      <c r="AI438" s="43"/>
    </row>
    <row r="439" spans="1:35" ht="15.75">
      <c r="A439" s="88">
        <v>7902</v>
      </c>
      <c r="B439" s="1042" t="s">
        <v>835</v>
      </c>
      <c r="C439" s="1033"/>
      <c r="D439" s="1033"/>
      <c r="E439" s="1033"/>
      <c r="F439" s="1033"/>
      <c r="G439" s="1033"/>
      <c r="H439" s="1033"/>
      <c r="I439" s="1033"/>
      <c r="J439" s="1033"/>
      <c r="K439" s="1033"/>
      <c r="L439" s="90"/>
      <c r="M439" s="51" t="s">
        <v>265</v>
      </c>
      <c r="N439" s="113">
        <f t="shared" si="33"/>
        <v>7902</v>
      </c>
      <c r="O439" s="120">
        <v>0</v>
      </c>
      <c r="P439" s="888">
        <v>0</v>
      </c>
      <c r="Q439" s="51"/>
      <c r="R439" s="581">
        <v>0</v>
      </c>
      <c r="S439" s="891">
        <v>0</v>
      </c>
      <c r="T439" s="51"/>
      <c r="U439" s="120">
        <v>0</v>
      </c>
      <c r="V439" s="888">
        <v>0</v>
      </c>
      <c r="W439" s="51"/>
      <c r="X439" s="1613">
        <f t="shared" si="35"/>
        <v>0</v>
      </c>
      <c r="Y439" s="1614">
        <f t="shared" si="36"/>
        <v>0</v>
      </c>
      <c r="Z439" s="43"/>
      <c r="AA439" s="1621">
        <f t="shared" si="34"/>
        <v>0</v>
      </c>
      <c r="AB439" s="43"/>
      <c r="AC439" s="43"/>
      <c r="AD439" s="43"/>
      <c r="AE439" s="43"/>
      <c r="AF439" s="43"/>
      <c r="AG439" s="43"/>
      <c r="AH439" s="43"/>
      <c r="AI439" s="43"/>
    </row>
    <row r="440" spans="1:35" ht="15.75">
      <c r="A440" s="88">
        <v>7903</v>
      </c>
      <c r="B440" s="1042" t="s">
        <v>836</v>
      </c>
      <c r="C440" s="1033"/>
      <c r="D440" s="1033"/>
      <c r="E440" s="1033"/>
      <c r="F440" s="1033"/>
      <c r="G440" s="1033"/>
      <c r="H440" s="1033"/>
      <c r="I440" s="1033"/>
      <c r="J440" s="1033"/>
      <c r="K440" s="1033"/>
      <c r="L440" s="90"/>
      <c r="M440" s="51" t="s">
        <v>265</v>
      </c>
      <c r="N440" s="113">
        <f t="shared" si="33"/>
        <v>7903</v>
      </c>
      <c r="O440" s="120">
        <v>0</v>
      </c>
      <c r="P440" s="888">
        <v>0</v>
      </c>
      <c r="Q440" s="51"/>
      <c r="R440" s="581">
        <v>0</v>
      </c>
      <c r="S440" s="891">
        <v>0</v>
      </c>
      <c r="T440" s="51"/>
      <c r="U440" s="120">
        <v>0</v>
      </c>
      <c r="V440" s="888">
        <v>0</v>
      </c>
      <c r="W440" s="51"/>
      <c r="X440" s="1613">
        <f t="shared" si="35"/>
        <v>0</v>
      </c>
      <c r="Y440" s="1614">
        <f t="shared" si="36"/>
        <v>0</v>
      </c>
      <c r="Z440" s="43"/>
      <c r="AA440" s="1621">
        <f t="shared" si="34"/>
        <v>0</v>
      </c>
      <c r="AB440" s="43"/>
      <c r="AC440" s="43"/>
      <c r="AD440" s="43"/>
      <c r="AE440" s="43"/>
      <c r="AF440" s="43"/>
      <c r="AG440" s="43"/>
      <c r="AH440" s="43"/>
      <c r="AI440" s="43"/>
    </row>
    <row r="441" spans="1:35" ht="15.75">
      <c r="A441" s="88">
        <v>7904</v>
      </c>
      <c r="B441" s="1042" t="s">
        <v>837</v>
      </c>
      <c r="C441" s="1033"/>
      <c r="D441" s="1033"/>
      <c r="E441" s="1033"/>
      <c r="F441" s="1033"/>
      <c r="G441" s="1033"/>
      <c r="H441" s="1033"/>
      <c r="I441" s="1033"/>
      <c r="J441" s="1033"/>
      <c r="K441" s="1033"/>
      <c r="L441" s="90"/>
      <c r="M441" s="51" t="s">
        <v>265</v>
      </c>
      <c r="N441" s="113">
        <f t="shared" si="33"/>
        <v>7904</v>
      </c>
      <c r="O441" s="120">
        <v>0</v>
      </c>
      <c r="P441" s="888">
        <v>0</v>
      </c>
      <c r="Q441" s="51"/>
      <c r="R441" s="581">
        <v>0</v>
      </c>
      <c r="S441" s="891">
        <v>0</v>
      </c>
      <c r="T441" s="51"/>
      <c r="U441" s="120">
        <v>0</v>
      </c>
      <c r="V441" s="888">
        <v>0</v>
      </c>
      <c r="W441" s="51"/>
      <c r="X441" s="1613">
        <f t="shared" si="35"/>
        <v>0</v>
      </c>
      <c r="Y441" s="1614">
        <f t="shared" si="36"/>
        <v>0</v>
      </c>
      <c r="Z441" s="43"/>
      <c r="AA441" s="1621">
        <f t="shared" si="34"/>
        <v>0</v>
      </c>
      <c r="AB441" s="43"/>
      <c r="AC441" s="43"/>
      <c r="AD441" s="43"/>
      <c r="AE441" s="43"/>
      <c r="AF441" s="43"/>
      <c r="AG441" s="43"/>
      <c r="AH441" s="43"/>
      <c r="AI441" s="43"/>
    </row>
    <row r="442" spans="1:35" ht="15.75">
      <c r="A442" s="88">
        <v>7905</v>
      </c>
      <c r="B442" s="1042" t="s">
        <v>838</v>
      </c>
      <c r="C442" s="1033"/>
      <c r="D442" s="1033"/>
      <c r="E442" s="1033"/>
      <c r="F442" s="1033"/>
      <c r="G442" s="1033"/>
      <c r="H442" s="1033"/>
      <c r="I442" s="1033"/>
      <c r="J442" s="1033"/>
      <c r="K442" s="1033"/>
      <c r="L442" s="90"/>
      <c r="M442" s="51" t="s">
        <v>265</v>
      </c>
      <c r="N442" s="113">
        <f t="shared" si="33"/>
        <v>7905</v>
      </c>
      <c r="O442" s="120">
        <v>0</v>
      </c>
      <c r="P442" s="888">
        <v>0</v>
      </c>
      <c r="Q442" s="51"/>
      <c r="R442" s="581">
        <v>0</v>
      </c>
      <c r="S442" s="891">
        <v>0</v>
      </c>
      <c r="T442" s="51"/>
      <c r="U442" s="120">
        <v>0</v>
      </c>
      <c r="V442" s="888">
        <v>0</v>
      </c>
      <c r="W442" s="51"/>
      <c r="X442" s="1613">
        <f t="shared" si="35"/>
        <v>0</v>
      </c>
      <c r="Y442" s="1614">
        <f t="shared" si="36"/>
        <v>0</v>
      </c>
      <c r="Z442" s="43"/>
      <c r="AA442" s="1621">
        <f t="shared" si="34"/>
        <v>0</v>
      </c>
      <c r="AB442" s="43"/>
      <c r="AC442" s="43"/>
      <c r="AD442" s="43"/>
      <c r="AE442" s="43"/>
      <c r="AF442" s="43"/>
      <c r="AG442" s="43"/>
      <c r="AH442" s="43"/>
      <c r="AI442" s="43"/>
    </row>
    <row r="443" spans="1:35" ht="15.75">
      <c r="A443" s="88">
        <v>7906</v>
      </c>
      <c r="B443" s="1042" t="s">
        <v>839</v>
      </c>
      <c r="C443" s="1033"/>
      <c r="D443" s="1033"/>
      <c r="E443" s="1033"/>
      <c r="F443" s="1033"/>
      <c r="G443" s="1033"/>
      <c r="H443" s="1033"/>
      <c r="I443" s="1033"/>
      <c r="J443" s="1033"/>
      <c r="K443" s="1033"/>
      <c r="L443" s="90"/>
      <c r="M443" s="51" t="s">
        <v>265</v>
      </c>
      <c r="N443" s="113">
        <f t="shared" si="33"/>
        <v>7906</v>
      </c>
      <c r="O443" s="120">
        <v>0</v>
      </c>
      <c r="P443" s="888">
        <v>0</v>
      </c>
      <c r="Q443" s="51"/>
      <c r="R443" s="581">
        <v>0</v>
      </c>
      <c r="S443" s="891">
        <v>0</v>
      </c>
      <c r="T443" s="51"/>
      <c r="U443" s="120">
        <v>0</v>
      </c>
      <c r="V443" s="888">
        <v>0</v>
      </c>
      <c r="W443" s="51"/>
      <c r="X443" s="1613">
        <f t="shared" si="35"/>
        <v>0</v>
      </c>
      <c r="Y443" s="1614">
        <f t="shared" si="36"/>
        <v>0</v>
      </c>
      <c r="Z443" s="43"/>
      <c r="AA443" s="1621">
        <f t="shared" si="34"/>
        <v>0</v>
      </c>
      <c r="AB443" s="43"/>
      <c r="AC443" s="43"/>
      <c r="AD443" s="43"/>
      <c r="AE443" s="43"/>
      <c r="AF443" s="43"/>
      <c r="AG443" s="43"/>
      <c r="AH443" s="43"/>
      <c r="AI443" s="43"/>
    </row>
    <row r="444" spans="1:35" ht="15.75">
      <c r="A444" s="88">
        <v>7911</v>
      </c>
      <c r="B444" s="1042" t="s">
        <v>840</v>
      </c>
      <c r="C444" s="1033"/>
      <c r="D444" s="1033"/>
      <c r="E444" s="1033"/>
      <c r="F444" s="1033"/>
      <c r="G444" s="1033"/>
      <c r="H444" s="1033"/>
      <c r="I444" s="1033"/>
      <c r="J444" s="1033"/>
      <c r="K444" s="1033"/>
      <c r="L444" s="90"/>
      <c r="M444" s="51" t="s">
        <v>265</v>
      </c>
      <c r="N444" s="113">
        <f t="shared" si="33"/>
        <v>7911</v>
      </c>
      <c r="O444" s="120">
        <v>0</v>
      </c>
      <c r="P444" s="888">
        <v>0</v>
      </c>
      <c r="Q444" s="51"/>
      <c r="R444" s="581">
        <v>0</v>
      </c>
      <c r="S444" s="891">
        <v>0</v>
      </c>
      <c r="T444" s="51"/>
      <c r="U444" s="120">
        <v>0</v>
      </c>
      <c r="V444" s="888">
        <v>0</v>
      </c>
      <c r="W444" s="51"/>
      <c r="X444" s="1613">
        <f t="shared" si="35"/>
        <v>0</v>
      </c>
      <c r="Y444" s="1614">
        <f t="shared" si="36"/>
        <v>0</v>
      </c>
      <c r="Z444" s="43"/>
      <c r="AA444" s="1621">
        <f t="shared" si="34"/>
        <v>0</v>
      </c>
      <c r="AB444" s="43"/>
      <c r="AC444" s="43"/>
      <c r="AD444" s="43"/>
      <c r="AE444" s="43"/>
      <c r="AF444" s="43"/>
      <c r="AG444" s="43"/>
      <c r="AH444" s="43"/>
      <c r="AI444" s="43"/>
    </row>
    <row r="445" spans="1:35" ht="15.75">
      <c r="A445" s="88">
        <v>7912</v>
      </c>
      <c r="B445" s="1042" t="s">
        <v>841</v>
      </c>
      <c r="C445" s="1033"/>
      <c r="D445" s="1033"/>
      <c r="E445" s="1033"/>
      <c r="F445" s="1033"/>
      <c r="G445" s="1033"/>
      <c r="H445" s="1033"/>
      <c r="I445" s="1033"/>
      <c r="J445" s="1033"/>
      <c r="K445" s="1033"/>
      <c r="L445" s="90"/>
      <c r="M445" s="51" t="s">
        <v>265</v>
      </c>
      <c r="N445" s="113">
        <f t="shared" si="33"/>
        <v>7912</v>
      </c>
      <c r="O445" s="120">
        <v>0</v>
      </c>
      <c r="P445" s="888">
        <v>0</v>
      </c>
      <c r="Q445" s="51"/>
      <c r="R445" s="581">
        <v>0</v>
      </c>
      <c r="S445" s="891">
        <v>0</v>
      </c>
      <c r="T445" s="51"/>
      <c r="U445" s="120">
        <v>0</v>
      </c>
      <c r="V445" s="888">
        <v>0</v>
      </c>
      <c r="W445" s="51"/>
      <c r="X445" s="1613">
        <f t="shared" si="35"/>
        <v>0</v>
      </c>
      <c r="Y445" s="1614">
        <f t="shared" si="36"/>
        <v>0</v>
      </c>
      <c r="Z445" s="43"/>
      <c r="AA445" s="1621">
        <f t="shared" si="34"/>
        <v>0</v>
      </c>
      <c r="AB445" s="43"/>
      <c r="AC445" s="43"/>
      <c r="AD445" s="43"/>
      <c r="AE445" s="43"/>
      <c r="AF445" s="43"/>
      <c r="AG445" s="43"/>
      <c r="AH445" s="43"/>
      <c r="AI445" s="43"/>
    </row>
    <row r="446" spans="1:35" ht="15.75">
      <c r="A446" s="88">
        <v>7915</v>
      </c>
      <c r="B446" s="1042" t="s">
        <v>842</v>
      </c>
      <c r="C446" s="1033"/>
      <c r="D446" s="1033"/>
      <c r="E446" s="1033"/>
      <c r="F446" s="1033"/>
      <c r="G446" s="1033"/>
      <c r="H446" s="1033"/>
      <c r="I446" s="1033"/>
      <c r="J446" s="1033"/>
      <c r="K446" s="1033"/>
      <c r="L446" s="90"/>
      <c r="M446" s="51" t="s">
        <v>265</v>
      </c>
      <c r="N446" s="113">
        <f>+A446</f>
        <v>7915</v>
      </c>
      <c r="O446" s="120">
        <v>0</v>
      </c>
      <c r="P446" s="888">
        <v>0</v>
      </c>
      <c r="Q446" s="51"/>
      <c r="R446" s="581">
        <v>0</v>
      </c>
      <c r="S446" s="891">
        <v>0</v>
      </c>
      <c r="T446" s="51"/>
      <c r="U446" s="120">
        <v>0</v>
      </c>
      <c r="V446" s="888">
        <v>0</v>
      </c>
      <c r="W446" s="51"/>
      <c r="X446" s="1613">
        <f t="shared" si="35"/>
        <v>0</v>
      </c>
      <c r="Y446" s="1614">
        <f t="shared" si="36"/>
        <v>0</v>
      </c>
      <c r="Z446" s="43"/>
      <c r="AA446" s="1621">
        <f t="shared" si="34"/>
        <v>0</v>
      </c>
      <c r="AB446" s="43"/>
      <c r="AC446" s="43"/>
      <c r="AD446" s="43"/>
      <c r="AE446" s="43"/>
      <c r="AF446" s="43"/>
      <c r="AG446" s="43"/>
      <c r="AH446" s="43"/>
      <c r="AI446" s="43"/>
    </row>
    <row r="447" spans="1:35" ht="15.75">
      <c r="A447" s="88">
        <v>7916</v>
      </c>
      <c r="B447" s="1042" t="s">
        <v>843</v>
      </c>
      <c r="C447" s="1033"/>
      <c r="D447" s="1033"/>
      <c r="E447" s="1033"/>
      <c r="F447" s="1033"/>
      <c r="G447" s="1033"/>
      <c r="H447" s="1033"/>
      <c r="I447" s="1033"/>
      <c r="J447" s="1033"/>
      <c r="K447" s="1033"/>
      <c r="L447" s="90"/>
      <c r="M447" s="51" t="s">
        <v>265</v>
      </c>
      <c r="N447" s="113">
        <f>+A447</f>
        <v>7916</v>
      </c>
      <c r="O447" s="120">
        <v>0</v>
      </c>
      <c r="P447" s="888">
        <v>0</v>
      </c>
      <c r="Q447" s="51"/>
      <c r="R447" s="581">
        <v>0</v>
      </c>
      <c r="S447" s="891">
        <v>0</v>
      </c>
      <c r="T447" s="51"/>
      <c r="U447" s="120">
        <v>0</v>
      </c>
      <c r="V447" s="888">
        <v>0</v>
      </c>
      <c r="W447" s="51"/>
      <c r="X447" s="1613">
        <f t="shared" si="35"/>
        <v>0</v>
      </c>
      <c r="Y447" s="1614">
        <f t="shared" si="36"/>
        <v>0</v>
      </c>
      <c r="Z447" s="43"/>
      <c r="AA447" s="1621">
        <f t="shared" si="34"/>
        <v>0</v>
      </c>
      <c r="AB447" s="43"/>
      <c r="AC447" s="43"/>
      <c r="AD447" s="43"/>
      <c r="AE447" s="43"/>
      <c r="AF447" s="43"/>
      <c r="AG447" s="43"/>
      <c r="AH447" s="43"/>
      <c r="AI447" s="43"/>
    </row>
    <row r="448" spans="1:35" ht="15.75">
      <c r="A448" s="88">
        <v>7917</v>
      </c>
      <c r="B448" s="1033" t="s">
        <v>844</v>
      </c>
      <c r="C448" s="1033"/>
      <c r="D448" s="1033"/>
      <c r="E448" s="1033"/>
      <c r="F448" s="1033"/>
      <c r="G448" s="1033"/>
      <c r="H448" s="1033"/>
      <c r="I448" s="1033"/>
      <c r="J448" s="1033"/>
      <c r="K448" s="1033"/>
      <c r="L448" s="90"/>
      <c r="M448" s="51" t="s">
        <v>265</v>
      </c>
      <c r="N448" s="113">
        <f t="shared" si="33"/>
        <v>7917</v>
      </c>
      <c r="O448" s="120">
        <v>0</v>
      </c>
      <c r="P448" s="888">
        <v>0</v>
      </c>
      <c r="Q448" s="51"/>
      <c r="R448" s="581">
        <v>0</v>
      </c>
      <c r="S448" s="891">
        <v>0</v>
      </c>
      <c r="T448" s="51"/>
      <c r="U448" s="120">
        <v>0</v>
      </c>
      <c r="V448" s="888">
        <v>0</v>
      </c>
      <c r="W448" s="51"/>
      <c r="X448" s="1613">
        <f t="shared" si="35"/>
        <v>0</v>
      </c>
      <c r="Y448" s="1614">
        <f t="shared" si="36"/>
        <v>0</v>
      </c>
      <c r="Z448" s="43"/>
      <c r="AA448" s="1621">
        <f t="shared" si="34"/>
        <v>0</v>
      </c>
      <c r="AB448" s="43"/>
      <c r="AC448" s="43"/>
      <c r="AD448" s="43"/>
      <c r="AE448" s="43"/>
      <c r="AF448" s="43"/>
      <c r="AG448" s="43"/>
      <c r="AH448" s="43"/>
      <c r="AI448" s="43"/>
    </row>
    <row r="449" spans="1:35" ht="15.75">
      <c r="A449" s="88">
        <v>7918</v>
      </c>
      <c r="B449" s="1033" t="s">
        <v>845</v>
      </c>
      <c r="C449" s="1033"/>
      <c r="D449" s="1033"/>
      <c r="E449" s="1033"/>
      <c r="F449" s="1033"/>
      <c r="G449" s="1033"/>
      <c r="H449" s="1033"/>
      <c r="I449" s="1033"/>
      <c r="J449" s="1033"/>
      <c r="K449" s="1033"/>
      <c r="L449" s="90"/>
      <c r="M449" s="51" t="s">
        <v>265</v>
      </c>
      <c r="N449" s="113">
        <f t="shared" si="33"/>
        <v>7918</v>
      </c>
      <c r="O449" s="120">
        <v>0</v>
      </c>
      <c r="P449" s="888">
        <v>0</v>
      </c>
      <c r="Q449" s="51"/>
      <c r="R449" s="581">
        <v>0</v>
      </c>
      <c r="S449" s="891">
        <v>0</v>
      </c>
      <c r="T449" s="51"/>
      <c r="U449" s="120">
        <v>0</v>
      </c>
      <c r="V449" s="888">
        <v>0</v>
      </c>
      <c r="W449" s="51"/>
      <c r="X449" s="1613">
        <f t="shared" si="35"/>
        <v>0</v>
      </c>
      <c r="Y449" s="1614">
        <f t="shared" si="36"/>
        <v>0</v>
      </c>
      <c r="Z449" s="43"/>
      <c r="AA449" s="1621">
        <f t="shared" si="34"/>
        <v>0</v>
      </c>
      <c r="AB449" s="43"/>
      <c r="AC449" s="43"/>
      <c r="AD449" s="43"/>
      <c r="AE449" s="43"/>
      <c r="AF449" s="43"/>
      <c r="AG449" s="43"/>
      <c r="AH449" s="43"/>
      <c r="AI449" s="43"/>
    </row>
    <row r="450" spans="1:35" ht="15.75">
      <c r="A450" s="88">
        <v>7922</v>
      </c>
      <c r="B450" s="1033" t="s">
        <v>846</v>
      </c>
      <c r="C450" s="1033"/>
      <c r="D450" s="1033"/>
      <c r="E450" s="1033"/>
      <c r="F450" s="1033"/>
      <c r="G450" s="1033"/>
      <c r="H450" s="1033"/>
      <c r="I450" s="1033"/>
      <c r="J450" s="1033"/>
      <c r="K450" s="1033"/>
      <c r="L450" s="90"/>
      <c r="M450" s="51" t="s">
        <v>265</v>
      </c>
      <c r="N450" s="113">
        <f t="shared" si="33"/>
        <v>7922</v>
      </c>
      <c r="O450" s="120">
        <v>0</v>
      </c>
      <c r="P450" s="888">
        <v>0</v>
      </c>
      <c r="Q450" s="51"/>
      <c r="R450" s="581">
        <v>0</v>
      </c>
      <c r="S450" s="891">
        <v>0</v>
      </c>
      <c r="T450" s="51"/>
      <c r="U450" s="120">
        <v>0</v>
      </c>
      <c r="V450" s="888">
        <v>0</v>
      </c>
      <c r="W450" s="51"/>
      <c r="X450" s="1613">
        <f t="shared" si="35"/>
        <v>0</v>
      </c>
      <c r="Y450" s="1614">
        <f t="shared" si="36"/>
        <v>0</v>
      </c>
      <c r="Z450" s="43"/>
      <c r="AA450" s="1621">
        <f t="shared" si="34"/>
        <v>0</v>
      </c>
      <c r="AB450" s="43"/>
      <c r="AC450" s="43"/>
      <c r="AD450" s="43"/>
      <c r="AE450" s="43"/>
      <c r="AF450" s="43"/>
      <c r="AG450" s="43"/>
      <c r="AH450" s="43"/>
      <c r="AI450" s="43"/>
    </row>
    <row r="451" spans="1:35" ht="15.75">
      <c r="A451" s="88">
        <v>7923</v>
      </c>
      <c r="B451" s="1033" t="s">
        <v>847</v>
      </c>
      <c r="C451" s="1033"/>
      <c r="D451" s="1033"/>
      <c r="E451" s="1033"/>
      <c r="F451" s="1033"/>
      <c r="G451" s="1033"/>
      <c r="H451" s="1033"/>
      <c r="I451" s="1033"/>
      <c r="J451" s="1033"/>
      <c r="K451" s="1033"/>
      <c r="L451" s="90"/>
      <c r="M451" s="51" t="s">
        <v>265</v>
      </c>
      <c r="N451" s="113">
        <f t="shared" si="33"/>
        <v>7923</v>
      </c>
      <c r="O451" s="120">
        <v>0</v>
      </c>
      <c r="P451" s="888">
        <v>0</v>
      </c>
      <c r="Q451" s="51"/>
      <c r="R451" s="581">
        <v>0</v>
      </c>
      <c r="S451" s="891">
        <v>0</v>
      </c>
      <c r="T451" s="51"/>
      <c r="U451" s="120">
        <v>0</v>
      </c>
      <c r="V451" s="888">
        <v>0</v>
      </c>
      <c r="W451" s="51"/>
      <c r="X451" s="1613">
        <f t="shared" si="35"/>
        <v>0</v>
      </c>
      <c r="Y451" s="1614">
        <f t="shared" si="36"/>
        <v>0</v>
      </c>
      <c r="Z451" s="43"/>
      <c r="AA451" s="1621">
        <f t="shared" si="34"/>
        <v>0</v>
      </c>
      <c r="AB451" s="43"/>
      <c r="AC451" s="43"/>
      <c r="AD451" s="43"/>
      <c r="AE451" s="43"/>
      <c r="AF451" s="43"/>
      <c r="AG451" s="43"/>
      <c r="AH451" s="43"/>
      <c r="AI451" s="43"/>
    </row>
    <row r="452" spans="1:35" ht="15.75">
      <c r="A452" s="88">
        <v>7924</v>
      </c>
      <c r="B452" s="1033" t="s">
        <v>848</v>
      </c>
      <c r="C452" s="1033"/>
      <c r="D452" s="1033"/>
      <c r="E452" s="1033"/>
      <c r="F452" s="1033"/>
      <c r="G452" s="1033"/>
      <c r="H452" s="1033"/>
      <c r="I452" s="1033"/>
      <c r="J452" s="1033"/>
      <c r="K452" s="1033"/>
      <c r="L452" s="90"/>
      <c r="M452" s="51" t="s">
        <v>265</v>
      </c>
      <c r="N452" s="113">
        <f t="shared" si="33"/>
        <v>7924</v>
      </c>
      <c r="O452" s="120">
        <v>0</v>
      </c>
      <c r="P452" s="888">
        <v>0</v>
      </c>
      <c r="Q452" s="51"/>
      <c r="R452" s="581">
        <v>0</v>
      </c>
      <c r="S452" s="891">
        <v>0</v>
      </c>
      <c r="T452" s="51"/>
      <c r="U452" s="120">
        <v>0</v>
      </c>
      <c r="V452" s="888">
        <v>0</v>
      </c>
      <c r="W452" s="51"/>
      <c r="X452" s="1613">
        <f t="shared" si="35"/>
        <v>0</v>
      </c>
      <c r="Y452" s="1614">
        <f t="shared" si="36"/>
        <v>0</v>
      </c>
      <c r="Z452" s="43"/>
      <c r="AA452" s="1621">
        <f t="shared" si="34"/>
        <v>0</v>
      </c>
      <c r="AB452" s="43"/>
      <c r="AC452" s="43"/>
      <c r="AD452" s="43"/>
      <c r="AE452" s="43"/>
      <c r="AF452" s="43"/>
      <c r="AG452" s="43"/>
      <c r="AH452" s="43"/>
      <c r="AI452" s="43"/>
    </row>
    <row r="453" spans="1:35" ht="15.75">
      <c r="A453" s="88">
        <v>7925</v>
      </c>
      <c r="B453" s="1033" t="s">
        <v>849</v>
      </c>
      <c r="C453" s="1033"/>
      <c r="D453" s="1033"/>
      <c r="E453" s="1033"/>
      <c r="F453" s="1033"/>
      <c r="G453" s="1033"/>
      <c r="H453" s="1033"/>
      <c r="I453" s="1033"/>
      <c r="J453" s="1033"/>
      <c r="K453" s="1033"/>
      <c r="L453" s="90"/>
      <c r="M453" s="51" t="s">
        <v>265</v>
      </c>
      <c r="N453" s="113">
        <f t="shared" si="33"/>
        <v>7925</v>
      </c>
      <c r="O453" s="120">
        <v>0</v>
      </c>
      <c r="P453" s="888">
        <v>0</v>
      </c>
      <c r="Q453" s="51"/>
      <c r="R453" s="581">
        <v>0</v>
      </c>
      <c r="S453" s="891">
        <v>0</v>
      </c>
      <c r="T453" s="51"/>
      <c r="U453" s="120">
        <v>0</v>
      </c>
      <c r="V453" s="888">
        <v>0</v>
      </c>
      <c r="W453" s="51"/>
      <c r="X453" s="1613">
        <f t="shared" si="35"/>
        <v>0</v>
      </c>
      <c r="Y453" s="1614">
        <f t="shared" si="36"/>
        <v>0</v>
      </c>
      <c r="Z453" s="43"/>
      <c r="AA453" s="1621">
        <f t="shared" si="34"/>
        <v>0</v>
      </c>
      <c r="AB453" s="43"/>
      <c r="AC453" s="43"/>
      <c r="AD453" s="43"/>
      <c r="AE453" s="43"/>
      <c r="AF453" s="43"/>
      <c r="AG453" s="43"/>
      <c r="AH453" s="43"/>
      <c r="AI453" s="43"/>
    </row>
    <row r="454" spans="1:35" ht="15.75">
      <c r="A454" s="88">
        <v>7926</v>
      </c>
      <c r="B454" s="1033" t="s">
        <v>850</v>
      </c>
      <c r="C454" s="1033"/>
      <c r="D454" s="1033"/>
      <c r="E454" s="1033"/>
      <c r="F454" s="1033"/>
      <c r="G454" s="1033"/>
      <c r="H454" s="1033"/>
      <c r="I454" s="1033"/>
      <c r="J454" s="1033"/>
      <c r="K454" s="1033"/>
      <c r="L454" s="90"/>
      <c r="M454" s="51" t="s">
        <v>265</v>
      </c>
      <c r="N454" s="113">
        <f t="shared" si="33"/>
        <v>7926</v>
      </c>
      <c r="O454" s="120">
        <v>0</v>
      </c>
      <c r="P454" s="888">
        <v>0</v>
      </c>
      <c r="Q454" s="51"/>
      <c r="R454" s="581">
        <v>0</v>
      </c>
      <c r="S454" s="891">
        <v>0</v>
      </c>
      <c r="T454" s="51"/>
      <c r="U454" s="120">
        <v>0</v>
      </c>
      <c r="V454" s="888">
        <v>0</v>
      </c>
      <c r="W454" s="51"/>
      <c r="X454" s="1613">
        <f t="shared" si="35"/>
        <v>0</v>
      </c>
      <c r="Y454" s="1614">
        <f t="shared" si="36"/>
        <v>0</v>
      </c>
      <c r="Z454" s="43"/>
      <c r="AA454" s="1621">
        <f t="shared" si="34"/>
        <v>0</v>
      </c>
      <c r="AB454" s="43"/>
      <c r="AC454" s="43"/>
      <c r="AD454" s="43"/>
      <c r="AE454" s="43"/>
      <c r="AF454" s="43"/>
      <c r="AG454" s="43"/>
      <c r="AH454" s="43"/>
      <c r="AI454" s="43"/>
    </row>
    <row r="455" spans="1:35" ht="15.75">
      <c r="A455" s="88">
        <v>7992</v>
      </c>
      <c r="B455" s="1033" t="s">
        <v>851</v>
      </c>
      <c r="C455" s="1033"/>
      <c r="D455" s="1033"/>
      <c r="E455" s="1033"/>
      <c r="F455" s="1033"/>
      <c r="G455" s="1033"/>
      <c r="H455" s="1033"/>
      <c r="I455" s="1033"/>
      <c r="J455" s="1033"/>
      <c r="K455" s="1033"/>
      <c r="L455" s="90"/>
      <c r="M455" s="51" t="s">
        <v>265</v>
      </c>
      <c r="N455" s="113">
        <f t="shared" si="33"/>
        <v>7992</v>
      </c>
      <c r="O455" s="120">
        <v>0</v>
      </c>
      <c r="P455" s="888">
        <v>0</v>
      </c>
      <c r="Q455" s="51"/>
      <c r="R455" s="581">
        <v>0</v>
      </c>
      <c r="S455" s="891">
        <v>0</v>
      </c>
      <c r="T455" s="51"/>
      <c r="U455" s="120">
        <v>0</v>
      </c>
      <c r="V455" s="888">
        <v>0</v>
      </c>
      <c r="W455" s="51"/>
      <c r="X455" s="1613">
        <f t="shared" si="35"/>
        <v>0</v>
      </c>
      <c r="Y455" s="1614">
        <f t="shared" si="36"/>
        <v>0</v>
      </c>
      <c r="Z455" s="43"/>
      <c r="AA455" s="1621">
        <f t="shared" si="34"/>
        <v>0</v>
      </c>
      <c r="AB455" s="43"/>
      <c r="AC455" s="43"/>
      <c r="AD455" s="43"/>
      <c r="AE455" s="43"/>
      <c r="AF455" s="43"/>
      <c r="AG455" s="43"/>
      <c r="AH455" s="43"/>
      <c r="AI455" s="43"/>
    </row>
    <row r="456" spans="1:35" ht="15.75">
      <c r="A456" s="88">
        <v>7993</v>
      </c>
      <c r="B456" s="1033" t="s">
        <v>852</v>
      </c>
      <c r="C456" s="1033"/>
      <c r="D456" s="1033"/>
      <c r="E456" s="1033"/>
      <c r="F456" s="1033"/>
      <c r="G456" s="1033"/>
      <c r="H456" s="1033"/>
      <c r="I456" s="1033"/>
      <c r="J456" s="1033"/>
      <c r="K456" s="1033"/>
      <c r="L456" s="90"/>
      <c r="M456" s="51" t="s">
        <v>265</v>
      </c>
      <c r="N456" s="113">
        <f t="shared" si="33"/>
        <v>7993</v>
      </c>
      <c r="O456" s="120">
        <v>0</v>
      </c>
      <c r="P456" s="888">
        <v>0</v>
      </c>
      <c r="Q456" s="51"/>
      <c r="R456" s="581">
        <v>0</v>
      </c>
      <c r="S456" s="891">
        <v>0</v>
      </c>
      <c r="T456" s="51"/>
      <c r="U456" s="120">
        <v>0</v>
      </c>
      <c r="V456" s="888">
        <v>0</v>
      </c>
      <c r="W456" s="51"/>
      <c r="X456" s="1613">
        <f t="shared" si="35"/>
        <v>0</v>
      </c>
      <c r="Y456" s="1614">
        <f t="shared" si="36"/>
        <v>0</v>
      </c>
      <c r="Z456" s="43"/>
      <c r="AA456" s="1621">
        <f t="shared" si="34"/>
        <v>0</v>
      </c>
      <c r="AB456" s="43"/>
      <c r="AC456" s="43"/>
      <c r="AD456" s="43"/>
      <c r="AE456" s="43"/>
      <c r="AF456" s="43"/>
      <c r="AG456" s="43"/>
      <c r="AH456" s="43"/>
      <c r="AI456" s="43"/>
    </row>
    <row r="457" spans="1:35" ht="15.75">
      <c r="A457" s="88">
        <v>7994</v>
      </c>
      <c r="B457" s="1033" t="s">
        <v>853</v>
      </c>
      <c r="C457" s="1033"/>
      <c r="D457" s="1033"/>
      <c r="E457" s="1033"/>
      <c r="F457" s="1033"/>
      <c r="G457" s="1033"/>
      <c r="H457" s="1033"/>
      <c r="I457" s="1033"/>
      <c r="J457" s="1033"/>
      <c r="K457" s="1033"/>
      <c r="L457" s="90"/>
      <c r="M457" s="51" t="s">
        <v>265</v>
      </c>
      <c r="N457" s="113">
        <f t="shared" si="33"/>
        <v>7994</v>
      </c>
      <c r="O457" s="120">
        <v>0</v>
      </c>
      <c r="P457" s="888">
        <v>0</v>
      </c>
      <c r="Q457" s="51"/>
      <c r="R457" s="581">
        <v>0</v>
      </c>
      <c r="S457" s="891">
        <v>0</v>
      </c>
      <c r="T457" s="51"/>
      <c r="U457" s="120">
        <v>0</v>
      </c>
      <c r="V457" s="888">
        <v>0</v>
      </c>
      <c r="W457" s="51"/>
      <c r="X457" s="1613">
        <f t="shared" si="35"/>
        <v>0</v>
      </c>
      <c r="Y457" s="1614">
        <f t="shared" si="36"/>
        <v>0</v>
      </c>
      <c r="Z457" s="43"/>
      <c r="AA457" s="1621">
        <f t="shared" si="34"/>
        <v>0</v>
      </c>
      <c r="AB457" s="43"/>
      <c r="AC457" s="43"/>
      <c r="AD457" s="43"/>
      <c r="AE457" s="43"/>
      <c r="AF457" s="43"/>
      <c r="AG457" s="43"/>
      <c r="AH457" s="43"/>
      <c r="AI457" s="43"/>
    </row>
    <row r="458" spans="1:35" ht="15.75">
      <c r="A458" s="88">
        <v>7995</v>
      </c>
      <c r="B458" s="1033" t="s">
        <v>854</v>
      </c>
      <c r="C458" s="1033"/>
      <c r="D458" s="1033"/>
      <c r="E458" s="1033"/>
      <c r="F458" s="1033"/>
      <c r="G458" s="1033"/>
      <c r="H458" s="1033"/>
      <c r="I458" s="1033"/>
      <c r="J458" s="1033"/>
      <c r="K458" s="1033"/>
      <c r="L458" s="90"/>
      <c r="M458" s="51" t="s">
        <v>265</v>
      </c>
      <c r="N458" s="113">
        <f t="shared" si="33"/>
        <v>7995</v>
      </c>
      <c r="O458" s="120">
        <v>0</v>
      </c>
      <c r="P458" s="888">
        <v>0</v>
      </c>
      <c r="Q458" s="51"/>
      <c r="R458" s="581">
        <v>0</v>
      </c>
      <c r="S458" s="891">
        <v>0</v>
      </c>
      <c r="T458" s="51"/>
      <c r="U458" s="120">
        <v>0</v>
      </c>
      <c r="V458" s="888">
        <v>0</v>
      </c>
      <c r="W458" s="51"/>
      <c r="X458" s="1613">
        <f t="shared" si="35"/>
        <v>0</v>
      </c>
      <c r="Y458" s="1614">
        <f t="shared" si="36"/>
        <v>0</v>
      </c>
      <c r="Z458" s="43"/>
      <c r="AA458" s="1621">
        <f t="shared" si="34"/>
        <v>0</v>
      </c>
      <c r="AB458" s="43"/>
      <c r="AC458" s="43"/>
      <c r="AD458" s="43"/>
      <c r="AE458" s="43"/>
      <c r="AF458" s="43"/>
      <c r="AG458" s="43"/>
      <c r="AH458" s="43"/>
      <c r="AI458" s="43"/>
    </row>
    <row r="459" spans="1:35" ht="15.75">
      <c r="A459" s="88">
        <v>7996</v>
      </c>
      <c r="B459" s="1033" t="s">
        <v>142</v>
      </c>
      <c r="C459" s="1033"/>
      <c r="D459" s="1033"/>
      <c r="E459" s="1033"/>
      <c r="F459" s="1033"/>
      <c r="G459" s="1033"/>
      <c r="H459" s="1033"/>
      <c r="I459" s="1033"/>
      <c r="J459" s="1033"/>
      <c r="K459" s="1033"/>
      <c r="L459" s="90"/>
      <c r="M459" s="51" t="s">
        <v>265</v>
      </c>
      <c r="N459" s="113">
        <f>+A459</f>
        <v>7996</v>
      </c>
      <c r="O459" s="120">
        <v>0</v>
      </c>
      <c r="P459" s="888">
        <v>0</v>
      </c>
      <c r="Q459" s="51"/>
      <c r="R459" s="581">
        <v>0</v>
      </c>
      <c r="S459" s="891">
        <v>0</v>
      </c>
      <c r="T459" s="51"/>
      <c r="U459" s="120">
        <v>0</v>
      </c>
      <c r="V459" s="888">
        <v>0</v>
      </c>
      <c r="W459" s="51"/>
      <c r="X459" s="1613">
        <f t="shared" si="35"/>
        <v>0</v>
      </c>
      <c r="Y459" s="1614">
        <f t="shared" si="36"/>
        <v>0</v>
      </c>
      <c r="Z459" s="43"/>
      <c r="AA459" s="1621">
        <f t="shared" si="34"/>
        <v>0</v>
      </c>
      <c r="AB459" s="43"/>
      <c r="AC459" s="43"/>
      <c r="AD459" s="43"/>
      <c r="AE459" s="43"/>
      <c r="AF459" s="43"/>
      <c r="AG459" s="43"/>
      <c r="AH459" s="43"/>
      <c r="AI459" s="43"/>
    </row>
    <row r="460" spans="1:35" ht="15.75">
      <c r="A460" s="88">
        <v>7997</v>
      </c>
      <c r="B460" s="1033" t="s">
        <v>143</v>
      </c>
      <c r="C460" s="1033"/>
      <c r="D460" s="1033"/>
      <c r="E460" s="1033"/>
      <c r="F460" s="1033"/>
      <c r="G460" s="1033"/>
      <c r="H460" s="1033"/>
      <c r="I460" s="1033"/>
      <c r="J460" s="1033"/>
      <c r="K460" s="1033"/>
      <c r="L460" s="90"/>
      <c r="M460" s="51" t="s">
        <v>265</v>
      </c>
      <c r="N460" s="113">
        <f t="shared" si="33"/>
        <v>7997</v>
      </c>
      <c r="O460" s="120">
        <v>0</v>
      </c>
      <c r="P460" s="888">
        <v>0</v>
      </c>
      <c r="Q460" s="51"/>
      <c r="R460" s="581">
        <v>0</v>
      </c>
      <c r="S460" s="891">
        <v>0</v>
      </c>
      <c r="T460" s="51"/>
      <c r="U460" s="120">
        <v>0</v>
      </c>
      <c r="V460" s="888">
        <v>0</v>
      </c>
      <c r="W460" s="51"/>
      <c r="X460" s="1613">
        <f t="shared" si="35"/>
        <v>0</v>
      </c>
      <c r="Y460" s="1614">
        <f t="shared" si="36"/>
        <v>0</v>
      </c>
      <c r="Z460" s="43"/>
      <c r="AA460" s="1621">
        <f t="shared" si="34"/>
        <v>0</v>
      </c>
      <c r="AB460" s="43"/>
      <c r="AC460" s="43"/>
      <c r="AD460" s="43"/>
      <c r="AE460" s="43"/>
      <c r="AF460" s="43"/>
      <c r="AG460" s="43"/>
      <c r="AH460" s="43"/>
      <c r="AI460" s="43"/>
    </row>
    <row r="461" spans="1:35" ht="16.5" thickBot="1">
      <c r="A461" s="612">
        <v>7998</v>
      </c>
      <c r="B461" s="1012" t="s">
        <v>144</v>
      </c>
      <c r="C461" s="1012"/>
      <c r="D461" s="1012"/>
      <c r="E461" s="1012"/>
      <c r="F461" s="1012"/>
      <c r="G461" s="1012"/>
      <c r="H461" s="1012"/>
      <c r="I461" s="1012"/>
      <c r="J461" s="1012"/>
      <c r="K461" s="1012"/>
      <c r="L461" s="613"/>
      <c r="M461" s="51" t="s">
        <v>265</v>
      </c>
      <c r="N461" s="113">
        <f t="shared" si="33"/>
        <v>7998</v>
      </c>
      <c r="O461" s="123">
        <v>0</v>
      </c>
      <c r="P461" s="906">
        <v>0</v>
      </c>
      <c r="Q461" s="51"/>
      <c r="R461" s="838">
        <v>0</v>
      </c>
      <c r="S461" s="907">
        <v>0</v>
      </c>
      <c r="T461" s="51"/>
      <c r="U461" s="123">
        <v>0</v>
      </c>
      <c r="V461" s="906">
        <v>0</v>
      </c>
      <c r="W461" s="51"/>
      <c r="X461" s="1615">
        <f t="shared" si="35"/>
        <v>0</v>
      </c>
      <c r="Y461" s="1616">
        <f t="shared" si="36"/>
        <v>0</v>
      </c>
      <c r="Z461" s="43"/>
      <c r="AA461" s="1622">
        <f t="shared" si="34"/>
        <v>0</v>
      </c>
      <c r="AB461" s="43"/>
      <c r="AC461" s="43"/>
      <c r="AD461" s="43"/>
      <c r="AE461" s="43"/>
      <c r="AF461" s="43"/>
      <c r="AG461" s="43"/>
      <c r="AH461" s="43"/>
      <c r="AI461" s="43"/>
    </row>
    <row r="462" spans="1:35" ht="16.5" thickBot="1">
      <c r="A462" s="908" t="s">
        <v>1125</v>
      </c>
      <c r="B462" s="909"/>
      <c r="C462" s="910"/>
      <c r="D462" s="910"/>
      <c r="E462" s="910"/>
      <c r="F462" s="910"/>
      <c r="G462" s="910"/>
      <c r="H462" s="910"/>
      <c r="I462" s="910"/>
      <c r="J462" s="910"/>
      <c r="K462" s="910"/>
      <c r="L462" s="911"/>
      <c r="M462" s="51" t="s">
        <v>265</v>
      </c>
      <c r="N462" s="918" t="s">
        <v>1127</v>
      </c>
      <c r="O462" s="955">
        <f>+ROUND(+SUM(O17:O461),2)</f>
        <v>1720746.56</v>
      </c>
      <c r="P462" s="956">
        <f>+ROUND(+SUM(P17:P461),2)</f>
        <v>1609169.15</v>
      </c>
      <c r="Q462" s="51"/>
      <c r="R462" s="957">
        <f>+ROUND(+SUM(R17:R461),2)</f>
        <v>0</v>
      </c>
      <c r="S462" s="958">
        <f>+ROUND(+SUM(S17:S461),2)</f>
        <v>0</v>
      </c>
      <c r="T462" s="51"/>
      <c r="U462" s="1802">
        <f>+ROUND(+SUM(U17:U461),2)</f>
        <v>0</v>
      </c>
      <c r="V462" s="1803">
        <f>+ROUND(+SUM(V17:V461),2)</f>
        <v>622.45000000000005</v>
      </c>
      <c r="W462" s="51"/>
      <c r="X462" s="1617">
        <f>+ROUND(+SUM(X17:X461),2)</f>
        <v>1720746.56</v>
      </c>
      <c r="Y462" s="1618">
        <f>+ROUND(+SUM(Y17:Y461),2)</f>
        <v>1609791.6</v>
      </c>
      <c r="Z462" s="43"/>
      <c r="AA462" s="1624">
        <f>+ROUND(+SUM(AA17:AA461),2)</f>
        <v>0</v>
      </c>
      <c r="AB462" s="43"/>
      <c r="AC462" s="43"/>
      <c r="AD462" s="43"/>
      <c r="AE462" s="43"/>
      <c r="AF462" s="43"/>
      <c r="AG462" s="43"/>
      <c r="AH462" s="43"/>
      <c r="AI462" s="43"/>
    </row>
    <row r="463" spans="1:35" ht="8.25" customHeight="1" thickTop="1">
      <c r="A463" s="43"/>
      <c r="B463" s="43"/>
      <c r="C463" s="43"/>
      <c r="D463" s="43"/>
      <c r="E463" s="43"/>
      <c r="F463" s="43"/>
      <c r="G463" s="43"/>
      <c r="H463" s="43"/>
      <c r="I463" s="43"/>
      <c r="J463" s="43"/>
      <c r="K463" s="43"/>
      <c r="L463" s="43"/>
      <c r="M463" s="44"/>
      <c r="N463" s="119"/>
      <c r="O463" s="38"/>
      <c r="P463" s="38"/>
      <c r="Q463" s="44"/>
      <c r="R463" s="38"/>
      <c r="S463" s="38"/>
      <c r="T463" s="44"/>
      <c r="U463" s="38"/>
      <c r="V463" s="38"/>
      <c r="W463" s="44"/>
      <c r="X463" s="38"/>
      <c r="Y463" s="38"/>
      <c r="Z463" s="43"/>
      <c r="AA463" s="38"/>
      <c r="AB463" s="43"/>
      <c r="AC463" s="43"/>
      <c r="AD463" s="43"/>
      <c r="AE463" s="43"/>
      <c r="AF463" s="43"/>
      <c r="AG463" s="43"/>
      <c r="AH463" s="43"/>
      <c r="AI463" s="43"/>
    </row>
    <row r="464" spans="1:35" ht="16.5" thickBot="1">
      <c r="A464" s="43"/>
      <c r="B464" s="43"/>
      <c r="C464" s="43"/>
      <c r="D464" s="43"/>
      <c r="E464" s="926" t="s">
        <v>1129</v>
      </c>
      <c r="F464" s="914"/>
      <c r="G464" s="915"/>
      <c r="H464" s="915"/>
      <c r="I464" s="915"/>
      <c r="J464" s="915"/>
      <c r="K464" s="2529">
        <f>+I12</f>
        <v>2019</v>
      </c>
      <c r="L464" s="2530"/>
      <c r="M464" s="44"/>
      <c r="N464" s="119"/>
      <c r="O464" s="38"/>
      <c r="P464" s="928">
        <f>+ROUND(+P462-O462,2)</f>
        <v>-111577.41</v>
      </c>
      <c r="Q464" s="916"/>
      <c r="R464" s="919"/>
      <c r="S464" s="927">
        <f>+ROUND(+S462-R462,2)</f>
        <v>0</v>
      </c>
      <c r="T464" s="916"/>
      <c r="U464" s="38"/>
      <c r="V464" s="1646">
        <f>+ROUND(+V462-U462,2)</f>
        <v>622.45000000000005</v>
      </c>
      <c r="W464" s="916"/>
      <c r="X464" s="38"/>
      <c r="Y464" s="1804">
        <f>+ROUND(+Y462-X462,2)</f>
        <v>-110954.96</v>
      </c>
      <c r="Z464" s="43"/>
      <c r="AA464" s="38"/>
      <c r="AB464" s="43"/>
      <c r="AC464" s="43"/>
      <c r="AD464" s="43"/>
      <c r="AE464" s="43"/>
      <c r="AF464" s="43"/>
      <c r="AG464" s="43"/>
      <c r="AH464" s="43"/>
      <c r="AI464" s="43"/>
    </row>
    <row r="465" spans="1:35" ht="9.75" customHeight="1" thickTop="1">
      <c r="A465" s="43"/>
      <c r="B465" s="43"/>
      <c r="C465" s="43"/>
      <c r="D465" s="43"/>
      <c r="E465" s="43"/>
      <c r="F465" s="43"/>
      <c r="G465" s="43"/>
      <c r="H465" s="43"/>
      <c r="I465" s="43"/>
      <c r="J465" s="43"/>
      <c r="K465" s="43"/>
      <c r="L465" s="43"/>
      <c r="M465" s="44"/>
      <c r="N465" s="119"/>
      <c r="O465" s="38"/>
      <c r="P465" s="38"/>
      <c r="Q465" s="44"/>
      <c r="R465" s="38"/>
      <c r="S465" s="38"/>
      <c r="T465" s="44"/>
      <c r="U465" s="38"/>
      <c r="V465" s="38"/>
      <c r="W465" s="44"/>
      <c r="X465" s="38"/>
      <c r="Y465" s="38"/>
      <c r="Z465" s="43"/>
      <c r="AA465" s="38"/>
      <c r="AB465" s="43"/>
      <c r="AC465" s="43"/>
      <c r="AD465" s="43"/>
      <c r="AE465" s="43"/>
      <c r="AF465" s="43"/>
      <c r="AG465" s="43"/>
      <c r="AH465" s="43"/>
      <c r="AI465" s="43"/>
    </row>
    <row r="466" spans="1:35" ht="15.75">
      <c r="A466" s="43"/>
      <c r="B466" s="43"/>
      <c r="C466" s="43"/>
      <c r="D466" s="43"/>
      <c r="E466" s="922" t="s">
        <v>1128</v>
      </c>
      <c r="F466" s="923"/>
      <c r="G466" s="924"/>
      <c r="H466" s="924"/>
      <c r="I466" s="924"/>
      <c r="J466" s="924"/>
      <c r="K466" s="924"/>
      <c r="L466" s="925"/>
      <c r="M466" s="44"/>
      <c r="N466" s="119"/>
      <c r="O466" s="921" t="str">
        <f>+IF(+ROUND(P466=0,2),"O K","НЕРАВНЕНИЕ!")</f>
        <v>O K</v>
      </c>
      <c r="P466" s="921">
        <f>+ROUND(+P464-'Income-2020-leva'!E113,2)</f>
        <v>0</v>
      </c>
      <c r="Q466" s="44"/>
      <c r="R466" s="920" t="str">
        <f>+IF(+ROUND(S466=0,2),"O K","НЕРАВНЕНИЕ!")</f>
        <v>O K</v>
      </c>
      <c r="S466" s="920">
        <f>+ROUND(+S464-'Income-2020-leva'!H113,2)</f>
        <v>0</v>
      </c>
      <c r="T466" s="44"/>
      <c r="U466" s="1645" t="str">
        <f>+IF(+ROUND(V466=0,2),"O K","НЕРАВНЕНИЕ!")</f>
        <v>O K</v>
      </c>
      <c r="V466" s="1645">
        <f>+ROUND(+V464-'Income-2020-leva'!K113,2)</f>
        <v>0</v>
      </c>
      <c r="W466" s="44"/>
      <c r="X466" s="1586" t="str">
        <f>+IF(+ROUND(Y466=0,2),"O K","НЕРАВНЕНИЕ!")</f>
        <v>O K</v>
      </c>
      <c r="Y466" s="1586">
        <f>+ROUND(+Y464,2)-(ROUND('Income-2020-leva'!N113,2)-ROUND('Income-2020-leva'!Q113,2))</f>
        <v>0</v>
      </c>
      <c r="Z466" s="43"/>
      <c r="AA466" s="38"/>
      <c r="AB466" s="43"/>
      <c r="AC466" s="43"/>
      <c r="AD466" s="43"/>
      <c r="AE466" s="43"/>
      <c r="AF466" s="43"/>
      <c r="AG466" s="43"/>
      <c r="AH466" s="43"/>
      <c r="AI466" s="43"/>
    </row>
    <row r="467" spans="1:35" ht="7.5" customHeight="1">
      <c r="A467" s="43"/>
      <c r="B467" s="43"/>
      <c r="C467" s="43"/>
      <c r="D467" s="43"/>
      <c r="E467" s="43"/>
      <c r="F467" s="43"/>
      <c r="G467" s="43"/>
      <c r="H467" s="43"/>
      <c r="I467" s="43"/>
      <c r="J467" s="43"/>
      <c r="K467" s="43"/>
      <c r="L467" s="43"/>
      <c r="M467" s="44"/>
      <c r="N467" s="119"/>
      <c r="O467" s="38"/>
      <c r="P467" s="38"/>
      <c r="Q467" s="44"/>
      <c r="R467" s="38"/>
      <c r="S467" s="38"/>
      <c r="T467" s="44"/>
      <c r="U467" s="38"/>
      <c r="V467" s="38"/>
      <c r="W467" s="44"/>
      <c r="X467" s="38"/>
      <c r="Y467" s="38"/>
      <c r="Z467" s="43"/>
      <c r="AA467" s="38"/>
      <c r="AB467" s="43"/>
      <c r="AC467" s="43"/>
      <c r="AD467" s="43"/>
      <c r="AE467" s="43"/>
      <c r="AF467" s="43"/>
      <c r="AG467" s="43"/>
      <c r="AH467" s="43"/>
      <c r="AI467" s="43"/>
    </row>
    <row r="468" spans="1:35" ht="15.75">
      <c r="A468" s="43"/>
      <c r="B468" s="43"/>
      <c r="C468" s="43"/>
      <c r="D468" s="43"/>
      <c r="E468" s="922" t="s">
        <v>1130</v>
      </c>
      <c r="F468" s="923"/>
      <c r="G468" s="924"/>
      <c r="H468" s="924"/>
      <c r="I468" s="924"/>
      <c r="J468" s="924"/>
      <c r="K468" s="924"/>
      <c r="L468" s="925"/>
      <c r="M468" s="44"/>
      <c r="N468" s="119"/>
      <c r="O468" s="921" t="str">
        <f>+IF(+ROUND(P468=0,2),"O K","НЕРАВНЕНИЕ!")</f>
        <v>O K</v>
      </c>
      <c r="P468" s="921">
        <f>+ROUND(+P464-'BALANCE-SHEET-2020-leva'!E65,2)</f>
        <v>0</v>
      </c>
      <c r="Q468" s="44"/>
      <c r="R468" s="920" t="str">
        <f>+IF(+ROUND(S468=0,2),"O K","НЕРАВНЕНИЕ!")</f>
        <v>O K</v>
      </c>
      <c r="S468" s="920">
        <f>+ROUND(+S464-'BALANCE-SHEET-2020-leva'!H65,2)</f>
        <v>0</v>
      </c>
      <c r="T468" s="44"/>
      <c r="U468" s="1645" t="str">
        <f>+IF(+ROUND(V468=0,2),"O K","НЕРАВНЕНИЕ!")</f>
        <v>O K</v>
      </c>
      <c r="V468" s="1645">
        <f>+ROUND(+V464-'BALANCE-SHEET-2020-leva'!K65,2)</f>
        <v>0</v>
      </c>
      <c r="W468" s="44"/>
      <c r="X468" s="1586" t="str">
        <f>+IF(+ROUND(Y468=0,2),"O K","НЕРАВНЕНИЕ!")</f>
        <v>O K</v>
      </c>
      <c r="Y468" s="1586">
        <f>+ROUND(+Y464,2)-(ROUND('BALANCE-SHEET-2020-leva'!N65,2)-ROUND('BALANCE-SHEET-2020-leva'!Q65,2))</f>
        <v>0</v>
      </c>
      <c r="Z468" s="43"/>
      <c r="AA468" s="38"/>
      <c r="AB468" s="43"/>
      <c r="AC468" s="43"/>
      <c r="AD468" s="43"/>
      <c r="AE468" s="43"/>
      <c r="AF468" s="43"/>
      <c r="AG468" s="43"/>
      <c r="AH468" s="43"/>
      <c r="AI468" s="43"/>
    </row>
    <row r="469" spans="1:35" ht="7.5" customHeight="1">
      <c r="A469" s="43"/>
      <c r="B469" s="43"/>
      <c r="C469" s="43"/>
      <c r="D469" s="43"/>
      <c r="E469" s="43"/>
      <c r="F469" s="43"/>
      <c r="G469" s="43"/>
      <c r="H469" s="43"/>
      <c r="I469" s="43"/>
      <c r="J469" s="43"/>
      <c r="K469" s="43"/>
      <c r="L469" s="43"/>
      <c r="M469" s="44"/>
      <c r="N469" s="119"/>
      <c r="O469" s="38"/>
      <c r="P469" s="38"/>
      <c r="Q469" s="44"/>
      <c r="R469" s="38"/>
      <c r="S469" s="38"/>
      <c r="T469" s="44"/>
      <c r="U469" s="38"/>
      <c r="V469" s="38"/>
      <c r="W469" s="44"/>
      <c r="X469" s="38"/>
      <c r="Y469" s="38"/>
      <c r="Z469" s="43"/>
      <c r="AA469" s="38"/>
      <c r="AB469" s="43"/>
      <c r="AC469" s="43"/>
      <c r="AD469" s="43"/>
      <c r="AE469" s="43"/>
      <c r="AF469" s="43"/>
      <c r="AG469" s="43"/>
      <c r="AH469" s="43"/>
      <c r="AI469" s="43"/>
    </row>
    <row r="470" spans="1:35" ht="15.75">
      <c r="A470" s="43"/>
      <c r="B470" s="43"/>
      <c r="C470" s="43"/>
      <c r="D470" s="43"/>
      <c r="E470" s="922" t="s">
        <v>1460</v>
      </c>
      <c r="F470" s="923"/>
      <c r="G470" s="924"/>
      <c r="H470" s="924"/>
      <c r="I470" s="924"/>
      <c r="J470" s="924"/>
      <c r="K470" s="924"/>
      <c r="L470" s="925"/>
      <c r="M470" s="44"/>
      <c r="N470" s="119"/>
      <c r="O470" s="921" t="str">
        <f>+IF(+ROUND(P470=0,2),"O K","НЕРАВНЕНИЕ!")</f>
        <v>O K</v>
      </c>
      <c r="P470" s="921">
        <f>+ROUND(+(P14-O14)+(P15-O15)+P464,2)-ROUND(+('TRIAL-BALANCE'!P14-'TRIAL-BALANCE'!O14)+('TRIAL-BALANCE'!P15-'TRIAL-BALANCE'!O15)+('TRIAL-BALANCE'!P16-'TRIAL-BALANCE'!O16),2)</f>
        <v>0</v>
      </c>
      <c r="Q470" s="44"/>
      <c r="R470" s="920" t="str">
        <f>+IF(+ROUND(S470=0,2),"O K","НЕРАВНЕНИЕ!")</f>
        <v>O K</v>
      </c>
      <c r="S470" s="920">
        <f>+ROUND(+(S14-R14)+(S15-R15)+S464,2)-ROUND(+('TRIAL-BALANCE'!W14-'TRIAL-BALANCE'!V14)+('TRIAL-BALANCE'!W15-'TRIAL-BALANCE'!V15)+('TRIAL-BALANCE'!W16-'TRIAL-BALANCE'!V16),2)</f>
        <v>0</v>
      </c>
      <c r="T470" s="44"/>
      <c r="U470" s="1645" t="str">
        <f>+IF(+ROUND(V470=0,2),"O K","НЕРАВНЕНИЕ!")</f>
        <v>O K</v>
      </c>
      <c r="V470" s="1645">
        <f>+ROUND(+(V14-U14)+(V15-U15)+V464,2)-ROUND(+('TRIAL-BALANCE'!AD14-'TRIAL-BALANCE'!AC14)+('TRIAL-BALANCE'!AD15-'TRIAL-BALANCE'!AC15)+('TRIAL-BALANCE'!AD16-'TRIAL-BALANCE'!AC16),2)</f>
        <v>0</v>
      </c>
      <c r="W470" s="44"/>
      <c r="X470" s="1586" t="str">
        <f>+IF(+ROUND(Y470=0,2),"O K","НЕРАВНЕНИЕ!")</f>
        <v>O K</v>
      </c>
      <c r="Y470" s="1586">
        <f>+ROUND(+(Y14-X14)+(Y15-X15)+Y464,2)-ROUND(+('TRIAL-BALANCE'!AL14-'TRIAL-BALANCE'!AK14)+('TRIAL-BALANCE'!AL15-'TRIAL-BALANCE'!AK15)+('TRIAL-BALANCE'!AL16-'TRIAL-BALANCE'!AK16),2)</f>
        <v>0</v>
      </c>
      <c r="Z470" s="43"/>
      <c r="AA470" s="38"/>
      <c r="AB470" s="43"/>
      <c r="AC470" s="43"/>
      <c r="AD470" s="43"/>
      <c r="AE470" s="43"/>
      <c r="AF470" s="43"/>
      <c r="AG470" s="43"/>
      <c r="AH470" s="43"/>
      <c r="AI470" s="43"/>
    </row>
    <row r="471" spans="1:35">
      <c r="A471" s="43"/>
      <c r="B471" s="43"/>
      <c r="C471" s="43"/>
      <c r="D471" s="43"/>
      <c r="E471" s="43"/>
      <c r="F471" s="43"/>
      <c r="G471" s="43"/>
      <c r="H471" s="43"/>
      <c r="I471" s="43"/>
      <c r="J471" s="43"/>
      <c r="K471" s="43"/>
      <c r="L471" s="43"/>
      <c r="M471" s="44"/>
      <c r="N471" s="119"/>
      <c r="O471" s="38"/>
      <c r="P471" s="38"/>
      <c r="Q471" s="44"/>
      <c r="R471" s="38"/>
      <c r="S471" s="38"/>
      <c r="T471" s="44"/>
      <c r="U471" s="38"/>
      <c r="V471" s="38"/>
      <c r="W471" s="44"/>
      <c r="X471" s="38"/>
      <c r="Y471" s="38"/>
      <c r="Z471" s="43"/>
      <c r="AA471" s="38"/>
      <c r="AB471" s="43"/>
      <c r="AC471" s="43"/>
      <c r="AD471" s="43"/>
      <c r="AE471" s="43"/>
      <c r="AF471" s="43"/>
      <c r="AG471" s="43"/>
      <c r="AH471" s="43"/>
      <c r="AI471" s="43"/>
    </row>
    <row r="472" spans="1:35">
      <c r="A472" s="43"/>
      <c r="B472" s="43"/>
      <c r="C472" s="43"/>
      <c r="D472" s="43"/>
      <c r="E472" s="43"/>
      <c r="F472" s="43"/>
      <c r="G472" s="43"/>
      <c r="H472" s="43"/>
      <c r="I472" s="43"/>
      <c r="J472" s="43"/>
      <c r="K472" s="43"/>
      <c r="L472" s="43"/>
      <c r="M472" s="44"/>
      <c r="N472" s="119"/>
      <c r="O472" s="38"/>
      <c r="P472" s="38"/>
      <c r="Q472" s="44"/>
      <c r="R472" s="38"/>
      <c r="S472" s="38"/>
      <c r="T472" s="44"/>
      <c r="U472" s="38"/>
      <c r="V472" s="38"/>
      <c r="W472" s="44"/>
      <c r="X472" s="38"/>
      <c r="Y472" s="38"/>
      <c r="Z472" s="43"/>
      <c r="AA472" s="38"/>
      <c r="AB472" s="43"/>
      <c r="AC472" s="43"/>
      <c r="AD472" s="43"/>
      <c r="AE472" s="43"/>
      <c r="AF472" s="43"/>
      <c r="AG472" s="43"/>
      <c r="AH472" s="43"/>
      <c r="AI472" s="43"/>
    </row>
    <row r="473" spans="1:35">
      <c r="A473" s="43"/>
      <c r="B473" s="43"/>
      <c r="C473" s="43"/>
      <c r="D473" s="43"/>
      <c r="E473" s="43"/>
      <c r="F473" s="43"/>
      <c r="G473" s="43"/>
      <c r="H473" s="43"/>
      <c r="I473" s="43"/>
      <c r="J473" s="43"/>
      <c r="K473" s="43"/>
      <c r="L473" s="43"/>
      <c r="M473" s="44"/>
      <c r="N473" s="119"/>
      <c r="O473" s="38"/>
      <c r="P473" s="38"/>
      <c r="Q473" s="44"/>
      <c r="R473" s="38"/>
      <c r="S473" s="38"/>
      <c r="T473" s="44"/>
      <c r="U473" s="38"/>
      <c r="V473" s="38"/>
      <c r="W473" s="44"/>
      <c r="X473" s="38"/>
      <c r="Y473" s="38"/>
      <c r="Z473" s="43"/>
      <c r="AA473" s="38"/>
      <c r="AB473" s="43"/>
      <c r="AC473" s="43"/>
      <c r="AD473" s="43"/>
      <c r="AE473" s="43"/>
      <c r="AF473" s="43"/>
      <c r="AG473" s="43"/>
      <c r="AH473" s="43"/>
      <c r="AI473" s="43"/>
    </row>
    <row r="474" spans="1:35">
      <c r="A474" s="43"/>
      <c r="B474" s="43"/>
      <c r="C474" s="43"/>
      <c r="D474" s="43"/>
      <c r="E474" s="43"/>
      <c r="F474" s="43"/>
      <c r="G474" s="43"/>
      <c r="H474" s="43"/>
      <c r="I474" s="43"/>
      <c r="J474" s="43"/>
      <c r="K474" s="43"/>
      <c r="L474" s="43"/>
      <c r="M474" s="44"/>
      <c r="N474" s="119"/>
      <c r="O474" s="38"/>
      <c r="P474" s="38"/>
      <c r="Q474" s="44"/>
      <c r="R474" s="38"/>
      <c r="S474" s="38"/>
      <c r="T474" s="44"/>
      <c r="U474" s="38"/>
      <c r="V474" s="38"/>
      <c r="W474" s="44"/>
      <c r="X474" s="38"/>
      <c r="Y474" s="38"/>
      <c r="Z474" s="43"/>
      <c r="AA474" s="38"/>
      <c r="AB474" s="43"/>
      <c r="AC474" s="43"/>
      <c r="AD474" s="43"/>
      <c r="AE474" s="43"/>
      <c r="AF474" s="43"/>
      <c r="AG474" s="43"/>
      <c r="AH474" s="43"/>
      <c r="AI474" s="43"/>
    </row>
    <row r="475" spans="1:35">
      <c r="A475" s="43"/>
      <c r="B475" s="43"/>
      <c r="C475" s="43"/>
      <c r="D475" s="43"/>
      <c r="E475" s="43"/>
      <c r="F475" s="43"/>
      <c r="G475" s="43"/>
      <c r="H475" s="43"/>
      <c r="I475" s="43"/>
      <c r="J475" s="43"/>
      <c r="K475" s="43"/>
      <c r="L475" s="43"/>
      <c r="M475" s="44"/>
      <c r="N475" s="119"/>
      <c r="O475" s="38"/>
      <c r="P475" s="38"/>
      <c r="Q475" s="44"/>
      <c r="R475" s="38"/>
      <c r="S475" s="38"/>
      <c r="T475" s="44"/>
      <c r="U475" s="38"/>
      <c r="V475" s="38"/>
      <c r="W475" s="44"/>
      <c r="X475" s="38"/>
      <c r="Y475" s="38"/>
      <c r="Z475" s="43"/>
      <c r="AA475" s="38"/>
      <c r="AB475" s="43"/>
      <c r="AC475" s="43"/>
      <c r="AD475" s="43"/>
      <c r="AE475" s="43"/>
      <c r="AF475" s="43"/>
      <c r="AG475" s="43"/>
      <c r="AH475" s="43"/>
      <c r="AI475" s="43"/>
    </row>
    <row r="476" spans="1:35">
      <c r="A476" s="43"/>
      <c r="B476" s="43"/>
      <c r="C476" s="43"/>
      <c r="D476" s="43"/>
      <c r="E476" s="43"/>
      <c r="F476" s="43"/>
      <c r="G476" s="43"/>
      <c r="H476" s="43"/>
      <c r="I476" s="43"/>
      <c r="J476" s="43"/>
      <c r="K476" s="43"/>
      <c r="L476" s="43"/>
      <c r="M476" s="44"/>
      <c r="N476" s="119"/>
      <c r="O476" s="38"/>
      <c r="P476" s="38"/>
      <c r="Q476" s="44"/>
      <c r="R476" s="38"/>
      <c r="S476" s="38"/>
      <c r="T476" s="44"/>
      <c r="U476" s="38"/>
      <c r="V476" s="38"/>
      <c r="W476" s="44"/>
      <c r="X476" s="38"/>
      <c r="Y476" s="38"/>
      <c r="Z476" s="43"/>
      <c r="AA476" s="38"/>
      <c r="AB476" s="43"/>
      <c r="AC476" s="43"/>
      <c r="AD476" s="43"/>
      <c r="AE476" s="43"/>
      <c r="AF476" s="43"/>
      <c r="AG476" s="43"/>
      <c r="AH476" s="43"/>
      <c r="AI476" s="43"/>
    </row>
    <row r="477" spans="1:35">
      <c r="A477" s="43"/>
      <c r="B477" s="43"/>
      <c r="C477" s="43"/>
      <c r="D477" s="43"/>
      <c r="E477" s="43"/>
      <c r="F477" s="43"/>
      <c r="G477" s="43"/>
      <c r="H477" s="43"/>
      <c r="I477" s="43"/>
      <c r="J477" s="43"/>
      <c r="K477" s="43"/>
      <c r="L477" s="43"/>
      <c r="M477" s="44"/>
      <c r="N477" s="119"/>
      <c r="O477" s="38"/>
      <c r="P477" s="38"/>
      <c r="Q477" s="44"/>
      <c r="R477" s="38"/>
      <c r="S477" s="38"/>
      <c r="T477" s="44"/>
      <c r="U477" s="38"/>
      <c r="V477" s="38"/>
      <c r="W477" s="44"/>
      <c r="X477" s="38"/>
      <c r="Y477" s="38"/>
      <c r="Z477" s="43"/>
      <c r="AA477" s="38"/>
      <c r="AB477" s="43"/>
      <c r="AC477" s="43"/>
      <c r="AD477" s="43"/>
      <c r="AE477" s="43"/>
      <c r="AF477" s="43"/>
      <c r="AG477" s="43"/>
      <c r="AH477" s="43"/>
      <c r="AI477" s="43"/>
    </row>
    <row r="478" spans="1:35">
      <c r="A478" s="43"/>
      <c r="B478" s="43"/>
      <c r="C478" s="43"/>
      <c r="D478" s="43"/>
      <c r="E478" s="43"/>
      <c r="F478" s="43"/>
      <c r="G478" s="43"/>
      <c r="H478" s="43"/>
      <c r="I478" s="43"/>
      <c r="J478" s="43"/>
      <c r="K478" s="43"/>
      <c r="L478" s="43"/>
      <c r="M478" s="44"/>
      <c r="N478" s="119"/>
      <c r="O478" s="38"/>
      <c r="P478" s="38"/>
      <c r="Q478" s="44"/>
      <c r="R478" s="38"/>
      <c r="S478" s="38"/>
      <c r="T478" s="44"/>
      <c r="U478" s="38"/>
      <c r="V478" s="38"/>
      <c r="W478" s="44"/>
      <c r="X478" s="38"/>
      <c r="Y478" s="38"/>
      <c r="Z478" s="43"/>
      <c r="AA478" s="38"/>
      <c r="AB478" s="43"/>
      <c r="AC478" s="43"/>
      <c r="AD478" s="43"/>
      <c r="AE478" s="43"/>
      <c r="AF478" s="43"/>
      <c r="AG478" s="43"/>
      <c r="AH478" s="43"/>
      <c r="AI478" s="43"/>
    </row>
    <row r="479" spans="1:35">
      <c r="A479" s="43"/>
      <c r="B479" s="43"/>
      <c r="C479" s="43"/>
      <c r="D479" s="43"/>
      <c r="E479" s="43"/>
      <c r="F479" s="43"/>
      <c r="G479" s="43"/>
      <c r="H479" s="43"/>
      <c r="I479" s="43"/>
      <c r="J479" s="43"/>
      <c r="K479" s="43"/>
      <c r="L479" s="43"/>
      <c r="M479" s="44"/>
      <c r="N479" s="119"/>
      <c r="O479" s="38"/>
      <c r="P479" s="38"/>
      <c r="Q479" s="44"/>
      <c r="R479" s="38"/>
      <c r="S479" s="38"/>
      <c r="T479" s="44"/>
      <c r="U479" s="38"/>
      <c r="V479" s="38"/>
      <c r="W479" s="44"/>
      <c r="X479" s="38"/>
      <c r="Y479" s="38"/>
      <c r="Z479" s="43"/>
      <c r="AA479" s="38"/>
      <c r="AB479" s="43"/>
      <c r="AC479" s="43"/>
      <c r="AD479" s="43"/>
      <c r="AE479" s="43"/>
      <c r="AF479" s="43"/>
      <c r="AG479" s="43"/>
      <c r="AH479" s="43"/>
      <c r="AI479" s="43"/>
    </row>
    <row r="480" spans="1:35">
      <c r="A480" s="43"/>
      <c r="B480" s="43"/>
      <c r="C480" s="43"/>
      <c r="D480" s="43"/>
      <c r="E480" s="43"/>
      <c r="F480" s="43"/>
      <c r="G480" s="43"/>
      <c r="H480" s="43"/>
      <c r="I480" s="43"/>
      <c r="J480" s="43"/>
      <c r="K480" s="43"/>
      <c r="L480" s="43"/>
      <c r="M480" s="44"/>
      <c r="N480" s="119"/>
      <c r="O480" s="38"/>
      <c r="P480" s="38"/>
      <c r="Q480" s="44"/>
      <c r="R480" s="38"/>
      <c r="S480" s="38"/>
      <c r="T480" s="44"/>
      <c r="U480" s="38"/>
      <c r="V480" s="38"/>
      <c r="W480" s="44"/>
      <c r="X480" s="38"/>
      <c r="Y480" s="38"/>
      <c r="Z480" s="43"/>
      <c r="AA480" s="38"/>
      <c r="AB480" s="43"/>
      <c r="AC480" s="43"/>
      <c r="AD480" s="43"/>
      <c r="AE480" s="43"/>
      <c r="AF480" s="43"/>
      <c r="AG480" s="43"/>
      <c r="AH480" s="43"/>
      <c r="AI480" s="43"/>
    </row>
    <row r="481" spans="1:35">
      <c r="A481" s="43"/>
      <c r="B481" s="43"/>
      <c r="C481" s="43"/>
      <c r="D481" s="43"/>
      <c r="E481" s="43"/>
      <c r="F481" s="43"/>
      <c r="G481" s="43"/>
      <c r="H481" s="43"/>
      <c r="I481" s="43"/>
      <c r="J481" s="43"/>
      <c r="K481" s="43"/>
      <c r="L481" s="43"/>
      <c r="M481" s="44"/>
      <c r="N481" s="119"/>
      <c r="O481" s="38"/>
      <c r="P481" s="38"/>
      <c r="Q481" s="44"/>
      <c r="R481" s="38"/>
      <c r="S481" s="38"/>
      <c r="T481" s="44"/>
      <c r="U481" s="38"/>
      <c r="V481" s="38"/>
      <c r="W481" s="44"/>
      <c r="X481" s="38"/>
      <c r="Y481" s="38"/>
      <c r="Z481" s="43"/>
      <c r="AA481" s="38"/>
      <c r="AB481" s="43"/>
      <c r="AC481" s="43"/>
      <c r="AD481" s="43"/>
      <c r="AE481" s="43"/>
      <c r="AF481" s="43"/>
      <c r="AG481" s="43"/>
      <c r="AH481" s="43"/>
      <c r="AI481" s="43"/>
    </row>
    <row r="482" spans="1:35">
      <c r="A482" s="43"/>
      <c r="B482" s="43"/>
      <c r="C482" s="43"/>
      <c r="D482" s="43"/>
      <c r="E482" s="43"/>
      <c r="F482" s="43"/>
      <c r="G482" s="43"/>
      <c r="H482" s="43"/>
      <c r="I482" s="43"/>
      <c r="J482" s="43"/>
      <c r="K482" s="43"/>
      <c r="L482" s="43"/>
      <c r="M482" s="44"/>
      <c r="N482" s="119"/>
      <c r="O482" s="38"/>
      <c r="P482" s="38"/>
      <c r="Q482" s="44"/>
      <c r="R482" s="38"/>
      <c r="S482" s="38"/>
      <c r="T482" s="44"/>
      <c r="U482" s="38"/>
      <c r="V482" s="38"/>
      <c r="W482" s="44"/>
      <c r="X482" s="38"/>
      <c r="Y482" s="38"/>
      <c r="Z482" s="43"/>
      <c r="AA482" s="38"/>
      <c r="AB482" s="43"/>
      <c r="AC482" s="43"/>
      <c r="AD482" s="43"/>
      <c r="AE482" s="43"/>
      <c r="AF482" s="43"/>
      <c r="AG482" s="43"/>
      <c r="AH482" s="43"/>
      <c r="AI482" s="43"/>
    </row>
    <row r="483" spans="1:35">
      <c r="A483" s="43"/>
      <c r="B483" s="43"/>
      <c r="C483" s="43"/>
      <c r="D483" s="43"/>
      <c r="E483" s="43"/>
      <c r="F483" s="43"/>
      <c r="G483" s="43"/>
      <c r="H483" s="43"/>
      <c r="I483" s="43"/>
      <c r="J483" s="43"/>
      <c r="K483" s="43"/>
      <c r="L483" s="43"/>
      <c r="M483" s="44"/>
      <c r="N483" s="119"/>
      <c r="O483" s="38"/>
      <c r="P483" s="38"/>
      <c r="Q483" s="44"/>
      <c r="R483" s="38"/>
      <c r="S483" s="38"/>
      <c r="T483" s="44"/>
      <c r="U483" s="38"/>
      <c r="V483" s="38"/>
      <c r="W483" s="44"/>
      <c r="X483" s="38"/>
      <c r="Y483" s="38"/>
      <c r="Z483" s="43"/>
      <c r="AA483" s="38"/>
      <c r="AB483" s="43"/>
      <c r="AC483" s="43"/>
      <c r="AD483" s="43"/>
      <c r="AE483" s="43"/>
      <c r="AF483" s="43"/>
      <c r="AG483" s="43"/>
      <c r="AH483" s="43"/>
      <c r="AI483" s="43"/>
    </row>
    <row r="859" spans="20:20">
      <c r="T859" s="1393"/>
    </row>
    <row r="860" spans="20:20">
      <c r="T860" s="1393"/>
    </row>
    <row r="861" spans="20:20">
      <c r="T861" s="1393"/>
    </row>
    <row r="862" spans="20:20">
      <c r="T862" s="1393"/>
    </row>
    <row r="863" spans="20:20">
      <c r="T863" s="1393"/>
    </row>
    <row r="864" spans="20:20">
      <c r="T864" s="1393"/>
    </row>
    <row r="865" spans="20:20">
      <c r="T865" s="1393"/>
    </row>
    <row r="866" spans="20:20">
      <c r="T866" s="1393"/>
    </row>
    <row r="867" spans="20:20">
      <c r="T867" s="1393"/>
    </row>
    <row r="868" spans="20:20">
      <c r="T868" s="1393"/>
    </row>
    <row r="869" spans="20:20">
      <c r="T869" s="1393"/>
    </row>
    <row r="870" spans="20:20">
      <c r="T870" s="1393"/>
    </row>
    <row r="871" spans="20:20">
      <c r="T871" s="1393"/>
    </row>
    <row r="872" spans="20:20">
      <c r="T872" s="1393"/>
    </row>
    <row r="873" spans="20:20">
      <c r="T873" s="1393"/>
    </row>
    <row r="874" spans="20:20">
      <c r="T874" s="1393"/>
    </row>
    <row r="875" spans="20:20">
      <c r="T875" s="1393"/>
    </row>
    <row r="876" spans="20:20">
      <c r="T876" s="1393"/>
    </row>
    <row r="877" spans="20:20">
      <c r="T877" s="1393"/>
    </row>
    <row r="878" spans="20:20">
      <c r="T878" s="1393"/>
    </row>
    <row r="879" spans="20:20">
      <c r="T879" s="1393"/>
    </row>
    <row r="880" spans="20:20">
      <c r="T880" s="1393"/>
    </row>
    <row r="881" spans="20:20">
      <c r="T881" s="1393"/>
    </row>
    <row r="882" spans="20:20">
      <c r="T882" s="1393"/>
    </row>
    <row r="883" spans="20:20">
      <c r="T883" s="1393"/>
    </row>
    <row r="884" spans="20:20">
      <c r="T884" s="1393"/>
    </row>
    <row r="885" spans="20:20">
      <c r="T885" s="1393"/>
    </row>
    <row r="886" spans="20:20">
      <c r="T886" s="1393"/>
    </row>
    <row r="887" spans="20:20">
      <c r="T887" s="1393"/>
    </row>
    <row r="888" spans="20:20">
      <c r="T888" s="1393"/>
    </row>
    <row r="889" spans="20:20">
      <c r="T889" s="1393"/>
    </row>
    <row r="890" spans="20:20">
      <c r="T890" s="1393"/>
    </row>
    <row r="891" spans="20:20">
      <c r="T891" s="1393"/>
    </row>
    <row r="892" spans="20:20">
      <c r="T892" s="1393"/>
    </row>
    <row r="893" spans="20:20">
      <c r="T893" s="1393"/>
    </row>
    <row r="894" spans="20:20">
      <c r="T894" s="1393"/>
    </row>
    <row r="895" spans="20:20">
      <c r="T895" s="1393"/>
    </row>
    <row r="896" spans="20:20">
      <c r="T896" s="1393"/>
    </row>
    <row r="897" spans="20:20">
      <c r="T897" s="1393"/>
    </row>
    <row r="898" spans="20:20">
      <c r="T898" s="1393"/>
    </row>
    <row r="899" spans="20:20">
      <c r="T899" s="1393"/>
    </row>
    <row r="900" spans="20:20">
      <c r="T900" s="1393"/>
    </row>
    <row r="901" spans="20:20">
      <c r="T901" s="1393"/>
    </row>
    <row r="902" spans="20:20">
      <c r="T902" s="1393"/>
    </row>
    <row r="903" spans="20:20">
      <c r="T903" s="1393"/>
    </row>
    <row r="904" spans="20:20">
      <c r="T904" s="1393"/>
    </row>
    <row r="905" spans="20:20">
      <c r="T905" s="1393"/>
    </row>
    <row r="906" spans="20:20">
      <c r="T906" s="1393"/>
    </row>
    <row r="907" spans="20:20">
      <c r="T907" s="1393"/>
    </row>
    <row r="908" spans="20:20">
      <c r="T908" s="1393"/>
    </row>
    <row r="909" spans="20:20">
      <c r="T909" s="1393"/>
    </row>
    <row r="910" spans="20:20">
      <c r="T910" s="1393"/>
    </row>
    <row r="911" spans="20:20">
      <c r="T911" s="1393"/>
    </row>
    <row r="912" spans="20:20">
      <c r="T912" s="1393"/>
    </row>
    <row r="913" spans="20:20">
      <c r="T913" s="1393"/>
    </row>
    <row r="914" spans="20:20">
      <c r="T914" s="1393"/>
    </row>
    <row r="915" spans="20:20">
      <c r="T915" s="1393"/>
    </row>
    <row r="916" spans="20:20">
      <c r="T916" s="1393"/>
    </row>
    <row r="917" spans="20:20">
      <c r="T917" s="1393"/>
    </row>
    <row r="918" spans="20:20">
      <c r="T918" s="1393"/>
    </row>
    <row r="919" spans="20:20">
      <c r="T919" s="1393"/>
    </row>
    <row r="920" spans="20:20">
      <c r="T920" s="1393"/>
    </row>
    <row r="921" spans="20:20">
      <c r="T921" s="1393"/>
    </row>
    <row r="922" spans="20:20">
      <c r="T922" s="1393"/>
    </row>
    <row r="923" spans="20:20">
      <c r="T923" s="1393"/>
    </row>
    <row r="924" spans="20:20">
      <c r="T924" s="1393"/>
    </row>
    <row r="925" spans="20:20">
      <c r="T925" s="1393"/>
    </row>
    <row r="926" spans="20:20">
      <c r="T926" s="1393"/>
    </row>
    <row r="927" spans="20:20">
      <c r="T927" s="1393"/>
    </row>
    <row r="928" spans="20:20">
      <c r="T928" s="1393"/>
    </row>
    <row r="929" spans="20:20">
      <c r="T929" s="1393"/>
    </row>
    <row r="930" spans="20:20">
      <c r="T930" s="1393"/>
    </row>
    <row r="931" spans="20:20">
      <c r="T931" s="1393"/>
    </row>
    <row r="932" spans="20:20">
      <c r="T932" s="1393"/>
    </row>
    <row r="933" spans="20:20">
      <c r="T933" s="1393"/>
    </row>
    <row r="934" spans="20:20">
      <c r="T934" s="1393"/>
    </row>
    <row r="935" spans="20:20">
      <c r="T935" s="1393"/>
    </row>
    <row r="936" spans="20:20">
      <c r="T936" s="1393"/>
    </row>
    <row r="937" spans="20:20">
      <c r="T937" s="1393"/>
    </row>
    <row r="938" spans="20:20">
      <c r="T938" s="1393"/>
    </row>
    <row r="939" spans="20:20">
      <c r="T939" s="1393"/>
    </row>
    <row r="940" spans="20:20">
      <c r="T940" s="1393"/>
    </row>
    <row r="941" spans="20:20">
      <c r="T941" s="1393"/>
    </row>
    <row r="942" spans="20:20">
      <c r="T942" s="1393"/>
    </row>
    <row r="943" spans="20:20">
      <c r="T943" s="1393"/>
    </row>
    <row r="944" spans="20:20">
      <c r="T944" s="1393"/>
    </row>
    <row r="945" spans="20:20">
      <c r="T945" s="1393"/>
    </row>
    <row r="946" spans="20:20">
      <c r="T946" s="1393"/>
    </row>
    <row r="947" spans="20:20">
      <c r="T947" s="1393"/>
    </row>
    <row r="948" spans="20:20">
      <c r="T948" s="1393"/>
    </row>
    <row r="949" spans="20:20">
      <c r="T949" s="1393"/>
    </row>
    <row r="950" spans="20:20">
      <c r="T950" s="1393"/>
    </row>
    <row r="951" spans="20:20">
      <c r="T951" s="1393"/>
    </row>
    <row r="952" spans="20:20">
      <c r="T952" s="1393"/>
    </row>
    <row r="953" spans="20:20">
      <c r="T953" s="1393"/>
    </row>
    <row r="954" spans="20:20">
      <c r="T954" s="1393"/>
    </row>
    <row r="955" spans="20:20">
      <c r="T955" s="1393"/>
    </row>
    <row r="956" spans="20:20">
      <c r="T956" s="1393"/>
    </row>
    <row r="957" spans="20:20">
      <c r="T957" s="1393"/>
    </row>
    <row r="958" spans="20:20">
      <c r="T958" s="1393"/>
    </row>
    <row r="959" spans="20:20">
      <c r="T959" s="1393"/>
    </row>
    <row r="960" spans="20:20">
      <c r="T960" s="1393"/>
    </row>
    <row r="961" spans="20:20">
      <c r="T961" s="1393"/>
    </row>
    <row r="962" spans="20:20">
      <c r="T962" s="1393"/>
    </row>
    <row r="963" spans="20:20">
      <c r="T963" s="1393"/>
    </row>
    <row r="964" spans="20:20">
      <c r="T964" s="1393"/>
    </row>
    <row r="965" spans="20:20">
      <c r="T965" s="1393"/>
    </row>
    <row r="966" spans="20:20">
      <c r="T966" s="1393"/>
    </row>
    <row r="967" spans="20:20">
      <c r="T967" s="1393"/>
    </row>
    <row r="968" spans="20:20">
      <c r="T968" s="1393"/>
    </row>
    <row r="969" spans="20:20">
      <c r="T969" s="1393"/>
    </row>
    <row r="970" spans="20:20">
      <c r="T970" s="1393"/>
    </row>
    <row r="971" spans="20:20">
      <c r="T971" s="1393"/>
    </row>
    <row r="972" spans="20:20">
      <c r="T972" s="1393"/>
    </row>
    <row r="973" spans="20:20">
      <c r="T973" s="1393"/>
    </row>
    <row r="974" spans="20:20">
      <c r="T974" s="1393"/>
    </row>
    <row r="975" spans="20:20">
      <c r="T975" s="1393"/>
    </row>
    <row r="976" spans="20:20">
      <c r="T976" s="1393"/>
    </row>
    <row r="977" spans="20:20">
      <c r="T977" s="1393"/>
    </row>
    <row r="978" spans="20:20">
      <c r="T978" s="1393"/>
    </row>
    <row r="979" spans="20:20">
      <c r="T979" s="1393"/>
    </row>
    <row r="980" spans="20:20">
      <c r="T980" s="1393"/>
    </row>
    <row r="981" spans="20:20">
      <c r="T981" s="1393"/>
    </row>
    <row r="982" spans="20:20">
      <c r="T982" s="1393"/>
    </row>
    <row r="983" spans="20:20">
      <c r="T983" s="1393"/>
    </row>
    <row r="984" spans="20:20">
      <c r="T984" s="1393"/>
    </row>
    <row r="985" spans="20:20">
      <c r="T985" s="1393"/>
    </row>
    <row r="986" spans="20:20">
      <c r="T986" s="1393"/>
    </row>
    <row r="987" spans="20:20">
      <c r="T987" s="1393"/>
    </row>
    <row r="988" spans="20:20">
      <c r="T988" s="1393"/>
    </row>
    <row r="989" spans="20:20">
      <c r="T989" s="1393"/>
    </row>
    <row r="990" spans="20:20">
      <c r="T990" s="1393"/>
    </row>
    <row r="991" spans="20:20">
      <c r="T991" s="1393"/>
    </row>
    <row r="992" spans="20:20">
      <c r="T992" s="1393"/>
    </row>
    <row r="993" spans="20:20">
      <c r="T993" s="1393"/>
    </row>
    <row r="994" spans="20:20">
      <c r="T994" s="1393"/>
    </row>
    <row r="995" spans="20:20">
      <c r="T995" s="1393"/>
    </row>
    <row r="996" spans="20:20">
      <c r="T996" s="1393"/>
    </row>
    <row r="997" spans="20:20">
      <c r="T997" s="1393"/>
    </row>
    <row r="998" spans="20:20">
      <c r="T998" s="1393"/>
    </row>
    <row r="999" spans="20:20">
      <c r="T999" s="1393"/>
    </row>
    <row r="1000" spans="20:20">
      <c r="T1000" s="1393"/>
    </row>
    <row r="1001" spans="20:20">
      <c r="T1001" s="1393"/>
    </row>
    <row r="1002" spans="20:20">
      <c r="T1002" s="1393"/>
    </row>
    <row r="1003" spans="20:20">
      <c r="T1003" s="1393"/>
    </row>
    <row r="1004" spans="20:20">
      <c r="T1004" s="1393"/>
    </row>
    <row r="1005" spans="20:20">
      <c r="T1005" s="1393"/>
    </row>
    <row r="1006" spans="20:20">
      <c r="T1006" s="1393"/>
    </row>
    <row r="1007" spans="20:20">
      <c r="T1007" s="1393"/>
    </row>
    <row r="1008" spans="20:20">
      <c r="T1008" s="1393"/>
    </row>
    <row r="1009" spans="20:20">
      <c r="T1009" s="1393"/>
    </row>
    <row r="1010" spans="20:20">
      <c r="T1010" s="1393"/>
    </row>
    <row r="1011" spans="20:20">
      <c r="T1011" s="1393"/>
    </row>
    <row r="1012" spans="20:20">
      <c r="T1012" s="1393"/>
    </row>
    <row r="1013" spans="20:20">
      <c r="T1013" s="1393"/>
    </row>
    <row r="1014" spans="20:20">
      <c r="T1014" s="1393"/>
    </row>
    <row r="1015" spans="20:20">
      <c r="T1015" s="1393"/>
    </row>
    <row r="1016" spans="20:20">
      <c r="T1016" s="1393"/>
    </row>
    <row r="1017" spans="20:20">
      <c r="T1017" s="1393"/>
    </row>
    <row r="1018" spans="20:20">
      <c r="T1018" s="1393"/>
    </row>
    <row r="1019" spans="20:20">
      <c r="T1019" s="1393"/>
    </row>
    <row r="1020" spans="20:20">
      <c r="T1020" s="1393"/>
    </row>
    <row r="1021" spans="20:20">
      <c r="T1021" s="1393"/>
    </row>
    <row r="1022" spans="20:20">
      <c r="T1022" s="1393"/>
    </row>
    <row r="1023" spans="20:20">
      <c r="T1023" s="1393"/>
    </row>
    <row r="1024" spans="20:20">
      <c r="T1024" s="1393"/>
    </row>
    <row r="1025" spans="20:20">
      <c r="T1025" s="1393"/>
    </row>
    <row r="1026" spans="20:20">
      <c r="T1026" s="1393"/>
    </row>
    <row r="1027" spans="20:20">
      <c r="T1027" s="1393"/>
    </row>
    <row r="1028" spans="20:20">
      <c r="T1028" s="1393"/>
    </row>
    <row r="1029" spans="20:20">
      <c r="T1029" s="1393"/>
    </row>
    <row r="1030" spans="20:20">
      <c r="T1030" s="1393"/>
    </row>
    <row r="1031" spans="20:20">
      <c r="T1031" s="1393"/>
    </row>
    <row r="1032" spans="20:20">
      <c r="T1032" s="1393"/>
    </row>
    <row r="1033" spans="20:20">
      <c r="T1033" s="1393"/>
    </row>
    <row r="1034" spans="20:20">
      <c r="T1034" s="1393"/>
    </row>
    <row r="1035" spans="20:20">
      <c r="T1035" s="1393"/>
    </row>
    <row r="1036" spans="20:20">
      <c r="T1036" s="1393"/>
    </row>
    <row r="1037" spans="20:20">
      <c r="T1037" s="1393"/>
    </row>
    <row r="1038" spans="20:20">
      <c r="T1038" s="1393"/>
    </row>
    <row r="1039" spans="20:20">
      <c r="T1039" s="1393"/>
    </row>
    <row r="1040" spans="20:20">
      <c r="T1040" s="1393"/>
    </row>
    <row r="1041" spans="20:20">
      <c r="T1041" s="1393"/>
    </row>
    <row r="1042" spans="20:20">
      <c r="T1042" s="1393"/>
    </row>
    <row r="1043" spans="20:20">
      <c r="T1043" s="1393"/>
    </row>
    <row r="1044" spans="20:20">
      <c r="T1044" s="1393"/>
    </row>
    <row r="1045" spans="20:20">
      <c r="T1045" s="1393"/>
    </row>
    <row r="1046" spans="20:20">
      <c r="T1046" s="1393"/>
    </row>
    <row r="1047" spans="20:20">
      <c r="T1047" s="1393"/>
    </row>
    <row r="1048" spans="20:20">
      <c r="T1048" s="1393"/>
    </row>
    <row r="1049" spans="20:20">
      <c r="T1049" s="1393"/>
    </row>
    <row r="1050" spans="20:20">
      <c r="T1050" s="1393"/>
    </row>
    <row r="1051" spans="20:20">
      <c r="T1051" s="1393"/>
    </row>
    <row r="1052" spans="20:20">
      <c r="T1052" s="1393"/>
    </row>
    <row r="1053" spans="20:20">
      <c r="T1053" s="1393"/>
    </row>
    <row r="1054" spans="20:20">
      <c r="T1054" s="1393"/>
    </row>
    <row r="1055" spans="20:20">
      <c r="T1055" s="1393"/>
    </row>
    <row r="1056" spans="20:20">
      <c r="T1056" s="1393"/>
    </row>
    <row r="1057" spans="20:20">
      <c r="T1057" s="1393"/>
    </row>
    <row r="1058" spans="20:20">
      <c r="T1058" s="1393"/>
    </row>
    <row r="1059" spans="20:20">
      <c r="T1059" s="1393"/>
    </row>
    <row r="1060" spans="20:20">
      <c r="T1060" s="1393"/>
    </row>
    <row r="1061" spans="20:20">
      <c r="T1061" s="1393"/>
    </row>
    <row r="1062" spans="20:20">
      <c r="T1062" s="1393"/>
    </row>
    <row r="1063" spans="20:20">
      <c r="T1063" s="1393"/>
    </row>
    <row r="1064" spans="20:20">
      <c r="T1064" s="1393"/>
    </row>
    <row r="1065" spans="20:20">
      <c r="T1065" s="1393"/>
    </row>
    <row r="1066" spans="20:20">
      <c r="T1066" s="1393"/>
    </row>
    <row r="1067" spans="20:20">
      <c r="T1067" s="1393"/>
    </row>
    <row r="1068" spans="20:20">
      <c r="T1068" s="1393"/>
    </row>
    <row r="1069" spans="20:20">
      <c r="T1069" s="1393"/>
    </row>
    <row r="1070" spans="20:20">
      <c r="T1070" s="1393"/>
    </row>
    <row r="1071" spans="20:20">
      <c r="T1071" s="1393"/>
    </row>
    <row r="1072" spans="20:20">
      <c r="T1072" s="1393"/>
    </row>
    <row r="1073" spans="20:20">
      <c r="T1073" s="1393"/>
    </row>
    <row r="1074" spans="20:20">
      <c r="T1074" s="1393"/>
    </row>
    <row r="1075" spans="20:20">
      <c r="T1075" s="1393"/>
    </row>
    <row r="1076" spans="20:20">
      <c r="T1076" s="1393"/>
    </row>
    <row r="1077" spans="20:20">
      <c r="T1077" s="1393"/>
    </row>
    <row r="1078" spans="20:20">
      <c r="T1078" s="1393"/>
    </row>
    <row r="1079" spans="20:20">
      <c r="T1079" s="1393"/>
    </row>
    <row r="1080" spans="20:20">
      <c r="T1080" s="1393"/>
    </row>
    <row r="1081" spans="20:20">
      <c r="T1081" s="1393"/>
    </row>
    <row r="1082" spans="20:20">
      <c r="T1082" s="1393"/>
    </row>
    <row r="1083" spans="20:20">
      <c r="T1083" s="1393"/>
    </row>
    <row r="1084" spans="20:20">
      <c r="T1084" s="1393"/>
    </row>
    <row r="1085" spans="20:20">
      <c r="T1085" s="1393"/>
    </row>
    <row r="1086" spans="20:20">
      <c r="T1086" s="1393"/>
    </row>
    <row r="1087" spans="20:20">
      <c r="T1087" s="1393"/>
    </row>
    <row r="1088" spans="20:20">
      <c r="T1088" s="1393"/>
    </row>
    <row r="1089" spans="20:20">
      <c r="T1089" s="1393"/>
    </row>
    <row r="1090" spans="20:20">
      <c r="T1090" s="1393"/>
    </row>
    <row r="1091" spans="20:20">
      <c r="T1091" s="1393"/>
    </row>
    <row r="1092" spans="20:20">
      <c r="T1092" s="1393"/>
    </row>
    <row r="1093" spans="20:20">
      <c r="T1093" s="1393"/>
    </row>
    <row r="1094" spans="20:20">
      <c r="T1094" s="1393"/>
    </row>
    <row r="1095" spans="20:20">
      <c r="T1095" s="1393"/>
    </row>
    <row r="1096" spans="20:20">
      <c r="T1096" s="1393"/>
    </row>
    <row r="1097" spans="20:20">
      <c r="T1097" s="1393"/>
    </row>
    <row r="1098" spans="20:20">
      <c r="T1098" s="1393"/>
    </row>
    <row r="1099" spans="20:20">
      <c r="T1099" s="1393"/>
    </row>
    <row r="1100" spans="20:20">
      <c r="T1100" s="1393"/>
    </row>
    <row r="1101" spans="20:20">
      <c r="T1101" s="1393"/>
    </row>
    <row r="1102" spans="20:20">
      <c r="T1102" s="1393"/>
    </row>
    <row r="1103" spans="20:20">
      <c r="T1103" s="1393"/>
    </row>
    <row r="1104" spans="20:20">
      <c r="T1104" s="1393"/>
    </row>
    <row r="1105" spans="20:20">
      <c r="T1105" s="1393"/>
    </row>
    <row r="1106" spans="20:20">
      <c r="T1106" s="1393"/>
    </row>
    <row r="1107" spans="20:20">
      <c r="T1107" s="1393"/>
    </row>
    <row r="1108" spans="20:20">
      <c r="T1108" s="1393"/>
    </row>
    <row r="1109" spans="20:20">
      <c r="T1109" s="1393"/>
    </row>
    <row r="1110" spans="20:20">
      <c r="T1110" s="1393"/>
    </row>
    <row r="1111" spans="20:20">
      <c r="T1111" s="1393"/>
    </row>
    <row r="1112" spans="20:20">
      <c r="T1112" s="1393"/>
    </row>
    <row r="1113" spans="20:20">
      <c r="T1113" s="1393"/>
    </row>
    <row r="1114" spans="20:20">
      <c r="T1114" s="1393"/>
    </row>
    <row r="1115" spans="20:20">
      <c r="T1115" s="1393"/>
    </row>
    <row r="1116" spans="20:20">
      <c r="T1116" s="1393"/>
    </row>
    <row r="1117" spans="20:20">
      <c r="T1117" s="1393"/>
    </row>
    <row r="1118" spans="20:20">
      <c r="T1118" s="1393"/>
    </row>
    <row r="1119" spans="20:20">
      <c r="T1119" s="1393"/>
    </row>
    <row r="1120" spans="20:20">
      <c r="T1120" s="1393"/>
    </row>
    <row r="1121" spans="20:20">
      <c r="T1121" s="1393"/>
    </row>
    <row r="1122" spans="20:20">
      <c r="T1122" s="1393"/>
    </row>
    <row r="1123" spans="20:20">
      <c r="T1123" s="1393"/>
    </row>
    <row r="1124" spans="20:20">
      <c r="T1124" s="1393"/>
    </row>
    <row r="1125" spans="20:20">
      <c r="T1125" s="1393"/>
    </row>
    <row r="1126" spans="20:20">
      <c r="T1126" s="1393"/>
    </row>
    <row r="1127" spans="20:20">
      <c r="T1127" s="1393"/>
    </row>
    <row r="1128" spans="20:20">
      <c r="T1128" s="1393"/>
    </row>
    <row r="1129" spans="20:20">
      <c r="T1129" s="1393"/>
    </row>
    <row r="1130" spans="20:20">
      <c r="T1130" s="1393"/>
    </row>
    <row r="1131" spans="20:20">
      <c r="T1131" s="1393"/>
    </row>
    <row r="1132" spans="20:20">
      <c r="T1132" s="1393"/>
    </row>
    <row r="1133" spans="20:20">
      <c r="T1133" s="1393"/>
    </row>
    <row r="1134" spans="20:20">
      <c r="T1134" s="1393"/>
    </row>
    <row r="1135" spans="20:20">
      <c r="T1135" s="1393"/>
    </row>
    <row r="1136" spans="20:20">
      <c r="T1136" s="1393"/>
    </row>
    <row r="1137" spans="20:20">
      <c r="T1137" s="1393"/>
    </row>
    <row r="1138" spans="20:20">
      <c r="T1138" s="1393"/>
    </row>
    <row r="1139" spans="20:20">
      <c r="T1139" s="1393"/>
    </row>
    <row r="1140" spans="20:20">
      <c r="T1140" s="1393"/>
    </row>
    <row r="1141" spans="20:20">
      <c r="T1141" s="1393"/>
    </row>
    <row r="1142" spans="20:20">
      <c r="T1142" s="1393"/>
    </row>
    <row r="1143" spans="20:20">
      <c r="T1143" s="1393"/>
    </row>
    <row r="1144" spans="20:20">
      <c r="T1144" s="1393"/>
    </row>
    <row r="1145" spans="20:20">
      <c r="T1145" s="1393"/>
    </row>
    <row r="1146" spans="20:20">
      <c r="T1146" s="1393"/>
    </row>
    <row r="1147" spans="20:20">
      <c r="T1147" s="1393"/>
    </row>
    <row r="1148" spans="20:20">
      <c r="T1148" s="1393"/>
    </row>
    <row r="1149" spans="20:20">
      <c r="T1149" s="1393"/>
    </row>
    <row r="1150" spans="20:20">
      <c r="T1150" s="1393"/>
    </row>
    <row r="1151" spans="20:20">
      <c r="T1151" s="1393"/>
    </row>
    <row r="1152" spans="20:20">
      <c r="T1152" s="1393"/>
    </row>
    <row r="1153" spans="20:20">
      <c r="T1153" s="1393"/>
    </row>
    <row r="1154" spans="20:20">
      <c r="T1154" s="1393"/>
    </row>
    <row r="1155" spans="20:20">
      <c r="T1155" s="1393"/>
    </row>
    <row r="1156" spans="20:20">
      <c r="T1156" s="1393"/>
    </row>
    <row r="1157" spans="20:20">
      <c r="T1157" s="1393"/>
    </row>
    <row r="1158" spans="20:20">
      <c r="T1158" s="1393"/>
    </row>
    <row r="1159" spans="20:20">
      <c r="T1159" s="1393"/>
    </row>
    <row r="1160" spans="20:20">
      <c r="T1160" s="1393"/>
    </row>
    <row r="1161" spans="20:20">
      <c r="T1161" s="1393"/>
    </row>
    <row r="1162" spans="20:20">
      <c r="T1162" s="1393"/>
    </row>
    <row r="1163" spans="20:20">
      <c r="T1163" s="1393"/>
    </row>
    <row r="1164" spans="20:20">
      <c r="T1164" s="1393"/>
    </row>
    <row r="1165" spans="20:20">
      <c r="T1165" s="1393"/>
    </row>
    <row r="1166" spans="20:20">
      <c r="T1166" s="1393"/>
    </row>
    <row r="1167" spans="20:20">
      <c r="T1167" s="1393"/>
    </row>
    <row r="1168" spans="20:20">
      <c r="T1168" s="1393"/>
    </row>
    <row r="1169" spans="20:20">
      <c r="T1169" s="1393"/>
    </row>
    <row r="1170" spans="20:20">
      <c r="T1170" s="1393"/>
    </row>
    <row r="1171" spans="20:20">
      <c r="T1171" s="1393"/>
    </row>
    <row r="1172" spans="20:20">
      <c r="T1172" s="1393"/>
    </row>
    <row r="1173" spans="20:20">
      <c r="T1173" s="1393"/>
    </row>
    <row r="1174" spans="20:20">
      <c r="T1174" s="1393"/>
    </row>
    <row r="1175" spans="20:20">
      <c r="T1175" s="1393"/>
    </row>
    <row r="1176" spans="20:20">
      <c r="T1176" s="1393"/>
    </row>
  </sheetData>
  <sheetProtection password="889B" sheet="1" objects="1" scenarios="1"/>
  <mergeCells count="12">
    <mergeCell ref="D4:E4"/>
    <mergeCell ref="G4:L4"/>
    <mergeCell ref="B393:J393"/>
    <mergeCell ref="B395:K395"/>
    <mergeCell ref="K464:L464"/>
    <mergeCell ref="K10:L10"/>
    <mergeCell ref="E2:L2"/>
    <mergeCell ref="C6:E6"/>
    <mergeCell ref="G6:L6"/>
    <mergeCell ref="G8:H8"/>
    <mergeCell ref="J8:L8"/>
    <mergeCell ref="A3:C5"/>
  </mergeCells>
  <conditionalFormatting sqref="P206:P208 P212 P237 P241 Y206:Y212 Y237 Y241 O203:P203 O199:O202 O213 O204:O205 O209:O211 O14:P15 R1009:S1065 R354:S354 R864:S1006 R14:S15 V199:V202 U273:V273 U17:V40 U14:V15 U212 V204:V205 V209:V211 U206:U208 V49 U48 X100:Y115 X117:Y126 X128:Y129 X136:Y140 X142:Y154 X158:Y165 X167:Y172 X183:Y186 X189:Y192 X194:Y197 X199:X201 X234:Y234 X284:Y284 X312:Y314 X316:Y316 X319:Y324 X326:Y326 X328:Y330 X54:Y74 X77:Y79 X81:Y81 X83:Y93 X286:Y310 X203:Y205 X209:Y211 X242:Y259 X13:Y52 AA100:AA115 AA117:AA126 AA128:AA129 AA136:AA140 AA142:AA154 AA158:AA165 AA167:AA172 AA183:AA186 AA189:AA192 AA194:AA197 AA199:AA213 AA221:AA222 AA225:AA226 AA234:AA259 AA261:AA282 AA284 AA286:AA310 AA312:AA314 AA316 AA319:AA324 AA326 AA328:AA330 AA337:AA338 AA349:AA352 AA355:AA362 AA367:AA370 AA372:AA377 AA386:AA391 AA397 AA401:AA403 AA421:AA422 AA425 AA429:AA433 AA436:AA437 AA444:AA445 AA448:AA453 AA54:AA74 AA77:AA79 AA81 AA83:AA93 AA13:AA52 O17:P40 U43:V47 O42:P49 X261:Y282">
    <cfRule type="cellIs" dxfId="1472" priority="213" stopIfTrue="1" operator="lessThan">
      <formula>0</formula>
    </cfRule>
  </conditionalFormatting>
  <conditionalFormatting sqref="R1068:S1068 R1007:S1007 R1066:S1066 O462:V462 X462:Y462 AA462">
    <cfRule type="cellIs" dxfId="1471" priority="215" stopIfTrue="1" operator="lessThan">
      <formula>0</formula>
    </cfRule>
  </conditionalFormatting>
  <conditionalFormatting sqref="E12:F12">
    <cfRule type="cellIs" dxfId="1470" priority="223" stopIfTrue="1" operator="equal">
      <formula>0</formula>
    </cfRule>
  </conditionalFormatting>
  <conditionalFormatting sqref="N10">
    <cfRule type="cellIs" dxfId="1469" priority="224" stopIfTrue="1" operator="equal">
      <formula>0</formula>
    </cfRule>
  </conditionalFormatting>
  <conditionalFormatting sqref="AA10">
    <cfRule type="cellIs" dxfId="1468" priority="228" stopIfTrue="1" operator="equal">
      <formula>"ERROR !"</formula>
    </cfRule>
  </conditionalFormatting>
  <conditionalFormatting sqref="E2:L2 C6:E6 G6:L6 C8 C10 K10:L10 F10">
    <cfRule type="cellIs" dxfId="1467" priority="209" stopIfTrue="1" operator="equal">
      <formula>0</formula>
    </cfRule>
  </conditionalFormatting>
  <conditionalFormatting sqref="R206:S233 R43:S198 R301:S338 R274:S299 R235:S272 R397:S461 R372:S395">
    <cfRule type="cellIs" dxfId="1466" priority="171" stopIfTrue="1" operator="lessThan">
      <formula>0</formula>
    </cfRule>
  </conditionalFormatting>
  <conditionalFormatting sqref="P199:P202">
    <cfRule type="cellIs" dxfId="1465" priority="160" stopIfTrue="1" operator="lessThan">
      <formula>0</formula>
    </cfRule>
  </conditionalFormatting>
  <conditionalFormatting sqref="P213 O212 P209:P211 O206:O208 P204:P205">
    <cfRule type="cellIs" dxfId="1464" priority="159" stopIfTrue="1" operator="lessThan">
      <formula>0</formula>
    </cfRule>
  </conditionalFormatting>
  <conditionalFormatting sqref="O237">
    <cfRule type="cellIs" dxfId="1463" priority="156" stopIfTrue="1" operator="lessThan">
      <formula>0</formula>
    </cfRule>
  </conditionalFormatting>
  <conditionalFormatting sqref="O241">
    <cfRule type="cellIs" dxfId="1462" priority="155" stopIfTrue="1" operator="lessThan">
      <formula>0</formula>
    </cfRule>
  </conditionalFormatting>
  <conditionalFormatting sqref="U301:V338 U372:V461">
    <cfRule type="cellIs" dxfId="1461" priority="139" stopIfTrue="1" operator="lessThan">
      <formula>0</formula>
    </cfRule>
  </conditionalFormatting>
  <conditionalFormatting sqref="R273:S273">
    <cfRule type="cellIs" dxfId="1460" priority="146" stopIfTrue="1" operator="lessThan">
      <formula>0</formula>
    </cfRule>
  </conditionalFormatting>
  <conditionalFormatting sqref="R203:S203 R199:R202 R204:R205">
    <cfRule type="cellIs" dxfId="1459" priority="163" stopIfTrue="1" operator="lessThan">
      <formula>0</formula>
    </cfRule>
  </conditionalFormatting>
  <conditionalFormatting sqref="U50:V69">
    <cfRule type="cellIs" dxfId="1458" priority="143" stopIfTrue="1" operator="lessThan">
      <formula>0</formula>
    </cfRule>
  </conditionalFormatting>
  <conditionalFormatting sqref="O214:P233">
    <cfRule type="cellIs" dxfId="1457" priority="127" stopIfTrue="1" operator="lessThan">
      <formula>0</formula>
    </cfRule>
  </conditionalFormatting>
  <conditionalFormatting sqref="O245:P272">
    <cfRule type="cellIs" dxfId="1456" priority="123" stopIfTrue="1" operator="lessThan">
      <formula>0</formula>
    </cfRule>
  </conditionalFormatting>
  <conditionalFormatting sqref="O274:P299">
    <cfRule type="cellIs" dxfId="1455" priority="122" stopIfTrue="1" operator="lessThan">
      <formula>0</formula>
    </cfRule>
  </conditionalFormatting>
  <conditionalFormatting sqref="O301:P395">
    <cfRule type="cellIs" dxfId="1454" priority="121" stopIfTrue="1" operator="lessThan">
      <formula>0</formula>
    </cfRule>
  </conditionalFormatting>
  <conditionalFormatting sqref="O397:P461">
    <cfRule type="cellIs" dxfId="1453" priority="120" stopIfTrue="1" operator="lessThan">
      <formula>0</formula>
    </cfRule>
  </conditionalFormatting>
  <conditionalFormatting sqref="O235:P236">
    <cfRule type="cellIs" dxfId="1452" priority="126" stopIfTrue="1" operator="lessThan">
      <formula>0</formula>
    </cfRule>
  </conditionalFormatting>
  <conditionalFormatting sqref="O238:P240">
    <cfRule type="cellIs" dxfId="1451" priority="125" stopIfTrue="1" operator="lessThan">
      <formula>0</formula>
    </cfRule>
  </conditionalFormatting>
  <conditionalFormatting sqref="O242:P246">
    <cfRule type="cellIs" dxfId="1450" priority="124" stopIfTrue="1" operator="lessThan">
      <formula>0</formula>
    </cfRule>
  </conditionalFormatting>
  <conditionalFormatting sqref="R17:S42">
    <cfRule type="cellIs" dxfId="1449" priority="149" stopIfTrue="1" operator="lessThan">
      <formula>0</formula>
    </cfRule>
  </conditionalFormatting>
  <conditionalFormatting sqref="S204:S205 S199:S202">
    <cfRule type="cellIs" dxfId="1448" priority="147" stopIfTrue="1" operator="lessThan">
      <formula>0</formula>
    </cfRule>
  </conditionalFormatting>
  <conditionalFormatting sqref="R300:S300">
    <cfRule type="cellIs" dxfId="1447" priority="145" stopIfTrue="1" operator="lessThan">
      <formula>0</formula>
    </cfRule>
  </conditionalFormatting>
  <conditionalFormatting sqref="R396:S396">
    <cfRule type="cellIs" dxfId="1446" priority="144" stopIfTrue="1" operator="lessThan">
      <formula>0</formula>
    </cfRule>
  </conditionalFormatting>
  <conditionalFormatting sqref="U235:V236 U261:V272 U238:V240 U237 U242:V259 U241">
    <cfRule type="cellIs" dxfId="1445" priority="142" stopIfTrue="1" operator="lessThan">
      <formula>0</formula>
    </cfRule>
  </conditionalFormatting>
  <conditionalFormatting sqref="U300:V300">
    <cfRule type="cellIs" dxfId="1444" priority="141" stopIfTrue="1" operator="lessThan">
      <formula>0</formula>
    </cfRule>
  </conditionalFormatting>
  <conditionalFormatting sqref="U274:V282 U284:V284 U286:V299">
    <cfRule type="cellIs" dxfId="1443" priority="140" stopIfTrue="1" operator="lessThan">
      <formula>0</formula>
    </cfRule>
  </conditionalFormatting>
  <conditionalFormatting sqref="O50:P198">
    <cfRule type="cellIs" dxfId="1442" priority="128" stopIfTrue="1" operator="lessThan">
      <formula>0</formula>
    </cfRule>
  </conditionalFormatting>
  <conditionalFormatting sqref="P464">
    <cfRule type="cellIs" dxfId="1441" priority="119" stopIfTrue="1" operator="equal">
      <formula>"2002 г. крайно ДТ с-до"</formula>
    </cfRule>
  </conditionalFormatting>
  <conditionalFormatting sqref="S464">
    <cfRule type="cellIs" dxfId="1440" priority="115" stopIfTrue="1" operator="equal">
      <formula>"2002 г. крайно ДТ с-до"</formula>
    </cfRule>
  </conditionalFormatting>
  <conditionalFormatting sqref="X202">
    <cfRule type="cellIs" dxfId="1439" priority="113" stopIfTrue="1" operator="lessThan">
      <formula>0</formula>
    </cfRule>
  </conditionalFormatting>
  <conditionalFormatting sqref="Y199:Y202">
    <cfRule type="cellIs" dxfId="1438" priority="112" stopIfTrue="1" operator="lessThan">
      <formula>0</formula>
    </cfRule>
  </conditionalFormatting>
  <conditionalFormatting sqref="X213:Y233">
    <cfRule type="cellIs" dxfId="1437" priority="111" stopIfTrue="1" operator="lessThan">
      <formula>0</formula>
    </cfRule>
  </conditionalFormatting>
  <conditionalFormatting sqref="X235:Y236">
    <cfRule type="cellIs" dxfId="1436" priority="110" stopIfTrue="1" operator="lessThan">
      <formula>0</formula>
    </cfRule>
  </conditionalFormatting>
  <conditionalFormatting sqref="X237">
    <cfRule type="cellIs" dxfId="1435" priority="109" stopIfTrue="1" operator="lessThan">
      <formula>0</formula>
    </cfRule>
  </conditionalFormatting>
  <conditionalFormatting sqref="X241">
    <cfRule type="cellIs" dxfId="1434" priority="108" stopIfTrue="1" operator="lessThan">
      <formula>0</formula>
    </cfRule>
  </conditionalFormatting>
  <conditionalFormatting sqref="X238:Y240">
    <cfRule type="cellIs" dxfId="1433" priority="107" stopIfTrue="1" operator="lessThan">
      <formula>0</formula>
    </cfRule>
  </conditionalFormatting>
  <conditionalFormatting sqref="O466:P466">
    <cfRule type="cellIs" dxfId="1432" priority="105" stopIfTrue="1" operator="equal">
      <formula>"O K"</formula>
    </cfRule>
    <cfRule type="cellIs" dxfId="1431" priority="106" stopIfTrue="1" operator="notEqual">
      <formula>0</formula>
    </cfRule>
  </conditionalFormatting>
  <conditionalFormatting sqref="R466:S466">
    <cfRule type="cellIs" dxfId="1430" priority="103" stopIfTrue="1" operator="equal">
      <formula>"O K"</formula>
    </cfRule>
    <cfRule type="cellIs" dxfId="1429" priority="104" stopIfTrue="1" operator="notEqual">
      <formula>0</formula>
    </cfRule>
  </conditionalFormatting>
  <conditionalFormatting sqref="V464">
    <cfRule type="cellIs" dxfId="1428" priority="102" stopIfTrue="1" operator="lessThan">
      <formula>0</formula>
    </cfRule>
  </conditionalFormatting>
  <conditionalFormatting sqref="U466:V466">
    <cfRule type="cellIs" dxfId="1427" priority="99" stopIfTrue="1" operator="equal">
      <formula>"O K"</formula>
    </cfRule>
    <cfRule type="cellIs" dxfId="1426" priority="100" stopIfTrue="1" operator="notEqual">
      <formula>0</formula>
    </cfRule>
  </conditionalFormatting>
  <conditionalFormatting sqref="Y464">
    <cfRule type="cellIs" dxfId="1425" priority="98" stopIfTrue="1" operator="lessThan">
      <formula>0</formula>
    </cfRule>
  </conditionalFormatting>
  <conditionalFormatting sqref="X466:Y466">
    <cfRule type="cellIs" dxfId="1424" priority="95" stopIfTrue="1" operator="equal">
      <formula>"O K"</formula>
    </cfRule>
    <cfRule type="cellIs" dxfId="1423" priority="96" stopIfTrue="1" operator="notEqual">
      <formula>0</formula>
    </cfRule>
  </conditionalFormatting>
  <conditionalFormatting sqref="O468:P468">
    <cfRule type="cellIs" dxfId="1422" priority="93" stopIfTrue="1" operator="equal">
      <formula>"O K"</formula>
    </cfRule>
    <cfRule type="cellIs" dxfId="1421" priority="94" stopIfTrue="1" operator="notEqual">
      <formula>0</formula>
    </cfRule>
  </conditionalFormatting>
  <conditionalFormatting sqref="R468:S468">
    <cfRule type="cellIs" dxfId="1420" priority="91" stopIfTrue="1" operator="equal">
      <formula>"O K"</formula>
    </cfRule>
    <cfRule type="cellIs" dxfId="1419" priority="92" stopIfTrue="1" operator="notEqual">
      <formula>0</formula>
    </cfRule>
  </conditionalFormatting>
  <conditionalFormatting sqref="U468:V468">
    <cfRule type="cellIs" dxfId="1418" priority="89" stopIfTrue="1" operator="equal">
      <formula>"O K"</formula>
    </cfRule>
    <cfRule type="cellIs" dxfId="1417" priority="90" stopIfTrue="1" operator="notEqual">
      <formula>0</formula>
    </cfRule>
  </conditionalFormatting>
  <conditionalFormatting sqref="X468:Y468">
    <cfRule type="cellIs" dxfId="1416" priority="87" stopIfTrue="1" operator="equal">
      <formula>"O K"</formula>
    </cfRule>
    <cfRule type="cellIs" dxfId="1415" priority="88" stopIfTrue="1" operator="notEqual">
      <formula>0</formula>
    </cfRule>
  </conditionalFormatting>
  <conditionalFormatting sqref="V237">
    <cfRule type="cellIs" dxfId="1414" priority="84" stopIfTrue="1" operator="lessThan">
      <formula>0</formula>
    </cfRule>
  </conditionalFormatting>
  <conditionalFormatting sqref="V241">
    <cfRule type="cellIs" dxfId="1413" priority="83" stopIfTrue="1" operator="lessThan">
      <formula>0</formula>
    </cfRule>
  </conditionalFormatting>
  <conditionalFormatting sqref="R339:S353">
    <cfRule type="cellIs" dxfId="1412" priority="82" stopIfTrue="1" operator="lessThan">
      <formula>0</formula>
    </cfRule>
  </conditionalFormatting>
  <conditionalFormatting sqref="R355:S371">
    <cfRule type="cellIs" dxfId="1411" priority="81" stopIfTrue="1" operator="lessThan">
      <formula>0</formula>
    </cfRule>
  </conditionalFormatting>
  <conditionalFormatting sqref="U354:V354">
    <cfRule type="cellIs" dxfId="1410" priority="80" stopIfTrue="1" operator="lessThan">
      <formula>0</formula>
    </cfRule>
  </conditionalFormatting>
  <conditionalFormatting sqref="U339:V353">
    <cfRule type="cellIs" dxfId="1409" priority="79" stopIfTrue="1" operator="lessThan">
      <formula>0</formula>
    </cfRule>
  </conditionalFormatting>
  <conditionalFormatting sqref="U355:V371">
    <cfRule type="cellIs" dxfId="1408" priority="78" stopIfTrue="1" operator="lessThan">
      <formula>0</formula>
    </cfRule>
  </conditionalFormatting>
  <conditionalFormatting sqref="G8:H8">
    <cfRule type="cellIs" dxfId="1407" priority="55" stopIfTrue="1" operator="equal">
      <formula>0</formula>
    </cfRule>
  </conditionalFormatting>
  <conditionalFormatting sqref="J8:L8">
    <cfRule type="cellIs" dxfId="1406" priority="54" stopIfTrue="1" operator="equal">
      <formula>0</formula>
    </cfRule>
  </conditionalFormatting>
  <conditionalFormatting sqref="O4">
    <cfRule type="cellIs" dxfId="1405" priority="50" stopIfTrue="1" operator="equal">
      <formula>"O K"</formula>
    </cfRule>
    <cfRule type="cellIs" dxfId="1404" priority="51" stopIfTrue="1" operator="notEqual">
      <formula>"O K"</formula>
    </cfRule>
  </conditionalFormatting>
  <conditionalFormatting sqref="R4">
    <cfRule type="cellIs" dxfId="1403" priority="48" stopIfTrue="1" operator="equal">
      <formula>"O K"</formula>
    </cfRule>
    <cfRule type="cellIs" dxfId="1402" priority="49" stopIfTrue="1" operator="notEqual">
      <formula>"O K"</formula>
    </cfRule>
  </conditionalFormatting>
  <conditionalFormatting sqref="S4">
    <cfRule type="cellIs" dxfId="1401" priority="46" stopIfTrue="1" operator="equal">
      <formula>"O K"</formula>
    </cfRule>
    <cfRule type="cellIs" dxfId="1400" priority="47" stopIfTrue="1" operator="notEqual">
      <formula>"O K"</formula>
    </cfRule>
  </conditionalFormatting>
  <conditionalFormatting sqref="U4">
    <cfRule type="cellIs" dxfId="1399" priority="44" stopIfTrue="1" operator="equal">
      <formula>"O K"</formula>
    </cfRule>
    <cfRule type="cellIs" dxfId="1398" priority="45" stopIfTrue="1" operator="notEqual">
      <formula>"O K"</formula>
    </cfRule>
  </conditionalFormatting>
  <conditionalFormatting sqref="V4">
    <cfRule type="cellIs" dxfId="1397" priority="42" stopIfTrue="1" operator="equal">
      <formula>"O K"</formula>
    </cfRule>
    <cfRule type="cellIs" dxfId="1396" priority="43" stopIfTrue="1" operator="notEqual">
      <formula>"O K"</formula>
    </cfRule>
  </conditionalFormatting>
  <conditionalFormatting sqref="Y4">
    <cfRule type="cellIs" dxfId="1395" priority="40" stopIfTrue="1" operator="equal">
      <formula>"O K"</formula>
    </cfRule>
    <cfRule type="cellIs" dxfId="1394" priority="41" stopIfTrue="1" operator="notEqual">
      <formula>"O K"</formula>
    </cfRule>
  </conditionalFormatting>
  <conditionalFormatting sqref="X4">
    <cfRule type="cellIs" dxfId="1393" priority="38" stopIfTrue="1" operator="equal">
      <formula>"O K"</formula>
    </cfRule>
    <cfRule type="cellIs" dxfId="1392" priority="39" stopIfTrue="1" operator="notEqual">
      <formula>"O K"</formula>
    </cfRule>
  </conditionalFormatting>
  <conditionalFormatting sqref="V212">
    <cfRule type="cellIs" dxfId="1391" priority="37" stopIfTrue="1" operator="lessThan">
      <formula>0</formula>
    </cfRule>
  </conditionalFormatting>
  <conditionalFormatting sqref="V203">
    <cfRule type="cellIs" dxfId="1390" priority="36" stopIfTrue="1" operator="lessThan">
      <formula>0</formula>
    </cfRule>
  </conditionalFormatting>
  <conditionalFormatting sqref="V206:V208">
    <cfRule type="cellIs" dxfId="1389" priority="35" stopIfTrue="1" operator="lessThan">
      <formula>0</formula>
    </cfRule>
  </conditionalFormatting>
  <conditionalFormatting sqref="U199:U205">
    <cfRule type="cellIs" dxfId="1388" priority="34" stopIfTrue="1" operator="lessThan">
      <formula>0</formula>
    </cfRule>
  </conditionalFormatting>
  <conditionalFormatting sqref="U209:U211">
    <cfRule type="cellIs" dxfId="1387" priority="33" stopIfTrue="1" operator="lessThan">
      <formula>0</formula>
    </cfRule>
  </conditionalFormatting>
  <conditionalFormatting sqref="U70:V74">
    <cfRule type="cellIs" dxfId="1386" priority="32" stopIfTrue="1" operator="lessThan">
      <formula>0</formula>
    </cfRule>
  </conditionalFormatting>
  <conditionalFormatting sqref="V48">
    <cfRule type="cellIs" dxfId="1385" priority="31" stopIfTrue="1" operator="lessThan">
      <formula>0</formula>
    </cfRule>
  </conditionalFormatting>
  <conditionalFormatting sqref="U49">
    <cfRule type="cellIs" dxfId="1384" priority="30" stopIfTrue="1" operator="lessThan">
      <formula>0</formula>
    </cfRule>
  </conditionalFormatting>
  <conditionalFormatting sqref="O470:P470">
    <cfRule type="cellIs" dxfId="1383" priority="28" stopIfTrue="1" operator="equal">
      <formula>"O K"</formula>
    </cfRule>
    <cfRule type="cellIs" dxfId="1382" priority="29" stopIfTrue="1" operator="notEqual">
      <formula>0</formula>
    </cfRule>
  </conditionalFormatting>
  <conditionalFormatting sqref="R470:S470">
    <cfRule type="cellIs" dxfId="1381" priority="26" stopIfTrue="1" operator="equal">
      <formula>"O K"</formula>
    </cfRule>
    <cfRule type="cellIs" dxfId="1380" priority="27" stopIfTrue="1" operator="notEqual">
      <formula>0</formula>
    </cfRule>
  </conditionalFormatting>
  <conditionalFormatting sqref="U470:V470">
    <cfRule type="cellIs" dxfId="1379" priority="24" stopIfTrue="1" operator="equal">
      <formula>"O K"</formula>
    </cfRule>
    <cfRule type="cellIs" dxfId="1378" priority="25" stopIfTrue="1" operator="notEqual">
      <formula>0</formula>
    </cfRule>
  </conditionalFormatting>
  <conditionalFormatting sqref="X470:Y470">
    <cfRule type="cellIs" dxfId="1377" priority="22" stopIfTrue="1" operator="equal">
      <formula>"O K"</formula>
    </cfRule>
    <cfRule type="cellIs" dxfId="1376" priority="23" stopIfTrue="1" operator="notEqual">
      <formula>0</formula>
    </cfRule>
  </conditionalFormatting>
  <conditionalFormatting sqref="O2">
    <cfRule type="cellIs" dxfId="1375" priority="20" stopIfTrue="1" operator="equal">
      <formula>"O K"</formula>
    </cfRule>
    <cfRule type="cellIs" dxfId="1374" priority="21" stopIfTrue="1" operator="notEqual">
      <formula>"O K"</formula>
    </cfRule>
  </conditionalFormatting>
  <conditionalFormatting sqref="R2">
    <cfRule type="cellIs" dxfId="1373" priority="18" stopIfTrue="1" operator="equal">
      <formula>"O K"</formula>
    </cfRule>
    <cfRule type="cellIs" dxfId="1372" priority="19" stopIfTrue="1" operator="notEqual">
      <formula>"O K"</formula>
    </cfRule>
  </conditionalFormatting>
  <conditionalFormatting sqref="U2">
    <cfRule type="cellIs" dxfId="1371" priority="16" stopIfTrue="1" operator="equal">
      <formula>"O K"</formula>
    </cfRule>
    <cfRule type="cellIs" dxfId="1370" priority="17" stopIfTrue="1" operator="notEqual">
      <formula>"O K"</formula>
    </cfRule>
  </conditionalFormatting>
  <conditionalFormatting sqref="X2">
    <cfRule type="cellIs" dxfId="1369" priority="14" stopIfTrue="1" operator="equal">
      <formula>"O K"</formula>
    </cfRule>
    <cfRule type="cellIs" dxfId="1368" priority="15" stopIfTrue="1" operator="notEqual">
      <formula>"O K"</formula>
    </cfRule>
  </conditionalFormatting>
  <conditionalFormatting sqref="E2:L2 C8">
    <cfRule type="cellIs" dxfId="1367" priority="13" stopIfTrue="1" operator="equal">
      <formula>0</formula>
    </cfRule>
  </conditionalFormatting>
  <conditionalFormatting sqref="D4">
    <cfRule type="cellIs" dxfId="1366" priority="9" stopIfTrue="1" operator="between">
      <formula>1000000000000</formula>
      <formula>9999999999999990</formula>
    </cfRule>
    <cfRule type="cellIs" dxfId="1365" priority="10" stopIfTrue="1" operator="between">
      <formula>1000000000</formula>
      <formula>999999999999</formula>
    </cfRule>
    <cfRule type="cellIs" dxfId="1364" priority="11" stopIfTrue="1" operator="between">
      <formula>10000</formula>
      <formula>99999999</formula>
    </cfRule>
    <cfRule type="cellIs" dxfId="1363" priority="12" stopIfTrue="1" operator="between">
      <formula>10</formula>
      <formula>9999</formula>
    </cfRule>
  </conditionalFormatting>
  <conditionalFormatting sqref="D4">
    <cfRule type="cellIs" dxfId="1362" priority="8" operator="equal">
      <formula>0</formula>
    </cfRule>
  </conditionalFormatting>
  <conditionalFormatting sqref="A3:C5">
    <cfRule type="cellIs" dxfId="1361" priority="7" operator="equal">
      <formula>"Код на общински разпоредител с бюджет"</formula>
    </cfRule>
  </conditionalFormatting>
  <conditionalFormatting sqref="G4:L4">
    <cfRule type="cellIs" dxfId="1360" priority="6" operator="equal">
      <formula>0</formula>
    </cfRule>
  </conditionalFormatting>
  <conditionalFormatting sqref="AA14:AA461">
    <cfRule type="cellIs" dxfId="1359" priority="5" stopIfTrue="1" operator="notEqual">
      <formula>0</formula>
    </cfRule>
  </conditionalFormatting>
  <conditionalFormatting sqref="U41:V42">
    <cfRule type="cellIs" dxfId="1358" priority="4" stopIfTrue="1" operator="lessThan">
      <formula>0</formula>
    </cfRule>
  </conditionalFormatting>
  <conditionalFormatting sqref="O41:P41">
    <cfRule type="cellIs" dxfId="1357" priority="3" stopIfTrue="1" operator="lessThan">
      <formula>0</formula>
    </cfRule>
  </conditionalFormatting>
  <conditionalFormatting sqref="O273:P273">
    <cfRule type="cellIs" dxfId="1356" priority="2" stopIfTrue="1" operator="lessThan">
      <formula>0</formula>
    </cfRule>
  </conditionalFormatting>
  <conditionalFormatting sqref="O300:P300">
    <cfRule type="cellIs" dxfId="1355" priority="1" stopIfTrue="1" operator="lessThan">
      <formula>0</formula>
    </cfRule>
  </conditionalFormatting>
  <dataValidations count="1">
    <dataValidation type="whole" allowBlank="1" showInputMessage="1" showErrorMessage="1" sqref="D4:E4">
      <formula1>0</formula1>
      <formula2>9999999999999990</formula2>
    </dataValidation>
  </dataValidations>
  <pageMargins left="0.15748031496062992" right="0.15748031496062992" top="0.43307086614173229" bottom="0.35433070866141736" header="0.23622047244094491" footer="0.23622047244094491"/>
  <pageSetup paperSize="9" scale="66" orientation="portrait" horizontalDpi="4294967292" r:id="rId1"/>
  <headerFooter alignWithMargins="0">
    <oddHeader>&amp;C&amp;"Times New Roman CYR,Bold"&amp;12- &amp;P / &amp;N -</oddHeader>
  </headerFooter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>
  <dimension ref="A1:Z150"/>
  <sheetViews>
    <sheetView showZeros="0" zoomScaleNormal="10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2.75"/>
  <cols>
    <col min="1" max="1" width="49.5703125" style="1397" customWidth="1"/>
    <col min="2" max="2" width="6.7109375" style="1397" customWidth="1"/>
    <col min="3" max="3" width="0.85546875" style="1397" customWidth="1"/>
    <col min="4" max="5" width="21.28515625" style="1397" customWidth="1"/>
    <col min="6" max="6" width="0.85546875" style="1397" customWidth="1"/>
    <col min="7" max="8" width="21.28515625" style="1397" customWidth="1"/>
    <col min="9" max="9" width="1" style="1397" customWidth="1"/>
    <col min="10" max="11" width="21.28515625" style="1397" customWidth="1"/>
    <col min="12" max="12" width="1" style="1397" customWidth="1"/>
    <col min="13" max="14" width="21.28515625" style="1397" customWidth="1"/>
    <col min="15" max="15" width="3.42578125" style="1397" customWidth="1"/>
    <col min="16" max="16" width="26.5703125" style="1397" customWidth="1"/>
    <col min="17" max="17" width="26.7109375" style="1397" customWidth="1"/>
    <col min="18" max="18" width="0.85546875" style="1397" customWidth="1"/>
    <col min="19" max="20" width="21.28515625" style="1397" customWidth="1"/>
    <col min="21" max="21" width="1" style="1397" customWidth="1"/>
    <col min="22" max="23" width="21.28515625" style="1397" customWidth="1"/>
    <col min="24" max="24" width="1" style="1397" customWidth="1"/>
    <col min="25" max="26" width="21.28515625" style="1397" customWidth="1"/>
    <col min="27" max="16384" width="9.140625" style="1397"/>
  </cols>
  <sheetData>
    <row r="1" spans="1:26" ht="16.5" customHeight="1">
      <c r="A1" s="2546" t="str">
        <f>+'TRIAL-BALANCE'!E2</f>
        <v>ОУ "ПРОФЕСОР МАРИН ДРИНОВ"</v>
      </c>
      <c r="B1" s="2547"/>
      <c r="C1" s="2547"/>
      <c r="D1" s="2548"/>
      <c r="E1" s="224" t="s">
        <v>791</v>
      </c>
      <c r="F1" s="225"/>
      <c r="G1" s="2544">
        <f>+'TRIAL-BALANCE'!C6</f>
        <v>341731</v>
      </c>
      <c r="H1" s="2545"/>
      <c r="I1" s="225"/>
      <c r="J1" s="226" t="s">
        <v>611</v>
      </c>
      <c r="K1" s="978">
        <f>+'TRIAL-BALANCE'!C8</f>
        <v>0</v>
      </c>
      <c r="L1" s="225"/>
      <c r="M1" s="226" t="s">
        <v>1213</v>
      </c>
      <c r="N1" s="2214">
        <f>+'TRIAL-BALANCE'!H8</f>
        <v>0</v>
      </c>
      <c r="O1" s="152"/>
      <c r="P1" s="152"/>
      <c r="Q1" s="152"/>
      <c r="R1" s="152"/>
      <c r="S1" s="152"/>
      <c r="T1" s="152"/>
      <c r="U1" s="152"/>
      <c r="V1" s="152"/>
      <c r="W1" s="152"/>
      <c r="X1" s="152"/>
      <c r="Y1" s="152"/>
      <c r="Z1" s="152"/>
    </row>
    <row r="2" spans="1:26" ht="14.25" customHeight="1">
      <c r="A2" s="2537" t="s">
        <v>1085</v>
      </c>
      <c r="B2" s="2538"/>
      <c r="C2" s="2538"/>
      <c r="D2" s="2539"/>
      <c r="E2" s="2561" t="str">
        <f>+IF(+ROUND(SUM(Status!O13:O39),2)+ROUND(SUM(Status!R13:R39),2)=0,0,"отчетено НЕРАВНЕНИЕ в таблица 'Status'!")</f>
        <v>отчетено НЕРАВНЕНИЕ в таблица 'Status'!</v>
      </c>
      <c r="F2" s="2561"/>
      <c r="G2" s="2561"/>
      <c r="H2" s="2561"/>
      <c r="I2" s="225"/>
      <c r="J2" s="2543">
        <f>+IF(AND(Status!$R21=0,Status!$R22=0,Status!$R29=0),0,"Има грешки в КРАЙНИ салда!")</f>
        <v>0</v>
      </c>
      <c r="K2" s="2543"/>
      <c r="L2" s="225"/>
      <c r="M2" s="2543">
        <f>+IF(AND(Status!$R31=0,Status!$R33=0,Status!$R39=0),0,"Неравнение в НАЧАЛНИ салда!")</f>
        <v>0</v>
      </c>
      <c r="N2" s="2543"/>
      <c r="O2" s="152"/>
      <c r="P2" s="152"/>
      <c r="Q2" s="152"/>
      <c r="R2" s="152"/>
      <c r="S2" s="152"/>
      <c r="T2" s="152"/>
      <c r="U2" s="152"/>
      <c r="V2" s="152"/>
      <c r="W2" s="152"/>
      <c r="X2" s="152"/>
      <c r="Y2" s="152"/>
      <c r="Z2" s="152"/>
    </row>
    <row r="3" spans="1:26" ht="19.5" customHeight="1">
      <c r="A3" s="2549">
        <f>+'TRIAL-BALANCE'!G4</f>
        <v>0</v>
      </c>
      <c r="B3" s="2550"/>
      <c r="C3" s="2550"/>
      <c r="D3" s="2551"/>
      <c r="E3" s="2210" t="s">
        <v>1205</v>
      </c>
      <c r="F3" s="227"/>
      <c r="G3" s="2535">
        <f>+'TRIAL-BALANCE'!J8</f>
        <v>0</v>
      </c>
      <c r="H3" s="2536"/>
      <c r="I3" s="225"/>
      <c r="J3" s="2211" t="s">
        <v>2107</v>
      </c>
      <c r="K3" s="2532" t="str">
        <f>+'TRIAL-BALANCE'!G6</f>
        <v xml:space="preserve">                              </v>
      </c>
      <c r="L3" s="2533"/>
      <c r="M3" s="2533"/>
      <c r="N3" s="2534"/>
      <c r="O3" s="152"/>
      <c r="P3" s="152"/>
      <c r="Q3" s="152"/>
      <c r="R3" s="152"/>
      <c r="S3" s="152"/>
      <c r="T3" s="152"/>
      <c r="U3" s="152"/>
      <c r="V3" s="152"/>
      <c r="W3" s="152"/>
      <c r="X3" s="152"/>
      <c r="Y3" s="152"/>
      <c r="Z3" s="152"/>
    </row>
    <row r="4" spans="1:26" ht="3.75" customHeight="1">
      <c r="A4" s="225"/>
      <c r="B4" s="225"/>
      <c r="C4" s="225"/>
      <c r="D4" s="225"/>
      <c r="E4" s="228"/>
      <c r="F4" s="225"/>
      <c r="G4" s="228"/>
      <c r="H4" s="229"/>
      <c r="I4" s="225"/>
      <c r="J4" s="227"/>
      <c r="K4" s="227"/>
      <c r="L4" s="225"/>
      <c r="M4" s="227"/>
      <c r="N4" s="227"/>
      <c r="O4" s="152"/>
      <c r="P4" s="152"/>
      <c r="Q4" s="152"/>
      <c r="R4" s="152"/>
      <c r="S4" s="152"/>
      <c r="T4" s="152"/>
      <c r="U4" s="152"/>
      <c r="V4" s="152"/>
      <c r="W4" s="152"/>
      <c r="X4" s="152"/>
      <c r="Y4" s="152"/>
      <c r="Z4" s="152"/>
    </row>
    <row r="5" spans="1:26" ht="19.5">
      <c r="A5" s="455" t="s">
        <v>1005</v>
      </c>
      <c r="B5" s="2560" t="str">
        <f>+A1</f>
        <v>ОУ "ПРОФЕСОР МАРИН ДРИНОВ"</v>
      </c>
      <c r="C5" s="2560"/>
      <c r="D5" s="2560"/>
      <c r="E5" s="2560"/>
      <c r="F5" s="2560"/>
      <c r="G5" s="2560"/>
      <c r="H5" s="375" t="s">
        <v>1004</v>
      </c>
      <c r="I5" s="373"/>
      <c r="J5" s="2556" t="str">
        <f>+'TRIAL-BALANCE'!H12</f>
        <v>31 март 2020 г.</v>
      </c>
      <c r="K5" s="2556"/>
      <c r="L5" s="230"/>
      <c r="M5" s="231" t="str">
        <f>+'TRIAL-BALANCE'!C10</f>
        <v>/с б о р е н/</v>
      </c>
      <c r="N5" s="520" t="s">
        <v>1874</v>
      </c>
      <c r="O5" s="152"/>
      <c r="P5" s="152"/>
      <c r="Q5" s="152"/>
      <c r="R5" s="152"/>
      <c r="S5" s="152"/>
      <c r="T5" s="152"/>
      <c r="U5" s="152"/>
      <c r="V5" s="152"/>
      <c r="W5" s="152"/>
      <c r="X5" s="152"/>
      <c r="Y5" s="152"/>
      <c r="Z5" s="152"/>
    </row>
    <row r="6" spans="1:26" ht="16.5" customHeight="1" thickBot="1">
      <c r="A6" s="689" t="s">
        <v>1033</v>
      </c>
      <c r="B6" s="232"/>
      <c r="C6" s="233"/>
      <c r="D6" s="2540">
        <f>+IF(Status!N2=0,0,+IF(Status!P4="ДА","ГРЕШКА - виж таблица 'Status' за с/ки 468Х!",0))</f>
        <v>0</v>
      </c>
      <c r="E6" s="2540"/>
      <c r="F6" s="232"/>
      <c r="G6" s="2541">
        <f>+IF(Status!N6=0,0,+IF(Status!P8="ДА","ГРЕШКА - виж таблица 'Status' за с/ки 468Х!",0))</f>
        <v>0</v>
      </c>
      <c r="H6" s="2542"/>
      <c r="I6" s="237"/>
      <c r="J6" s="374"/>
      <c r="K6" s="374"/>
      <c r="L6" s="233"/>
      <c r="M6" s="456"/>
      <c r="N6" s="690" t="str">
        <f>+A6</f>
        <v>Актив (в левове)</v>
      </c>
      <c r="O6" s="152"/>
      <c r="P6" s="152"/>
      <c r="Q6" s="152"/>
      <c r="R6" s="152"/>
      <c r="S6" s="152"/>
      <c r="T6" s="152"/>
      <c r="U6" s="152"/>
      <c r="V6" s="152"/>
      <c r="W6" s="152"/>
      <c r="X6" s="152"/>
      <c r="Y6" s="152"/>
      <c r="Z6" s="152"/>
    </row>
    <row r="7" spans="1:26" ht="12.75" customHeight="1" thickTop="1">
      <c r="A7" s="1061"/>
      <c r="B7" s="2482" t="s">
        <v>2191</v>
      </c>
      <c r="C7" s="237"/>
      <c r="D7" s="165" t="s">
        <v>979</v>
      </c>
      <c r="E7" s="166"/>
      <c r="F7" s="237"/>
      <c r="G7" s="634" t="s">
        <v>798</v>
      </c>
      <c r="H7" s="635"/>
      <c r="I7" s="237"/>
      <c r="J7" s="638" t="s">
        <v>984</v>
      </c>
      <c r="K7" s="639"/>
      <c r="L7" s="237"/>
      <c r="M7" s="2552" t="s">
        <v>398</v>
      </c>
      <c r="N7" s="2553"/>
      <c r="O7" s="152"/>
      <c r="P7" s="152"/>
      <c r="Q7" s="152"/>
      <c r="R7" s="152"/>
      <c r="S7" s="152"/>
      <c r="T7" s="152"/>
      <c r="U7" s="152"/>
      <c r="V7" s="152"/>
      <c r="W7" s="152"/>
      <c r="X7" s="152"/>
      <c r="Y7" s="152"/>
      <c r="Z7" s="152"/>
    </row>
    <row r="8" spans="1:26" ht="14.25" customHeight="1" thickBot="1">
      <c r="A8" s="1448" t="s">
        <v>399</v>
      </c>
      <c r="B8" s="2483"/>
      <c r="C8" s="237"/>
      <c r="D8" s="438" t="s">
        <v>980</v>
      </c>
      <c r="E8" s="169"/>
      <c r="F8" s="237"/>
      <c r="G8" s="636" t="s">
        <v>981</v>
      </c>
      <c r="H8" s="637"/>
      <c r="I8" s="237"/>
      <c r="J8" s="640" t="s">
        <v>985</v>
      </c>
      <c r="K8" s="641"/>
      <c r="L8" s="237"/>
      <c r="M8" s="2554"/>
      <c r="N8" s="2555"/>
      <c r="O8" s="152"/>
      <c r="P8" s="152"/>
      <c r="Q8" s="152"/>
      <c r="R8" s="152"/>
      <c r="S8" s="152"/>
      <c r="T8" s="152"/>
      <c r="U8" s="152"/>
      <c r="V8" s="152"/>
      <c r="W8" s="152"/>
      <c r="X8" s="152"/>
      <c r="Y8" s="152"/>
      <c r="Z8" s="152"/>
    </row>
    <row r="9" spans="1:26" ht="30.75" customHeight="1" thickBot="1">
      <c r="A9" s="1912" t="str">
        <f>+IF(AND(Status!K4="ДА",+'TRIAL-BALANCE'!AM13&lt;&gt;0,+'TRIAL-BALANCE'!AN13&lt;&gt;0,OR('Cash-deficit'!N15="",'Cash-deficit'!N18="",'Cash-deficit'!N19="",'Cash-deficit'!N20="",'Cash-deficit'!N21="",'Cash-deficit'!N23="")),"Непопълнен ред в таблица 'Cash-deficit'!",0)</f>
        <v>Непопълнен ред в таблица 'Cash-deficit'!</v>
      </c>
      <c r="B9" s="2484"/>
      <c r="C9" s="233"/>
      <c r="D9" s="1449" t="s">
        <v>1011</v>
      </c>
      <c r="E9" s="1450" t="s">
        <v>1016</v>
      </c>
      <c r="F9" s="233"/>
      <c r="G9" s="1449" t="str">
        <f>+D9</f>
        <v>Текуща година           (в лева)</v>
      </c>
      <c r="H9" s="1453" t="str">
        <f>+E9</f>
        <v>Предходна година       31 декември (в лева)</v>
      </c>
      <c r="I9" s="233"/>
      <c r="J9" s="1449" t="str">
        <f>+G9</f>
        <v>Текуща година           (в лева)</v>
      </c>
      <c r="K9" s="1453" t="str">
        <f>+H9</f>
        <v>Предходна година       31 декември (в лева)</v>
      </c>
      <c r="L9" s="233"/>
      <c r="M9" s="1449" t="str">
        <f>+J9</f>
        <v>Текуща година           (в лева)</v>
      </c>
      <c r="N9" s="1453" t="str">
        <f>+K9</f>
        <v>Предходна година       31 декември (в лева)</v>
      </c>
      <c r="O9" s="152"/>
      <c r="P9" s="152"/>
      <c r="Q9" s="152"/>
      <c r="R9" s="152"/>
      <c r="S9" s="152"/>
      <c r="T9" s="152"/>
      <c r="U9" s="152"/>
      <c r="V9" s="152"/>
      <c r="W9" s="152"/>
      <c r="X9" s="152"/>
      <c r="Y9" s="152"/>
      <c r="Z9" s="152"/>
    </row>
    <row r="10" spans="1:26" ht="16.5" thickBot="1">
      <c r="A10" s="1062" t="s">
        <v>150</v>
      </c>
      <c r="B10" s="1063" t="s">
        <v>151</v>
      </c>
      <c r="C10" s="233"/>
      <c r="D10" s="1451">
        <v>1</v>
      </c>
      <c r="E10" s="1452">
        <f>1+D10</f>
        <v>2</v>
      </c>
      <c r="F10" s="233"/>
      <c r="G10" s="1451">
        <f>1+E10</f>
        <v>3</v>
      </c>
      <c r="H10" s="1452">
        <f>1+G10</f>
        <v>4</v>
      </c>
      <c r="I10" s="233"/>
      <c r="J10" s="1451">
        <f>1+H10</f>
        <v>5</v>
      </c>
      <c r="K10" s="1452">
        <f>1+J10</f>
        <v>6</v>
      </c>
      <c r="L10" s="233"/>
      <c r="M10" s="1451">
        <f>1+K10</f>
        <v>7</v>
      </c>
      <c r="N10" s="1452">
        <f>1+M10</f>
        <v>8</v>
      </c>
      <c r="O10" s="152"/>
      <c r="P10" s="152"/>
      <c r="Q10" s="152"/>
      <c r="R10" s="152"/>
      <c r="S10" s="152"/>
      <c r="T10" s="152"/>
      <c r="U10" s="152"/>
      <c r="V10" s="152"/>
      <c r="W10" s="152"/>
      <c r="X10" s="152"/>
      <c r="Y10" s="152"/>
      <c r="Z10" s="152"/>
    </row>
    <row r="11" spans="1:26" ht="15.75">
      <c r="A11" s="170" t="s">
        <v>152</v>
      </c>
      <c r="B11" s="171"/>
      <c r="C11" s="237"/>
      <c r="D11" s="616"/>
      <c r="E11" s="617"/>
      <c r="F11" s="237"/>
      <c r="G11" s="616"/>
      <c r="H11" s="617"/>
      <c r="I11" s="237"/>
      <c r="J11" s="616"/>
      <c r="K11" s="617"/>
      <c r="L11" s="237"/>
      <c r="M11" s="616"/>
      <c r="N11" s="617"/>
      <c r="O11" s="152"/>
      <c r="P11" s="152"/>
      <c r="Q11" s="152"/>
      <c r="R11" s="152"/>
      <c r="S11" s="152"/>
      <c r="T11" s="152"/>
      <c r="U11" s="152"/>
      <c r="V11" s="152"/>
      <c r="W11" s="152"/>
      <c r="X11" s="152"/>
      <c r="Y11" s="152"/>
      <c r="Z11" s="152"/>
    </row>
    <row r="12" spans="1:26" ht="15.75">
      <c r="A12" s="172" t="s">
        <v>153</v>
      </c>
      <c r="B12" s="173"/>
      <c r="C12" s="233"/>
      <c r="D12" s="310" t="str">
        <f>+IF(+OR(D13&lt;0,D14&lt;0,D15&lt;0,D16&lt;0,D17&lt;0,D18&lt;0,D19&lt;0,D22&lt;0),"НЕРАВНЕНИЕ !"," ")</f>
        <v xml:space="preserve"> </v>
      </c>
      <c r="E12" s="319" t="str">
        <f>+IF(+OR(E13&lt;0,E14&lt;0,E15&lt;0,E16&lt;0,E17&lt;0,E18&lt;0,E19&lt;0,E22&lt;0),"НЕРАВНЕНИЕ !"," ")</f>
        <v xml:space="preserve"> </v>
      </c>
      <c r="F12" s="233"/>
      <c r="G12" s="310" t="str">
        <f>+IF(+OR(G13&lt;0,G14&lt;0,G15&lt;0,G16&lt;0,G17&lt;0,G18&lt;0,G19&lt;0,G22&lt;0),"НЕРАВНЕНИЕ !"," ")</f>
        <v xml:space="preserve"> </v>
      </c>
      <c r="H12" s="319" t="str">
        <f>+IF(+OR(H13&lt;0,H14&lt;0,H15&lt;0,H16&lt;0,H17&lt;0,H18&lt;0,H19&lt;0,H22&lt;0),"НЕРАВНЕНИЕ !"," ")</f>
        <v xml:space="preserve"> </v>
      </c>
      <c r="I12" s="233"/>
      <c r="J12" s="310" t="str">
        <f>+IF(+OR(J13&lt;0,J14&lt;0,J15&lt;0,J16&lt;0,J17&lt;0,J18&lt;0,J19&lt;0,J22&lt;0),"НЕРАВНЕНИЕ !"," ")</f>
        <v xml:space="preserve"> </v>
      </c>
      <c r="K12" s="319" t="str">
        <f>+IF(+OR(K13&lt;0,K14&lt;0,K15&lt;0,K16&lt;0,K17&lt;0,K18&lt;0,K19&lt;0,K22&lt;0),"НЕРАВНЕНИЕ !"," ")</f>
        <v xml:space="preserve"> </v>
      </c>
      <c r="L12" s="233"/>
      <c r="M12" s="310" t="str">
        <f>+IF(+OR(M13&lt;0,M14&lt;0,M15&lt;0,M16&lt;0,M17&lt;0,M18&lt;0,M19&lt;0,M22&lt;0),"НЕРАВНЕНИЕ !"," ")</f>
        <v xml:space="preserve"> </v>
      </c>
      <c r="N12" s="319" t="str">
        <f>+IF(+OR(N13&lt;0,N14&lt;0,N15&lt;0,N16&lt;0,N17&lt;0,N18&lt;0,N19&lt;0,N22&lt;0),"НЕРАВНЕНИЕ !"," ")</f>
        <v xml:space="preserve"> </v>
      </c>
      <c r="O12" s="152"/>
      <c r="P12" s="152"/>
      <c r="Q12" s="152"/>
      <c r="R12" s="152"/>
      <c r="S12" s="152"/>
      <c r="T12" s="152"/>
      <c r="U12" s="152"/>
      <c r="V12" s="152"/>
      <c r="W12" s="152"/>
      <c r="X12" s="152"/>
      <c r="Y12" s="152"/>
      <c r="Z12" s="152"/>
    </row>
    <row r="13" spans="1:26" ht="15.75">
      <c r="A13" s="334" t="s">
        <v>154</v>
      </c>
      <c r="B13" s="335">
        <v>11</v>
      </c>
      <c r="C13" s="233"/>
      <c r="D13" s="618">
        <f>+ROUND(+'TRIAL-BALANCE'!S73+'TRIAL-BALANCE'!S74+'TRIAL-BALANCE'!S75+'TRIAL-BALANCE'!S76-'TRIAL-BALANCE'!T95,2)</f>
        <v>0</v>
      </c>
      <c r="E13" s="619">
        <f>+ROUND((+'TRIAL-BALANCE'!O73+'TRIAL-BALANCE'!O74+'TRIAL-BALANCE'!O75+'TRIAL-BALANCE'!O76-'TRIAL-BALANCE'!P95),2)</f>
        <v>0</v>
      </c>
      <c r="F13" s="248"/>
      <c r="G13" s="618">
        <f>+ROUND(+'TRIAL-BALANCE'!Z73+'TRIAL-BALANCE'!Z74+'TRIAL-BALANCE'!Z75+'TRIAL-BALANCE'!Z76-'TRIAL-BALANCE'!AA95,2)</f>
        <v>0</v>
      </c>
      <c r="H13" s="619">
        <f>+ROUND(+'TRIAL-BALANCE'!V73+'TRIAL-BALANCE'!V74+'TRIAL-BALANCE'!V75+'TRIAL-BALANCE'!V76-'TRIAL-BALANCE'!W95,2)</f>
        <v>0</v>
      </c>
      <c r="I13" s="248"/>
      <c r="J13" s="618">
        <f>+ROUND(+'TRIAL-BALANCE'!AG73+'TRIAL-BALANCE'!AG74+'TRIAL-BALANCE'!AG75+'TRIAL-BALANCE'!AG76-'TRIAL-BALANCE'!AH95,2)</f>
        <v>0</v>
      </c>
      <c r="K13" s="619">
        <f>+ROUND(+'TRIAL-BALANCE'!AC73+'TRIAL-BALANCE'!AC74+'TRIAL-BALANCE'!AC75+'TRIAL-BALANCE'!AC76-'TRIAL-BALANCE'!AD95,2)</f>
        <v>0</v>
      </c>
      <c r="L13" s="248"/>
      <c r="M13" s="618">
        <f t="shared" ref="M13:N19" si="0">+ROUND(+D13+G13+J13,2)</f>
        <v>0</v>
      </c>
      <c r="N13" s="619">
        <f t="shared" si="0"/>
        <v>0</v>
      </c>
      <c r="O13" s="152"/>
      <c r="P13" s="152"/>
      <c r="Q13" s="152"/>
      <c r="R13" s="152"/>
      <c r="S13" s="152"/>
      <c r="T13" s="152"/>
      <c r="U13" s="152"/>
      <c r="V13" s="152"/>
      <c r="W13" s="152"/>
      <c r="X13" s="152"/>
      <c r="Y13" s="152"/>
      <c r="Z13" s="152"/>
    </row>
    <row r="14" spans="1:26" ht="15.75">
      <c r="A14" s="334" t="s">
        <v>2014</v>
      </c>
      <c r="B14" s="335">
        <v>12</v>
      </c>
      <c r="C14" s="233"/>
      <c r="D14" s="618">
        <f>+ROUND(+'TRIAL-BALANCE'!S77+'TRIAL-BALANCE'!S78+'TRIAL-BALANCE'!S79+'TRIAL-BALANCE'!S80-SUM('TRIAL-BALANCE'!T96:T97),2)</f>
        <v>305382.09999999998</v>
      </c>
      <c r="E14" s="619">
        <f>+ROUND((+'TRIAL-BALANCE'!O77+'TRIAL-BALANCE'!O78+'TRIAL-BALANCE'!O79+'TRIAL-BALANCE'!O80-SUM('TRIAL-BALANCE'!P96:P97)),2)</f>
        <v>318697.15999999997</v>
      </c>
      <c r="F14" s="248"/>
      <c r="G14" s="618">
        <f>+ROUND(+'TRIAL-BALANCE'!Z77+'TRIAL-BALANCE'!Z78+'TRIAL-BALANCE'!Z79+'TRIAL-BALANCE'!Z80-SUM('TRIAL-BALANCE'!AA96:AA97),2)</f>
        <v>0</v>
      </c>
      <c r="H14" s="619">
        <f>+ROUND(+'TRIAL-BALANCE'!V77+'TRIAL-BALANCE'!V78+'TRIAL-BALANCE'!V79+'TRIAL-BALANCE'!V80-SUM('TRIAL-BALANCE'!W96:W97),2)</f>
        <v>0</v>
      </c>
      <c r="I14" s="248"/>
      <c r="J14" s="618">
        <f>+ROUND(+'TRIAL-BALANCE'!AG77+'TRIAL-BALANCE'!AG78+'TRIAL-BALANCE'!AG79+'TRIAL-BALANCE'!AG80-SUM('TRIAL-BALANCE'!AH96:AH97),2)</f>
        <v>0</v>
      </c>
      <c r="K14" s="619">
        <f>+ROUND(+'TRIAL-BALANCE'!AC77+'TRIAL-BALANCE'!AC78+'TRIAL-BALANCE'!AC79+'TRIAL-BALANCE'!AC80-SUM('TRIAL-BALANCE'!AD96:AD97),2)</f>
        <v>0</v>
      </c>
      <c r="L14" s="248"/>
      <c r="M14" s="618">
        <f t="shared" si="0"/>
        <v>305382.09999999998</v>
      </c>
      <c r="N14" s="619">
        <f t="shared" si="0"/>
        <v>318697.15999999997</v>
      </c>
      <c r="O14" s="152"/>
      <c r="P14" s="152"/>
      <c r="Q14" s="152"/>
      <c r="R14" s="152"/>
      <c r="S14" s="152"/>
      <c r="T14" s="152"/>
      <c r="U14" s="152"/>
      <c r="V14" s="152"/>
      <c r="W14" s="152"/>
      <c r="X14" s="152"/>
      <c r="Y14" s="152"/>
      <c r="Z14" s="152"/>
    </row>
    <row r="15" spans="1:26" ht="15.75">
      <c r="A15" s="334" t="s">
        <v>155</v>
      </c>
      <c r="B15" s="335">
        <v>13</v>
      </c>
      <c r="C15" s="233"/>
      <c r="D15" s="618">
        <f>+ROUND(+'TRIAL-BALANCE'!S72+'TRIAL-BALANCE'!S81+'TRIAL-BALANCE'!S84+'TRIAL-BALANCE'!S85-'TRIAL-BALANCE'!T94-'TRIAL-BALANCE'!T98-'TRIAL-BALANCE'!T100,2)</f>
        <v>4227.32</v>
      </c>
      <c r="E15" s="619">
        <f>+ROUND((+'TRIAL-BALANCE'!O72+'TRIAL-BALANCE'!O81+'TRIAL-BALANCE'!O84+'TRIAL-BALANCE'!O85-'TRIAL-BALANCE'!P94-'TRIAL-BALANCE'!P98-'TRIAL-BALANCE'!P100),2)</f>
        <v>4510.9399999999996</v>
      </c>
      <c r="F15" s="248"/>
      <c r="G15" s="618">
        <f>+ROUND(+'TRIAL-BALANCE'!Z72+'TRIAL-BALANCE'!Z81+'TRIAL-BALANCE'!Z84+'TRIAL-BALANCE'!Z85-'TRIAL-BALANCE'!AA94-'TRIAL-BALANCE'!AA98-'TRIAL-BALANCE'!AA100,2)</f>
        <v>0</v>
      </c>
      <c r="H15" s="619">
        <f>+ROUND(+'TRIAL-BALANCE'!V72+'TRIAL-BALANCE'!V81+'TRIAL-BALANCE'!V84+'TRIAL-BALANCE'!V85-'TRIAL-BALANCE'!W94-'TRIAL-BALANCE'!W98-'TRIAL-BALANCE'!W100,2)</f>
        <v>0</v>
      </c>
      <c r="I15" s="248"/>
      <c r="J15" s="618">
        <f>+ROUND(+'TRIAL-BALANCE'!AG72+'TRIAL-BALANCE'!AG81+'TRIAL-BALANCE'!AG84+'TRIAL-BALANCE'!AG85-'TRIAL-BALANCE'!AH94-'TRIAL-BALANCE'!AH98-'TRIAL-BALANCE'!AH100,2)</f>
        <v>0</v>
      </c>
      <c r="K15" s="619">
        <f>+ROUND(+'TRIAL-BALANCE'!AC72+'TRIAL-BALANCE'!AC81+'TRIAL-BALANCE'!AC84+'TRIAL-BALANCE'!AC85-'TRIAL-BALANCE'!AD94-'TRIAL-BALANCE'!AD98-'TRIAL-BALANCE'!AD100,2)</f>
        <v>0</v>
      </c>
      <c r="L15" s="248"/>
      <c r="M15" s="618">
        <f t="shared" si="0"/>
        <v>4227.32</v>
      </c>
      <c r="N15" s="619">
        <f t="shared" si="0"/>
        <v>4510.9399999999996</v>
      </c>
      <c r="O15" s="152"/>
      <c r="P15" s="152"/>
      <c r="Q15" s="152"/>
      <c r="R15" s="152"/>
      <c r="S15" s="152"/>
      <c r="T15" s="152"/>
      <c r="U15" s="152"/>
      <c r="V15" s="152"/>
      <c r="W15" s="152"/>
      <c r="X15" s="152"/>
      <c r="Y15" s="152"/>
      <c r="Z15" s="152"/>
    </row>
    <row r="16" spans="1:26" ht="15.75">
      <c r="A16" s="334" t="s">
        <v>156</v>
      </c>
      <c r="B16" s="335">
        <v>14</v>
      </c>
      <c r="C16" s="233"/>
      <c r="D16" s="618">
        <f>+ROUND(+'TRIAL-BALANCE'!S82+'TRIAL-BALANCE'!S83,2)</f>
        <v>0</v>
      </c>
      <c r="E16" s="619">
        <f>+ROUND(+'TRIAL-BALANCE'!O82+'TRIAL-BALANCE'!O83,2)</f>
        <v>0</v>
      </c>
      <c r="F16" s="248"/>
      <c r="G16" s="618">
        <f>+ROUND(+'TRIAL-BALANCE'!Z82+'TRIAL-BALANCE'!Z83,2)</f>
        <v>0</v>
      </c>
      <c r="H16" s="619">
        <f>+ROUND(+'TRIAL-BALANCE'!V82+'TRIAL-BALANCE'!V83,2)</f>
        <v>0</v>
      </c>
      <c r="I16" s="248"/>
      <c r="J16" s="618">
        <f>+ROUND(+'TRIAL-BALANCE'!AG82+'TRIAL-BALANCE'!AG83,2)</f>
        <v>0</v>
      </c>
      <c r="K16" s="619">
        <f>+ROUND(+'TRIAL-BALANCE'!AC82+'TRIAL-BALANCE'!AC83,2)</f>
        <v>0</v>
      </c>
      <c r="L16" s="248"/>
      <c r="M16" s="618">
        <f t="shared" si="0"/>
        <v>0</v>
      </c>
      <c r="N16" s="619">
        <f t="shared" si="0"/>
        <v>0</v>
      </c>
      <c r="O16" s="152"/>
      <c r="P16" s="152"/>
      <c r="Q16" s="152"/>
      <c r="R16" s="152"/>
      <c r="S16" s="152"/>
      <c r="T16" s="152"/>
      <c r="U16" s="152"/>
      <c r="V16" s="152"/>
      <c r="W16" s="152"/>
      <c r="X16" s="152"/>
      <c r="Y16" s="152"/>
      <c r="Z16" s="152"/>
    </row>
    <row r="17" spans="1:26" ht="15.75">
      <c r="A17" s="334" t="s">
        <v>790</v>
      </c>
      <c r="B17" s="335">
        <v>15</v>
      </c>
      <c r="C17" s="233"/>
      <c r="D17" s="620">
        <f>+ROUND('TRIAL-BALANCE'!S91-'TRIAL-BALANCE'!T99,2)</f>
        <v>0</v>
      </c>
      <c r="E17" s="621">
        <f>+ROUND('TRIAL-BALANCE'!O91-'TRIAL-BALANCE'!P99,2)</f>
        <v>0</v>
      </c>
      <c r="F17" s="248"/>
      <c r="G17" s="620">
        <f>+ROUND('TRIAL-BALANCE'!Z91-'TRIAL-BALANCE'!AA99,2)</f>
        <v>0</v>
      </c>
      <c r="H17" s="621">
        <f>+ROUND('TRIAL-BALANCE'!V91-'TRIAL-BALANCE'!W99,2)</f>
        <v>0</v>
      </c>
      <c r="I17" s="248"/>
      <c r="J17" s="642">
        <f>+ROUND('TRIAL-BALANCE'!AG91-'TRIAL-BALANCE'!AH99,2)</f>
        <v>0</v>
      </c>
      <c r="K17" s="643">
        <f>+ROUND('TRIAL-BALANCE'!AC91-'TRIAL-BALANCE'!AD99,2)</f>
        <v>0</v>
      </c>
      <c r="L17" s="248"/>
      <c r="M17" s="618">
        <f t="shared" si="0"/>
        <v>0</v>
      </c>
      <c r="N17" s="619">
        <f t="shared" si="0"/>
        <v>0</v>
      </c>
      <c r="O17" s="152"/>
      <c r="P17" s="152"/>
      <c r="Q17" s="152"/>
      <c r="R17" s="152"/>
      <c r="S17" s="152"/>
      <c r="T17" s="152"/>
      <c r="U17" s="152"/>
      <c r="V17" s="152"/>
      <c r="W17" s="152"/>
      <c r="X17" s="152"/>
      <c r="Y17" s="152"/>
      <c r="Z17" s="152"/>
    </row>
    <row r="18" spans="1:26" ht="15.75">
      <c r="A18" s="334" t="s">
        <v>145</v>
      </c>
      <c r="B18" s="335">
        <v>16</v>
      </c>
      <c r="C18" s="233"/>
      <c r="D18" s="620">
        <f>+ROUND(+'TRIAL-BALANCE'!S92+'TRIAL-BALANCE'!S93,2)</f>
        <v>0</v>
      </c>
      <c r="E18" s="621">
        <f>+ROUND(+'TRIAL-BALANCE'!O92+'TRIAL-BALANCE'!O93,2)</f>
        <v>0</v>
      </c>
      <c r="F18" s="248"/>
      <c r="G18" s="620">
        <f>+ROUND(+'TRIAL-BALANCE'!Z92+'TRIAL-BALANCE'!Z93,2)</f>
        <v>0</v>
      </c>
      <c r="H18" s="621">
        <f>+ROUND(+'TRIAL-BALANCE'!V92+'TRIAL-BALANCE'!V93,2)</f>
        <v>0</v>
      </c>
      <c r="I18" s="248"/>
      <c r="J18" s="642">
        <f>+ROUND(+'TRIAL-BALANCE'!AG92+'TRIAL-BALANCE'!AG93,2)</f>
        <v>2211.65</v>
      </c>
      <c r="K18" s="643">
        <f>+ROUND(+'TRIAL-BALANCE'!AC92+'TRIAL-BALANCE'!AC93,2)</f>
        <v>2211.65</v>
      </c>
      <c r="L18" s="248"/>
      <c r="M18" s="618">
        <f t="shared" si="0"/>
        <v>2211.65</v>
      </c>
      <c r="N18" s="619">
        <f t="shared" si="0"/>
        <v>2211.65</v>
      </c>
      <c r="O18" s="152"/>
      <c r="P18" s="152"/>
      <c r="Q18" s="152"/>
      <c r="R18" s="152"/>
      <c r="S18" s="152"/>
      <c r="T18" s="152"/>
      <c r="U18" s="152"/>
      <c r="V18" s="152"/>
      <c r="W18" s="152"/>
      <c r="X18" s="152"/>
      <c r="Y18" s="152"/>
      <c r="Z18" s="152"/>
    </row>
    <row r="19" spans="1:26" ht="15.75">
      <c r="A19" s="336" t="s">
        <v>794</v>
      </c>
      <c r="B19" s="337">
        <v>17</v>
      </c>
      <c r="C19" s="233"/>
      <c r="D19" s="622">
        <f>+ROUND(+'TRIAL-BALANCE'!S71+'TRIAL-BALANCE'!S90,2)</f>
        <v>0</v>
      </c>
      <c r="E19" s="623">
        <f>+ROUND('TRIAL-BALANCE'!O71+'TRIAL-BALANCE'!O90,2)</f>
        <v>0</v>
      </c>
      <c r="F19" s="248"/>
      <c r="G19" s="622">
        <f>+ROUND(+'TRIAL-BALANCE'!Z71+'TRIAL-BALANCE'!Z90,2)</f>
        <v>0</v>
      </c>
      <c r="H19" s="623">
        <f>+ROUND(+'TRIAL-BALANCE'!V71+'TRIAL-BALANCE'!V90,2)</f>
        <v>0</v>
      </c>
      <c r="I19" s="248"/>
      <c r="J19" s="628">
        <f>+ROUND(+'TRIAL-BALANCE'!AG71+'TRIAL-BALANCE'!AG90,2)</f>
        <v>0</v>
      </c>
      <c r="K19" s="629">
        <f>+ROUND(+'TRIAL-BALANCE'!AC71+'TRIAL-BALANCE'!AC90,2)</f>
        <v>0</v>
      </c>
      <c r="L19" s="248"/>
      <c r="M19" s="628">
        <f t="shared" si="0"/>
        <v>0</v>
      </c>
      <c r="N19" s="629">
        <f t="shared" si="0"/>
        <v>0</v>
      </c>
      <c r="O19" s="152"/>
      <c r="P19" s="152"/>
      <c r="Q19" s="152"/>
      <c r="R19" s="152"/>
      <c r="S19" s="152"/>
      <c r="T19" s="152"/>
      <c r="U19" s="152"/>
      <c r="V19" s="152"/>
      <c r="W19" s="152"/>
      <c r="X19" s="152"/>
      <c r="Y19" s="152"/>
      <c r="Z19" s="152"/>
    </row>
    <row r="20" spans="1:26" ht="15.75">
      <c r="A20" s="177" t="s">
        <v>1025</v>
      </c>
      <c r="B20" s="178">
        <v>10</v>
      </c>
      <c r="C20" s="233"/>
      <c r="D20" s="624">
        <f>+ROUND(+D13+D14+D15+D16+D17+D18+D19,2)</f>
        <v>309609.42</v>
      </c>
      <c r="E20" s="625">
        <f>+ROUND(+E13+E14+E15+E16+E17+E18+E19,2)</f>
        <v>323208.09999999998</v>
      </c>
      <c r="F20" s="248"/>
      <c r="G20" s="624">
        <f>+ROUND(+G13+G14+G15+G16+G17+G18+G19,2)</f>
        <v>0</v>
      </c>
      <c r="H20" s="625">
        <f>+ROUND(+H13+H14+H15+H16+H17+H18+H19,2)</f>
        <v>0</v>
      </c>
      <c r="I20" s="248"/>
      <c r="J20" s="624">
        <f>+ROUND(+J13+J14+J15+J16+J17+J18+J19,2)</f>
        <v>2211.65</v>
      </c>
      <c r="K20" s="625">
        <f>+ROUND(+K13+K14+K15+K16+K17+K18+K19,2)</f>
        <v>2211.65</v>
      </c>
      <c r="L20" s="248"/>
      <c r="M20" s="624">
        <f>+ROUND(+M13+M14+M15+M16+M17+M18+M19,2)</f>
        <v>311821.07</v>
      </c>
      <c r="N20" s="625">
        <f>+ROUND(+N13+N14+N15+N16+N17+N18+N19,2)</f>
        <v>325419.75</v>
      </c>
      <c r="O20" s="152"/>
      <c r="P20" s="152"/>
      <c r="Q20" s="152"/>
      <c r="R20" s="152"/>
      <c r="S20" s="152"/>
      <c r="T20" s="152"/>
      <c r="U20" s="152"/>
      <c r="V20" s="152"/>
      <c r="W20" s="152"/>
      <c r="X20" s="152"/>
      <c r="Y20" s="152"/>
      <c r="Z20" s="152"/>
    </row>
    <row r="21" spans="1:26" ht="6" customHeight="1">
      <c r="A21" s="172"/>
      <c r="B21" s="173"/>
      <c r="C21" s="233"/>
      <c r="D21" s="626"/>
      <c r="E21" s="627"/>
      <c r="F21" s="248"/>
      <c r="G21" s="626"/>
      <c r="H21" s="627"/>
      <c r="I21" s="248"/>
      <c r="J21" s="626"/>
      <c r="K21" s="627"/>
      <c r="L21" s="248"/>
      <c r="M21" s="626"/>
      <c r="N21" s="627"/>
      <c r="O21" s="152"/>
      <c r="P21" s="152"/>
      <c r="Q21" s="152"/>
      <c r="R21" s="152"/>
      <c r="S21" s="152"/>
      <c r="T21" s="152"/>
      <c r="U21" s="152"/>
      <c r="V21" s="152"/>
      <c r="W21" s="152"/>
      <c r="X21" s="152"/>
      <c r="Y21" s="152"/>
      <c r="Z21" s="152"/>
    </row>
    <row r="22" spans="1:26" ht="15.75">
      <c r="A22" s="177" t="s">
        <v>157</v>
      </c>
      <c r="B22" s="178">
        <v>20</v>
      </c>
      <c r="C22" s="233"/>
      <c r="D22" s="624">
        <f>+ROUND(+'TRIAL-BALANCE'!S86+'TRIAL-BALANCE'!S87+'TRIAL-BALANCE'!S88+'TRIAL-BALANCE'!S89-'TRIAL-BALANCE'!T101,2)</f>
        <v>1735.79</v>
      </c>
      <c r="E22" s="625">
        <f>+ROUND(+'TRIAL-BALANCE'!O86+'TRIAL-BALANCE'!O87+'TRIAL-BALANCE'!O88+'TRIAL-BALANCE'!O89-'TRIAL-BALANCE'!P101,2)</f>
        <v>1813.61</v>
      </c>
      <c r="F22" s="248"/>
      <c r="G22" s="624">
        <f>+ROUND(+'TRIAL-BALANCE'!Z86+'TRIAL-BALANCE'!Z87+'TRIAL-BALANCE'!Z88+'TRIAL-BALANCE'!Z89-'TRIAL-BALANCE'!AA101,2)</f>
        <v>0</v>
      </c>
      <c r="H22" s="625">
        <f>+ROUND(+'TRIAL-BALANCE'!V86+'TRIAL-BALANCE'!V87+'TRIAL-BALANCE'!V88+'TRIAL-BALANCE'!V89-'TRIAL-BALANCE'!W101,2)</f>
        <v>0</v>
      </c>
      <c r="I22" s="248"/>
      <c r="J22" s="624">
        <f>+ROUND(+'TRIAL-BALANCE'!AG86+'TRIAL-BALANCE'!AG87+'TRIAL-BALANCE'!AG88+'TRIAL-BALANCE'!AG89-'TRIAL-BALANCE'!AG101,2)</f>
        <v>0</v>
      </c>
      <c r="K22" s="625">
        <f>+ROUND(+'TRIAL-BALANCE'!AC86+'TRIAL-BALANCE'!AC87+'TRIAL-BALANCE'!AC88+'TRIAL-BALANCE'!AC89-'TRIAL-BALANCE'!AD101,2)</f>
        <v>0</v>
      </c>
      <c r="L22" s="248"/>
      <c r="M22" s="624">
        <f>+ROUND(+D22+G22+J22,2)</f>
        <v>1735.79</v>
      </c>
      <c r="N22" s="625">
        <f>+ROUND(+E22+H22+K22,2)</f>
        <v>1813.61</v>
      </c>
      <c r="O22" s="152"/>
      <c r="P22" s="152"/>
      <c r="Q22" s="152"/>
      <c r="R22" s="152"/>
      <c r="S22" s="152"/>
      <c r="T22" s="152"/>
      <c r="U22" s="152"/>
      <c r="V22" s="152"/>
      <c r="W22" s="152"/>
      <c r="X22" s="152"/>
      <c r="Y22" s="152"/>
      <c r="Z22" s="152"/>
    </row>
    <row r="23" spans="1:26" ht="15.75">
      <c r="A23" s="172" t="s">
        <v>158</v>
      </c>
      <c r="B23" s="173"/>
      <c r="C23" s="233"/>
      <c r="D23" s="310" t="str">
        <f>+IF(+OR(D24&lt;0,D25&lt;0),"НЕРАВНЕНИЕ !"," ")</f>
        <v xml:space="preserve"> </v>
      </c>
      <c r="E23" s="319" t="str">
        <f>+IF(+OR(E24&lt;0,E25&lt;0),"НЕРАВНЕНИЕ !"," ")</f>
        <v xml:space="preserve"> </v>
      </c>
      <c r="F23" s="248"/>
      <c r="G23" s="310" t="str">
        <f>+IF(+OR(G24&lt;0,G25&lt;0),"НЕРАВНЕНИЕ !"," ")</f>
        <v xml:space="preserve"> </v>
      </c>
      <c r="H23" s="319" t="str">
        <f>+IF(+OR(H24&lt;0,H25&lt;0),"НЕРАВНЕНИЕ !"," ")</f>
        <v xml:space="preserve"> </v>
      </c>
      <c r="I23" s="248"/>
      <c r="J23" s="310" t="str">
        <f>+IF(+OR(J24&lt;0,J25&lt;0),"НЕРАВНЕНИЕ !"," ")</f>
        <v xml:space="preserve"> </v>
      </c>
      <c r="K23" s="319" t="str">
        <f>+IF(+OR(K24&lt;0,K25&lt;0),"НЕРАВНЕНИЕ !"," ")</f>
        <v xml:space="preserve"> </v>
      </c>
      <c r="L23" s="248"/>
      <c r="M23" s="310" t="str">
        <f>+IF(+OR(M24&lt;0,M25&lt;0),"НЕРАВНЕНИЕ !"," ")</f>
        <v xml:space="preserve"> </v>
      </c>
      <c r="N23" s="319" t="str">
        <f>+IF(+OR(N24&lt;0,N25&lt;0),"НЕРАВНЕНИЕ !"," ")</f>
        <v xml:space="preserve"> </v>
      </c>
      <c r="O23" s="152"/>
      <c r="P23" s="152"/>
      <c r="Q23" s="152"/>
      <c r="R23" s="152"/>
      <c r="S23" s="152"/>
      <c r="T23" s="152"/>
      <c r="U23" s="152"/>
      <c r="V23" s="152"/>
      <c r="W23" s="152"/>
      <c r="X23" s="152"/>
      <c r="Y23" s="152"/>
      <c r="Z23" s="152"/>
    </row>
    <row r="24" spans="1:26" ht="15.75">
      <c r="A24" s="334" t="s">
        <v>364</v>
      </c>
      <c r="B24" s="335">
        <v>31</v>
      </c>
      <c r="C24" s="233"/>
      <c r="D24" s="618">
        <f>+ROUND(+SUM('TRIAL-BALANCE'!S103:S107),2)</f>
        <v>22877.02</v>
      </c>
      <c r="E24" s="619">
        <f>+ROUND(+SUM('TRIAL-BALANCE'!O103:O107),2)</f>
        <v>25827.42</v>
      </c>
      <c r="F24" s="248"/>
      <c r="G24" s="618">
        <f>+ROUND(+SUM('TRIAL-BALANCE'!Z103:Z107),2)</f>
        <v>0</v>
      </c>
      <c r="H24" s="619">
        <f>+ROUND(+SUM('TRIAL-BALANCE'!V103:V107),2)</f>
        <v>0</v>
      </c>
      <c r="I24" s="248"/>
      <c r="J24" s="618">
        <f>+ROUND(+SUM('TRIAL-BALANCE'!AG103:AG107),2)</f>
        <v>0</v>
      </c>
      <c r="K24" s="619">
        <f>+ROUND(+SUM('TRIAL-BALANCE'!AC103:AC107),2)</f>
        <v>0</v>
      </c>
      <c r="L24" s="248"/>
      <c r="M24" s="618">
        <f>+ROUND(+D24+G24+J24,2)</f>
        <v>22877.02</v>
      </c>
      <c r="N24" s="619">
        <f>+ROUND(+E24+H24+K24,2)</f>
        <v>25827.42</v>
      </c>
      <c r="O24" s="152"/>
      <c r="P24" s="152"/>
      <c r="Q24" s="152"/>
      <c r="R24" s="152"/>
      <c r="S24" s="152"/>
      <c r="T24" s="152"/>
      <c r="U24" s="152"/>
      <c r="V24" s="152"/>
      <c r="W24" s="152"/>
      <c r="X24" s="152"/>
      <c r="Y24" s="152"/>
      <c r="Z24" s="152"/>
    </row>
    <row r="25" spans="1:26" ht="15.75">
      <c r="A25" s="336" t="s">
        <v>163</v>
      </c>
      <c r="B25" s="337">
        <v>32</v>
      </c>
      <c r="C25" s="233"/>
      <c r="D25" s="628">
        <f>+ROUND(+SUM('TRIAL-BALANCE'!S108:S112),2)</f>
        <v>0</v>
      </c>
      <c r="E25" s="629">
        <f>+ROUND(+SUM('TRIAL-BALANCE'!O108:O112),2)</f>
        <v>0</v>
      </c>
      <c r="F25" s="248"/>
      <c r="G25" s="628">
        <f>+ROUND(+SUM('TRIAL-BALANCE'!Z108:Z112),2)</f>
        <v>0</v>
      </c>
      <c r="H25" s="629">
        <f>+ROUND(+SUM('TRIAL-BALANCE'!V108:V112),2)</f>
        <v>0</v>
      </c>
      <c r="I25" s="248"/>
      <c r="J25" s="628">
        <f>+ROUND(+SUM('TRIAL-BALANCE'!AG108:AG112),2)</f>
        <v>0</v>
      </c>
      <c r="K25" s="629">
        <f>+ROUND(+SUM('TRIAL-BALANCE'!AC108:AC112),2)</f>
        <v>0</v>
      </c>
      <c r="L25" s="248"/>
      <c r="M25" s="628">
        <f>+ROUND(+D25+G25+J25,2)</f>
        <v>0</v>
      </c>
      <c r="N25" s="629">
        <f>+ROUND(+E25+H25+K25,2)</f>
        <v>0</v>
      </c>
      <c r="O25" s="152"/>
      <c r="P25" s="152"/>
      <c r="Q25" s="152"/>
      <c r="R25" s="152"/>
      <c r="S25" s="152"/>
      <c r="T25" s="152"/>
      <c r="U25" s="152"/>
      <c r="V25" s="152"/>
      <c r="W25" s="152"/>
      <c r="X25" s="152"/>
      <c r="Y25" s="152"/>
      <c r="Z25" s="152"/>
    </row>
    <row r="26" spans="1:26" ht="15.75">
      <c r="A26" s="177" t="s">
        <v>1026</v>
      </c>
      <c r="B26" s="178">
        <v>30</v>
      </c>
      <c r="C26" s="233"/>
      <c r="D26" s="624">
        <f>+ROUND(+D24+D25,2)</f>
        <v>22877.02</v>
      </c>
      <c r="E26" s="625">
        <f>+ROUND(+E24+E25,2)</f>
        <v>25827.42</v>
      </c>
      <c r="F26" s="248"/>
      <c r="G26" s="624">
        <f>+ROUND(+G24+G25,2)</f>
        <v>0</v>
      </c>
      <c r="H26" s="625">
        <f>+ROUND(+H24+H25,2)</f>
        <v>0</v>
      </c>
      <c r="I26" s="248"/>
      <c r="J26" s="624">
        <f>+ROUND(+J24+J25,2)</f>
        <v>0</v>
      </c>
      <c r="K26" s="625">
        <f>+ROUND(+K24+K25,2)</f>
        <v>0</v>
      </c>
      <c r="L26" s="248"/>
      <c r="M26" s="624">
        <f>+ROUND(+M24+M25,2)</f>
        <v>22877.02</v>
      </c>
      <c r="N26" s="625">
        <f>+ROUND(+N24+N25,2)</f>
        <v>25827.42</v>
      </c>
      <c r="O26" s="152"/>
      <c r="P26" s="152"/>
      <c r="Q26" s="152"/>
      <c r="R26" s="152"/>
      <c r="S26" s="152"/>
      <c r="T26" s="152"/>
      <c r="U26" s="152"/>
      <c r="V26" s="152"/>
      <c r="W26" s="152"/>
      <c r="X26" s="152"/>
      <c r="Y26" s="152"/>
      <c r="Z26" s="152"/>
    </row>
    <row r="27" spans="1:26" ht="6" customHeight="1">
      <c r="A27" s="172"/>
      <c r="B27" s="173"/>
      <c r="C27" s="233"/>
      <c r="D27" s="626"/>
      <c r="E27" s="627"/>
      <c r="F27" s="248"/>
      <c r="G27" s="626"/>
      <c r="H27" s="627"/>
      <c r="I27" s="248"/>
      <c r="J27" s="626"/>
      <c r="K27" s="627"/>
      <c r="L27" s="248"/>
      <c r="M27" s="626"/>
      <c r="N27" s="627"/>
      <c r="O27" s="152"/>
      <c r="P27" s="152"/>
      <c r="Q27" s="152"/>
      <c r="R27" s="152"/>
      <c r="S27" s="152"/>
      <c r="T27" s="152"/>
      <c r="U27" s="152"/>
      <c r="V27" s="152"/>
      <c r="W27" s="152"/>
      <c r="X27" s="152"/>
      <c r="Y27" s="152"/>
      <c r="Z27" s="152"/>
    </row>
    <row r="28" spans="1:26" ht="19.5" thickBot="1">
      <c r="A28" s="679" t="s">
        <v>1030</v>
      </c>
      <c r="B28" s="680">
        <v>100</v>
      </c>
      <c r="C28" s="233"/>
      <c r="D28" s="653">
        <f>+ROUND(+D20+D22+D26,2)</f>
        <v>334222.23</v>
      </c>
      <c r="E28" s="654">
        <f>+ROUND(+E20+E22+E26,2)</f>
        <v>350849.13</v>
      </c>
      <c r="F28" s="248"/>
      <c r="G28" s="653">
        <f>+ROUND(+G20+G22+G26,2)</f>
        <v>0</v>
      </c>
      <c r="H28" s="654">
        <f>+ROUND(+H20+H22+H26,2)</f>
        <v>0</v>
      </c>
      <c r="I28" s="248"/>
      <c r="J28" s="653">
        <f>+ROUND(+J20+J22+J26,2)</f>
        <v>2211.65</v>
      </c>
      <c r="K28" s="654">
        <f>+ROUND(+K20+K22+K26,2)</f>
        <v>2211.65</v>
      </c>
      <c r="L28" s="248"/>
      <c r="M28" s="653">
        <f>+ROUND(+M20+M22+M26,2)</f>
        <v>336433.88</v>
      </c>
      <c r="N28" s="654">
        <f>+ROUND(+N20+N22+N26,2)</f>
        <v>353060.78</v>
      </c>
      <c r="O28" s="152"/>
      <c r="P28" s="152"/>
      <c r="Q28" s="152"/>
      <c r="R28" s="152"/>
      <c r="S28" s="152"/>
      <c r="T28" s="152"/>
      <c r="U28" s="152"/>
      <c r="V28" s="152"/>
      <c r="W28" s="152"/>
      <c r="X28" s="152"/>
      <c r="Y28" s="152"/>
      <c r="Z28" s="152"/>
    </row>
    <row r="29" spans="1:26" ht="15.75">
      <c r="A29" s="170" t="s">
        <v>164</v>
      </c>
      <c r="B29" s="171"/>
      <c r="C29" s="233"/>
      <c r="D29" s="630"/>
      <c r="E29" s="631"/>
      <c r="F29" s="248"/>
      <c r="G29" s="630"/>
      <c r="H29" s="631"/>
      <c r="I29" s="248"/>
      <c r="J29" s="630"/>
      <c r="K29" s="631"/>
      <c r="L29" s="248"/>
      <c r="M29" s="630"/>
      <c r="N29" s="631"/>
      <c r="O29" s="152"/>
      <c r="P29" s="152"/>
      <c r="Q29" s="152"/>
      <c r="R29" s="152"/>
      <c r="S29" s="152"/>
      <c r="T29" s="152"/>
      <c r="U29" s="152"/>
      <c r="V29" s="152"/>
      <c r="W29" s="152"/>
      <c r="X29" s="152"/>
      <c r="Y29" s="152"/>
      <c r="Z29" s="152"/>
    </row>
    <row r="30" spans="1:26" ht="15.75">
      <c r="A30" s="172" t="s">
        <v>165</v>
      </c>
      <c r="B30" s="173"/>
      <c r="C30" s="233"/>
      <c r="D30" s="310" t="str">
        <f>+IF(+OR(D31&lt;0,D32&lt;0,D33&lt;0),"НЕРАВНЕНИЕ !"," ")</f>
        <v xml:space="preserve"> </v>
      </c>
      <c r="E30" s="319" t="str">
        <f>+IF(+OR(E31&lt;0,E32&lt;0,E33&lt;0),"НЕРАВНЕНИЕ !"," ")</f>
        <v xml:space="preserve"> </v>
      </c>
      <c r="F30" s="248"/>
      <c r="G30" s="310" t="str">
        <f>+IF(+OR(G31&lt;0,G32&lt;0,G33&lt;0),"НЕРАВНЕНИЕ !"," ")</f>
        <v xml:space="preserve"> </v>
      </c>
      <c r="H30" s="319" t="str">
        <f>+IF(+OR(H31&lt;0,H32&lt;0,H33&lt;0),"НЕРАВНЕНИЕ !"," ")</f>
        <v xml:space="preserve"> </v>
      </c>
      <c r="I30" s="248"/>
      <c r="J30" s="310" t="str">
        <f>+IF(+OR(J31&lt;0,J32&lt;0,J33&lt;0),"НЕРАВНЕНИЕ !"," ")</f>
        <v xml:space="preserve"> </v>
      </c>
      <c r="K30" s="319" t="str">
        <f>+IF(+OR(K31&lt;0,K32&lt;0,K33&lt;0),"НЕРАВНЕНИЕ !"," ")</f>
        <v xml:space="preserve"> </v>
      </c>
      <c r="L30" s="248"/>
      <c r="M30" s="310" t="str">
        <f>+IF(+OR(M31&lt;0,M32&lt;0,M33&lt;0),"НЕРАВНЕНИЕ !"," ")</f>
        <v xml:space="preserve"> </v>
      </c>
      <c r="N30" s="319" t="str">
        <f>+IF(+OR(N31&lt;0,N32&lt;0,N33&lt;0),"НЕРАВНЕНИЕ !"," ")</f>
        <v xml:space="preserve"> </v>
      </c>
      <c r="O30" s="152"/>
      <c r="P30" s="152"/>
      <c r="Q30" s="152"/>
      <c r="R30" s="152"/>
      <c r="S30" s="152"/>
      <c r="T30" s="152"/>
      <c r="U30" s="152"/>
      <c r="V30" s="152"/>
      <c r="W30" s="152"/>
      <c r="X30" s="152"/>
      <c r="Y30" s="152"/>
      <c r="Z30" s="152"/>
    </row>
    <row r="31" spans="1:26" ht="15.75">
      <c r="A31" s="334" t="s">
        <v>166</v>
      </c>
      <c r="B31" s="335">
        <v>51</v>
      </c>
      <c r="C31" s="233"/>
      <c r="D31" s="618">
        <f>+ROUND(+SUM('TRIAL-BALANCE'!S313:S320),2)</f>
        <v>0</v>
      </c>
      <c r="E31" s="619">
        <f>+ROUND(+SUM('TRIAL-BALANCE'!O313:O320),2)</f>
        <v>0</v>
      </c>
      <c r="F31" s="248"/>
      <c r="G31" s="618">
        <f>+ROUND(+SUM('TRIAL-BALANCE'!Z313:Z320),2)</f>
        <v>0</v>
      </c>
      <c r="H31" s="619">
        <f>+ROUND(+SUM('TRIAL-BALANCE'!V313:V320),2)</f>
        <v>0</v>
      </c>
      <c r="I31" s="248"/>
      <c r="J31" s="618">
        <f>+ROUND(+SUM('TRIAL-BALANCE'!AG313:AG320),2)</f>
        <v>0</v>
      </c>
      <c r="K31" s="619">
        <f>+ROUND(+SUM('TRIAL-BALANCE'!AC313:AC320),2)</f>
        <v>0</v>
      </c>
      <c r="L31" s="248"/>
      <c r="M31" s="618">
        <f t="shared" ref="M31:N33" si="1">+ROUND(+D31+G31+J31,2)</f>
        <v>0</v>
      </c>
      <c r="N31" s="619">
        <f t="shared" si="1"/>
        <v>0</v>
      </c>
      <c r="O31" s="152"/>
      <c r="P31" s="152"/>
      <c r="Q31" s="152"/>
      <c r="R31" s="152"/>
      <c r="S31" s="152"/>
      <c r="T31" s="152"/>
      <c r="U31" s="152"/>
      <c r="V31" s="152"/>
      <c r="W31" s="152"/>
      <c r="X31" s="152"/>
      <c r="Y31" s="152"/>
      <c r="Z31" s="152"/>
    </row>
    <row r="32" spans="1:26" ht="15.75">
      <c r="A32" s="334" t="s">
        <v>167</v>
      </c>
      <c r="B32" s="335">
        <v>52</v>
      </c>
      <c r="C32" s="233"/>
      <c r="D32" s="618">
        <f>+ROUND(+SUM('TRIAL-BALANCE'!S340:S343)+SUM('TRIAL-BALANCE'!S344:S345)-SUM('TRIAL-BALANCE'!T344:T345),2)</f>
        <v>0</v>
      </c>
      <c r="E32" s="619">
        <f>+ROUND(+SUM('TRIAL-BALANCE'!O340:O343)+SUM('TRIAL-BALANCE'!O344:O345)-SUM('TRIAL-BALANCE'!P344:P345),2)</f>
        <v>0</v>
      </c>
      <c r="F32" s="248"/>
      <c r="G32" s="618">
        <f>+ROUND(+SUM('TRIAL-BALANCE'!Z340:Z343)+SUM('TRIAL-BALANCE'!Z344:Z345)-SUM('TRIAL-BALANCE'!AA344:AA345),2)</f>
        <v>0</v>
      </c>
      <c r="H32" s="619">
        <f>+ROUND(+SUM('TRIAL-BALANCE'!V340:V343)+SUM('TRIAL-BALANCE'!V344:V345)-SUM('TRIAL-BALANCE'!W344:W345),2)</f>
        <v>0</v>
      </c>
      <c r="I32" s="248"/>
      <c r="J32" s="618">
        <f>+ROUND(+SUM('TRIAL-BALANCE'!AG340:AG343)+SUM('TRIAL-BALANCE'!AG344:AG345)-SUM('TRIAL-BALANCE'!AH344:AH345),2)</f>
        <v>0</v>
      </c>
      <c r="K32" s="619">
        <f>+ROUND(+SUM('TRIAL-BALANCE'!AC340:AC343)+SUM('TRIAL-BALANCE'!AC344:AC345)-SUM('TRIAL-BALANCE'!AD344:AD345),2)</f>
        <v>0</v>
      </c>
      <c r="L32" s="248"/>
      <c r="M32" s="618">
        <f t="shared" si="1"/>
        <v>0</v>
      </c>
      <c r="N32" s="619">
        <f t="shared" si="1"/>
        <v>0</v>
      </c>
      <c r="O32" s="152"/>
      <c r="P32" s="152"/>
      <c r="Q32" s="152"/>
      <c r="R32" s="152"/>
      <c r="S32" s="152"/>
      <c r="T32" s="152"/>
      <c r="U32" s="152"/>
      <c r="V32" s="152"/>
      <c r="W32" s="152"/>
      <c r="X32" s="152"/>
      <c r="Y32" s="152"/>
      <c r="Z32" s="152"/>
    </row>
    <row r="33" spans="1:26" ht="15.75">
      <c r="A33" s="336" t="s">
        <v>168</v>
      </c>
      <c r="B33" s="337">
        <v>53</v>
      </c>
      <c r="C33" s="233"/>
      <c r="D33" s="628">
        <f>+ROUND(+'TRIAL-BALANCE'!S321+SUM('TRIAL-BALANCE'!S323:S326)+SUM('TRIAL-BALANCE'!S336:S339)-'TRIAL-BALANCE'!T322-SUM('TRIAL-BALANCE'!T327:T330)+'TRIAL-BALANCE'!S322+SUM('TRIAL-BALANCE'!S327:S330),2)</f>
        <v>0</v>
      </c>
      <c r="E33" s="629">
        <f>+ROUND(+'TRIAL-BALANCE'!O321+SUM('TRIAL-BALANCE'!O323:O326)+SUM('TRIAL-BALANCE'!O336:O339)-'TRIAL-BALANCE'!P322-SUM('TRIAL-BALANCE'!P327:P330)+'TRIAL-BALANCE'!O322+SUM('TRIAL-BALANCE'!O327:O330),2)</f>
        <v>0</v>
      </c>
      <c r="F33" s="248"/>
      <c r="G33" s="628">
        <f>+ROUND(+'TRIAL-BALANCE'!Z321+SUM('TRIAL-BALANCE'!Z323:Z326)+SUM('TRIAL-BALANCE'!Z336:Z339)-'TRIAL-BALANCE'!AA322-SUM('TRIAL-BALANCE'!AA327:AA330)+'TRIAL-BALANCE'!Z322+SUM('TRIAL-BALANCE'!Z327:Z330),2)</f>
        <v>0</v>
      </c>
      <c r="H33" s="629">
        <f>+ROUND(+'TRIAL-BALANCE'!V321+SUM('TRIAL-BALANCE'!V323:V326)+SUM('TRIAL-BALANCE'!V336:V339)-'TRIAL-BALANCE'!W322-SUM('TRIAL-BALANCE'!W327:W330)+'TRIAL-BALANCE'!V322+SUM('TRIAL-BALANCE'!V327:V330),2)</f>
        <v>0</v>
      </c>
      <c r="I33" s="248"/>
      <c r="J33" s="628">
        <f>+ROUND(+'TRIAL-BALANCE'!AG321+SUM('TRIAL-BALANCE'!AG323:AG326)+SUM('TRIAL-BALANCE'!AG336:AG339)-'TRIAL-BALANCE'!AH322-SUM('TRIAL-BALANCE'!AH327:AH330)+'TRIAL-BALANCE'!AG322+SUM('TRIAL-BALANCE'!AG327:AG330),2)</f>
        <v>0</v>
      </c>
      <c r="K33" s="629">
        <f>+ROUND(+'TRIAL-BALANCE'!AC321+SUM('TRIAL-BALANCE'!AC323:AC326)+SUM('TRIAL-BALANCE'!AC336:AC339)-'TRIAL-BALANCE'!AD322-SUM('TRIAL-BALANCE'!AD327:AD330)+'TRIAL-BALANCE'!AC322+SUM('TRIAL-BALANCE'!AC327:AC330),2)</f>
        <v>0</v>
      </c>
      <c r="L33" s="248"/>
      <c r="M33" s="628">
        <f t="shared" si="1"/>
        <v>0</v>
      </c>
      <c r="N33" s="629">
        <f t="shared" si="1"/>
        <v>0</v>
      </c>
      <c r="O33" s="152"/>
      <c r="P33" s="152"/>
      <c r="Q33" s="152"/>
      <c r="R33" s="152"/>
      <c r="S33" s="152"/>
      <c r="T33" s="152"/>
      <c r="U33" s="152"/>
      <c r="V33" s="152"/>
      <c r="W33" s="152"/>
      <c r="X33" s="152"/>
      <c r="Y33" s="152"/>
      <c r="Z33" s="152"/>
    </row>
    <row r="34" spans="1:26" ht="15.75">
      <c r="A34" s="177" t="s">
        <v>1025</v>
      </c>
      <c r="B34" s="178">
        <v>50</v>
      </c>
      <c r="C34" s="233"/>
      <c r="D34" s="624">
        <f>+ROUND(+D31+D32+D33,2)</f>
        <v>0</v>
      </c>
      <c r="E34" s="625">
        <f>+ROUND(+E31+E32+E33,2)</f>
        <v>0</v>
      </c>
      <c r="F34" s="248"/>
      <c r="G34" s="624">
        <f>+ROUND(+G31+G32+G33,2)</f>
        <v>0</v>
      </c>
      <c r="H34" s="625">
        <f>+ROUND(+H31+H32+H33,2)</f>
        <v>0</v>
      </c>
      <c r="I34" s="248"/>
      <c r="J34" s="624">
        <f>+ROUND(+J31+J32+J33,2)</f>
        <v>0</v>
      </c>
      <c r="K34" s="625">
        <f>+ROUND(+K31+K32+K33,2)</f>
        <v>0</v>
      </c>
      <c r="L34" s="248"/>
      <c r="M34" s="624">
        <f>+ROUND(+M31+M32+M33,2)</f>
        <v>0</v>
      </c>
      <c r="N34" s="625">
        <f>+ROUND(+N31+N32+N33,2)</f>
        <v>0</v>
      </c>
      <c r="O34" s="152"/>
      <c r="P34" s="1883"/>
      <c r="Q34" s="1903" t="s">
        <v>1875</v>
      </c>
      <c r="R34" s="1883"/>
      <c r="S34" s="1883"/>
      <c r="T34" s="152"/>
      <c r="U34" s="152"/>
      <c r="V34" s="152"/>
      <c r="W34" s="152"/>
      <c r="X34" s="152"/>
      <c r="Y34" s="152"/>
      <c r="Z34" s="152"/>
    </row>
    <row r="35" spans="1:26" ht="15.75">
      <c r="A35" s="172" t="s">
        <v>169</v>
      </c>
      <c r="B35" s="173"/>
      <c r="C35" s="233"/>
      <c r="D35" s="310" t="str">
        <f>+IF(+OR(D36&lt;0,D37&lt;0),"НЕРАВНЕНИЕ !"," ")</f>
        <v xml:space="preserve"> </v>
      </c>
      <c r="E35" s="319" t="str">
        <f>+IF(+OR(E36&lt;0,E37&lt;0),"НЕРАВНЕНИЕ !"," ")</f>
        <v xml:space="preserve"> </v>
      </c>
      <c r="F35" s="248"/>
      <c r="G35" s="310" t="str">
        <f>+IF(+OR(G36&lt;0,G37&lt;0),"НЕРАВНЕНИЕ !"," ")</f>
        <v xml:space="preserve"> </v>
      </c>
      <c r="H35" s="319" t="str">
        <f>+IF(+OR(H36&lt;0,H37&lt;0),"НЕРАВНЕНИЕ !"," ")</f>
        <v xml:space="preserve"> </v>
      </c>
      <c r="I35" s="248"/>
      <c r="J35" s="310" t="str">
        <f>+IF(+OR(J36&lt;0,J37&lt;0),"НЕРАВНЕНИЕ !"," ")</f>
        <v xml:space="preserve"> </v>
      </c>
      <c r="K35" s="319" t="str">
        <f>+IF(+OR(K36&lt;0,K37&lt;0),"НЕРАВНЕНИЕ !"," ")</f>
        <v xml:space="preserve"> </v>
      </c>
      <c r="L35" s="248"/>
      <c r="M35" s="310" t="str">
        <f>+IF(+OR(M36&lt;0,M37&lt;0),"НЕРАВНЕНИЕ !"," ")</f>
        <v xml:space="preserve"> </v>
      </c>
      <c r="N35" s="319" t="str">
        <f>+IF(+OR(N36&lt;0,N37&lt;0),"НЕРАВНЕНИЕ !"," ")</f>
        <v xml:space="preserve"> </v>
      </c>
      <c r="O35" s="152"/>
      <c r="P35" s="1377" t="s">
        <v>1876</v>
      </c>
      <c r="Q35" s="1933" t="s">
        <v>1955</v>
      </c>
      <c r="R35" s="152"/>
      <c r="S35" s="152"/>
      <c r="T35" s="152"/>
      <c r="U35" s="152"/>
      <c r="V35" s="152"/>
      <c r="W35" s="152"/>
      <c r="X35" s="152"/>
      <c r="Y35" s="152"/>
      <c r="Z35" s="152"/>
    </row>
    <row r="36" spans="1:26" ht="15.75">
      <c r="A36" s="334" t="s">
        <v>170</v>
      </c>
      <c r="B36" s="335">
        <v>61</v>
      </c>
      <c r="C36" s="233"/>
      <c r="D36" s="618">
        <f>+ROUND(+SUM('TRIAL-BALANCE'!S351:S353)+'TRIAL-BALANCE'!S358+SUM('TRIAL-BALANCE'!S370:S371)+'TRIAL-BALANCE'!S375-IF(+'Provisions-2020'!E76=0,+'Provisions-2020'!E12,+ROUND(+(+SUM('TRIAL-BALANCE'!T364:T367)+SUM('TRIAL-BALANCE'!T380:T382))*'TRIAL-BALANCE'!T899,2)),2)</f>
        <v>0</v>
      </c>
      <c r="E36" s="619">
        <f>+ROUND(+SUM('TRIAL-BALANCE'!O351:O353)+'TRIAL-BALANCE'!O358+SUM('TRIAL-BALANCE'!O370:O371)+'TRIAL-BALANCE'!O375-IF(+'Provisions-2020'!D76=0,+'Provisions-2020'!D12,+ROUND(+(+SUM('TRIAL-BALANCE'!P364:P367)+SUM('TRIAL-BALANCE'!P380:P382))*'TRIAL-BALANCE'!P899,2)),2)</f>
        <v>0</v>
      </c>
      <c r="F36" s="248"/>
      <c r="G36" s="618">
        <f>+ROUND(+SUM('TRIAL-BALANCE'!Z351:Z353)+'TRIAL-BALANCE'!Z358+SUM('TRIAL-BALANCE'!Z370:Z371)+'TRIAL-BALANCE'!Z375-IF(+'Provisions-2020'!H76=0,+'Provisions-2020'!H12,+ROUND(+(+SUM('TRIAL-BALANCE'!AA364:AA367)+SUM('TRIAL-BALANCE'!AA380:AA382))*'TRIAL-BALANCE'!AA899,2)),2)</f>
        <v>0</v>
      </c>
      <c r="H36" s="619">
        <f>+ROUND(+SUM('TRIAL-BALANCE'!V351:V353)+'TRIAL-BALANCE'!V358+SUM('TRIAL-BALANCE'!V370:V371)+'TRIAL-BALANCE'!V375-IF(+'Provisions-2020'!G76=0,+'Provisions-2020'!G12,+ROUND(+(+SUM('TRIAL-BALANCE'!W364:W367)+SUM('TRIAL-BALANCE'!W380:W382))*'TRIAL-BALANCE'!W899,2)),2)</f>
        <v>0</v>
      </c>
      <c r="I36" s="248"/>
      <c r="J36" s="618">
        <f>+ROUND(+SUM('TRIAL-BALANCE'!AG351:AG353)+'TRIAL-BALANCE'!AG358+SUM('TRIAL-BALANCE'!AG370:AG371)+'TRIAL-BALANCE'!AG375-IF(+'Provisions-2020'!K76=0,+'Provisions-2020'!K12,+ROUND(+(+SUM('TRIAL-BALANCE'!AH364:AH367)+SUM('TRIAL-BALANCE'!AH380:AH382))*'TRIAL-BALANCE'!AH899,2)),2)</f>
        <v>0</v>
      </c>
      <c r="K36" s="619">
        <f>+ROUND(+SUM('TRIAL-BALANCE'!AC351:AC353)+'TRIAL-BALANCE'!AC358+SUM('TRIAL-BALANCE'!AC370:AC371)+'TRIAL-BALANCE'!AC375-IF(+'Provisions-2020'!J76=0,+'Provisions-2020'!J12,+ROUND(+(+SUM('TRIAL-BALANCE'!AD364:AD367)+SUM('TRIAL-BALANCE'!AD380:AD382))*'TRIAL-BALANCE'!AD899,2)),2)</f>
        <v>0</v>
      </c>
      <c r="L36" s="248"/>
      <c r="M36" s="618">
        <f>+ROUND(+D36+G36+J36,2)</f>
        <v>0</v>
      </c>
      <c r="N36" s="619">
        <f>+ROUND(+E36+H36+K36,2)</f>
        <v>0</v>
      </c>
      <c r="O36" s="152"/>
      <c r="P36" s="1378" t="s">
        <v>1877</v>
      </c>
      <c r="Q36" s="1934" t="s">
        <v>1956</v>
      </c>
      <c r="R36" s="152"/>
      <c r="S36" s="152"/>
      <c r="T36" s="152"/>
      <c r="U36" s="152"/>
      <c r="V36" s="152"/>
      <c r="W36" s="152"/>
      <c r="X36" s="152"/>
      <c r="Y36" s="152"/>
      <c r="Z36" s="152"/>
    </row>
    <row r="37" spans="1:26" ht="15.75">
      <c r="A37" s="336" t="s">
        <v>171</v>
      </c>
      <c r="B37" s="337">
        <v>62</v>
      </c>
      <c r="C37" s="233"/>
      <c r="D37" s="628">
        <f>+ROUND(+SUM('TRIAL-BALANCE'!S348:S350)+SUM('TRIAL-BALANCE'!S354:S356)+'TRIAL-BALANCE'!S357+'TRIAL-BALANCE'!S359+SUM('TRIAL-BALANCE'!S368:S369)+SUM('TRIAL-BALANCE'!S372:S374)+'TRIAL-BALANCE'!S376-IF(+'Provisions-2020'!E76=0,+'Provisions-2020'!E13,+ROUND(+(+SUM('TRIAL-BALANCE'!T364:T367)+SUM('TRIAL-BALANCE'!T380:T382))*'TRIAL-BALANCE'!T898,2)),2)</f>
        <v>0</v>
      </c>
      <c r="E37" s="629">
        <f>+ROUND(+SUM('TRIAL-BALANCE'!O348:O350)+SUM('TRIAL-BALANCE'!O354:O356)+'TRIAL-BALANCE'!O357+'TRIAL-BALANCE'!O359+SUM('TRIAL-BALANCE'!O368:O369)+SUM('TRIAL-BALANCE'!O372:O374)+'TRIAL-BALANCE'!O376-IF(+'Provisions-2020'!D76=0,+'Provisions-2020'!D13,+ROUND(+(+SUM('TRIAL-BALANCE'!P364:P367)+SUM('TRIAL-BALANCE'!P380:P382))*'TRIAL-BALANCE'!P898,2)),2)</f>
        <v>0</v>
      </c>
      <c r="F37" s="248"/>
      <c r="G37" s="628">
        <f>+ROUND(+SUM('TRIAL-BALANCE'!Z348:Z350)+SUM('TRIAL-BALANCE'!Z354:Z356)+'TRIAL-BALANCE'!Z357+'TRIAL-BALANCE'!Z359+SUM('TRIAL-BALANCE'!Z368:Z369)+SUM('TRIAL-BALANCE'!Z372:Z374)+'TRIAL-BALANCE'!Z376-IF(+'Provisions-2020'!H76=0,+'Provisions-2020'!H13,+ROUND(+(+SUM('TRIAL-BALANCE'!AA364:AA367)+SUM('TRIAL-BALANCE'!AA380:AA382))*'TRIAL-BALANCE'!AA898,2)),2)</f>
        <v>0</v>
      </c>
      <c r="H37" s="629">
        <f>+ROUND(+SUM('TRIAL-BALANCE'!V348:V350)+SUM('TRIAL-BALANCE'!V354:V356)+'TRIAL-BALANCE'!V357+'TRIAL-BALANCE'!V359+SUM('TRIAL-BALANCE'!V368:V369)+SUM('TRIAL-BALANCE'!V372:V374)+'TRIAL-BALANCE'!V376-IF(+'Provisions-2020'!G76=0,+'Provisions-2020'!G13,+ROUND(+(+SUM('TRIAL-BALANCE'!W364:W367)+SUM('TRIAL-BALANCE'!W380:W382))*'TRIAL-BALANCE'!W898,2)),2)</f>
        <v>0</v>
      </c>
      <c r="I37" s="248"/>
      <c r="J37" s="628">
        <f>+ROUND(+SUM('TRIAL-BALANCE'!AG348:AG350)+SUM('TRIAL-BALANCE'!AG354:AG356)+'TRIAL-BALANCE'!AG357+'TRIAL-BALANCE'!AG359+SUM('TRIAL-BALANCE'!AG368:AG369)+SUM('TRIAL-BALANCE'!AG372:AG374)+'TRIAL-BALANCE'!AG376-IF(+'Provisions-2020'!K76=0,+'Provisions-2020'!K13,+ROUND(+(+SUM('TRIAL-BALANCE'!AH364:AH367)+SUM('TRIAL-BALANCE'!AH380:AH382))*'TRIAL-BALANCE'!AH898,2)),2)</f>
        <v>0</v>
      </c>
      <c r="K37" s="629">
        <f>+ROUND(+SUM('TRIAL-BALANCE'!AC348:AC350)+SUM('TRIAL-BALANCE'!AC354:AC356)+'TRIAL-BALANCE'!AC357+'TRIAL-BALANCE'!AC359+SUM('TRIAL-BALANCE'!AC368:AC369)+SUM('TRIAL-BALANCE'!AC372:AC374)+'TRIAL-BALANCE'!AC376-IF(+'Provisions-2020'!J76=0,+'Provisions-2020'!J13,+ROUND(+(+SUM('TRIAL-BALANCE'!AD364:AD367)+SUM('TRIAL-BALANCE'!AD380:AD382))*'TRIAL-BALANCE'!AD898,2)),2)</f>
        <v>0</v>
      </c>
      <c r="L37" s="248"/>
      <c r="M37" s="628">
        <f>+ROUND(+D37+G37+J37,2)</f>
        <v>0</v>
      </c>
      <c r="N37" s="629">
        <f>+ROUND(+E37+H37+K37,2)</f>
        <v>0</v>
      </c>
      <c r="O37" s="152"/>
      <c r="P37" s="1240" t="s">
        <v>1252</v>
      </c>
      <c r="Q37" s="1241" t="s">
        <v>1253</v>
      </c>
      <c r="R37" s="152"/>
      <c r="S37" s="152"/>
      <c r="T37" s="152"/>
      <c r="U37" s="152"/>
      <c r="V37" s="152"/>
      <c r="W37" s="152"/>
      <c r="X37" s="152"/>
      <c r="Y37" s="152"/>
      <c r="Z37" s="152"/>
    </row>
    <row r="38" spans="1:26" ht="15.75">
      <c r="A38" s="177" t="s">
        <v>1024</v>
      </c>
      <c r="B38" s="178">
        <v>60</v>
      </c>
      <c r="C38" s="233"/>
      <c r="D38" s="624">
        <f>+ROUND(+D36+D37,2)</f>
        <v>0</v>
      </c>
      <c r="E38" s="625">
        <f>+ROUND(+E36+E37,2)</f>
        <v>0</v>
      </c>
      <c r="F38" s="248"/>
      <c r="G38" s="624">
        <f>+ROUND(+G36+G37,2)</f>
        <v>0</v>
      </c>
      <c r="H38" s="625">
        <f>+ROUND(+H36+H37,2)</f>
        <v>0</v>
      </c>
      <c r="I38" s="248"/>
      <c r="J38" s="624">
        <f>+ROUND(+J36+J37,2)</f>
        <v>0</v>
      </c>
      <c r="K38" s="625">
        <f>+ROUND(+K36+K37,2)</f>
        <v>0</v>
      </c>
      <c r="L38" s="248"/>
      <c r="M38" s="624">
        <f>+ROUND(+M36+M37,2)</f>
        <v>0</v>
      </c>
      <c r="N38" s="625">
        <f>+ROUND(+N36+N37,2)</f>
        <v>0</v>
      </c>
      <c r="O38" s="152"/>
      <c r="P38" s="1242" t="s">
        <v>1195</v>
      </c>
      <c r="Q38" s="1243" t="s">
        <v>1963</v>
      </c>
      <c r="R38" s="152"/>
      <c r="S38" s="152"/>
      <c r="T38" s="152"/>
      <c r="U38" s="152"/>
      <c r="V38" s="152"/>
      <c r="W38" s="152"/>
      <c r="X38" s="152"/>
      <c r="Y38" s="152"/>
      <c r="Z38" s="152"/>
    </row>
    <row r="39" spans="1:26" ht="15.75">
      <c r="A39" s="172" t="s">
        <v>172</v>
      </c>
      <c r="B39" s="173"/>
      <c r="C39" s="233"/>
      <c r="D39" s="310" t="str">
        <f>+IF(+OR(D40&lt;0,D41&lt;0,D42&lt;0,D43&lt;0,D44&lt;0,D45&lt;0),"НЕРАВНЕНИЕ !"," ")</f>
        <v xml:space="preserve"> </v>
      </c>
      <c r="E39" s="319" t="str">
        <f>+IF(+OR(E40&lt;0,E41&lt;0,E42&lt;0,E43&lt;0,E44&lt;0,E45&lt;0),"НЕРАВНЕНИЕ !"," ")</f>
        <v xml:space="preserve"> </v>
      </c>
      <c r="F39" s="248"/>
      <c r="G39" s="310" t="str">
        <f>+IF(+OR(G40&lt;0,G41&lt;0,G42&lt;0,G43&lt;0,G44&lt;0,G45&lt;0),"НЕРАВНЕНИЕ !"," ")</f>
        <v xml:space="preserve"> </v>
      </c>
      <c r="H39" s="319" t="str">
        <f>+IF(+OR(H40&lt;0,H41&lt;0,H42&lt;0,H43&lt;0,H44&lt;0,H45&lt;0),"НЕРАВНЕНИЕ !"," ")</f>
        <v xml:space="preserve"> </v>
      </c>
      <c r="I39" s="248"/>
      <c r="J39" s="310" t="str">
        <f>+IF(+OR(J40&lt;0,J41&lt;0,J42&lt;0,J43&lt;0,J44&lt;0,J45&lt;0),"НЕРАВНЕНИЕ !"," ")</f>
        <v xml:space="preserve"> </v>
      </c>
      <c r="K39" s="319" t="str">
        <f>+IF(+OR(K40&lt;0,K41&lt;0,K42&lt;0,K43&lt;0,K44&lt;0,K45&lt;0),"НЕРАВНЕНИЕ !"," ")</f>
        <v xml:space="preserve"> </v>
      </c>
      <c r="L39" s="248"/>
      <c r="M39" s="310" t="str">
        <f>+IF(+OR(M40&lt;0,M41&lt;0,M42&lt;0,M43&lt;0,M44&lt;0,M45&lt;0),"НЕРАВНЕНИЕ !"," ")</f>
        <v xml:space="preserve"> </v>
      </c>
      <c r="N39" s="319" t="str">
        <f>+IF(+OR(N40&lt;0,N41&lt;0,N42&lt;0,N43&lt;0,N44&lt;0,N45&lt;0),"НЕРАВНЕНИЕ !"," ")</f>
        <v xml:space="preserve"> </v>
      </c>
      <c r="O39" s="152"/>
      <c r="P39" s="1441"/>
      <c r="Q39" s="1441"/>
      <c r="R39" s="152"/>
      <c r="S39" s="152"/>
      <c r="T39" s="152"/>
      <c r="U39" s="152"/>
      <c r="V39" s="152"/>
      <c r="W39" s="152"/>
      <c r="X39" s="152"/>
      <c r="Y39" s="152"/>
      <c r="Z39" s="152"/>
    </row>
    <row r="40" spans="1:26" ht="15.75">
      <c r="A40" s="175" t="s">
        <v>1982</v>
      </c>
      <c r="B40" s="335">
        <v>71</v>
      </c>
      <c r="C40" s="233"/>
      <c r="D40" s="618">
        <f>+ROUND(+SUM('TRIAL-BALANCE'!S148:S149)-IF(+AND('Provisions-2020'!E78=0,+'Provisions-2020'!E16&gt;0),+'Provisions-2020'!E16,0)+IF(+AND('Provisions-2020'!E80=0,+'Provisions-2020'!E24&lt;&gt;0),+'Provisions-2020'!E24,0),2)</f>
        <v>0</v>
      </c>
      <c r="E40" s="619">
        <f>+ROUND(+SUM('TRIAL-BALANCE'!O148:O149)-IF(+AND('Provisions-2020'!D78=0,+'Provisions-2020'!D16&gt;0),+'Provisions-2020'!D16,0)+IF(+AND('Provisions-2020'!D80=0,+'Provisions-2020'!D24&lt;&gt;0),+'Provisions-2020'!D24,0),2)</f>
        <v>0</v>
      </c>
      <c r="F40" s="248"/>
      <c r="G40" s="618">
        <f>+ROUND(+SUM('TRIAL-BALANCE'!Z148:Z149)-IF(+AND('Provisions-2020'!H78=0,+'Provisions-2020'!H16&gt;0),+'Provisions-2020'!H16,0)+IF(+AND('Provisions-2020'!H80=0,+'Provisions-2020'!H24&lt;&gt;0),+'Provisions-2020'!H24,0),2)</f>
        <v>0</v>
      </c>
      <c r="H40" s="619">
        <f>+ROUND(+SUM('TRIAL-BALANCE'!V148:V149)-IF(+AND('Provisions-2020'!G78=0,+'Provisions-2020'!G16&gt;0),+'Provisions-2020'!G16,0)+IF(+AND('Provisions-2020'!G80=0,+'Provisions-2020'!G24&lt;&gt;0),+'Provisions-2020'!G24,0),2)</f>
        <v>0</v>
      </c>
      <c r="I40" s="248"/>
      <c r="J40" s="618">
        <f>+SUM('TRIAL-BALANCE'!AG148:AG149)-IF(+AND('Provisions-2020'!K78=0,+'Provisions-2020'!K16&gt;0),+'Provisions-2020'!K16,0)+IF(+AND('Provisions-2020'!K80=0,+'Provisions-2020'!K24&lt;&gt;0),+'Provisions-2020'!K24,0)</f>
        <v>0</v>
      </c>
      <c r="K40" s="619">
        <f>+SUM('TRIAL-BALANCE'!AC148:AC149)-IF(+AND('Provisions-2020'!J78=0,+'Provisions-2020'!J16&gt;0),+'Provisions-2020'!J16,0)+IF(+AND('Provisions-2020'!J80=0,+'Provisions-2020'!J24&lt;&gt;0),+'Provisions-2020'!J24,0)</f>
        <v>0</v>
      </c>
      <c r="L40" s="248"/>
      <c r="M40" s="618">
        <f>+ROUND(+D40+G40+J40,2)-ROUND(P40,2)</f>
        <v>0</v>
      </c>
      <c r="N40" s="619">
        <f>+ROUND(+E40+H40+K40,2)-ROUND(Q40,2)</f>
        <v>0</v>
      </c>
      <c r="O40" s="152"/>
      <c r="P40" s="1439">
        <f>+IF(+AND(Status!K4="ДА",+ROUND('Municipal-Bal'!K20,0)=1,+ROUND('Municipal-Bal'!S80,2)=+ROUND('Municipal-Bal'!S91,2)),+ROUND(+SUM('Municipal-Bal'!R68:R69),2),0)</f>
        <v>0</v>
      </c>
      <c r="Q40" s="1440">
        <f>+IF(+AND(Status!K4="ДА",+ROUND('Municipal-Bal'!K20,0)=1,+ROUND('Municipal-Bal'!P80,2)=+ROUND('Municipal-Bal'!P91,2)),+ROUND(+SUM('Municipal-Bal'!O68:O69),2),0)</f>
        <v>0</v>
      </c>
      <c r="R40" s="152"/>
      <c r="S40" s="152"/>
      <c r="T40" s="152"/>
      <c r="U40" s="152"/>
      <c r="V40" s="152"/>
      <c r="W40" s="152"/>
      <c r="X40" s="152"/>
      <c r="Y40" s="152"/>
      <c r="Z40" s="152"/>
    </row>
    <row r="41" spans="1:26" ht="15.75">
      <c r="A41" s="334" t="s">
        <v>173</v>
      </c>
      <c r="B41" s="335">
        <v>72</v>
      </c>
      <c r="C41" s="233"/>
      <c r="D41" s="618">
        <f>+ROUND(+'TRIAL-BALANCE'!S120+'TRIAL-BALANCE'!S124+'TRIAL-BALANCE'!S126-IF(+AND('Provisions-2020'!E78=0,+'Provisions-2020'!E17&gt;0),+'Provisions-2020'!E17,0)+IF(+AND('Provisions-2020'!E80=0,+'Provisions-2020'!E25&lt;&gt;0),+'Provisions-2020'!E25,0),2)</f>
        <v>0</v>
      </c>
      <c r="E41" s="619">
        <f>+ROUND(+'TRIAL-BALANCE'!O120+'TRIAL-BALANCE'!O124+'TRIAL-BALANCE'!O126-IF(+AND('Provisions-2020'!D78=0,+'Provisions-2020'!D17&gt;0),+'Provisions-2020'!D17,0)+IF(+AND('Provisions-2020'!D80=0,+'Provisions-2020'!D25&lt;&gt;0),+'Provisions-2020'!D25,0),2)</f>
        <v>0</v>
      </c>
      <c r="F41" s="248"/>
      <c r="G41" s="618">
        <f>+ROUND(+'TRIAL-BALANCE'!Z120+'TRIAL-BALANCE'!Z124+'TRIAL-BALANCE'!Z126-IF(+AND('Provisions-2020'!H78=0,+'Provisions-2020'!H17&gt;0),+'Provisions-2020'!H17,0)+IF(+AND('Provisions-2020'!H80=0,+'Provisions-2020'!H25&lt;&gt;0),+'Provisions-2020'!H25,0),2)</f>
        <v>0</v>
      </c>
      <c r="H41" s="619">
        <f>+ROUND(+'TRIAL-BALANCE'!V120+'TRIAL-BALANCE'!V124+'TRIAL-BALANCE'!V126-IF(+AND('Provisions-2020'!G78=0,+'Provisions-2020'!G17&gt;0),+'Provisions-2020'!G17,0)+IF(+AND('Provisions-2020'!G80=0,+'Provisions-2020'!G25&lt;&gt;0),+'Provisions-2020'!G25,0),2)</f>
        <v>0</v>
      </c>
      <c r="I41" s="248"/>
      <c r="J41" s="618">
        <f>+'TRIAL-BALANCE'!AG120+'TRIAL-BALANCE'!AG124+'TRIAL-BALANCE'!AG126-IF(+AND('Provisions-2020'!K78=0,+'Provisions-2020'!K17&gt;0),+'Provisions-2020'!K17,0)+IF(+AND('Provisions-2020'!K80=0,+'Provisions-2020'!K25&lt;&gt;0),+'Provisions-2020'!K25,0)</f>
        <v>0</v>
      </c>
      <c r="K41" s="619">
        <f>+'TRIAL-BALANCE'!AC120+'TRIAL-BALANCE'!AC124+'TRIAL-BALANCE'!AC126-IF(+AND('Provisions-2020'!J78=0,+'Provisions-2020'!J17&gt;0),+'Provisions-2020'!J17,0)+IF(+AND('Provisions-2020'!J80=0,+'Provisions-2020'!J25&lt;&gt;0),+'Provisions-2020'!J25,0)</f>
        <v>0</v>
      </c>
      <c r="L41" s="248"/>
      <c r="M41" s="618">
        <f t="shared" ref="M41:N43" si="2">+ROUND(+D41+G41+J41,2)</f>
        <v>0</v>
      </c>
      <c r="N41" s="619">
        <f t="shared" si="2"/>
        <v>0</v>
      </c>
      <c r="O41" s="152"/>
      <c r="P41" s="1438"/>
      <c r="Q41" s="1438"/>
      <c r="R41" s="152"/>
      <c r="S41" s="152"/>
      <c r="T41" s="152"/>
      <c r="U41" s="152"/>
      <c r="V41" s="152"/>
      <c r="W41" s="152"/>
      <c r="X41" s="152"/>
      <c r="Y41" s="152"/>
      <c r="Z41" s="152"/>
    </row>
    <row r="42" spans="1:26" ht="15.75">
      <c r="A42" s="334" t="s">
        <v>408</v>
      </c>
      <c r="B42" s="335">
        <v>73</v>
      </c>
      <c r="C42" s="233"/>
      <c r="D42" s="618">
        <f>+ROUND(+'TRIAL-BALANCE'!S115+'TRIAL-BALANCE'!S117+'TRIAL-BALANCE'!S119+'TRIAL-BALANCE'!S121+'TRIAL-BALANCE'!S123-IF(+AND('Provisions-2020'!E78=0,+'Provisions-2020'!E18&gt;0),+'Provisions-2020'!E18,0)+IF(+AND('Provisions-2020'!E80=0,+'Provisions-2020'!E26&lt;&gt;0),+'Provisions-2020'!E26,0),2)+IF(AND('TRIAL-BALANCE'!$N$4&lt;"12",'TRIAL-BALANCE'!T115&lt;0),-'TRIAL-BALANCE'!T115,0)+IF(AND('TRIAL-BALANCE'!$N$4&lt;"12",'TRIAL-BALANCE'!T117&lt;0),-'TRIAL-BALANCE'!T117,0)</f>
        <v>0</v>
      </c>
      <c r="E42" s="619">
        <f>+ROUND(+'TRIAL-BALANCE'!O115+'TRIAL-BALANCE'!O117+'TRIAL-BALANCE'!O119+'TRIAL-BALANCE'!O121+'TRIAL-BALANCE'!O123-IF(+AND('Provisions-2020'!D78=0,+'Provisions-2020'!D18&gt;0),+'Provisions-2020'!D18,0)+IF(+AND('Provisions-2020'!D80=0,+'Provisions-2020'!D26&lt;&gt;0),+'Provisions-2020'!D26,0),2)</f>
        <v>0</v>
      </c>
      <c r="F42" s="248"/>
      <c r="G42" s="618">
        <f>+ROUND(+'TRIAL-BALANCE'!Z115+'TRIAL-BALANCE'!Z117+'TRIAL-BALANCE'!Z119+'TRIAL-BALANCE'!Z121+'TRIAL-BALANCE'!Z123-IF(+AND('Provisions-2020'!H78=0,+'Provisions-2020'!H18&gt;0),+'Provisions-2020'!H18,0)+IF(+AND('Provisions-2020'!H80=0,+'Provisions-2020'!H26&lt;&gt;0),+'Provisions-2020'!H26,0),2)+IF(AND('TRIAL-BALANCE'!$N$4&lt;"12",'TRIAL-BALANCE'!AA115&lt;0),-'TRIAL-BALANCE'!AA115,0)+IF(AND('TRIAL-BALANCE'!$N$4&lt;"12",'TRIAL-BALANCE'!AA117&lt;0),-'TRIAL-BALANCE'!AA117,0)</f>
        <v>0</v>
      </c>
      <c r="H42" s="619">
        <f>+ROUND(+'TRIAL-BALANCE'!V115+'TRIAL-BALANCE'!V117+'TRIAL-BALANCE'!V119+'TRIAL-BALANCE'!V121+'TRIAL-BALANCE'!V123-IF(+AND('Provisions-2020'!G78=0,+'Provisions-2020'!G18&gt;0),+'Provisions-2020'!G18,0)+IF(+AND('Provisions-2020'!G80=0,+'Provisions-2020'!G26&lt;&gt;0),+'Provisions-2020'!G26,0),2)</f>
        <v>0</v>
      </c>
      <c r="I42" s="248"/>
      <c r="J42" s="618">
        <f>+'TRIAL-BALANCE'!AG115+'TRIAL-BALANCE'!AG117+'TRIAL-BALANCE'!AG119+'TRIAL-BALANCE'!AG121+'TRIAL-BALANCE'!AG123-IF(+AND('Provisions-2020'!K78=0,+'Provisions-2020'!K18&gt;0),+'Provisions-2020'!K18,0)+IF(+AND('Provisions-2020'!K80=0,+'Provisions-2020'!K26&lt;&gt;0),+'Provisions-2020'!K26,0)+IF(AND('TRIAL-BALANCE'!$N$4&lt;"12",'TRIAL-BALANCE'!AH115&lt;0),-'TRIAL-BALANCE'!AH115,0)+IF(AND('TRIAL-BALANCE'!$N$4&lt;"12",'TRIAL-BALANCE'!AH117&lt;0),-'TRIAL-BALANCE'!AH117,0)</f>
        <v>0</v>
      </c>
      <c r="K42" s="619">
        <f>+'TRIAL-BALANCE'!AC115+'TRIAL-BALANCE'!AC117+'TRIAL-BALANCE'!AC119+'TRIAL-BALANCE'!AC121+'TRIAL-BALANCE'!AC123-IF(+AND('Provisions-2020'!J78=0,+'Provisions-2020'!J18&gt;0),+'Provisions-2020'!J18,0)+IF(+AND('Provisions-2020'!J80=0,+'Provisions-2020'!J26&lt;&gt;0),+'Provisions-2020'!J26,0)</f>
        <v>0</v>
      </c>
      <c r="L42" s="248"/>
      <c r="M42" s="618">
        <f t="shared" si="2"/>
        <v>0</v>
      </c>
      <c r="N42" s="619">
        <f t="shared" si="2"/>
        <v>0</v>
      </c>
      <c r="O42" s="152"/>
      <c r="P42" s="1438"/>
      <c r="Q42" s="1438"/>
      <c r="R42" s="152"/>
      <c r="S42" s="152"/>
      <c r="T42" s="152"/>
      <c r="U42" s="152"/>
      <c r="V42" s="152"/>
      <c r="W42" s="152"/>
      <c r="X42" s="152"/>
      <c r="Y42" s="152"/>
      <c r="Z42" s="152"/>
    </row>
    <row r="43" spans="1:26" ht="15.75">
      <c r="A43" s="334" t="s">
        <v>409</v>
      </c>
      <c r="B43" s="335">
        <v>74</v>
      </c>
      <c r="C43" s="233"/>
      <c r="D43" s="618">
        <f>+ROUND(+'TRIAL-BALANCE'!S137+'TRIAL-BALANCE'!S138-IF(+AND('Provisions-2020'!E78=0,+'Provisions-2020'!E19&gt;0),+'Provisions-2020'!E19,0)+IF(+AND('Provisions-2020'!E80=0,+'Provisions-2020'!E27&lt;&gt;0),+'Provisions-2020'!E27,0),2)</f>
        <v>0</v>
      </c>
      <c r="E43" s="619">
        <f>+ROUND(+'TRIAL-BALANCE'!O137+'TRIAL-BALANCE'!O138-IF(+AND('Provisions-2020'!D78=0,+'Provisions-2020'!D19&gt;0),+'Provisions-2020'!D19,0)+IF(+AND('Provisions-2020'!D80=0,+'Provisions-2020'!D27&lt;&gt;0),+'Provisions-2020'!D27,0),2)</f>
        <v>0</v>
      </c>
      <c r="F43" s="248"/>
      <c r="G43" s="618">
        <f>+ROUND(+'TRIAL-BALANCE'!Z137+'TRIAL-BALANCE'!Z138-IF(+AND('Provisions-2020'!H78=0,+'Provisions-2020'!H19&gt;0),+'Provisions-2020'!H19,0)+IF(+AND('Provisions-2020'!H80=0,+'Provisions-2020'!H27&lt;&gt;0),+'Provisions-2020'!H27,0),2)</f>
        <v>0</v>
      </c>
      <c r="H43" s="619">
        <f>+ROUND(+'TRIAL-BALANCE'!V137+'TRIAL-BALANCE'!V138-IF(+AND('Provisions-2020'!G78=0,+'Provisions-2020'!G19&gt;0),+'Provisions-2020'!G19,0)+IF(+AND('Provisions-2020'!G80=0,+'Provisions-2020'!G27&lt;&gt;0),+'Provisions-2020'!G27,0),2)</f>
        <v>0</v>
      </c>
      <c r="I43" s="248"/>
      <c r="J43" s="618">
        <f>+'TRIAL-BALANCE'!AG137+'TRIAL-BALANCE'!AG138-IF(+AND('Provisions-2020'!K78=0,+'Provisions-2020'!K19&gt;0),+'Provisions-2020'!K19,0)+IF(+AND('Provisions-2020'!K80=0,+'Provisions-2020'!K27&lt;&gt;0),+'Provisions-2020'!K27,0)</f>
        <v>0</v>
      </c>
      <c r="K43" s="619">
        <f>+'TRIAL-BALANCE'!AC137+'TRIAL-BALANCE'!AC138-IF(+AND('Provisions-2020'!J78=0,+'Provisions-2020'!J19&gt;0),+'Provisions-2020'!J19,0)+IF(+AND('Provisions-2020'!J80=0,+'Provisions-2020'!J27&lt;&gt;0),+'Provisions-2020'!J27,0)</f>
        <v>0</v>
      </c>
      <c r="L43" s="248"/>
      <c r="M43" s="618">
        <f t="shared" si="2"/>
        <v>0</v>
      </c>
      <c r="N43" s="619">
        <f t="shared" si="2"/>
        <v>0</v>
      </c>
      <c r="O43" s="152"/>
      <c r="P43" s="1438"/>
      <c r="Q43" s="1438"/>
      <c r="R43" s="152"/>
      <c r="S43" s="152"/>
      <c r="T43" s="152"/>
      <c r="U43" s="152"/>
      <c r="V43" s="152"/>
      <c r="W43" s="152"/>
      <c r="X43" s="152"/>
      <c r="Y43" s="152"/>
      <c r="Z43" s="152"/>
    </row>
    <row r="44" spans="1:26" ht="15.75">
      <c r="A44" s="687" t="s">
        <v>1047</v>
      </c>
      <c r="B44" s="335">
        <v>75</v>
      </c>
      <c r="C44" s="233"/>
      <c r="D44" s="618">
        <f>+ROUND(+SUM('TRIAL-BALANCE'!S200:S207),2)</f>
        <v>0</v>
      </c>
      <c r="E44" s="619">
        <f>+ROUND(+SUM('TRIAL-BALANCE'!O200:O207),2)</f>
        <v>0</v>
      </c>
      <c r="F44" s="248"/>
      <c r="G44" s="618">
        <f>+ROUND(+SUM('TRIAL-BALANCE'!Z200:Z207),2)</f>
        <v>0</v>
      </c>
      <c r="H44" s="619">
        <f>+ROUND(+SUM('TRIAL-BALANCE'!V200:V207),2)</f>
        <v>0</v>
      </c>
      <c r="I44" s="248"/>
      <c r="J44" s="618">
        <f>+SUM('TRIAL-BALANCE'!AG200:AG207)</f>
        <v>0</v>
      </c>
      <c r="K44" s="619">
        <f>+SUM('TRIAL-BALANCE'!AC200:AC207)</f>
        <v>0</v>
      </c>
      <c r="L44" s="248"/>
      <c r="M44" s="618">
        <f>+ROUND(+D44+G44+J44,2)-ROUND(P44,2)</f>
        <v>0</v>
      </c>
      <c r="N44" s="619">
        <f>+ROUND(+E44+H44+K44,2)-ROUND(Q44,2)</f>
        <v>0</v>
      </c>
      <c r="O44" s="152"/>
      <c r="P44" s="1439">
        <f>+IF(+AND(Status!K4="ДА",+ROUND('Intra-Balances'!S34,2)=0,+ROUND('Intra-Balances'!S51,2)=ROUND('Intra-Balances'!S53,2)),+ROUND('Intra-Balances'!S51,2),0)</f>
        <v>0</v>
      </c>
      <c r="Q44" s="1440">
        <f>+IF(+AND(Status!K4="ДА",+ROUND('Intra-Balances'!P34,2)=0,+ROUND('Intra-Balances'!P51,2)=ROUND('Intra-Balances'!P53,2)),+ROUND('Intra-Balances'!P51,2),0)</f>
        <v>0</v>
      </c>
      <c r="R44" s="152"/>
      <c r="S44" s="152"/>
      <c r="T44" s="152"/>
      <c r="U44" s="152"/>
      <c r="V44" s="152"/>
      <c r="W44" s="152"/>
      <c r="X44" s="152"/>
      <c r="Y44" s="152"/>
      <c r="Z44" s="152"/>
    </row>
    <row r="45" spans="1:26" ht="15.75">
      <c r="A45" s="336" t="s">
        <v>411</v>
      </c>
      <c r="B45" s="337">
        <v>76</v>
      </c>
      <c r="C45" s="233"/>
      <c r="D45" s="628">
        <f>+ROUND(+'TRIAL-BALANCE'!S129+'TRIAL-BALANCE'!S131+'TRIAL-BALANCE'!S134+'TRIAL-BALANCE'!S136+'TRIAL-BALANCE'!S141+SUM('TRIAL-BALANCE'!S144:S145)+'TRIAL-BALANCE'!S147+'TRIAL-BALANCE'!S152+'TRIAL-BALANCE'!S153+SUM('TRIAL-BALANCE'!S156:S199)-(+SUM('TRIAL-BALANCE'!S173:S175)+'TRIAL-BALANCE'!S179+'TRIAL-BALANCE'!S184+'TRIAL-BALANCE'!S186+'TRIAL-BALANCE'!S190+'TRIAL-BALANCE'!S195+'TRIAL-BALANCE'!S197+'TRIAL-BALANCE'!S198)+SUM('TRIAL-BALANCE'!S208:S223)-('TRIAL-BALANCE'!S220+'TRIAL-BALANCE'!S222)+SUM('TRIAL-BALANCE'!S235:S236)+SUM('TRIAL-BALANCE'!S239:S240)+SUM('TRIAL-BALANCE'!S245:S248)+SUM('TRIAL-BALANCE'!S253:S256)+'TRIAL-BALANCE'!S283+SUM('TRIAL-BALANCE'!S309:S310)-IF(+'Provisions-2020'!E78=0,+'Provisions-2020'!E21,+SUM('TRIAL-BALANCE'!T262:T265))+IF(+'Provisions-2020'!E80=0,+'Provisions-2020'!E29,+SUM('TRIAL-BALANCE'!S271:S273)-SUM('TRIAL-BALANCE'!T271:T273))+'TRIAL-BALANCE'!T910,2)</f>
        <v>0</v>
      </c>
      <c r="E45" s="629">
        <f>+ROUND(+'TRIAL-BALANCE'!O129+'TRIAL-BALANCE'!O131+'TRIAL-BALANCE'!O134+'TRIAL-BALANCE'!O136+'TRIAL-BALANCE'!O141+SUM('TRIAL-BALANCE'!O144:O145)+'TRIAL-BALANCE'!O147+'TRIAL-BALANCE'!O152+'TRIAL-BALANCE'!O153+SUM('TRIAL-BALANCE'!O156:O199)-(+SUM('TRIAL-BALANCE'!O173:O175)+'TRIAL-BALANCE'!O179+'TRIAL-BALANCE'!O184+'TRIAL-BALANCE'!O186+'TRIAL-BALANCE'!O190+'TRIAL-BALANCE'!O195+'TRIAL-BALANCE'!O197+'TRIAL-BALANCE'!O198)+SUM('TRIAL-BALANCE'!O208:O223)-('TRIAL-BALANCE'!O220+'TRIAL-BALANCE'!O222)+SUM('TRIAL-BALANCE'!O235:O236)+SUM('TRIAL-BALANCE'!O239:O240)+SUM('TRIAL-BALANCE'!O245:O248)+SUM('TRIAL-BALANCE'!O253:O256)+'TRIAL-BALANCE'!O283+SUM('TRIAL-BALANCE'!O309:O310)-IF(+'Provisions-2020'!D78=0,+'Provisions-2020'!D21,+SUM('TRIAL-BALANCE'!P262:P265))+IF(+'Provisions-2020'!D80=0,+'Provisions-2020'!D29,+SUM('TRIAL-BALANCE'!O271:O273)-SUM('TRIAL-BALANCE'!P271:P273))+'TRIAL-BALANCE'!P910,2)</f>
        <v>0</v>
      </c>
      <c r="F45" s="248"/>
      <c r="G45" s="628">
        <f>+ROUND(+'TRIAL-BALANCE'!Z129+'TRIAL-BALANCE'!Z131+'TRIAL-BALANCE'!Z134+'TRIAL-BALANCE'!Z136+'TRIAL-BALANCE'!Z141+SUM('TRIAL-BALANCE'!Z144:Z145)+'TRIAL-BALANCE'!Z147+'TRIAL-BALANCE'!Z152+'TRIAL-BALANCE'!Z153+SUM('TRIAL-BALANCE'!Z156:Z199)-(+SUM('TRIAL-BALANCE'!Z173:Z175)+'TRIAL-BALANCE'!Z178+'TRIAL-BALANCE'!Z184+'TRIAL-BALANCE'!Z186+'TRIAL-BALANCE'!Z190+'TRIAL-BALANCE'!Z195+'TRIAL-BALANCE'!Z197+'TRIAL-BALANCE'!Z198)+SUM('TRIAL-BALANCE'!Z208:Z223)-('TRIAL-BALANCE'!Z220+'TRIAL-BALANCE'!Z222)+SUM('TRIAL-BALANCE'!Z235:Z236)+SUM('TRIAL-BALANCE'!Z239:Z240)+SUM('TRIAL-BALANCE'!Z245:Z248)+SUM('TRIAL-BALANCE'!Z253:Z256)+'TRIAL-BALANCE'!Z283+SUM('TRIAL-BALANCE'!Z309:Z310)-IF(+'Provisions-2020'!H78=0,+'Provisions-2020'!H21,+SUM('TRIAL-BALANCE'!AA262:AA265))+IF(+'Provisions-2020'!H80=0,+'Provisions-2020'!H29,+SUM('TRIAL-BALANCE'!Z271:Z273)-SUM('TRIAL-BALANCE'!AA271:AA273))+'TRIAL-BALANCE'!AA910,2)</f>
        <v>0</v>
      </c>
      <c r="H45" s="629">
        <f>+ROUND(+'TRIAL-BALANCE'!V129+'TRIAL-BALANCE'!V131+'TRIAL-BALANCE'!V134+'TRIAL-BALANCE'!V136+'TRIAL-BALANCE'!V141+SUM('TRIAL-BALANCE'!V144:V145)+'TRIAL-BALANCE'!V147+'TRIAL-BALANCE'!V152+'TRIAL-BALANCE'!V153+SUM('TRIAL-BALANCE'!V156:V199)-(+SUM('TRIAL-BALANCE'!V173:V175)+'TRIAL-BALANCE'!V178+'TRIAL-BALANCE'!V184+'TRIAL-BALANCE'!V186+'TRIAL-BALANCE'!V190+'TRIAL-BALANCE'!V195+'TRIAL-BALANCE'!V197+'TRIAL-BALANCE'!V198)+SUM('TRIAL-BALANCE'!V208:V223)-('TRIAL-BALANCE'!V220+'TRIAL-BALANCE'!V222)+SUM('TRIAL-BALANCE'!V235:V236)+SUM('TRIAL-BALANCE'!V239:V240)+SUM('TRIAL-BALANCE'!V245:V248)+SUM('TRIAL-BALANCE'!V253:V256)+'TRIAL-BALANCE'!V283+SUM('TRIAL-BALANCE'!V309:V310)-IF(+'Provisions-2020'!G78=0,+'Provisions-2020'!G21,+SUM('TRIAL-BALANCE'!W262:W265))+IF(+'Provisions-2020'!G80=0,+'Provisions-2020'!G29,+SUM('TRIAL-BALANCE'!V271:V273)-SUM('TRIAL-BALANCE'!W271:W273))+'TRIAL-BALANCE'!W910,2)</f>
        <v>0</v>
      </c>
      <c r="I45" s="248"/>
      <c r="J45" s="628">
        <f>+'TRIAL-BALANCE'!AG129+'TRIAL-BALANCE'!AG131+'TRIAL-BALANCE'!AG134+'TRIAL-BALANCE'!AG136+'TRIAL-BALANCE'!AG141+SUM('TRIAL-BALANCE'!AG144:AG145)+'TRIAL-BALANCE'!AG147+'TRIAL-BALANCE'!AG152+'TRIAL-BALANCE'!AG153+SUM('TRIAL-BALANCE'!AG156:AG199)-(+SUM('TRIAL-BALANCE'!AG173:AG175)+'TRIAL-BALANCE'!AG177+'TRIAL-BALANCE'!AG184+'TRIAL-BALANCE'!AG186+'TRIAL-BALANCE'!AG190+'TRIAL-BALANCE'!AG195+'TRIAL-BALANCE'!AG197+'TRIAL-BALANCE'!AG198)+SUM('TRIAL-BALANCE'!AG208:AG223)-('TRIAL-BALANCE'!AG220+'TRIAL-BALANCE'!AG222)+SUM('TRIAL-BALANCE'!AG235:AG236)+SUM('TRIAL-BALANCE'!AG239:AG240)+SUM('TRIAL-BALANCE'!AG245:AG248)+SUM('TRIAL-BALANCE'!AG253:AG256)+'TRIAL-BALANCE'!AG283+SUM('TRIAL-BALANCE'!AG309:AG310)-IF(+'Provisions-2020'!K78=0,+'Provisions-2020'!K21,+SUM('TRIAL-BALANCE'!AH262:AH265))+IF(+'Provisions-2020'!J80=0,+'Provisions-2020'!K29,+SUM('TRIAL-BALANCE'!AG271:AG273)-SUM('TRIAL-BALANCE'!AH271:AH273))+'TRIAL-BALANCE'!AH910</f>
        <v>0</v>
      </c>
      <c r="K45" s="629">
        <f>+'TRIAL-BALANCE'!AC129+'TRIAL-BALANCE'!AC131+'TRIAL-BALANCE'!AC134+'TRIAL-BALANCE'!AC136+'TRIAL-BALANCE'!AC141+SUM('TRIAL-BALANCE'!AC144:AC145)+'TRIAL-BALANCE'!AC147+'TRIAL-BALANCE'!AC152+'TRIAL-BALANCE'!AC153+SUM('TRIAL-BALANCE'!AC156:AC199)-(+SUM('TRIAL-BALANCE'!AC173:AC175)+'TRIAL-BALANCE'!AC177+'TRIAL-BALANCE'!AC184+'TRIAL-BALANCE'!AC186+'TRIAL-BALANCE'!AC190+'TRIAL-BALANCE'!AC195+'TRIAL-BALANCE'!AC197+'TRIAL-BALANCE'!AC198)+SUM('TRIAL-BALANCE'!AC208:AC223)-('TRIAL-BALANCE'!AC220+'TRIAL-BALANCE'!AC222)+SUM('TRIAL-BALANCE'!AC235:AC236)+SUM('TRIAL-BALANCE'!AC239:AC240)+SUM('TRIAL-BALANCE'!AC245:AC248)+SUM('TRIAL-BALANCE'!AC253:AC256)+'TRIAL-BALANCE'!AC283+SUM('TRIAL-BALANCE'!AC309:AC310)-IF(+'Provisions-2020'!J78=0,+'Provisions-2020'!J21,+SUM('TRIAL-BALANCE'!AD262:AD265))+IF(+'Provisions-2020'!J80=0,+'Provisions-2020'!J29,+SUM('TRIAL-BALANCE'!AC271:AC273)-SUM('TRIAL-BALANCE'!AD271:AD273))+'TRIAL-BALANCE'!AD910</f>
        <v>0</v>
      </c>
      <c r="L45" s="248"/>
      <c r="M45" s="628">
        <f>+ROUND(+D45+G45+J45,2)-ROUND(P45,2)</f>
        <v>0</v>
      </c>
      <c r="N45" s="629">
        <f>+ROUND(+E45+H45+K45,2)-ROUND(Q45,2)</f>
        <v>0</v>
      </c>
      <c r="O45" s="152"/>
      <c r="P45" s="1210">
        <f>+IF(+AND(Status!K4="ДА",+ROUND('Intra-Balances'!S34,2)=0,+ROUND('Intra-Balances'!S55,2)=ROUND('Intra-Balances'!S57,2)),+ROUND('Intra-Balances'!S55,2),0)+IF(+AND(Status!K4="ДА",+ROUND('Municipal-Bal'!K20,0)=1,+ROUND('Municipal-Bal'!S80,2)=+ROUND('Municipal-Bal'!S91,2)),+ROUND(+SUM('Municipal-Bal'!R71:R72),2),0)</f>
        <v>0</v>
      </c>
      <c r="Q45" s="1211">
        <f>+IF(+AND(Status!K4="ДА",+ROUND('Intra-Balances'!P34,2)=0,+ROUND('Intra-Balances'!P55,2)=ROUND('Intra-Balances'!P57,2)),+ROUND('Intra-Balances'!P55,2),0)+IF(+AND(Status!K4="ДА",+ROUND('Municipal-Bal'!K20,0)=1,+ROUND('Municipal-Bal'!P80,2)=+ROUND('Municipal-Bal'!P91,2)),+ROUND(+SUM('Municipal-Bal'!O71:O72),2),0)</f>
        <v>0</v>
      </c>
      <c r="R45" s="152"/>
      <c r="S45" s="152"/>
      <c r="T45" s="152"/>
      <c r="U45" s="152"/>
      <c r="V45" s="152"/>
      <c r="W45" s="152"/>
      <c r="X45" s="152"/>
      <c r="Y45" s="152"/>
      <c r="Z45" s="152"/>
    </row>
    <row r="46" spans="1:26" ht="15.75">
      <c r="A46" s="177" t="s">
        <v>1026</v>
      </c>
      <c r="B46" s="178">
        <v>70</v>
      </c>
      <c r="C46" s="233"/>
      <c r="D46" s="624">
        <f>+ROUND(+D40+D41+D42+D43+D44+D45,2)</f>
        <v>0</v>
      </c>
      <c r="E46" s="625">
        <f>+ROUND(+E40+E41+E42+E43+E44+E45,2)</f>
        <v>0</v>
      </c>
      <c r="F46" s="248"/>
      <c r="G46" s="624">
        <f>+ROUND(+G40+G41+G42+G43+G44+G45,2)</f>
        <v>0</v>
      </c>
      <c r="H46" s="625">
        <f>+ROUND(+H40+H41+H42+H43+H44+H45,2)</f>
        <v>0</v>
      </c>
      <c r="I46" s="248"/>
      <c r="J46" s="624">
        <f>+ROUND(+J40+J41+J42+J43+J44+J45,2)</f>
        <v>0</v>
      </c>
      <c r="K46" s="625">
        <f>+ROUND(+K40+K41+K42+K43+K44+K45,2)</f>
        <v>0</v>
      </c>
      <c r="L46" s="248"/>
      <c r="M46" s="624">
        <f>+ROUND(+M40+M41+M42+M43+M44+M45,2)</f>
        <v>0</v>
      </c>
      <c r="N46" s="625">
        <f>+ROUND(+N40+N41+N42+N43+N44+N45,2)</f>
        <v>0</v>
      </c>
      <c r="O46" s="152"/>
      <c r="P46" s="1218">
        <f>+ROUND(+SUM(P39:P45),2)</f>
        <v>0</v>
      </c>
      <c r="Q46" s="1219">
        <f>+ROUND(+SUM(Q39:Q45),2)</f>
        <v>0</v>
      </c>
      <c r="R46" s="152"/>
      <c r="S46" s="152"/>
      <c r="T46" s="152"/>
      <c r="U46" s="152"/>
      <c r="V46" s="152"/>
      <c r="W46" s="152"/>
      <c r="X46" s="152"/>
      <c r="Y46" s="152"/>
      <c r="Z46" s="152"/>
    </row>
    <row r="47" spans="1:26" ht="15.75">
      <c r="A47" s="172" t="s">
        <v>412</v>
      </c>
      <c r="B47" s="173"/>
      <c r="C47" s="233"/>
      <c r="D47" s="310" t="str">
        <f>+IF(+OR(D48&lt;0,D49&lt;0),"НЕРАВНЕНИЕ !"," ")</f>
        <v xml:space="preserve"> </v>
      </c>
      <c r="E47" s="319" t="str">
        <f>+IF(+OR(E48&lt;0,E49&lt;0),"НЕРАВНЕНИЕ !"," ")</f>
        <v xml:space="preserve"> </v>
      </c>
      <c r="F47" s="248"/>
      <c r="G47" s="310" t="str">
        <f>+IF(+OR(G48&lt;0,G49&lt;0),"НЕРАВНЕНИЕ !"," ")</f>
        <v xml:space="preserve"> </v>
      </c>
      <c r="H47" s="319" t="str">
        <f>+IF(+OR(H48&lt;0,H49&lt;0),"НЕРАВНЕНИЕ !"," ")</f>
        <v xml:space="preserve"> </v>
      </c>
      <c r="I47" s="248"/>
      <c r="J47" s="310" t="str">
        <f>+IF(+OR(J48&lt;0,J49&lt;0),"НЕРАВНЕНИЕ !"," ")</f>
        <v xml:space="preserve"> </v>
      </c>
      <c r="K47" s="319" t="str">
        <f>+IF(+OR(K48&lt;0,K49&lt;0),"НЕРАВНЕНИЕ !"," ")</f>
        <v xml:space="preserve"> </v>
      </c>
      <c r="L47" s="248"/>
      <c r="M47" s="310" t="str">
        <f>+IF(+OR(M48&lt;0,M49&lt;0),"НЕРАВНЕНИЕ !"," ")</f>
        <v xml:space="preserve"> </v>
      </c>
      <c r="N47" s="319" t="str">
        <f>+IF(+OR(N48&lt;0,N49&lt;0),"НЕРАВНЕНИЕ !"," ")</f>
        <v xml:space="preserve"> </v>
      </c>
      <c r="O47" s="152"/>
      <c r="P47" s="1210" t="s">
        <v>1282</v>
      </c>
      <c r="Q47" s="1211" t="s">
        <v>1283</v>
      </c>
      <c r="R47" s="152"/>
      <c r="S47" s="152"/>
      <c r="T47" s="152"/>
      <c r="U47" s="152"/>
      <c r="V47" s="152"/>
      <c r="W47" s="152"/>
      <c r="X47" s="152"/>
      <c r="Y47" s="152"/>
      <c r="Z47" s="152"/>
    </row>
    <row r="48" spans="1:26" ht="15.75">
      <c r="A48" s="334" t="s">
        <v>413</v>
      </c>
      <c r="B48" s="335">
        <v>81</v>
      </c>
      <c r="C48" s="233"/>
      <c r="D48" s="618">
        <f>+ROUND(+SUM('TRIAL-BALANCE'!S294:S295)+'TRIAL-BALANCE'!S302+SUM('TRIAL-BALANCE'!S311:S312),2)</f>
        <v>0</v>
      </c>
      <c r="E48" s="619">
        <f>+ROUND(+SUM('TRIAL-BALANCE'!O294:O295)+'TRIAL-BALANCE'!O302+SUM('TRIAL-BALANCE'!O311:O312),2)</f>
        <v>0</v>
      </c>
      <c r="F48" s="248"/>
      <c r="G48" s="618">
        <f>+ROUND(+SUM('TRIAL-BALANCE'!Z294:Z295)+'TRIAL-BALANCE'!Z302+SUM('TRIAL-BALANCE'!Z311:Z312),2)</f>
        <v>0</v>
      </c>
      <c r="H48" s="619">
        <f>+ROUND(+SUM('TRIAL-BALANCE'!V294:V295)+'TRIAL-BALANCE'!V302+SUM('TRIAL-BALANCE'!V311:V312),2)</f>
        <v>0</v>
      </c>
      <c r="I48" s="248"/>
      <c r="J48" s="618">
        <f>+ROUND(+SUM('TRIAL-BALANCE'!AG294:AG295)+'TRIAL-BALANCE'!AG302+SUM('TRIAL-BALANCE'!AG311:AG312),2)</f>
        <v>0</v>
      </c>
      <c r="K48" s="619">
        <f>+ROUND(+SUM('TRIAL-BALANCE'!AC294:AC295)+'TRIAL-BALANCE'!AC302+SUM('TRIAL-BALANCE'!AC311:AC312),2)</f>
        <v>0</v>
      </c>
      <c r="L48" s="248"/>
      <c r="M48" s="618">
        <f>+ROUND(+D48+G48+J48,2)</f>
        <v>0</v>
      </c>
      <c r="N48" s="619">
        <f>+ROUND(+E48+H48+K48,2)</f>
        <v>0</v>
      </c>
      <c r="O48" s="152"/>
      <c r="P48" s="1239" t="str">
        <f>+IF(+'Intra-Balances'!R2="O K","O K","ГРЕШКА - превишава ДТ с/до")</f>
        <v>O K</v>
      </c>
      <c r="Q48" s="1239" t="str">
        <f>+IF(+'Intra-Balances'!O2="O K","O K","ГРЕШКА - превишава ДТ с/до")</f>
        <v>O K</v>
      </c>
      <c r="R48" s="152"/>
      <c r="S48" s="152"/>
      <c r="T48" s="152"/>
      <c r="U48" s="152"/>
      <c r="V48" s="152"/>
      <c r="W48" s="152"/>
      <c r="X48" s="152"/>
      <c r="Y48" s="152"/>
      <c r="Z48" s="152"/>
    </row>
    <row r="49" spans="1:26" ht="15.75">
      <c r="A49" s="336" t="s">
        <v>414</v>
      </c>
      <c r="B49" s="337">
        <v>82</v>
      </c>
      <c r="C49" s="233"/>
      <c r="D49" s="628">
        <f>+ROUND(+SUM('TRIAL-BALANCE'!S286:S293)+SUM('TRIAL-BALANCE'!S296:S301)+SUM('TRIAL-BALANCE'!S303:S305),2)</f>
        <v>113153.81</v>
      </c>
      <c r="E49" s="629">
        <f>+ROUND(+SUM('TRIAL-BALANCE'!O286:O293)+SUM('TRIAL-BALANCE'!O296:O301)+SUM('TRIAL-BALANCE'!O303:O305),2)</f>
        <v>0</v>
      </c>
      <c r="F49" s="248"/>
      <c r="G49" s="628">
        <f>+ROUND(+SUM('TRIAL-BALANCE'!Z286:Z293)+SUM('TRIAL-BALANCE'!Z296:Z301)+SUM('TRIAL-BALANCE'!Z303:Z305),2)</f>
        <v>0</v>
      </c>
      <c r="H49" s="629">
        <f>+ROUND(+SUM('TRIAL-BALANCE'!V286:V293)+SUM('TRIAL-BALANCE'!V296:V301)+SUM('TRIAL-BALANCE'!V303:V305),2)</f>
        <v>0</v>
      </c>
      <c r="I49" s="248"/>
      <c r="J49" s="628">
        <f>+ROUND(+SUM('TRIAL-BALANCE'!AG286:AG293)+SUM('TRIAL-BALANCE'!AG296:AG301)+SUM('TRIAL-BALANCE'!AG303:AG305),2)</f>
        <v>0</v>
      </c>
      <c r="K49" s="629">
        <f>+ROUND(+SUM('TRIAL-BALANCE'!AC286:AC293)+SUM('TRIAL-BALANCE'!AC296:AC301)+SUM('TRIAL-BALANCE'!AC303:AC305),2)</f>
        <v>0</v>
      </c>
      <c r="L49" s="248"/>
      <c r="M49" s="628">
        <f>+ROUND(+D49+G49+J49,2)</f>
        <v>113153.81</v>
      </c>
      <c r="N49" s="629">
        <f>+ROUND(+E49+H49+K49,2)</f>
        <v>0</v>
      </c>
      <c r="O49" s="152"/>
      <c r="P49" s="2562" t="str">
        <f>+IF(+AND(Status!K4="ДА",+ROUND('Intra-Balances'!S51,2)-ROUND('Intra-Balances'!S53,2)&lt;&gt;0),"сумите за елиминиране в 'Intra-Balances' не са равни!","O K")</f>
        <v>O K</v>
      </c>
      <c r="Q49" s="2562"/>
      <c r="R49" s="152"/>
      <c r="S49" s="152"/>
      <c r="T49" s="152"/>
      <c r="U49" s="152"/>
      <c r="V49" s="152"/>
      <c r="W49" s="152"/>
      <c r="X49" s="152"/>
      <c r="Y49" s="152"/>
      <c r="Z49" s="152"/>
    </row>
    <row r="50" spans="1:26" ht="15.75">
      <c r="A50" s="177" t="s">
        <v>1027</v>
      </c>
      <c r="B50" s="178">
        <v>80</v>
      </c>
      <c r="C50" s="233"/>
      <c r="D50" s="624">
        <f>+ROUND(+D48+D49,2)</f>
        <v>113153.81</v>
      </c>
      <c r="E50" s="625">
        <f>+ROUND(+E48+E49,2)</f>
        <v>0</v>
      </c>
      <c r="F50" s="248"/>
      <c r="G50" s="624">
        <f>+ROUND(+G48+G49,2)</f>
        <v>0</v>
      </c>
      <c r="H50" s="625">
        <f>+ROUND(+H48+H49,2)</f>
        <v>0</v>
      </c>
      <c r="I50" s="248"/>
      <c r="J50" s="624">
        <f>+ROUND(+J48+J49,2)</f>
        <v>0</v>
      </c>
      <c r="K50" s="625">
        <f>+ROUND(+K48+K49,2)</f>
        <v>0</v>
      </c>
      <c r="L50" s="248"/>
      <c r="M50" s="624">
        <f>+ROUND(+M48+M49,2)</f>
        <v>113153.81</v>
      </c>
      <c r="N50" s="625">
        <f>+ROUND(+N48+N49,2)</f>
        <v>0</v>
      </c>
      <c r="O50" s="152"/>
      <c r="P50" s="2563" t="str">
        <f>+IF(+AND(Status!K4="ДА",+ROUND('Intra-Balances'!P51,2)-ROUND('Intra-Balances'!P53,2)&lt;&gt;0),"сумите за елиминиране в 'Intra-Balances' не са равни!","O K")</f>
        <v>O K</v>
      </c>
      <c r="Q50" s="2563"/>
      <c r="R50" s="152"/>
      <c r="S50" s="152"/>
      <c r="T50" s="152"/>
      <c r="U50" s="152"/>
      <c r="V50" s="152"/>
      <c r="W50" s="152"/>
      <c r="X50" s="152"/>
      <c r="Y50" s="152"/>
      <c r="Z50" s="152"/>
    </row>
    <row r="51" spans="1:26" ht="3" customHeight="1">
      <c r="A51" s="172"/>
      <c r="B51" s="173"/>
      <c r="C51" s="233"/>
      <c r="D51" s="626"/>
      <c r="E51" s="627"/>
      <c r="F51" s="248"/>
      <c r="G51" s="626"/>
      <c r="H51" s="627"/>
      <c r="I51" s="248"/>
      <c r="J51" s="626"/>
      <c r="K51" s="627"/>
      <c r="L51" s="248"/>
      <c r="M51" s="626"/>
      <c r="N51" s="627"/>
      <c r="O51" s="152"/>
      <c r="P51" s="152"/>
      <c r="Q51" s="152"/>
      <c r="R51" s="152"/>
      <c r="S51" s="152"/>
      <c r="T51" s="152"/>
      <c r="U51" s="152"/>
      <c r="V51" s="152"/>
      <c r="W51" s="152"/>
      <c r="X51" s="152"/>
      <c r="Y51" s="152"/>
      <c r="Z51" s="152"/>
    </row>
    <row r="52" spans="1:26" ht="19.5" thickBot="1">
      <c r="A52" s="679" t="s">
        <v>415</v>
      </c>
      <c r="B52" s="681">
        <v>200</v>
      </c>
      <c r="C52" s="233"/>
      <c r="D52" s="653">
        <f>+ROUND(+D34+D38+D46+D50,2)</f>
        <v>113153.81</v>
      </c>
      <c r="E52" s="654">
        <f>+ROUND(+E34+E38+E46+E50,2)</f>
        <v>0</v>
      </c>
      <c r="F52" s="248"/>
      <c r="G52" s="653">
        <f>+ROUND(+G34+G38+G46+G50,2)</f>
        <v>0</v>
      </c>
      <c r="H52" s="654">
        <f>+ROUND(+H34+H38+H46+H50,2)</f>
        <v>0</v>
      </c>
      <c r="I52" s="248"/>
      <c r="J52" s="653">
        <f>+ROUND(+J34+J38+J46+J50,2)</f>
        <v>0</v>
      </c>
      <c r="K52" s="654">
        <f>+ROUND(+K34+K38+K46+K50,2)</f>
        <v>0</v>
      </c>
      <c r="L52" s="248"/>
      <c r="M52" s="653">
        <f>+ROUND(+M34+M38+M46+M50,2)</f>
        <v>113153.81</v>
      </c>
      <c r="N52" s="654">
        <f>+ROUND(+N34+N38+N46+N50,2)</f>
        <v>0</v>
      </c>
      <c r="O52" s="152"/>
      <c r="P52" s="152"/>
      <c r="Q52" s="152"/>
      <c r="R52" s="152"/>
      <c r="S52" s="152"/>
      <c r="T52" s="152"/>
      <c r="U52" s="152"/>
      <c r="V52" s="152"/>
      <c r="W52" s="152"/>
      <c r="X52" s="152"/>
      <c r="Y52" s="152"/>
      <c r="Z52" s="152"/>
    </row>
    <row r="53" spans="1:26" ht="6" customHeight="1">
      <c r="A53" s="686"/>
      <c r="B53" s="173"/>
      <c r="C53" s="233"/>
      <c r="D53" s="212"/>
      <c r="E53" s="627"/>
      <c r="F53" s="248"/>
      <c r="G53" s="212"/>
      <c r="H53" s="627"/>
      <c r="I53" s="248"/>
      <c r="J53" s="212"/>
      <c r="K53" s="627"/>
      <c r="L53" s="248"/>
      <c r="M53" s="212"/>
      <c r="N53" s="627"/>
      <c r="O53" s="152"/>
      <c r="P53" s="152"/>
      <c r="Q53" s="152"/>
      <c r="R53" s="152"/>
      <c r="S53" s="152"/>
      <c r="T53" s="152"/>
      <c r="U53" s="152"/>
      <c r="V53" s="152"/>
      <c r="W53" s="152"/>
      <c r="X53" s="152"/>
      <c r="Y53" s="152"/>
      <c r="Z53" s="152"/>
    </row>
    <row r="54" spans="1:26" ht="19.5" customHeight="1" thickBot="1">
      <c r="A54" s="682" t="s">
        <v>416</v>
      </c>
      <c r="B54" s="683">
        <v>300</v>
      </c>
      <c r="C54" s="233"/>
      <c r="D54" s="684">
        <f>+ROUND(+D28+D52,2)</f>
        <v>447376.04</v>
      </c>
      <c r="E54" s="685">
        <f>+ROUND(+E28+E52,2)</f>
        <v>350849.13</v>
      </c>
      <c r="F54" s="248"/>
      <c r="G54" s="684">
        <f>+ROUND(+G28+G52,2)</f>
        <v>0</v>
      </c>
      <c r="H54" s="685">
        <f>+ROUND(+H28+H52,2)</f>
        <v>0</v>
      </c>
      <c r="I54" s="248"/>
      <c r="J54" s="684">
        <f>+ROUND(+J28+J52,2)</f>
        <v>2211.65</v>
      </c>
      <c r="K54" s="685">
        <f>+ROUND(+K28+K52,2)</f>
        <v>2211.65</v>
      </c>
      <c r="L54" s="248"/>
      <c r="M54" s="684">
        <f>+ROUND(+M28+M52,2)</f>
        <v>449587.69</v>
      </c>
      <c r="N54" s="685">
        <f>+ROUND(+N28+N52,2)</f>
        <v>353060.78</v>
      </c>
      <c r="O54" s="152"/>
      <c r="P54" s="152"/>
      <c r="Q54" s="152"/>
      <c r="R54" s="152"/>
      <c r="S54" s="152"/>
      <c r="T54" s="152"/>
      <c r="U54" s="152"/>
      <c r="V54" s="152"/>
      <c r="W54" s="152"/>
      <c r="X54" s="152"/>
      <c r="Y54" s="152"/>
      <c r="Z54" s="152"/>
    </row>
    <row r="55" spans="1:26" ht="20.25" thickTop="1" thickBot="1">
      <c r="A55" s="179" t="s">
        <v>417</v>
      </c>
      <c r="B55" s="180">
        <v>350</v>
      </c>
      <c r="C55" s="233"/>
      <c r="D55" s="632">
        <f>+ROUND(+SUM('TRIAL-BALANCE'!S832:S834)+SUM('TRIAL-BALANCE'!S837:S841)+'TRIAL-BALANCE'!S846+SUM('TRIAL-BALANCE'!S858:S858)+'TRIAL-BALANCE'!S884+'TRIAL-BALANCE'!S887-'TRIAL-BALANCE'!S887,2)</f>
        <v>209930.48</v>
      </c>
      <c r="E55" s="633">
        <f>+ROUND(+SUM('TRIAL-BALANCE'!O832:O834)+SUM('TRIAL-BALANCE'!O837:O841)+'TRIAL-BALANCE'!O846+SUM('TRIAL-BALANCE'!O858:O858)+'TRIAL-BALANCE'!O884+'TRIAL-BALANCE'!O887-'TRIAL-BALANCE'!O887,2)</f>
        <v>209240.48</v>
      </c>
      <c r="F55" s="248"/>
      <c r="G55" s="632">
        <f>+ROUND(+SUM('TRIAL-BALANCE'!Z832:Z834)+SUM('TRIAL-BALANCE'!Z837:Z841)+'TRIAL-BALANCE'!Z846+SUM('TRIAL-BALANCE'!Z858:Z858)+'TRIAL-BALANCE'!Z884+'TRIAL-BALANCE'!Z887-'TRIAL-BALANCE'!Z887,2)</f>
        <v>0</v>
      </c>
      <c r="H55" s="633">
        <f>+ROUND(+SUM('TRIAL-BALANCE'!V832:V834)+SUM('TRIAL-BALANCE'!V837:V841)+'TRIAL-BALANCE'!V846+SUM('TRIAL-BALANCE'!V858:V858)+'TRIAL-BALANCE'!V884+'TRIAL-BALANCE'!V887-'TRIAL-BALANCE'!V887,2)</f>
        <v>0</v>
      </c>
      <c r="I55" s="248"/>
      <c r="J55" s="632">
        <f>+ROUND(+SUM('TRIAL-BALANCE'!AG832:AG834)+SUM('TRIAL-BALANCE'!AG837:AG841)+'TRIAL-BALANCE'!AG846+SUM('TRIAL-BALANCE'!AG858:AG858)+'TRIAL-BALANCE'!AG884+'TRIAL-BALANCE'!AG887-'TRIAL-BALANCE'!AG887,2)</f>
        <v>0</v>
      </c>
      <c r="K55" s="633">
        <f>+ROUND(+SUM('TRIAL-BALANCE'!AC832:AC834)+SUM('TRIAL-BALANCE'!AC837:AC841)+'TRIAL-BALANCE'!AC846+SUM('TRIAL-BALANCE'!AC858:AC858)+'TRIAL-BALANCE'!AC884+'TRIAL-BALANCE'!AC887-'TRIAL-BALANCE'!AC887,2)</f>
        <v>0</v>
      </c>
      <c r="L55" s="248"/>
      <c r="M55" s="632">
        <f>+ROUND(+D55+G55+J55,2)</f>
        <v>209930.48</v>
      </c>
      <c r="N55" s="633">
        <f>+ROUND(+E55+H55+K55,2)</f>
        <v>209240.48</v>
      </c>
      <c r="O55" s="152"/>
      <c r="P55" s="152"/>
      <c r="Q55" s="152"/>
      <c r="R55" s="152"/>
      <c r="S55" s="152"/>
      <c r="T55" s="152"/>
      <c r="U55" s="152"/>
      <c r="V55" s="152"/>
      <c r="W55" s="152"/>
      <c r="X55" s="152"/>
      <c r="Y55" s="152"/>
      <c r="Z55" s="152"/>
    </row>
    <row r="56" spans="1:26" ht="19.5" thickTop="1">
      <c r="A56" s="238"/>
      <c r="B56" s="247"/>
      <c r="C56" s="233"/>
      <c r="D56" s="312" t="str">
        <f>+IF(+OR(D55&lt;0),"НЕРАВНЕНИЕ !"," ")</f>
        <v xml:space="preserve"> </v>
      </c>
      <c r="E56" s="312" t="str">
        <f>+IF(+OR(E55&lt;0),"НЕРАВНЕНИЕ !"," ")</f>
        <v xml:space="preserve"> </v>
      </c>
      <c r="F56" s="233"/>
      <c r="G56" s="312" t="str">
        <f>+IF(+OR(G55&lt;0),"НЕРАВНЕНИЕ !"," ")</f>
        <v xml:space="preserve"> </v>
      </c>
      <c r="H56" s="312" t="str">
        <f>+IF(+OR(H55&lt;0),"НЕРАВНЕНИЕ !"," ")</f>
        <v xml:space="preserve"> </v>
      </c>
      <c r="I56" s="233"/>
      <c r="J56" s="312" t="str">
        <f>+IF(+OR(J55&lt;0),"НЕРАВНЕНИЕ !"," ")</f>
        <v xml:space="preserve"> </v>
      </c>
      <c r="K56" s="312" t="str">
        <f>+IF(+OR(K55&lt;0),"НЕРАВНЕНИЕ !"," ")</f>
        <v xml:space="preserve"> </v>
      </c>
      <c r="L56" s="233"/>
      <c r="M56" s="312" t="str">
        <f>+IF(+OR(M55&lt;0),"НЕРАВНЕНИЕ !"," ")</f>
        <v xml:space="preserve"> </v>
      </c>
      <c r="N56" s="312" t="str">
        <f>+IF(+OR(N55&lt;0),"НЕРАВНЕНИЕ !"," ")</f>
        <v xml:space="preserve"> </v>
      </c>
      <c r="O56" s="152"/>
      <c r="P56" s="152"/>
      <c r="Q56" s="152"/>
      <c r="R56" s="152"/>
      <c r="S56" s="152"/>
      <c r="T56" s="152"/>
      <c r="U56" s="152"/>
      <c r="V56" s="152"/>
      <c r="W56" s="152"/>
      <c r="X56" s="152"/>
      <c r="Y56" s="152"/>
      <c r="Z56" s="152"/>
    </row>
    <row r="57" spans="1:26" ht="18.75" customHeight="1" thickBot="1">
      <c r="A57" s="689" t="s">
        <v>1034</v>
      </c>
      <c r="B57" s="232"/>
      <c r="C57" s="233"/>
      <c r="D57" s="234"/>
      <c r="E57" s="235"/>
      <c r="F57" s="233"/>
      <c r="G57" s="235"/>
      <c r="H57" s="374"/>
      <c r="I57" s="237"/>
      <c r="J57" s="374"/>
      <c r="K57" s="374"/>
      <c r="L57" s="233"/>
      <c r="M57" s="456"/>
      <c r="N57" s="690" t="str">
        <f>+A57</f>
        <v>Пасив (в левове)</v>
      </c>
      <c r="O57" s="152"/>
      <c r="P57" s="152"/>
      <c r="Q57" s="152"/>
      <c r="R57" s="152"/>
      <c r="S57" s="152"/>
      <c r="T57" s="152"/>
      <c r="U57" s="152"/>
      <c r="V57" s="152"/>
      <c r="W57" s="152"/>
      <c r="X57" s="152"/>
      <c r="Y57" s="152"/>
      <c r="Z57" s="152"/>
    </row>
    <row r="58" spans="1:26" ht="13.5" customHeight="1" thickTop="1">
      <c r="A58" s="1454"/>
      <c r="B58" s="2557" t="s">
        <v>2191</v>
      </c>
      <c r="C58" s="237"/>
      <c r="D58" s="638" t="s">
        <v>979</v>
      </c>
      <c r="E58" s="644"/>
      <c r="F58" s="237"/>
      <c r="G58" s="634" t="s">
        <v>798</v>
      </c>
      <c r="H58" s="635"/>
      <c r="I58" s="237"/>
      <c r="J58" s="638" t="s">
        <v>984</v>
      </c>
      <c r="K58" s="639"/>
      <c r="L58" s="237"/>
      <c r="M58" s="2552" t="s">
        <v>398</v>
      </c>
      <c r="N58" s="2553"/>
      <c r="O58" s="152"/>
      <c r="P58" s="152"/>
      <c r="Q58" s="152"/>
      <c r="R58" s="152"/>
      <c r="S58" s="152"/>
      <c r="T58" s="152"/>
      <c r="U58" s="152"/>
      <c r="V58" s="152"/>
      <c r="W58" s="152"/>
      <c r="X58" s="152"/>
      <c r="Y58" s="152"/>
      <c r="Z58" s="152"/>
    </row>
    <row r="59" spans="1:26" ht="13.5" customHeight="1" thickBot="1">
      <c r="A59" s="1455" t="s">
        <v>399</v>
      </c>
      <c r="B59" s="2558"/>
      <c r="C59" s="237"/>
      <c r="D59" s="645" t="s">
        <v>980</v>
      </c>
      <c r="E59" s="646"/>
      <c r="F59" s="237"/>
      <c r="G59" s="636" t="s">
        <v>981</v>
      </c>
      <c r="H59" s="637"/>
      <c r="I59" s="237"/>
      <c r="J59" s="640" t="s">
        <v>985</v>
      </c>
      <c r="K59" s="641"/>
      <c r="L59" s="237"/>
      <c r="M59" s="2554"/>
      <c r="N59" s="2555"/>
      <c r="O59" s="152"/>
      <c r="P59" s="152"/>
      <c r="Q59" s="152"/>
      <c r="R59" s="152"/>
      <c r="S59" s="152"/>
      <c r="T59" s="152"/>
      <c r="U59" s="152"/>
      <c r="V59" s="152"/>
      <c r="W59" s="152"/>
      <c r="X59" s="152"/>
      <c r="Y59" s="152"/>
      <c r="Z59" s="152"/>
    </row>
    <row r="60" spans="1:26" ht="30.75" customHeight="1" thickBot="1">
      <c r="A60" s="1913" t="str">
        <f>+A9</f>
        <v>Непопълнен ред в таблица 'Cash-deficit'!</v>
      </c>
      <c r="B60" s="2559"/>
      <c r="C60" s="233"/>
      <c r="D60" s="1458" t="str">
        <f>+D9</f>
        <v>Текуща година           (в лева)</v>
      </c>
      <c r="E60" s="1459" t="str">
        <f>+E9</f>
        <v>Предходна година       31 декември (в лева)</v>
      </c>
      <c r="F60" s="233"/>
      <c r="G60" s="1458" t="str">
        <f>+G9</f>
        <v>Текуща година           (в лева)</v>
      </c>
      <c r="H60" s="1459" t="str">
        <f>+H9</f>
        <v>Предходна година       31 декември (в лева)</v>
      </c>
      <c r="I60" s="233"/>
      <c r="J60" s="1462" t="str">
        <f>+J9</f>
        <v>Текуща година           (в лева)</v>
      </c>
      <c r="K60" s="1463" t="str">
        <f>+K9</f>
        <v>Предходна година       31 декември (в лева)</v>
      </c>
      <c r="L60" s="233"/>
      <c r="M60" s="1462" t="str">
        <f>+M9</f>
        <v>Текуща година           (в лева)</v>
      </c>
      <c r="N60" s="1463" t="str">
        <f>+N9</f>
        <v>Предходна година       31 декември (в лева)</v>
      </c>
      <c r="O60" s="152"/>
      <c r="P60" s="152"/>
      <c r="Q60" s="152"/>
      <c r="R60" s="152"/>
      <c r="S60" s="152"/>
      <c r="T60" s="152"/>
      <c r="U60" s="152"/>
      <c r="V60" s="152"/>
      <c r="W60" s="152"/>
      <c r="X60" s="152"/>
      <c r="Y60" s="152"/>
      <c r="Z60" s="152"/>
    </row>
    <row r="61" spans="1:26" ht="16.5" thickBot="1">
      <c r="A61" s="1456" t="s">
        <v>150</v>
      </c>
      <c r="B61" s="1457" t="s">
        <v>151</v>
      </c>
      <c r="C61" s="233"/>
      <c r="D61" s="1460">
        <f>+D10</f>
        <v>1</v>
      </c>
      <c r="E61" s="1461">
        <f>+E10</f>
        <v>2</v>
      </c>
      <c r="F61" s="233"/>
      <c r="G61" s="1460">
        <f>+G10</f>
        <v>3</v>
      </c>
      <c r="H61" s="1461">
        <f>+H10</f>
        <v>4</v>
      </c>
      <c r="I61" s="233"/>
      <c r="J61" s="1460">
        <f>+J10</f>
        <v>5</v>
      </c>
      <c r="K61" s="1461">
        <f>+K10</f>
        <v>6</v>
      </c>
      <c r="L61" s="233"/>
      <c r="M61" s="1460">
        <f>+M10</f>
        <v>7</v>
      </c>
      <c r="N61" s="1461">
        <f>+N10</f>
        <v>8</v>
      </c>
      <c r="O61" s="152"/>
      <c r="P61" s="152"/>
      <c r="Q61" s="1903" t="s">
        <v>1875</v>
      </c>
      <c r="R61" s="152"/>
      <c r="S61" s="152"/>
      <c r="T61" s="152"/>
      <c r="U61" s="152"/>
      <c r="V61" s="152"/>
      <c r="W61" s="152"/>
      <c r="X61" s="152"/>
      <c r="Y61" s="152"/>
      <c r="Z61" s="152"/>
    </row>
    <row r="62" spans="1:26" ht="15.75">
      <c r="A62" s="249" t="s">
        <v>366</v>
      </c>
      <c r="B62" s="184"/>
      <c r="C62" s="233"/>
      <c r="D62" s="647"/>
      <c r="E62" s="319" t="str">
        <f>+IF(+ROUND(E66,2)=+ROUND(+SUM(SUM('TRIAL-BALANCE'!P14:P15)-SUM('TRIAL-BALANCE'!O14:O15)),2)," ","НЕРАВНЕНИЕ !")</f>
        <v xml:space="preserve"> </v>
      </c>
      <c r="F62" s="233"/>
      <c r="G62" s="647"/>
      <c r="H62" s="319" t="str">
        <f>+IF(+ROUND(H66,2)=+ROUND(+SUM(SUM('TRIAL-BALANCE'!W14:W15)-SUM('TRIAL-BALANCE'!V14:V15)),2)," ","НЕРАВНЕНИЕ !")</f>
        <v xml:space="preserve"> </v>
      </c>
      <c r="I62" s="233"/>
      <c r="J62" s="647"/>
      <c r="K62" s="319" t="str">
        <f>+IF(+ROUND(+K66,2)=+ROUND(+SUM(SUM('TRIAL-BALANCE'!AD14:AD15)-SUM('TRIAL-BALANCE'!AC14:AC15)),2)," ","НЕРАВНЕНИЕ !")</f>
        <v xml:space="preserve"> </v>
      </c>
      <c r="L62" s="233"/>
      <c r="M62" s="310"/>
      <c r="N62" s="319" t="str">
        <f>+IF(+ROUND(+N66-Q65-Q64,2)=+ROUND(+SUM(SUM('TRIAL-BALANCE'!AL14:AL15)-SUM('TRIAL-BALANCE'!AK14:AK15)),2)," ","НЕРАВНЕНИЕ !")</f>
        <v xml:space="preserve"> </v>
      </c>
      <c r="O62" s="152"/>
      <c r="P62" s="1377" t="s">
        <v>1876</v>
      </c>
      <c r="Q62" s="1906" t="str">
        <f>+Q36</f>
        <v>'Municipal-Bal'</v>
      </c>
      <c r="R62" s="152"/>
      <c r="S62" s="152"/>
      <c r="T62" s="152"/>
      <c r="U62" s="152"/>
      <c r="V62" s="152"/>
      <c r="W62" s="152"/>
      <c r="X62" s="152"/>
      <c r="Y62" s="152"/>
      <c r="Z62" s="152"/>
    </row>
    <row r="63" spans="1:26" ht="15.75">
      <c r="A63" s="338" t="s">
        <v>418</v>
      </c>
      <c r="B63" s="339">
        <v>401</v>
      </c>
      <c r="C63" s="233"/>
      <c r="D63" s="648">
        <f>+ROUND(+'TRIAL-BALANCE'!T14-'TRIAL-BALANCE'!S14,2)</f>
        <v>115351.83</v>
      </c>
      <c r="E63" s="649">
        <f>+ROUND('R &amp; E data-2019'!P14-'R &amp; E data-2019'!O14,2)</f>
        <v>115351.83</v>
      </c>
      <c r="F63" s="248"/>
      <c r="G63" s="642">
        <f>+ROUND(+'TRIAL-BALANCE'!AA14-'TRIAL-BALANCE'!Z14,2)</f>
        <v>0</v>
      </c>
      <c r="H63" s="643">
        <f>+ROUND('R &amp; E data-2019'!S14-'R &amp; E data-2019'!R14,2)</f>
        <v>0</v>
      </c>
      <c r="I63" s="248"/>
      <c r="J63" s="642">
        <f>+ROUND(+'TRIAL-BALANCE'!AH14-'TRIAL-BALANCE'!AG14,2)</f>
        <v>0</v>
      </c>
      <c r="K63" s="643">
        <f>+ROUND('R &amp; E data-2019'!V14-'R &amp; E data-2019'!U14,2)</f>
        <v>0</v>
      </c>
      <c r="L63" s="248"/>
      <c r="M63" s="642">
        <f>+ROUND(+D63+G63+J63,2)</f>
        <v>115351.83</v>
      </c>
      <c r="N63" s="643">
        <f>+ROUND(+E63+H63+K63,2)</f>
        <v>115351.83</v>
      </c>
      <c r="O63" s="152"/>
      <c r="P63" s="1442" t="s">
        <v>1281</v>
      </c>
      <c r="Q63" s="1443"/>
      <c r="R63" s="152"/>
      <c r="S63" s="152"/>
      <c r="T63" s="152"/>
      <c r="U63" s="152"/>
      <c r="V63" s="152"/>
      <c r="W63" s="152"/>
      <c r="X63" s="152"/>
      <c r="Y63" s="152"/>
      <c r="Z63" s="152"/>
    </row>
    <row r="64" spans="1:26" ht="15.75">
      <c r="A64" s="334" t="s">
        <v>1135</v>
      </c>
      <c r="B64" s="340">
        <v>402</v>
      </c>
      <c r="C64" s="233"/>
      <c r="D64" s="642">
        <f>+ROUND(+'TRIAL-BALANCE'!T15-'TRIAL-BALANCE'!S15,2)</f>
        <v>167074.38</v>
      </c>
      <c r="E64" s="643">
        <f>+ROUND('R &amp; E data-2019'!P15-'R &amp; E data-2019'!O15,2)</f>
        <v>278651.78999999998</v>
      </c>
      <c r="F64" s="248"/>
      <c r="G64" s="642">
        <f>+ROUND(+'TRIAL-BALANCE'!AA15-'TRIAL-BALANCE'!Z15,2)</f>
        <v>0</v>
      </c>
      <c r="H64" s="643">
        <f>+ROUND('R &amp; E data-2019'!S15-'R &amp; E data-2019'!R15,2)</f>
        <v>0</v>
      </c>
      <c r="I64" s="248"/>
      <c r="J64" s="642">
        <f>+ROUND(+'TRIAL-BALANCE'!AH15-'TRIAL-BALANCE'!AG15,2)</f>
        <v>2211.65</v>
      </c>
      <c r="K64" s="643">
        <f>+ROUND('R &amp; E data-2019'!V15-'R &amp; E data-2019'!U15,2)</f>
        <v>1589.2</v>
      </c>
      <c r="L64" s="248"/>
      <c r="M64" s="642">
        <f>+ROUND(+D64+G64+J64,2)+ROUND(P64,2)</f>
        <v>169286.03</v>
      </c>
      <c r="N64" s="643">
        <f>+ROUND(+E64+H64+K64,2)+ROUND(Q64,2)</f>
        <v>280240.99</v>
      </c>
      <c r="O64" s="152"/>
      <c r="P64" s="1210">
        <f>+IF(+AND(Status!K4="ДА",+ROUND('Municipal-Bal'!K20,0)=1,+ROUND('Municipal-Bal'!S80,2)=+ROUND('Municipal-Bal'!S91,2)),+ROUND('Municipal-Bal'!S80,2)-ROUND(+'Municipal-Bal'!V80,2),0)</f>
        <v>0</v>
      </c>
      <c r="Q64" s="1211">
        <f>+IF(+AND(Status!K4="ДА",+ROUND('Municipal-Bal'!K20,0)=1,+ROUND('Municipal-Bal'!P80,2)=+ROUND('Municipal-Bal'!P91,2)),+ROUND(+'Municipal-Bal'!S110,2)-ROUND(+'Municipal-Bal'!V110,2),0)</f>
        <v>0</v>
      </c>
      <c r="R64" s="152"/>
      <c r="S64" s="152"/>
      <c r="T64" s="152"/>
      <c r="U64" s="152"/>
      <c r="V64" s="152"/>
      <c r="W64" s="152"/>
      <c r="X64" s="152"/>
      <c r="Y64" s="152"/>
      <c r="Z64" s="152"/>
    </row>
    <row r="65" spans="1:26" ht="15.75">
      <c r="A65" s="336" t="s">
        <v>1136</v>
      </c>
      <c r="B65" s="341">
        <v>403</v>
      </c>
      <c r="C65" s="233"/>
      <c r="D65" s="622">
        <f>+ROUND(+SUM('TRIAL-BALANCE'!T384:T828)-SUM('TRIAL-BALANCE'!S384:S828),2)</f>
        <v>143312.68</v>
      </c>
      <c r="E65" s="623">
        <f>+ROUND('R &amp; E data-2019'!P462-'R &amp; E data-2019'!O462,2)</f>
        <v>-111577.41</v>
      </c>
      <c r="F65" s="248"/>
      <c r="G65" s="622">
        <f>+ROUND(+SUM('TRIAL-BALANCE'!AA384:AA828)-SUM('TRIAL-BALANCE'!Z384:Z828),2)</f>
        <v>0</v>
      </c>
      <c r="H65" s="623">
        <f>+ROUND('R &amp; E data-2019'!S462-'R &amp; E data-2019'!R462,2)</f>
        <v>0</v>
      </c>
      <c r="I65" s="248"/>
      <c r="J65" s="622">
        <f>+ROUND(+SUM('TRIAL-BALANCE'!AH384:AH828)-SUM('TRIAL-BALANCE'!AG384:AG828),2)</f>
        <v>0</v>
      </c>
      <c r="K65" s="623">
        <f>+ROUND('R &amp; E data-2019'!V462-'R &amp; E data-2019'!U462,2)</f>
        <v>622.45000000000005</v>
      </c>
      <c r="L65" s="248"/>
      <c r="M65" s="622">
        <f>+ROUND(+D65+G65+J65,2)+ROUND(P65,2)</f>
        <v>143312.68</v>
      </c>
      <c r="N65" s="623">
        <f>+ROUND(+E65+H65+K65,2)+ROUND(Q65,2)</f>
        <v>-110954.96</v>
      </c>
      <c r="O65" s="152"/>
      <c r="P65" s="1210">
        <f>+IF(+AND(Status!K4="ДА",+ROUND('Municipal-Bal'!K20,0)=1,+ROUND('Municipal-Bal'!S80,2)=+ROUND('Municipal-Bal'!S91,2)),+ROUND(+'Municipal-Bal'!V80,2),0)</f>
        <v>0</v>
      </c>
      <c r="Q65" s="1211">
        <f>+IF(+AND(Status!K4="ДА",+ROUND('Municipal-Bal'!K20,0)=1,+ROUND('Municipal-Bal'!P80,2)=+ROUND('Municipal-Bal'!P91,2)),+ROUND(+'Municipal-Bal'!V110,2),0)</f>
        <v>0</v>
      </c>
      <c r="R65" s="152"/>
      <c r="S65" s="152"/>
      <c r="T65" s="152"/>
      <c r="U65" s="152"/>
      <c r="V65" s="152"/>
      <c r="W65" s="152"/>
      <c r="X65" s="152"/>
      <c r="Y65" s="152"/>
      <c r="Z65" s="152"/>
    </row>
    <row r="66" spans="1:26" ht="19.5" thickBot="1">
      <c r="A66" s="717" t="s">
        <v>1029</v>
      </c>
      <c r="B66" s="720">
        <v>400</v>
      </c>
      <c r="C66" s="233"/>
      <c r="D66" s="653">
        <f>+ROUND(+D63+D64+D65,2)</f>
        <v>425738.89</v>
      </c>
      <c r="E66" s="654">
        <f>+ROUND(+E63+E64+E65,2)</f>
        <v>282426.21000000002</v>
      </c>
      <c r="F66" s="248"/>
      <c r="G66" s="653">
        <f>+ROUND(+G63+G64+G65,2)</f>
        <v>0</v>
      </c>
      <c r="H66" s="654">
        <f>+ROUND(+H63+H64+H65,2)</f>
        <v>0</v>
      </c>
      <c r="I66" s="248"/>
      <c r="J66" s="653">
        <f>+ROUND(+J63+J64+J65,2)</f>
        <v>2211.65</v>
      </c>
      <c r="K66" s="654">
        <f>+ROUND(+K63+K64+K65,2)</f>
        <v>2211.65</v>
      </c>
      <c r="L66" s="248"/>
      <c r="M66" s="653">
        <f>+ROUND(+M63+M64+M65,2)</f>
        <v>427950.54</v>
      </c>
      <c r="N66" s="654">
        <f>+ROUND(+N63+N64+N65,2)</f>
        <v>284637.86</v>
      </c>
      <c r="O66" s="152"/>
      <c r="P66" s="2562" t="str">
        <f>+IF(+AND(+Status!K4="ДА",+ROUND('Municipal-Bal'!K20,0)=1),+IF(+ROUND('Municipal-Bal'!S80,2)=+ROUND('Municipal-Bal'!S91,2),"O K","неспазено изискване NA-BAL = NA-OPR в 'Municipal-Bal'"),"O K")</f>
        <v>O K</v>
      </c>
      <c r="Q66" s="2562"/>
      <c r="R66" s="152"/>
      <c r="S66" s="152"/>
      <c r="T66" s="152"/>
      <c r="U66" s="152"/>
      <c r="V66" s="152"/>
      <c r="W66" s="152"/>
      <c r="X66" s="152"/>
      <c r="Y66" s="152"/>
      <c r="Z66" s="152"/>
    </row>
    <row r="67" spans="1:26" ht="15.75">
      <c r="A67" s="250" t="s">
        <v>2190</v>
      </c>
      <c r="B67" s="185"/>
      <c r="C67" s="233"/>
      <c r="D67" s="616"/>
      <c r="E67" s="617"/>
      <c r="F67" s="233"/>
      <c r="G67" s="616"/>
      <c r="H67" s="617"/>
      <c r="I67" s="233"/>
      <c r="J67" s="616"/>
      <c r="K67" s="617"/>
      <c r="L67" s="233"/>
      <c r="M67" s="616"/>
      <c r="N67" s="617"/>
      <c r="O67" s="152"/>
      <c r="P67" s="2563" t="str">
        <f>+IF(+AND(+Status!K4="ДА",+ROUND('Municipal-Bal'!K20,0)=1),+IF(+ROUND('Municipal-Bal'!P80,2)=+ROUND('Municipal-Bal'!P91,2),"O K","неспазено изискване NA-BAL = NA-OPR в 'Municipal-Bal'"),"O K")</f>
        <v>O K</v>
      </c>
      <c r="Q67" s="2563"/>
      <c r="R67" s="152"/>
      <c r="S67" s="152"/>
      <c r="T67" s="152"/>
      <c r="U67" s="152"/>
      <c r="V67" s="152"/>
      <c r="W67" s="152"/>
      <c r="X67" s="152"/>
      <c r="Y67" s="152"/>
      <c r="Z67" s="152"/>
    </row>
    <row r="68" spans="1:26" ht="15.75">
      <c r="A68" s="183" t="s">
        <v>419</v>
      </c>
      <c r="B68" s="184"/>
      <c r="C68" s="233"/>
      <c r="D68" s="310" t="str">
        <f>+IF(+OR(D69&lt;0,D70&lt;0,D71&lt;0),"НЕРАВНЕНИЕ !"," ")</f>
        <v xml:space="preserve"> </v>
      </c>
      <c r="E68" s="319" t="str">
        <f>+IF(+OR(E69&lt;0,E70&lt;0,E71&lt;0),"НЕРАВНЕНИЕ !"," ")</f>
        <v xml:space="preserve"> </v>
      </c>
      <c r="F68" s="248"/>
      <c r="G68" s="310" t="str">
        <f>+IF(+OR(G69&lt;0,G70&lt;0,G71&lt;0),"НЕРАВНЕНИЕ !"," ")</f>
        <v xml:space="preserve"> </v>
      </c>
      <c r="H68" s="319" t="str">
        <f>+IF(+OR(H69&lt;0,H70&lt;0,H71&lt;0),"НЕРАВНЕНИЕ !"," ")</f>
        <v xml:space="preserve"> </v>
      </c>
      <c r="I68" s="248"/>
      <c r="J68" s="310" t="str">
        <f>+IF(+OR(J69&lt;0,J70&lt;0,J71&lt;0),"НЕРАВНЕНИЕ !"," ")</f>
        <v xml:space="preserve"> </v>
      </c>
      <c r="K68" s="319" t="str">
        <f>+IF(+OR(K69&lt;0,K70&lt;0,K71&lt;0),"НЕРАВНЕНИЕ !"," ")</f>
        <v xml:space="preserve"> </v>
      </c>
      <c r="L68" s="248"/>
      <c r="M68" s="310" t="str">
        <f>+IF(+OR(M69&lt;0,M70&lt;0,M71&lt;0),"НЕРАВНЕНИЕ !"," ")</f>
        <v xml:space="preserve"> </v>
      </c>
      <c r="N68" s="319" t="str">
        <f>+IF(+OR(N69&lt;0,N70&lt;0,N71&lt;0),"НЕРАВНЕНИЕ !"," ")</f>
        <v xml:space="preserve"> </v>
      </c>
      <c r="O68" s="152"/>
      <c r="P68" s="152"/>
      <c r="Q68" s="152"/>
      <c r="R68" s="152"/>
      <c r="S68" s="152"/>
      <c r="T68" s="152"/>
      <c r="U68" s="152"/>
      <c r="V68" s="152"/>
      <c r="W68" s="152"/>
      <c r="X68" s="152"/>
      <c r="Y68" s="152"/>
      <c r="Z68" s="152"/>
    </row>
    <row r="69" spans="1:26" ht="15.75">
      <c r="A69" s="334" t="s">
        <v>367</v>
      </c>
      <c r="B69" s="340">
        <v>511</v>
      </c>
      <c r="C69" s="233"/>
      <c r="D69" s="618">
        <f>+ROUND(+SUM('TRIAL-BALANCE'!T19)-IF(+'Provisions-2020'!E82=0,+'Provisions-2020'!E41,+ROUND((+SUM('TRIAL-BALANCE'!S25)-SUM('TRIAL-BALANCE'!T25))*'TRIAL-BALANCE'!T901,2))-IF(+'Provisions-2020'!E84=0,+'Provisions-2020'!E45,+ROUND((+'TRIAL-BALANCE'!S21)*'TRIAL-BALANCE'!T901,2)),2)</f>
        <v>0</v>
      </c>
      <c r="E69" s="619">
        <f>+ROUND(+SUM('TRIAL-BALANCE'!P19)-IF(+'Provisions-2020'!D82=0,+'Provisions-2020'!D41,+ROUND((+SUM('TRIAL-BALANCE'!O25)-SUM('TRIAL-BALANCE'!P25))*'TRIAL-BALANCE'!P901,2))-IF(+'Provisions-2020'!D84=0,+'Provisions-2020'!D45,+ROUND((+'TRIAL-BALANCE'!O21)*'TRIAL-BALANCE'!P901,2)),2)</f>
        <v>0</v>
      </c>
      <c r="F69" s="248"/>
      <c r="G69" s="618">
        <f>+ROUND(+SUM('TRIAL-BALANCE'!AA19)-IF(+'Provisions-2020'!H82=0,+'Provisions-2020'!H41,+ROUND((+SUM('TRIAL-BALANCE'!Z25)-SUM('TRIAL-BALANCE'!AA25))*'TRIAL-BALANCE'!AA901,2))-IF(+'Provisions-2020'!H84=0,+'Provisions-2020'!H45,+ROUND((+'TRIAL-BALANCE'!Z21)*'TRIAL-BALANCE'!AA901,2)),2)</f>
        <v>0</v>
      </c>
      <c r="H69" s="619">
        <f>+ROUND(+SUM('TRIAL-BALANCE'!W19)-IF(+'Provisions-2020'!G82=0,+'Provisions-2020'!G41,+ROUND((+SUM('TRIAL-BALANCE'!V25)-SUM('TRIAL-BALANCE'!W25))*'TRIAL-BALANCE'!W901,2))-IF(+'Provisions-2020'!G84=0,+'Provisions-2020'!G45,+ROUND((+'TRIAL-BALANCE'!V21)*'TRIAL-BALANCE'!W901,2)),2)</f>
        <v>0</v>
      </c>
      <c r="I69" s="248"/>
      <c r="J69" s="618">
        <f>+ROUND(+SUM('TRIAL-BALANCE'!AH19)-IF(+'Provisions-2020'!K82=0,+'Provisions-2020'!K41,+ROUND((+SUM('TRIAL-BALANCE'!AG25)-SUM('TRIAL-BALANCE'!AH25))*'TRIAL-BALANCE'!AH901,2))-IF(+'Provisions-2020'!K84=0,+'Provisions-2020'!K45,+ROUND((+'TRIAL-BALANCE'!AG21)*'TRIAL-BALANCE'!AH901,2)),2)</f>
        <v>0</v>
      </c>
      <c r="K69" s="619">
        <f>+ROUND(+SUM('TRIAL-BALANCE'!AD19)-IF(+'Provisions-2020'!J82=0,+'Provisions-2020'!J41,+ROUND((+SUM('TRIAL-BALANCE'!AC25)-SUM('TRIAL-BALANCE'!AD25))*'TRIAL-BALANCE'!AD901,2))-IF(+'Provisions-2020'!J84=0,+'Provisions-2020'!J45,+ROUND((+'TRIAL-BALANCE'!AC21)*'TRIAL-BALANCE'!AD901,2)),2)</f>
        <v>0</v>
      </c>
      <c r="L69" s="248"/>
      <c r="M69" s="618">
        <f t="shared" ref="M69:N71" si="3">+ROUND(+D69+G69+J69,2)</f>
        <v>0</v>
      </c>
      <c r="N69" s="643">
        <f t="shared" si="3"/>
        <v>0</v>
      </c>
      <c r="O69" s="152"/>
      <c r="P69" s="152"/>
      <c r="Q69" s="152"/>
      <c r="R69" s="152"/>
      <c r="S69" s="152"/>
      <c r="T69" s="152"/>
      <c r="U69" s="152"/>
      <c r="V69" s="152"/>
      <c r="W69" s="152"/>
      <c r="X69" s="152"/>
      <c r="Y69" s="152"/>
      <c r="Z69" s="152"/>
    </row>
    <row r="70" spans="1:26" ht="15.75">
      <c r="A70" s="334" t="s">
        <v>420</v>
      </c>
      <c r="B70" s="340">
        <v>512</v>
      </c>
      <c r="C70" s="233"/>
      <c r="D70" s="618">
        <f>+ROUND(+'TRIAL-BALANCE'!T27+'TRIAL-BALANCE'!T31+'TRIAL-BALANCE'!T32+'TRIAL-BALANCE'!T37+'TRIAL-BALANCE'!T38+'TRIAL-BALANCE'!T63+'TRIAL-BALANCE'!T67,2)</f>
        <v>0</v>
      </c>
      <c r="E70" s="619">
        <f>+ROUND(+'TRIAL-BALANCE'!P27+'TRIAL-BALANCE'!P31+'TRIAL-BALANCE'!P32+'TRIAL-BALANCE'!P37+'TRIAL-BALANCE'!P38+'TRIAL-BALANCE'!P63+'TRIAL-BALANCE'!P67,2)</f>
        <v>0</v>
      </c>
      <c r="F70" s="248"/>
      <c r="G70" s="618">
        <f>+ROUND(+'TRIAL-BALANCE'!AA27+'TRIAL-BALANCE'!AA31+'TRIAL-BALANCE'!AA32+'TRIAL-BALANCE'!AA37+'TRIAL-BALANCE'!AA38+'TRIAL-BALANCE'!AA63+'TRIAL-BALANCE'!AA67,2)</f>
        <v>0</v>
      </c>
      <c r="H70" s="619">
        <f>+ROUND(+'TRIAL-BALANCE'!W27+'TRIAL-BALANCE'!W31+'TRIAL-BALANCE'!W32+'TRIAL-BALANCE'!W37+'TRIAL-BALANCE'!W38+'TRIAL-BALANCE'!W63+'TRIAL-BALANCE'!W67,2)</f>
        <v>0</v>
      </c>
      <c r="I70" s="248"/>
      <c r="J70" s="618">
        <f>+ROUND(+'TRIAL-BALANCE'!AH27+'TRIAL-BALANCE'!AH31+'TRIAL-BALANCE'!AH32+'TRIAL-BALANCE'!AH37+'TRIAL-BALANCE'!AH38+'TRIAL-BALANCE'!AH63+'TRIAL-BALANCE'!AH67,2)</f>
        <v>0</v>
      </c>
      <c r="K70" s="619">
        <f>+ROUND(+'TRIAL-BALANCE'!AD27+'TRIAL-BALANCE'!AD31+'TRIAL-BALANCE'!AD32+'TRIAL-BALANCE'!AD37+'TRIAL-BALANCE'!AD38+'TRIAL-BALANCE'!AD63+'TRIAL-BALANCE'!AD67,2)</f>
        <v>0</v>
      </c>
      <c r="L70" s="248"/>
      <c r="M70" s="618">
        <f t="shared" si="3"/>
        <v>0</v>
      </c>
      <c r="N70" s="619">
        <f t="shared" si="3"/>
        <v>0</v>
      </c>
      <c r="O70" s="152"/>
      <c r="P70" s="152"/>
      <c r="Q70" s="152"/>
      <c r="R70" s="152"/>
      <c r="S70" s="152"/>
      <c r="T70" s="152"/>
      <c r="U70" s="152"/>
      <c r="V70" s="152"/>
      <c r="W70" s="152"/>
      <c r="X70" s="152"/>
      <c r="Y70" s="152"/>
      <c r="Z70" s="152"/>
    </row>
    <row r="71" spans="1:26" ht="15.75">
      <c r="A71" s="336" t="s">
        <v>2196</v>
      </c>
      <c r="B71" s="341">
        <v>513</v>
      </c>
      <c r="C71" s="233"/>
      <c r="D71" s="628">
        <f>+ROUND(+SUM('TRIAL-BALANCE'!T50:T51)+SUM('TRIAL-BALANCE'!T56:T57)-IF(+'Provisions-2020'!E86=0,+'Provisions-2020'!E49,+ROUND(+('TRIAL-BALANCE'!S54+'TRIAL-BALANCE'!S55)*'TRIAL-BALANCE'!T904,2))-IF(+'Provisions-2020'!E88=0,+'Provisions-2020'!E53,+ROUND(+('TRIAL-BALANCE'!S60+'TRIAL-BALANCE'!S61)*'TRIAL-BALANCE'!T907,2)-ROUND(+('TRIAL-BALANCE'!T60+'TRIAL-BALANCE'!T61)*'TRIAL-BALANCE'!T907,2)),2)</f>
        <v>0</v>
      </c>
      <c r="E71" s="629">
        <f>+ROUND(+SUM('TRIAL-BALANCE'!P50:P51)+SUM('TRIAL-BALANCE'!P56:P57)-IF(+'Provisions-2020'!D86=0,+'Provisions-2020'!D49,+ROUND(+('TRIAL-BALANCE'!O54+'TRIAL-BALANCE'!O55)*'TRIAL-BALANCE'!P904,2))-IF(+'Provisions-2020'!D88=0,+'Provisions-2020'!D53,+ROUND(+('TRIAL-BALANCE'!O60+'TRIAL-BALANCE'!O61)*'TRIAL-BALANCE'!P907,2)-ROUND(+('TRIAL-BALANCE'!P60+'TRIAL-BALANCE'!P61)*'TRIAL-BALANCE'!P907,2)),2)</f>
        <v>0</v>
      </c>
      <c r="F71" s="248"/>
      <c r="G71" s="628">
        <f>+ROUND(+SUM('TRIAL-BALANCE'!AA50:AA51)+SUM('TRIAL-BALANCE'!AA56:AA57)-IF(+'Provisions-2020'!H86=0,+'Provisions-2020'!H49,+ROUND(+('TRIAL-BALANCE'!Z54+'TRIAL-BALANCE'!Z55)*'TRIAL-BALANCE'!AA904,2))-IF(+'Provisions-2020'!H88=0,+'Provisions-2020'!H53,+ROUND(+('TRIAL-BALANCE'!Z60+'TRIAL-BALANCE'!Z61)*'TRIAL-BALANCE'!AA907,2)-ROUND(+('TRIAL-BALANCE'!AA60+'TRIAL-BALANCE'!AA61)*'TRIAL-BALANCE'!AA907,2)),2)</f>
        <v>0</v>
      </c>
      <c r="H71" s="629">
        <f>+ROUND(+SUM('TRIAL-BALANCE'!W50:W51)+SUM('TRIAL-BALANCE'!W56:W57)-IF(+'Provisions-2020'!G86=0,+'Provisions-2020'!G49,+ROUND(+('TRIAL-BALANCE'!V54+'TRIAL-BALANCE'!V55)*'TRIAL-BALANCE'!W904,2))-IF(+'Provisions-2020'!G88=0,+'Provisions-2020'!G53,+ROUND(+('TRIAL-BALANCE'!V60+'TRIAL-BALANCE'!V61)*'TRIAL-BALANCE'!W907,2)-ROUND(+('TRIAL-BALANCE'!W60+'TRIAL-BALANCE'!W61)*'TRIAL-BALANCE'!W907,2)),2)</f>
        <v>0</v>
      </c>
      <c r="I71" s="248"/>
      <c r="J71" s="628">
        <f>+ROUND(+SUM('TRIAL-BALANCE'!AH50:AH51)+SUM('TRIAL-BALANCE'!AH56:AH57)+'TRIAL-BALANCE'!AH63+'TRIAL-BALANCE'!AH65-IF(+'Provisions-2020'!K86=0,+'Provisions-2020'!K49,+ROUND(+('TRIAL-BALANCE'!AG54+'TRIAL-BALANCE'!AG55)*'TRIAL-BALANCE'!AH904,2))-IF(+'Provisions-2020'!K88=0,+'Provisions-2020'!K53,+ROUND(+('TRIAL-BALANCE'!AG60+'TRIAL-BALANCE'!AG61)*'TRIAL-BALANCE'!AH907,2)-ROUND(+('TRIAL-BALANCE'!AH60+'TRIAL-BALANCE'!AH61)*'TRIAL-BALANCE'!AH907,2)),2)</f>
        <v>0</v>
      </c>
      <c r="K71" s="629">
        <f>+ROUND(+SUM('TRIAL-BALANCE'!AD50:AD51)+SUM('TRIAL-BALANCE'!AD56:AD57)-IF(+'Provisions-2020'!J86=0,+'Provisions-2020'!J49,+ROUND(+('TRIAL-BALANCE'!AC54+'TRIAL-BALANCE'!AC55)*'TRIAL-BALANCE'!AD904,2))-IF(+'Provisions-2020'!J88=0,+'Provisions-2020'!J53,+ROUND(+('TRIAL-BALANCE'!AC60+'TRIAL-BALANCE'!AC61)*'TRIAL-BALANCE'!AD907,2)-ROUND(+('TRIAL-BALANCE'!AD60+'TRIAL-BALANCE'!AD61)*'TRIAL-BALANCE'!AD907,2)),2)</f>
        <v>0</v>
      </c>
      <c r="L71" s="248"/>
      <c r="M71" s="628">
        <f t="shared" si="3"/>
        <v>0</v>
      </c>
      <c r="N71" s="629">
        <f t="shared" si="3"/>
        <v>0</v>
      </c>
      <c r="O71" s="152"/>
      <c r="P71" s="152"/>
      <c r="Q71" s="152"/>
      <c r="R71" s="152"/>
      <c r="S71" s="152"/>
      <c r="T71" s="152"/>
      <c r="U71" s="152"/>
      <c r="V71" s="152"/>
      <c r="W71" s="152"/>
      <c r="X71" s="152"/>
      <c r="Y71" s="152"/>
      <c r="Z71" s="152"/>
    </row>
    <row r="72" spans="1:26" ht="15.75">
      <c r="A72" s="177" t="s">
        <v>1025</v>
      </c>
      <c r="B72" s="186">
        <v>510</v>
      </c>
      <c r="C72" s="233"/>
      <c r="D72" s="624">
        <f>+ROUND(+D69+D70+D71,2)</f>
        <v>0</v>
      </c>
      <c r="E72" s="625">
        <f>+ROUND(+E69+E70+E71,2)</f>
        <v>0</v>
      </c>
      <c r="F72" s="248"/>
      <c r="G72" s="624">
        <f>+ROUND(+G69+G70+G71,2)</f>
        <v>0</v>
      </c>
      <c r="H72" s="625">
        <f>+ROUND(+H69+H70+H71,2)</f>
        <v>0</v>
      </c>
      <c r="I72" s="248"/>
      <c r="J72" s="624">
        <f>+ROUND(+J69+J70+J71,2)</f>
        <v>0</v>
      </c>
      <c r="K72" s="625">
        <f>+ROUND(+K69+K70+K71,2)</f>
        <v>0</v>
      </c>
      <c r="L72" s="248"/>
      <c r="M72" s="624">
        <f>+ROUND(+M69+M70+M71,2)</f>
        <v>0</v>
      </c>
      <c r="N72" s="652">
        <f>+ROUND(+N69+N70+N71,2)</f>
        <v>0</v>
      </c>
      <c r="O72" s="152"/>
      <c r="P72" s="152"/>
      <c r="Q72" s="152"/>
      <c r="R72" s="152"/>
      <c r="S72" s="152"/>
      <c r="T72" s="152"/>
      <c r="U72" s="152"/>
      <c r="V72" s="152"/>
      <c r="W72" s="152"/>
      <c r="X72" s="152"/>
      <c r="Y72" s="152"/>
      <c r="Z72" s="152"/>
    </row>
    <row r="73" spans="1:26" ht="15.75">
      <c r="A73" s="172" t="s">
        <v>421</v>
      </c>
      <c r="B73" s="187"/>
      <c r="C73" s="233"/>
      <c r="D73" s="310" t="str">
        <f>+IF(+OR(D74&lt;0,D75&lt;0,D76&lt;0,D77&lt;0,D78&lt;0,D79&lt;0,D80&lt;0,D81&lt;0,D82&lt;0),"НЕРАВНЕНИЕ !"," ")</f>
        <v xml:space="preserve"> </v>
      </c>
      <c r="E73" s="319" t="str">
        <f>+IF(+OR(E74&lt;0,E75&lt;0,E76&lt;0,E77&lt;0,E78&lt;0,E79&lt;0,E80&lt;0,E81&lt;0,E82&lt;0),"НЕРАВНЕНИЕ !"," ")</f>
        <v xml:space="preserve"> </v>
      </c>
      <c r="F73" s="248"/>
      <c r="G73" s="310" t="str">
        <f>+IF(+OR(G74&lt;0,G75&lt;0,G76&lt;0,G77&lt;0,G78&lt;0,G79&lt;0,G80&lt;0,G81&lt;0,G82&lt;0),"НЕРАВНЕНИЕ !"," ")</f>
        <v xml:space="preserve"> </v>
      </c>
      <c r="H73" s="319" t="str">
        <f>+IF(+OR(H74&lt;0,H75&lt;0,H76&lt;0,H77&lt;0,H78&lt;0,H79&lt;0,H80&lt;0,H81&lt;0,H82&lt;0),"НЕРАВНЕНИЕ !"," ")</f>
        <v xml:space="preserve"> </v>
      </c>
      <c r="I73" s="248"/>
      <c r="J73" s="310" t="str">
        <f>+IF(+OR(J74&lt;0,J75&lt;0,J76&lt;0,J77&lt;0,J78&lt;0,J79&lt;0,J80&lt;0,J81&lt;0,J82&lt;0),"НЕРАВНЕНИЕ !"," ")</f>
        <v xml:space="preserve"> </v>
      </c>
      <c r="K73" s="319" t="str">
        <f>+IF(+OR(K74&lt;0,K75&lt;0,K76&lt;0,K77&lt;0,K78&lt;0,K79&lt;0,K80&lt;0,K81&lt;0,K82&lt;0),"НЕРАВНЕНИЕ !"," ")</f>
        <v xml:space="preserve"> </v>
      </c>
      <c r="L73" s="248"/>
      <c r="M73" s="310" t="str">
        <f>+IF(+OR(M74&lt;0,M75&lt;0,M76&lt;0,M77&lt;0,M78&lt;0,M79&lt;0,M80&lt;0,M81&lt;0,M82&lt;0),"НЕРАВНЕНИЕ !"," ")</f>
        <v xml:space="preserve"> </v>
      </c>
      <c r="N73" s="319" t="str">
        <f>+IF(+OR(N74&lt;0,N75&lt;0,N76&lt;0,N77&lt;0,N78&lt;0,N79&lt;0,N80&lt;0,N81&lt;0,N82&lt;0),"НЕРАВНЕНИЕ !"," ")</f>
        <v xml:space="preserve"> </v>
      </c>
      <c r="O73" s="152"/>
      <c r="P73" s="152"/>
      <c r="Q73" s="1903" t="s">
        <v>1875</v>
      </c>
      <c r="R73" s="152"/>
      <c r="S73" s="152"/>
      <c r="T73" s="152"/>
      <c r="U73" s="152"/>
      <c r="V73" s="152"/>
      <c r="W73" s="152"/>
      <c r="X73" s="152"/>
      <c r="Y73" s="152"/>
      <c r="Z73" s="152"/>
    </row>
    <row r="74" spans="1:26" ht="15.75">
      <c r="A74" s="334" t="s">
        <v>368</v>
      </c>
      <c r="B74" s="340">
        <v>521</v>
      </c>
      <c r="C74" s="233"/>
      <c r="D74" s="618">
        <f>+ROUND(+SUM('TRIAL-BALANCE'!T17:T17)-SUM('TRIAL-BALANCE'!S18:S18)+SUM('TRIAL-BALANCE'!T20:T20)-SUM('TRIAL-BALANCE'!S24:S24)+SUM('TRIAL-BALANCE'!T24:T24)+'TRIAL-BALANCE'!T26+SUM('TRIAL-BALANCE'!T28:T30)+SUM('TRIAL-BALANCE'!T33:T34)+SUM('TRIAL-BALANCE'!T35:T36)+SUM('TRIAL-BALANCE'!T39:T40)+SUM('TRIAL-BALANCE'!T46:T47)+SUM('TRIAL-BALANCE'!T52:T53)+SUM('TRIAL-BALANCE'!T58:T59)+'TRIAL-BALANCE'!T62+'TRIAL-BALANCE'!T64+'TRIAL-BALANCE'!T66+'TRIAL-BALANCE'!T68-IF('Provisions-2020'!E82=0,+'Provisions-2020'!E42,+ROUND((+SUM('TRIAL-BALANCE'!S25:S25)-SUM('TRIAL-BALANCE'!T25:T25))*'TRIAL-BALANCE'!T902,2))-IF('Provisions-2020'!E84=0,+'Provisions-2020'!E46,+ROUND((+'TRIAL-BALANCE'!S21)*('TRIAL-BALANCE'!T902),2))-IF('Provisions-2020'!E86=0,+'Provisions-2020'!E50,+ROUND(+('TRIAL-BALANCE'!S54+'TRIAL-BALANCE'!S55)*'TRIAL-BALANCE'!T905,2))-IF('Provisions-2020'!E88=0,+'Provisions-2020'!E54,+ROUND(+('TRIAL-BALANCE'!S60+'TRIAL-BALANCE'!S61)*'TRIAL-BALANCE'!T908,2)-ROUND(+('TRIAL-BALANCE'!T60+'TRIAL-BALANCE'!T61)*'TRIAL-BALANCE'!T908,2)),2)</f>
        <v>0</v>
      </c>
      <c r="E74" s="619">
        <f>+ROUND(+SUM('TRIAL-BALANCE'!P17:P17)-SUM('TRIAL-BALANCE'!O18:O18)+SUM('TRIAL-BALANCE'!P20:P20)-SUM('TRIAL-BALANCE'!O24:O24)+SUM('TRIAL-BALANCE'!P24:P24)+'TRIAL-BALANCE'!P26+SUM('TRIAL-BALANCE'!P28:P30)+SUM('TRIAL-BALANCE'!P33:P34)+SUM('TRIAL-BALANCE'!P35:P36)+SUM('TRIAL-BALANCE'!P39:P40)+SUM('TRIAL-BALANCE'!P46:P47)+SUM('TRIAL-BALANCE'!P52:P53)+SUM('TRIAL-BALANCE'!P58:P59)+'TRIAL-BALANCE'!P62+'TRIAL-BALANCE'!P64+'TRIAL-BALANCE'!P66+'TRIAL-BALANCE'!P68-IF('Provisions-2020'!D82=0,+'Provisions-2020'!D42,+ROUND((+SUM('TRIAL-BALANCE'!O25:O25)-SUM('TRIAL-BALANCE'!P25:P25))*'TRIAL-BALANCE'!P902,2))-IF('Provisions-2020'!D84=0,+'Provisions-2020'!D46,+ROUND((+'TRIAL-BALANCE'!O21)*('TRIAL-BALANCE'!P902),2))-IF('Provisions-2020'!D86=0,+'Provisions-2020'!D50,+ROUND(+('TRIAL-BALANCE'!O54+'TRIAL-BALANCE'!O55)*'TRIAL-BALANCE'!P905,2))-IF('Provisions-2020'!D88=0,+'Provisions-2020'!D54,+ROUND(+('TRIAL-BALANCE'!O60+'TRIAL-BALANCE'!O61)*'TRIAL-BALANCE'!P908,2)-ROUND(+('TRIAL-BALANCE'!P60+'TRIAL-BALANCE'!P61)*'TRIAL-BALANCE'!P908,2)),2)</f>
        <v>0</v>
      </c>
      <c r="F74" s="248"/>
      <c r="G74" s="618">
        <f>+ROUND(+SUM('TRIAL-BALANCE'!AA17:AA17)-SUM('TRIAL-BALANCE'!Z18:Z18)+SUM('TRIAL-BALANCE'!AA20:AA20)-SUM('TRIAL-BALANCE'!Z24:Z24)+SUM('TRIAL-BALANCE'!AA24:AA24)+'TRIAL-BALANCE'!AA26+SUM('TRIAL-BALANCE'!AA28:AA30)+SUM('TRIAL-BALANCE'!AA33:AA34)+SUM('TRIAL-BALANCE'!AA35:AA36)+SUM('TRIAL-BALANCE'!AA39:AA40)+SUM('TRIAL-BALANCE'!AA46:AA47)+SUM('TRIAL-BALANCE'!AA52:AA53)+SUM('TRIAL-BALANCE'!AA58:AA59)+'TRIAL-BALANCE'!AA62+'TRIAL-BALANCE'!AA64+'TRIAL-BALANCE'!AA66+'TRIAL-BALANCE'!AA68-IF('Provisions-2020'!H82=0,+'Provisions-2020'!H42,+ROUND((+SUM('TRIAL-BALANCE'!Z25:Z25)-SUM('TRIAL-BALANCE'!AA25:AA25))*'TRIAL-BALANCE'!AA902,2))-IF('Provisions-2020'!H84=0,+'Provisions-2020'!H46,+ROUND((+'TRIAL-BALANCE'!Z21)*('TRIAL-BALANCE'!AA902),2))-IF('Provisions-2020'!H86=0,+'Provisions-2020'!H50,+ROUND(+('TRIAL-BALANCE'!Z54+'TRIAL-BALANCE'!Z55)*'TRIAL-BALANCE'!AA905,2))-IF('Provisions-2020'!H88=0,+'Provisions-2020'!H54,+ROUND(+('TRIAL-BALANCE'!Z60+'TRIAL-BALANCE'!Z61)*'TRIAL-BALANCE'!AA908,2)-ROUND(+('TRIAL-BALANCE'!AA60+'TRIAL-BALANCE'!AA61)*'TRIAL-BALANCE'!AA908,2)),2)</f>
        <v>0</v>
      </c>
      <c r="H74" s="619">
        <f>+ROUND(+SUM('TRIAL-BALANCE'!W17:W17)-SUM('TRIAL-BALANCE'!V18:V18)+SUM('TRIAL-BALANCE'!W20:W20)-SUM('TRIAL-BALANCE'!V24:V24)+SUM('TRIAL-BALANCE'!W24:W24)+'TRIAL-BALANCE'!W26+SUM('TRIAL-BALANCE'!W28:W30)+SUM('TRIAL-BALANCE'!W33:W34)+SUM('TRIAL-BALANCE'!W35:W36)+SUM('TRIAL-BALANCE'!W39:W40)+SUM('TRIAL-BALANCE'!W46:W47)+SUM('TRIAL-BALANCE'!W52:W53)+SUM('TRIAL-BALANCE'!W58:W59)+'TRIAL-BALANCE'!W62+'TRIAL-BALANCE'!W64+'TRIAL-BALANCE'!W66+'TRIAL-BALANCE'!W68-IF('Provisions-2020'!G82=0,+'Provisions-2020'!G42,+ROUND((+SUM('TRIAL-BALANCE'!V25:V25)-SUM('TRIAL-BALANCE'!W25:W25))*'TRIAL-BALANCE'!W902,2))-IF('Provisions-2020'!G84=0,+'Provisions-2020'!G46,+ROUND((+'TRIAL-BALANCE'!V21)*('TRIAL-BALANCE'!W902),2))-IF('Provisions-2020'!G86=0,+'Provisions-2020'!G50,+ROUND(+('TRIAL-BALANCE'!V54+'TRIAL-BALANCE'!V55)*'TRIAL-BALANCE'!W905,2))-IF('Provisions-2020'!G88=0,+'Provisions-2020'!G54,+ROUND(+('TRIAL-BALANCE'!V60+'TRIAL-BALANCE'!V61)*'TRIAL-BALANCE'!W908,2)-ROUND(+('TRIAL-BALANCE'!W60+'TRIAL-BALANCE'!W61)*'TRIAL-BALANCE'!W908,2)),2)</f>
        <v>0</v>
      </c>
      <c r="I74" s="248"/>
      <c r="J74" s="618">
        <f>+SUM('TRIAL-BALANCE'!AH17:AH17)-SUM('TRIAL-BALANCE'!AG18:AG18)+SUM('TRIAL-BALANCE'!AH20:AH20)-SUM('TRIAL-BALANCE'!AG24:AG24)+SUM('TRIAL-BALANCE'!AH24:AH24)+'TRIAL-BALANCE'!AH26+SUM('TRIAL-BALANCE'!AH28:AH30)+SUM('TRIAL-BALANCE'!AH33:AH34)+SUM('TRIAL-BALANCE'!AH35:AH36)+SUM('TRIAL-BALANCE'!AH39:AH40)+SUM('TRIAL-BALANCE'!AH46:AH47)+SUM('TRIAL-BALANCE'!AH52:AH53)+SUM('TRIAL-BALANCE'!AH58:AH59)+'TRIAL-BALANCE'!AH62+'TRIAL-BALANCE'!AH64+'TRIAL-BALANCE'!AH66+'TRIAL-BALANCE'!AH68-IF('Provisions-2020'!K82=0,+'Provisions-2020'!K42,+ROUND((+SUM('TRIAL-BALANCE'!AG25:AG25)-SUM('TRIAL-BALANCE'!AH25:AH25))*'TRIAL-BALANCE'!AH902,2))-IF('Provisions-2020'!K84=0,+'Provisions-2020'!K46,+ROUND((+'TRIAL-BALANCE'!AG21)*('TRIAL-BALANCE'!AH902),2))-IF('Provisions-2020'!K86=0,+'Provisions-2020'!K50,+ROUND(+('TRIAL-BALANCE'!AG54+'TRIAL-BALANCE'!AG55)*'TRIAL-BALANCE'!AH905,2))</f>
        <v>0</v>
      </c>
      <c r="K74" s="619">
        <f>+ROUND(+SUM('TRIAL-BALANCE'!AD17:AD17)-SUM('TRIAL-BALANCE'!AC18:AC18)+SUM('TRIAL-BALANCE'!AD20:AD20)-SUM('TRIAL-BALANCE'!AC24:AC24)+SUM('TRIAL-BALANCE'!AD24:AD24)+'TRIAL-BALANCE'!AD26+SUM('TRIAL-BALANCE'!AD28:AD30)+SUM('TRIAL-BALANCE'!AD33:AD34)+SUM('TRIAL-BALANCE'!AD35:AD36)+SUM('TRIAL-BALANCE'!AD39:AD40)+SUM('TRIAL-BALANCE'!AD46:AD47)+SUM('TRIAL-BALANCE'!AD52:AD53)+SUM('TRIAL-BALANCE'!AD58:AD59)+'TRIAL-BALANCE'!AD62+'TRIAL-BALANCE'!AD64+'TRIAL-BALANCE'!AD66+'TRIAL-BALANCE'!AD68-IF('Provisions-2020'!J82=0,+'Provisions-2020'!J42,+ROUND((+SUM('TRIAL-BALANCE'!AC25:AC25)-SUM('TRIAL-BALANCE'!AD25:AD25))*'TRIAL-BALANCE'!AD902,2))-IF('Provisions-2020'!J84=0,+'Provisions-2020'!J46,+ROUND((+'TRIAL-BALANCE'!AC21)*('TRIAL-BALANCE'!AD902),2))-IF('Provisions-2020'!J86=0,+'Provisions-2020'!J50,+ROUND(+('TRIAL-BALANCE'!AC54+'TRIAL-BALANCE'!AC55)*'TRIAL-BALANCE'!AD905,2))-IF('Provisions-2020'!J88=0,+'Provisions-2020'!J54,+ROUND(+('TRIAL-BALANCE'!AC60+'TRIAL-BALANCE'!AC61)*'TRIAL-BALANCE'!AD908,2)-ROUND(+('TRIAL-BALANCE'!AD60+'TRIAL-BALANCE'!AD61)*'TRIAL-BALANCE'!AD908,2)),2)</f>
        <v>0</v>
      </c>
      <c r="L74" s="248"/>
      <c r="M74" s="618">
        <f t="shared" ref="M74:M80" si="4">+ROUND(+D74+G74+J74,2)</f>
        <v>0</v>
      </c>
      <c r="N74" s="643">
        <f t="shared" ref="N74:N80" si="5">+ROUND(+E74+H74+K74,2)</f>
        <v>0</v>
      </c>
      <c r="O74" s="152"/>
      <c r="P74" s="1377" t="s">
        <v>1876</v>
      </c>
      <c r="Q74" s="1904" t="str">
        <f>+Q$35</f>
        <v xml:space="preserve">'Intra-Balances' </v>
      </c>
      <c r="R74" s="152"/>
      <c r="S74" s="152"/>
      <c r="T74" s="152"/>
      <c r="U74" s="152"/>
      <c r="V74" s="152"/>
      <c r="W74" s="152"/>
      <c r="X74" s="152"/>
      <c r="Y74" s="152"/>
      <c r="Z74" s="152"/>
    </row>
    <row r="75" spans="1:26" ht="15.75">
      <c r="A75" s="334" t="s">
        <v>422</v>
      </c>
      <c r="B75" s="340">
        <f t="shared" ref="B75:B82" si="6">1+B74</f>
        <v>522</v>
      </c>
      <c r="C75" s="233"/>
      <c r="D75" s="618">
        <f>+ROUND(+'TRIAL-BALANCE'!T114+'TRIAL-BALANCE'!T116+'TRIAL-BALANCE'!T118+'TRIAL-BALANCE'!T120+'TRIAL-BALANCE'!T122-SUM('TRIAL-BALANCE'!S275:S276)+SUM('TRIAL-BALANCE'!T275:T276)+IF(+AND('Provisions-2020'!E90=0,+'Provisions-2020'!E59&lt;&gt;0),+'Provisions-2020'!E59,0),2)</f>
        <v>246.59</v>
      </c>
      <c r="E75" s="619">
        <f>+ROUND(+'TRIAL-BALANCE'!P114+'TRIAL-BALANCE'!P116+'TRIAL-BALANCE'!P118+'TRIAL-BALANCE'!P120+'TRIAL-BALANCE'!P122-SUM('TRIAL-BALANCE'!O275:O276)+SUM('TRIAL-BALANCE'!P275:P276)+IF(+AND('Provisions-2020'!D90=0,+'Provisions-2020'!D59&lt;&gt;0),+'Provisions-2020'!D59,0),2)</f>
        <v>7316.95</v>
      </c>
      <c r="F75" s="248"/>
      <c r="G75" s="618">
        <f>+ROUND(+'TRIAL-BALANCE'!AA114+'TRIAL-BALANCE'!AA116+'TRIAL-BALANCE'!AA118+'TRIAL-BALANCE'!AA120+'TRIAL-BALANCE'!AA122-SUM('TRIAL-BALANCE'!Z275:Z276)+SUM('TRIAL-BALANCE'!AA275:AA276)+IF(+AND('Provisions-2020'!H90=0,+'Provisions-2020'!H59&lt;&gt;0),+'Provisions-2020'!H59,0),2)</f>
        <v>0</v>
      </c>
      <c r="H75" s="619">
        <f>+ROUND(+'TRIAL-BALANCE'!W114+'TRIAL-BALANCE'!W116+'TRIAL-BALANCE'!W118+'TRIAL-BALANCE'!W120+'TRIAL-BALANCE'!W122-SUM('TRIAL-BALANCE'!V275:V276)+SUM('TRIAL-BALANCE'!W275:W276)+IF(+AND('Provisions-2020'!G90=0,+'Provisions-2020'!G59&lt;&gt;0),+'Provisions-2020'!G59,0),2)</f>
        <v>0</v>
      </c>
      <c r="I75" s="248"/>
      <c r="J75" s="618">
        <f>+ROUND(+'TRIAL-BALANCE'!AH114+'TRIAL-BALANCE'!AH116+'TRIAL-BALANCE'!AH118+'TRIAL-BALANCE'!AH120+'TRIAL-BALANCE'!AH122-SUM('TRIAL-BALANCE'!AG275:AG276)+SUM('TRIAL-BALANCE'!AH275:AH276)+IF(+AND('Provisions-2020'!K90=0,+'Provisions-2020'!K59&lt;&gt;0),+'Provisions-2020'!K59,0),2)</f>
        <v>0</v>
      </c>
      <c r="K75" s="619">
        <f>+ROUND(+'TRIAL-BALANCE'!AD114+'TRIAL-BALANCE'!AD116+'TRIAL-BALANCE'!AD118+'TRIAL-BALANCE'!AD120+'TRIAL-BALANCE'!AD122-SUM('TRIAL-BALANCE'!AC275:AC276)+SUM('TRIAL-BALANCE'!AD275:AD276)+IF(+AND('Provisions-2020'!J90=0,+'Provisions-2020'!J59&lt;&gt;0),+'Provisions-2020'!J59,0),2)</f>
        <v>0</v>
      </c>
      <c r="L75" s="248"/>
      <c r="M75" s="618">
        <f t="shared" si="4"/>
        <v>246.59</v>
      </c>
      <c r="N75" s="619">
        <f t="shared" si="5"/>
        <v>7316.95</v>
      </c>
      <c r="O75" s="152"/>
      <c r="P75" s="1378" t="s">
        <v>1877</v>
      </c>
      <c r="Q75" s="1905" t="str">
        <f>+Q$36</f>
        <v>'Municipal-Bal'</v>
      </c>
      <c r="R75" s="152"/>
      <c r="S75" s="152"/>
      <c r="T75" s="152"/>
      <c r="U75" s="152"/>
      <c r="V75" s="152"/>
      <c r="W75" s="152"/>
      <c r="X75" s="152"/>
      <c r="Y75" s="152"/>
      <c r="Z75" s="152"/>
    </row>
    <row r="76" spans="1:26" ht="15.75">
      <c r="A76" s="334" t="s">
        <v>423</v>
      </c>
      <c r="B76" s="340">
        <f t="shared" si="6"/>
        <v>523</v>
      </c>
      <c r="C76" s="233"/>
      <c r="D76" s="618">
        <f>+ROUND(+'TRIAL-BALANCE'!T121+'TRIAL-BALANCE'!T125+'TRIAL-BALANCE'!T127+IF(+AND('Provisions-2020'!E90=0,+'Provisions-2020'!E60&lt;&gt;0),+'Provisions-2020'!E60,0),2)</f>
        <v>0</v>
      </c>
      <c r="E76" s="619">
        <f>+ROUND(+'TRIAL-BALANCE'!P121+'TRIAL-BALANCE'!P125+'TRIAL-BALANCE'!P127+IF(+AND('Provisions-2020'!D90=0,+'Provisions-2020'!D60&lt;&gt;0),+'Provisions-2020'!D60,0),2)</f>
        <v>0</v>
      </c>
      <c r="F76" s="248"/>
      <c r="G76" s="618">
        <f>+ROUND(+'TRIAL-BALANCE'!AA121+'TRIAL-BALANCE'!AA125+'TRIAL-BALANCE'!AA127+IF(+AND('Provisions-2020'!H90=0,+'Provisions-2020'!H60&lt;&gt;0),+'Provisions-2020'!H60,0),2)</f>
        <v>0</v>
      </c>
      <c r="H76" s="619">
        <f>+ROUND(+'TRIAL-BALANCE'!W121+'TRIAL-BALANCE'!W125+'TRIAL-BALANCE'!W127+IF(+AND('Provisions-2020'!G90=0,+'Provisions-2020'!G60&lt;&gt;0),+'Provisions-2020'!G60,0),2)</f>
        <v>0</v>
      </c>
      <c r="I76" s="248"/>
      <c r="J76" s="618">
        <f>+ROUND(+'TRIAL-BALANCE'!AH121+'TRIAL-BALANCE'!AH125+'TRIAL-BALANCE'!AH127+IF(+AND('Provisions-2020'!K90=0,+'Provisions-2020'!K60&lt;&gt;0),+'Provisions-2020'!K60,0),2)</f>
        <v>0</v>
      </c>
      <c r="K76" s="619">
        <f>+ROUND(+'TRIAL-BALANCE'!AD121+'TRIAL-BALANCE'!AD125+'TRIAL-BALANCE'!AD127+IF(+AND('Provisions-2020'!J90=0,+'Provisions-2020'!J60&lt;&gt;0),+'Provisions-2020'!J60,0),2)</f>
        <v>0</v>
      </c>
      <c r="L76" s="248"/>
      <c r="M76" s="618">
        <f t="shared" si="4"/>
        <v>0</v>
      </c>
      <c r="N76" s="619">
        <f t="shared" si="5"/>
        <v>0</v>
      </c>
      <c r="O76" s="152"/>
      <c r="P76" s="1245" t="s">
        <v>1254</v>
      </c>
      <c r="Q76" s="1213" t="s">
        <v>1255</v>
      </c>
      <c r="R76" s="152"/>
      <c r="S76" s="152"/>
      <c r="T76" s="152"/>
      <c r="U76" s="152"/>
      <c r="V76" s="152"/>
      <c r="W76" s="152"/>
      <c r="X76" s="152"/>
      <c r="Y76" s="152"/>
      <c r="Z76" s="152"/>
    </row>
    <row r="77" spans="1:26" ht="15.75">
      <c r="A77" s="334" t="s">
        <v>369</v>
      </c>
      <c r="B77" s="340">
        <f t="shared" si="6"/>
        <v>524</v>
      </c>
      <c r="C77" s="233"/>
      <c r="D77" s="618">
        <f>+ROUND(+'TRIAL-BALANCE'!T133+'TRIAL-BALANCE'!T135+'TRIAL-BALANCE'!T139+'TRIAL-BALANCE'!T140+'TRIAL-BALANCE'!T142+'TRIAL-BALANCE'!T143+'TRIAL-BALANCE'!T146-SUM('TRIAL-BALANCE'!S279:S280)+SUM('TRIAL-BALANCE'!T279:T280)+IF(+AND('Provisions-2020'!E90=0,+'Provisions-2020'!E61&lt;&gt;0),+'Provisions-2020'!E61,0),2)</f>
        <v>0</v>
      </c>
      <c r="E77" s="619">
        <f>+ROUND(+'TRIAL-BALANCE'!P133+'TRIAL-BALANCE'!P135+'TRIAL-BALANCE'!P139+'TRIAL-BALANCE'!P140+'TRIAL-BALANCE'!P142+'TRIAL-BALANCE'!P143+'TRIAL-BALANCE'!P146-SUM('TRIAL-BALANCE'!O279:O280)+SUM('TRIAL-BALANCE'!P279:P280)+IF(+AND('Provisions-2020'!D90=0,+'Provisions-2020'!D61&lt;&gt;0),+'Provisions-2020'!D61,0),2)</f>
        <v>0</v>
      </c>
      <c r="F77" s="248"/>
      <c r="G77" s="618">
        <f>+ROUND(+'TRIAL-BALANCE'!AA133+'TRIAL-BALANCE'!AA135+'TRIAL-BALANCE'!AA139+'TRIAL-BALANCE'!AA140+'TRIAL-BALANCE'!AA142+'TRIAL-BALANCE'!AA143+'TRIAL-BALANCE'!AA146-SUM('TRIAL-BALANCE'!Z279:Z280)+IF(+AND('Provisions-2020'!H90=0,+'Provisions-2020'!H61&lt;&gt;0),+'Provisions-2020'!H61,0),2)</f>
        <v>0</v>
      </c>
      <c r="H77" s="619">
        <f>+ROUND(+'TRIAL-BALANCE'!W133+'TRIAL-BALANCE'!W135+'TRIAL-BALANCE'!W139+'TRIAL-BALANCE'!W140+'TRIAL-BALANCE'!W142+'TRIAL-BALANCE'!W143+'TRIAL-BALANCE'!W146-SUM('TRIAL-BALANCE'!V279:V280)+SUM('TRIAL-BALANCE'!W279:W280)+IF(+AND('Provisions-2020'!G90=0,+'Provisions-2020'!G61&lt;&gt;0),+'Provisions-2020'!G61,0),2)</f>
        <v>0</v>
      </c>
      <c r="I77" s="248"/>
      <c r="J77" s="618">
        <f>+ROUND(+'TRIAL-BALANCE'!AH133+'TRIAL-BALANCE'!AH135+'TRIAL-BALANCE'!AH139+'TRIAL-BALANCE'!AH140+'TRIAL-BALANCE'!AH142+'TRIAL-BALANCE'!AH143+'TRIAL-BALANCE'!AH146-SUM('TRIAL-BALANCE'!AG279:AG280)+SUM('TRIAL-BALANCE'!AH279:AH280)+IF(+AND('Provisions-2020'!K90=0,+'Provisions-2020'!K61&lt;&gt;0),+'Provisions-2020'!K61,0),2)</f>
        <v>0</v>
      </c>
      <c r="K77" s="619">
        <f>+ROUND(+'TRIAL-BALANCE'!AD133+'TRIAL-BALANCE'!AD135+'TRIAL-BALANCE'!AD139+'TRIAL-BALANCE'!AD140+'TRIAL-BALANCE'!AD142+'TRIAL-BALANCE'!AD143+'TRIAL-BALANCE'!AD146-SUM('TRIAL-BALANCE'!AC279:AC280)+SUM('TRIAL-BALANCE'!AD279:AD280)+IF(+AND('Provisions-2020'!J90=0,+'Provisions-2020'!J61&lt;&gt;0),+'Provisions-2020'!J61,0),2)</f>
        <v>0</v>
      </c>
      <c r="L77" s="248"/>
      <c r="M77" s="618">
        <f t="shared" si="4"/>
        <v>0</v>
      </c>
      <c r="N77" s="619">
        <f t="shared" si="5"/>
        <v>0</v>
      </c>
      <c r="O77" s="152"/>
      <c r="P77" s="1214" t="s">
        <v>1196</v>
      </c>
      <c r="Q77" s="1215" t="s">
        <v>1964</v>
      </c>
      <c r="R77" s="152"/>
      <c r="S77" s="152"/>
      <c r="T77" s="152"/>
      <c r="U77" s="152"/>
      <c r="V77" s="152"/>
      <c r="W77" s="152"/>
      <c r="X77" s="152"/>
      <c r="Y77" s="152"/>
      <c r="Z77" s="152"/>
    </row>
    <row r="78" spans="1:26" ht="15.75">
      <c r="A78" s="334" t="s">
        <v>424</v>
      </c>
      <c r="B78" s="340">
        <f t="shared" si="6"/>
        <v>525</v>
      </c>
      <c r="C78" s="233"/>
      <c r="D78" s="642">
        <f>+ROUND(+'TRIAL-BALANCE'!T180+'TRIAL-BALANCE'!T181+'TRIAL-BALANCE'!T182+'TRIAL-BALANCE'!T183+'TRIAL-BALANCE'!T187,2)</f>
        <v>0</v>
      </c>
      <c r="E78" s="643">
        <f>+ROUND(+'TRIAL-BALANCE'!P180+'TRIAL-BALANCE'!P181+'TRIAL-BALANCE'!P182+'TRIAL-BALANCE'!P183+'TRIAL-BALANCE'!P187,2)</f>
        <v>4000</v>
      </c>
      <c r="F78" s="248"/>
      <c r="G78" s="642">
        <f>+ROUND(+'TRIAL-BALANCE'!AA180+'TRIAL-BALANCE'!AA181+'TRIAL-BALANCE'!AA182+'TRIAL-BALANCE'!AA183+'TRIAL-BALANCE'!AA187,2)</f>
        <v>0</v>
      </c>
      <c r="H78" s="643">
        <f>+ROUND(+'TRIAL-BALANCE'!W180+'TRIAL-BALANCE'!W181+'TRIAL-BALANCE'!W182+'TRIAL-BALANCE'!W183+'TRIAL-BALANCE'!W187,2)</f>
        <v>0</v>
      </c>
      <c r="I78" s="248"/>
      <c r="J78" s="642">
        <f>+ROUND(+'TRIAL-BALANCE'!AH180+'TRIAL-BALANCE'!AH181+'TRIAL-BALANCE'!AH182+'TRIAL-BALANCE'!AH183+'TRIAL-BALANCE'!AH187,2)</f>
        <v>0</v>
      </c>
      <c r="K78" s="643">
        <f>+ROUND(+'TRIAL-BALANCE'!AD180+'TRIAL-BALANCE'!AD181+'TRIAL-BALANCE'!AD182+'TRIAL-BALANCE'!AD183+'TRIAL-BALANCE'!AD187,2)</f>
        <v>0</v>
      </c>
      <c r="L78" s="248"/>
      <c r="M78" s="618">
        <f>+ROUND(+D78+G78+J78,2)-ROUND(P78,2)</f>
        <v>0</v>
      </c>
      <c r="N78" s="619">
        <f>+ROUND(+E78+H78+K78,2)-ROUND(Q78,2)</f>
        <v>4000</v>
      </c>
      <c r="O78" s="152"/>
      <c r="P78" s="2086">
        <f>+IF(+AND(Status!K4="ДА",+ROUND('Municipal-Bal'!K20,0)=1,+ROUND('Municipal-Bal'!S80,2)=+ROUND('Municipal-Bal'!S91,2)),+ROUND(+SUM('Municipal-Bal'!R74:R75),2),0)</f>
        <v>0</v>
      </c>
      <c r="Q78" s="2087">
        <f>+IF(+AND(Status!K4="ДА",+ROUND('Municipal-Bal'!K20,0)=1,+ROUND('Municipal-Bal'!P80,2)=+ROUND('Municipal-Bal'!P91,2)),+ROUND(+SUM('Municipal-Bal'!O74:O75),2),0)</f>
        <v>0</v>
      </c>
      <c r="R78" s="152"/>
      <c r="S78" s="152"/>
      <c r="T78" s="152"/>
      <c r="U78" s="152"/>
      <c r="V78" s="152"/>
      <c r="W78" s="152"/>
      <c r="X78" s="152"/>
      <c r="Y78" s="152"/>
      <c r="Z78" s="152"/>
    </row>
    <row r="79" spans="1:26" ht="15.75">
      <c r="A79" s="687" t="s">
        <v>1015</v>
      </c>
      <c r="B79" s="340">
        <f t="shared" si="6"/>
        <v>526</v>
      </c>
      <c r="C79" s="233"/>
      <c r="D79" s="618">
        <f>+ROUND(+'TRIAL-BALANCE'!T191+'TRIAL-BALANCE'!T192+'TRIAL-BALANCE'!T193+'TRIAL-BALANCE'!T194,2)</f>
        <v>0</v>
      </c>
      <c r="E79" s="619">
        <f>+ROUND(+'TRIAL-BALANCE'!P191+'TRIAL-BALANCE'!P192+'TRIAL-BALANCE'!P193+'TRIAL-BALANCE'!P194,2)</f>
        <v>7000</v>
      </c>
      <c r="F79" s="248"/>
      <c r="G79" s="618">
        <f>+ROUND(+'TRIAL-BALANCE'!AA191+'TRIAL-BALANCE'!AA192+'TRIAL-BALANCE'!AA193+'TRIAL-BALANCE'!AA194,2)</f>
        <v>0</v>
      </c>
      <c r="H79" s="619">
        <f>+ROUND(+'TRIAL-BALANCE'!W191+'TRIAL-BALANCE'!W192+'TRIAL-BALANCE'!W193+'TRIAL-BALANCE'!W194,2)</f>
        <v>0</v>
      </c>
      <c r="I79" s="248"/>
      <c r="J79" s="618">
        <f>+ROUND(+'TRIAL-BALANCE'!AH191+'TRIAL-BALANCE'!AH192+'TRIAL-BALANCE'!AH193+'TRIAL-BALANCE'!AH194,2)</f>
        <v>0</v>
      </c>
      <c r="K79" s="619">
        <f>+ROUND(+'TRIAL-BALANCE'!AD191+'TRIAL-BALANCE'!AD192+'TRIAL-BALANCE'!AD193+'TRIAL-BALANCE'!AD194,2)</f>
        <v>0</v>
      </c>
      <c r="L79" s="248"/>
      <c r="M79" s="618">
        <f t="shared" si="4"/>
        <v>0</v>
      </c>
      <c r="N79" s="619">
        <f t="shared" si="5"/>
        <v>7000</v>
      </c>
      <c r="O79" s="152"/>
      <c r="P79" s="2089"/>
      <c r="Q79" s="2090"/>
      <c r="R79" s="152"/>
      <c r="S79" s="152"/>
      <c r="T79" s="152"/>
      <c r="U79" s="152"/>
      <c r="V79" s="152"/>
      <c r="W79" s="152"/>
      <c r="X79" s="152"/>
      <c r="Y79" s="152"/>
      <c r="Z79" s="152"/>
    </row>
    <row r="80" spans="1:26" ht="15.75">
      <c r="A80" s="687" t="s">
        <v>425</v>
      </c>
      <c r="B80" s="340">
        <f t="shared" si="6"/>
        <v>527</v>
      </c>
      <c r="C80" s="233"/>
      <c r="D80" s="618">
        <f>+ROUND(+'TRIAL-BALANCE'!T128+'TRIAL-BALANCE'!T130-SUM('TRIAL-BALANCE'!S277:S278)+SUM('TRIAL-BALANCE'!T277:T278),2)</f>
        <v>0</v>
      </c>
      <c r="E80" s="619">
        <f>+ROUND(+'TRIAL-BALANCE'!P128+'TRIAL-BALANCE'!P130-SUM('TRIAL-BALANCE'!O277:O278)+SUM('TRIAL-BALANCE'!P277:P278),2)</f>
        <v>0</v>
      </c>
      <c r="F80" s="248"/>
      <c r="G80" s="618">
        <f>+ROUND(+'TRIAL-BALANCE'!AA128+'TRIAL-BALANCE'!AA130-SUM('TRIAL-BALANCE'!Z277:Z278)+SUM('TRIAL-BALANCE'!AA277:AA278),2)</f>
        <v>0</v>
      </c>
      <c r="H80" s="619">
        <f>+ROUND(+'TRIAL-BALANCE'!W128+'TRIAL-BALANCE'!W130-SUM('TRIAL-BALANCE'!V277:V278)+SUM('TRIAL-BALANCE'!W277:W278),2)</f>
        <v>0</v>
      </c>
      <c r="I80" s="248"/>
      <c r="J80" s="618">
        <f>+ROUND(+'TRIAL-BALANCE'!AH128+'TRIAL-BALANCE'!AH130-SUM('TRIAL-BALANCE'!AG277:AG278)+SUM('TRIAL-BALANCE'!AH277:AH278),2)</f>
        <v>0</v>
      </c>
      <c r="K80" s="619">
        <f>+ROUND(+'TRIAL-BALANCE'!AD128+'TRIAL-BALANCE'!AD130-SUM('TRIAL-BALANCE'!AC277:AC278)+SUM('TRIAL-BALANCE'!AD277:AD278),2)</f>
        <v>0</v>
      </c>
      <c r="L80" s="248"/>
      <c r="M80" s="618">
        <f t="shared" si="4"/>
        <v>0</v>
      </c>
      <c r="N80" s="619">
        <f t="shared" si="5"/>
        <v>0</v>
      </c>
      <c r="O80" s="152"/>
      <c r="P80" s="2089"/>
      <c r="Q80" s="2090"/>
      <c r="R80" s="152"/>
      <c r="S80" s="152"/>
      <c r="T80" s="152"/>
      <c r="U80" s="152"/>
      <c r="V80" s="152"/>
      <c r="W80" s="152"/>
      <c r="X80" s="152"/>
      <c r="Y80" s="152"/>
      <c r="Z80" s="152"/>
    </row>
    <row r="81" spans="1:26" ht="15.75">
      <c r="A81" s="687" t="s">
        <v>1048</v>
      </c>
      <c r="B81" s="340">
        <f t="shared" si="6"/>
        <v>528</v>
      </c>
      <c r="C81" s="233"/>
      <c r="D81" s="618">
        <f>+ROUND(+SUM('TRIAL-BALANCE'!T200:T207),2)</f>
        <v>0</v>
      </c>
      <c r="E81" s="619">
        <f>+ROUND(+SUM('TRIAL-BALANCE'!P200:P207),2)</f>
        <v>0</v>
      </c>
      <c r="F81" s="248"/>
      <c r="G81" s="618">
        <f>+ROUND(+SUM('TRIAL-BALANCE'!AA200:AA207),2)</f>
        <v>0</v>
      </c>
      <c r="H81" s="619">
        <f>+ROUND(+SUM('TRIAL-BALANCE'!W200:W207),2)</f>
        <v>0</v>
      </c>
      <c r="I81" s="248"/>
      <c r="J81" s="618">
        <f>+ROUND(+SUM('TRIAL-BALANCE'!AH200:AH207),2)</f>
        <v>0</v>
      </c>
      <c r="K81" s="619">
        <f>+ROUND(+SUM('TRIAL-BALANCE'!AD200:AD207),2)</f>
        <v>0</v>
      </c>
      <c r="L81" s="248"/>
      <c r="M81" s="618">
        <f>+ROUND(+D81+G81+J81,2)-ROUND(P81,2)</f>
        <v>0</v>
      </c>
      <c r="N81" s="619">
        <f>+ROUND(+E81+H81+K81,2)-ROUND(Q81,2)</f>
        <v>0</v>
      </c>
      <c r="O81" s="152"/>
      <c r="P81" s="2088">
        <f>+IF(+AND(Status!K4="ДА",+ROUND('Intra-Balances'!S34,2)=0,+ROUND('Intra-Balances'!S51,2)=ROUND('Intra-Balances'!S53,2)),+ROUND('Intra-Balances'!S53,2),0)</f>
        <v>0</v>
      </c>
      <c r="Q81" s="1212">
        <f>+IF(+AND(Status!K4="ДА",+ROUND('Intra-Balances'!P34,2)=0,+ROUND('Intra-Balances'!P51,2)=ROUND('Intra-Balances'!P53,2)),+ROUND('Intra-Balances'!P53,2),0)</f>
        <v>0</v>
      </c>
      <c r="R81" s="152"/>
      <c r="S81" s="152"/>
      <c r="T81" s="152"/>
      <c r="U81" s="152"/>
      <c r="V81" s="152"/>
      <c r="W81" s="152"/>
      <c r="X81" s="152"/>
      <c r="Y81" s="152"/>
      <c r="Z81" s="152"/>
    </row>
    <row r="82" spans="1:26" ht="15.75">
      <c r="A82" s="336" t="s">
        <v>426</v>
      </c>
      <c r="B82" s="341">
        <f t="shared" si="6"/>
        <v>529</v>
      </c>
      <c r="C82" s="233"/>
      <c r="D82" s="628">
        <f>+ROUND(+SUM('TRIAL-BALANCE'!T150:T150)+'TRIAL-BALANCE'!T160+SUM('TRIAL-BALANCE'!T173:T179)+SUM('TRIAL-BALANCE'!T184:T186)+SUM('TRIAL-BALANCE'!T190:T190)+SUM('TRIAL-BALANCE'!T195:T195)+SUM('TRIAL-BALANCE'!T197:T199)+SUM('TRIAL-BALANCE'!T208:T218)+'TRIAL-BALANCE'!T220+'TRIAL-BALANCE'!T222+'TRIAL-BALANCE'!T224+SUM('TRIAL-BALANCE'!T225:T228)+'TRIAL-BALANCE'!T235+SUM('TRIAL-BALANCE'!T237:T238)+SUM('TRIAL-BALANCE'!T241:T244)+SUM('TRIAL-BALANCE'!T257:T260)-SUM('TRIAL-BALANCE'!S274:S274)+SUM('TRIAL-BALANCE'!S274:S274)+SUM('TRIAL-BALANCE'!T274:T274)-SUM('TRIAL-BALANCE'!T274:T274)-SUM('TRIAL-BALANCE'!S281:S282)+SUM('TRIAL-BALANCE'!T281:T282)+SUM('TRIAL-BALANCE'!T336:T337)+'TRIAL-BALANCE'!T911-IF('Provisions-2020'!E88=0,+'Provisions-2020'!E55,0)+IF(+AND('Provisions-2020'!E90=0,+'Provisions-2020'!E66&lt;&gt;0),+'Provisions-2020'!E66,0),2)</f>
        <v>21390.560000000001</v>
      </c>
      <c r="E82" s="629">
        <f>+ROUND(+SUM('TRIAL-BALANCE'!P150:P150)+'TRIAL-BALANCE'!P160+SUM('TRIAL-BALANCE'!P173:P179)+SUM('TRIAL-BALANCE'!P184:P186)+SUM('TRIAL-BALANCE'!P190:P190)+SUM('TRIAL-BALANCE'!P195:P195)+SUM('TRIAL-BALANCE'!P197:P199)+SUM('TRIAL-BALANCE'!P208:P218)+'TRIAL-BALANCE'!P220+'TRIAL-BALANCE'!P222+'TRIAL-BALANCE'!P224+SUM('TRIAL-BALANCE'!P225:P228)+'TRIAL-BALANCE'!P235+SUM('TRIAL-BALANCE'!P237:P238)+SUM('TRIAL-BALANCE'!P241:P244)+SUM('TRIAL-BALANCE'!P257:P260)-SUM('TRIAL-BALANCE'!O274:O274)+SUM('TRIAL-BALANCE'!O274:O274)+SUM('TRIAL-BALANCE'!P274:P274)-SUM('TRIAL-BALANCE'!P274:P274)-SUM('TRIAL-BALANCE'!O281:O282)+SUM('TRIAL-BALANCE'!P281:P282)+SUM('TRIAL-BALANCE'!P336:P337)+'TRIAL-BALANCE'!P911-IF('Provisions-2020'!D88=0,+'Provisions-2020'!D55,0)+IF(+AND('Provisions-2020'!D90=0,+'Provisions-2020'!D66&lt;&gt;0),+'Provisions-2020'!D66,0),2)</f>
        <v>13259.24</v>
      </c>
      <c r="F82" s="248"/>
      <c r="G82" s="628">
        <f>+ROUND(+SUM('TRIAL-BALANCE'!AA150:AA150)+'TRIAL-BALANCE'!AA160+SUM('TRIAL-BALANCE'!AA173:AA179)+SUM('TRIAL-BALANCE'!AA184:AA186)+SUM('TRIAL-BALANCE'!AA190:AA190)+SUM('TRIAL-BALANCE'!AA195:AA195)+SUM('TRIAL-BALANCE'!AA197:AA199)+SUM('TRIAL-BALANCE'!AA208:AA218)+'TRIAL-BALANCE'!AA220+'TRIAL-BALANCE'!AA222+'TRIAL-BALANCE'!AA224+SUM('TRIAL-BALANCE'!AA225:AA228)+'TRIAL-BALANCE'!AA235+SUM('TRIAL-BALANCE'!AA237:AA238)+SUM('TRIAL-BALANCE'!AA241:AA244)+SUM('TRIAL-BALANCE'!AA257:AA260)-SUM('TRIAL-BALANCE'!Z274:Z274)+SUM('TRIAL-BALANCE'!Z274:Z274)+SUM('TRIAL-BALANCE'!AA274:AA274)-SUM('TRIAL-BALANCE'!AA274:AA274)-SUM('TRIAL-BALANCE'!Z281:Z282)+SUM('TRIAL-BALANCE'!AA281:AA282)+SUM('TRIAL-BALANCE'!AA336:AA337)+'TRIAL-BALANCE'!AA911-IF('Provisions-2020'!H88=0,+'Provisions-2020'!H55,0)+IF(+AND('Provisions-2020'!H90=0,+'Provisions-2020'!H66&lt;&gt;0),+'Provisions-2020'!H66,0),2)</f>
        <v>0</v>
      </c>
      <c r="H82" s="629">
        <f>+ROUND(+SUM('TRIAL-BALANCE'!W150:W150)+'TRIAL-BALANCE'!W160+SUM('TRIAL-BALANCE'!W173:W179)+SUM('TRIAL-BALANCE'!W184:W186)+SUM('TRIAL-BALANCE'!W190:W190)+SUM('TRIAL-BALANCE'!W195:W195)+SUM('TRIAL-BALANCE'!W197:W199)+SUM('TRIAL-BALANCE'!W208:W218)+'TRIAL-BALANCE'!W220+'TRIAL-BALANCE'!W222+'TRIAL-BALANCE'!W224+SUM('TRIAL-BALANCE'!W225:W228)+'TRIAL-BALANCE'!W235+SUM('TRIAL-BALANCE'!W237:W238)+SUM('TRIAL-BALANCE'!W241:W244)+SUM('TRIAL-BALANCE'!W257:W260)-SUM('TRIAL-BALANCE'!V274:V274)+SUM('TRIAL-BALANCE'!V274:V274)+SUM('TRIAL-BALANCE'!W274:W274)-SUM('TRIAL-BALANCE'!W274:W274)-SUM('TRIAL-BALANCE'!V281:V282)+SUM('TRIAL-BALANCE'!W281:W282)+SUM('TRIAL-BALANCE'!W336:W337)+'TRIAL-BALANCE'!W911-IF('Provisions-2020'!G88=0,+'Provisions-2020'!G55,0)+IF(+AND('Provisions-2020'!G90=0,+'Provisions-2020'!G66&lt;&gt;0),+'Provisions-2020'!G66,0),2)</f>
        <v>0</v>
      </c>
      <c r="I82" s="248"/>
      <c r="J82" s="628">
        <f>+ROUND(+SUM('TRIAL-BALANCE'!AH150:AH150)+'TRIAL-BALANCE'!AH160+SUM('TRIAL-BALANCE'!AH173:AH179)+SUM('TRIAL-BALANCE'!AH184:AH186)+SUM('TRIAL-BALANCE'!AH190:AH190)+SUM('TRIAL-BALANCE'!AH195:AH195)+SUM('TRIAL-BALANCE'!AH197:AH199)+SUM('TRIAL-BALANCE'!AH208:AH218)+'TRIAL-BALANCE'!AH220+'TRIAL-BALANCE'!AH222+'TRIAL-BALANCE'!AH224+SUM('TRIAL-BALANCE'!AH225:AH228)+'TRIAL-BALANCE'!AH235+SUM('TRIAL-BALANCE'!AH237:AH238)+SUM('TRIAL-BALANCE'!AH241:AH244)+SUM('TRIAL-BALANCE'!AH257:AH260)-SUM('TRIAL-BALANCE'!AG274:AG274)+SUM('TRIAL-BALANCE'!AG274:AG274)+SUM('TRIAL-BALANCE'!AH274:AH274)-SUM('TRIAL-BALANCE'!AH274:AH274)-SUM('TRIAL-BALANCE'!AG281:AG282)+SUM('TRIAL-BALANCE'!AH281:AH282)+SUM('TRIAL-BALANCE'!AH336:AH337)+'TRIAL-BALANCE'!AH911-IF('Provisions-2020'!K88=0,+'Provisions-2020'!K55,0)+IF(+AND('Provisions-2020'!K90=0,+'Provisions-2020'!K66&lt;&gt;0),+'Provisions-2020'!K66,0),2)</f>
        <v>0</v>
      </c>
      <c r="K82" s="629">
        <f>+ROUND(+SUM('TRIAL-BALANCE'!AD150:AD150)+'TRIAL-BALANCE'!AD160+SUM('TRIAL-BALANCE'!AD173:AD179)+SUM('TRIAL-BALANCE'!AD184:AD186)+SUM('TRIAL-BALANCE'!AD190:AD190)+SUM('TRIAL-BALANCE'!AD195:AD195)+SUM('TRIAL-BALANCE'!AD197:AD199)+SUM('TRIAL-BALANCE'!AD208:AD218)+'TRIAL-BALANCE'!AD220+'TRIAL-BALANCE'!AD222+'TRIAL-BALANCE'!AD224+SUM('TRIAL-BALANCE'!AD225:AD228)+'TRIAL-BALANCE'!AD235+SUM('TRIAL-BALANCE'!AD237:AD238)+SUM('TRIAL-BALANCE'!AD241:AD244)+SUM('TRIAL-BALANCE'!AD257:AD260)-SUM('TRIAL-BALANCE'!AC274:AC274)+SUM('TRIAL-BALANCE'!AC274:AC274)+SUM('TRIAL-BALANCE'!AD274:AD274)-SUM('TRIAL-BALANCE'!AD274:AD274)-SUM('TRIAL-BALANCE'!AC281:AC282)+SUM('TRIAL-BALANCE'!AD281:AD282)+SUM('TRIAL-BALANCE'!AD336:AD337)+'TRIAL-BALANCE'!AD911-IF('Provisions-2020'!J88=0,+'Provisions-2020'!J55,0)+IF(+AND('Provisions-2020'!J90=0,+'Provisions-2020'!J66&lt;&gt;0),+'Provisions-2020'!J66,0),2)</f>
        <v>0</v>
      </c>
      <c r="L82" s="248"/>
      <c r="M82" s="628">
        <f>+ROUND(+D82+G82+J82,2)-ROUND(P82,2)</f>
        <v>21390.560000000001</v>
      </c>
      <c r="N82" s="629">
        <f>+ROUND(+E82+H82+K82,2)-ROUND(Q82,2)</f>
        <v>13259.24</v>
      </c>
      <c r="O82" s="152"/>
      <c r="P82" s="1210">
        <f>+IF(+AND(Status!K4="ДА",+ROUND('Intra-Balances'!S34,2)=0,+ROUND('Intra-Balances'!S55,2)=ROUND('Intra-Balances'!S57,2)),+ROUND('Intra-Balances'!S57,2),0)+IF(+AND(Status!K4="ДА",+ROUND('Municipal-Bal'!K20,0)=1,+ROUND('Municipal-Bal'!S80,2)=+ROUND('Municipal-Bal'!S91,2)),+ROUND(+SUM('Municipal-Bal'!R77:R78),2),0)</f>
        <v>0</v>
      </c>
      <c r="Q82" s="1211">
        <f>+IF(+AND(Status!K4="ДА",+ROUND('Intra-Balances'!P34,2)=0,+ROUND('Intra-Balances'!P55,2)=ROUND('Intra-Balances'!P57,2)),+ROUND('Intra-Balances'!P57,2),0)+IF(+AND(Status!K4="ДА",+ROUND('Municipal-Bal'!K20,0)=1,+ROUND('Municipal-Bal'!P80,2)=+ROUND('Municipal-Bal'!P91,2)),+ROUND(+SUM('Municipal-Bal'!O77:O78),2),0)</f>
        <v>0</v>
      </c>
      <c r="R82" s="152"/>
      <c r="S82" s="152"/>
      <c r="T82" s="152"/>
      <c r="U82" s="152"/>
      <c r="V82" s="152"/>
      <c r="W82" s="152"/>
      <c r="X82" s="152"/>
      <c r="Y82" s="152"/>
      <c r="Z82" s="152"/>
    </row>
    <row r="83" spans="1:26" ht="15.75">
      <c r="A83" s="177" t="s">
        <v>1024</v>
      </c>
      <c r="B83" s="188">
        <v>520</v>
      </c>
      <c r="C83" s="233"/>
      <c r="D83" s="650">
        <f>+ROUND(SUM(D74:D82),2)</f>
        <v>21637.15</v>
      </c>
      <c r="E83" s="651">
        <f>+ROUND(SUM(E74:E82),2)</f>
        <v>31576.19</v>
      </c>
      <c r="F83" s="248"/>
      <c r="G83" s="650">
        <f>+ROUND(SUM(G74:G82),2)</f>
        <v>0</v>
      </c>
      <c r="H83" s="651">
        <f>+ROUND(SUM(H74:H82),2)</f>
        <v>0</v>
      </c>
      <c r="I83" s="248"/>
      <c r="J83" s="650">
        <f>+ROUND(SUM(J74:J82),2)</f>
        <v>0</v>
      </c>
      <c r="K83" s="651">
        <f>+ROUND(SUM(K74:K82),2)</f>
        <v>0</v>
      </c>
      <c r="L83" s="248"/>
      <c r="M83" s="650">
        <f>+ROUND(SUM(M74:M82),2)</f>
        <v>21637.15</v>
      </c>
      <c r="N83" s="651">
        <f>+ROUND(SUM(N74:N82),2)</f>
        <v>31576.19</v>
      </c>
      <c r="O83" s="152"/>
      <c r="P83" s="1216">
        <f>+ROUND(+SUM(P78:P82),2)</f>
        <v>0</v>
      </c>
      <c r="Q83" s="1217">
        <f>+ROUND(+SUM(Q78:Q82),2)</f>
        <v>0</v>
      </c>
      <c r="R83" s="152"/>
      <c r="S83" s="152"/>
      <c r="T83" s="152"/>
      <c r="U83" s="152"/>
      <c r="V83" s="152"/>
      <c r="W83" s="152"/>
      <c r="X83" s="152"/>
      <c r="Y83" s="152"/>
      <c r="Z83" s="152"/>
    </row>
    <row r="84" spans="1:26" ht="15.75">
      <c r="A84" s="686" t="s">
        <v>1014</v>
      </c>
      <c r="B84" s="187"/>
      <c r="C84" s="233"/>
      <c r="D84" s="310" t="str">
        <f>+IF(+OR(D85&lt;0,D86&lt;0),"НЕРАВНЕНИЕ !"," ")</f>
        <v xml:space="preserve"> </v>
      </c>
      <c r="E84" s="319" t="str">
        <f>+IF(+OR(E85&lt;0,E86&lt;0),"НЕРАВНЕНИЕ !"," ")</f>
        <v xml:space="preserve"> </v>
      </c>
      <c r="F84" s="248"/>
      <c r="G84" s="310" t="str">
        <f>+IF(+OR(G85&lt;0,G86&lt;0),"НЕРАВНЕНИЕ !"," ")</f>
        <v xml:space="preserve"> </v>
      </c>
      <c r="H84" s="319" t="str">
        <f>+IF(+OR(H85&lt;0,H86&lt;0),"НЕРАВНЕНИЕ !"," ")</f>
        <v xml:space="preserve"> </v>
      </c>
      <c r="I84" s="248"/>
      <c r="J84" s="310" t="str">
        <f>+IF(+OR(J85&lt;0,J86&lt;0),"НЕРАВНЕНИЕ !"," ")</f>
        <v xml:space="preserve"> </v>
      </c>
      <c r="K84" s="319" t="str">
        <f>+IF(+OR(K85&lt;0,K86&lt;0),"НЕРАВНЕНИЕ !"," ")</f>
        <v xml:space="preserve"> </v>
      </c>
      <c r="L84" s="248"/>
      <c r="M84" s="310" t="str">
        <f>+IF(+OR(M85&lt;0,M86&lt;0),"НЕРАВНЕНИЕ !"," ")</f>
        <v xml:space="preserve"> </v>
      </c>
      <c r="N84" s="319" t="str">
        <f>+IF(+OR(N85&lt;0,N86&lt;0),"НЕРАВНЕНИЕ !"," ")</f>
        <v xml:space="preserve"> </v>
      </c>
      <c r="O84" s="152"/>
      <c r="P84" s="1210" t="s">
        <v>1282</v>
      </c>
      <c r="Q84" s="1211" t="s">
        <v>1283</v>
      </c>
      <c r="R84" s="152"/>
      <c r="S84" s="152"/>
      <c r="T84" s="152"/>
      <c r="U84" s="152"/>
      <c r="V84" s="152"/>
      <c r="W84" s="152"/>
      <c r="X84" s="152"/>
      <c r="Y84" s="152"/>
      <c r="Z84" s="152"/>
    </row>
    <row r="85" spans="1:26" ht="15.75">
      <c r="A85" s="687" t="s">
        <v>427</v>
      </c>
      <c r="B85" s="340">
        <v>531</v>
      </c>
      <c r="C85" s="233"/>
      <c r="D85" s="618">
        <f>+ROUND(+'TRIAL-BALANCE'!T132+'TRIAL-BALANCE'!T266,2)</f>
        <v>0</v>
      </c>
      <c r="E85" s="619">
        <f>+ROUND(+'TRIAL-BALANCE'!P132+'TRIAL-BALANCE'!P266,2)</f>
        <v>36846.730000000003</v>
      </c>
      <c r="F85" s="248"/>
      <c r="G85" s="618">
        <f>+ROUND(+'TRIAL-BALANCE'!AA132+'TRIAL-BALANCE'!AA266,2)</f>
        <v>0</v>
      </c>
      <c r="H85" s="619">
        <f>+ROUND(+'TRIAL-BALANCE'!W132+'TRIAL-BALANCE'!W266,2)</f>
        <v>0</v>
      </c>
      <c r="I85" s="248"/>
      <c r="J85" s="618">
        <f>+ROUND(+'TRIAL-BALANCE'!AH132+'TRIAL-BALANCE'!AH266,2)</f>
        <v>0</v>
      </c>
      <c r="K85" s="619">
        <f>+ROUND(+'TRIAL-BALANCE'!AD132+'TRIAL-BALANCE'!AD266,2)</f>
        <v>0</v>
      </c>
      <c r="L85" s="248"/>
      <c r="M85" s="618">
        <f>+ROUND(+D85+G85+J85,2)</f>
        <v>0</v>
      </c>
      <c r="N85" s="619">
        <f>+ROUND(+E85+H85+K85,2)</f>
        <v>36846.730000000003</v>
      </c>
      <c r="O85" s="152"/>
      <c r="P85" s="1239" t="str">
        <f>+IF(+'Intra-Balances'!S2="O K","O K","ГРЕШКА - превишава КТ с/до")</f>
        <v>O K</v>
      </c>
      <c r="Q85" s="1239" t="str">
        <f>+IF(+'Intra-Balances'!P2="O K","O K","ГРЕШКА - превишава КТ с/до")</f>
        <v>O K</v>
      </c>
      <c r="R85" s="152"/>
      <c r="S85" s="152"/>
      <c r="T85" s="152"/>
      <c r="U85" s="152"/>
      <c r="V85" s="152"/>
      <c r="W85" s="152"/>
      <c r="X85" s="152"/>
      <c r="Y85" s="152"/>
      <c r="Z85" s="152"/>
    </row>
    <row r="86" spans="1:26" ht="15.75">
      <c r="A86" s="688" t="s">
        <v>1013</v>
      </c>
      <c r="B86" s="341">
        <v>532</v>
      </c>
      <c r="C86" s="233"/>
      <c r="D86" s="628">
        <f>+ROUND(+SUM('TRIAL-BALANCE'!T267:T270)+'TRIAL-BALANCE'!T284,2)</f>
        <v>0</v>
      </c>
      <c r="E86" s="629">
        <f>+ROUND(+SUM('TRIAL-BALANCE'!P267:P270)+'TRIAL-BALANCE'!P284,2)</f>
        <v>0</v>
      </c>
      <c r="F86" s="248"/>
      <c r="G86" s="628">
        <f>+ROUND(+SUM('TRIAL-BALANCE'!AA267:AA270)+'TRIAL-BALANCE'!AA284,2)</f>
        <v>0</v>
      </c>
      <c r="H86" s="629">
        <f>+ROUND(+SUM('TRIAL-BALANCE'!W267:W270)+'TRIAL-BALANCE'!W284,2)</f>
        <v>0</v>
      </c>
      <c r="I86" s="248"/>
      <c r="J86" s="628">
        <f>+ROUND(+SUM('TRIAL-BALANCE'!AH267:AH270)+'TRIAL-BALANCE'!AH284,2)</f>
        <v>0</v>
      </c>
      <c r="K86" s="629">
        <f>+ROUND(+SUM('TRIAL-BALANCE'!AD267:AD270)+'TRIAL-BALANCE'!AD284,2)</f>
        <v>0</v>
      </c>
      <c r="L86" s="248"/>
      <c r="M86" s="628">
        <f>+ROUND(+D86+G86+J86,2)</f>
        <v>0</v>
      </c>
      <c r="N86" s="629">
        <f>+ROUND(+E86+H86+K86,2)</f>
        <v>0</v>
      </c>
      <c r="O86" s="152"/>
      <c r="P86" s="2562" t="str">
        <f>+IF(+AND(Status!K4="ДА",+ROUND('Intra-Balances'!S55,2)-ROUND('Intra-Balances'!S57,2)&lt;&gt;0),"сумите за елиминиране в 'Intra-Balances' не са равни!","O K")</f>
        <v>O K</v>
      </c>
      <c r="Q86" s="2562"/>
      <c r="R86" s="152"/>
      <c r="S86" s="152"/>
      <c r="T86" s="152"/>
      <c r="U86" s="152"/>
      <c r="V86" s="152"/>
      <c r="W86" s="152"/>
      <c r="X86" s="152"/>
      <c r="Y86" s="152"/>
      <c r="Z86" s="152"/>
    </row>
    <row r="87" spans="1:26" ht="15.75">
      <c r="A87" s="177" t="s">
        <v>1026</v>
      </c>
      <c r="B87" s="186">
        <v>530</v>
      </c>
      <c r="C87" s="233"/>
      <c r="D87" s="624">
        <f>+ROUND(+D85+D86,2)</f>
        <v>0</v>
      </c>
      <c r="E87" s="625">
        <f>+ROUND(+E85+E86,2)</f>
        <v>36846.730000000003</v>
      </c>
      <c r="F87" s="248"/>
      <c r="G87" s="624">
        <f>+ROUND(+G85+G86,2)</f>
        <v>0</v>
      </c>
      <c r="H87" s="625">
        <f>+ROUND(+H85+H86,2)</f>
        <v>0</v>
      </c>
      <c r="I87" s="248"/>
      <c r="J87" s="624">
        <f>+ROUND(+J85+J86,2)</f>
        <v>0</v>
      </c>
      <c r="K87" s="625">
        <f>+ROUND(+K85+K86,2)</f>
        <v>0</v>
      </c>
      <c r="L87" s="248"/>
      <c r="M87" s="624">
        <f>+ROUND(+M85+M86,2)</f>
        <v>0</v>
      </c>
      <c r="N87" s="625">
        <f>+ROUND(+N85+N86,2)</f>
        <v>36846.730000000003</v>
      </c>
      <c r="O87" s="152"/>
      <c r="P87" s="2563" t="str">
        <f>+IF(+AND(Status!K4="ДА",+ROUND('Intra-Balances'!P55,2)-ROUND('Intra-Balances'!P57,2)&lt;&gt;0),"сумите за елиминиране в 'Intra-Balances' не са равни!","O K")</f>
        <v>O K</v>
      </c>
      <c r="Q87" s="2563"/>
      <c r="R87" s="152"/>
      <c r="S87" s="152"/>
      <c r="T87" s="152"/>
      <c r="U87" s="152"/>
      <c r="V87" s="152"/>
      <c r="W87" s="152"/>
      <c r="X87" s="152"/>
      <c r="Y87" s="152"/>
      <c r="Z87" s="152"/>
    </row>
    <row r="88" spans="1:26" ht="5.25" customHeight="1">
      <c r="A88" s="172"/>
      <c r="B88" s="187"/>
      <c r="C88" s="233"/>
      <c r="D88" s="626"/>
      <c r="E88" s="627"/>
      <c r="F88" s="248"/>
      <c r="G88" s="626"/>
      <c r="H88" s="627"/>
      <c r="I88" s="248"/>
      <c r="J88" s="626"/>
      <c r="K88" s="627"/>
      <c r="L88" s="248"/>
      <c r="M88" s="626"/>
      <c r="N88" s="627"/>
      <c r="O88" s="152"/>
      <c r="P88" s="152"/>
      <c r="Q88" s="152"/>
      <c r="R88" s="152"/>
      <c r="S88" s="152"/>
      <c r="T88" s="152"/>
      <c r="U88" s="152"/>
      <c r="V88" s="152"/>
      <c r="W88" s="152"/>
      <c r="X88" s="152"/>
      <c r="Y88" s="152"/>
      <c r="Z88" s="152"/>
    </row>
    <row r="89" spans="1:26" ht="19.5" thickBot="1">
      <c r="A89" s="717" t="s">
        <v>1028</v>
      </c>
      <c r="B89" s="720">
        <v>500</v>
      </c>
      <c r="C89" s="233"/>
      <c r="D89" s="653">
        <f>+ROUND(+D72+D83+D87,2)</f>
        <v>21637.15</v>
      </c>
      <c r="E89" s="654">
        <f>+ROUND(+E72+E83+E87,2)</f>
        <v>68422.92</v>
      </c>
      <c r="F89" s="248"/>
      <c r="G89" s="655">
        <f>+ROUND(+G72+G83+G87,2)</f>
        <v>0</v>
      </c>
      <c r="H89" s="656">
        <f>+ROUND(+H72+H83+H87,2)</f>
        <v>0</v>
      </c>
      <c r="I89" s="248"/>
      <c r="J89" s="653">
        <f>+ROUND(+J72+J83+J87,2)</f>
        <v>0</v>
      </c>
      <c r="K89" s="654">
        <f>+ROUND(+K72+K83+K87,2)</f>
        <v>0</v>
      </c>
      <c r="L89" s="248"/>
      <c r="M89" s="653">
        <f>+ROUND(+M72+M83+M87,2)</f>
        <v>21637.15</v>
      </c>
      <c r="N89" s="656">
        <f>+ROUND(+N72+N83+N87,2)</f>
        <v>68422.92</v>
      </c>
      <c r="O89" s="152"/>
      <c r="P89" s="152"/>
      <c r="Q89" s="152"/>
      <c r="R89" s="152"/>
      <c r="S89" s="152"/>
      <c r="T89" s="152"/>
      <c r="U89" s="152"/>
      <c r="V89" s="152"/>
      <c r="W89" s="152"/>
      <c r="X89" s="152"/>
      <c r="Y89" s="152"/>
      <c r="Z89" s="152"/>
    </row>
    <row r="90" spans="1:26" ht="6" customHeight="1">
      <c r="A90" s="172"/>
      <c r="B90" s="187"/>
      <c r="C90" s="233"/>
      <c r="D90" s="626"/>
      <c r="E90" s="627"/>
      <c r="F90" s="248"/>
      <c r="G90" s="626"/>
      <c r="H90" s="627"/>
      <c r="I90" s="248"/>
      <c r="J90" s="626"/>
      <c r="K90" s="627"/>
      <c r="L90" s="248"/>
      <c r="M90" s="626"/>
      <c r="N90" s="627"/>
      <c r="O90" s="152"/>
      <c r="P90" s="152"/>
      <c r="Q90" s="152"/>
      <c r="R90" s="152"/>
      <c r="S90" s="152"/>
      <c r="T90" s="152"/>
      <c r="U90" s="152"/>
      <c r="V90" s="152"/>
      <c r="W90" s="152"/>
      <c r="X90" s="152"/>
      <c r="Y90" s="152"/>
      <c r="Z90" s="152"/>
    </row>
    <row r="91" spans="1:26" ht="19.5" customHeight="1" thickBot="1">
      <c r="A91" s="1464" t="s">
        <v>428</v>
      </c>
      <c r="B91" s="1465">
        <v>600</v>
      </c>
      <c r="C91" s="233"/>
      <c r="D91" s="1466">
        <f>ROUND(+D66+D89,2)</f>
        <v>447376.04</v>
      </c>
      <c r="E91" s="1467">
        <f>ROUND(+E66+E89,2)</f>
        <v>350849.13</v>
      </c>
      <c r="F91" s="248"/>
      <c r="G91" s="1466">
        <f>ROUND(+G66+G89,2)</f>
        <v>0</v>
      </c>
      <c r="H91" s="1467">
        <f>ROUND(+H66+H89,2)</f>
        <v>0</v>
      </c>
      <c r="I91" s="248"/>
      <c r="J91" s="1466">
        <f>ROUND(+J66+J89,2)</f>
        <v>2211.65</v>
      </c>
      <c r="K91" s="1467">
        <f>ROUND(+K66+K89,2)</f>
        <v>2211.65</v>
      </c>
      <c r="L91" s="248"/>
      <c r="M91" s="1466">
        <f>ROUND(+M66+M89,2)</f>
        <v>449587.69</v>
      </c>
      <c r="N91" s="1467">
        <f>ROUND(+N66+N89,2)</f>
        <v>353060.78</v>
      </c>
      <c r="O91" s="152"/>
      <c r="P91" s="152"/>
      <c r="Q91" s="152"/>
      <c r="R91" s="152"/>
      <c r="S91" s="152"/>
      <c r="T91" s="152"/>
      <c r="U91" s="152"/>
      <c r="V91" s="152"/>
      <c r="W91" s="152"/>
      <c r="X91" s="152"/>
      <c r="Y91" s="152"/>
      <c r="Z91" s="152"/>
    </row>
    <row r="92" spans="1:26" ht="21" customHeight="1" thickTop="1" thickBot="1">
      <c r="A92" s="189" t="s">
        <v>429</v>
      </c>
      <c r="B92" s="190">
        <v>650</v>
      </c>
      <c r="C92" s="233"/>
      <c r="D92" s="632">
        <f>+ROUND(+SUM('TRIAL-BALANCE'!T835:T836)+'TRIAL-BALANCE'!T842+'TRIAL-BALANCE'!T843+'TRIAL-BALANCE'!T844+'TRIAL-BALANCE'!T845+'TRIAL-BALANCE'!T847+'TRIAL-BALANCE'!T848+'TRIAL-BALANCE'!T885+'TRIAL-BALANCE'!T886-'TRIAL-BALANCE'!T886,2)</f>
        <v>51631.85</v>
      </c>
      <c r="E92" s="633">
        <f>+ROUND(+SUM('TRIAL-BALANCE'!P835:P836)+'TRIAL-BALANCE'!P842+'TRIAL-BALANCE'!P843+'TRIAL-BALANCE'!P844+'TRIAL-BALANCE'!P845+'TRIAL-BALANCE'!P847+'TRIAL-BALANCE'!P848+'TRIAL-BALANCE'!P885+'TRIAL-BALANCE'!P886-'TRIAL-BALANCE'!P886,2)</f>
        <v>57513.279999999999</v>
      </c>
      <c r="F92" s="248"/>
      <c r="G92" s="632">
        <f>+ROUND(+SUM('TRIAL-BALANCE'!AA835:AA836)+'TRIAL-BALANCE'!AA842+'TRIAL-BALANCE'!AA843+'TRIAL-BALANCE'!AA844+'TRIAL-BALANCE'!AA845+'TRIAL-BALANCE'!AA847+'TRIAL-BALANCE'!AA848+'TRIAL-BALANCE'!AA885+'TRIAL-BALANCE'!AA886-'TRIAL-BALANCE'!AA886,2)</f>
        <v>0</v>
      </c>
      <c r="H92" s="633">
        <f>+ROUND(+SUM('TRIAL-BALANCE'!W835:W836)+'TRIAL-BALANCE'!W842+'TRIAL-BALANCE'!W843+'TRIAL-BALANCE'!W844+'TRIAL-BALANCE'!W845+'TRIAL-BALANCE'!W847+'TRIAL-BALANCE'!W848+'TRIAL-BALANCE'!W885+'TRIAL-BALANCE'!W886-'TRIAL-BALANCE'!W886,2)</f>
        <v>0</v>
      </c>
      <c r="I92" s="248"/>
      <c r="J92" s="632">
        <f>+ROUND(+SUM('TRIAL-BALANCE'!AH835:AH836)+'TRIAL-BALANCE'!AH842+'TRIAL-BALANCE'!AH843+'TRIAL-BALANCE'!AH844+'TRIAL-BALANCE'!AH845+'TRIAL-BALANCE'!AH847+'TRIAL-BALANCE'!AH848+'TRIAL-BALANCE'!AH885+'TRIAL-BALANCE'!AH886-'TRIAL-BALANCE'!AH886,2)</f>
        <v>0</v>
      </c>
      <c r="K92" s="633">
        <f>+ROUND(+SUM('TRIAL-BALANCE'!AD835:AD836)+'TRIAL-BALANCE'!AD842+'TRIAL-BALANCE'!AD843+'TRIAL-BALANCE'!AD844+'TRIAL-BALANCE'!AD845+'TRIAL-BALANCE'!AD847+'TRIAL-BALANCE'!AD848+'TRIAL-BALANCE'!AD885+'TRIAL-BALANCE'!AD886-'TRIAL-BALANCE'!AD886,2)</f>
        <v>0</v>
      </c>
      <c r="L92" s="248"/>
      <c r="M92" s="632">
        <f>+ROUND(+D92+G92+J92,2)</f>
        <v>51631.85</v>
      </c>
      <c r="N92" s="633">
        <f>+ROUND(+E92+H92+K92,2)</f>
        <v>57513.279999999999</v>
      </c>
      <c r="O92" s="152"/>
      <c r="P92" s="152"/>
      <c r="Q92" s="152"/>
      <c r="R92" s="152"/>
      <c r="S92" s="152"/>
      <c r="T92" s="152"/>
      <c r="U92" s="152"/>
      <c r="V92" s="152"/>
      <c r="W92" s="152"/>
      <c r="X92" s="152"/>
      <c r="Y92" s="152"/>
      <c r="Z92" s="152"/>
    </row>
    <row r="93" spans="1:26" ht="16.5" thickTop="1">
      <c r="A93" s="238"/>
      <c r="B93" s="237"/>
      <c r="C93" s="233"/>
      <c r="D93" s="312" t="str">
        <f>+IF(+OR(E92&lt;0),"НЕРАВНЕНИЕ !"," ")</f>
        <v xml:space="preserve"> </v>
      </c>
      <c r="E93" s="312" t="str">
        <f>+IF(+OR(D92&lt;0),"НЕРАВНЕНИЕ !"," ")</f>
        <v xml:space="preserve"> </v>
      </c>
      <c r="F93" s="233"/>
      <c r="G93" s="312" t="str">
        <f>+IF(+OR(G92&lt;0),"НЕРАВНЕНИЕ !"," ")</f>
        <v xml:space="preserve"> </v>
      </c>
      <c r="H93" s="312" t="str">
        <f>+IF(+OR(H92&lt;0),"НЕРАВНЕНИЕ !"," ")</f>
        <v xml:space="preserve"> </v>
      </c>
      <c r="I93" s="233"/>
      <c r="J93" s="312" t="str">
        <f>+IF(+OR(J92&lt;0),"НЕРАВНЕНИЕ !"," ")</f>
        <v xml:space="preserve"> </v>
      </c>
      <c r="K93" s="312" t="str">
        <f>+IF(+OR(K92&lt;0),"НЕРАВНЕНИЕ !"," ")</f>
        <v xml:space="preserve"> </v>
      </c>
      <c r="L93" s="233"/>
      <c r="M93" s="312" t="str">
        <f>+IF(+OR(M92&lt;0),"НЕРАВНЕНИЕ !"," ")</f>
        <v xml:space="preserve"> </v>
      </c>
      <c r="N93" s="312" t="str">
        <f>+IF(+OR(N92&lt;0),"НЕРАВНЕНИЕ !"," ")</f>
        <v xml:space="preserve"> </v>
      </c>
      <c r="O93" s="152"/>
      <c r="P93" s="152"/>
      <c r="Q93" s="152"/>
      <c r="R93" s="152"/>
      <c r="S93" s="152"/>
      <c r="T93" s="152"/>
      <c r="U93" s="152"/>
      <c r="V93" s="152"/>
      <c r="W93" s="152"/>
      <c r="X93" s="152"/>
      <c r="Y93" s="152"/>
      <c r="Z93" s="152"/>
    </row>
    <row r="94" spans="1:26" ht="18.75">
      <c r="A94" s="2179"/>
      <c r="B94" s="240"/>
      <c r="C94" s="233"/>
      <c r="D94" s="236"/>
      <c r="E94" s="236"/>
      <c r="F94" s="233"/>
      <c r="G94" s="242"/>
      <c r="H94" s="241"/>
      <c r="I94" s="233"/>
      <c r="J94" s="236"/>
      <c r="K94" s="242"/>
      <c r="L94" s="233"/>
      <c r="M94" s="236"/>
      <c r="N94" s="242"/>
      <c r="O94" s="152"/>
      <c r="P94" s="152"/>
      <c r="Q94" s="152"/>
      <c r="R94" s="152"/>
      <c r="S94" s="152"/>
      <c r="T94" s="152"/>
      <c r="U94" s="152"/>
      <c r="V94" s="152"/>
      <c r="W94" s="152"/>
      <c r="X94" s="152"/>
      <c r="Y94" s="152"/>
      <c r="Z94" s="152"/>
    </row>
    <row r="95" spans="1:26" ht="4.5" customHeight="1">
      <c r="A95" s="236"/>
      <c r="B95" s="236"/>
      <c r="C95" s="236"/>
      <c r="D95" s="236"/>
      <c r="E95" s="236"/>
      <c r="F95" s="233"/>
      <c r="G95" s="242"/>
      <c r="H95" s="243"/>
      <c r="I95" s="233"/>
      <c r="J95" s="244"/>
      <c r="K95" s="242"/>
      <c r="L95" s="233"/>
      <c r="M95" s="244"/>
      <c r="N95" s="242"/>
      <c r="O95" s="152"/>
      <c r="P95" s="152"/>
      <c r="Q95" s="152"/>
      <c r="R95" s="152"/>
      <c r="S95" s="152"/>
      <c r="T95" s="152"/>
      <c r="U95" s="152"/>
      <c r="V95" s="152"/>
      <c r="W95" s="152"/>
      <c r="X95" s="152"/>
      <c r="Y95" s="152"/>
      <c r="Z95" s="152"/>
    </row>
    <row r="96" spans="1:26" ht="18.75">
      <c r="A96" s="2180"/>
      <c r="B96" s="2040" t="s">
        <v>1978</v>
      </c>
      <c r="C96" s="233"/>
      <c r="D96" s="2035">
        <f>+'TRIAL-BALANCE'!K10</f>
        <v>0</v>
      </c>
      <c r="E96" s="2180" t="s">
        <v>1974</v>
      </c>
      <c r="F96" s="233"/>
      <c r="G96" s="242"/>
      <c r="H96" s="2129"/>
      <c r="I96" s="2130"/>
      <c r="J96" s="2131" t="s">
        <v>1976</v>
      </c>
      <c r="K96" s="236"/>
      <c r="L96" s="233"/>
      <c r="M96" s="245"/>
      <c r="N96" s="246"/>
      <c r="O96" s="152"/>
      <c r="P96" s="152"/>
      <c r="Q96" s="1903"/>
      <c r="R96" s="152"/>
      <c r="S96" s="152"/>
      <c r="T96" s="152"/>
      <c r="U96" s="152"/>
      <c r="V96" s="152"/>
      <c r="W96" s="152"/>
      <c r="X96" s="152"/>
      <c r="Y96" s="152"/>
      <c r="Z96" s="152"/>
    </row>
    <row r="97" spans="1:26" ht="15.75" customHeight="1">
      <c r="A97" s="239"/>
      <c r="B97" s="2180"/>
      <c r="C97" s="233"/>
      <c r="D97" s="2014"/>
      <c r="E97" s="2180"/>
      <c r="F97" s="233"/>
      <c r="G97" s="242"/>
      <c r="H97" s="2531">
        <f>+'Provisions-2020'!H73:J73</f>
        <v>0</v>
      </c>
      <c r="I97" s="2531"/>
      <c r="J97" s="2531"/>
      <c r="K97" s="236"/>
      <c r="L97" s="236"/>
      <c r="M97" s="2531">
        <f>+'Provisions-2020'!M73:N73</f>
        <v>0</v>
      </c>
      <c r="N97" s="2531"/>
      <c r="O97" s="152"/>
      <c r="P97" s="152"/>
      <c r="Q97" s="1903"/>
      <c r="R97" s="152"/>
      <c r="S97" s="152"/>
      <c r="T97" s="152"/>
      <c r="U97" s="152"/>
      <c r="V97" s="152"/>
      <c r="W97" s="152"/>
      <c r="X97" s="152"/>
      <c r="Y97" s="152"/>
      <c r="Z97" s="152"/>
    </row>
    <row r="98" spans="1:26" ht="14.25" customHeight="1">
      <c r="A98" s="242"/>
      <c r="B98" s="236"/>
      <c r="C98" s="233"/>
      <c r="D98" s="2014"/>
      <c r="E98" s="236"/>
      <c r="F98" s="233"/>
      <c r="G98" s="236"/>
      <c r="H98" s="2014"/>
      <c r="I98" s="233"/>
      <c r="J98" s="236"/>
      <c r="K98" s="236"/>
      <c r="L98" s="236"/>
      <c r="M98" s="236"/>
      <c r="N98" s="236"/>
      <c r="O98" s="152"/>
      <c r="P98" s="152"/>
      <c r="Q98" s="1903" t="s">
        <v>1875</v>
      </c>
      <c r="R98" s="152"/>
      <c r="S98" s="152"/>
      <c r="T98" s="152"/>
      <c r="U98" s="152"/>
      <c r="V98" s="152"/>
      <c r="W98" s="152"/>
      <c r="X98" s="152"/>
      <c r="Y98" s="152"/>
      <c r="Z98" s="152"/>
    </row>
    <row r="99" spans="1:26" ht="16.5" thickBot="1">
      <c r="A99" s="152"/>
      <c r="B99" s="152"/>
      <c r="C99" s="198"/>
      <c r="D99" s="152"/>
      <c r="E99" s="152"/>
      <c r="F99" s="198"/>
      <c r="G99" s="152"/>
      <c r="H99" s="152"/>
      <c r="I99" s="152"/>
      <c r="J99" s="152"/>
      <c r="K99" s="152"/>
      <c r="L99" s="198"/>
      <c r="M99" s="152"/>
      <c r="N99" s="152"/>
      <c r="O99" s="152"/>
      <c r="P99" s="1249" t="s">
        <v>1197</v>
      </c>
      <c r="Q99" s="1250"/>
      <c r="R99" s="152"/>
      <c r="S99" s="152"/>
      <c r="T99" s="152"/>
      <c r="U99" s="198"/>
      <c r="V99" s="152"/>
      <c r="W99" s="152"/>
      <c r="X99" s="152"/>
      <c r="Y99" s="152"/>
      <c r="Z99" s="152"/>
    </row>
    <row r="100" spans="1:26" ht="16.5" thickBot="1">
      <c r="A100" s="1478" t="s">
        <v>1202</v>
      </c>
      <c r="B100" s="1474"/>
      <c r="C100" s="198"/>
      <c r="D100" s="314" t="str">
        <f>+IF(D54=+D91,"O K","НЕРАВНЕНИЕ !")</f>
        <v>O K</v>
      </c>
      <c r="E100" s="1962" t="str">
        <f>+IF(E54=+E91,"O K","НЕРАВНЕНИЕ !")</f>
        <v>O K</v>
      </c>
      <c r="F100" s="198"/>
      <c r="G100" s="1233" t="str">
        <f>+IF(G54=+G91,"O K","НЕРАВНЕНИЕ !")</f>
        <v>O K</v>
      </c>
      <c r="H100" s="1963" t="str">
        <f>+IF(H54=+H91,"O K","НЕРАВНЕНИЕ !")</f>
        <v>O K</v>
      </c>
      <c r="I100" s="1234"/>
      <c r="J100" s="1235" t="str">
        <f>+IF(J54=+J91,"O K","НЕРАВНЕНИЕ !")</f>
        <v>O K</v>
      </c>
      <c r="K100" s="1964" t="str">
        <f>+IF(K54=+K91,"O K","НЕРАВНЕНИЕ !")</f>
        <v>O K</v>
      </c>
      <c r="L100" s="253"/>
      <c r="M100" s="1236" t="str">
        <f>+IF(M54=+M91,"O K","НЕРАВНЕНИЕ !")</f>
        <v>O K</v>
      </c>
      <c r="N100" s="1965" t="str">
        <f>+IF(N54=+N91,"O K","НЕРАВНЕНИЕ !")</f>
        <v>O K</v>
      </c>
      <c r="O100" s="1234"/>
      <c r="P100" s="1237" t="str">
        <f>+IF(ROUND(+P46,2)=+ROUND(P83-P65-P64,2),"O K","НЕРАВНЕНИЕ !")</f>
        <v>O K</v>
      </c>
      <c r="Q100" s="1237" t="str">
        <f>+IF(ROUND(+Q46,2)=+ROUND(Q83-Q65-Q64,2),"O K","НЕРАВНЕНИЕ !")</f>
        <v>O K</v>
      </c>
      <c r="R100" s="152"/>
      <c r="S100" s="152"/>
      <c r="T100" s="152"/>
      <c r="U100" s="198"/>
      <c r="V100" s="152"/>
      <c r="W100" s="152"/>
      <c r="X100" s="152"/>
      <c r="Y100" s="152"/>
      <c r="Z100" s="152"/>
    </row>
    <row r="101" spans="1:26" ht="16.5" thickBot="1">
      <c r="A101" s="1475" t="s">
        <v>1203</v>
      </c>
      <c r="B101" s="1476"/>
      <c r="C101" s="198"/>
      <c r="D101" s="314" t="str">
        <f>+IF(+SUM(+D55+'TRIAL-BALANCE'!S887+SUM('TRIAL-BALANCE'!S859:S867)+SUM('TRIAL-BALANCE'!S849:S857)+SUM('TRIAL-BALANCE'!S876:S883))=+SUM(+D92+'TRIAL-BALANCE'!T886+SUM('TRIAL-BALANCE'!T868:T875)+SUM('TRIAL-BALANCE'!T849:T857)+SUM('TRIAL-BALANCE'!T876:T883)),"O K","НЕРАВНЕНИЕ !")</f>
        <v>O K</v>
      </c>
      <c r="E101" s="1962" t="str">
        <f>+IF(+SUM(+E55+'TRIAL-BALANCE'!O887+SUM('TRIAL-BALANCE'!O859:O867)+SUM('TRIAL-BALANCE'!O849:O857)+SUM('TRIAL-BALANCE'!O876:O883))=+SUM(+E92+'TRIAL-BALANCE'!P886+SUM('TRIAL-BALANCE'!P868:P875)+SUM('TRIAL-BALANCE'!P849:P857)+SUM('TRIAL-BALANCE'!P876:P883)),"O K","НЕРАВНЕНИЕ !")</f>
        <v>O K</v>
      </c>
      <c r="F101" s="198"/>
      <c r="G101" s="1233" t="str">
        <f>+IF(+SUM(+G55+'TRIAL-BALANCE'!Z887+SUM('TRIAL-BALANCE'!Z859:Z867)+SUM('TRIAL-BALANCE'!Z849:Z857)+SUM('TRIAL-BALANCE'!Z876:Z883))=+SUM(+G92+'TRIAL-BALANCE'!AA886+SUM('TRIAL-BALANCE'!AA868:AA875)+SUM('TRIAL-BALANCE'!AA849:AA857)+SUM('TRIAL-BALANCE'!AA876:AA883)),"O K","НЕРАВНЕНИЕ !")</f>
        <v>O K</v>
      </c>
      <c r="H101" s="1963" t="str">
        <f>+IF(+SUM(+H55+'TRIAL-BALANCE'!V887+SUM('TRIAL-BALANCE'!V859:V867)+SUM('TRIAL-BALANCE'!V849:V857)+SUM('TRIAL-BALANCE'!V876:V883))=+SUM(+H92+'TRIAL-BALANCE'!W886+SUM('TRIAL-BALANCE'!W868:W875)+SUM('TRIAL-BALANCE'!W849:W857)+SUM('TRIAL-BALANCE'!W876:W883)),"O K","НЕРАВНЕНИЕ !")</f>
        <v>O K</v>
      </c>
      <c r="I101" s="1234"/>
      <c r="J101" s="1235" t="str">
        <f>+IF(+SUM(+J55+'TRIAL-BALANCE'!AG887+SUM('TRIAL-BALANCE'!AG859:AG867)+SUM('TRIAL-BALANCE'!AG849:AG857)+SUM('TRIAL-BALANCE'!AG876:AG883))=+SUM(+J92+'TRIAL-BALANCE'!AH886+SUM('TRIAL-BALANCE'!AH868:AH875)+SUM('TRIAL-BALANCE'!AH849:AH857)+SUM('TRIAL-BALANCE'!AH876:AH883)),"O K","НЕРАВНЕНИЕ !")</f>
        <v>O K</v>
      </c>
      <c r="K101" s="1964" t="str">
        <f>+IF(+SUM(K55+'TRIAL-BALANCE'!AC887+SUM('TRIAL-BALANCE'!AC859:AC867)+SUM('TRIAL-BALANCE'!AC849:AC857)+SUM('TRIAL-BALANCE'!AC876:AC883))=+SUM(+K92+'TRIAL-BALANCE'!AD886+SUM('TRIAL-BALANCE'!AD868:AD875)+SUM('TRIAL-BALANCE'!AD849:AD857)+SUM('TRIAL-BALANCE'!AD876:AD883)),"O K","НЕРАВНЕНИЕ !")</f>
        <v>O K</v>
      </c>
      <c r="L101" s="253"/>
      <c r="M101" s="1238" t="str">
        <f>+IF(+SUM(+M55+'TRIAL-BALANCE'!AO887+SUM('TRIAL-BALANCE'!AO859:AO867)+SUM('TRIAL-BALANCE'!AO849:AO857)+SUM('TRIAL-BALANCE'!AO876:AO883))=+SUM(+M92+'TRIAL-BALANCE'!AP886+SUM('TRIAL-BALANCE'!AP868:AP875)+SUM('TRIAL-BALANCE'!AP849:AP857)+SUM('TRIAL-BALANCE'!AP876:AP883)),"O K","НЕРАВНЕНИЕ !")</f>
        <v>O K</v>
      </c>
      <c r="N101" s="1965" t="str">
        <f>+IF(+SUM(N55+'TRIAL-BALANCE'!AK887+SUM('TRIAL-BALANCE'!AK859:AK867)+SUM('TRIAL-BALANCE'!AK849:AK857)+SUM('TRIAL-BALANCE'!AK876:AK883))=+SUM(+N92+'TRIAL-BALANCE'!AL886+SUM('TRIAL-BALANCE'!AL868:AL875)+SUM('TRIAL-BALANCE'!AL849:AL857)+SUM('TRIAL-BALANCE'!AL876:AL883)),"O K","НЕРАВНЕНИЕ !")</f>
        <v>O K</v>
      </c>
      <c r="O101" s="1234"/>
      <c r="P101" s="1237">
        <f>+ROUND(+P46-(P83-P65-P64),2)</f>
        <v>0</v>
      </c>
      <c r="Q101" s="1237">
        <f>+ROUND(+Q46-(Q83-Q64-Q65),2)</f>
        <v>0</v>
      </c>
      <c r="R101" s="152"/>
      <c r="S101" s="152"/>
      <c r="T101" s="152"/>
      <c r="U101" s="198"/>
      <c r="V101" s="152"/>
      <c r="W101" s="152"/>
      <c r="X101" s="152"/>
      <c r="Y101" s="152"/>
      <c r="Z101" s="152"/>
    </row>
    <row r="102" spans="1:26" ht="16.5" thickBot="1">
      <c r="A102" s="152"/>
      <c r="B102" s="152"/>
      <c r="C102" s="198"/>
      <c r="D102" s="152"/>
      <c r="E102" s="152"/>
      <c r="F102" s="198"/>
      <c r="G102" s="1234"/>
      <c r="H102" s="1234"/>
      <c r="I102" s="1234"/>
      <c r="J102" s="1234"/>
      <c r="K102" s="1234"/>
      <c r="L102" s="253"/>
      <c r="M102" s="1234"/>
      <c r="N102" s="1234"/>
      <c r="O102" s="1234"/>
      <c r="P102" s="1705" t="s">
        <v>1870</v>
      </c>
      <c r="Q102" s="1706"/>
      <c r="R102" s="152"/>
      <c r="S102" s="152"/>
      <c r="T102" s="152"/>
      <c r="U102" s="198"/>
      <c r="V102" s="152"/>
      <c r="W102" s="152"/>
      <c r="X102" s="152"/>
      <c r="Y102" s="152"/>
      <c r="Z102" s="152"/>
    </row>
    <row r="103" spans="1:26" ht="16.5" thickBot="1">
      <c r="A103" s="1478" t="s">
        <v>1198</v>
      </c>
      <c r="B103" s="1474"/>
      <c r="C103" s="198"/>
      <c r="D103" s="314">
        <f>+ROUND(+D54-D91,2)</f>
        <v>0</v>
      </c>
      <c r="E103" s="1962">
        <f>+ROUND(+E54-E91,2)</f>
        <v>0</v>
      </c>
      <c r="F103" s="198"/>
      <c r="G103" s="1233">
        <f>+ROUND(+G54-G91,2)</f>
        <v>0</v>
      </c>
      <c r="H103" s="1963">
        <f>+ROUND(+H54-H91,2)</f>
        <v>0</v>
      </c>
      <c r="I103" s="1234"/>
      <c r="J103" s="1235">
        <f>+ROUND(+J54-J91,2)</f>
        <v>0</v>
      </c>
      <c r="K103" s="1964">
        <f>+ROUND(+K54-K91,2)</f>
        <v>0</v>
      </c>
      <c r="L103" s="253"/>
      <c r="M103" s="1236">
        <f>+ROUND(+M54-M91,2)</f>
        <v>0</v>
      </c>
      <c r="N103" s="1965">
        <f>+ROUND(+N54-N91,2)</f>
        <v>0</v>
      </c>
      <c r="O103" s="1234"/>
      <c r="P103" s="1707" t="s">
        <v>2146</v>
      </c>
      <c r="Q103" s="1708"/>
      <c r="R103" s="152"/>
      <c r="S103" s="152"/>
      <c r="T103" s="152"/>
      <c r="U103" s="198"/>
      <c r="V103" s="152"/>
      <c r="W103" s="152"/>
      <c r="X103" s="152"/>
      <c r="Y103" s="152"/>
      <c r="Z103" s="152"/>
    </row>
    <row r="104" spans="1:26" ht="16.5" thickBot="1">
      <c r="A104" s="1477" t="s">
        <v>373</v>
      </c>
      <c r="B104" s="1476"/>
      <c r="C104" s="198"/>
      <c r="D104" s="314">
        <f>+ROUND(+D55+'TRIAL-BALANCE'!S887+SUM('TRIAL-BALANCE'!S859:S867)+SUM('TRIAL-BALANCE'!S849:S857)++SUM('TRIAL-BALANCE'!S876:S883)-D92-'TRIAL-BALANCE'!T886-SUM('TRIAL-BALANCE'!T868:T875)-SUM('TRIAL-BALANCE'!T849:T857)-+SUM('TRIAL-BALANCE'!T876:T883),2)</f>
        <v>0</v>
      </c>
      <c r="E104" s="1962">
        <f>+ROUND(+E55+'TRIAL-BALANCE'!O887+SUM('TRIAL-BALANCE'!O859:O867)+SUM('TRIAL-BALANCE'!O849:O857)+SUM('TRIAL-BALANCE'!O876:O883)-E92-'TRIAL-BALANCE'!P886-SUM('TRIAL-BALANCE'!P868:P875)-SUM('TRIAL-BALANCE'!P849:P857)-SUM('TRIAL-BALANCE'!P876:P883),2)</f>
        <v>0</v>
      </c>
      <c r="F104" s="198"/>
      <c r="G104" s="1233">
        <f>+ROUND(+G55+'TRIAL-BALANCE'!Z887+SUM('TRIAL-BALANCE'!Z859:Z867)+SUM('TRIAL-BALANCE'!Z849:Z857)+SUM('TRIAL-BALANCE'!Z876:Z883)-G92-'TRIAL-BALANCE'!AA886-SUM('TRIAL-BALANCE'!AA868:AA875)-SUM('TRIAL-BALANCE'!AA849:AA857)-SUM('TRIAL-BALANCE'!AA876:AA883),2)</f>
        <v>0</v>
      </c>
      <c r="H104" s="1963">
        <f>+ROUND(+H55+'TRIAL-BALANCE'!V887+SUM('TRIAL-BALANCE'!V859:V867)+SUM('TRIAL-BALANCE'!V849:V857)+SUM('TRIAL-BALANCE'!V876:V883)-H92-'TRIAL-BALANCE'!W886-SUM('TRIAL-BALANCE'!W868:W875)-SUM('TRIAL-BALANCE'!W849:W857)-SUM('TRIAL-BALANCE'!W876:W883),2)</f>
        <v>0</v>
      </c>
      <c r="I104" s="1234"/>
      <c r="J104" s="1235">
        <f>+ROUND(+J55+'TRIAL-BALANCE'!AG887+SUM('TRIAL-BALANCE'!AG859:AG867)+SUM('TRIAL-BALANCE'!AG849:AG857)+SUM('TRIAL-BALANCE'!AG876:AG883)-J92-'TRIAL-BALANCE'!AH886-SUM('TRIAL-BALANCE'!AH868:AH875)-SUM('TRIAL-BALANCE'!AH849:AH857)-SUM('TRIAL-BALANCE'!AH876:AH883),2)</f>
        <v>0</v>
      </c>
      <c r="K104" s="1964">
        <f>+ROUND(+K55+'TRIAL-BALANCE'!AC887+SUM('TRIAL-BALANCE'!AC859:AC867)+SUM('TRIAL-BALANCE'!AC849:AC857)+SUM('TRIAL-BALANCE'!AC876:AC883)-K92-'TRIAL-BALANCE'!AD886-SUM('TRIAL-BALANCE'!AD868:AD875)-SUM('TRIAL-BALANCE'!AD849:AD857)-SUM('TRIAL-BALANCE'!AD876:AD883),2)</f>
        <v>0</v>
      </c>
      <c r="L104" s="253"/>
      <c r="M104" s="1236">
        <f>+ROUND(+D104+G104+J104,2)</f>
        <v>0</v>
      </c>
      <c r="N104" s="1965">
        <f>+ROUND(+E104+H104+K104,2)</f>
        <v>0</v>
      </c>
      <c r="O104" s="1234"/>
      <c r="P104" s="1908" t="s">
        <v>1878</v>
      </c>
      <c r="Q104" s="1907" t="str">
        <f>+Q35</f>
        <v xml:space="preserve">'Intra-Balances' </v>
      </c>
      <c r="R104" s="152"/>
      <c r="S104" s="152"/>
      <c r="T104" s="152"/>
      <c r="U104" s="198"/>
      <c r="V104" s="152"/>
      <c r="W104" s="152"/>
      <c r="X104" s="152"/>
      <c r="Y104" s="152"/>
      <c r="Z104" s="152"/>
    </row>
    <row r="105" spans="1:26" ht="15.75">
      <c r="A105" s="152"/>
      <c r="B105" s="152"/>
      <c r="C105" s="198"/>
      <c r="D105" s="152"/>
      <c r="E105" s="152"/>
      <c r="F105" s="198"/>
      <c r="G105" s="152"/>
      <c r="H105" s="152"/>
      <c r="I105" s="198"/>
      <c r="J105" s="152"/>
      <c r="K105" s="152"/>
      <c r="L105" s="198"/>
      <c r="M105" s="152"/>
      <c r="N105" s="152"/>
      <c r="O105" s="152"/>
      <c r="P105" s="1710" t="s">
        <v>1879</v>
      </c>
      <c r="Q105" s="1909" t="str">
        <f>+Q36</f>
        <v>'Municipal-Bal'</v>
      </c>
      <c r="R105" s="152"/>
      <c r="S105" s="152"/>
      <c r="T105" s="152"/>
      <c r="U105" s="152"/>
      <c r="V105" s="152"/>
      <c r="W105" s="152"/>
      <c r="X105" s="152"/>
      <c r="Y105" s="152"/>
      <c r="Z105" s="152"/>
    </row>
    <row r="106" spans="1:26" ht="15.75">
      <c r="A106" s="152"/>
      <c r="B106" s="152"/>
      <c r="C106" s="198"/>
      <c r="D106" s="152"/>
      <c r="E106" s="152"/>
      <c r="F106" s="198"/>
      <c r="G106" s="152"/>
      <c r="H106" s="152"/>
      <c r="I106" s="198"/>
      <c r="J106" s="152"/>
      <c r="K106" s="152"/>
      <c r="L106" s="198"/>
      <c r="M106" s="152"/>
      <c r="N106" s="152"/>
      <c r="O106" s="152"/>
      <c r="P106" s="152"/>
      <c r="Q106" s="152"/>
      <c r="R106" s="152"/>
      <c r="S106" s="152"/>
      <c r="T106" s="152"/>
      <c r="U106" s="152"/>
      <c r="V106" s="152"/>
      <c r="W106" s="152"/>
      <c r="X106" s="152"/>
      <c r="Y106" s="152"/>
      <c r="Z106" s="152"/>
    </row>
    <row r="107" spans="1:26">
      <c r="A107" s="152"/>
      <c r="B107" s="152"/>
      <c r="C107" s="152"/>
      <c r="D107" s="152"/>
      <c r="E107" s="152"/>
      <c r="F107" s="152"/>
      <c r="G107" s="152"/>
      <c r="H107" s="152"/>
      <c r="I107" s="152"/>
      <c r="J107" s="152"/>
      <c r="K107" s="152"/>
      <c r="L107" s="152"/>
      <c r="M107" s="152"/>
      <c r="N107" s="152"/>
      <c r="O107" s="152"/>
      <c r="P107" s="152"/>
      <c r="Q107" s="152"/>
      <c r="R107" s="152"/>
      <c r="S107" s="152"/>
      <c r="T107" s="152"/>
      <c r="U107" s="152"/>
      <c r="V107" s="152"/>
      <c r="W107" s="152"/>
      <c r="X107" s="152"/>
      <c r="Y107" s="152"/>
      <c r="Z107" s="152"/>
    </row>
    <row r="108" spans="1:26">
      <c r="A108" s="152"/>
      <c r="B108" s="152"/>
      <c r="C108" s="152"/>
      <c r="D108" s="152"/>
      <c r="E108" s="152"/>
      <c r="F108" s="152"/>
      <c r="G108" s="152"/>
      <c r="H108" s="152"/>
      <c r="I108" s="152"/>
      <c r="J108" s="152"/>
      <c r="K108" s="152"/>
      <c r="L108" s="152"/>
      <c r="M108" s="152"/>
      <c r="N108" s="152"/>
      <c r="O108" s="152"/>
      <c r="P108" s="152"/>
      <c r="Q108" s="152"/>
      <c r="R108" s="152"/>
      <c r="S108" s="152"/>
      <c r="T108" s="152"/>
      <c r="U108" s="152"/>
      <c r="V108" s="152"/>
      <c r="W108" s="152"/>
      <c r="X108" s="152"/>
      <c r="Y108" s="152"/>
      <c r="Z108" s="152"/>
    </row>
    <row r="109" spans="1:26">
      <c r="A109" s="152"/>
      <c r="B109" s="152"/>
      <c r="C109" s="152"/>
      <c r="D109" s="152"/>
      <c r="E109" s="152"/>
      <c r="F109" s="152"/>
      <c r="G109" s="152"/>
      <c r="H109" s="342"/>
      <c r="I109" s="152"/>
      <c r="J109" s="152"/>
      <c r="K109" s="152"/>
      <c r="L109" s="152"/>
      <c r="M109" s="152"/>
      <c r="N109" s="152"/>
      <c r="O109" s="152"/>
      <c r="P109" s="152"/>
      <c r="Q109" s="152"/>
      <c r="R109" s="152"/>
      <c r="S109" s="152"/>
      <c r="T109" s="152"/>
      <c r="U109" s="152"/>
      <c r="V109" s="152"/>
      <c r="W109" s="152"/>
      <c r="X109" s="152"/>
      <c r="Y109" s="152"/>
      <c r="Z109" s="152"/>
    </row>
    <row r="110" spans="1:26">
      <c r="A110" s="152"/>
      <c r="B110" s="152"/>
      <c r="C110" s="152"/>
      <c r="D110" s="152"/>
      <c r="E110" s="152"/>
      <c r="F110" s="152"/>
      <c r="G110" s="152"/>
      <c r="H110" s="342"/>
      <c r="I110" s="152"/>
      <c r="J110" s="152"/>
      <c r="K110" s="152"/>
      <c r="L110" s="152"/>
      <c r="M110" s="152"/>
      <c r="N110" s="152"/>
      <c r="O110" s="152"/>
      <c r="P110" s="152"/>
      <c r="Q110" s="152"/>
      <c r="R110" s="152"/>
      <c r="S110" s="152"/>
      <c r="T110" s="152"/>
      <c r="U110" s="152"/>
      <c r="V110" s="152"/>
      <c r="W110" s="152"/>
      <c r="X110" s="152"/>
      <c r="Y110" s="152"/>
      <c r="Z110" s="152"/>
    </row>
    <row r="111" spans="1:26">
      <c r="A111" s="152"/>
      <c r="B111" s="152"/>
      <c r="C111" s="152"/>
      <c r="D111" s="152"/>
      <c r="E111" s="152"/>
      <c r="F111" s="152"/>
      <c r="G111" s="152"/>
      <c r="H111" s="343"/>
      <c r="I111" s="152"/>
      <c r="J111" s="152"/>
      <c r="K111" s="152"/>
      <c r="L111" s="152"/>
      <c r="M111" s="152"/>
      <c r="N111" s="152"/>
      <c r="O111" s="152"/>
      <c r="P111" s="152"/>
      <c r="Q111" s="152"/>
      <c r="R111" s="152"/>
      <c r="S111" s="152"/>
      <c r="T111" s="152"/>
      <c r="U111" s="152"/>
      <c r="V111" s="152"/>
      <c r="W111" s="152"/>
      <c r="X111" s="152"/>
      <c r="Y111" s="152"/>
      <c r="Z111" s="152"/>
    </row>
    <row r="112" spans="1:26">
      <c r="A112" s="152"/>
      <c r="B112" s="152"/>
      <c r="C112" s="152"/>
      <c r="D112" s="152"/>
      <c r="E112" s="152"/>
      <c r="F112" s="152"/>
      <c r="G112" s="152"/>
      <c r="H112" s="152"/>
      <c r="I112" s="152"/>
      <c r="J112" s="152"/>
      <c r="K112" s="152"/>
      <c r="L112" s="152"/>
      <c r="M112" s="152"/>
      <c r="N112" s="152"/>
      <c r="O112" s="152"/>
      <c r="P112" s="152"/>
      <c r="Q112" s="152"/>
      <c r="R112" s="152"/>
      <c r="S112" s="152"/>
      <c r="T112" s="152"/>
      <c r="U112" s="152"/>
      <c r="V112" s="152"/>
      <c r="W112" s="152"/>
      <c r="X112" s="152"/>
      <c r="Y112" s="152"/>
      <c r="Z112" s="152"/>
    </row>
    <row r="113" spans="1:26">
      <c r="A113" s="152"/>
      <c r="B113" s="152"/>
      <c r="C113" s="152"/>
      <c r="D113" s="152"/>
      <c r="E113" s="152"/>
      <c r="F113" s="152"/>
      <c r="G113" s="152"/>
      <c r="H113" s="152"/>
      <c r="I113" s="152"/>
      <c r="J113" s="152"/>
      <c r="K113" s="152"/>
      <c r="L113" s="152"/>
      <c r="M113" s="152"/>
      <c r="N113" s="152"/>
      <c r="O113" s="152"/>
      <c r="P113" s="152"/>
      <c r="Q113" s="152"/>
      <c r="R113" s="152"/>
      <c r="S113" s="152"/>
      <c r="T113" s="152"/>
      <c r="U113" s="152"/>
      <c r="V113" s="152"/>
      <c r="W113" s="152"/>
      <c r="X113" s="152"/>
      <c r="Y113" s="152"/>
      <c r="Z113" s="152"/>
    </row>
    <row r="114" spans="1:26">
      <c r="A114" s="152"/>
      <c r="B114" s="152"/>
      <c r="C114" s="152"/>
      <c r="D114" s="152"/>
      <c r="E114" s="152"/>
      <c r="F114" s="152"/>
      <c r="G114" s="152"/>
      <c r="H114" s="152"/>
      <c r="I114" s="152"/>
      <c r="J114" s="152"/>
      <c r="K114" s="152"/>
      <c r="L114" s="152"/>
      <c r="M114" s="152"/>
      <c r="N114" s="152"/>
      <c r="O114" s="152"/>
      <c r="P114" s="152"/>
      <c r="Q114" s="152"/>
      <c r="R114" s="152"/>
      <c r="S114" s="152"/>
      <c r="T114" s="152"/>
      <c r="U114" s="152"/>
      <c r="V114" s="152"/>
      <c r="W114" s="152"/>
      <c r="X114" s="152"/>
      <c r="Y114" s="152"/>
      <c r="Z114" s="152"/>
    </row>
    <row r="115" spans="1:26">
      <c r="A115" s="152"/>
      <c r="B115" s="152"/>
      <c r="C115" s="152"/>
      <c r="D115" s="152"/>
      <c r="E115" s="152"/>
      <c r="F115" s="152"/>
      <c r="G115" s="152"/>
      <c r="H115" s="152"/>
      <c r="I115" s="152"/>
      <c r="J115" s="152"/>
      <c r="K115" s="152"/>
      <c r="L115" s="152"/>
      <c r="M115" s="152"/>
      <c r="N115" s="152"/>
      <c r="O115" s="152"/>
      <c r="P115" s="152"/>
      <c r="Q115" s="152"/>
      <c r="R115" s="152"/>
      <c r="S115" s="152"/>
      <c r="T115" s="152"/>
      <c r="U115" s="152"/>
      <c r="V115" s="152"/>
      <c r="W115" s="152"/>
      <c r="X115" s="152"/>
      <c r="Y115" s="152"/>
      <c r="Z115" s="152"/>
    </row>
    <row r="116" spans="1:26">
      <c r="A116" s="152"/>
      <c r="B116" s="152"/>
      <c r="C116" s="152"/>
      <c r="D116" s="152"/>
      <c r="E116" s="152"/>
      <c r="F116" s="152"/>
      <c r="G116" s="152"/>
      <c r="H116" s="152"/>
      <c r="I116" s="152"/>
      <c r="J116" s="152"/>
      <c r="K116" s="152"/>
      <c r="L116" s="152"/>
      <c r="M116" s="152"/>
      <c r="N116" s="152"/>
      <c r="O116" s="152"/>
      <c r="P116" s="152"/>
      <c r="Q116" s="152"/>
      <c r="R116" s="152"/>
      <c r="S116" s="152"/>
      <c r="T116" s="152"/>
      <c r="U116" s="152"/>
      <c r="V116" s="152"/>
      <c r="W116" s="152"/>
      <c r="X116" s="152"/>
      <c r="Y116" s="152"/>
      <c r="Z116" s="152"/>
    </row>
    <row r="117" spans="1:26">
      <c r="A117" s="152"/>
      <c r="B117" s="152"/>
      <c r="C117" s="152"/>
      <c r="D117" s="152"/>
      <c r="E117" s="152"/>
      <c r="F117" s="152"/>
      <c r="G117" s="152"/>
      <c r="H117" s="152"/>
      <c r="I117" s="152"/>
      <c r="J117" s="152"/>
      <c r="K117" s="152"/>
      <c r="L117" s="152"/>
      <c r="M117" s="152"/>
      <c r="N117" s="152"/>
      <c r="O117" s="152"/>
      <c r="P117" s="152"/>
      <c r="Q117" s="152"/>
      <c r="R117" s="152"/>
      <c r="S117" s="152"/>
      <c r="T117" s="152"/>
      <c r="U117" s="152"/>
      <c r="V117" s="152"/>
      <c r="W117" s="152"/>
      <c r="X117" s="152"/>
      <c r="Y117" s="152"/>
      <c r="Z117" s="152"/>
    </row>
    <row r="118" spans="1:26">
      <c r="A118" s="152"/>
      <c r="B118" s="152"/>
      <c r="C118" s="152"/>
      <c r="D118" s="152"/>
      <c r="E118" s="152"/>
      <c r="F118" s="152"/>
      <c r="G118" s="152"/>
      <c r="H118" s="152"/>
      <c r="I118" s="152"/>
      <c r="J118" s="152"/>
      <c r="K118" s="152"/>
      <c r="L118" s="152"/>
      <c r="M118" s="152"/>
      <c r="N118" s="152"/>
      <c r="O118" s="152"/>
      <c r="P118" s="152"/>
      <c r="Q118" s="152"/>
      <c r="R118" s="152"/>
      <c r="S118" s="152"/>
      <c r="T118" s="152"/>
      <c r="U118" s="152"/>
      <c r="V118" s="152"/>
      <c r="W118" s="152"/>
      <c r="X118" s="152"/>
      <c r="Y118" s="152"/>
      <c r="Z118" s="152"/>
    </row>
    <row r="119" spans="1:26">
      <c r="A119" s="152"/>
      <c r="B119" s="152"/>
      <c r="C119" s="152"/>
      <c r="D119" s="152"/>
      <c r="E119" s="152"/>
      <c r="F119" s="152"/>
      <c r="G119" s="152"/>
      <c r="H119" s="152"/>
      <c r="I119" s="152"/>
      <c r="J119" s="152"/>
      <c r="K119" s="152"/>
      <c r="L119" s="152"/>
      <c r="M119" s="152"/>
      <c r="N119" s="152"/>
      <c r="O119" s="152"/>
      <c r="P119" s="152"/>
      <c r="Q119" s="152"/>
      <c r="R119" s="152"/>
      <c r="S119" s="152"/>
      <c r="T119" s="152"/>
      <c r="U119" s="152"/>
      <c r="V119" s="152"/>
      <c r="W119" s="152"/>
      <c r="X119" s="152"/>
      <c r="Y119" s="152"/>
      <c r="Z119" s="152"/>
    </row>
    <row r="120" spans="1:26">
      <c r="A120" s="152"/>
      <c r="B120" s="152"/>
      <c r="C120" s="152"/>
      <c r="D120" s="152"/>
      <c r="E120" s="152"/>
      <c r="F120" s="152"/>
      <c r="G120" s="152"/>
      <c r="H120" s="152"/>
      <c r="I120" s="152"/>
      <c r="J120" s="152"/>
      <c r="K120" s="152"/>
      <c r="L120" s="152"/>
      <c r="M120" s="152"/>
      <c r="N120" s="152"/>
      <c r="O120" s="152"/>
      <c r="P120" s="152"/>
      <c r="Q120" s="152"/>
      <c r="R120" s="152"/>
      <c r="S120" s="152"/>
      <c r="T120" s="152"/>
      <c r="U120" s="152"/>
      <c r="V120" s="152"/>
      <c r="W120" s="152"/>
      <c r="X120" s="152"/>
      <c r="Y120" s="152"/>
      <c r="Z120" s="152"/>
    </row>
    <row r="121" spans="1:26">
      <c r="A121" s="152"/>
      <c r="B121" s="152"/>
      <c r="C121" s="152"/>
      <c r="D121" s="152"/>
      <c r="E121" s="152"/>
      <c r="F121" s="152"/>
      <c r="G121" s="152"/>
      <c r="H121" s="152"/>
      <c r="I121" s="152"/>
      <c r="J121" s="152"/>
      <c r="K121" s="152"/>
      <c r="L121" s="152"/>
      <c r="M121" s="152"/>
      <c r="N121" s="152"/>
      <c r="O121" s="152"/>
      <c r="P121" s="152"/>
      <c r="Q121" s="152"/>
      <c r="R121" s="152"/>
      <c r="S121" s="152"/>
      <c r="T121" s="152"/>
      <c r="U121" s="152"/>
      <c r="V121" s="152"/>
      <c r="W121" s="152"/>
      <c r="X121" s="152"/>
      <c r="Y121" s="152"/>
      <c r="Z121" s="152"/>
    </row>
    <row r="122" spans="1:26">
      <c r="A122" s="152"/>
      <c r="B122" s="152"/>
      <c r="C122" s="152"/>
      <c r="D122" s="152"/>
      <c r="E122" s="152"/>
      <c r="F122" s="152"/>
      <c r="G122" s="152"/>
      <c r="H122" s="152"/>
      <c r="I122" s="152"/>
      <c r="J122" s="152"/>
      <c r="K122" s="152"/>
      <c r="L122" s="152"/>
      <c r="M122" s="152"/>
      <c r="N122" s="152"/>
      <c r="O122" s="152"/>
      <c r="P122" s="152"/>
      <c r="Q122" s="152"/>
      <c r="R122" s="152"/>
      <c r="S122" s="152"/>
      <c r="T122" s="152"/>
      <c r="U122" s="152"/>
      <c r="V122" s="152"/>
      <c r="W122" s="152"/>
      <c r="X122" s="152"/>
      <c r="Y122" s="152"/>
      <c r="Z122" s="152"/>
    </row>
    <row r="123" spans="1:26">
      <c r="A123" s="152"/>
      <c r="B123" s="152"/>
      <c r="C123" s="152"/>
      <c r="D123" s="152"/>
      <c r="E123" s="152"/>
      <c r="F123" s="152"/>
      <c r="G123" s="152"/>
      <c r="H123" s="152"/>
      <c r="I123" s="152"/>
      <c r="J123" s="152"/>
      <c r="K123" s="152"/>
      <c r="L123" s="152"/>
      <c r="M123" s="152"/>
      <c r="N123" s="152"/>
      <c r="O123" s="152"/>
      <c r="P123" s="152"/>
      <c r="Q123" s="152"/>
      <c r="R123" s="152"/>
      <c r="S123" s="152"/>
      <c r="T123" s="152"/>
      <c r="U123" s="152"/>
      <c r="V123" s="152"/>
      <c r="W123" s="152"/>
      <c r="X123" s="152"/>
      <c r="Y123" s="152"/>
      <c r="Z123" s="152"/>
    </row>
    <row r="124" spans="1:26">
      <c r="A124" s="152"/>
      <c r="B124" s="152"/>
      <c r="C124" s="152"/>
      <c r="D124" s="152"/>
      <c r="E124" s="152"/>
      <c r="F124" s="152"/>
      <c r="G124" s="152"/>
      <c r="H124" s="152"/>
      <c r="I124" s="152"/>
      <c r="J124" s="152"/>
      <c r="K124" s="152"/>
      <c r="L124" s="152"/>
      <c r="M124" s="152"/>
      <c r="N124" s="152"/>
      <c r="O124" s="152"/>
      <c r="P124" s="152"/>
      <c r="Q124" s="152"/>
      <c r="R124" s="152"/>
      <c r="S124" s="152"/>
      <c r="T124" s="152"/>
      <c r="U124" s="152"/>
      <c r="V124" s="152"/>
      <c r="W124" s="152"/>
      <c r="X124" s="152"/>
      <c r="Y124" s="152"/>
      <c r="Z124" s="152"/>
    </row>
    <row r="125" spans="1:26">
      <c r="A125" s="152"/>
      <c r="B125" s="152"/>
      <c r="C125" s="152"/>
      <c r="D125" s="152"/>
      <c r="E125" s="152"/>
      <c r="F125" s="152"/>
      <c r="G125" s="152"/>
      <c r="H125" s="152"/>
      <c r="I125" s="152"/>
      <c r="J125" s="152"/>
      <c r="K125" s="152"/>
      <c r="L125" s="152"/>
      <c r="M125" s="152"/>
      <c r="N125" s="152"/>
      <c r="O125" s="152"/>
      <c r="P125" s="152"/>
      <c r="Q125" s="152"/>
      <c r="R125" s="152"/>
      <c r="S125" s="152"/>
      <c r="T125" s="152"/>
      <c r="U125" s="152"/>
      <c r="V125" s="152"/>
      <c r="W125" s="152"/>
      <c r="X125" s="152"/>
      <c r="Y125" s="152"/>
      <c r="Z125" s="152"/>
    </row>
    <row r="126" spans="1:26">
      <c r="A126" s="152"/>
      <c r="B126" s="152"/>
      <c r="C126" s="152"/>
      <c r="D126" s="152"/>
      <c r="E126" s="152"/>
      <c r="F126" s="152"/>
      <c r="G126" s="152"/>
      <c r="H126" s="152"/>
      <c r="I126" s="152"/>
      <c r="J126" s="152"/>
      <c r="K126" s="152"/>
      <c r="L126" s="152"/>
      <c r="M126" s="152"/>
      <c r="N126" s="152"/>
      <c r="O126" s="152"/>
      <c r="P126" s="152"/>
      <c r="Q126" s="152"/>
      <c r="R126" s="152"/>
      <c r="S126" s="152"/>
      <c r="T126" s="152"/>
      <c r="U126" s="152"/>
      <c r="V126" s="152"/>
      <c r="W126" s="152"/>
      <c r="X126" s="152"/>
      <c r="Y126" s="152"/>
      <c r="Z126" s="152"/>
    </row>
    <row r="127" spans="1:26">
      <c r="A127" s="152"/>
      <c r="B127" s="152"/>
      <c r="C127" s="152"/>
      <c r="D127" s="152"/>
      <c r="E127" s="152"/>
      <c r="F127" s="152"/>
      <c r="G127" s="152"/>
      <c r="H127" s="152"/>
      <c r="I127" s="152"/>
      <c r="J127" s="152"/>
      <c r="K127" s="152"/>
      <c r="L127" s="152"/>
      <c r="M127" s="152"/>
      <c r="N127" s="152"/>
      <c r="O127" s="152"/>
      <c r="P127" s="152"/>
      <c r="Q127" s="152"/>
      <c r="R127" s="152"/>
      <c r="S127" s="152"/>
      <c r="T127" s="152"/>
      <c r="U127" s="152"/>
      <c r="V127" s="152"/>
      <c r="W127" s="152"/>
      <c r="X127" s="152"/>
      <c r="Y127" s="152"/>
      <c r="Z127" s="152"/>
    </row>
    <row r="128" spans="1:26">
      <c r="A128" s="152"/>
      <c r="B128" s="152"/>
      <c r="C128" s="152"/>
      <c r="D128" s="152"/>
      <c r="E128" s="152"/>
      <c r="F128" s="152"/>
      <c r="G128" s="152"/>
      <c r="H128" s="152"/>
      <c r="I128" s="152"/>
      <c r="J128" s="152"/>
      <c r="K128" s="152"/>
      <c r="L128" s="152"/>
      <c r="M128" s="152"/>
      <c r="N128" s="152"/>
      <c r="O128" s="152"/>
      <c r="P128" s="152"/>
      <c r="Q128" s="152"/>
      <c r="R128" s="152"/>
      <c r="S128" s="152"/>
      <c r="T128" s="152"/>
      <c r="U128" s="152"/>
      <c r="V128" s="152"/>
      <c r="W128" s="152"/>
      <c r="X128" s="152"/>
      <c r="Y128" s="152"/>
      <c r="Z128" s="152"/>
    </row>
    <row r="129" spans="1:26">
      <c r="A129" s="152"/>
      <c r="B129" s="152"/>
      <c r="C129" s="152"/>
      <c r="D129" s="152"/>
      <c r="E129" s="152"/>
      <c r="F129" s="152"/>
      <c r="G129" s="152"/>
      <c r="H129" s="152"/>
      <c r="I129" s="152"/>
      <c r="J129" s="152"/>
      <c r="K129" s="152"/>
      <c r="L129" s="152"/>
      <c r="M129" s="152"/>
      <c r="N129" s="152"/>
      <c r="O129" s="152"/>
      <c r="P129" s="152"/>
      <c r="Q129" s="152"/>
      <c r="R129" s="152"/>
      <c r="S129" s="152"/>
      <c r="T129" s="152"/>
      <c r="U129" s="152"/>
      <c r="V129" s="152"/>
      <c r="W129" s="152"/>
      <c r="X129" s="152"/>
      <c r="Y129" s="152"/>
      <c r="Z129" s="152"/>
    </row>
    <row r="130" spans="1:26">
      <c r="A130" s="152"/>
      <c r="B130" s="152"/>
      <c r="C130" s="152"/>
      <c r="D130" s="152"/>
      <c r="E130" s="152"/>
      <c r="F130" s="152"/>
      <c r="G130" s="152"/>
      <c r="H130" s="152"/>
      <c r="I130" s="152"/>
      <c r="J130" s="152"/>
      <c r="K130" s="152"/>
      <c r="L130" s="152"/>
      <c r="M130" s="152"/>
      <c r="N130" s="152"/>
      <c r="O130" s="152"/>
      <c r="P130" s="152"/>
      <c r="Q130" s="152"/>
      <c r="R130" s="152"/>
      <c r="S130" s="152"/>
      <c r="T130" s="152"/>
      <c r="U130" s="152"/>
      <c r="V130" s="152"/>
      <c r="W130" s="152"/>
      <c r="X130" s="152"/>
      <c r="Y130" s="152"/>
      <c r="Z130" s="152"/>
    </row>
    <row r="131" spans="1:26">
      <c r="A131" s="152"/>
      <c r="B131" s="152"/>
      <c r="C131" s="152"/>
      <c r="D131" s="152"/>
      <c r="E131" s="152"/>
      <c r="F131" s="152"/>
      <c r="G131" s="152"/>
      <c r="H131" s="152"/>
      <c r="I131" s="152"/>
      <c r="J131" s="152"/>
      <c r="K131" s="152"/>
      <c r="L131" s="152"/>
      <c r="M131" s="152"/>
      <c r="N131" s="152"/>
      <c r="O131" s="152"/>
      <c r="P131" s="152"/>
      <c r="Q131" s="152"/>
      <c r="R131" s="152"/>
      <c r="S131" s="152"/>
      <c r="T131" s="152"/>
      <c r="U131" s="152"/>
      <c r="V131" s="152"/>
      <c r="W131" s="152"/>
      <c r="X131" s="152"/>
      <c r="Y131" s="152"/>
      <c r="Z131" s="152"/>
    </row>
    <row r="132" spans="1:26">
      <c r="A132" s="152"/>
      <c r="B132" s="152"/>
      <c r="C132" s="152"/>
      <c r="D132" s="152"/>
      <c r="E132" s="152"/>
      <c r="F132" s="152"/>
      <c r="G132" s="152"/>
      <c r="H132" s="152"/>
      <c r="I132" s="152"/>
      <c r="J132" s="152"/>
      <c r="K132" s="152"/>
      <c r="L132" s="152"/>
      <c r="M132" s="152"/>
      <c r="N132" s="152"/>
      <c r="O132" s="152"/>
      <c r="P132" s="152"/>
      <c r="Q132" s="152"/>
      <c r="R132" s="152"/>
      <c r="S132" s="152"/>
      <c r="T132" s="152"/>
      <c r="U132" s="152"/>
      <c r="V132" s="152"/>
      <c r="W132" s="152"/>
      <c r="X132" s="152"/>
      <c r="Y132" s="152"/>
      <c r="Z132" s="152"/>
    </row>
    <row r="133" spans="1:26">
      <c r="A133" s="152"/>
      <c r="B133" s="152"/>
      <c r="C133" s="152"/>
      <c r="D133" s="152"/>
      <c r="E133" s="152"/>
      <c r="F133" s="152"/>
      <c r="G133" s="152"/>
      <c r="H133" s="152"/>
      <c r="I133" s="152"/>
      <c r="J133" s="152"/>
      <c r="K133" s="152"/>
      <c r="L133" s="152"/>
      <c r="M133" s="152"/>
      <c r="N133" s="152"/>
      <c r="O133" s="152"/>
      <c r="P133" s="152"/>
      <c r="Q133" s="152"/>
      <c r="R133" s="152"/>
      <c r="S133" s="152"/>
      <c r="T133" s="152"/>
      <c r="U133" s="152"/>
      <c r="V133" s="152"/>
      <c r="W133" s="152"/>
      <c r="X133" s="152"/>
      <c r="Y133" s="152"/>
      <c r="Z133" s="152"/>
    </row>
    <row r="134" spans="1:26">
      <c r="A134" s="152"/>
      <c r="B134" s="152"/>
      <c r="C134" s="152"/>
      <c r="D134" s="152"/>
      <c r="E134" s="152"/>
      <c r="F134" s="152"/>
      <c r="G134" s="152"/>
      <c r="H134" s="152"/>
      <c r="I134" s="152"/>
      <c r="J134" s="152"/>
      <c r="K134" s="152"/>
      <c r="L134" s="152"/>
      <c r="M134" s="152"/>
      <c r="N134" s="152"/>
      <c r="O134" s="152"/>
      <c r="P134" s="152"/>
      <c r="Q134" s="152"/>
      <c r="R134" s="152"/>
      <c r="S134" s="152"/>
      <c r="T134" s="152"/>
      <c r="U134" s="152"/>
      <c r="V134" s="152"/>
      <c r="W134" s="152"/>
      <c r="X134" s="152"/>
      <c r="Y134" s="152"/>
      <c r="Z134" s="152"/>
    </row>
    <row r="135" spans="1:26">
      <c r="A135" s="152"/>
      <c r="B135" s="152"/>
      <c r="C135" s="152"/>
      <c r="D135" s="152"/>
      <c r="E135" s="152"/>
      <c r="F135" s="152"/>
      <c r="G135" s="152"/>
      <c r="H135" s="152"/>
      <c r="I135" s="152"/>
      <c r="J135" s="152"/>
      <c r="K135" s="152"/>
      <c r="L135" s="152"/>
      <c r="M135" s="152"/>
      <c r="N135" s="152"/>
      <c r="O135" s="152"/>
      <c r="P135" s="152"/>
      <c r="Q135" s="152"/>
      <c r="R135" s="152"/>
      <c r="S135" s="152"/>
      <c r="T135" s="152"/>
      <c r="U135" s="152"/>
      <c r="V135" s="152"/>
      <c r="W135" s="152"/>
      <c r="X135" s="152"/>
      <c r="Y135" s="152"/>
      <c r="Z135" s="152"/>
    </row>
    <row r="136" spans="1:26">
      <c r="A136" s="152"/>
      <c r="B136" s="152"/>
      <c r="C136" s="152"/>
      <c r="D136" s="152"/>
      <c r="E136" s="152"/>
      <c r="F136" s="152"/>
      <c r="G136" s="152"/>
      <c r="H136" s="152"/>
      <c r="I136" s="152"/>
      <c r="J136" s="152"/>
      <c r="K136" s="152"/>
      <c r="L136" s="152"/>
      <c r="M136" s="152"/>
      <c r="N136" s="152"/>
      <c r="O136" s="152"/>
      <c r="P136" s="152"/>
      <c r="Q136" s="152"/>
      <c r="R136" s="152"/>
      <c r="S136" s="152"/>
      <c r="T136" s="152"/>
      <c r="U136" s="152"/>
      <c r="V136" s="152"/>
      <c r="W136" s="152"/>
      <c r="X136" s="152"/>
      <c r="Y136" s="152"/>
      <c r="Z136" s="152"/>
    </row>
    <row r="137" spans="1:26">
      <c r="A137" s="152"/>
      <c r="B137" s="152"/>
      <c r="C137" s="152"/>
      <c r="D137" s="152"/>
      <c r="E137" s="152"/>
      <c r="F137" s="152"/>
      <c r="G137" s="152"/>
      <c r="H137" s="152"/>
      <c r="I137" s="152"/>
      <c r="J137" s="152"/>
      <c r="K137" s="152"/>
      <c r="L137" s="152"/>
      <c r="M137" s="152"/>
      <c r="N137" s="152"/>
      <c r="O137" s="152"/>
      <c r="P137" s="152"/>
      <c r="Q137" s="152"/>
      <c r="R137" s="152"/>
      <c r="S137" s="152"/>
      <c r="T137" s="152"/>
      <c r="U137" s="152"/>
      <c r="V137" s="152"/>
      <c r="W137" s="152"/>
      <c r="X137" s="152"/>
      <c r="Y137" s="152"/>
      <c r="Z137" s="152"/>
    </row>
    <row r="138" spans="1:26">
      <c r="A138" s="152"/>
      <c r="B138" s="152"/>
      <c r="C138" s="152"/>
      <c r="D138" s="152"/>
      <c r="E138" s="152"/>
      <c r="F138" s="152"/>
      <c r="G138" s="152"/>
      <c r="H138" s="152"/>
      <c r="I138" s="152"/>
      <c r="J138" s="152"/>
      <c r="K138" s="152"/>
      <c r="L138" s="152"/>
      <c r="M138" s="152"/>
      <c r="N138" s="152"/>
      <c r="O138" s="152"/>
      <c r="P138" s="152"/>
      <c r="Q138" s="152"/>
      <c r="R138" s="152"/>
      <c r="S138" s="152"/>
      <c r="T138" s="152"/>
      <c r="U138" s="152"/>
      <c r="V138" s="152"/>
      <c r="W138" s="152"/>
      <c r="X138" s="152"/>
      <c r="Y138" s="152"/>
      <c r="Z138" s="152"/>
    </row>
    <row r="139" spans="1:26">
      <c r="A139" s="152"/>
      <c r="B139" s="152"/>
      <c r="C139" s="152"/>
      <c r="D139" s="152"/>
      <c r="E139" s="152"/>
      <c r="F139" s="152"/>
      <c r="G139" s="152"/>
      <c r="H139" s="152"/>
      <c r="I139" s="152"/>
      <c r="J139" s="152"/>
      <c r="K139" s="152"/>
      <c r="L139" s="152"/>
      <c r="M139" s="152"/>
      <c r="N139" s="152"/>
      <c r="O139" s="152"/>
      <c r="P139" s="152"/>
      <c r="Q139" s="152"/>
      <c r="R139" s="152"/>
      <c r="S139" s="152"/>
      <c r="T139" s="152"/>
      <c r="U139" s="152"/>
      <c r="V139" s="152"/>
      <c r="W139" s="152"/>
      <c r="X139" s="152"/>
      <c r="Y139" s="152"/>
      <c r="Z139" s="152"/>
    </row>
    <row r="140" spans="1:26">
      <c r="A140" s="152"/>
      <c r="B140" s="152"/>
      <c r="C140" s="152"/>
      <c r="D140" s="152"/>
      <c r="E140" s="152"/>
      <c r="F140" s="152"/>
      <c r="G140" s="152"/>
      <c r="H140" s="152"/>
      <c r="I140" s="152"/>
      <c r="J140" s="152"/>
      <c r="K140" s="152"/>
      <c r="L140" s="152"/>
      <c r="M140" s="152"/>
      <c r="N140" s="152"/>
      <c r="O140" s="152"/>
      <c r="P140" s="152"/>
      <c r="Q140" s="152"/>
      <c r="R140" s="152"/>
      <c r="S140" s="152"/>
      <c r="T140" s="152"/>
      <c r="U140" s="152"/>
      <c r="V140" s="152"/>
      <c r="W140" s="152"/>
      <c r="X140" s="152"/>
      <c r="Y140" s="152"/>
      <c r="Z140" s="152"/>
    </row>
    <row r="141" spans="1:26">
      <c r="A141" s="152"/>
      <c r="B141" s="152"/>
      <c r="C141" s="152"/>
      <c r="D141" s="152"/>
      <c r="E141" s="152"/>
      <c r="F141" s="152"/>
      <c r="G141" s="152"/>
      <c r="H141" s="152"/>
      <c r="I141" s="152"/>
      <c r="J141" s="152"/>
      <c r="K141" s="152"/>
      <c r="L141" s="152"/>
      <c r="M141" s="152"/>
      <c r="N141" s="152"/>
      <c r="O141" s="152"/>
      <c r="P141" s="152"/>
      <c r="Q141" s="152"/>
      <c r="R141" s="152"/>
      <c r="S141" s="152"/>
      <c r="T141" s="152"/>
      <c r="U141" s="152"/>
      <c r="V141" s="152"/>
      <c r="W141" s="152"/>
      <c r="X141" s="152"/>
      <c r="Y141" s="152"/>
      <c r="Z141" s="152"/>
    </row>
    <row r="142" spans="1:26">
      <c r="A142" s="152"/>
      <c r="B142" s="152"/>
      <c r="C142" s="152"/>
      <c r="D142" s="152"/>
      <c r="E142" s="152"/>
      <c r="F142" s="152"/>
      <c r="G142" s="152"/>
      <c r="H142" s="152"/>
      <c r="I142" s="152"/>
      <c r="J142" s="152"/>
      <c r="K142" s="152"/>
      <c r="L142" s="152"/>
      <c r="M142" s="152"/>
      <c r="N142" s="152"/>
      <c r="O142" s="152"/>
      <c r="P142" s="152"/>
      <c r="Q142" s="152"/>
      <c r="R142" s="152"/>
      <c r="S142" s="152"/>
      <c r="T142" s="152"/>
      <c r="U142" s="152"/>
      <c r="V142" s="152"/>
      <c r="W142" s="152"/>
      <c r="X142" s="152"/>
      <c r="Y142" s="152"/>
      <c r="Z142" s="152"/>
    </row>
    <row r="143" spans="1:26">
      <c r="A143" s="152"/>
      <c r="B143" s="152"/>
      <c r="C143" s="152"/>
      <c r="D143" s="152"/>
      <c r="E143" s="152"/>
      <c r="F143" s="152"/>
      <c r="G143" s="152"/>
      <c r="H143" s="152"/>
      <c r="I143" s="152"/>
      <c r="J143" s="152"/>
      <c r="K143" s="152"/>
      <c r="L143" s="152"/>
      <c r="M143" s="152"/>
      <c r="N143" s="152"/>
      <c r="O143" s="152"/>
      <c r="P143" s="152"/>
      <c r="Q143" s="152"/>
      <c r="R143" s="152"/>
      <c r="S143" s="152"/>
      <c r="T143" s="152"/>
      <c r="U143" s="152"/>
      <c r="V143" s="152"/>
      <c r="W143" s="152"/>
      <c r="X143" s="152"/>
      <c r="Y143" s="152"/>
      <c r="Z143" s="152"/>
    </row>
    <row r="144" spans="1:26">
      <c r="A144" s="152"/>
      <c r="B144" s="152"/>
      <c r="C144" s="152"/>
      <c r="D144" s="152"/>
      <c r="E144" s="152"/>
      <c r="F144" s="152"/>
      <c r="G144" s="152"/>
      <c r="H144" s="152"/>
      <c r="I144" s="152"/>
      <c r="J144" s="152"/>
      <c r="K144" s="152"/>
      <c r="L144" s="152"/>
      <c r="M144" s="152"/>
      <c r="N144" s="152"/>
      <c r="O144" s="152"/>
      <c r="P144" s="152"/>
      <c r="Q144" s="152"/>
      <c r="R144" s="152"/>
      <c r="S144" s="152"/>
      <c r="T144" s="152"/>
      <c r="U144" s="152"/>
      <c r="V144" s="152"/>
      <c r="W144" s="152"/>
      <c r="X144" s="152"/>
      <c r="Y144" s="152"/>
      <c r="Z144" s="152"/>
    </row>
    <row r="145" spans="1:26">
      <c r="A145" s="152"/>
      <c r="B145" s="152"/>
      <c r="C145" s="152"/>
      <c r="D145" s="152"/>
      <c r="E145" s="152"/>
      <c r="F145" s="152"/>
      <c r="G145" s="152"/>
      <c r="H145" s="152"/>
      <c r="I145" s="152"/>
      <c r="J145" s="152"/>
      <c r="K145" s="152"/>
      <c r="L145" s="152"/>
      <c r="M145" s="152"/>
      <c r="N145" s="152"/>
      <c r="O145" s="152"/>
      <c r="P145" s="152"/>
      <c r="Q145" s="152"/>
      <c r="R145" s="152"/>
      <c r="S145" s="152"/>
      <c r="T145" s="152"/>
      <c r="U145" s="152"/>
      <c r="V145" s="152"/>
      <c r="W145" s="152"/>
      <c r="X145" s="152"/>
      <c r="Y145" s="152"/>
      <c r="Z145" s="152"/>
    </row>
    <row r="146" spans="1:26">
      <c r="A146" s="152"/>
      <c r="B146" s="152"/>
      <c r="C146" s="152"/>
      <c r="D146" s="152"/>
      <c r="E146" s="152"/>
      <c r="F146" s="152"/>
      <c r="G146" s="152"/>
      <c r="H146" s="152"/>
      <c r="I146" s="152"/>
      <c r="J146" s="152"/>
      <c r="K146" s="152"/>
      <c r="L146" s="152"/>
      <c r="M146" s="152"/>
      <c r="N146" s="152"/>
      <c r="O146" s="152"/>
      <c r="P146" s="152"/>
      <c r="Q146" s="152"/>
      <c r="R146" s="152"/>
      <c r="S146" s="152"/>
      <c r="T146" s="152"/>
      <c r="U146" s="152"/>
      <c r="V146" s="152"/>
      <c r="W146" s="152"/>
      <c r="X146" s="152"/>
      <c r="Y146" s="152"/>
      <c r="Z146" s="152"/>
    </row>
    <row r="147" spans="1:26">
      <c r="A147" s="152"/>
      <c r="B147" s="152"/>
      <c r="C147" s="152"/>
      <c r="D147" s="152"/>
      <c r="E147" s="152"/>
      <c r="F147" s="152"/>
      <c r="G147" s="152"/>
      <c r="H147" s="152"/>
      <c r="I147" s="152"/>
      <c r="J147" s="152"/>
      <c r="K147" s="152"/>
      <c r="L147" s="152"/>
      <c r="M147" s="152"/>
      <c r="N147" s="152"/>
      <c r="O147" s="152"/>
      <c r="P147" s="152"/>
      <c r="Q147" s="152"/>
      <c r="R147" s="152"/>
      <c r="S147" s="152"/>
      <c r="T147" s="152"/>
      <c r="U147" s="152"/>
      <c r="V147" s="152"/>
      <c r="W147" s="152"/>
      <c r="X147" s="152"/>
      <c r="Y147" s="152"/>
      <c r="Z147" s="152"/>
    </row>
    <row r="148" spans="1:26">
      <c r="A148" s="152"/>
      <c r="B148" s="152"/>
      <c r="C148" s="152"/>
      <c r="D148" s="152"/>
      <c r="E148" s="152"/>
      <c r="F148" s="152"/>
      <c r="G148" s="152"/>
      <c r="H148" s="152"/>
      <c r="I148" s="152"/>
      <c r="J148" s="152"/>
      <c r="K148" s="152"/>
      <c r="L148" s="152"/>
      <c r="M148" s="152"/>
      <c r="N148" s="152"/>
      <c r="O148" s="152"/>
      <c r="P148" s="152"/>
      <c r="Q148" s="152"/>
      <c r="R148" s="152"/>
      <c r="S148" s="152"/>
      <c r="T148" s="152"/>
      <c r="U148" s="152"/>
      <c r="V148" s="152"/>
      <c r="W148" s="152"/>
      <c r="X148" s="152"/>
      <c r="Y148" s="152"/>
      <c r="Z148" s="152"/>
    </row>
    <row r="149" spans="1:26">
      <c r="A149" s="152"/>
      <c r="B149" s="152"/>
      <c r="C149" s="152"/>
      <c r="D149" s="152"/>
      <c r="E149" s="152"/>
      <c r="F149" s="152"/>
      <c r="G149" s="152"/>
      <c r="H149" s="152"/>
      <c r="I149" s="152"/>
      <c r="J149" s="152"/>
      <c r="K149" s="152"/>
      <c r="L149" s="152"/>
      <c r="M149" s="152"/>
      <c r="N149" s="152"/>
      <c r="O149" s="152"/>
      <c r="P149" s="152"/>
      <c r="Q149" s="152"/>
      <c r="R149" s="152"/>
      <c r="S149" s="152"/>
      <c r="T149" s="152"/>
      <c r="U149" s="152"/>
      <c r="V149" s="152"/>
      <c r="W149" s="152"/>
      <c r="X149" s="152"/>
      <c r="Y149" s="152"/>
      <c r="Z149" s="152"/>
    </row>
    <row r="150" spans="1:26">
      <c r="A150" s="152"/>
      <c r="B150" s="152"/>
      <c r="C150" s="152"/>
      <c r="D150" s="152"/>
      <c r="E150" s="152"/>
      <c r="F150" s="152"/>
      <c r="G150" s="152"/>
      <c r="H150" s="152"/>
      <c r="I150" s="152"/>
      <c r="J150" s="152"/>
      <c r="K150" s="152"/>
      <c r="L150" s="152"/>
      <c r="M150" s="152"/>
      <c r="N150" s="152"/>
      <c r="O150" s="152"/>
      <c r="P150" s="152"/>
      <c r="Q150" s="152"/>
      <c r="R150" s="152"/>
      <c r="S150" s="152"/>
      <c r="T150" s="152"/>
      <c r="U150" s="152"/>
      <c r="V150" s="152"/>
      <c r="W150" s="152"/>
      <c r="X150" s="152"/>
      <c r="Y150" s="152"/>
      <c r="Z150" s="152"/>
    </row>
  </sheetData>
  <sheetProtection password="889B" sheet="1" objects="1" scenarios="1"/>
  <mergeCells count="25">
    <mergeCell ref="P66:Q66"/>
    <mergeCell ref="P67:Q67"/>
    <mergeCell ref="P87:Q87"/>
    <mergeCell ref="P86:Q86"/>
    <mergeCell ref="P49:Q49"/>
    <mergeCell ref="P50:Q50"/>
    <mergeCell ref="G1:H1"/>
    <mergeCell ref="A1:D1"/>
    <mergeCell ref="A3:D3"/>
    <mergeCell ref="M58:N59"/>
    <mergeCell ref="M7:N8"/>
    <mergeCell ref="J5:K5"/>
    <mergeCell ref="B7:B9"/>
    <mergeCell ref="B58:B60"/>
    <mergeCell ref="B5:G5"/>
    <mergeCell ref="E2:H2"/>
    <mergeCell ref="M97:N97"/>
    <mergeCell ref="K3:N3"/>
    <mergeCell ref="G3:H3"/>
    <mergeCell ref="A2:D2"/>
    <mergeCell ref="H97:J97"/>
    <mergeCell ref="D6:E6"/>
    <mergeCell ref="G6:H6"/>
    <mergeCell ref="J2:K2"/>
    <mergeCell ref="M2:N2"/>
  </mergeCells>
  <phoneticPr fontId="0" type="noConversion"/>
  <conditionalFormatting sqref="F69:F92 I69:I92 L69:L92 D48:E55 D31:E34 D36:E38 D40:E46 D69:E72 D74:E83 D13:E22 G48:H55 G31:H34 G36:H38 G40:H46 G85:H92 G69:H72 G74:H83 G13:H22 J74:K83 J85:K92 J48:K55 J40:K46 J31:K34 J36:K38 J69:K72 J13:K22 M48:N55 M31:N34 M36:N38 M13:N22 M69:N72 D24:E29 L13:L55 F13:F55 G24:H29 I13:I55 J24:K29 M24:N29 M40:N46 M85:N92 D85:E92 M74:N83">
    <cfRule type="cellIs" dxfId="1354" priority="69" stopIfTrue="1" operator="lessThan">
      <formula>0</formula>
    </cfRule>
  </conditionalFormatting>
  <conditionalFormatting sqref="D93:E93 E62 H62 K62 N62 D12:E12 D23:E23 D30:E30 D35:E35 D39:E39 D47:E47 D56:E56 D68:E68 D73:E73 D84:E84 D100:E101 G100:H101 G12:H12 G23:H23 G30:H30 G35:H35 G39:H39 G47:H47 G56:H56 G68:H68 G73:H73 G84:H84 G93:H93 J100:K101 J56:K56 J68:K68 J73:K73 J84:K84 J39:K39 J23:K23 J30:K30 J35:K35 J12:K12 J47:K47 J93:K93 M56:N56 M12:N12 M23:N23 M30:N30 M35:N35 M39:N39 M47:N47 M100:N101 M84:N84 M93:N93 M68:N68 M73:N73">
    <cfRule type="cellIs" dxfId="1353" priority="70" stopIfTrue="1" operator="equal">
      <formula>"НЕРАВНЕНИЕ !"</formula>
    </cfRule>
  </conditionalFormatting>
  <conditionalFormatting sqref="D103:E104 G103:H104 J103:K104 M103:N104">
    <cfRule type="cellIs" dxfId="1352" priority="71" stopIfTrue="1" operator="notEqual">
      <formula>0</formula>
    </cfRule>
  </conditionalFormatting>
  <conditionalFormatting sqref="M5">
    <cfRule type="cellIs" dxfId="1351" priority="72" stopIfTrue="1" operator="equal">
      <formula>0</formula>
    </cfRule>
  </conditionalFormatting>
  <conditionalFormatting sqref="A1:D1 G1:H1 G3:H3 K1">
    <cfRule type="cellIs" dxfId="1350" priority="73" stopIfTrue="1" operator="equal">
      <formula>0</formula>
    </cfRule>
  </conditionalFormatting>
  <conditionalFormatting sqref="P48:Q48">
    <cfRule type="cellIs" dxfId="1349" priority="50" stopIfTrue="1" operator="notEqual">
      <formula>"O K"</formula>
    </cfRule>
  </conditionalFormatting>
  <conditionalFormatting sqref="P85:Q85">
    <cfRule type="cellIs" dxfId="1348" priority="46" stopIfTrue="1" operator="notEqual">
      <formula>"O K"</formula>
    </cfRule>
  </conditionalFormatting>
  <conditionalFormatting sqref="K3">
    <cfRule type="cellIs" dxfId="1347" priority="42" stopIfTrue="1" operator="equal">
      <formula>0</formula>
    </cfRule>
  </conditionalFormatting>
  <conditionalFormatting sqref="N1">
    <cfRule type="cellIs" dxfId="1346" priority="41" stopIfTrue="1" operator="equal">
      <formula>0</formula>
    </cfRule>
  </conditionalFormatting>
  <conditionalFormatting sqref="P66">
    <cfRule type="cellIs" dxfId="1345" priority="32" stopIfTrue="1" operator="notEqual">
      <formula>"O K"</formula>
    </cfRule>
  </conditionalFormatting>
  <conditionalFormatting sqref="P67">
    <cfRule type="cellIs" dxfId="1344" priority="31" stopIfTrue="1" operator="notEqual">
      <formula>"O K"</formula>
    </cfRule>
  </conditionalFormatting>
  <conditionalFormatting sqref="P66:Q67">
    <cfRule type="cellIs" dxfId="1343" priority="30" stopIfTrue="1" operator="equal">
      <formula>"O K"</formula>
    </cfRule>
  </conditionalFormatting>
  <conditionalFormatting sqref="P87">
    <cfRule type="cellIs" dxfId="1342" priority="29" stopIfTrue="1" operator="notEqual">
      <formula>"O K"</formula>
    </cfRule>
  </conditionalFormatting>
  <conditionalFormatting sqref="P87:Q87">
    <cfRule type="cellIs" dxfId="1341" priority="28" stopIfTrue="1" operator="equal">
      <formula>"O K"</formula>
    </cfRule>
  </conditionalFormatting>
  <conditionalFormatting sqref="P86">
    <cfRule type="cellIs" dxfId="1340" priority="27" stopIfTrue="1" operator="notEqual">
      <formula>"O K"</formula>
    </cfRule>
  </conditionalFormatting>
  <conditionalFormatting sqref="P86:Q86">
    <cfRule type="cellIs" dxfId="1339" priority="26" stopIfTrue="1" operator="equal">
      <formula>"O K"</formula>
    </cfRule>
  </conditionalFormatting>
  <conditionalFormatting sqref="P50">
    <cfRule type="cellIs" dxfId="1338" priority="25" stopIfTrue="1" operator="notEqual">
      <formula>"O K"</formula>
    </cfRule>
  </conditionalFormatting>
  <conditionalFormatting sqref="P50:Q50">
    <cfRule type="cellIs" dxfId="1337" priority="24" stopIfTrue="1" operator="equal">
      <formula>"O K"</formula>
    </cfRule>
  </conditionalFormatting>
  <conditionalFormatting sqref="P49">
    <cfRule type="cellIs" dxfId="1336" priority="23" stopIfTrue="1" operator="notEqual">
      <formula>"O K"</formula>
    </cfRule>
  </conditionalFormatting>
  <conditionalFormatting sqref="P49:Q49">
    <cfRule type="cellIs" dxfId="1335" priority="22" stopIfTrue="1" operator="equal">
      <formula>"O K"</formula>
    </cfRule>
  </conditionalFormatting>
  <conditionalFormatting sqref="A9">
    <cfRule type="cellIs" dxfId="1334" priority="16" operator="equal">
      <formula>"Непопълнен ред в таблица 'Cash-deficit'!"</formula>
    </cfRule>
  </conditionalFormatting>
  <conditionalFormatting sqref="A60">
    <cfRule type="cellIs" dxfId="1333" priority="15" operator="equal">
      <formula>"Непопълнен ред в таблица 'Cash-deficit'!"</formula>
    </cfRule>
  </conditionalFormatting>
  <conditionalFormatting sqref="A3:D3">
    <cfRule type="cellIs" dxfId="1332" priority="14" stopIfTrue="1" operator="equal">
      <formula>0</formula>
    </cfRule>
  </conditionalFormatting>
  <conditionalFormatting sqref="E2:H2">
    <cfRule type="cellIs" dxfId="1331" priority="10" operator="equal">
      <formula>"отчетено НЕРАВНЕНИЕ в таблица 'Status'!"</formula>
    </cfRule>
    <cfRule type="cellIs" dxfId="1330" priority="11" operator="equal">
      <formula>0</formula>
    </cfRule>
  </conditionalFormatting>
  <conditionalFormatting sqref="D6:E6">
    <cfRule type="cellIs" dxfId="1329" priority="9" operator="notEqual">
      <formula>0</formula>
    </cfRule>
  </conditionalFormatting>
  <conditionalFormatting sqref="G6:H6">
    <cfRule type="cellIs" dxfId="1328" priority="8" operator="notEqual">
      <formula>0</formula>
    </cfRule>
  </conditionalFormatting>
  <conditionalFormatting sqref="J2:K2">
    <cfRule type="cellIs" dxfId="1327" priority="7" operator="notEqual">
      <formula>0</formula>
    </cfRule>
  </conditionalFormatting>
  <conditionalFormatting sqref="M2:N2">
    <cfRule type="cellIs" dxfId="1326" priority="6" operator="notEqual">
      <formula>0</formula>
    </cfRule>
  </conditionalFormatting>
  <conditionalFormatting sqref="P100">
    <cfRule type="cellIs" dxfId="1325" priority="5" stopIfTrue="1" operator="equal">
      <formula>"НЕРАВНЕНИЕ !"</formula>
    </cfRule>
  </conditionalFormatting>
  <conditionalFormatting sqref="P101">
    <cfRule type="cellIs" dxfId="1324" priority="4" stopIfTrue="1" operator="notEqual">
      <formula>0</formula>
    </cfRule>
  </conditionalFormatting>
  <conditionalFormatting sqref="Q101">
    <cfRule type="cellIs" dxfId="1323" priority="3" stopIfTrue="1" operator="notEqual">
      <formula>0</formula>
    </cfRule>
  </conditionalFormatting>
  <conditionalFormatting sqref="Q100">
    <cfRule type="cellIs" dxfId="1322" priority="2" stopIfTrue="1" operator="equal">
      <formula>"НЕРАВНЕНИЕ !"</formula>
    </cfRule>
  </conditionalFormatting>
  <conditionalFormatting sqref="M62">
    <cfRule type="cellIs" dxfId="1321" priority="1" stopIfTrue="1" operator="equal">
      <formula>"НЕРАВНЕНИЕ !"</formula>
    </cfRule>
  </conditionalFormatting>
  <pageMargins left="0.17" right="0.15748031496062992" top="0.49" bottom="0.23622047244094491" header="0.27559055118110237" footer="0.15748031496062992"/>
  <pageSetup paperSize="9" scale="64" orientation="landscape" horizontalDpi="1200" r:id="rId1"/>
  <headerFooter alignWithMargins="0">
    <oddHeader>&amp;C&amp;"Times New Roman CYR,Bold"&amp;12- &amp;P / &amp;N -</oddHeader>
  </headerFooter>
  <ignoredErrors>
    <ignoredError sqref="M78:N78" formula="1"/>
  </ignoredErrors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Работни листове</vt:lpstr>
      </vt:variant>
      <vt:variant>
        <vt:i4>18</vt:i4>
      </vt:variant>
      <vt:variant>
        <vt:lpstr>Наименувани диапазони</vt:lpstr>
      </vt:variant>
      <vt:variant>
        <vt:i4>31</vt:i4>
      </vt:variant>
    </vt:vector>
  </HeadingPairs>
  <TitlesOfParts>
    <vt:vector size="49" baseType="lpstr">
      <vt:lpstr>Guidelines</vt:lpstr>
      <vt:lpstr>Status</vt:lpstr>
      <vt:lpstr>TRIAL-BALANCE</vt:lpstr>
      <vt:lpstr>Cash-deficit</vt:lpstr>
      <vt:lpstr>Provisions-2020</vt:lpstr>
      <vt:lpstr>Intra-Balances</vt:lpstr>
      <vt:lpstr>Municipal-Bal</vt:lpstr>
      <vt:lpstr>R &amp; E data-2019</vt:lpstr>
      <vt:lpstr>BALANCE-SHEET-2020-leva</vt:lpstr>
      <vt:lpstr>BALANCE-SHEET-2020</vt:lpstr>
      <vt:lpstr>Income-2020-leva</vt:lpstr>
      <vt:lpstr>Income-2020</vt:lpstr>
      <vt:lpstr>Rounding</vt:lpstr>
      <vt:lpstr>NF-KSF-TRIAL-BAL-2020</vt:lpstr>
      <vt:lpstr>RA-TRIAL-BAL-2020</vt:lpstr>
      <vt:lpstr>DES-TRIAL-BAL-2020</vt:lpstr>
      <vt:lpstr>DMP-TRIAL-BAL-2020</vt:lpstr>
      <vt:lpstr>Local-&amp;-SSF</vt:lpstr>
      <vt:lpstr>'BALANCE-SHEET-2020'!Print_Area</vt:lpstr>
      <vt:lpstr>'BALANCE-SHEET-2020-leva'!Print_Area</vt:lpstr>
      <vt:lpstr>'Cash-deficit'!Print_Area</vt:lpstr>
      <vt:lpstr>'DES-TRIAL-BAL-2020'!Print_Area</vt:lpstr>
      <vt:lpstr>'DMP-TRIAL-BAL-2020'!Print_Area</vt:lpstr>
      <vt:lpstr>Guidelines!Print_Area</vt:lpstr>
      <vt:lpstr>'Income-2020'!Print_Area</vt:lpstr>
      <vt:lpstr>'Income-2020-leva'!Print_Area</vt:lpstr>
      <vt:lpstr>'Intra-Balances'!Print_Area</vt:lpstr>
      <vt:lpstr>'Local-&amp;-SSF'!Print_Area</vt:lpstr>
      <vt:lpstr>'Municipal-Bal'!Print_Area</vt:lpstr>
      <vt:lpstr>'NF-KSF-TRIAL-BAL-2020'!Print_Area</vt:lpstr>
      <vt:lpstr>'Provisions-2020'!Print_Area</vt:lpstr>
      <vt:lpstr>'R &amp; E data-2019'!Print_Area</vt:lpstr>
      <vt:lpstr>'RA-TRIAL-BAL-2020'!Print_Area</vt:lpstr>
      <vt:lpstr>Status!Print_Area</vt:lpstr>
      <vt:lpstr>'TRIAL-BALANCE'!Print_Area</vt:lpstr>
      <vt:lpstr>'BALANCE-SHEET-2020'!Print_Titles</vt:lpstr>
      <vt:lpstr>'BALANCE-SHEET-2020-leva'!Print_Titles</vt:lpstr>
      <vt:lpstr>'DES-TRIAL-BAL-2020'!Print_Titles</vt:lpstr>
      <vt:lpstr>'DMP-TRIAL-BAL-2020'!Print_Titles</vt:lpstr>
      <vt:lpstr>'Income-2020'!Print_Titles</vt:lpstr>
      <vt:lpstr>'Income-2020-leva'!Print_Titles</vt:lpstr>
      <vt:lpstr>'Intra-Balances'!Print_Titles</vt:lpstr>
      <vt:lpstr>'Local-&amp;-SSF'!Print_Titles</vt:lpstr>
      <vt:lpstr>'Municipal-Bal'!Print_Titles</vt:lpstr>
      <vt:lpstr>'NF-KSF-TRIAL-BAL-2020'!Print_Titles</vt:lpstr>
      <vt:lpstr>'Provisions-2020'!Print_Titles</vt:lpstr>
      <vt:lpstr>'R &amp; E data-2019'!Print_Titles</vt:lpstr>
      <vt:lpstr>'RA-TRIAL-BAL-2020'!Print_Titles</vt:lpstr>
      <vt:lpstr>'TRIAL-BALANCE'!Print_Titles</vt:lpstr>
    </vt:vector>
  </TitlesOfParts>
  <Company>Ministry of Finance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NPavlov</dc:creator>
  <cp:lastModifiedBy>City10</cp:lastModifiedBy>
  <cp:lastPrinted>2020-01-13T15:30:12Z</cp:lastPrinted>
  <dcterms:created xsi:type="dcterms:W3CDTF">2002-02-28T16:53:59Z</dcterms:created>
  <dcterms:modified xsi:type="dcterms:W3CDTF">2020-07-08T07:42:28Z</dcterms:modified>
</cp:coreProperties>
</file>